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3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60015-2025</t>
        </is>
      </c>
      <c r="B2" t="inlineStr">
        <is>
          <t>avverkningsanmälan</t>
        </is>
      </c>
      <c r="C2" t="inlineStr">
        <is>
          <t>Föryngringsavverkning</t>
        </is>
      </c>
      <c r="D2" s="1" t="n">
        <v>45993</v>
      </c>
      <c r="E2" s="1" t="n">
        <v>46326</v>
      </c>
      <c r="F2" t="inlineStr">
        <is>
          <t>GÄVLEBORGS LÄN</t>
        </is>
      </c>
      <c r="G2" t="inlineStr">
        <is>
          <t>LJUSDAL</t>
        </is>
      </c>
      <c r="H2" t="inlineStr">
        <is>
          <t>Allmännings- och besparingsskogar</t>
        </is>
      </c>
      <c r="I2" t="n">
        <v>27.5</v>
      </c>
      <c r="J2" t="n">
        <v>13</v>
      </c>
      <c r="K2" t="n">
        <v>12</v>
      </c>
      <c r="L2" t="n">
        <v>25</v>
      </c>
      <c r="M2" t="n">
        <v>3</v>
      </c>
      <c r="N2" t="n">
        <v>0</v>
      </c>
      <c r="O2" t="n">
        <v>0</v>
      </c>
      <c r="P2" t="n">
        <v>0</v>
      </c>
      <c r="Q2" t="n">
        <v>28</v>
      </c>
      <c r="R2" t="n">
        <v>3</v>
      </c>
      <c r="S2" t="n">
        <v>47</v>
      </c>
      <c r="T2" t="n">
        <v>459</v>
      </c>
      <c r="U2" t="n">
        <v>342</v>
      </c>
      <c r="V2" s="2" t="inlineStr">
        <is>
          <t>Garnlav
Gräddporing
Knärot
Blanksvart spiklav
Blågrå svartspik
Dropptaggsvamp
Dvärgbägarlav
Fjällig taggsvamp s.str.
Gammelgransskål
Grantaggsvamp
Grönhjon
Kolflarnlav
Kortskaftad ärgspik
Lunglav
Motaggsvamp
Mörk kolflarnlav
Nordtagging
Skrovellav
Stjärntagging
Svartvit taggsvamp
Talltita
Tretåig hackspett
Vedskivlav
Vedtrappmossa
Violettgrå tagellav
Violmussling
Vitgrynig nållav
Vitplätt
Björksplintborre
Gytterlav
Korallrot
Mindre märgborre
Norrlandslav
Nästlav
Plattlummer
Spindelblomster
Stuplav
Vedticka
Vågbandad barkbock
Zontaggsvamp
Spillkråka
Tjäder
Orre
Vanlig groda
Vanlig padda
Fläcknycklar
Revlummer</t>
        </is>
      </c>
      <c r="W2">
        <f>HYPERLINK("https://klasma.github.io/Logging_2161/artfynd/A 60015-2025 artfynd.xlsx", "A 60015-2025")</f>
        <v/>
      </c>
      <c r="X2">
        <f>HYPERLINK("https://klasma.github.io/Logging_2161/kartor/A 60015-2025 karta.png", "A 60015-2025")</f>
        <v/>
      </c>
      <c r="Y2">
        <f>HYPERLINK("https://klasma.github.io/Logging_2161/kartor_geotiff/A 60015-2025 georefererad karta.tif", "A 60015-2025")</f>
        <v/>
      </c>
      <c r="Z2">
        <f>HYPERLINK("https://klasma.github.io/Logging_2161/knärot/A 60015-2025 karta knärot.png", "A 60015-2025")</f>
        <v/>
      </c>
      <c r="AA2">
        <f>HYPERLINK("https://klasma.github.io/Logging_2161/klagomål/A 60015-2025 FSC-klagomål.docx", "A 60015-2025")</f>
        <v/>
      </c>
      <c r="AB2">
        <f>HYPERLINK("https://klasma.github.io/Logging_2161/klagomålsmail/A 60015-2025 FSC-klagomål mail.docx", "A 60015-2025")</f>
        <v/>
      </c>
      <c r="AC2">
        <f>HYPERLINK("https://klasma.github.io/Logging_2161/tillsyn/A 60015-2025 tillsynsbegäran.docx", "A 60015-2025")</f>
        <v/>
      </c>
      <c r="AD2">
        <f>HYPERLINK("https://klasma.github.io/Logging_2161/tillsynsmail/A 60015-2025 tillsynsbegäran mail.docx", "A 60015-2025")</f>
        <v/>
      </c>
      <c r="AE2">
        <f>HYPERLINK("https://klasma.github.io/Logging_2161/fåglar/A 60015-2025 prioriterade fågelarter.docx", "A 60015-2025")</f>
        <v/>
      </c>
    </row>
    <row r="3" ht="15" customHeight="1">
      <c r="A3" t="inlineStr">
        <is>
          <t>A 31293-2026</t>
        </is>
      </c>
      <c r="B3" t="inlineStr">
        <is>
          <t>avverkningsanmälan</t>
        </is>
      </c>
      <c r="C3" t="inlineStr">
        <is>
          <t>Föryngringsavverkning</t>
        </is>
      </c>
      <c r="D3" s="1" t="n">
        <v>46218</v>
      </c>
      <c r="E3" s="1" t="n">
        <v>46326</v>
      </c>
      <c r="F3" t="inlineStr">
        <is>
          <t>GÄVLEBORGS LÄN</t>
        </is>
      </c>
      <c r="G3" t="inlineStr">
        <is>
          <t>LJUSDAL</t>
        </is>
      </c>
      <c r="H3" t="inlineStr">
        <is>
          <t>Allmännings- och besparingsskogar</t>
        </is>
      </c>
      <c r="I3" t="n">
        <v>47.8</v>
      </c>
      <c r="J3" t="n">
        <v>9</v>
      </c>
      <c r="K3" t="n">
        <v>5</v>
      </c>
      <c r="L3" t="n">
        <v>22</v>
      </c>
      <c r="M3" t="n">
        <v>4</v>
      </c>
      <c r="N3" t="n">
        <v>0</v>
      </c>
      <c r="O3" t="n">
        <v>0</v>
      </c>
      <c r="P3" t="n">
        <v>0</v>
      </c>
      <c r="Q3" t="n">
        <v>26</v>
      </c>
      <c r="R3" t="n">
        <v>4</v>
      </c>
      <c r="S3" t="n">
        <v>35</v>
      </c>
      <c r="T3" t="n">
        <v>387</v>
      </c>
      <c r="U3" t="n">
        <v>0</v>
      </c>
      <c r="V3" s="2" t="inlineStr">
        <is>
          <t>Fläckporing
Garnlav
Gräddporing
Spadskinn
Blanksvart spiklav
Blå taggsvamp
Blågrå svartspik
Dropptaggsvamp
Dvärgbägarlav
Gammelgransskål
Kolflarnlav
Lunglav
Mellanlummer
Mörk kolflarnlav
Skarp dropptaggsvamp
Skrovellav
Stjärntagging
Talltita
Tretåig hackspett
Vaddporing
Vedflamlav
Vedskivlav
Violettgrå tagellav
Vitgrynig nållav
Vitplätt
Äggvaxskivling
Nästlav
Plattlummer
Spindelblomster
Stuplav
Vågbandad barkbock
Tjäder
Orre
Fläcknycklar
Revlummer</t>
        </is>
      </c>
      <c r="W3">
        <f>HYPERLINK("https://klasma.github.io/Logging_2161/artfynd/A 31293-2026 artfynd.xlsx", "A 31293-2026")</f>
        <v/>
      </c>
      <c r="X3">
        <f>HYPERLINK("https://klasma.github.io/Logging_2161/kartor/A 31293-2026 karta.png", "A 31293-2026")</f>
        <v/>
      </c>
      <c r="Y3">
        <f>HYPERLINK("https://klasma.github.io/Logging_2161/kartor_geotiff/A 31293-2026 georefererad karta.tif", "A 31293-2026")</f>
        <v/>
      </c>
      <c r="AA3">
        <f>HYPERLINK("https://klasma.github.io/Logging_2161/klagomål/A 31293-2026 FSC-klagomål.docx", "A 31293-2026")</f>
        <v/>
      </c>
      <c r="AB3">
        <f>HYPERLINK("https://klasma.github.io/Logging_2161/klagomålsmail/A 31293-2026 FSC-klagomål mail.docx", "A 31293-2026")</f>
        <v/>
      </c>
      <c r="AC3">
        <f>HYPERLINK("https://klasma.github.io/Logging_2161/tillsyn/A 31293-2026 tillsynsbegäran.docx", "A 31293-2026")</f>
        <v/>
      </c>
      <c r="AD3">
        <f>HYPERLINK("https://klasma.github.io/Logging_2161/tillsynsmail/A 31293-2026 tillsynsbegäran mail.docx", "A 31293-2026")</f>
        <v/>
      </c>
      <c r="AE3">
        <f>HYPERLINK("https://klasma.github.io/Logging_2161/fåglar/A 31293-2026 prioriterade fågelarter.docx", "A 31293-2026")</f>
        <v/>
      </c>
    </row>
    <row r="4" ht="15" customHeight="1">
      <c r="A4" t="inlineStr">
        <is>
          <t>A 24219-2025</t>
        </is>
      </c>
      <c r="B4" t="inlineStr">
        <is>
          <t>avverkningsanmälan</t>
        </is>
      </c>
      <c r="C4" t="inlineStr">
        <is>
          <t>Föryngringsavverkning</t>
        </is>
      </c>
      <c r="D4" s="1" t="n">
        <v>45797</v>
      </c>
      <c r="E4" s="1" t="n">
        <v>46326</v>
      </c>
      <c r="F4" t="inlineStr">
        <is>
          <t>GÄVLEBORGS LÄN</t>
        </is>
      </c>
      <c r="G4" t="inlineStr">
        <is>
          <t>LJUSDAL</t>
        </is>
      </c>
      <c r="H4" t="inlineStr">
        <is>
          <t>Allmännings- och besparingsskogar</t>
        </is>
      </c>
      <c r="I4" t="n">
        <v>27.3</v>
      </c>
      <c r="J4" t="n">
        <v>8</v>
      </c>
      <c r="K4" t="n">
        <v>8</v>
      </c>
      <c r="L4" t="n">
        <v>17</v>
      </c>
      <c r="M4" t="n">
        <v>5</v>
      </c>
      <c r="N4" t="n">
        <v>0</v>
      </c>
      <c r="O4" t="n">
        <v>0</v>
      </c>
      <c r="P4" t="n">
        <v>0</v>
      </c>
      <c r="Q4" t="n">
        <v>22</v>
      </c>
      <c r="R4" t="n">
        <v>5</v>
      </c>
      <c r="S4" t="n">
        <v>33</v>
      </c>
      <c r="T4" t="n">
        <v>209</v>
      </c>
      <c r="U4" t="n">
        <v>209</v>
      </c>
      <c r="V4" s="2" t="inlineStr">
        <is>
          <t>Garnlav
Gränsticka
Kilporing
Knärot
Tornseglare
Berggräsfjäril
Dvärgbägarlav
Hornvaxskinn
Kolflarnlav
Lunglav
Mörk kolflarnlav
Nordtagging
Rynkskinn
Skrovellav
Tallticka
Talltita
Tretåig hackspett
Vedskivlav
Vedtrappmossa
Violettgrå tagellav
Vitgrynig nållav
Vitplätt
Bronshjon
Bågpraktmossa
Luddlav
Mindre märgborre
Skinnlav
Spindelblomster
Stuplav
Vedticka
Spillkråka
Tjäder
Revlummer</t>
        </is>
      </c>
      <c r="W4">
        <f>HYPERLINK("https://klasma.github.io/Logging_2161/artfynd/A 24219-2025 artfynd.xlsx", "A 24219-2025")</f>
        <v/>
      </c>
      <c r="X4">
        <f>HYPERLINK("https://klasma.github.io/Logging_2161/kartor/A 24219-2025 karta.png", "A 24219-2025")</f>
        <v/>
      </c>
      <c r="Y4">
        <f>HYPERLINK("https://klasma.github.io/Logging_2161/kartor_geotiff/A 24219-2025 georefererad karta.tif", "A 24219-2025")</f>
        <v/>
      </c>
      <c r="Z4">
        <f>HYPERLINK("https://klasma.github.io/Logging_2161/knärot/A 24219-2025 karta knärot.png", "A 24219-2025")</f>
        <v/>
      </c>
      <c r="AA4">
        <f>HYPERLINK("https://klasma.github.io/Logging_2161/klagomål/A 24219-2025 FSC-klagomål.docx", "A 24219-2025")</f>
        <v/>
      </c>
      <c r="AB4">
        <f>HYPERLINK("https://klasma.github.io/Logging_2161/klagomålsmail/A 24219-2025 FSC-klagomål mail.docx", "A 24219-2025")</f>
        <v/>
      </c>
      <c r="AC4">
        <f>HYPERLINK("https://klasma.github.io/Logging_2161/tillsyn/A 24219-2025 tillsynsbegäran.docx", "A 24219-2025")</f>
        <v/>
      </c>
      <c r="AD4">
        <f>HYPERLINK("https://klasma.github.io/Logging_2161/tillsynsmail/A 24219-2025 tillsynsbegäran mail.docx", "A 24219-2025")</f>
        <v/>
      </c>
      <c r="AE4">
        <f>HYPERLINK("https://klasma.github.io/Logging_2161/fåglar/A 24219-2025 prioriterade fågelarter.docx", "A 24219-2025")</f>
        <v/>
      </c>
    </row>
    <row r="5" ht="15" customHeight="1">
      <c r="A5" t="inlineStr">
        <is>
          <t>A 52457-2025</t>
        </is>
      </c>
      <c r="B5" t="inlineStr">
        <is>
          <t>avverkningsanmälan</t>
        </is>
      </c>
      <c r="C5" t="inlineStr">
        <is>
          <t>Föryngringsavverkning</t>
        </is>
      </c>
      <c r="D5" s="1" t="n">
        <v>45954</v>
      </c>
      <c r="E5" s="1" t="n">
        <v>46326</v>
      </c>
      <c r="F5" t="inlineStr">
        <is>
          <t>GÄVLEBORGS LÄN</t>
        </is>
      </c>
      <c r="G5" t="inlineStr">
        <is>
          <t>LJUSDAL</t>
        </is>
      </c>
      <c r="H5" t="inlineStr">
        <is>
          <t>Allmännings- och besparingsskogar</t>
        </is>
      </c>
      <c r="I5" t="n">
        <v>73.8</v>
      </c>
      <c r="J5" t="n">
        <v>5</v>
      </c>
      <c r="K5" t="n">
        <v>4</v>
      </c>
      <c r="L5" t="n">
        <v>20</v>
      </c>
      <c r="M5" t="n">
        <v>5</v>
      </c>
      <c r="N5" t="n">
        <v>0</v>
      </c>
      <c r="O5" t="n">
        <v>0</v>
      </c>
      <c r="P5" t="n">
        <v>0</v>
      </c>
      <c r="Q5" t="n">
        <v>25</v>
      </c>
      <c r="R5" t="n">
        <v>5</v>
      </c>
      <c r="S5" t="n">
        <v>31</v>
      </c>
      <c r="T5" t="n">
        <v>261</v>
      </c>
      <c r="U5" t="n">
        <v>233</v>
      </c>
      <c r="V5" s="2" t="inlineStr">
        <is>
          <t>Garnlav
Knärot
Skrovlig taggsvamp
Spadskinn
Tallmusseron
Blå taggsvamp
Blågrå svartspik
Dropptaggsvamp
Dvärgbägarlav
Kolflarnlav
Lunglav
Mjölsvärting
Mörk kolflarnlav
Skrovellav
Svart taggsvamp
Svartvit taggsvamp
Tallticka
Talltita
Tretåig hackspett
Ullticka
Vaddporing
Vedflamlav
Vedskivlav
Violettgrå tagellav
Vitgrynig nållav
Luddlav
Nästlav
Stuplav
Vedticka
Spillkråka
Kungsfågel</t>
        </is>
      </c>
      <c r="W5">
        <f>HYPERLINK("https://klasma.github.io/Logging_2161/artfynd/A 52457-2025 artfynd.xlsx", "A 52457-2025")</f>
        <v/>
      </c>
      <c r="X5">
        <f>HYPERLINK("https://klasma.github.io/Logging_2161/kartor/A 52457-2025 karta.png", "A 52457-2025")</f>
        <v/>
      </c>
      <c r="Y5">
        <f>HYPERLINK("https://klasma.github.io/Logging_2161/kartor_geotiff/A 52457-2025 georefererad karta.tif", "A 52457-2025")</f>
        <v/>
      </c>
      <c r="Z5">
        <f>HYPERLINK("https://klasma.github.io/Logging_2161/knärot/A 52457-2025 karta knärot.png", "A 52457-2025")</f>
        <v/>
      </c>
      <c r="AA5">
        <f>HYPERLINK("https://klasma.github.io/Logging_2161/klagomål/A 52457-2025 FSC-klagomål.docx", "A 52457-2025")</f>
        <v/>
      </c>
      <c r="AB5">
        <f>HYPERLINK("https://klasma.github.io/Logging_2161/klagomålsmail/A 52457-2025 FSC-klagomål mail.docx", "A 52457-2025")</f>
        <v/>
      </c>
      <c r="AC5">
        <f>HYPERLINK("https://klasma.github.io/Logging_2161/tillsyn/A 52457-2025 tillsynsbegäran.docx", "A 52457-2025")</f>
        <v/>
      </c>
      <c r="AD5">
        <f>HYPERLINK("https://klasma.github.io/Logging_2161/tillsynsmail/A 52457-2025 tillsynsbegäran mail.docx", "A 52457-2025")</f>
        <v/>
      </c>
      <c r="AE5">
        <f>HYPERLINK("https://klasma.github.io/Logging_2161/fåglar/A 52457-2025 prioriterade fågelarter.docx", "A 52457-2025")</f>
        <v/>
      </c>
    </row>
    <row r="6" ht="15" customHeight="1">
      <c r="A6" t="inlineStr">
        <is>
          <t>A 25389-2025</t>
        </is>
      </c>
      <c r="B6" t="inlineStr">
        <is>
          <t>avverkningsanmälan</t>
        </is>
      </c>
      <c r="C6" t="inlineStr">
        <is>
          <t>Föryngringsavverkning</t>
        </is>
      </c>
      <c r="D6" s="1" t="n">
        <v>45800</v>
      </c>
      <c r="E6" s="1" t="n">
        <v>46326</v>
      </c>
      <c r="F6" t="inlineStr">
        <is>
          <t>GÄVLEBORGS LÄN</t>
        </is>
      </c>
      <c r="G6" t="inlineStr">
        <is>
          <t>LJUSDAL</t>
        </is>
      </c>
      <c r="H6" t="inlineStr">
        <is>
          <t>Allmännings- och besparingsskogar</t>
        </is>
      </c>
      <c r="I6" t="n">
        <v>41.1</v>
      </c>
      <c r="J6" t="n">
        <v>7</v>
      </c>
      <c r="K6" t="n">
        <v>4</v>
      </c>
      <c r="L6" t="n">
        <v>14</v>
      </c>
      <c r="M6" t="n">
        <v>3</v>
      </c>
      <c r="N6" t="n">
        <v>1</v>
      </c>
      <c r="O6" t="n">
        <v>0</v>
      </c>
      <c r="P6" t="n">
        <v>0</v>
      </c>
      <c r="Q6" t="n">
        <v>18</v>
      </c>
      <c r="R6" t="n">
        <v>4</v>
      </c>
      <c r="S6" t="n">
        <v>27</v>
      </c>
      <c r="T6" t="n">
        <v>127</v>
      </c>
      <c r="U6" t="n">
        <v>127</v>
      </c>
      <c r="V6" s="2" t="inlineStr">
        <is>
          <t>Flodpärlmussla
Garnlav
Gräddporing
Gränsticka
Blanksvart spiklav
Dropptaggsvamp
Dvärgbägarlav
Kolflarnlav
Lunglav
Mörk kolflarnlav
Skrovellav
Talltagel
Talltita
Tretåig hackspett
Ullticka
Vedflamlav
Vedskivlav
Violettgrå tagellav
Bårdlav
Nästlav
Stuplav
Vedticka
Järpe
Spillkråka
Tjäder
Grönsiska
Svartvit flugsnappare</t>
        </is>
      </c>
      <c r="W6">
        <f>HYPERLINK("https://klasma.github.io/Logging_2161/artfynd/A 25389-2025 artfynd.xlsx", "A 25389-2025")</f>
        <v/>
      </c>
      <c r="X6">
        <f>HYPERLINK("https://klasma.github.io/Logging_2161/kartor/A 25389-2025 karta.png", "A 25389-2025")</f>
        <v/>
      </c>
      <c r="Y6">
        <f>HYPERLINK("https://klasma.github.io/Logging_2161/kartor_geotiff/A 25389-2025 georefererad karta.tif", "A 25389-2025")</f>
        <v/>
      </c>
      <c r="AA6">
        <f>HYPERLINK("https://klasma.github.io/Logging_2161/klagomål/A 25389-2025 FSC-klagomål.docx", "A 25389-2025")</f>
        <v/>
      </c>
      <c r="AB6">
        <f>HYPERLINK("https://klasma.github.io/Logging_2161/klagomålsmail/A 25389-2025 FSC-klagomål mail.docx", "A 25389-2025")</f>
        <v/>
      </c>
      <c r="AC6">
        <f>HYPERLINK("https://klasma.github.io/Logging_2161/tillsyn/A 25389-2025 tillsynsbegäran.docx", "A 25389-2025")</f>
        <v/>
      </c>
      <c r="AD6">
        <f>HYPERLINK("https://klasma.github.io/Logging_2161/tillsynsmail/A 25389-2025 tillsynsbegäran mail.docx", "A 25389-2025")</f>
        <v/>
      </c>
      <c r="AE6">
        <f>HYPERLINK("https://klasma.github.io/Logging_2161/fåglar/A 25389-2025 prioriterade fågelarter.docx", "A 25389-2025")</f>
        <v/>
      </c>
    </row>
    <row r="7" ht="15" customHeight="1">
      <c r="A7" t="inlineStr">
        <is>
          <t>A 30589-2025</t>
        </is>
      </c>
      <c r="B7" t="inlineStr">
        <is>
          <t>avverkningsanmälan</t>
        </is>
      </c>
      <c r="C7" t="inlineStr">
        <is>
          <t>Föryngringsavverkning</t>
        </is>
      </c>
      <c r="D7" s="1" t="n">
        <v>45831</v>
      </c>
      <c r="E7" s="1" t="n">
        <v>46326</v>
      </c>
      <c r="F7" t="inlineStr">
        <is>
          <t>GÄVLEBORGS LÄN</t>
        </is>
      </c>
      <c r="G7" t="inlineStr">
        <is>
          <t>LJUSDAL</t>
        </is>
      </c>
      <c r="H7" t="inlineStr">
        <is>
          <t>Holmen skog AB</t>
        </is>
      </c>
      <c r="I7" t="n">
        <v>32.3</v>
      </c>
      <c r="J7" t="n">
        <v>9</v>
      </c>
      <c r="K7" t="n">
        <v>7</v>
      </c>
      <c r="L7" t="n">
        <v>10</v>
      </c>
      <c r="M7" t="n">
        <v>2</v>
      </c>
      <c r="N7" t="n">
        <v>0</v>
      </c>
      <c r="O7" t="n">
        <v>0</v>
      </c>
      <c r="P7" t="n">
        <v>0</v>
      </c>
      <c r="Q7" t="n">
        <v>12</v>
      </c>
      <c r="R7" t="n">
        <v>2</v>
      </c>
      <c r="S7" t="n">
        <v>26</v>
      </c>
      <c r="T7" t="n">
        <v>90</v>
      </c>
      <c r="U7" t="n">
        <v>90</v>
      </c>
      <c r="V7" s="2" t="inlineStr">
        <is>
          <t>Garnlav
Knärot
Dvärgbägarlav
Kolflarnlav
Lunglav
Mörk kolflarnlav
Nordtagging
Skrovellav
Vedskivlav
Vedtrappmossa
Violettgrå tagellav
Vitgrynig nållav
Bronshjon
Bårdlav
Korallrot
Plattlummer
Spindelblomster
Stuplav
Vågbandad barkbock
Ekbräken
Kärrviol
Tjäder
Tofsmes
Huggorm
Fläcknycklar
Nattviol</t>
        </is>
      </c>
      <c r="W7">
        <f>HYPERLINK("https://klasma.github.io/Logging_2161/artfynd/A 30589-2025 artfynd.xlsx", "A 30589-2025")</f>
        <v/>
      </c>
      <c r="X7">
        <f>HYPERLINK("https://klasma.github.io/Logging_2161/kartor/A 30589-2025 karta.png", "A 30589-2025")</f>
        <v/>
      </c>
      <c r="Y7">
        <f>HYPERLINK("https://klasma.github.io/Logging_2161/kartor_geotiff/A 30589-2025 georefererad karta.tif", "A 30589-2025")</f>
        <v/>
      </c>
      <c r="Z7">
        <f>HYPERLINK("https://klasma.github.io/Logging_2161/knärot/A 30589-2025 karta knärot.png", "A 30589-2025")</f>
        <v/>
      </c>
      <c r="AA7">
        <f>HYPERLINK("https://klasma.github.io/Logging_2161/klagomål/A 30589-2025 FSC-klagomål.docx", "A 30589-2025")</f>
        <v/>
      </c>
      <c r="AB7">
        <f>HYPERLINK("https://klasma.github.io/Logging_2161/klagomålsmail/A 30589-2025 FSC-klagomål mail.docx", "A 30589-2025")</f>
        <v/>
      </c>
      <c r="AC7">
        <f>HYPERLINK("https://klasma.github.io/Logging_2161/tillsyn/A 30589-2025 tillsynsbegäran.docx", "A 30589-2025")</f>
        <v/>
      </c>
      <c r="AD7">
        <f>HYPERLINK("https://klasma.github.io/Logging_2161/tillsynsmail/A 30589-2025 tillsynsbegäran mail.docx", "A 30589-2025")</f>
        <v/>
      </c>
      <c r="AE7">
        <f>HYPERLINK("https://klasma.github.io/Logging_2161/fåglar/A 30589-2025 prioriterade fågelarter.docx", "A 30589-2025")</f>
        <v/>
      </c>
    </row>
    <row r="8" ht="15" customHeight="1">
      <c r="A8" t="inlineStr">
        <is>
          <t>S 1231-2025</t>
        </is>
      </c>
      <c r="B8" t="inlineStr">
        <is>
          <t>samrådsanmälan</t>
        </is>
      </c>
      <c r="C8" t="inlineStr">
        <is>
          <t>Annan skogsbruksåtgärd</t>
        </is>
      </c>
      <c r="D8" s="1" t="n">
        <v>45761</v>
      </c>
      <c r="E8" s="1" t="n">
        <v>46326</v>
      </c>
      <c r="F8" t="inlineStr">
        <is>
          <t>GÄVLEBORGS LÄN</t>
        </is>
      </c>
      <c r="G8" t="inlineStr">
        <is>
          <t>LJUSDAL</t>
        </is>
      </c>
      <c r="H8" t="inlineStr">
        <is>
          <t>Sveaskog</t>
        </is>
      </c>
      <c r="I8" t="n">
        <v>30.9</v>
      </c>
      <c r="J8" t="n">
        <v>6</v>
      </c>
      <c r="K8" t="n">
        <v>4</v>
      </c>
      <c r="L8" t="n">
        <v>16</v>
      </c>
      <c r="M8" t="n">
        <v>4</v>
      </c>
      <c r="N8" t="n">
        <v>0</v>
      </c>
      <c r="O8" t="n">
        <v>0</v>
      </c>
      <c r="P8" t="n">
        <v>0</v>
      </c>
      <c r="Q8" t="n">
        <v>20</v>
      </c>
      <c r="R8" t="n">
        <v>4</v>
      </c>
      <c r="S8" t="n">
        <v>26</v>
      </c>
      <c r="T8" t="n">
        <v>167</v>
      </c>
      <c r="U8" t="n">
        <v>3</v>
      </c>
      <c r="V8" s="2" t="inlineStr">
        <is>
          <t>Garnlav
Gräddporing
Gränsticka
Knärot
Blågrå svartspik
Dropptaggsvamp
Dvärgbägarlav
Gammelgransskål
Kolflarnlav
Lunglav
Mörk kolflarnlav
Nordtagging
Skrovellav
Skuggblåslav
Tallticka
Talltita
Tretåig hackspett
Varglav
Vedflamlav
Vedskivlav
Grönpyrola
Norrlandslav
Nästlav
Vedticka
Spillkråka
Revlummer</t>
        </is>
      </c>
      <c r="W8">
        <f>HYPERLINK("https://klasma.github.io/Logging_2161/artfynd/S 1231-2025 artfynd.xlsx", "S 1231-2025")</f>
        <v/>
      </c>
      <c r="X8">
        <f>HYPERLINK("https://klasma.github.io/Logging_2161/kartor/S 1231-2025 karta.png", "S 1231-2025")</f>
        <v/>
      </c>
      <c r="Y8">
        <f>HYPERLINK("https://klasma.github.io/Logging_2161/kartor_geotiff/S 1231-2025 georefererad karta.tif", "S 1231-2025")</f>
        <v/>
      </c>
      <c r="Z8">
        <f>HYPERLINK("https://klasma.github.io/Logging_2161/knärot/S 1231-2025 karta knärot.png", "S 1231-2025")</f>
        <v/>
      </c>
      <c r="AA8">
        <f>HYPERLINK("https://klasma.github.io/Logging_2161/klagomål/S 1231-2025 FSC-klagomål.docx", "S 1231-2025")</f>
        <v/>
      </c>
      <c r="AB8">
        <f>HYPERLINK("https://klasma.github.io/Logging_2161/klagomålsmail/S 1231-2025 FSC-klagomål mail.docx", "S 1231-2025")</f>
        <v/>
      </c>
      <c r="AC8">
        <f>HYPERLINK("https://klasma.github.io/Logging_2161/tillsyn/S 1231-2025 tillsynsbegäran.docx", "S 1231-2025")</f>
        <v/>
      </c>
      <c r="AD8">
        <f>HYPERLINK("https://klasma.github.io/Logging_2161/tillsynsmail/S 1231-2025 tillsynsbegäran mail.docx", "S 1231-2025")</f>
        <v/>
      </c>
      <c r="AE8">
        <f>HYPERLINK("https://klasma.github.io/Logging_2161/fåglar/S 1231-2025 prioriterade fågelarter.docx", "S 1231-2025")</f>
        <v/>
      </c>
    </row>
    <row r="9" ht="15" customHeight="1">
      <c r="A9" t="inlineStr">
        <is>
          <t>A 8217-2026</t>
        </is>
      </c>
      <c r="B9" t="inlineStr">
        <is>
          <t>avverkningsanmälan</t>
        </is>
      </c>
      <c r="C9" t="inlineStr">
        <is>
          <t>Föryngringsavverkning</t>
        </is>
      </c>
      <c r="D9" s="1" t="n">
        <v>46064</v>
      </c>
      <c r="E9" s="1" t="n">
        <v>46326</v>
      </c>
      <c r="F9" t="inlineStr">
        <is>
          <t>GÄVLEBORGS LÄN</t>
        </is>
      </c>
      <c r="G9" t="inlineStr">
        <is>
          <t>HOFORS</t>
        </is>
      </c>
      <c r="I9" t="n">
        <v>5.6</v>
      </c>
      <c r="J9" t="n">
        <v>6</v>
      </c>
      <c r="K9" t="n">
        <v>11</v>
      </c>
      <c r="L9" t="n">
        <v>6</v>
      </c>
      <c r="M9" t="n">
        <v>2</v>
      </c>
      <c r="N9" t="n">
        <v>1</v>
      </c>
      <c r="O9" t="n">
        <v>0</v>
      </c>
      <c r="P9" t="n">
        <v>0</v>
      </c>
      <c r="Q9" t="n">
        <v>9</v>
      </c>
      <c r="R9" t="n">
        <v>3</v>
      </c>
      <c r="S9" t="n">
        <v>25</v>
      </c>
      <c r="T9" t="n">
        <v>55</v>
      </c>
      <c r="U9" t="n">
        <v>38</v>
      </c>
      <c r="V9" s="2" t="inlineStr">
        <is>
          <t>Bitter taggsvamp
Knärot
Ostticka
Dropptaggsvamp
Fjällig taggsvamp s.str.
Kortskaftad ärgspik
Orange taggsvamp
Tretåig hackspett
Vedtrappmossa
Björksplintborre
Blodticka
Bronshjon
Olivspindling
Rödgul trumpetsvamp
Smal svampklubba
Strimspindling
Svavelriska
Thomsons trägnagare
Vedticka
Vågbandad barkbock
Blåsippa
Kransmossa
Spillkråka
Tjäder
Revlummer</t>
        </is>
      </c>
      <c r="W9">
        <f>HYPERLINK("https://klasma.github.io/Logging_2104/artfynd/A 8217-2026 artfynd.xlsx", "A 8217-2026")</f>
        <v/>
      </c>
      <c r="X9">
        <f>HYPERLINK("https://klasma.github.io/Logging_2104/kartor/A 8217-2026 karta.png", "A 8217-2026")</f>
        <v/>
      </c>
      <c r="Y9">
        <f>HYPERLINK("https://klasma.github.io/Logging_2104/kartor_geotiff/A 8217-2026 georefererad karta.tif", "A 8217-2026")</f>
        <v/>
      </c>
      <c r="Z9">
        <f>HYPERLINK("https://klasma.github.io/Logging_2104/knärot/A 8217-2026 karta knärot.png", "A 8217-2026")</f>
        <v/>
      </c>
      <c r="AA9">
        <f>HYPERLINK("https://klasma.github.io/Logging_2104/klagomål/A 8217-2026 FSC-klagomål.docx", "A 8217-2026")</f>
        <v/>
      </c>
      <c r="AB9">
        <f>HYPERLINK("https://klasma.github.io/Logging_2104/klagomålsmail/A 8217-2026 FSC-klagomål mail.docx", "A 8217-2026")</f>
        <v/>
      </c>
      <c r="AC9">
        <f>HYPERLINK("https://klasma.github.io/Logging_2104/tillsyn/A 8217-2026 tillsynsbegäran.docx", "A 8217-2026")</f>
        <v/>
      </c>
      <c r="AD9">
        <f>HYPERLINK("https://klasma.github.io/Logging_2104/tillsynsmail/A 8217-2026 tillsynsbegäran mail.docx", "A 8217-2026")</f>
        <v/>
      </c>
      <c r="AE9">
        <f>HYPERLINK("https://klasma.github.io/Logging_2104/fåglar/A 8217-2026 prioriterade fågelarter.docx", "A 8217-2026")</f>
        <v/>
      </c>
    </row>
    <row r="10" ht="15" customHeight="1">
      <c r="A10" t="inlineStr">
        <is>
          <t>S 2213-2022</t>
        </is>
      </c>
      <c r="B10" t="inlineStr">
        <is>
          <t>samrådsanmälan</t>
        </is>
      </c>
      <c r="C10" t="inlineStr">
        <is>
          <t>Askåterföring</t>
        </is>
      </c>
      <c r="D10" s="1" t="n">
        <v>44679</v>
      </c>
      <c r="E10" s="1" t="n">
        <v>46326</v>
      </c>
      <c r="F10" t="inlineStr">
        <is>
          <t>GÄVLEBORGS LÄN</t>
        </is>
      </c>
      <c r="G10" t="inlineStr">
        <is>
          <t>SANDVIKEN</t>
        </is>
      </c>
      <c r="H10" t="inlineStr">
        <is>
          <t>Sveaskog</t>
        </is>
      </c>
      <c r="I10" t="n">
        <v>251.3</v>
      </c>
      <c r="J10" t="n">
        <v>15</v>
      </c>
      <c r="K10" t="n">
        <v>6</v>
      </c>
      <c r="L10" t="n">
        <v>5</v>
      </c>
      <c r="M10" t="n">
        <v>2</v>
      </c>
      <c r="N10" t="n">
        <v>0</v>
      </c>
      <c r="O10" t="n">
        <v>0</v>
      </c>
      <c r="P10" t="n">
        <v>0</v>
      </c>
      <c r="Q10" t="n">
        <v>7</v>
      </c>
      <c r="R10" t="n">
        <v>2</v>
      </c>
      <c r="S10" t="n">
        <v>24</v>
      </c>
      <c r="T10" t="n">
        <v>58</v>
      </c>
      <c r="U10" t="n">
        <v>25</v>
      </c>
      <c r="V10" s="2" t="inlineStr">
        <is>
          <t>Garnlav
Knärot
Kattfotslav
Lavskrika
Tallticka
Talltita
Vitfläckig guldvinge
Björksplintborre
Bronshjon
Plattlummer
Toppvaxing
Vedticka
Vågbandad barkbock
Blåsippa
Järpe
Mattlummer
Spillkråka
Tjäder
Havsörn
Orre
Vanlig groda
Fläcknycklar
Revlummer
Äkta lopplummer</t>
        </is>
      </c>
      <c r="W10">
        <f>HYPERLINK("https://klasma.github.io/Logging_2181/artfynd/S 2213-2022 artfynd.xlsx", "S 2213-2022")</f>
        <v/>
      </c>
      <c r="X10">
        <f>HYPERLINK("https://klasma.github.io/Logging_2181/kartor/S 2213-2022 karta.png", "S 2213-2022")</f>
        <v/>
      </c>
      <c r="Y10">
        <f>HYPERLINK("https://klasma.github.io/Logging_2181/kartor_geotiff/S 2213-2022 georefererad karta.tif", "S 2213-2022")</f>
        <v/>
      </c>
      <c r="Z10">
        <f>HYPERLINK("https://klasma.github.io/Logging_2181/knärot/S 2213-2022 karta knärot.png", "S 2213-2022")</f>
        <v/>
      </c>
      <c r="AA10">
        <f>HYPERLINK("https://klasma.github.io/Logging_2181/klagomål/S 2213-2022 FSC-klagomål.docx", "S 2213-2022")</f>
        <v/>
      </c>
      <c r="AB10">
        <f>HYPERLINK("https://klasma.github.io/Logging_2181/klagomålsmail/S 2213-2022 FSC-klagomål mail.docx", "S 2213-2022")</f>
        <v/>
      </c>
      <c r="AC10">
        <f>HYPERLINK("https://klasma.github.io/Logging_2181/tillsyn/S 2213-2022 tillsynsbegäran.docx", "S 2213-2022")</f>
        <v/>
      </c>
      <c r="AD10">
        <f>HYPERLINK("https://klasma.github.io/Logging_2181/tillsynsmail/S 2213-2022 tillsynsbegäran mail.docx", "S 2213-2022")</f>
        <v/>
      </c>
      <c r="AE10">
        <f>HYPERLINK("https://klasma.github.io/Logging_2181/fåglar/S 2213-2022 prioriterade fågelarter.docx", "S 2213-2022")</f>
        <v/>
      </c>
    </row>
    <row r="11" ht="15" customHeight="1">
      <c r="A11" t="inlineStr">
        <is>
          <t>S 571-2022</t>
        </is>
      </c>
      <c r="B11" t="inlineStr">
        <is>
          <t>samrådsanmälan</t>
        </is>
      </c>
      <c r="C11" t="inlineStr">
        <is>
          <t>Annan skogsbruksåtgärd</t>
        </is>
      </c>
      <c r="D11" s="1" t="n">
        <v>44592</v>
      </c>
      <c r="E11" s="1" t="n">
        <v>46326</v>
      </c>
      <c r="F11" t="inlineStr">
        <is>
          <t>GÄVLEBORGS LÄN</t>
        </is>
      </c>
      <c r="G11" t="inlineStr">
        <is>
          <t>OVANÅKER</t>
        </is>
      </c>
      <c r="H11" t="inlineStr">
        <is>
          <t>Bergvik skog väst AB</t>
        </is>
      </c>
      <c r="I11" t="n">
        <v>52.5</v>
      </c>
      <c r="J11" t="n">
        <v>4</v>
      </c>
      <c r="K11" t="n">
        <v>5</v>
      </c>
      <c r="L11" t="n">
        <v>15</v>
      </c>
      <c r="M11" t="n">
        <v>3</v>
      </c>
      <c r="N11" t="n">
        <v>0</v>
      </c>
      <c r="O11" t="n">
        <v>0</v>
      </c>
      <c r="P11" t="n">
        <v>0</v>
      </c>
      <c r="Q11" t="n">
        <v>18</v>
      </c>
      <c r="R11" t="n">
        <v>3</v>
      </c>
      <c r="S11" t="n">
        <v>24</v>
      </c>
      <c r="T11" t="n">
        <v>53</v>
      </c>
      <c r="U11" t="n">
        <v>0</v>
      </c>
      <c r="V11" s="2" t="inlineStr">
        <is>
          <t>Garnlav
Knärot
Skrovlig taggsvamp
Blanksvart spiklav
Dropptaggsvamp
Dvärgbägarlav
Kortskaftad ärgspik
Mörk kolflarnlav
Nordtagging
Skuggblåslav
Tallticka
Tretåig hackspett
Ullticka
Varglav
Vedflamlav
Vedskivlav
Vedtrappmossa
Vitgrynig nållav
Bollvitmossa
Flagellkvastmossa
Mindre märgborre
Nästlav
Vedticka
Tjäder</t>
        </is>
      </c>
      <c r="W11">
        <f>HYPERLINK("https://klasma.github.io/Logging_2121/artfynd/S 571-2022 artfynd.xlsx", "S 571-2022")</f>
        <v/>
      </c>
      <c r="X11">
        <f>HYPERLINK("https://klasma.github.io/Logging_2121/kartor/S 571-2022 karta.png", "S 571-2022")</f>
        <v/>
      </c>
      <c r="Y11">
        <f>HYPERLINK("https://klasma.github.io/Logging_2121/kartor_geotiff/S 571-2022 georefererad karta.tif", "S 571-2022")</f>
        <v/>
      </c>
      <c r="Z11">
        <f>HYPERLINK("https://klasma.github.io/Logging_2121/knärot/S 571-2022 karta knärot.png", "S 571-2022")</f>
        <v/>
      </c>
      <c r="AA11">
        <f>HYPERLINK("https://klasma.github.io/Logging_2121/klagomål/S 571-2022 FSC-klagomål.docx", "S 571-2022")</f>
        <v/>
      </c>
      <c r="AB11">
        <f>HYPERLINK("https://klasma.github.io/Logging_2121/klagomålsmail/S 571-2022 FSC-klagomål mail.docx", "S 571-2022")</f>
        <v/>
      </c>
      <c r="AC11">
        <f>HYPERLINK("https://klasma.github.io/Logging_2121/tillsyn/S 571-2022 tillsynsbegäran.docx", "S 571-2022")</f>
        <v/>
      </c>
      <c r="AD11">
        <f>HYPERLINK("https://klasma.github.io/Logging_2121/tillsynsmail/S 571-2022 tillsynsbegäran mail.docx", "S 571-2022")</f>
        <v/>
      </c>
      <c r="AE11">
        <f>HYPERLINK("https://klasma.github.io/Logging_2121/fåglar/S 571-2022 prioriterade fågelarter.docx", "S 571-2022")</f>
        <v/>
      </c>
    </row>
    <row r="12" ht="15" customHeight="1">
      <c r="A12" t="inlineStr">
        <is>
          <t>A 13021-2022</t>
        </is>
      </c>
      <c r="B12" t="inlineStr">
        <is>
          <t>avverkningsanmälan</t>
        </is>
      </c>
      <c r="C12" t="inlineStr">
        <is>
          <t>Föryngringsavverkning</t>
        </is>
      </c>
      <c r="D12" s="1" t="n">
        <v>44643</v>
      </c>
      <c r="E12" s="1" t="n">
        <v>46326</v>
      </c>
      <c r="F12" t="inlineStr">
        <is>
          <t>GÄVLEBORGS LÄN</t>
        </is>
      </c>
      <c r="G12" t="inlineStr">
        <is>
          <t>HUDIKSVALL</t>
        </is>
      </c>
      <c r="I12" t="n">
        <v>8.1</v>
      </c>
      <c r="J12" t="n">
        <v>5</v>
      </c>
      <c r="K12" t="n">
        <v>6</v>
      </c>
      <c r="L12" t="n">
        <v>11</v>
      </c>
      <c r="M12" t="n">
        <v>2</v>
      </c>
      <c r="N12" t="n">
        <v>2</v>
      </c>
      <c r="O12" t="n">
        <v>0</v>
      </c>
      <c r="P12" t="n">
        <v>0</v>
      </c>
      <c r="Q12" t="n">
        <v>15</v>
      </c>
      <c r="R12" t="n">
        <v>4</v>
      </c>
      <c r="S12" t="n">
        <v>22</v>
      </c>
      <c r="T12" t="n">
        <v>50</v>
      </c>
      <c r="U12" t="n">
        <v>33</v>
      </c>
      <c r="V12" s="2" t="inlineStr">
        <is>
          <t>Bombmurkla
Brödtaggsvamp
Kejsarskivling
Porslinsblå spindling
Dofttaggsvamp
Fjällig taggsvamp s.str.
Gultoppig fingersvamp
Kattfotslav
Kryddspindling
Skarp dropptaggsvamp
Skogssvingel
Talltita
Tretåig hackspett
Ullticka
Vedskivlav
Guldkremla
Gulnande spindling
Rödgul trumpetsvamp
Svavelriska
Tvåblad
Zontaggsvamp
Fläcknycklar</t>
        </is>
      </c>
      <c r="W12">
        <f>HYPERLINK("https://klasma.github.io/Logging_2184/artfynd/A 13021-2022 artfynd.xlsx", "A 13021-2022")</f>
        <v/>
      </c>
      <c r="X12">
        <f>HYPERLINK("https://klasma.github.io/Logging_2184/kartor/A 13021-2022 karta.png", "A 13021-2022")</f>
        <v/>
      </c>
      <c r="Y12">
        <f>HYPERLINK("https://klasma.github.io/Logging_2184/kartor_geotiff/A 13021-2022 georefererad karta.tif", "A 13021-2022")</f>
        <v/>
      </c>
      <c r="AA12">
        <f>HYPERLINK("https://klasma.github.io/Logging_2184/klagomål/A 13021-2022 FSC-klagomål.docx", "A 13021-2022")</f>
        <v/>
      </c>
      <c r="AB12">
        <f>HYPERLINK("https://klasma.github.io/Logging_2184/klagomålsmail/A 13021-2022 FSC-klagomål mail.docx", "A 13021-2022")</f>
        <v/>
      </c>
      <c r="AC12">
        <f>HYPERLINK("https://klasma.github.io/Logging_2184/tillsyn/A 13021-2022 tillsynsbegäran.docx", "A 13021-2022")</f>
        <v/>
      </c>
      <c r="AD12">
        <f>HYPERLINK("https://klasma.github.io/Logging_2184/tillsynsmail/A 13021-2022 tillsynsbegäran mail.docx", "A 13021-2022")</f>
        <v/>
      </c>
      <c r="AE12">
        <f>HYPERLINK("https://klasma.github.io/Logging_2184/fåglar/A 13021-2022 prioriterade fågelarter.docx", "A 13021-2022")</f>
        <v/>
      </c>
    </row>
    <row r="13" ht="15" customHeight="1">
      <c r="A13" t="inlineStr">
        <is>
          <t>A 37576-2025</t>
        </is>
      </c>
      <c r="B13" t="inlineStr">
        <is>
          <t>avverkningsanmälan</t>
        </is>
      </c>
      <c r="C13" t="inlineStr">
        <is>
          <t>Föryngringsavverkning</t>
        </is>
      </c>
      <c r="D13" s="1" t="n">
        <v>45880</v>
      </c>
      <c r="E13" s="1" t="n">
        <v>46326</v>
      </c>
      <c r="F13" t="inlineStr">
        <is>
          <t>GÄVLEBORGS LÄN</t>
        </is>
      </c>
      <c r="G13" t="inlineStr">
        <is>
          <t>HUDIKSVALL</t>
        </is>
      </c>
      <c r="I13" t="n">
        <v>8</v>
      </c>
      <c r="J13" t="n">
        <v>3</v>
      </c>
      <c r="K13" t="n">
        <v>5</v>
      </c>
      <c r="L13" t="n">
        <v>9</v>
      </c>
      <c r="M13" t="n">
        <v>4</v>
      </c>
      <c r="N13" t="n">
        <v>0</v>
      </c>
      <c r="O13" t="n">
        <v>0</v>
      </c>
      <c r="P13" t="n">
        <v>0</v>
      </c>
      <c r="Q13" t="n">
        <v>13</v>
      </c>
      <c r="R13" t="n">
        <v>4</v>
      </c>
      <c r="S13" t="n">
        <v>22</v>
      </c>
      <c r="T13" t="n">
        <v>33</v>
      </c>
      <c r="U13" t="n">
        <v>32</v>
      </c>
      <c r="V13" s="2" t="inlineStr">
        <is>
          <t>Aspgelélav
Asptagging
Garnlav
Knärot
Aspskinn
Dvärgbägarlav
Kandelabersvamp
Lunglav
Skarp dropptaggsvamp
Talltita
Ullticka
Veckticka
Vågticka
Björksplintborre
Grönpyrola
Mindre märgborre
Rävticka
Skinnlav
Kransmossa
Linnea
Spillkråka
Timmerticka</t>
        </is>
      </c>
      <c r="W13">
        <f>HYPERLINK("https://klasma.github.io/Logging_2184/artfynd/A 37576-2025 artfynd.xlsx", "A 37576-2025")</f>
        <v/>
      </c>
      <c r="X13">
        <f>HYPERLINK("https://klasma.github.io/Logging_2184/kartor/A 37576-2025 karta.png", "A 37576-2025")</f>
        <v/>
      </c>
      <c r="Y13">
        <f>HYPERLINK("https://klasma.github.io/Logging_2184/kartor_geotiff/A 37576-2025 georefererad karta.tif", "A 37576-2025")</f>
        <v/>
      </c>
      <c r="Z13">
        <f>HYPERLINK("https://klasma.github.io/Logging_2184/knärot/A 37576-2025 karta knärot.png", "A 37576-2025")</f>
        <v/>
      </c>
      <c r="AA13">
        <f>HYPERLINK("https://klasma.github.io/Logging_2184/klagomål/A 37576-2025 FSC-klagomål.docx", "A 37576-2025")</f>
        <v/>
      </c>
      <c r="AB13">
        <f>HYPERLINK("https://klasma.github.io/Logging_2184/klagomålsmail/A 37576-2025 FSC-klagomål mail.docx", "A 37576-2025")</f>
        <v/>
      </c>
      <c r="AC13">
        <f>HYPERLINK("https://klasma.github.io/Logging_2184/tillsyn/A 37576-2025 tillsynsbegäran.docx", "A 37576-2025")</f>
        <v/>
      </c>
      <c r="AD13">
        <f>HYPERLINK("https://klasma.github.io/Logging_2184/tillsynsmail/A 37576-2025 tillsynsbegäran mail.docx", "A 37576-2025")</f>
        <v/>
      </c>
      <c r="AE13">
        <f>HYPERLINK("https://klasma.github.io/Logging_2184/fåglar/A 37576-2025 prioriterade fågelarter.docx", "A 37576-2025")</f>
        <v/>
      </c>
    </row>
    <row r="14" ht="15" customHeight="1">
      <c r="A14" t="inlineStr">
        <is>
          <t>A 24424-2026</t>
        </is>
      </c>
      <c r="B14" t="inlineStr">
        <is>
          <t>avverkningsanmälan</t>
        </is>
      </c>
      <c r="C14" t="inlineStr">
        <is>
          <t>Föryngringsavverkning</t>
        </is>
      </c>
      <c r="D14" s="1" t="n">
        <v>46168</v>
      </c>
      <c r="E14" s="1" t="n">
        <v>46326</v>
      </c>
      <c r="F14" t="inlineStr">
        <is>
          <t>GÄVLEBORGS LÄN</t>
        </is>
      </c>
      <c r="G14" t="inlineStr">
        <is>
          <t>LJUSDAL</t>
        </is>
      </c>
      <c r="H14" t="inlineStr">
        <is>
          <t>Bergvik skog väst AB</t>
        </is>
      </c>
      <c r="I14" t="n">
        <v>9</v>
      </c>
      <c r="J14" t="n">
        <v>3</v>
      </c>
      <c r="K14" t="n">
        <v>5</v>
      </c>
      <c r="L14" t="n">
        <v>14</v>
      </c>
      <c r="M14" t="n">
        <v>3</v>
      </c>
      <c r="N14" t="n">
        <v>0</v>
      </c>
      <c r="O14" t="n">
        <v>0</v>
      </c>
      <c r="P14" t="n">
        <v>0</v>
      </c>
      <c r="Q14" t="n">
        <v>17</v>
      </c>
      <c r="R14" t="n">
        <v>3</v>
      </c>
      <c r="S14" t="n">
        <v>22</v>
      </c>
      <c r="T14" t="n">
        <v>66</v>
      </c>
      <c r="U14" t="n">
        <v>66</v>
      </c>
      <c r="V14" s="2" t="inlineStr">
        <is>
          <t>Garnlav
Gränsticka
Knärot
Dropptaggsvamp
Duvhök
Kolflarnlav
Lunglav
Mörk kolflarnlav
Nordtagging
Rosenticka
Rynkskinn
Tretåig hackspett
Ullticka
Vedtrappmossa
Violettgrå tagellav
Vitgrynig nållav
Vitplätt
Gulnål
Korallblylav
Skinnlav
Stor aspticka
Stuplav</t>
        </is>
      </c>
      <c r="W14">
        <f>HYPERLINK("https://klasma.github.io/Logging_2161/artfynd/A 24424-2026 artfynd.xlsx", "A 24424-2026")</f>
        <v/>
      </c>
      <c r="X14">
        <f>HYPERLINK("https://klasma.github.io/Logging_2161/kartor/A 24424-2026 karta.png", "A 24424-2026")</f>
        <v/>
      </c>
      <c r="Y14">
        <f>HYPERLINK("https://klasma.github.io/Logging_2161/kartor_geotiff/A 24424-2026 georefererad karta.tif", "A 24424-2026")</f>
        <v/>
      </c>
      <c r="Z14">
        <f>HYPERLINK("https://klasma.github.io/Logging_2161/knärot/A 24424-2026 karta knärot.png", "A 24424-2026")</f>
        <v/>
      </c>
      <c r="AA14">
        <f>HYPERLINK("https://klasma.github.io/Logging_2161/klagomål/A 24424-2026 FSC-klagomål.docx", "A 24424-2026")</f>
        <v/>
      </c>
      <c r="AB14">
        <f>HYPERLINK("https://klasma.github.io/Logging_2161/klagomålsmail/A 24424-2026 FSC-klagomål mail.docx", "A 24424-2026")</f>
        <v/>
      </c>
      <c r="AC14">
        <f>HYPERLINK("https://klasma.github.io/Logging_2161/tillsyn/A 24424-2026 tillsynsbegäran.docx", "A 24424-2026")</f>
        <v/>
      </c>
      <c r="AD14">
        <f>HYPERLINK("https://klasma.github.io/Logging_2161/tillsynsmail/A 24424-2026 tillsynsbegäran mail.docx", "A 24424-2026")</f>
        <v/>
      </c>
      <c r="AE14">
        <f>HYPERLINK("https://klasma.github.io/Logging_2161/fåglar/A 24424-2026 prioriterade fågelarter.docx", "A 24424-2026")</f>
        <v/>
      </c>
    </row>
    <row r="15" ht="15" customHeight="1">
      <c r="A15" t="inlineStr">
        <is>
          <t>A 9021-2025</t>
        </is>
      </c>
      <c r="B15" t="inlineStr">
        <is>
          <t>avverkningsanmälan</t>
        </is>
      </c>
      <c r="C15" t="inlineStr">
        <is>
          <t>Föryngringsavverkning</t>
        </is>
      </c>
      <c r="D15" s="1" t="n">
        <v>45713</v>
      </c>
      <c r="E15" s="1" t="n">
        <v>46326</v>
      </c>
      <c r="F15" t="inlineStr">
        <is>
          <t>GÄVLEBORGS LÄN</t>
        </is>
      </c>
      <c r="G15" t="inlineStr">
        <is>
          <t>LJUSDAL</t>
        </is>
      </c>
      <c r="I15" t="n">
        <v>16.5</v>
      </c>
      <c r="J15" t="n">
        <v>4</v>
      </c>
      <c r="K15" t="n">
        <v>3</v>
      </c>
      <c r="L15" t="n">
        <v>14</v>
      </c>
      <c r="M15" t="n">
        <v>3</v>
      </c>
      <c r="N15" t="n">
        <v>0</v>
      </c>
      <c r="O15" t="n">
        <v>0</v>
      </c>
      <c r="P15" t="n">
        <v>0</v>
      </c>
      <c r="Q15" t="n">
        <v>17</v>
      </c>
      <c r="R15" t="n">
        <v>3</v>
      </c>
      <c r="S15" t="n">
        <v>22</v>
      </c>
      <c r="T15" t="n">
        <v>136</v>
      </c>
      <c r="U15" t="n">
        <v>136</v>
      </c>
      <c r="V15" s="2" t="inlineStr">
        <is>
          <t>Garnlav
Gräddporing
Knärot
Blå taggsvamp
Dropptaggsvamp
Dvärgbägarlav
Kolflarnlav
Lunglav
Mörk kolflarnlav
Nordtagging
Talltagel
Tallticka
Tretåig hackspett
Ullticka
Vaddporing
Vedflamlav
Vedskivlav
Blodticka
Mindre märgborre
Vedticka
Tjäder
Revlummer</t>
        </is>
      </c>
      <c r="W15">
        <f>HYPERLINK("https://klasma.github.io/Logging_2161/artfynd/A 9021-2025 artfynd.xlsx", "A 9021-2025")</f>
        <v/>
      </c>
      <c r="X15">
        <f>HYPERLINK("https://klasma.github.io/Logging_2161/kartor/A 9021-2025 karta.png", "A 9021-2025")</f>
        <v/>
      </c>
      <c r="Y15">
        <f>HYPERLINK("https://klasma.github.io/Logging_2161/kartor_geotiff/A 9021-2025 georefererad karta.tif", "A 9021-2025")</f>
        <v/>
      </c>
      <c r="Z15">
        <f>HYPERLINK("https://klasma.github.io/Logging_2161/knärot/A 9021-2025 karta knärot.png", "A 9021-2025")</f>
        <v/>
      </c>
      <c r="AA15">
        <f>HYPERLINK("https://klasma.github.io/Logging_2161/klagomål/A 9021-2025 FSC-klagomål.docx", "A 9021-2025")</f>
        <v/>
      </c>
      <c r="AB15">
        <f>HYPERLINK("https://klasma.github.io/Logging_2161/klagomålsmail/A 9021-2025 FSC-klagomål mail.docx", "A 9021-2025")</f>
        <v/>
      </c>
      <c r="AC15">
        <f>HYPERLINK("https://klasma.github.io/Logging_2161/tillsyn/A 9021-2025 tillsynsbegäran.docx", "A 9021-2025")</f>
        <v/>
      </c>
      <c r="AD15">
        <f>HYPERLINK("https://klasma.github.io/Logging_2161/tillsynsmail/A 9021-2025 tillsynsbegäran mail.docx", "A 9021-2025")</f>
        <v/>
      </c>
      <c r="AE15">
        <f>HYPERLINK("https://klasma.github.io/Logging_2161/fåglar/A 9021-2025 prioriterade fågelarter.docx", "A 9021-2025")</f>
        <v/>
      </c>
    </row>
    <row r="16" ht="15" customHeight="1">
      <c r="A16" t="inlineStr">
        <is>
          <t>A 21958-2025</t>
        </is>
      </c>
      <c r="B16" t="inlineStr">
        <is>
          <t>avverkningsanmälan</t>
        </is>
      </c>
      <c r="C16" t="inlineStr">
        <is>
          <t>Föryngringsavverkning</t>
        </is>
      </c>
      <c r="D16" s="1" t="n">
        <v>45784</v>
      </c>
      <c r="E16" s="1" t="n">
        <v>46326</v>
      </c>
      <c r="F16" t="inlineStr">
        <is>
          <t>GÄVLEBORGS LÄN</t>
        </is>
      </c>
      <c r="G16" t="inlineStr">
        <is>
          <t>HOFORS</t>
        </is>
      </c>
      <c r="I16" t="n">
        <v>2.8</v>
      </c>
      <c r="J16" t="n">
        <v>3</v>
      </c>
      <c r="K16" t="n">
        <v>14</v>
      </c>
      <c r="L16" t="n">
        <v>3</v>
      </c>
      <c r="M16" t="n">
        <v>1</v>
      </c>
      <c r="N16" t="n">
        <v>2</v>
      </c>
      <c r="O16" t="n">
        <v>0</v>
      </c>
      <c r="P16" t="n">
        <v>0</v>
      </c>
      <c r="Q16" t="n">
        <v>6</v>
      </c>
      <c r="R16" t="n">
        <v>3</v>
      </c>
      <c r="S16" t="n">
        <v>22</v>
      </c>
      <c r="T16" t="n">
        <v>93</v>
      </c>
      <c r="U16" t="n">
        <v>64</v>
      </c>
      <c r="V16" s="2" t="inlineStr">
        <is>
          <t>Ask
Skogsalm
Knärot
Skarp dropptaggsvamp
Ullticka
Vedtrappmossa
Anisspindling
Blodvaxing
Bronshjon
Bågpraktmossa
Källpraktmossa
Mörk husmossa
Olivspindling
Rödgul trumpetsvamp
Skogshakmossa
Smal svampklubba
Svavelriska
Thomsons trägnagare
Tibast
Vedticka
Blåsippa
Fläcknycklar</t>
        </is>
      </c>
      <c r="W16">
        <f>HYPERLINK("https://klasma.github.io/Logging_2104/artfynd/A 21958-2025 artfynd.xlsx", "A 21958-2025")</f>
        <v/>
      </c>
      <c r="X16">
        <f>HYPERLINK("https://klasma.github.io/Logging_2104/kartor/A 21958-2025 karta.png", "A 21958-2025")</f>
        <v/>
      </c>
      <c r="Y16">
        <f>HYPERLINK("https://klasma.github.io/Logging_2104/kartor_geotiff/A 21958-2025 georefererad karta.tif", "A 21958-2025")</f>
        <v/>
      </c>
      <c r="Z16">
        <f>HYPERLINK("https://klasma.github.io/Logging_2104/knärot/A 21958-2025 karta knärot.png", "A 21958-2025")</f>
        <v/>
      </c>
      <c r="AA16">
        <f>HYPERLINK("https://klasma.github.io/Logging_2104/klagomål/A 21958-2025 FSC-klagomål.docx", "A 21958-2025")</f>
        <v/>
      </c>
      <c r="AB16">
        <f>HYPERLINK("https://klasma.github.io/Logging_2104/klagomålsmail/A 21958-2025 FSC-klagomål mail.docx", "A 21958-2025")</f>
        <v/>
      </c>
      <c r="AC16">
        <f>HYPERLINK("https://klasma.github.io/Logging_2104/tillsyn/A 21958-2025 tillsynsbegäran.docx", "A 21958-2025")</f>
        <v/>
      </c>
      <c r="AD16">
        <f>HYPERLINK("https://klasma.github.io/Logging_2104/tillsynsmail/A 21958-2025 tillsynsbegäran mail.docx", "A 21958-2025")</f>
        <v/>
      </c>
    </row>
    <row r="17" ht="15" customHeight="1">
      <c r="A17" t="inlineStr">
        <is>
          <t>A 23984-2022</t>
        </is>
      </c>
      <c r="B17" t="inlineStr">
        <is>
          <t>avverkningsanmälan</t>
        </is>
      </c>
      <c r="C17" t="inlineStr">
        <is>
          <t>Föryngringsavverkning</t>
        </is>
      </c>
      <c r="D17" s="1" t="n">
        <v>44722</v>
      </c>
      <c r="E17" s="1" t="n">
        <v>46326</v>
      </c>
      <c r="F17" t="inlineStr">
        <is>
          <t>GÄVLEBORGS LÄN</t>
        </is>
      </c>
      <c r="G17" t="inlineStr">
        <is>
          <t>LJUSDAL</t>
        </is>
      </c>
      <c r="I17" t="n">
        <v>36.7</v>
      </c>
      <c r="J17" t="n">
        <v>3</v>
      </c>
      <c r="K17" t="n">
        <v>3</v>
      </c>
      <c r="L17" t="n">
        <v>14</v>
      </c>
      <c r="M17" t="n">
        <v>3</v>
      </c>
      <c r="N17" t="n">
        <v>0</v>
      </c>
      <c r="O17" t="n">
        <v>0</v>
      </c>
      <c r="P17" t="n">
        <v>0</v>
      </c>
      <c r="Q17" t="n">
        <v>17</v>
      </c>
      <c r="R17" t="n">
        <v>3</v>
      </c>
      <c r="S17" t="n">
        <v>21</v>
      </c>
      <c r="T17" t="n">
        <v>45</v>
      </c>
      <c r="U17" t="n">
        <v>32</v>
      </c>
      <c r="V17" s="2" t="inlineStr">
        <is>
          <t>Garnlav
Gränsticka
Knärot
Blanksvart spiklav
Dropptaggsvamp
Dvärgbägarlav
Kolflarnlav
Kortskaftad ärgspik
Lunglav
Skuggblåslav
Stjärntagging
Ullticka
Vedskivlav
Vedtrappmossa
Violettgrå tagellav
Vitgrynig nållav
Vågticka
Bollvitmossa
Skinnlav
Spindelblomster
Nattviol</t>
        </is>
      </c>
      <c r="W17">
        <f>HYPERLINK("https://klasma.github.io/Logging_2161/artfynd/A 23984-2022 artfynd.xlsx", "A 23984-2022")</f>
        <v/>
      </c>
      <c r="X17">
        <f>HYPERLINK("https://klasma.github.io/Logging_2161/kartor/A 23984-2022 karta.png", "A 23984-2022")</f>
        <v/>
      </c>
      <c r="Y17">
        <f>HYPERLINK("https://klasma.github.io/Logging_2161/kartor_geotiff/A 23984-2022 georefererad karta.tif", "A 23984-2022")</f>
        <v/>
      </c>
      <c r="Z17">
        <f>HYPERLINK("https://klasma.github.io/Logging_2161/knärot/A 23984-2022 karta knärot.png", "A 23984-2022")</f>
        <v/>
      </c>
      <c r="AA17">
        <f>HYPERLINK("https://klasma.github.io/Logging_2161/klagomål/A 23984-2022 FSC-klagomål.docx", "A 23984-2022")</f>
        <v/>
      </c>
      <c r="AB17">
        <f>HYPERLINK("https://klasma.github.io/Logging_2161/klagomålsmail/A 23984-2022 FSC-klagomål mail.docx", "A 23984-2022")</f>
        <v/>
      </c>
      <c r="AC17">
        <f>HYPERLINK("https://klasma.github.io/Logging_2161/tillsyn/A 23984-2022 tillsynsbegäran.docx", "A 23984-2022")</f>
        <v/>
      </c>
      <c r="AD17">
        <f>HYPERLINK("https://klasma.github.io/Logging_2161/tillsynsmail/A 23984-2022 tillsynsbegäran mail.docx", "A 23984-2022")</f>
        <v/>
      </c>
    </row>
    <row r="18" ht="15" customHeight="1">
      <c r="A18" t="inlineStr">
        <is>
          <t>A 8590-2025</t>
        </is>
      </c>
      <c r="B18" t="inlineStr">
        <is>
          <t>avverkningsanmälan</t>
        </is>
      </c>
      <c r="C18" t="inlineStr">
        <is>
          <t>Föryngringsavverkning</t>
        </is>
      </c>
      <c r="D18" s="1" t="n">
        <v>45709</v>
      </c>
      <c r="E18" s="1" t="n">
        <v>46326</v>
      </c>
      <c r="F18" t="inlineStr">
        <is>
          <t>GÄVLEBORGS LÄN</t>
        </is>
      </c>
      <c r="G18" t="inlineStr">
        <is>
          <t>LJUSDAL</t>
        </is>
      </c>
      <c r="I18" t="n">
        <v>64.3</v>
      </c>
      <c r="J18" t="n">
        <v>6</v>
      </c>
      <c r="K18" t="n">
        <v>5</v>
      </c>
      <c r="L18" t="n">
        <v>11</v>
      </c>
      <c r="M18" t="n">
        <v>3</v>
      </c>
      <c r="N18" t="n">
        <v>0</v>
      </c>
      <c r="O18" t="n">
        <v>0</v>
      </c>
      <c r="P18" t="n">
        <v>0</v>
      </c>
      <c r="Q18" t="n">
        <v>14</v>
      </c>
      <c r="R18" t="n">
        <v>3</v>
      </c>
      <c r="S18" t="n">
        <v>21</v>
      </c>
      <c r="T18" t="n">
        <v>223</v>
      </c>
      <c r="U18" t="n">
        <v>223</v>
      </c>
      <c r="V18" s="2" t="inlineStr">
        <is>
          <t>Garnlav
Gräddporing
Knärot
Dropptaggsvamp
Kolflarnlav
Lunglav
Mörk kolflarnlav
Skrovellav
Tallticka
Talltita
Tretåig hackspett
Ullticka
Vedskivlav
Vitgrynig nållav
Luddlav
Mindre märgborre
Spindelblomster
Stuplav
Vedticka
Tjäder
Kungsfågel</t>
        </is>
      </c>
      <c r="W18">
        <f>HYPERLINK("https://klasma.github.io/Logging_2161/artfynd/A 8590-2025 artfynd.xlsx", "A 8590-2025")</f>
        <v/>
      </c>
      <c r="X18">
        <f>HYPERLINK("https://klasma.github.io/Logging_2161/kartor/A 8590-2025 karta.png", "A 8590-2025")</f>
        <v/>
      </c>
      <c r="Y18">
        <f>HYPERLINK("https://klasma.github.io/Logging_2161/kartor_geotiff/A 8590-2025 georefererad karta.tif", "A 8590-2025")</f>
        <v/>
      </c>
      <c r="Z18">
        <f>HYPERLINK("https://klasma.github.io/Logging_2161/knärot/A 8590-2025 karta knärot.png", "A 8590-2025")</f>
        <v/>
      </c>
      <c r="AA18">
        <f>HYPERLINK("https://klasma.github.io/Logging_2161/klagomål/A 8590-2025 FSC-klagomål.docx", "A 8590-2025")</f>
        <v/>
      </c>
      <c r="AB18">
        <f>HYPERLINK("https://klasma.github.io/Logging_2161/klagomålsmail/A 8590-2025 FSC-klagomål mail.docx", "A 8590-2025")</f>
        <v/>
      </c>
      <c r="AC18">
        <f>HYPERLINK("https://klasma.github.io/Logging_2161/tillsyn/A 8590-2025 tillsynsbegäran.docx", "A 8590-2025")</f>
        <v/>
      </c>
      <c r="AD18">
        <f>HYPERLINK("https://klasma.github.io/Logging_2161/tillsynsmail/A 8590-2025 tillsynsbegäran mail.docx", "A 8590-2025")</f>
        <v/>
      </c>
      <c r="AE18">
        <f>HYPERLINK("https://klasma.github.io/Logging_2161/fåglar/A 8590-2025 prioriterade fågelarter.docx", "A 8590-2025")</f>
        <v/>
      </c>
    </row>
    <row r="19" ht="15" customHeight="1">
      <c r="A19" t="inlineStr">
        <is>
          <t>A 77-2025</t>
        </is>
      </c>
      <c r="B19" t="inlineStr">
        <is>
          <t>avverkningsanmälan</t>
        </is>
      </c>
      <c r="C19" t="inlineStr">
        <is>
          <t>Föryngringsavverkning</t>
        </is>
      </c>
      <c r="D19" s="1" t="n">
        <v>45659</v>
      </c>
      <c r="E19" s="1" t="n">
        <v>46326</v>
      </c>
      <c r="F19" t="inlineStr">
        <is>
          <t>GÄVLEBORGS LÄN</t>
        </is>
      </c>
      <c r="G19" t="inlineStr">
        <is>
          <t>LJUSDAL</t>
        </is>
      </c>
      <c r="H19" t="inlineStr">
        <is>
          <t>Allmännings- och besparingsskogar</t>
        </is>
      </c>
      <c r="I19" t="n">
        <v>15.6</v>
      </c>
      <c r="J19" t="n">
        <v>5</v>
      </c>
      <c r="K19" t="n">
        <v>1</v>
      </c>
      <c r="L19" t="n">
        <v>13</v>
      </c>
      <c r="M19" t="n">
        <v>5</v>
      </c>
      <c r="N19" t="n">
        <v>0</v>
      </c>
      <c r="O19" t="n">
        <v>0</v>
      </c>
      <c r="P19" t="n">
        <v>0</v>
      </c>
      <c r="Q19" t="n">
        <v>18</v>
      </c>
      <c r="R19" t="n">
        <v>5</v>
      </c>
      <c r="S19" t="n">
        <v>20</v>
      </c>
      <c r="T19" t="n">
        <v>69</v>
      </c>
      <c r="U19" t="n">
        <v>69</v>
      </c>
      <c r="V19" s="2" t="inlineStr">
        <is>
          <t>Garnlav
Gräddporing
Knärot
Rostskinn
Smalfotad taggsvamp
Björktrast
Dropptaggsvamp
Dvärgbägarlav
Kolflarnlav
Lunglav
Mörk kolflarnlav
Nordtagging
Skrovellav
Talltita
Tretåig hackspett
Vaddporing
Vedflamlav
Vedskivlav
Stor revmossa
Spillkråka</t>
        </is>
      </c>
      <c r="W19">
        <f>HYPERLINK("https://klasma.github.io/Logging_2161/artfynd/A 77-2025 artfynd.xlsx", "A 77-2025")</f>
        <v/>
      </c>
      <c r="X19">
        <f>HYPERLINK("https://klasma.github.io/Logging_2161/kartor/A 77-2025 karta.png", "A 77-2025")</f>
        <v/>
      </c>
      <c r="Y19">
        <f>HYPERLINK("https://klasma.github.io/Logging_2161/kartor_geotiff/A 77-2025 georefererad karta.tif", "A 77-2025")</f>
        <v/>
      </c>
      <c r="Z19">
        <f>HYPERLINK("https://klasma.github.io/Logging_2161/knärot/A 77-2025 karta knärot.png", "A 77-2025")</f>
        <v/>
      </c>
      <c r="AA19">
        <f>HYPERLINK("https://klasma.github.io/Logging_2161/klagomål/A 77-2025 FSC-klagomål.docx", "A 77-2025")</f>
        <v/>
      </c>
      <c r="AB19">
        <f>HYPERLINK("https://klasma.github.io/Logging_2161/klagomålsmail/A 77-2025 FSC-klagomål mail.docx", "A 77-2025")</f>
        <v/>
      </c>
      <c r="AC19">
        <f>HYPERLINK("https://klasma.github.io/Logging_2161/tillsyn/A 77-2025 tillsynsbegäran.docx", "A 77-2025")</f>
        <v/>
      </c>
      <c r="AD19">
        <f>HYPERLINK("https://klasma.github.io/Logging_2161/tillsynsmail/A 77-2025 tillsynsbegäran mail.docx", "A 77-2025")</f>
        <v/>
      </c>
      <c r="AE19">
        <f>HYPERLINK("https://klasma.github.io/Logging_2161/fåglar/A 77-2025 prioriterade fågelarter.docx", "A 77-2025")</f>
        <v/>
      </c>
    </row>
    <row r="20" ht="15" customHeight="1">
      <c r="A20" t="inlineStr">
        <is>
          <t>S 391-2022</t>
        </is>
      </c>
      <c r="B20" t="inlineStr">
        <is>
          <t>samrådsanmälan</t>
        </is>
      </c>
      <c r="C20" t="inlineStr">
        <is>
          <t>Skogsgödsling</t>
        </is>
      </c>
      <c r="D20" s="1" t="n">
        <v>44582</v>
      </c>
      <c r="E20" s="1" t="n">
        <v>46326</v>
      </c>
      <c r="F20" t="inlineStr">
        <is>
          <t>GÄVLEBORGS LÄN</t>
        </is>
      </c>
      <c r="G20" t="inlineStr">
        <is>
          <t>LJUSDAL</t>
        </is>
      </c>
      <c r="H20" t="inlineStr">
        <is>
          <t>Sveaskog</t>
        </is>
      </c>
      <c r="I20" t="n">
        <v>868.1</v>
      </c>
      <c r="J20" t="n">
        <v>6</v>
      </c>
      <c r="K20" t="n">
        <v>9</v>
      </c>
      <c r="L20" t="n">
        <v>4</v>
      </c>
      <c r="M20" t="n">
        <v>3</v>
      </c>
      <c r="N20" t="n">
        <v>0</v>
      </c>
      <c r="O20" t="n">
        <v>0</v>
      </c>
      <c r="P20" t="n">
        <v>0</v>
      </c>
      <c r="Q20" t="n">
        <v>7</v>
      </c>
      <c r="R20" t="n">
        <v>3</v>
      </c>
      <c r="S20" t="n">
        <v>20</v>
      </c>
      <c r="T20" t="n">
        <v>51</v>
      </c>
      <c r="U20" t="n">
        <v>17</v>
      </c>
      <c r="V20" s="2" t="inlineStr">
        <is>
          <t>Doftticka
Garnlav
Igelkott
Kolflarnlav
Lunglav
Mörk kolflarnlav
Vedflamlav
Barkkornlav
Bårdlav
Korallblylav
Korallrot
Kransrams
Källmossa
Luddlav
Spindelblomster
Stuplav
Linnea
Fläcknycklar
Nattviol
Revlummer</t>
        </is>
      </c>
      <c r="W20">
        <f>HYPERLINK("https://klasma.github.io/Logging_2161/artfynd/S 391-2022 artfynd.xlsx", "S 391-2022")</f>
        <v/>
      </c>
      <c r="X20">
        <f>HYPERLINK("https://klasma.github.io/Logging_2161/kartor/S 391-2022 karta.png", "S 391-2022")</f>
        <v/>
      </c>
      <c r="Y20">
        <f>HYPERLINK("https://klasma.github.io/Logging_2161/kartor_geotiff/S 391-2022 georefererad karta.tif", "S 391-2022")</f>
        <v/>
      </c>
      <c r="AA20">
        <f>HYPERLINK("https://klasma.github.io/Logging_2161/klagomål/S 391-2022 FSC-klagomål.docx", "S 391-2022")</f>
        <v/>
      </c>
      <c r="AB20">
        <f>HYPERLINK("https://klasma.github.io/Logging_2161/klagomålsmail/S 391-2022 FSC-klagomål mail.docx", "S 391-2022")</f>
        <v/>
      </c>
      <c r="AC20">
        <f>HYPERLINK("https://klasma.github.io/Logging_2161/tillsyn/S 391-2022 tillsynsbegäran.docx", "S 391-2022")</f>
        <v/>
      </c>
      <c r="AD20">
        <f>HYPERLINK("https://klasma.github.io/Logging_2161/tillsynsmail/S 391-2022 tillsynsbegäran mail.docx", "S 391-2022")</f>
        <v/>
      </c>
    </row>
    <row r="21" ht="15" customHeight="1">
      <c r="A21" t="inlineStr">
        <is>
          <t>A 27325-2026</t>
        </is>
      </c>
      <c r="B21" t="inlineStr">
        <is>
          <t>avverkningsanmälan</t>
        </is>
      </c>
      <c r="C21" t="inlineStr">
        <is>
          <t>Föryngringsavverkning</t>
        </is>
      </c>
      <c r="D21" s="1" t="n">
        <v>46188</v>
      </c>
      <c r="E21" s="1" t="n">
        <v>46326</v>
      </c>
      <c r="F21" t="inlineStr">
        <is>
          <t>GÄVLEBORGS LÄN</t>
        </is>
      </c>
      <c r="G21" t="inlineStr">
        <is>
          <t>LJUSDAL</t>
        </is>
      </c>
      <c r="H21" t="inlineStr">
        <is>
          <t>Allmännings- och besparingsskogar</t>
        </is>
      </c>
      <c r="I21" t="n">
        <v>35.8</v>
      </c>
      <c r="J21" t="n">
        <v>5</v>
      </c>
      <c r="K21" t="n">
        <v>3</v>
      </c>
      <c r="L21" t="n">
        <v>12</v>
      </c>
      <c r="M21" t="n">
        <v>2</v>
      </c>
      <c r="N21" t="n">
        <v>0</v>
      </c>
      <c r="O21" t="n">
        <v>0</v>
      </c>
      <c r="P21" t="n">
        <v>0</v>
      </c>
      <c r="Q21" t="n">
        <v>14</v>
      </c>
      <c r="R21" t="n">
        <v>2</v>
      </c>
      <c r="S21" t="n">
        <v>19</v>
      </c>
      <c r="T21" t="n">
        <v>166</v>
      </c>
      <c r="U21" t="n">
        <v>166</v>
      </c>
      <c r="V21" s="2" t="inlineStr">
        <is>
          <t>Garnlav
Knärot
Dropptaggsvamp
Dvärgbägarlav
Kolflarnlav
Kortskaftad ärgspik
Mörk kolflarnlav
Tallticka
Talltita
Tretåig hackspett
Vaddporing
Vedflamlav
Vedskivlav
Violettgrå tagellav
Grönpyrola
Mindre märgborre
Stuplav
Spillkråka
Tjäder</t>
        </is>
      </c>
      <c r="W21">
        <f>HYPERLINK("https://klasma.github.io/Logging_2161/artfynd/A 27325-2026 artfynd.xlsx", "A 27325-2026")</f>
        <v/>
      </c>
      <c r="X21">
        <f>HYPERLINK("https://klasma.github.io/Logging_2161/kartor/A 27325-2026 karta.png", "A 27325-2026")</f>
        <v/>
      </c>
      <c r="Y21">
        <f>HYPERLINK("https://klasma.github.io/Logging_2161/kartor_geotiff/A 27325-2026 georefererad karta.tif", "A 27325-2026")</f>
        <v/>
      </c>
      <c r="Z21">
        <f>HYPERLINK("https://klasma.github.io/Logging_2161/knärot/A 27325-2026 karta knärot.png", "A 27325-2026")</f>
        <v/>
      </c>
      <c r="AA21">
        <f>HYPERLINK("https://klasma.github.io/Logging_2161/klagomål/A 27325-2026 FSC-klagomål.docx", "A 27325-2026")</f>
        <v/>
      </c>
      <c r="AB21">
        <f>HYPERLINK("https://klasma.github.io/Logging_2161/klagomålsmail/A 27325-2026 FSC-klagomål mail.docx", "A 27325-2026")</f>
        <v/>
      </c>
      <c r="AC21">
        <f>HYPERLINK("https://klasma.github.io/Logging_2161/tillsyn/A 27325-2026 tillsynsbegäran.docx", "A 27325-2026")</f>
        <v/>
      </c>
      <c r="AD21">
        <f>HYPERLINK("https://klasma.github.io/Logging_2161/tillsynsmail/A 27325-2026 tillsynsbegäran mail.docx", "A 27325-2026")</f>
        <v/>
      </c>
      <c r="AE21">
        <f>HYPERLINK("https://klasma.github.io/Logging_2161/fåglar/A 27325-2026 prioriterade fågelarter.docx", "A 27325-2026")</f>
        <v/>
      </c>
    </row>
    <row r="22" ht="15" customHeight="1">
      <c r="A22" t="inlineStr">
        <is>
          <t>A 57296-2025</t>
        </is>
      </c>
      <c r="B22" t="inlineStr">
        <is>
          <t>avverkningsanmälan</t>
        </is>
      </c>
      <c r="C22" t="inlineStr">
        <is>
          <t>Föryngringsavverkning</t>
        </is>
      </c>
      <c r="D22" s="1" t="n">
        <v>45979</v>
      </c>
      <c r="E22" s="1" t="n">
        <v>46326</v>
      </c>
      <c r="F22" t="inlineStr">
        <is>
          <t>GÄVLEBORGS LÄN</t>
        </is>
      </c>
      <c r="G22" t="inlineStr">
        <is>
          <t>NORDANSTIG</t>
        </is>
      </c>
      <c r="I22" t="n">
        <v>5.4</v>
      </c>
      <c r="J22" t="n">
        <v>8</v>
      </c>
      <c r="K22" t="n">
        <v>3</v>
      </c>
      <c r="L22" t="n">
        <v>7</v>
      </c>
      <c r="M22" t="n">
        <v>3</v>
      </c>
      <c r="N22" t="n">
        <v>0</v>
      </c>
      <c r="O22" t="n">
        <v>0</v>
      </c>
      <c r="P22" t="n">
        <v>0</v>
      </c>
      <c r="Q22" t="n">
        <v>10</v>
      </c>
      <c r="R22" t="n">
        <v>3</v>
      </c>
      <c r="S22" t="n">
        <v>17</v>
      </c>
      <c r="T22" t="n">
        <v>34</v>
      </c>
      <c r="U22" t="n">
        <v>34</v>
      </c>
      <c r="V22" s="2" t="inlineStr">
        <is>
          <t>Garnlav
Knärot
Raggbock
Enkelbeckasin
Lunglav
Skogshare
Sparvuggla
Tallticka
Talltita
Tretåig hackspett
Bårdlav
Norrlandslav
Vedticka
Spillkråka
Timmerticka
Tjäder
Orre</t>
        </is>
      </c>
      <c r="W22">
        <f>HYPERLINK("https://klasma.github.io/Logging_2132/artfynd/A 57296-2025 artfynd.xlsx", "A 57296-2025")</f>
        <v/>
      </c>
      <c r="X22">
        <f>HYPERLINK("https://klasma.github.io/Logging_2132/kartor/A 57296-2025 karta.png", "A 57296-2025")</f>
        <v/>
      </c>
      <c r="Y22">
        <f>HYPERLINK("https://klasma.github.io/Logging_2132/kartor_geotiff/A 57296-2025 georefererad karta.tif", "A 57296-2025")</f>
        <v/>
      </c>
      <c r="Z22">
        <f>HYPERLINK("https://klasma.github.io/Logging_2132/knärot/A 57296-2025 karta knärot.png", "A 57296-2025")</f>
        <v/>
      </c>
      <c r="AA22">
        <f>HYPERLINK("https://klasma.github.io/Logging_2132/klagomål/A 57296-2025 FSC-klagomål.docx", "A 57296-2025")</f>
        <v/>
      </c>
      <c r="AB22">
        <f>HYPERLINK("https://klasma.github.io/Logging_2132/klagomålsmail/A 57296-2025 FSC-klagomål mail.docx", "A 57296-2025")</f>
        <v/>
      </c>
      <c r="AC22">
        <f>HYPERLINK("https://klasma.github.io/Logging_2132/tillsyn/A 57296-2025 tillsynsbegäran.docx", "A 57296-2025")</f>
        <v/>
      </c>
      <c r="AD22">
        <f>HYPERLINK("https://klasma.github.io/Logging_2132/tillsynsmail/A 57296-2025 tillsynsbegäran mail.docx", "A 57296-2025")</f>
        <v/>
      </c>
      <c r="AE22">
        <f>HYPERLINK("https://klasma.github.io/Logging_2132/fåglar/A 57296-2025 prioriterade fågelarter.docx", "A 57296-2025")</f>
        <v/>
      </c>
    </row>
    <row r="23" ht="15" customHeight="1">
      <c r="A23" t="inlineStr">
        <is>
          <t>A 3180-2025</t>
        </is>
      </c>
      <c r="B23" t="inlineStr">
        <is>
          <t>avverkningsanmälan</t>
        </is>
      </c>
      <c r="C23" t="inlineStr">
        <is>
          <t>Föryngringsavverkning</t>
        </is>
      </c>
      <c r="D23" s="1" t="n">
        <v>45679</v>
      </c>
      <c r="E23" s="1" t="n">
        <v>46326</v>
      </c>
      <c r="F23" t="inlineStr">
        <is>
          <t>GÄVLEBORGS LÄN</t>
        </is>
      </c>
      <c r="G23" t="inlineStr">
        <is>
          <t>LJUSDAL</t>
        </is>
      </c>
      <c r="I23" t="n">
        <v>13.5</v>
      </c>
      <c r="J23" t="n">
        <v>7</v>
      </c>
      <c r="K23" t="n">
        <v>4</v>
      </c>
      <c r="L23" t="n">
        <v>9</v>
      </c>
      <c r="M23" t="n">
        <v>2</v>
      </c>
      <c r="N23" t="n">
        <v>0</v>
      </c>
      <c r="O23" t="n">
        <v>0</v>
      </c>
      <c r="P23" t="n">
        <v>0</v>
      </c>
      <c r="Q23" t="n">
        <v>11</v>
      </c>
      <c r="R23" t="n">
        <v>2</v>
      </c>
      <c r="S23" t="n">
        <v>17</v>
      </c>
      <c r="T23" t="n">
        <v>68</v>
      </c>
      <c r="U23" t="n">
        <v>68</v>
      </c>
      <c r="V23" s="2" t="inlineStr">
        <is>
          <t>Garnlav
Knärot
Dvärgbägarlav
Kolflarnlav
Lunglav
Mörk kolflarnlav
Skrovellav
Talltita
Tretåig hackspett
Ullticka
Vedflamlav
Luddlav
Spindelblomster
Stuplav
Tvåblad
Fläcknycklar
Nattviol</t>
        </is>
      </c>
      <c r="W23">
        <f>HYPERLINK("https://klasma.github.io/Logging_2161/artfynd/A 3180-2025 artfynd.xlsx", "A 3180-2025")</f>
        <v/>
      </c>
      <c r="X23">
        <f>HYPERLINK("https://klasma.github.io/Logging_2161/kartor/A 3180-2025 karta.png", "A 3180-2025")</f>
        <v/>
      </c>
      <c r="Y23">
        <f>HYPERLINK("https://klasma.github.io/Logging_2161/kartor_geotiff/A 3180-2025 georefererad karta.tif", "A 3180-2025")</f>
        <v/>
      </c>
      <c r="Z23">
        <f>HYPERLINK("https://klasma.github.io/Logging_2161/knärot/A 3180-2025 karta knärot.png", "A 3180-2025")</f>
        <v/>
      </c>
      <c r="AA23">
        <f>HYPERLINK("https://klasma.github.io/Logging_2161/klagomål/A 3180-2025 FSC-klagomål.docx", "A 3180-2025")</f>
        <v/>
      </c>
      <c r="AB23">
        <f>HYPERLINK("https://klasma.github.io/Logging_2161/klagomålsmail/A 3180-2025 FSC-klagomål mail.docx", "A 3180-2025")</f>
        <v/>
      </c>
      <c r="AC23">
        <f>HYPERLINK("https://klasma.github.io/Logging_2161/tillsyn/A 3180-2025 tillsynsbegäran.docx", "A 3180-2025")</f>
        <v/>
      </c>
      <c r="AD23">
        <f>HYPERLINK("https://klasma.github.io/Logging_2161/tillsynsmail/A 3180-2025 tillsynsbegäran mail.docx", "A 3180-2025")</f>
        <v/>
      </c>
      <c r="AE23">
        <f>HYPERLINK("https://klasma.github.io/Logging_2161/fåglar/A 3180-2025 prioriterade fågelarter.docx", "A 3180-2025")</f>
        <v/>
      </c>
    </row>
    <row r="24" ht="15" customHeight="1">
      <c r="A24" t="inlineStr">
        <is>
          <t>A 52212-2025</t>
        </is>
      </c>
      <c r="B24" t="inlineStr">
        <is>
          <t>avverkningsanmälan</t>
        </is>
      </c>
      <c r="C24" t="inlineStr">
        <is>
          <t>Föryngringsavverkning</t>
        </is>
      </c>
      <c r="D24" s="1" t="n">
        <v>45953</v>
      </c>
      <c r="E24" s="1" t="n">
        <v>46326</v>
      </c>
      <c r="F24" t="inlineStr">
        <is>
          <t>GÄVLEBORGS LÄN</t>
        </is>
      </c>
      <c r="G24" t="inlineStr">
        <is>
          <t>LJUSDAL</t>
        </is>
      </c>
      <c r="H24" t="inlineStr">
        <is>
          <t>Allmännings- och besparingsskogar</t>
        </is>
      </c>
      <c r="I24" t="n">
        <v>55.3</v>
      </c>
      <c r="J24" t="n">
        <v>5</v>
      </c>
      <c r="K24" t="n">
        <v>1</v>
      </c>
      <c r="L24" t="n">
        <v>12</v>
      </c>
      <c r="M24" t="n">
        <v>2</v>
      </c>
      <c r="N24" t="n">
        <v>0</v>
      </c>
      <c r="O24" t="n">
        <v>0</v>
      </c>
      <c r="P24" t="n">
        <v>0</v>
      </c>
      <c r="Q24" t="n">
        <v>14</v>
      </c>
      <c r="R24" t="n">
        <v>2</v>
      </c>
      <c r="S24" t="n">
        <v>17</v>
      </c>
      <c r="T24" t="n">
        <v>125</v>
      </c>
      <c r="U24" t="n">
        <v>5</v>
      </c>
      <c r="V24" s="2" t="inlineStr">
        <is>
          <t>Garnlav
Knärot
Blanksvart spiklav
Dropptaggsvamp
Dvärgbägarlav
Kolflarnlav
Lunglav
Mörk kolflarnlav
Skrovellav
Tallticka
Talltita
Tretåig hackspett
Vedflamlav
Vedskivlav
Vedticka
Grönsiska
Nattviol</t>
        </is>
      </c>
      <c r="W24">
        <f>HYPERLINK("https://klasma.github.io/Logging_2161/artfynd/A 52212-2025 artfynd.xlsx", "A 52212-2025")</f>
        <v/>
      </c>
      <c r="X24">
        <f>HYPERLINK("https://klasma.github.io/Logging_2161/kartor/A 52212-2025 karta.png", "A 52212-2025")</f>
        <v/>
      </c>
      <c r="Y24">
        <f>HYPERLINK("https://klasma.github.io/Logging_2161/kartor_geotiff/A 52212-2025 georefererad karta.tif", "A 52212-2025")</f>
        <v/>
      </c>
      <c r="Z24">
        <f>HYPERLINK("https://klasma.github.io/Logging_2161/knärot/A 52212-2025 karta knärot.png", "A 52212-2025")</f>
        <v/>
      </c>
      <c r="AA24">
        <f>HYPERLINK("https://klasma.github.io/Logging_2161/klagomål/A 52212-2025 FSC-klagomål.docx", "A 52212-2025")</f>
        <v/>
      </c>
      <c r="AB24">
        <f>HYPERLINK("https://klasma.github.io/Logging_2161/klagomålsmail/A 52212-2025 FSC-klagomål mail.docx", "A 52212-2025")</f>
        <v/>
      </c>
      <c r="AC24">
        <f>HYPERLINK("https://klasma.github.io/Logging_2161/tillsyn/A 52212-2025 tillsynsbegäran.docx", "A 52212-2025")</f>
        <v/>
      </c>
      <c r="AD24">
        <f>HYPERLINK("https://klasma.github.io/Logging_2161/tillsynsmail/A 52212-2025 tillsynsbegäran mail.docx", "A 52212-2025")</f>
        <v/>
      </c>
      <c r="AE24">
        <f>HYPERLINK("https://klasma.github.io/Logging_2161/fåglar/A 52212-2025 prioriterade fågelarter.docx", "A 52212-2025")</f>
        <v/>
      </c>
    </row>
    <row r="25" ht="15" customHeight="1">
      <c r="A25" t="inlineStr">
        <is>
          <t>S 488-2024</t>
        </is>
      </c>
      <c r="B25" t="inlineStr">
        <is>
          <t>samrådsanmälan</t>
        </is>
      </c>
      <c r="C25" t="inlineStr">
        <is>
          <t>Skogsgödsling</t>
        </is>
      </c>
      <c r="D25" s="1" t="n">
        <v>45344</v>
      </c>
      <c r="E25" s="1" t="n">
        <v>46326</v>
      </c>
      <c r="F25" t="inlineStr">
        <is>
          <t>GÄVLEBORGS LÄN</t>
        </is>
      </c>
      <c r="G25" t="inlineStr">
        <is>
          <t>LJUSDAL</t>
        </is>
      </c>
      <c r="H25" t="inlineStr">
        <is>
          <t>SCA</t>
        </is>
      </c>
      <c r="I25" t="n">
        <v>617.5</v>
      </c>
      <c r="J25" t="n">
        <v>10</v>
      </c>
      <c r="K25" t="n">
        <v>7</v>
      </c>
      <c r="L25" t="n">
        <v>4</v>
      </c>
      <c r="M25" t="n">
        <v>0</v>
      </c>
      <c r="N25" t="n">
        <v>0</v>
      </c>
      <c r="O25" t="n">
        <v>0</v>
      </c>
      <c r="P25" t="n">
        <v>0</v>
      </c>
      <c r="Q25" t="n">
        <v>4</v>
      </c>
      <c r="R25" t="n">
        <v>0</v>
      </c>
      <c r="S25" t="n">
        <v>17</v>
      </c>
      <c r="T25" t="n">
        <v>95</v>
      </c>
      <c r="U25" t="n">
        <v>15</v>
      </c>
      <c r="V25" s="2" t="inlineStr">
        <is>
          <t>Lunglav
Mörk kolflarnlav
Skrovellav
Talltita
Bårdlav
Korallrot
Luddlav
Norrlandslav
Plattlummer
Spindelblomster
Stuplav
Järpe
Tjäder
Kungsfågel
Fläcknycklar
Nattviol
Revlummer</t>
        </is>
      </c>
      <c r="W25">
        <f>HYPERLINK("https://klasma.github.io/Logging_2161/artfynd/S 488-2024 artfynd.xlsx", "S 488-2024")</f>
        <v/>
      </c>
      <c r="X25">
        <f>HYPERLINK("https://klasma.github.io/Logging_2161/kartor/S 488-2024 karta.png", "S 488-2024")</f>
        <v/>
      </c>
      <c r="Y25">
        <f>HYPERLINK("https://klasma.github.io/Logging_2161/kartor_geotiff/S 488-2024 georefererad karta.tif", "S 488-2024")</f>
        <v/>
      </c>
      <c r="AA25">
        <f>HYPERLINK("https://klasma.github.io/Logging_2161/klagomål/S 488-2024 FSC-klagomål.docx", "S 488-2024")</f>
        <v/>
      </c>
      <c r="AB25">
        <f>HYPERLINK("https://klasma.github.io/Logging_2161/klagomålsmail/S 488-2024 FSC-klagomål mail.docx", "S 488-2024")</f>
        <v/>
      </c>
      <c r="AC25">
        <f>HYPERLINK("https://klasma.github.io/Logging_2161/tillsyn/S 488-2024 tillsynsbegäran.docx", "S 488-2024")</f>
        <v/>
      </c>
      <c r="AD25">
        <f>HYPERLINK("https://klasma.github.io/Logging_2161/tillsynsmail/S 488-2024 tillsynsbegäran mail.docx", "S 488-2024")</f>
        <v/>
      </c>
      <c r="AE25">
        <f>HYPERLINK("https://klasma.github.io/Logging_2161/fåglar/S 488-2024 prioriterade fågelarter.docx", "S 488-2024")</f>
        <v/>
      </c>
    </row>
    <row r="26" ht="15" customHeight="1">
      <c r="A26" t="inlineStr">
        <is>
          <t>S 1081-2022</t>
        </is>
      </c>
      <c r="B26" t="inlineStr">
        <is>
          <t>samrådsanmälan</t>
        </is>
      </c>
      <c r="C26" t="inlineStr">
        <is>
          <t>Skogsgödsling</t>
        </is>
      </c>
      <c r="D26" s="1" t="n">
        <v>44614</v>
      </c>
      <c r="E26" s="1" t="n">
        <v>46326</v>
      </c>
      <c r="F26" t="inlineStr">
        <is>
          <t>GÄVLEBORGS LÄN</t>
        </is>
      </c>
      <c r="G26" t="inlineStr">
        <is>
          <t>OCKELBO</t>
        </is>
      </c>
      <c r="H26" t="inlineStr">
        <is>
          <t>Bergvik skog väst AB</t>
        </is>
      </c>
      <c r="I26" t="n">
        <v>635.8</v>
      </c>
      <c r="J26" t="n">
        <v>10</v>
      </c>
      <c r="K26" t="n">
        <v>4</v>
      </c>
      <c r="L26" t="n">
        <v>5</v>
      </c>
      <c r="M26" t="n">
        <v>2</v>
      </c>
      <c r="N26" t="n">
        <v>0</v>
      </c>
      <c r="O26" t="n">
        <v>0</v>
      </c>
      <c r="P26" t="n">
        <v>0</v>
      </c>
      <c r="Q26" t="n">
        <v>7</v>
      </c>
      <c r="R26" t="n">
        <v>2</v>
      </c>
      <c r="S26" t="n">
        <v>17</v>
      </c>
      <c r="T26" t="n">
        <v>50</v>
      </c>
      <c r="U26" t="n">
        <v>49</v>
      </c>
      <c r="V26" s="2" t="inlineStr">
        <is>
          <t>Garnlav
Knärot
Blanksvart spiklav
Höstlåsbräken
Motaggsvamp
Månlåsbräken
Svartvit taggsvamp
Grönpyrola
Korallrot
Plattlummer
Spädstarr
Blåsippa
Järpe
Mattlummer
Spillkråka
Lopplummer (aggregat)
Revlummer</t>
        </is>
      </c>
      <c r="W26">
        <f>HYPERLINK("https://klasma.github.io/Logging_2101/artfynd/S 1081-2022 artfynd.xlsx", "S 1081-2022")</f>
        <v/>
      </c>
      <c r="X26">
        <f>HYPERLINK("https://klasma.github.io/Logging_2101/kartor/S 1081-2022 karta.png", "S 1081-2022")</f>
        <v/>
      </c>
      <c r="Y26">
        <f>HYPERLINK("https://klasma.github.io/Logging_2101/kartor_geotiff/S 1081-2022 georefererad karta.tif", "S 1081-2022")</f>
        <v/>
      </c>
      <c r="Z26">
        <f>HYPERLINK("https://klasma.github.io/Logging_2101/knärot/S 1081-2022 karta knärot.png", "S 1081-2022")</f>
        <v/>
      </c>
      <c r="AA26">
        <f>HYPERLINK("https://klasma.github.io/Logging_2101/klagomål/S 1081-2022 FSC-klagomål.docx", "S 1081-2022")</f>
        <v/>
      </c>
      <c r="AB26">
        <f>HYPERLINK("https://klasma.github.io/Logging_2101/klagomålsmail/S 1081-2022 FSC-klagomål mail.docx", "S 1081-2022")</f>
        <v/>
      </c>
      <c r="AC26">
        <f>HYPERLINK("https://klasma.github.io/Logging_2101/tillsyn/S 1081-2022 tillsynsbegäran.docx", "S 1081-2022")</f>
        <v/>
      </c>
      <c r="AD26">
        <f>HYPERLINK("https://klasma.github.io/Logging_2101/tillsynsmail/S 1081-2022 tillsynsbegäran mail.docx", "S 1081-2022")</f>
        <v/>
      </c>
      <c r="AE26">
        <f>HYPERLINK("https://klasma.github.io/Logging_2101/fåglar/S 1081-2022 prioriterade fågelarter.docx", "S 1081-2022")</f>
        <v/>
      </c>
    </row>
    <row r="27" ht="15" customHeight="1">
      <c r="A27" t="inlineStr">
        <is>
          <t>S 547-2025</t>
        </is>
      </c>
      <c r="B27" t="inlineStr">
        <is>
          <t>samrådsanmälan</t>
        </is>
      </c>
      <c r="C27" t="inlineStr">
        <is>
          <t>Skogsgödsling</t>
        </is>
      </c>
      <c r="D27" s="1" t="n">
        <v>45708</v>
      </c>
      <c r="E27" s="1" t="n">
        <v>46326</v>
      </c>
      <c r="F27" t="inlineStr">
        <is>
          <t>GÄVLEBORGS LÄN</t>
        </is>
      </c>
      <c r="G27" t="inlineStr">
        <is>
          <t>LJUSDAL</t>
        </is>
      </c>
      <c r="H27" t="inlineStr">
        <is>
          <t>Allmännings- och besparingsskogar</t>
        </is>
      </c>
      <c r="I27" t="n">
        <v>340.7</v>
      </c>
      <c r="J27" t="n">
        <v>7</v>
      </c>
      <c r="K27" t="n">
        <v>2</v>
      </c>
      <c r="L27" t="n">
        <v>11</v>
      </c>
      <c r="M27" t="n">
        <v>2</v>
      </c>
      <c r="N27" t="n">
        <v>0</v>
      </c>
      <c r="O27" t="n">
        <v>0</v>
      </c>
      <c r="P27" t="n">
        <v>0</v>
      </c>
      <c r="Q27" t="n">
        <v>13</v>
      </c>
      <c r="R27" t="n">
        <v>2</v>
      </c>
      <c r="S27" t="n">
        <v>17</v>
      </c>
      <c r="T27" t="n">
        <v>56</v>
      </c>
      <c r="U27" t="n">
        <v>54</v>
      </c>
      <c r="V27" s="2" t="inlineStr">
        <is>
          <t>Garnlav
Knärot
Kolflarnlav
Kungsörn
Lunglav
Mörk kolflarnlav
Skrovellav
Tallticka
Talltita
Tretåig hackspett
Vedskivlav
Violettgrå tagellav
Vitgrynig nållav
Björksplintborre
Spindelblomster
Spillkråka
Fläcknycklar</t>
        </is>
      </c>
      <c r="W27">
        <f>HYPERLINK("https://klasma.github.io/Logging_2161/artfynd/S 547-2025 artfynd.xlsx", "S 547-2025")</f>
        <v/>
      </c>
      <c r="X27">
        <f>HYPERLINK("https://klasma.github.io/Logging_2161/kartor/S 547-2025 karta.png", "S 547-2025")</f>
        <v/>
      </c>
      <c r="Y27">
        <f>HYPERLINK("https://klasma.github.io/Logging_2161/kartor_geotiff/S 547-2025 georefererad karta.tif", "S 547-2025")</f>
        <v/>
      </c>
      <c r="Z27">
        <f>HYPERLINK("https://klasma.github.io/Logging_2161/knärot/S 547-2025 karta knärot.png", "S 547-2025")</f>
        <v/>
      </c>
      <c r="AA27">
        <f>HYPERLINK("https://klasma.github.io/Logging_2161/klagomål/S 547-2025 FSC-klagomål.docx", "S 547-2025")</f>
        <v/>
      </c>
      <c r="AB27">
        <f>HYPERLINK("https://klasma.github.io/Logging_2161/klagomålsmail/S 547-2025 FSC-klagomål mail.docx", "S 547-2025")</f>
        <v/>
      </c>
      <c r="AC27">
        <f>HYPERLINK("https://klasma.github.io/Logging_2161/tillsyn/S 547-2025 tillsynsbegäran.docx", "S 547-2025")</f>
        <v/>
      </c>
      <c r="AD27">
        <f>HYPERLINK("https://klasma.github.io/Logging_2161/tillsynsmail/S 547-2025 tillsynsbegäran mail.docx", "S 547-2025")</f>
        <v/>
      </c>
      <c r="AE27">
        <f>HYPERLINK("https://klasma.github.io/Logging_2161/fåglar/S 547-2025 prioriterade fågelarter.docx", "S 547-2025")</f>
        <v/>
      </c>
    </row>
    <row r="28" ht="15" customHeight="1">
      <c r="A28" t="inlineStr">
        <is>
          <t>S 1346-2025</t>
        </is>
      </c>
      <c r="B28" t="inlineStr">
        <is>
          <t>samrådsanmälan</t>
        </is>
      </c>
      <c r="C28" t="inlineStr">
        <is>
          <t>Annan skogsbruksåtgärd</t>
        </is>
      </c>
      <c r="D28" s="1" t="n">
        <v>45772</v>
      </c>
      <c r="E28" s="1" t="n">
        <v>46326</v>
      </c>
      <c r="F28" t="inlineStr">
        <is>
          <t>GÄVLEBORGS LÄN</t>
        </is>
      </c>
      <c r="G28" t="inlineStr">
        <is>
          <t>LJUSDAL</t>
        </is>
      </c>
      <c r="H28" t="inlineStr">
        <is>
          <t>Bergvik skog väst AB</t>
        </is>
      </c>
      <c r="I28" t="n">
        <v>8.1</v>
      </c>
      <c r="J28" t="n">
        <v>0</v>
      </c>
      <c r="K28" t="n">
        <v>0</v>
      </c>
      <c r="L28" t="n">
        <v>11</v>
      </c>
      <c r="M28" t="n">
        <v>6</v>
      </c>
      <c r="N28" t="n">
        <v>0</v>
      </c>
      <c r="O28" t="n">
        <v>0</v>
      </c>
      <c r="P28" t="n">
        <v>0</v>
      </c>
      <c r="Q28" t="n">
        <v>17</v>
      </c>
      <c r="R28" t="n">
        <v>6</v>
      </c>
      <c r="S28" t="n">
        <v>17</v>
      </c>
      <c r="T28" t="n">
        <v>52</v>
      </c>
      <c r="U28" t="n">
        <v>27</v>
      </c>
      <c r="V28" s="2" t="inlineStr">
        <is>
          <t>Garnlav
Goliatmusseron
Lammticka
Skrovlig taggsvamp
Tallgråticka
Torrmusseron
Barrfagerspindling
Blå taggsvamp
Dropptaggsvamp
Motaggsvamp
Mörk kolflarnlav
Orange taggsvamp
Skarp dropptaggsvamp
Tallfingersvamp
Talltaggsvamp
Tallticka
Vaddporing</t>
        </is>
      </c>
      <c r="W28">
        <f>HYPERLINK("https://klasma.github.io/Logging_2161/artfynd/S 1346-2025 artfynd.xlsx", "S 1346-2025")</f>
        <v/>
      </c>
      <c r="X28">
        <f>HYPERLINK("https://klasma.github.io/Logging_2161/kartor/S 1346-2025 karta.png", "S 1346-2025")</f>
        <v/>
      </c>
      <c r="Y28">
        <f>HYPERLINK("https://klasma.github.io/Logging_2161/kartor_geotiff/S 1346-2025 georefererad karta.tif", "S 1346-2025")</f>
        <v/>
      </c>
      <c r="AA28">
        <f>HYPERLINK("https://klasma.github.io/Logging_2161/klagomål/S 1346-2025 FSC-klagomål.docx", "S 1346-2025")</f>
        <v/>
      </c>
      <c r="AB28">
        <f>HYPERLINK("https://klasma.github.io/Logging_2161/klagomålsmail/S 1346-2025 FSC-klagomål mail.docx", "S 1346-2025")</f>
        <v/>
      </c>
      <c r="AC28">
        <f>HYPERLINK("https://klasma.github.io/Logging_2161/tillsyn/S 1346-2025 tillsynsbegäran.docx", "S 1346-2025")</f>
        <v/>
      </c>
      <c r="AD28">
        <f>HYPERLINK("https://klasma.github.io/Logging_2161/tillsynsmail/S 1346-2025 tillsynsbegäran mail.docx", "S 1346-2025")</f>
        <v/>
      </c>
    </row>
    <row r="29" ht="15" customHeight="1">
      <c r="A29" t="inlineStr">
        <is>
          <t>A 568-2025</t>
        </is>
      </c>
      <c r="B29" t="inlineStr">
        <is>
          <t>avverkningsanmälan</t>
        </is>
      </c>
      <c r="C29" t="inlineStr">
        <is>
          <t>Avverkning för att bevara och utveckla /försöksver</t>
        </is>
      </c>
      <c r="D29" s="1" t="n">
        <v>45664</v>
      </c>
      <c r="E29" s="1" t="n">
        <v>46326</v>
      </c>
      <c r="F29" t="inlineStr">
        <is>
          <t>GÄVLEBORGS LÄN</t>
        </is>
      </c>
      <c r="G29" t="inlineStr">
        <is>
          <t>NORDANSTIG</t>
        </is>
      </c>
      <c r="H29" t="inlineStr">
        <is>
          <t>Holmen skog AB</t>
        </is>
      </c>
      <c r="I29" t="n">
        <v>13.3</v>
      </c>
      <c r="J29" t="n">
        <v>1</v>
      </c>
      <c r="K29" t="n">
        <v>4</v>
      </c>
      <c r="L29" t="n">
        <v>10</v>
      </c>
      <c r="M29" t="n">
        <v>2</v>
      </c>
      <c r="N29" t="n">
        <v>0</v>
      </c>
      <c r="O29" t="n">
        <v>0</v>
      </c>
      <c r="P29" t="n">
        <v>0</v>
      </c>
      <c r="Q29" t="n">
        <v>12</v>
      </c>
      <c r="R29" t="n">
        <v>2</v>
      </c>
      <c r="S29" t="n">
        <v>16</v>
      </c>
      <c r="T29" t="n">
        <v>47</v>
      </c>
      <c r="U29" t="n">
        <v>0</v>
      </c>
      <c r="V29" s="2" t="inlineStr">
        <is>
          <t>Garnlav
Knärot
Blanksvart spiklav
Doftskinn
Dvärgbägarlav
Grönhjon
Kattfotslav
Lunglav
Tallticka
Ullticka
Vedskivlav
Violettgrå tagellav
Bronshjon
Skinnlav
Vedticka
Vågbandad barkbock</t>
        </is>
      </c>
      <c r="W29">
        <f>HYPERLINK("https://klasma.github.io/Logging_2132/artfynd/A 568-2025 artfynd.xlsx", "A 568-2025")</f>
        <v/>
      </c>
      <c r="X29">
        <f>HYPERLINK("https://klasma.github.io/Logging_2132/kartor/A 568-2025 karta.png", "A 568-2025")</f>
        <v/>
      </c>
      <c r="Y29">
        <f>HYPERLINK("https://klasma.github.io/Logging_2132/kartor_geotiff/A 568-2025 georefererad karta.tif", "A 568-2025")</f>
        <v/>
      </c>
      <c r="Z29">
        <f>HYPERLINK("https://klasma.github.io/Logging_2132/knärot/A 568-2025 karta knärot.png", "A 568-2025")</f>
        <v/>
      </c>
      <c r="AA29">
        <f>HYPERLINK("https://klasma.github.io/Logging_2132/klagomål/A 568-2025 FSC-klagomål.docx", "A 568-2025")</f>
        <v/>
      </c>
      <c r="AB29">
        <f>HYPERLINK("https://klasma.github.io/Logging_2132/klagomålsmail/A 568-2025 FSC-klagomål mail.docx", "A 568-2025")</f>
        <v/>
      </c>
      <c r="AC29">
        <f>HYPERLINK("https://klasma.github.io/Logging_2132/tillsyn/A 568-2025 tillsynsbegäran.docx", "A 568-2025")</f>
        <v/>
      </c>
      <c r="AD29">
        <f>HYPERLINK("https://klasma.github.io/Logging_2132/tillsynsmail/A 568-2025 tillsynsbegäran mail.docx", "A 568-2025")</f>
        <v/>
      </c>
    </row>
    <row r="30" ht="15" customHeight="1">
      <c r="A30" t="inlineStr">
        <is>
          <t>A 28754-2024</t>
        </is>
      </c>
      <c r="B30" t="inlineStr">
        <is>
          <t>avverkningsanmälan</t>
        </is>
      </c>
      <c r="C30" t="inlineStr">
        <is>
          <t>Föryngringsavverkning</t>
        </is>
      </c>
      <c r="D30" s="1" t="n">
        <v>45478</v>
      </c>
      <c r="E30" s="1" t="n">
        <v>46326</v>
      </c>
      <c r="F30" t="inlineStr">
        <is>
          <t>GÄVLEBORGS LÄN</t>
        </is>
      </c>
      <c r="G30" t="inlineStr">
        <is>
          <t>LJUSDAL</t>
        </is>
      </c>
      <c r="H30" t="inlineStr">
        <is>
          <t>Allmännings- och besparingsskogar</t>
        </is>
      </c>
      <c r="I30" t="n">
        <v>7.4</v>
      </c>
      <c r="J30" t="n">
        <v>1</v>
      </c>
      <c r="K30" t="n">
        <v>1</v>
      </c>
      <c r="L30" t="n">
        <v>14</v>
      </c>
      <c r="M30" t="n">
        <v>1</v>
      </c>
      <c r="N30" t="n">
        <v>0</v>
      </c>
      <c r="O30" t="n">
        <v>0</v>
      </c>
      <c r="P30" t="n">
        <v>0</v>
      </c>
      <c r="Q30" t="n">
        <v>15</v>
      </c>
      <c r="R30" t="n">
        <v>1</v>
      </c>
      <c r="S30" t="n">
        <v>16</v>
      </c>
      <c r="T30" t="n">
        <v>120</v>
      </c>
      <c r="U30" t="n">
        <v>120</v>
      </c>
      <c r="V30" s="2" t="inlineStr">
        <is>
          <t>Garnlav
Blanksvart spiklav
Blågrå svartspik
Doftskinn
Dvärgbägarlav
Kolflarnlav
Kortskaftad ärgspik
Mörk kolflarnlav
Skuggblåslav
Tallticka
Talltita
Vedflamlav
Vedskivlav
Violettgrå tagellav
Vitgrynig nållav
Mindre märgborre</t>
        </is>
      </c>
      <c r="W30">
        <f>HYPERLINK("https://klasma.github.io/Logging_2161/artfynd/A 28754-2024 artfynd.xlsx", "A 28754-2024")</f>
        <v/>
      </c>
      <c r="X30">
        <f>HYPERLINK("https://klasma.github.io/Logging_2161/kartor/A 28754-2024 karta.png", "A 28754-2024")</f>
        <v/>
      </c>
      <c r="Y30">
        <f>HYPERLINK("https://klasma.github.io/Logging_2161/kartor_geotiff/A 28754-2024 georefererad karta.tif", "A 28754-2024")</f>
        <v/>
      </c>
      <c r="AA30">
        <f>HYPERLINK("https://klasma.github.io/Logging_2161/klagomål/A 28754-2024 FSC-klagomål.docx", "A 28754-2024")</f>
        <v/>
      </c>
      <c r="AB30">
        <f>HYPERLINK("https://klasma.github.io/Logging_2161/klagomålsmail/A 28754-2024 FSC-klagomål mail.docx", "A 28754-2024")</f>
        <v/>
      </c>
      <c r="AC30">
        <f>HYPERLINK("https://klasma.github.io/Logging_2161/tillsyn/A 28754-2024 tillsynsbegäran.docx", "A 28754-2024")</f>
        <v/>
      </c>
      <c r="AD30">
        <f>HYPERLINK("https://klasma.github.io/Logging_2161/tillsynsmail/A 28754-2024 tillsynsbegäran mail.docx", "A 28754-2024")</f>
        <v/>
      </c>
      <c r="AE30">
        <f>HYPERLINK("https://klasma.github.io/Logging_2161/fåglar/A 28754-2024 prioriterade fågelarter.docx", "A 28754-2024")</f>
        <v/>
      </c>
    </row>
    <row r="31" ht="15" customHeight="1">
      <c r="A31" t="inlineStr">
        <is>
          <t>A 30892-2026</t>
        </is>
      </c>
      <c r="B31" t="inlineStr">
        <is>
          <t>avverkningsanmälan</t>
        </is>
      </c>
      <c r="C31" t="inlineStr">
        <is>
          <t>Föryngringsavverkning</t>
        </is>
      </c>
      <c r="D31" s="1" t="n">
        <v>46213</v>
      </c>
      <c r="E31" s="1" t="n">
        <v>46326</v>
      </c>
      <c r="F31" t="inlineStr">
        <is>
          <t>GÄVLEBORGS LÄN</t>
        </is>
      </c>
      <c r="G31" t="inlineStr">
        <is>
          <t>LJUSDAL</t>
        </is>
      </c>
      <c r="H31" t="inlineStr">
        <is>
          <t>Allmännings- och besparingsskogar</t>
        </is>
      </c>
      <c r="I31" t="n">
        <v>10.1</v>
      </c>
      <c r="J31" t="n">
        <v>4</v>
      </c>
      <c r="K31" t="n">
        <v>1</v>
      </c>
      <c r="L31" t="n">
        <v>8</v>
      </c>
      <c r="M31" t="n">
        <v>4</v>
      </c>
      <c r="N31" t="n">
        <v>0</v>
      </c>
      <c r="O31" t="n">
        <v>0</v>
      </c>
      <c r="P31" t="n">
        <v>0</v>
      </c>
      <c r="Q31" t="n">
        <v>12</v>
      </c>
      <c r="R31" t="n">
        <v>4</v>
      </c>
      <c r="S31" t="n">
        <v>16</v>
      </c>
      <c r="T31" t="n">
        <v>71</v>
      </c>
      <c r="U31" t="n">
        <v>71</v>
      </c>
      <c r="V31" s="2" t="inlineStr">
        <is>
          <t>Fläckporing
Garnlav
Gräddporing
Knärot
Dropptaggsvamp
Dvärgbägarlav
Kolflarnlav
Mörk kolflarnlav
Nordtagging
Vaddporing
Vedskivlav
Violettgrå tagellav
Mindre märgborre
Tjäder
Tofsmes
Fläcknycklar</t>
        </is>
      </c>
      <c r="W31">
        <f>HYPERLINK("https://klasma.github.io/Logging_2161/artfynd/A 30892-2026 artfynd.xlsx", "A 30892-2026")</f>
        <v/>
      </c>
      <c r="X31">
        <f>HYPERLINK("https://klasma.github.io/Logging_2161/kartor/A 30892-2026 karta.png", "A 30892-2026")</f>
        <v/>
      </c>
      <c r="Y31">
        <f>HYPERLINK("https://klasma.github.io/Logging_2161/kartor_geotiff/A 30892-2026 georefererad karta.tif", "A 30892-2026")</f>
        <v/>
      </c>
      <c r="Z31">
        <f>HYPERLINK("https://klasma.github.io/Logging_2161/knärot/A 30892-2026 karta knärot.png", "A 30892-2026")</f>
        <v/>
      </c>
      <c r="AA31">
        <f>HYPERLINK("https://klasma.github.io/Logging_2161/klagomål/A 30892-2026 FSC-klagomål.docx", "A 30892-2026")</f>
        <v/>
      </c>
      <c r="AB31">
        <f>HYPERLINK("https://klasma.github.io/Logging_2161/klagomålsmail/A 30892-2026 FSC-klagomål mail.docx", "A 30892-2026")</f>
        <v/>
      </c>
      <c r="AC31">
        <f>HYPERLINK("https://klasma.github.io/Logging_2161/tillsyn/A 30892-2026 tillsynsbegäran.docx", "A 30892-2026")</f>
        <v/>
      </c>
      <c r="AD31">
        <f>HYPERLINK("https://klasma.github.io/Logging_2161/tillsynsmail/A 30892-2026 tillsynsbegäran mail.docx", "A 30892-2026")</f>
        <v/>
      </c>
      <c r="AE31">
        <f>HYPERLINK("https://klasma.github.io/Logging_2161/fåglar/A 30892-2026 prioriterade fågelarter.docx", "A 30892-2026")</f>
        <v/>
      </c>
    </row>
    <row r="32" ht="15" customHeight="1">
      <c r="A32" t="inlineStr">
        <is>
          <t>A 8671-2022</t>
        </is>
      </c>
      <c r="B32" t="inlineStr">
        <is>
          <t>avverkningsanmälan</t>
        </is>
      </c>
      <c r="C32" t="inlineStr">
        <is>
          <t>Föryngringsavverkning</t>
        </is>
      </c>
      <c r="D32" s="1" t="n">
        <v>44613</v>
      </c>
      <c r="E32" s="1" t="n">
        <v>46326</v>
      </c>
      <c r="F32" t="inlineStr">
        <is>
          <t>GÄVLEBORGS LÄN</t>
        </is>
      </c>
      <c r="G32" t="inlineStr">
        <is>
          <t>HUDIKSVALL</t>
        </is>
      </c>
      <c r="I32" t="n">
        <v>13.7</v>
      </c>
      <c r="J32" t="n">
        <v>0</v>
      </c>
      <c r="K32" t="n">
        <v>4</v>
      </c>
      <c r="L32" t="n">
        <v>9</v>
      </c>
      <c r="M32" t="n">
        <v>3</v>
      </c>
      <c r="N32" t="n">
        <v>0</v>
      </c>
      <c r="O32" t="n">
        <v>0</v>
      </c>
      <c r="P32" t="n">
        <v>0</v>
      </c>
      <c r="Q32" t="n">
        <v>12</v>
      </c>
      <c r="R32" t="n">
        <v>3</v>
      </c>
      <c r="S32" t="n">
        <v>16</v>
      </c>
      <c r="T32" t="n">
        <v>33</v>
      </c>
      <c r="U32" t="n">
        <v>20</v>
      </c>
      <c r="V32" s="2" t="inlineStr">
        <is>
          <t>Aspgelélav
Garnlav
Gränsticka
Doftskinn
Kattfotslav
Kortskaftad ärgspik
Lunglav
Rosenticka
Rynkskinn
Småflikig brosklav
Tallticka
Ullticka
Barkticka
Korallblylav
Stor aspticka
Trådticka</t>
        </is>
      </c>
      <c r="W32">
        <f>HYPERLINK("https://klasma.github.io/Logging_2184/artfynd/A 8671-2022 artfynd.xlsx", "A 8671-2022")</f>
        <v/>
      </c>
      <c r="X32">
        <f>HYPERLINK("https://klasma.github.io/Logging_2184/kartor/A 8671-2022 karta.png", "A 8671-2022")</f>
        <v/>
      </c>
      <c r="Y32">
        <f>HYPERLINK("https://klasma.github.io/Logging_2184/kartor_geotiff/A 8671-2022 georefererad karta.tif", "A 8671-2022")</f>
        <v/>
      </c>
      <c r="AA32">
        <f>HYPERLINK("https://klasma.github.io/Logging_2184/klagomål/A 8671-2022 FSC-klagomål.docx", "A 8671-2022")</f>
        <v/>
      </c>
      <c r="AB32">
        <f>HYPERLINK("https://klasma.github.io/Logging_2184/klagomålsmail/A 8671-2022 FSC-klagomål mail.docx", "A 8671-2022")</f>
        <v/>
      </c>
      <c r="AC32">
        <f>HYPERLINK("https://klasma.github.io/Logging_2184/tillsyn/A 8671-2022 tillsynsbegäran.docx", "A 8671-2022")</f>
        <v/>
      </c>
      <c r="AD32">
        <f>HYPERLINK("https://klasma.github.io/Logging_2184/tillsynsmail/A 8671-2022 tillsynsbegäran mail.docx", "A 8671-2022")</f>
        <v/>
      </c>
    </row>
    <row r="33" ht="15" customHeight="1">
      <c r="A33" t="inlineStr">
        <is>
          <t>A 24423-2026</t>
        </is>
      </c>
      <c r="B33" t="inlineStr">
        <is>
          <t>avverkningsanmälan</t>
        </is>
      </c>
      <c r="C33" t="inlineStr">
        <is>
          <t>Föryngringsavverkning</t>
        </is>
      </c>
      <c r="D33" s="1" t="n">
        <v>46168</v>
      </c>
      <c r="E33" s="1" t="n">
        <v>46326</v>
      </c>
      <c r="F33" t="inlineStr">
        <is>
          <t>GÄVLEBORGS LÄN</t>
        </is>
      </c>
      <c r="G33" t="inlineStr">
        <is>
          <t>LJUSDAL</t>
        </is>
      </c>
      <c r="H33" t="inlineStr">
        <is>
          <t>Bergvik skog väst AB</t>
        </is>
      </c>
      <c r="I33" t="n">
        <v>11.6</v>
      </c>
      <c r="J33" t="n">
        <v>3</v>
      </c>
      <c r="K33" t="n">
        <v>6</v>
      </c>
      <c r="L33" t="n">
        <v>7</v>
      </c>
      <c r="M33" t="n">
        <v>2</v>
      </c>
      <c r="N33" t="n">
        <v>0</v>
      </c>
      <c r="O33" t="n">
        <v>0</v>
      </c>
      <c r="P33" t="n">
        <v>0</v>
      </c>
      <c r="Q33" t="n">
        <v>9</v>
      </c>
      <c r="R33" t="n">
        <v>2</v>
      </c>
      <c r="S33" t="n">
        <v>16</v>
      </c>
      <c r="T33" t="n">
        <v>62</v>
      </c>
      <c r="U33" t="n">
        <v>0</v>
      </c>
      <c r="V33" s="2" t="inlineStr">
        <is>
          <t>Garnlav
Knärot
Doftskinn
Kolflarnlav
Lunglav
Mörk kolflarnlav
Tretåig hackspett
Ullticka
Vitgrynig nållav
Bårdlav
Gulnål
Korallblylav
Norrlandslav
Stuplav
Vedticka
Revlummer</t>
        </is>
      </c>
      <c r="W33">
        <f>HYPERLINK("https://klasma.github.io/Logging_2161/artfynd/A 24423-2026 artfynd.xlsx", "A 24423-2026")</f>
        <v/>
      </c>
      <c r="X33">
        <f>HYPERLINK("https://klasma.github.io/Logging_2161/kartor/A 24423-2026 karta.png", "A 24423-2026")</f>
        <v/>
      </c>
      <c r="Y33">
        <f>HYPERLINK("https://klasma.github.io/Logging_2161/kartor_geotiff/A 24423-2026 georefererad karta.tif", "A 24423-2026")</f>
        <v/>
      </c>
      <c r="Z33">
        <f>HYPERLINK("https://klasma.github.io/Logging_2161/knärot/A 24423-2026 karta knärot.png", "A 24423-2026")</f>
        <v/>
      </c>
      <c r="AA33">
        <f>HYPERLINK("https://klasma.github.io/Logging_2161/klagomål/A 24423-2026 FSC-klagomål.docx", "A 24423-2026")</f>
        <v/>
      </c>
      <c r="AB33">
        <f>HYPERLINK("https://klasma.github.io/Logging_2161/klagomålsmail/A 24423-2026 FSC-klagomål mail.docx", "A 24423-2026")</f>
        <v/>
      </c>
      <c r="AC33">
        <f>HYPERLINK("https://klasma.github.io/Logging_2161/tillsyn/A 24423-2026 tillsynsbegäran.docx", "A 24423-2026")</f>
        <v/>
      </c>
      <c r="AD33">
        <f>HYPERLINK("https://klasma.github.io/Logging_2161/tillsynsmail/A 24423-2026 tillsynsbegäran mail.docx", "A 24423-2026")</f>
        <v/>
      </c>
      <c r="AE33">
        <f>HYPERLINK("https://klasma.github.io/Logging_2161/fåglar/A 24423-2026 prioriterade fågelarter.docx", "A 24423-2026")</f>
        <v/>
      </c>
    </row>
    <row r="34" ht="15" customHeight="1">
      <c r="A34" t="inlineStr">
        <is>
          <t>A 25595-2025</t>
        </is>
      </c>
      <c r="B34" t="inlineStr">
        <is>
          <t>avverkningsanmälan</t>
        </is>
      </c>
      <c r="C34" t="inlineStr">
        <is>
          <t>Föryngringsavverkning</t>
        </is>
      </c>
      <c r="D34" s="1" t="n">
        <v>45803</v>
      </c>
      <c r="E34" s="1" t="n">
        <v>46326</v>
      </c>
      <c r="F34" t="inlineStr">
        <is>
          <t>GÄVLEBORGS LÄN</t>
        </is>
      </c>
      <c r="G34" t="inlineStr">
        <is>
          <t>LJUSDAL</t>
        </is>
      </c>
      <c r="I34" t="n">
        <v>7</v>
      </c>
      <c r="J34" t="n">
        <v>5</v>
      </c>
      <c r="K34" t="n">
        <v>1</v>
      </c>
      <c r="L34" t="n">
        <v>7</v>
      </c>
      <c r="M34" t="n">
        <v>4</v>
      </c>
      <c r="N34" t="n">
        <v>0</v>
      </c>
      <c r="O34" t="n">
        <v>0</v>
      </c>
      <c r="P34" t="n">
        <v>0</v>
      </c>
      <c r="Q34" t="n">
        <v>11</v>
      </c>
      <c r="R34" t="n">
        <v>4</v>
      </c>
      <c r="S34" t="n">
        <v>16</v>
      </c>
      <c r="T34" t="n">
        <v>119</v>
      </c>
      <c r="U34" t="n">
        <v>119</v>
      </c>
      <c r="V34" s="2" t="inlineStr">
        <is>
          <t>Garnlav
Gräddporing
Gräddticka
Knärot
Dropptaggsvamp
Dvärgbägarlav
Kolflarnlav
Mörk kolflarnlav
Nordtagging
Vedskivlav
Violettgrå tagellav
Mindre märgborre
Spillkråka
Tjäder
Fläcknycklar
Revlummer</t>
        </is>
      </c>
      <c r="W34">
        <f>HYPERLINK("https://klasma.github.io/Logging_2161/artfynd/A 25595-2025 artfynd.xlsx", "A 25595-2025")</f>
        <v/>
      </c>
      <c r="X34">
        <f>HYPERLINK("https://klasma.github.io/Logging_2161/kartor/A 25595-2025 karta.png", "A 25595-2025")</f>
        <v/>
      </c>
      <c r="Y34">
        <f>HYPERLINK("https://klasma.github.io/Logging_2161/kartor_geotiff/A 25595-2025 georefererad karta.tif", "A 25595-2025")</f>
        <v/>
      </c>
      <c r="Z34">
        <f>HYPERLINK("https://klasma.github.io/Logging_2161/knärot/A 25595-2025 karta knärot.png", "A 25595-2025")</f>
        <v/>
      </c>
      <c r="AA34">
        <f>HYPERLINK("https://klasma.github.io/Logging_2161/klagomål/A 25595-2025 FSC-klagomål.docx", "A 25595-2025")</f>
        <v/>
      </c>
      <c r="AB34">
        <f>HYPERLINK("https://klasma.github.io/Logging_2161/klagomålsmail/A 25595-2025 FSC-klagomål mail.docx", "A 25595-2025")</f>
        <v/>
      </c>
      <c r="AC34">
        <f>HYPERLINK("https://klasma.github.io/Logging_2161/tillsyn/A 25595-2025 tillsynsbegäran.docx", "A 25595-2025")</f>
        <v/>
      </c>
      <c r="AD34">
        <f>HYPERLINK("https://klasma.github.io/Logging_2161/tillsynsmail/A 25595-2025 tillsynsbegäran mail.docx", "A 25595-2025")</f>
        <v/>
      </c>
      <c r="AE34">
        <f>HYPERLINK("https://klasma.github.io/Logging_2161/fåglar/A 25595-2025 prioriterade fågelarter.docx", "A 25595-2025")</f>
        <v/>
      </c>
    </row>
    <row r="35" ht="15" customHeight="1">
      <c r="A35" t="inlineStr">
        <is>
          <t>A 38648-2025</t>
        </is>
      </c>
      <c r="B35" t="inlineStr">
        <is>
          <t>avverkningsanmälan</t>
        </is>
      </c>
      <c r="C35" t="inlineStr">
        <is>
          <t>Föryngringsavverkning</t>
        </is>
      </c>
      <c r="D35" s="1" t="n">
        <v>45884</v>
      </c>
      <c r="E35" s="1" t="n">
        <v>46326</v>
      </c>
      <c r="F35" t="inlineStr">
        <is>
          <t>GÄVLEBORGS LÄN</t>
        </is>
      </c>
      <c r="G35" t="inlineStr">
        <is>
          <t>LJUSDAL</t>
        </is>
      </c>
      <c r="H35" t="inlineStr">
        <is>
          <t>Allmännings- och besparingsskogar</t>
        </is>
      </c>
      <c r="I35" t="n">
        <v>3.2</v>
      </c>
      <c r="J35" t="n">
        <v>3</v>
      </c>
      <c r="K35" t="n">
        <v>2</v>
      </c>
      <c r="L35" t="n">
        <v>10</v>
      </c>
      <c r="M35" t="n">
        <v>1</v>
      </c>
      <c r="N35" t="n">
        <v>0</v>
      </c>
      <c r="O35" t="n">
        <v>0</v>
      </c>
      <c r="P35" t="n">
        <v>0</v>
      </c>
      <c r="Q35" t="n">
        <v>11</v>
      </c>
      <c r="R35" t="n">
        <v>1</v>
      </c>
      <c r="S35" t="n">
        <v>15</v>
      </c>
      <c r="T35" t="n">
        <v>72</v>
      </c>
      <c r="U35" t="n">
        <v>72</v>
      </c>
      <c r="V35" s="2" t="inlineStr">
        <is>
          <t>Garnlav
Blanksvart spiklav
Dropptaggsvamp
Dvärgbägarlav
Kolflarnlav
Mörk kolflarnlav
Tallticka
Tretåig hackspett
Vedflamlav
Vedskivlav
Violettgrå tagellav
Mindre märgborre
Stuplav
Spillkråka
Fläcknycklar</t>
        </is>
      </c>
      <c r="W35">
        <f>HYPERLINK("https://klasma.github.io/Logging_2161/artfynd/A 38648-2025 artfynd.xlsx", "A 38648-2025")</f>
        <v/>
      </c>
      <c r="X35">
        <f>HYPERLINK("https://klasma.github.io/Logging_2161/kartor/A 38648-2025 karta.png", "A 38648-2025")</f>
        <v/>
      </c>
      <c r="Y35">
        <f>HYPERLINK("https://klasma.github.io/Logging_2161/kartor_geotiff/A 38648-2025 georefererad karta.tif", "A 38648-2025")</f>
        <v/>
      </c>
      <c r="AA35">
        <f>HYPERLINK("https://klasma.github.io/Logging_2161/klagomål/A 38648-2025 FSC-klagomål.docx", "A 38648-2025")</f>
        <v/>
      </c>
      <c r="AB35">
        <f>HYPERLINK("https://klasma.github.io/Logging_2161/klagomålsmail/A 38648-2025 FSC-klagomål mail.docx", "A 38648-2025")</f>
        <v/>
      </c>
      <c r="AC35">
        <f>HYPERLINK("https://klasma.github.io/Logging_2161/tillsyn/A 38648-2025 tillsynsbegäran.docx", "A 38648-2025")</f>
        <v/>
      </c>
      <c r="AD35">
        <f>HYPERLINK("https://klasma.github.io/Logging_2161/tillsynsmail/A 38648-2025 tillsynsbegäran mail.docx", "A 38648-2025")</f>
        <v/>
      </c>
      <c r="AE35">
        <f>HYPERLINK("https://klasma.github.io/Logging_2161/fåglar/A 38648-2025 prioriterade fågelarter.docx", "A 38648-2025")</f>
        <v/>
      </c>
    </row>
    <row r="36" ht="15" customHeight="1">
      <c r="A36" t="inlineStr">
        <is>
          <t>A 58087-2025</t>
        </is>
      </c>
      <c r="B36" t="inlineStr">
        <is>
          <t>avverkningsanmälan</t>
        </is>
      </c>
      <c r="C36" t="inlineStr">
        <is>
          <t>Föryngringsavverkning</t>
        </is>
      </c>
      <c r="D36" s="1" t="n">
        <v>45982</v>
      </c>
      <c r="E36" s="1" t="n">
        <v>46326</v>
      </c>
      <c r="F36" t="inlineStr">
        <is>
          <t>GÄVLEBORGS LÄN</t>
        </is>
      </c>
      <c r="G36" t="inlineStr">
        <is>
          <t>SÖDERHAMN</t>
        </is>
      </c>
      <c r="I36" t="n">
        <v>2.2</v>
      </c>
      <c r="J36" t="n">
        <v>3</v>
      </c>
      <c r="K36" t="n">
        <v>1</v>
      </c>
      <c r="L36" t="n">
        <v>6</v>
      </c>
      <c r="M36" t="n">
        <v>3</v>
      </c>
      <c r="N36" t="n">
        <v>2</v>
      </c>
      <c r="O36" t="n">
        <v>0</v>
      </c>
      <c r="P36" t="n">
        <v>0</v>
      </c>
      <c r="Q36" t="n">
        <v>11</v>
      </c>
      <c r="R36" t="n">
        <v>5</v>
      </c>
      <c r="S36" t="n">
        <v>15</v>
      </c>
      <c r="T36" t="n">
        <v>15</v>
      </c>
      <c r="U36" t="n">
        <v>2</v>
      </c>
      <c r="V36" s="2" t="inlineStr">
        <is>
          <t>Bitter taggsvamp
Violgubbe
Brunfläckig pärlemorfjäril
Gul taggsvamp
Silverblåvinge
Berggräsfjäril
Fjällig taggsvamp s.str.
Kandelabersvamp
Koralltaggsvamp
Motaggsvamp
Svart skogssnigel
Zontaggsvamp
Kopparödla
Vanlig padda
Skogsnattviol × grönvit nattviol</t>
        </is>
      </c>
      <c r="W36">
        <f>HYPERLINK("https://klasma.github.io/Logging_2182/artfynd/A 58087-2025 artfynd.xlsx", "A 58087-2025")</f>
        <v/>
      </c>
      <c r="X36">
        <f>HYPERLINK("https://klasma.github.io/Logging_2182/kartor/A 58087-2025 karta.png", "A 58087-2025")</f>
        <v/>
      </c>
      <c r="Y36">
        <f>HYPERLINK("https://klasma.github.io/Logging_2182/kartor_geotiff/A 58087-2025 georefererad karta.tif", "A 58087-2025")</f>
        <v/>
      </c>
      <c r="AA36">
        <f>HYPERLINK("https://klasma.github.io/Logging_2182/klagomål/A 58087-2025 FSC-klagomål.docx", "A 58087-2025")</f>
        <v/>
      </c>
      <c r="AB36">
        <f>HYPERLINK("https://klasma.github.io/Logging_2182/klagomålsmail/A 58087-2025 FSC-klagomål mail.docx", "A 58087-2025")</f>
        <v/>
      </c>
      <c r="AC36">
        <f>HYPERLINK("https://klasma.github.io/Logging_2182/tillsyn/A 58087-2025 tillsynsbegäran.docx", "A 58087-2025")</f>
        <v/>
      </c>
      <c r="AD36">
        <f>HYPERLINK("https://klasma.github.io/Logging_2182/tillsynsmail/A 58087-2025 tillsynsbegäran mail.docx", "A 58087-2025")</f>
        <v/>
      </c>
    </row>
    <row r="37" ht="15" customHeight="1">
      <c r="A37" t="inlineStr">
        <is>
          <t>A 59809-2025</t>
        </is>
      </c>
      <c r="B37" t="inlineStr">
        <is>
          <t>avverkningsanmälan</t>
        </is>
      </c>
      <c r="C37" t="inlineStr">
        <is>
          <t>Föryngringsavverkning</t>
        </is>
      </c>
      <c r="D37" s="1" t="n">
        <v>45992</v>
      </c>
      <c r="E37" s="1" t="n">
        <v>46326</v>
      </c>
      <c r="F37" t="inlineStr">
        <is>
          <t>GÄVLEBORGS LÄN</t>
        </is>
      </c>
      <c r="G37" t="inlineStr">
        <is>
          <t>LJUSDAL</t>
        </is>
      </c>
      <c r="H37" t="inlineStr">
        <is>
          <t>Allmännings- och besparingsskogar</t>
        </is>
      </c>
      <c r="I37" t="n">
        <v>12.7</v>
      </c>
      <c r="J37" t="n">
        <v>4</v>
      </c>
      <c r="K37" t="n">
        <v>1</v>
      </c>
      <c r="L37" t="n">
        <v>11</v>
      </c>
      <c r="M37" t="n">
        <v>1</v>
      </c>
      <c r="N37" t="n">
        <v>0</v>
      </c>
      <c r="O37" t="n">
        <v>0</v>
      </c>
      <c r="P37" t="n">
        <v>0</v>
      </c>
      <c r="Q37" t="n">
        <v>12</v>
      </c>
      <c r="R37" t="n">
        <v>1</v>
      </c>
      <c r="S37" t="n">
        <v>15</v>
      </c>
      <c r="T37" t="n">
        <v>116</v>
      </c>
      <c r="U37" t="n">
        <v>116</v>
      </c>
      <c r="V37" s="2" t="inlineStr">
        <is>
          <t>Garnlav
Blanksvart spiklav
Blågrå svartspik
Dropptaggsvamp
Dvärgbägarlav
Kolflarnlav
Mörk kolflarnlav
Tallticka
Talltita
Tretåig hackspett
Vedflamlav
Vedskivlav
Mindre märgborre
Tjäder
Orre</t>
        </is>
      </c>
      <c r="W37">
        <f>HYPERLINK("https://klasma.github.io/Logging_2161/artfynd/A 59809-2025 artfynd.xlsx", "A 59809-2025")</f>
        <v/>
      </c>
      <c r="X37">
        <f>HYPERLINK("https://klasma.github.io/Logging_2161/kartor/A 59809-2025 karta.png", "A 59809-2025")</f>
        <v/>
      </c>
      <c r="Y37">
        <f>HYPERLINK("https://klasma.github.io/Logging_2161/kartor_geotiff/A 59809-2025 georefererad karta.tif", "A 59809-2025")</f>
        <v/>
      </c>
      <c r="AA37">
        <f>HYPERLINK("https://klasma.github.io/Logging_2161/klagomål/A 59809-2025 FSC-klagomål.docx", "A 59809-2025")</f>
        <v/>
      </c>
      <c r="AB37">
        <f>HYPERLINK("https://klasma.github.io/Logging_2161/klagomålsmail/A 59809-2025 FSC-klagomål mail.docx", "A 59809-2025")</f>
        <v/>
      </c>
      <c r="AC37">
        <f>HYPERLINK("https://klasma.github.io/Logging_2161/tillsyn/A 59809-2025 tillsynsbegäran.docx", "A 59809-2025")</f>
        <v/>
      </c>
      <c r="AD37">
        <f>HYPERLINK("https://klasma.github.io/Logging_2161/tillsynsmail/A 59809-2025 tillsynsbegäran mail.docx", "A 59809-2025")</f>
        <v/>
      </c>
      <c r="AE37">
        <f>HYPERLINK("https://klasma.github.io/Logging_2161/fåglar/A 59809-2025 prioriterade fågelarter.docx", "A 59809-2025")</f>
        <v/>
      </c>
    </row>
    <row r="38" ht="15" customHeight="1">
      <c r="A38" t="inlineStr">
        <is>
          <t>A 54495-2025</t>
        </is>
      </c>
      <c r="B38" t="inlineStr">
        <is>
          <t>avverkningsanmälan</t>
        </is>
      </c>
      <c r="C38" t="inlineStr">
        <is>
          <t>Föryngringsavverkning</t>
        </is>
      </c>
      <c r="D38" s="1" t="n">
        <v>45965</v>
      </c>
      <c r="E38" s="1" t="n">
        <v>46326</v>
      </c>
      <c r="F38" t="inlineStr">
        <is>
          <t>GÄVLEBORGS LÄN</t>
        </is>
      </c>
      <c r="G38" t="inlineStr">
        <is>
          <t>LJUSDAL</t>
        </is>
      </c>
      <c r="H38" t="inlineStr">
        <is>
          <t>Allmännings- och besparingsskogar</t>
        </is>
      </c>
      <c r="I38" t="n">
        <v>12.8</v>
      </c>
      <c r="J38" t="n">
        <v>4</v>
      </c>
      <c r="K38" t="n">
        <v>1</v>
      </c>
      <c r="L38" t="n">
        <v>10</v>
      </c>
      <c r="M38" t="n">
        <v>2</v>
      </c>
      <c r="N38" t="n">
        <v>0</v>
      </c>
      <c r="O38" t="n">
        <v>0</v>
      </c>
      <c r="P38" t="n">
        <v>0</v>
      </c>
      <c r="Q38" t="n">
        <v>12</v>
      </c>
      <c r="R38" t="n">
        <v>2</v>
      </c>
      <c r="S38" t="n">
        <v>15</v>
      </c>
      <c r="T38" t="n">
        <v>99</v>
      </c>
      <c r="U38" t="n">
        <v>99</v>
      </c>
      <c r="V38" s="2" t="inlineStr">
        <is>
          <t>Garnlav
Gränsticka
Blanksvart spiklav
Dvärgbägarlav
Kortskaftad ärgspik
Lavskrika
Mörk kolflarnlav
Tretåig hackspett
Ullticka
Vedflamlav
Vedskivlav
Violettgrå tagellav
Nästlav
Spillkråka
Tjäder</t>
        </is>
      </c>
      <c r="W38">
        <f>HYPERLINK("https://klasma.github.io/Logging_2161/artfynd/A 54495-2025 artfynd.xlsx", "A 54495-2025")</f>
        <v/>
      </c>
      <c r="X38">
        <f>HYPERLINK("https://klasma.github.io/Logging_2161/kartor/A 54495-2025 karta.png", "A 54495-2025")</f>
        <v/>
      </c>
      <c r="Y38">
        <f>HYPERLINK("https://klasma.github.io/Logging_2161/kartor_geotiff/A 54495-2025 georefererad karta.tif", "A 54495-2025")</f>
        <v/>
      </c>
      <c r="AA38">
        <f>HYPERLINK("https://klasma.github.io/Logging_2161/klagomål/A 54495-2025 FSC-klagomål.docx", "A 54495-2025")</f>
        <v/>
      </c>
      <c r="AB38">
        <f>HYPERLINK("https://klasma.github.io/Logging_2161/klagomålsmail/A 54495-2025 FSC-klagomål mail.docx", "A 54495-2025")</f>
        <v/>
      </c>
      <c r="AC38">
        <f>HYPERLINK("https://klasma.github.io/Logging_2161/tillsyn/A 54495-2025 tillsynsbegäran.docx", "A 54495-2025")</f>
        <v/>
      </c>
      <c r="AD38">
        <f>HYPERLINK("https://klasma.github.io/Logging_2161/tillsynsmail/A 54495-2025 tillsynsbegäran mail.docx", "A 54495-2025")</f>
        <v/>
      </c>
      <c r="AE38">
        <f>HYPERLINK("https://klasma.github.io/Logging_2161/fåglar/A 54495-2025 prioriterade fågelarter.docx", "A 54495-2025")</f>
        <v/>
      </c>
    </row>
    <row r="39" ht="15" customHeight="1">
      <c r="A39" t="inlineStr">
        <is>
          <t>A 57608-2022</t>
        </is>
      </c>
      <c r="B39" t="inlineStr">
        <is>
          <t>avverkningsanmälan</t>
        </is>
      </c>
      <c r="C39" t="inlineStr">
        <is>
          <t>Föryngringsavverkning</t>
        </is>
      </c>
      <c r="D39" s="1" t="n">
        <v>44897</v>
      </c>
      <c r="E39" s="1" t="n">
        <v>46326</v>
      </c>
      <c r="F39" t="inlineStr">
        <is>
          <t>GÄVLEBORGS LÄN</t>
        </is>
      </c>
      <c r="G39" t="inlineStr">
        <is>
          <t>HUDIKSVALL</t>
        </is>
      </c>
      <c r="H39" t="inlineStr">
        <is>
          <t>Naturvårdsverket</t>
        </is>
      </c>
      <c r="I39" t="n">
        <v>18.5</v>
      </c>
      <c r="J39" t="n">
        <v>3</v>
      </c>
      <c r="K39" t="n">
        <v>3</v>
      </c>
      <c r="L39" t="n">
        <v>7</v>
      </c>
      <c r="M39" t="n">
        <v>3</v>
      </c>
      <c r="N39" t="n">
        <v>0</v>
      </c>
      <c r="O39" t="n">
        <v>0</v>
      </c>
      <c r="P39" t="n">
        <v>0</v>
      </c>
      <c r="Q39" t="n">
        <v>10</v>
      </c>
      <c r="R39" t="n">
        <v>3</v>
      </c>
      <c r="S39" t="n">
        <v>15</v>
      </c>
      <c r="T39" t="n">
        <v>21</v>
      </c>
      <c r="U39" t="n">
        <v>6</v>
      </c>
      <c r="V39" s="2" t="inlineStr">
        <is>
          <t>Aspgelélav
Garnlav
Knärot
Blanksvart spiklav
Blågrå svartspik
Kattfotslav
Lunglav
Ullticka
Violettgrå tagellav
Vitgrynig nållav
Korallblylav
Skinnlav
Stor aspticka
Blåsippa
Fläcknycklar</t>
        </is>
      </c>
      <c r="W39">
        <f>HYPERLINK("https://klasma.github.io/Logging_2184/artfynd/A 57608-2022 artfynd.xlsx", "A 57608-2022")</f>
        <v/>
      </c>
      <c r="X39">
        <f>HYPERLINK("https://klasma.github.io/Logging_2184/kartor/A 57608-2022 karta.png", "A 57608-2022")</f>
        <v/>
      </c>
      <c r="Y39">
        <f>HYPERLINK("https://klasma.github.io/Logging_2184/kartor_geotiff/A 57608-2022 georefererad karta.tif", "A 57608-2022")</f>
        <v/>
      </c>
      <c r="Z39">
        <f>HYPERLINK("https://klasma.github.io/Logging_2184/knärot/A 57608-2022 karta knärot.png", "A 57608-2022")</f>
        <v/>
      </c>
      <c r="AA39">
        <f>HYPERLINK("https://klasma.github.io/Logging_2184/klagomål/A 57608-2022 FSC-klagomål.docx", "A 57608-2022")</f>
        <v/>
      </c>
      <c r="AB39">
        <f>HYPERLINK("https://klasma.github.io/Logging_2184/klagomålsmail/A 57608-2022 FSC-klagomål mail.docx", "A 57608-2022")</f>
        <v/>
      </c>
      <c r="AC39">
        <f>HYPERLINK("https://klasma.github.io/Logging_2184/tillsyn/A 57608-2022 tillsynsbegäran.docx", "A 57608-2022")</f>
        <v/>
      </c>
      <c r="AD39">
        <f>HYPERLINK("https://klasma.github.io/Logging_2184/tillsynsmail/A 57608-2022 tillsynsbegäran mail.docx", "A 57608-2022")</f>
        <v/>
      </c>
    </row>
    <row r="40" ht="15" customHeight="1">
      <c r="A40" t="inlineStr">
        <is>
          <t>S 1075-2022</t>
        </is>
      </c>
      <c r="B40" t="inlineStr">
        <is>
          <t>samrådsanmälan</t>
        </is>
      </c>
      <c r="C40" t="inlineStr">
        <is>
          <t>Skogsgödsling</t>
        </is>
      </c>
      <c r="D40" s="1" t="n">
        <v>44614</v>
      </c>
      <c r="E40" s="1" t="n">
        <v>46326</v>
      </c>
      <c r="F40" t="inlineStr">
        <is>
          <t>GÄVLEBORGS LÄN</t>
        </is>
      </c>
      <c r="G40" t="inlineStr">
        <is>
          <t>LJUSDAL</t>
        </is>
      </c>
      <c r="H40" t="inlineStr">
        <is>
          <t>Bergvik skog väst AB</t>
        </is>
      </c>
      <c r="I40" t="n">
        <v>498.3</v>
      </c>
      <c r="J40" t="n">
        <v>2</v>
      </c>
      <c r="K40" t="n">
        <v>3</v>
      </c>
      <c r="L40" t="n">
        <v>10</v>
      </c>
      <c r="M40" t="n">
        <v>2</v>
      </c>
      <c r="N40" t="n">
        <v>0</v>
      </c>
      <c r="O40" t="n">
        <v>0</v>
      </c>
      <c r="P40" t="n">
        <v>0</v>
      </c>
      <c r="Q40" t="n">
        <v>12</v>
      </c>
      <c r="R40" t="n">
        <v>2</v>
      </c>
      <c r="S40" t="n">
        <v>15</v>
      </c>
      <c r="T40" t="n">
        <v>19</v>
      </c>
      <c r="U40" t="n">
        <v>19</v>
      </c>
      <c r="V40" s="2" t="inlineStr">
        <is>
          <t>Garnlav
Knärot
Blanksvart spiklav
Blågrå svartspik
Kortskaftad ärgspik
Lunglav
Mörk kolflarnlav
Skrovellav
Tallticka
Vaddporing
Vedflamlav
Vedskivlav
Korallrot
Skinnlav
Svavelriska</t>
        </is>
      </c>
      <c r="W40">
        <f>HYPERLINK("https://klasma.github.io/Logging_2161/artfynd/S 1075-2022 artfynd.xlsx", "S 1075-2022")</f>
        <v/>
      </c>
      <c r="X40">
        <f>HYPERLINK("https://klasma.github.io/Logging_2161/kartor/S 1075-2022 karta.png", "S 1075-2022")</f>
        <v/>
      </c>
      <c r="Y40">
        <f>HYPERLINK("https://klasma.github.io/Logging_2161/kartor_geotiff/S 1075-2022 georefererad karta.tif", "S 1075-2022")</f>
        <v/>
      </c>
      <c r="Z40">
        <f>HYPERLINK("https://klasma.github.io/Logging_2161/knärot/S 1075-2022 karta knärot.png", "S 1075-2022")</f>
        <v/>
      </c>
      <c r="AA40">
        <f>HYPERLINK("https://klasma.github.io/Logging_2161/klagomål/S 1075-2022 FSC-klagomål.docx", "S 1075-2022")</f>
        <v/>
      </c>
      <c r="AB40">
        <f>HYPERLINK("https://klasma.github.io/Logging_2161/klagomålsmail/S 1075-2022 FSC-klagomål mail.docx", "S 1075-2022")</f>
        <v/>
      </c>
      <c r="AC40">
        <f>HYPERLINK("https://klasma.github.io/Logging_2161/tillsyn/S 1075-2022 tillsynsbegäran.docx", "S 1075-2022")</f>
        <v/>
      </c>
      <c r="AD40">
        <f>HYPERLINK("https://klasma.github.io/Logging_2161/tillsynsmail/S 1075-2022 tillsynsbegäran mail.docx", "S 1075-2022")</f>
        <v/>
      </c>
    </row>
    <row r="41" ht="15" customHeight="1">
      <c r="A41" t="inlineStr">
        <is>
          <t>S 10124-2021</t>
        </is>
      </c>
      <c r="B41" t="inlineStr">
        <is>
          <t>samrådsanmälan</t>
        </is>
      </c>
      <c r="C41" t="inlineStr">
        <is>
          <t>Skogsgödsling</t>
        </is>
      </c>
      <c r="D41" s="1" t="n">
        <v>44538</v>
      </c>
      <c r="E41" s="1" t="n">
        <v>46326</v>
      </c>
      <c r="F41" t="inlineStr">
        <is>
          <t>GÄVLEBORGS LÄN</t>
        </is>
      </c>
      <c r="G41" t="inlineStr">
        <is>
          <t>HUDIKSVALL</t>
        </is>
      </c>
      <c r="H41" t="inlineStr">
        <is>
          <t>Holmen skog AB</t>
        </is>
      </c>
      <c r="I41" t="n">
        <v>2052</v>
      </c>
      <c r="J41" t="n">
        <v>7</v>
      </c>
      <c r="K41" t="n">
        <v>3</v>
      </c>
      <c r="L41" t="n">
        <v>5</v>
      </c>
      <c r="M41" t="n">
        <v>2</v>
      </c>
      <c r="N41" t="n">
        <v>0</v>
      </c>
      <c r="O41" t="n">
        <v>0</v>
      </c>
      <c r="P41" t="n">
        <v>0</v>
      </c>
      <c r="Q41" t="n">
        <v>7</v>
      </c>
      <c r="R41" t="n">
        <v>2</v>
      </c>
      <c r="S41" t="n">
        <v>15</v>
      </c>
      <c r="T41" t="n">
        <v>25</v>
      </c>
      <c r="U41" t="n">
        <v>15</v>
      </c>
      <c r="V41" s="2" t="inlineStr">
        <is>
          <t>Garnlav
Knärot
Kortskaftad ärgspik
Lunglav
Talltita
Violettgrå tagellav
Vitgrynig nållav
Barkkornlav
Vedticka
Vågbandad barkbock
Gråspett
Tjäder
Fjällvråk
Fläcknycklar
Revlummer</t>
        </is>
      </c>
      <c r="W41">
        <f>HYPERLINK("https://klasma.github.io/Logging_2184/artfynd/S 10124-2021 artfynd.xlsx", "S 10124-2021")</f>
        <v/>
      </c>
      <c r="X41">
        <f>HYPERLINK("https://klasma.github.io/Logging_2184/kartor/S 10124-2021 karta.png", "S 10124-2021")</f>
        <v/>
      </c>
      <c r="Y41">
        <f>HYPERLINK("https://klasma.github.io/Logging_2184/kartor_geotiff/S 10124-2021 georefererad karta.tif", "S 10124-2021")</f>
        <v/>
      </c>
      <c r="Z41">
        <f>HYPERLINK("https://klasma.github.io/Logging_2184/knärot/S 10124-2021 karta knärot.png", "S 10124-2021")</f>
        <v/>
      </c>
      <c r="AA41">
        <f>HYPERLINK("https://klasma.github.io/Logging_2184/klagomål/S 10124-2021 FSC-klagomål.docx", "S 10124-2021")</f>
        <v/>
      </c>
      <c r="AB41">
        <f>HYPERLINK("https://klasma.github.io/Logging_2184/klagomålsmail/S 10124-2021 FSC-klagomål mail.docx", "S 10124-2021")</f>
        <v/>
      </c>
      <c r="AC41">
        <f>HYPERLINK("https://klasma.github.io/Logging_2184/tillsyn/S 10124-2021 tillsynsbegäran.docx", "S 10124-2021")</f>
        <v/>
      </c>
      <c r="AD41">
        <f>HYPERLINK("https://klasma.github.io/Logging_2184/tillsynsmail/S 10124-2021 tillsynsbegäran mail.docx", "S 10124-2021")</f>
        <v/>
      </c>
      <c r="AE41">
        <f>HYPERLINK("https://klasma.github.io/Logging_2184/fåglar/S 10124-2021 prioriterade fågelarter.docx", "S 10124-2021")</f>
        <v/>
      </c>
    </row>
    <row r="42" ht="15" customHeight="1">
      <c r="A42" t="inlineStr">
        <is>
          <t>A 19521-2023</t>
        </is>
      </c>
      <c r="B42" t="inlineStr">
        <is>
          <t>avverkningsanmälan</t>
        </is>
      </c>
      <c r="C42" t="inlineStr">
        <is>
          <t>Föryngringsavverkning</t>
        </is>
      </c>
      <c r="D42" s="1" t="n">
        <v>45050</v>
      </c>
      <c r="E42" s="1" t="n">
        <v>46326</v>
      </c>
      <c r="F42" t="inlineStr">
        <is>
          <t>GÄVLEBORGS LÄN</t>
        </is>
      </c>
      <c r="G42" t="inlineStr">
        <is>
          <t>HUDIKSVALL</t>
        </is>
      </c>
      <c r="H42" t="inlineStr">
        <is>
          <t>Holmen skog AB</t>
        </is>
      </c>
      <c r="I42" t="n">
        <v>9.300000000000001</v>
      </c>
      <c r="J42" t="n">
        <v>4</v>
      </c>
      <c r="K42" t="n">
        <v>4</v>
      </c>
      <c r="L42" t="n">
        <v>5</v>
      </c>
      <c r="M42" t="n">
        <v>1</v>
      </c>
      <c r="N42" t="n">
        <v>0</v>
      </c>
      <c r="O42" t="n">
        <v>0</v>
      </c>
      <c r="P42" t="n">
        <v>0</v>
      </c>
      <c r="Q42" t="n">
        <v>6</v>
      </c>
      <c r="R42" t="n">
        <v>1</v>
      </c>
      <c r="S42" t="n">
        <v>14</v>
      </c>
      <c r="T42" t="n">
        <v>22</v>
      </c>
      <c r="U42" t="n">
        <v>0</v>
      </c>
      <c r="V42" s="2" t="inlineStr">
        <is>
          <t>Garnlav
Kolflarnlav
Lunglav
Mörk kolflarnlav
Violmussling
Vitgrynig nållav
Bollvitmossa
Bronshjon
Nästlav
Vågbandad barkbock
Järpe
Tjäder
Vanlig groda
Revlummer</t>
        </is>
      </c>
      <c r="W42">
        <f>HYPERLINK("https://klasma.github.io/Logging_2184/artfynd/A 19521-2023 artfynd.xlsx", "A 19521-2023")</f>
        <v/>
      </c>
      <c r="X42">
        <f>HYPERLINK("https://klasma.github.io/Logging_2184/kartor/A 19521-2023 karta.png", "A 19521-2023")</f>
        <v/>
      </c>
      <c r="Y42">
        <f>HYPERLINK("https://klasma.github.io/Logging_2184/kartor_geotiff/A 19521-2023 georefererad karta.tif", "A 19521-2023")</f>
        <v/>
      </c>
      <c r="AA42">
        <f>HYPERLINK("https://klasma.github.io/Logging_2184/klagomål/A 19521-2023 FSC-klagomål.docx", "A 19521-2023")</f>
        <v/>
      </c>
      <c r="AB42">
        <f>HYPERLINK("https://klasma.github.io/Logging_2184/klagomålsmail/A 19521-2023 FSC-klagomål mail.docx", "A 19521-2023")</f>
        <v/>
      </c>
      <c r="AC42">
        <f>HYPERLINK("https://klasma.github.io/Logging_2184/tillsyn/A 19521-2023 tillsynsbegäran.docx", "A 19521-2023")</f>
        <v/>
      </c>
      <c r="AD42">
        <f>HYPERLINK("https://klasma.github.io/Logging_2184/tillsynsmail/A 19521-2023 tillsynsbegäran mail.docx", "A 19521-2023")</f>
        <v/>
      </c>
      <c r="AE42">
        <f>HYPERLINK("https://klasma.github.io/Logging_2184/fåglar/A 19521-2023 prioriterade fågelarter.docx", "A 19521-2023")</f>
        <v/>
      </c>
    </row>
    <row r="43" ht="15" customHeight="1">
      <c r="A43" t="inlineStr">
        <is>
          <t>A 14562-2025</t>
        </is>
      </c>
      <c r="B43" t="inlineStr">
        <is>
          <t>avverkningsanmälan</t>
        </is>
      </c>
      <c r="C43" t="inlineStr">
        <is>
          <t>Föryngringsavverkning</t>
        </is>
      </c>
      <c r="D43" s="1" t="n">
        <v>45741</v>
      </c>
      <c r="E43" s="1" t="n">
        <v>46326</v>
      </c>
      <c r="F43" t="inlineStr">
        <is>
          <t>GÄVLEBORGS LÄN</t>
        </is>
      </c>
      <c r="G43" t="inlineStr">
        <is>
          <t>GÄVLE</t>
        </is>
      </c>
      <c r="I43" t="n">
        <v>6.9</v>
      </c>
      <c r="J43" t="n">
        <v>2</v>
      </c>
      <c r="K43" t="n">
        <v>4</v>
      </c>
      <c r="L43" t="n">
        <v>6</v>
      </c>
      <c r="M43" t="n">
        <v>2</v>
      </c>
      <c r="N43" t="n">
        <v>1</v>
      </c>
      <c r="O43" t="n">
        <v>0</v>
      </c>
      <c r="P43" t="n">
        <v>0</v>
      </c>
      <c r="Q43" t="n">
        <v>9</v>
      </c>
      <c r="R43" t="n">
        <v>3</v>
      </c>
      <c r="S43" t="n">
        <v>14</v>
      </c>
      <c r="T43" t="n">
        <v>21</v>
      </c>
      <c r="U43" t="n">
        <v>0</v>
      </c>
      <c r="V43" s="2" t="inlineStr">
        <is>
          <t>Ask
Garnlav
Knärot
Doftskinn
Kattfotslav
Rosenticka
Tallticka
Ullticka
Vitgrynig nållav
Granbarkgnagare
Rävticka
Tibast
Vedticka
Blåsippa</t>
        </is>
      </c>
      <c r="W43">
        <f>HYPERLINK("https://klasma.github.io/Logging_2180/artfynd/A 14562-2025 artfynd.xlsx", "A 14562-2025")</f>
        <v/>
      </c>
      <c r="X43">
        <f>HYPERLINK("https://klasma.github.io/Logging_2180/kartor/A 14562-2025 karta.png", "A 14562-2025")</f>
        <v/>
      </c>
      <c r="Y43">
        <f>HYPERLINK("https://klasma.github.io/Logging_2180/kartor_geotiff/A 14562-2025 georefererad karta.tif", "A 14562-2025")</f>
        <v/>
      </c>
      <c r="Z43">
        <f>HYPERLINK("https://klasma.github.io/Logging_2180/knärot/A 14562-2025 karta knärot.png", "A 14562-2025")</f>
        <v/>
      </c>
      <c r="AA43">
        <f>HYPERLINK("https://klasma.github.io/Logging_2180/klagomål/A 14562-2025 FSC-klagomål.docx", "A 14562-2025")</f>
        <v/>
      </c>
      <c r="AB43">
        <f>HYPERLINK("https://klasma.github.io/Logging_2180/klagomålsmail/A 14562-2025 FSC-klagomål mail.docx", "A 14562-2025")</f>
        <v/>
      </c>
      <c r="AC43">
        <f>HYPERLINK("https://klasma.github.io/Logging_2180/tillsyn/A 14562-2025 tillsynsbegäran.docx", "A 14562-2025")</f>
        <v/>
      </c>
      <c r="AD43">
        <f>HYPERLINK("https://klasma.github.io/Logging_2180/tillsynsmail/A 14562-2025 tillsynsbegäran mail.docx", "A 14562-2025")</f>
        <v/>
      </c>
    </row>
    <row r="44" ht="15" customHeight="1">
      <c r="A44" t="inlineStr">
        <is>
          <t>A 63702-2025</t>
        </is>
      </c>
      <c r="B44" t="inlineStr">
        <is>
          <t>avverkningsanmälan</t>
        </is>
      </c>
      <c r="C44" t="inlineStr">
        <is>
          <t>Föryngringsavverkning</t>
        </is>
      </c>
      <c r="D44" s="1" t="n">
        <v>46014</v>
      </c>
      <c r="E44" s="1" t="n">
        <v>46326</v>
      </c>
      <c r="F44" t="inlineStr">
        <is>
          <t>GÄVLEBORGS LÄN</t>
        </is>
      </c>
      <c r="G44" t="inlineStr">
        <is>
          <t>GÄVLE</t>
        </is>
      </c>
      <c r="H44" t="inlineStr">
        <is>
          <t>Bergvik skog öst AB</t>
        </is>
      </c>
      <c r="I44" t="n">
        <v>3.6</v>
      </c>
      <c r="J44" t="n">
        <v>5</v>
      </c>
      <c r="K44" t="n">
        <v>7</v>
      </c>
      <c r="L44" t="n">
        <v>4</v>
      </c>
      <c r="M44" t="n">
        <v>1</v>
      </c>
      <c r="N44" t="n">
        <v>1</v>
      </c>
      <c r="O44" t="n">
        <v>0</v>
      </c>
      <c r="P44" t="n">
        <v>0</v>
      </c>
      <c r="Q44" t="n">
        <v>6</v>
      </c>
      <c r="R44" t="n">
        <v>2</v>
      </c>
      <c r="S44" t="n">
        <v>14</v>
      </c>
      <c r="T44" t="n">
        <v>22</v>
      </c>
      <c r="U44" t="n">
        <v>0</v>
      </c>
      <c r="V44" s="2" t="inlineStr">
        <is>
          <t>Skogsalm
Knärot
Dunmossa
Skogsklocka
Slåtterfibbla
Vårärt
Bollvitmossa
Guckusko
Kalktallört
Olivspindling
Skogsknipprot
Trådfräken
Tvåblad
Fläcknycklar</t>
        </is>
      </c>
      <c r="W44">
        <f>HYPERLINK("https://klasma.github.io/Logging_2180/artfynd/A 63702-2025 artfynd.xlsx", "A 63702-2025")</f>
        <v/>
      </c>
      <c r="X44">
        <f>HYPERLINK("https://klasma.github.io/Logging_2180/kartor/A 63702-2025 karta.png", "A 63702-2025")</f>
        <v/>
      </c>
      <c r="Y44">
        <f>HYPERLINK("https://klasma.github.io/Logging_2180/kartor_geotiff/A 63702-2025 georefererad karta.tif", "A 63702-2025")</f>
        <v/>
      </c>
      <c r="Z44">
        <f>HYPERLINK("https://klasma.github.io/Logging_2180/knärot/A 63702-2025 karta knärot.png", "A 63702-2025")</f>
        <v/>
      </c>
      <c r="AA44">
        <f>HYPERLINK("https://klasma.github.io/Logging_2180/klagomål/A 63702-2025 FSC-klagomål.docx", "A 63702-2025")</f>
        <v/>
      </c>
      <c r="AB44">
        <f>HYPERLINK("https://klasma.github.io/Logging_2180/klagomålsmail/A 63702-2025 FSC-klagomål mail.docx", "A 63702-2025")</f>
        <v/>
      </c>
      <c r="AC44">
        <f>HYPERLINK("https://klasma.github.io/Logging_2180/tillsyn/A 63702-2025 tillsynsbegäran.docx", "A 63702-2025")</f>
        <v/>
      </c>
      <c r="AD44">
        <f>HYPERLINK("https://klasma.github.io/Logging_2180/tillsynsmail/A 63702-2025 tillsynsbegäran mail.docx", "A 63702-2025")</f>
        <v/>
      </c>
    </row>
    <row r="45" ht="15" customHeight="1">
      <c r="A45" t="inlineStr">
        <is>
          <t>A 22554-2023</t>
        </is>
      </c>
      <c r="B45" t="inlineStr">
        <is>
          <t>avverkningsanmälan</t>
        </is>
      </c>
      <c r="C45" t="inlineStr">
        <is>
          <t>Föryngringsavverkning</t>
        </is>
      </c>
      <c r="D45" s="1" t="n">
        <v>45071</v>
      </c>
      <c r="E45" s="1" t="n">
        <v>46326</v>
      </c>
      <c r="F45" t="inlineStr">
        <is>
          <t>GÄVLEBORGS LÄN</t>
        </is>
      </c>
      <c r="G45" t="inlineStr">
        <is>
          <t>LJUSDAL</t>
        </is>
      </c>
      <c r="H45" t="inlineStr">
        <is>
          <t>Allmännings- och besparingsskogar</t>
        </is>
      </c>
      <c r="I45" t="n">
        <v>7.1</v>
      </c>
      <c r="J45" t="n">
        <v>2</v>
      </c>
      <c r="K45" t="n">
        <v>4</v>
      </c>
      <c r="L45" t="n">
        <v>7</v>
      </c>
      <c r="M45" t="n">
        <v>2</v>
      </c>
      <c r="N45" t="n">
        <v>0</v>
      </c>
      <c r="O45" t="n">
        <v>0</v>
      </c>
      <c r="P45" t="n">
        <v>0</v>
      </c>
      <c r="Q45" t="n">
        <v>9</v>
      </c>
      <c r="R45" t="n">
        <v>2</v>
      </c>
      <c r="S45" t="n">
        <v>14</v>
      </c>
      <c r="T45" t="n">
        <v>87</v>
      </c>
      <c r="U45" t="n">
        <v>87</v>
      </c>
      <c r="V45" s="2" t="inlineStr">
        <is>
          <t>Garnlav
Knärot
Kolflarnlav
Kortskaftad ärgspik
Lunglav
Mörk kolflarnlav
Skrovellav
Vedskivlav
Vitgrynig nållav
Bronshjon
Mindre märgborre
Skinnlav
Stuplav
Revlummer</t>
        </is>
      </c>
      <c r="W45">
        <f>HYPERLINK("https://klasma.github.io/Logging_2161/artfynd/A 22554-2023 artfynd.xlsx", "A 22554-2023")</f>
        <v/>
      </c>
      <c r="X45">
        <f>HYPERLINK("https://klasma.github.io/Logging_2161/kartor/A 22554-2023 karta.png", "A 22554-2023")</f>
        <v/>
      </c>
      <c r="Y45">
        <f>HYPERLINK("https://klasma.github.io/Logging_2161/kartor_geotiff/A 22554-2023 georefererad karta.tif", "A 22554-2023")</f>
        <v/>
      </c>
      <c r="Z45">
        <f>HYPERLINK("https://klasma.github.io/Logging_2161/knärot/A 22554-2023 karta knärot.png", "A 22554-2023")</f>
        <v/>
      </c>
      <c r="AA45">
        <f>HYPERLINK("https://klasma.github.io/Logging_2161/klagomål/A 22554-2023 FSC-klagomål.docx", "A 22554-2023")</f>
        <v/>
      </c>
      <c r="AB45">
        <f>HYPERLINK("https://klasma.github.io/Logging_2161/klagomålsmail/A 22554-2023 FSC-klagomål mail.docx", "A 22554-2023")</f>
        <v/>
      </c>
      <c r="AC45">
        <f>HYPERLINK("https://klasma.github.io/Logging_2161/tillsyn/A 22554-2023 tillsynsbegäran.docx", "A 22554-2023")</f>
        <v/>
      </c>
      <c r="AD45">
        <f>HYPERLINK("https://klasma.github.io/Logging_2161/tillsynsmail/A 22554-2023 tillsynsbegäran mail.docx", "A 22554-2023")</f>
        <v/>
      </c>
    </row>
    <row r="46" ht="15" customHeight="1">
      <c r="A46" t="inlineStr">
        <is>
          <t>A 18631-2022</t>
        </is>
      </c>
      <c r="B46" t="inlineStr">
        <is>
          <t>avverkningsanmälan</t>
        </is>
      </c>
      <c r="C46" t="inlineStr">
        <is>
          <t>Föryngringsavverkning</t>
        </is>
      </c>
      <c r="D46" s="1" t="n">
        <v>44687</v>
      </c>
      <c r="E46" s="1" t="n">
        <v>46326</v>
      </c>
      <c r="F46" t="inlineStr">
        <is>
          <t>GÄVLEBORGS LÄN</t>
        </is>
      </c>
      <c r="G46" t="inlineStr">
        <is>
          <t>LJUSDAL</t>
        </is>
      </c>
      <c r="H46" t="inlineStr">
        <is>
          <t>Bergvik skog väst AB</t>
        </is>
      </c>
      <c r="I46" t="n">
        <v>17</v>
      </c>
      <c r="J46" t="n">
        <v>4</v>
      </c>
      <c r="K46" t="n">
        <v>4</v>
      </c>
      <c r="L46" t="n">
        <v>7</v>
      </c>
      <c r="M46" t="n">
        <v>1</v>
      </c>
      <c r="N46" t="n">
        <v>0</v>
      </c>
      <c r="O46" t="n">
        <v>0</v>
      </c>
      <c r="P46" t="n">
        <v>0</v>
      </c>
      <c r="Q46" t="n">
        <v>8</v>
      </c>
      <c r="R46" t="n">
        <v>1</v>
      </c>
      <c r="S46" t="n">
        <v>14</v>
      </c>
      <c r="T46" t="n">
        <v>28</v>
      </c>
      <c r="U46" t="n">
        <v>21</v>
      </c>
      <c r="V46" s="2" t="inlineStr">
        <is>
          <t>Knärot
Blanksvart spiklav
Blågrå svartspik
Kolflarnlav
Lunglav
Mörk kolflarnlav
Skrovellav
Tretåig hackspett
Bårdlav
Rävticka
Skinnlav
Stuplav
Spillkråka
Tjäder</t>
        </is>
      </c>
      <c r="W46">
        <f>HYPERLINK("https://klasma.github.io/Logging_2161/artfynd/A 18631-2022 artfynd.xlsx", "A 18631-2022")</f>
        <v/>
      </c>
      <c r="X46">
        <f>HYPERLINK("https://klasma.github.io/Logging_2161/kartor/A 18631-2022 karta.png", "A 18631-2022")</f>
        <v/>
      </c>
      <c r="Y46">
        <f>HYPERLINK("https://klasma.github.io/Logging_2161/kartor_geotiff/A 18631-2022 georefererad karta.tif", "A 18631-2022")</f>
        <v/>
      </c>
      <c r="Z46">
        <f>HYPERLINK("https://klasma.github.io/Logging_2161/knärot/A 18631-2022 karta knärot.png", "A 18631-2022")</f>
        <v/>
      </c>
      <c r="AA46">
        <f>HYPERLINK("https://klasma.github.io/Logging_2161/klagomål/A 18631-2022 FSC-klagomål.docx", "A 18631-2022")</f>
        <v/>
      </c>
      <c r="AB46">
        <f>HYPERLINK("https://klasma.github.io/Logging_2161/klagomålsmail/A 18631-2022 FSC-klagomål mail.docx", "A 18631-2022")</f>
        <v/>
      </c>
      <c r="AC46">
        <f>HYPERLINK("https://klasma.github.io/Logging_2161/tillsyn/A 18631-2022 tillsynsbegäran.docx", "A 18631-2022")</f>
        <v/>
      </c>
      <c r="AD46">
        <f>HYPERLINK("https://klasma.github.io/Logging_2161/tillsynsmail/A 18631-2022 tillsynsbegäran mail.docx", "A 18631-2022")</f>
        <v/>
      </c>
      <c r="AE46">
        <f>HYPERLINK("https://klasma.github.io/Logging_2161/fåglar/A 18631-2022 prioriterade fågelarter.docx", "A 18631-2022")</f>
        <v/>
      </c>
    </row>
    <row r="47" ht="15" customHeight="1">
      <c r="A47" t="inlineStr">
        <is>
          <t>S 493-2026</t>
        </is>
      </c>
      <c r="B47" t="inlineStr">
        <is>
          <t>samrådsanmälan</t>
        </is>
      </c>
      <c r="C47" t="inlineStr">
        <is>
          <t>Skogsgödsling</t>
        </is>
      </c>
      <c r="D47" s="1" t="n">
        <v>46073</v>
      </c>
      <c r="E47" s="1" t="n">
        <v>46326</v>
      </c>
      <c r="F47" t="inlineStr">
        <is>
          <t>GÄVLEBORGS LÄN</t>
        </is>
      </c>
      <c r="G47" t="inlineStr">
        <is>
          <t>LJUSDAL</t>
        </is>
      </c>
      <c r="H47" t="inlineStr">
        <is>
          <t>Sveaskog</t>
        </is>
      </c>
      <c r="I47" t="n">
        <v>739.1</v>
      </c>
      <c r="J47" t="n">
        <v>8</v>
      </c>
      <c r="K47" t="n">
        <v>5</v>
      </c>
      <c r="L47" t="n">
        <v>4</v>
      </c>
      <c r="M47" t="n">
        <v>2</v>
      </c>
      <c r="N47" t="n">
        <v>0</v>
      </c>
      <c r="O47" t="n">
        <v>0</v>
      </c>
      <c r="P47" t="n">
        <v>0</v>
      </c>
      <c r="Q47" t="n">
        <v>6</v>
      </c>
      <c r="R47" t="n">
        <v>2</v>
      </c>
      <c r="S47" t="n">
        <v>14</v>
      </c>
      <c r="T47" t="n">
        <v>28</v>
      </c>
      <c r="U47" t="n">
        <v>0</v>
      </c>
      <c r="V47" s="2" t="inlineStr">
        <is>
          <t>Doftticka
Garnlav
Blågrå svartspik
Kolflarnlav
Lunglav
Talltita
Bronshjon
Korallrot
Källmossa
Plattlummer
Spindelblomster
Järpe
Fläcknycklar
Revlummer</t>
        </is>
      </c>
      <c r="W47">
        <f>HYPERLINK("https://klasma.github.io/Logging_2161/artfynd/S 493-2026 artfynd.xlsx", "S 493-2026")</f>
        <v/>
      </c>
      <c r="X47">
        <f>HYPERLINK("https://klasma.github.io/Logging_2161/kartor/S 493-2026 karta.png", "S 493-2026")</f>
        <v/>
      </c>
      <c r="Y47">
        <f>HYPERLINK("https://klasma.github.io/Logging_2161/kartor_geotiff/S 493-2026 georefererad karta.tif", "S 493-2026")</f>
        <v/>
      </c>
      <c r="Z47">
        <f>HYPERLINK("https://klasma.github.io/Logging_2161/knärot/S 493-2026 karta knärot.png", "S 493-2026")</f>
        <v/>
      </c>
      <c r="AA47">
        <f>HYPERLINK("https://klasma.github.io/Logging_2161/klagomål/S 493-2026 FSC-klagomål.docx", "S 493-2026")</f>
        <v/>
      </c>
      <c r="AB47">
        <f>HYPERLINK("https://klasma.github.io/Logging_2161/klagomålsmail/S 493-2026 FSC-klagomål mail.docx", "S 493-2026")</f>
        <v/>
      </c>
      <c r="AC47">
        <f>HYPERLINK("https://klasma.github.io/Logging_2161/tillsyn/S 493-2026 tillsynsbegäran.docx", "S 493-2026")</f>
        <v/>
      </c>
      <c r="AD47">
        <f>HYPERLINK("https://klasma.github.io/Logging_2161/tillsynsmail/S 493-2026 tillsynsbegäran mail.docx", "S 493-2026")</f>
        <v/>
      </c>
      <c r="AE47">
        <f>HYPERLINK("https://klasma.github.io/Logging_2161/fåglar/S 493-2026 prioriterade fågelarter.docx", "S 493-2026")</f>
        <v/>
      </c>
    </row>
    <row r="48" ht="15" customHeight="1">
      <c r="A48" t="inlineStr">
        <is>
          <t>A 44476-2025</t>
        </is>
      </c>
      <c r="B48" t="inlineStr">
        <is>
          <t>avverkningsanmälan</t>
        </is>
      </c>
      <c r="C48" t="inlineStr">
        <is>
          <t>Föryngringsavverkning</t>
        </is>
      </c>
      <c r="D48" s="1" t="n">
        <v>45916</v>
      </c>
      <c r="E48" s="1" t="n">
        <v>46326</v>
      </c>
      <c r="F48" t="inlineStr">
        <is>
          <t>GÄVLEBORGS LÄN</t>
        </is>
      </c>
      <c r="G48" t="inlineStr">
        <is>
          <t>LJUSDAL</t>
        </is>
      </c>
      <c r="H48" t="inlineStr">
        <is>
          <t>Sveaskog</t>
        </is>
      </c>
      <c r="I48" t="n">
        <v>18</v>
      </c>
      <c r="J48" t="n">
        <v>7</v>
      </c>
      <c r="K48" t="n">
        <v>4</v>
      </c>
      <c r="L48" t="n">
        <v>2</v>
      </c>
      <c r="M48" t="n">
        <v>2</v>
      </c>
      <c r="N48" t="n">
        <v>0</v>
      </c>
      <c r="O48" t="n">
        <v>0</v>
      </c>
      <c r="P48" t="n">
        <v>0</v>
      </c>
      <c r="Q48" t="n">
        <v>4</v>
      </c>
      <c r="R48" t="n">
        <v>2</v>
      </c>
      <c r="S48" t="n">
        <v>13</v>
      </c>
      <c r="T48" t="n">
        <v>19</v>
      </c>
      <c r="U48" t="n">
        <v>1</v>
      </c>
      <c r="V48" s="2" t="inlineStr">
        <is>
          <t>Garnlav
Knärot
Kolflarnlav
Skrovellav
Källpraktmossa
Spindelblomster
Stuplav
Vågbandad barkbock
Spillkråka
Orre
Fläcknycklar
Nattviol
Revlummer</t>
        </is>
      </c>
      <c r="W48">
        <f>HYPERLINK("https://klasma.github.io/Logging_2161/artfynd/A 44476-2025 artfynd.xlsx", "A 44476-2025")</f>
        <v/>
      </c>
      <c r="X48">
        <f>HYPERLINK("https://klasma.github.io/Logging_2161/kartor/A 44476-2025 karta.png", "A 44476-2025")</f>
        <v/>
      </c>
      <c r="Y48">
        <f>HYPERLINK("https://klasma.github.io/Logging_2161/kartor_geotiff/A 44476-2025 georefererad karta.tif", "A 44476-2025")</f>
        <v/>
      </c>
      <c r="Z48">
        <f>HYPERLINK("https://klasma.github.io/Logging_2161/knärot/A 44476-2025 karta knärot.png", "A 44476-2025")</f>
        <v/>
      </c>
      <c r="AA48">
        <f>HYPERLINK("https://klasma.github.io/Logging_2161/klagomål/A 44476-2025 FSC-klagomål.docx", "A 44476-2025")</f>
        <v/>
      </c>
      <c r="AB48">
        <f>HYPERLINK("https://klasma.github.io/Logging_2161/klagomålsmail/A 44476-2025 FSC-klagomål mail.docx", "A 44476-2025")</f>
        <v/>
      </c>
      <c r="AC48">
        <f>HYPERLINK("https://klasma.github.io/Logging_2161/tillsyn/A 44476-2025 tillsynsbegäran.docx", "A 44476-2025")</f>
        <v/>
      </c>
      <c r="AD48">
        <f>HYPERLINK("https://klasma.github.io/Logging_2161/tillsynsmail/A 44476-2025 tillsynsbegäran mail.docx", "A 44476-2025")</f>
        <v/>
      </c>
      <c r="AE48">
        <f>HYPERLINK("https://klasma.github.io/Logging_2161/fåglar/A 44476-2025 prioriterade fågelarter.docx", "A 44476-2025")</f>
        <v/>
      </c>
    </row>
    <row r="49" ht="15" customHeight="1">
      <c r="A49" t="inlineStr">
        <is>
          <t>A 13026-2022</t>
        </is>
      </c>
      <c r="B49" t="inlineStr">
        <is>
          <t>avverkningsanmälan</t>
        </is>
      </c>
      <c r="C49" t="inlineStr">
        <is>
          <t>Föryngringsavverkning</t>
        </is>
      </c>
      <c r="D49" s="1" t="n">
        <v>44643</v>
      </c>
      <c r="E49" s="1" t="n">
        <v>46326</v>
      </c>
      <c r="F49" t="inlineStr">
        <is>
          <t>GÄVLEBORGS LÄN</t>
        </is>
      </c>
      <c r="G49" t="inlineStr">
        <is>
          <t>NORDANSTIG</t>
        </is>
      </c>
      <c r="I49" t="n">
        <v>17.3</v>
      </c>
      <c r="J49" t="n">
        <v>6</v>
      </c>
      <c r="K49" t="n">
        <v>1</v>
      </c>
      <c r="L49" t="n">
        <v>5</v>
      </c>
      <c r="M49" t="n">
        <v>2</v>
      </c>
      <c r="N49" t="n">
        <v>0</v>
      </c>
      <c r="O49" t="n">
        <v>0</v>
      </c>
      <c r="P49" t="n">
        <v>0</v>
      </c>
      <c r="Q49" t="n">
        <v>7</v>
      </c>
      <c r="R49" t="n">
        <v>2</v>
      </c>
      <c r="S49" t="n">
        <v>13</v>
      </c>
      <c r="T49" t="n">
        <v>26</v>
      </c>
      <c r="U49" t="n">
        <v>26</v>
      </c>
      <c r="V49" s="2" t="inlineStr">
        <is>
          <t>Garnlav
Ringlav
Kolflarnlav
Lunglav
Reliktbock
Talltita
Veckticka
Vedticka
Gråspett
Spillkråka
Tjäder
Grönsiska
Orre</t>
        </is>
      </c>
      <c r="W49">
        <f>HYPERLINK("https://klasma.github.io/Logging_2132/artfynd/A 13026-2022 artfynd.xlsx", "A 13026-2022")</f>
        <v/>
      </c>
      <c r="X49">
        <f>HYPERLINK("https://klasma.github.io/Logging_2132/kartor/A 13026-2022 karta.png", "A 13026-2022")</f>
        <v/>
      </c>
      <c r="Y49">
        <f>HYPERLINK("https://klasma.github.io/Logging_2132/kartor_geotiff/A 13026-2022 georefererad karta.tif", "A 13026-2022")</f>
        <v/>
      </c>
      <c r="AA49">
        <f>HYPERLINK("https://klasma.github.io/Logging_2132/klagomål/A 13026-2022 FSC-klagomål.docx", "A 13026-2022")</f>
        <v/>
      </c>
      <c r="AB49">
        <f>HYPERLINK("https://klasma.github.io/Logging_2132/klagomålsmail/A 13026-2022 FSC-klagomål mail.docx", "A 13026-2022")</f>
        <v/>
      </c>
      <c r="AC49">
        <f>HYPERLINK("https://klasma.github.io/Logging_2132/tillsyn/A 13026-2022 tillsynsbegäran.docx", "A 13026-2022")</f>
        <v/>
      </c>
      <c r="AD49">
        <f>HYPERLINK("https://klasma.github.io/Logging_2132/tillsynsmail/A 13026-2022 tillsynsbegäran mail.docx", "A 13026-2022")</f>
        <v/>
      </c>
      <c r="AE49">
        <f>HYPERLINK("https://klasma.github.io/Logging_2132/fåglar/A 13026-2022 prioriterade fågelarter.docx", "A 13026-2022")</f>
        <v/>
      </c>
    </row>
    <row r="50" ht="15" customHeight="1">
      <c r="A50" t="inlineStr">
        <is>
          <t>A 58895-2025</t>
        </is>
      </c>
      <c r="B50" t="inlineStr">
        <is>
          <t>avverkningsanmälan</t>
        </is>
      </c>
      <c r="C50" t="inlineStr">
        <is>
          <t>Föryngringsavverkning</t>
        </is>
      </c>
      <c r="D50" s="1" t="n">
        <v>45987</v>
      </c>
      <c r="E50" s="1" t="n">
        <v>46326</v>
      </c>
      <c r="F50" t="inlineStr">
        <is>
          <t>GÄVLEBORGS LÄN</t>
        </is>
      </c>
      <c r="G50" t="inlineStr">
        <is>
          <t>LJUSDAL</t>
        </is>
      </c>
      <c r="H50" t="inlineStr">
        <is>
          <t>Allmännings- och besparingsskogar</t>
        </is>
      </c>
      <c r="I50" t="n">
        <v>25.9</v>
      </c>
      <c r="J50" t="n">
        <v>4</v>
      </c>
      <c r="K50" t="n">
        <v>2</v>
      </c>
      <c r="L50" t="n">
        <v>8</v>
      </c>
      <c r="M50" t="n">
        <v>2</v>
      </c>
      <c r="N50" t="n">
        <v>0</v>
      </c>
      <c r="O50" t="n">
        <v>0</v>
      </c>
      <c r="P50" t="n">
        <v>0</v>
      </c>
      <c r="Q50" t="n">
        <v>10</v>
      </c>
      <c r="R50" t="n">
        <v>2</v>
      </c>
      <c r="S50" t="n">
        <v>13</v>
      </c>
      <c r="T50" t="n">
        <v>166</v>
      </c>
      <c r="U50" t="n">
        <v>166</v>
      </c>
      <c r="V50" s="2" t="inlineStr">
        <is>
          <t>Garnlav
Knärot
Dropptaggsvamp
Kolflarnlav
Mörk kolflarnlav
Talltita
Tretåig hackspett
Vedflamlav
Vedskivlav
Violettgrå tagellav
Jättesvampmal
Mindre märgborre
Spillkråka</t>
        </is>
      </c>
      <c r="W50">
        <f>HYPERLINK("https://klasma.github.io/Logging_2161/artfynd/A 58895-2025 artfynd.xlsx", "A 58895-2025")</f>
        <v/>
      </c>
      <c r="X50">
        <f>HYPERLINK("https://klasma.github.io/Logging_2161/kartor/A 58895-2025 karta.png", "A 58895-2025")</f>
        <v/>
      </c>
      <c r="Y50">
        <f>HYPERLINK("https://klasma.github.io/Logging_2161/kartor_geotiff/A 58895-2025 georefererad karta.tif", "A 58895-2025")</f>
        <v/>
      </c>
      <c r="Z50">
        <f>HYPERLINK("https://klasma.github.io/Logging_2161/knärot/A 58895-2025 karta knärot.png", "A 58895-2025")</f>
        <v/>
      </c>
      <c r="AA50">
        <f>HYPERLINK("https://klasma.github.io/Logging_2161/klagomål/A 58895-2025 FSC-klagomål.docx", "A 58895-2025")</f>
        <v/>
      </c>
      <c r="AB50">
        <f>HYPERLINK("https://klasma.github.io/Logging_2161/klagomålsmail/A 58895-2025 FSC-klagomål mail.docx", "A 58895-2025")</f>
        <v/>
      </c>
      <c r="AC50">
        <f>HYPERLINK("https://klasma.github.io/Logging_2161/tillsyn/A 58895-2025 tillsynsbegäran.docx", "A 58895-2025")</f>
        <v/>
      </c>
      <c r="AD50">
        <f>HYPERLINK("https://klasma.github.io/Logging_2161/tillsynsmail/A 58895-2025 tillsynsbegäran mail.docx", "A 58895-2025")</f>
        <v/>
      </c>
      <c r="AE50">
        <f>HYPERLINK("https://klasma.github.io/Logging_2161/fåglar/A 58895-2025 prioriterade fågelarter.docx", "A 58895-2025")</f>
        <v/>
      </c>
    </row>
    <row r="51" ht="15" customHeight="1">
      <c r="A51" t="inlineStr">
        <is>
          <t>A 6734-2025</t>
        </is>
      </c>
      <c r="B51" t="inlineStr">
        <is>
          <t>avverkningsanmälan</t>
        </is>
      </c>
      <c r="C51" t="inlineStr">
        <is>
          <t>Föryngringsavverkning</t>
        </is>
      </c>
      <c r="D51" s="1" t="n">
        <v>45700</v>
      </c>
      <c r="E51" s="1" t="n">
        <v>46326</v>
      </c>
      <c r="F51" t="inlineStr">
        <is>
          <t>GÄVLEBORGS LÄN</t>
        </is>
      </c>
      <c r="G51" t="inlineStr">
        <is>
          <t>LJUSDAL</t>
        </is>
      </c>
      <c r="I51" t="n">
        <v>26.1</v>
      </c>
      <c r="J51" t="n">
        <v>4</v>
      </c>
      <c r="K51" t="n">
        <v>1</v>
      </c>
      <c r="L51" t="n">
        <v>10</v>
      </c>
      <c r="M51" t="n">
        <v>2</v>
      </c>
      <c r="N51" t="n">
        <v>0</v>
      </c>
      <c r="O51" t="n">
        <v>0</v>
      </c>
      <c r="P51" t="n">
        <v>0</v>
      </c>
      <c r="Q51" t="n">
        <v>12</v>
      </c>
      <c r="R51" t="n">
        <v>2</v>
      </c>
      <c r="S51" t="n">
        <v>13</v>
      </c>
      <c r="T51" t="n">
        <v>36</v>
      </c>
      <c r="U51" t="n">
        <v>36</v>
      </c>
      <c r="V51" s="2" t="inlineStr">
        <is>
          <t>Garnlav
Knärot
Kattfotslav
Kolflarnlav
Lavskrika
Rosenticka
Rynkskinn
Tallticka
Talltita
Tretåig hackspett
Ullticka
Vedtrappmossa
Björksplintborre</t>
        </is>
      </c>
      <c r="W51">
        <f>HYPERLINK("https://klasma.github.io/Logging_2161/artfynd/A 6734-2025 artfynd.xlsx", "A 6734-2025")</f>
        <v/>
      </c>
      <c r="X51">
        <f>HYPERLINK("https://klasma.github.io/Logging_2161/kartor/A 6734-2025 karta.png", "A 6734-2025")</f>
        <v/>
      </c>
      <c r="Y51">
        <f>HYPERLINK("https://klasma.github.io/Logging_2161/kartor_geotiff/A 6734-2025 georefererad karta.tif", "A 6734-2025")</f>
        <v/>
      </c>
      <c r="Z51">
        <f>HYPERLINK("https://klasma.github.io/Logging_2161/knärot/A 6734-2025 karta knärot.png", "A 6734-2025")</f>
        <v/>
      </c>
      <c r="AA51">
        <f>HYPERLINK("https://klasma.github.io/Logging_2161/klagomål/A 6734-2025 FSC-klagomål.docx", "A 6734-2025")</f>
        <v/>
      </c>
      <c r="AB51">
        <f>HYPERLINK("https://klasma.github.io/Logging_2161/klagomålsmail/A 6734-2025 FSC-klagomål mail.docx", "A 6734-2025")</f>
        <v/>
      </c>
      <c r="AC51">
        <f>HYPERLINK("https://klasma.github.io/Logging_2161/tillsyn/A 6734-2025 tillsynsbegäran.docx", "A 6734-2025")</f>
        <v/>
      </c>
      <c r="AD51">
        <f>HYPERLINK("https://klasma.github.io/Logging_2161/tillsynsmail/A 6734-2025 tillsynsbegäran mail.docx", "A 6734-2025")</f>
        <v/>
      </c>
      <c r="AE51">
        <f>HYPERLINK("https://klasma.github.io/Logging_2161/fåglar/A 6734-2025 prioriterade fågelarter.docx", "A 6734-2025")</f>
        <v/>
      </c>
    </row>
    <row r="52" ht="15" customHeight="1">
      <c r="A52" t="inlineStr">
        <is>
          <t>S 2601-2025</t>
        </is>
      </c>
      <c r="B52" t="inlineStr">
        <is>
          <t>samrådsanmälan</t>
        </is>
      </c>
      <c r="C52" t="inlineStr">
        <is>
          <t>Annan skogsbruksåtgärd</t>
        </is>
      </c>
      <c r="D52" s="1" t="n">
        <v>45916</v>
      </c>
      <c r="E52" s="1" t="n">
        <v>46326</v>
      </c>
      <c r="F52" t="inlineStr">
        <is>
          <t>GÄVLEBORGS LÄN</t>
        </is>
      </c>
      <c r="G52" t="inlineStr">
        <is>
          <t>LJUSDAL</t>
        </is>
      </c>
      <c r="H52" t="inlineStr">
        <is>
          <t>Sveaskog</t>
        </is>
      </c>
      <c r="I52" t="n">
        <v>18</v>
      </c>
      <c r="J52" t="n">
        <v>7</v>
      </c>
      <c r="K52" t="n">
        <v>4</v>
      </c>
      <c r="L52" t="n">
        <v>2</v>
      </c>
      <c r="M52" t="n">
        <v>2</v>
      </c>
      <c r="N52" t="n">
        <v>0</v>
      </c>
      <c r="O52" t="n">
        <v>0</v>
      </c>
      <c r="P52" t="n">
        <v>0</v>
      </c>
      <c r="Q52" t="n">
        <v>4</v>
      </c>
      <c r="R52" t="n">
        <v>2</v>
      </c>
      <c r="S52" t="n">
        <v>13</v>
      </c>
      <c r="T52" t="n">
        <v>19</v>
      </c>
      <c r="U52" t="n">
        <v>1</v>
      </c>
      <c r="V52" s="2" t="inlineStr">
        <is>
          <t>Garnlav
Knärot
Kolflarnlav
Skrovellav
Källpraktmossa
Spindelblomster
Stuplav
Vågbandad barkbock
Spillkråka
Orre
Fläcknycklar
Nattviol
Revlummer</t>
        </is>
      </c>
      <c r="W52">
        <f>HYPERLINK("https://klasma.github.io/Logging_2161/artfynd/S 2601-2025 artfynd.xlsx", "S 2601-2025")</f>
        <v/>
      </c>
      <c r="X52">
        <f>HYPERLINK("https://klasma.github.io/Logging_2161/kartor/S 2601-2025 karta.png", "S 2601-2025")</f>
        <v/>
      </c>
      <c r="Y52">
        <f>HYPERLINK("https://klasma.github.io/Logging_2161/kartor_geotiff/S 2601-2025 georefererad karta.tif", "S 2601-2025")</f>
        <v/>
      </c>
      <c r="Z52">
        <f>HYPERLINK("https://klasma.github.io/Logging_2161/knärot/S 2601-2025 karta knärot.png", "S 2601-2025")</f>
        <v/>
      </c>
      <c r="AA52">
        <f>HYPERLINK("https://klasma.github.io/Logging_2161/klagomål/S 2601-2025 FSC-klagomål.docx", "S 2601-2025")</f>
        <v/>
      </c>
      <c r="AB52">
        <f>HYPERLINK("https://klasma.github.io/Logging_2161/klagomålsmail/S 2601-2025 FSC-klagomål mail.docx", "S 2601-2025")</f>
        <v/>
      </c>
      <c r="AC52">
        <f>HYPERLINK("https://klasma.github.io/Logging_2161/tillsyn/S 2601-2025 tillsynsbegäran.docx", "S 2601-2025")</f>
        <v/>
      </c>
      <c r="AD52">
        <f>HYPERLINK("https://klasma.github.io/Logging_2161/tillsynsmail/S 2601-2025 tillsynsbegäran mail.docx", "S 2601-2025")</f>
        <v/>
      </c>
      <c r="AE52">
        <f>HYPERLINK("https://klasma.github.io/Logging_2161/fåglar/S 2601-2025 prioriterade fågelarter.docx", "S 2601-2025")</f>
        <v/>
      </c>
    </row>
    <row r="53" ht="15" customHeight="1">
      <c r="A53" t="inlineStr">
        <is>
          <t>S 500-2026</t>
        </is>
      </c>
      <c r="B53" t="inlineStr">
        <is>
          <t>samrådsanmälan</t>
        </is>
      </c>
      <c r="C53" t="inlineStr">
        <is>
          <t>Skogsgödsling</t>
        </is>
      </c>
      <c r="D53" s="1" t="n">
        <v>46073</v>
      </c>
      <c r="E53" s="1" t="n">
        <v>46326</v>
      </c>
      <c r="F53" t="inlineStr">
        <is>
          <t>GÄVLEBORGS LÄN</t>
        </is>
      </c>
      <c r="G53" t="inlineStr">
        <is>
          <t>LJUSDAL</t>
        </is>
      </c>
      <c r="H53" t="inlineStr">
        <is>
          <t>Sveaskog</t>
        </is>
      </c>
      <c r="I53" t="n">
        <v>462</v>
      </c>
      <c r="J53" t="n">
        <v>5</v>
      </c>
      <c r="K53" t="n">
        <v>5</v>
      </c>
      <c r="L53" t="n">
        <v>5</v>
      </c>
      <c r="M53" t="n">
        <v>0</v>
      </c>
      <c r="N53" t="n">
        <v>0</v>
      </c>
      <c r="O53" t="n">
        <v>0</v>
      </c>
      <c r="P53" t="n">
        <v>0</v>
      </c>
      <c r="Q53" t="n">
        <v>5</v>
      </c>
      <c r="R53" t="n">
        <v>0</v>
      </c>
      <c r="S53" t="n">
        <v>13</v>
      </c>
      <c r="T53" t="n">
        <v>15</v>
      </c>
      <c r="U53" t="n">
        <v>4</v>
      </c>
      <c r="V53" s="2" t="inlineStr">
        <is>
          <t>Kolflarnlav
Lunglav
Skrovellav
Vaddporing
Vedflamlav
Korallblylav
Plattlummer
Spindelblomster
Spädstarr
Stuplav
Spillkråka
Fläcknycklar
Revlummer</t>
        </is>
      </c>
      <c r="W53">
        <f>HYPERLINK("https://klasma.github.io/Logging_2161/artfynd/S 500-2026 artfynd.xlsx", "S 500-2026")</f>
        <v/>
      </c>
      <c r="X53">
        <f>HYPERLINK("https://klasma.github.io/Logging_2161/kartor/S 500-2026 karta.png", "S 500-2026")</f>
        <v/>
      </c>
      <c r="Y53">
        <f>HYPERLINK("https://klasma.github.io/Logging_2161/kartor_geotiff/S 500-2026 georefererad karta.tif", "S 500-2026")</f>
        <v/>
      </c>
      <c r="Z53">
        <f>HYPERLINK("https://klasma.github.io/Logging_2161/knärot/S 500-2026 karta knärot.png", "S 500-2026")</f>
        <v/>
      </c>
      <c r="AA53">
        <f>HYPERLINK("https://klasma.github.io/Logging_2161/klagomål/S 500-2026 FSC-klagomål.docx", "S 500-2026")</f>
        <v/>
      </c>
      <c r="AB53">
        <f>HYPERLINK("https://klasma.github.io/Logging_2161/klagomålsmail/S 500-2026 FSC-klagomål mail.docx", "S 500-2026")</f>
        <v/>
      </c>
      <c r="AC53">
        <f>HYPERLINK("https://klasma.github.io/Logging_2161/tillsyn/S 500-2026 tillsynsbegäran.docx", "S 500-2026")</f>
        <v/>
      </c>
      <c r="AD53">
        <f>HYPERLINK("https://klasma.github.io/Logging_2161/tillsynsmail/S 500-2026 tillsynsbegäran mail.docx", "S 500-2026")</f>
        <v/>
      </c>
      <c r="AE53">
        <f>HYPERLINK("https://klasma.github.io/Logging_2161/fåglar/S 500-2026 prioriterade fågelarter.docx", "S 500-2026")</f>
        <v/>
      </c>
    </row>
    <row r="54" ht="15" customHeight="1">
      <c r="A54" t="inlineStr">
        <is>
          <t>A 31463-2022</t>
        </is>
      </c>
      <c r="B54" t="inlineStr">
        <is>
          <t>avverkningsanmälan</t>
        </is>
      </c>
      <c r="C54" t="inlineStr">
        <is>
          <t>Föryngringsavverkning</t>
        </is>
      </c>
      <c r="D54" s="1" t="n">
        <v>44774</v>
      </c>
      <c r="E54" s="1" t="n">
        <v>46326</v>
      </c>
      <c r="F54" t="inlineStr">
        <is>
          <t>GÄVLEBORGS LÄN</t>
        </is>
      </c>
      <c r="G54" t="inlineStr">
        <is>
          <t>LJUSDAL</t>
        </is>
      </c>
      <c r="H54" t="inlineStr">
        <is>
          <t>SCA</t>
        </is>
      </c>
      <c r="I54" t="n">
        <v>4.3</v>
      </c>
      <c r="J54" t="n">
        <v>3</v>
      </c>
      <c r="K54" t="n">
        <v>1</v>
      </c>
      <c r="L54" t="n">
        <v>7</v>
      </c>
      <c r="M54" t="n">
        <v>3</v>
      </c>
      <c r="N54" t="n">
        <v>0</v>
      </c>
      <c r="O54" t="n">
        <v>0</v>
      </c>
      <c r="P54" t="n">
        <v>0</v>
      </c>
      <c r="Q54" t="n">
        <v>10</v>
      </c>
      <c r="R54" t="n">
        <v>3</v>
      </c>
      <c r="S54" t="n">
        <v>12</v>
      </c>
      <c r="T54" t="n">
        <v>29</v>
      </c>
      <c r="U54" t="n">
        <v>16</v>
      </c>
      <c r="V54" s="2" t="inlineStr">
        <is>
          <t>Garnlav
Gräddporing
Knärot
Kolflarnlav
Kortskaftad ärgspik
Lunglav
Mörk kolflarnlav
Tretåig hackspett
Vedflikmossa
Vedtrappmossa
Skinnlav
Tjäder</t>
        </is>
      </c>
      <c r="W54">
        <f>HYPERLINK("https://klasma.github.io/Logging_2161/artfynd/A 31463-2022 artfynd.xlsx", "A 31463-2022")</f>
        <v/>
      </c>
      <c r="X54">
        <f>HYPERLINK("https://klasma.github.io/Logging_2161/kartor/A 31463-2022 karta.png", "A 31463-2022")</f>
        <v/>
      </c>
      <c r="Y54">
        <f>HYPERLINK("https://klasma.github.io/Logging_2161/kartor_geotiff/A 31463-2022 georefererad karta.tif", "A 31463-2022")</f>
        <v/>
      </c>
      <c r="Z54">
        <f>HYPERLINK("https://klasma.github.io/Logging_2161/knärot/A 31463-2022 karta knärot.png", "A 31463-2022")</f>
        <v/>
      </c>
      <c r="AA54">
        <f>HYPERLINK("https://klasma.github.io/Logging_2161/klagomål/A 31463-2022 FSC-klagomål.docx", "A 31463-2022")</f>
        <v/>
      </c>
      <c r="AB54">
        <f>HYPERLINK("https://klasma.github.io/Logging_2161/klagomålsmail/A 31463-2022 FSC-klagomål mail.docx", "A 31463-2022")</f>
        <v/>
      </c>
      <c r="AC54">
        <f>HYPERLINK("https://klasma.github.io/Logging_2161/tillsyn/A 31463-2022 tillsynsbegäran.docx", "A 31463-2022")</f>
        <v/>
      </c>
      <c r="AD54">
        <f>HYPERLINK("https://klasma.github.io/Logging_2161/tillsynsmail/A 31463-2022 tillsynsbegäran mail.docx", "A 31463-2022")</f>
        <v/>
      </c>
      <c r="AE54">
        <f>HYPERLINK("https://klasma.github.io/Logging_2161/fåglar/A 31463-2022 prioriterade fågelarter.docx", "A 31463-2022")</f>
        <v/>
      </c>
    </row>
    <row r="55" ht="15" customHeight="1">
      <c r="A55" t="inlineStr">
        <is>
          <t>A 44202-2025</t>
        </is>
      </c>
      <c r="B55" t="inlineStr">
        <is>
          <t>avverkningsanmälan</t>
        </is>
      </c>
      <c r="C55" t="inlineStr">
        <is>
          <t>Föryngringsavverkning</t>
        </is>
      </c>
      <c r="D55" s="1" t="n">
        <v>45915</v>
      </c>
      <c r="E55" s="1" t="n">
        <v>46326</v>
      </c>
      <c r="F55" t="inlineStr">
        <is>
          <t>GÄVLEBORGS LÄN</t>
        </is>
      </c>
      <c r="G55" t="inlineStr">
        <is>
          <t>LJUSDAL</t>
        </is>
      </c>
      <c r="H55" t="inlineStr">
        <is>
          <t>Sveaskog</t>
        </is>
      </c>
      <c r="I55" t="n">
        <v>3.8</v>
      </c>
      <c r="J55" t="n">
        <v>4</v>
      </c>
      <c r="K55" t="n">
        <v>0</v>
      </c>
      <c r="L55" t="n">
        <v>10</v>
      </c>
      <c r="M55" t="n">
        <v>1</v>
      </c>
      <c r="N55" t="n">
        <v>0</v>
      </c>
      <c r="O55" t="n">
        <v>0</v>
      </c>
      <c r="P55" t="n">
        <v>0</v>
      </c>
      <c r="Q55" t="n">
        <v>11</v>
      </c>
      <c r="R55" t="n">
        <v>1</v>
      </c>
      <c r="S55" t="n">
        <v>12</v>
      </c>
      <c r="T55" t="n">
        <v>30</v>
      </c>
      <c r="U55" t="n">
        <v>29</v>
      </c>
      <c r="V55" s="2" t="inlineStr">
        <is>
          <t>Knärot
Dropptaggsvamp
Kolflarnlav
Lavskrika
Lunglav
Nordtagging
Skarp dropptaggsvamp
Skrovellav
Talltita
Vedskivlav
Violettgrå tagellav
Revlummer</t>
        </is>
      </c>
      <c r="W55">
        <f>HYPERLINK("https://klasma.github.io/Logging_2161/artfynd/A 44202-2025 artfynd.xlsx", "A 44202-2025")</f>
        <v/>
      </c>
      <c r="X55">
        <f>HYPERLINK("https://klasma.github.io/Logging_2161/kartor/A 44202-2025 karta.png", "A 44202-2025")</f>
        <v/>
      </c>
      <c r="Y55">
        <f>HYPERLINK("https://klasma.github.io/Logging_2161/kartor_geotiff/A 44202-2025 georefererad karta.tif", "A 44202-2025")</f>
        <v/>
      </c>
      <c r="Z55">
        <f>HYPERLINK("https://klasma.github.io/Logging_2161/knärot/A 44202-2025 karta knärot.png", "A 44202-2025")</f>
        <v/>
      </c>
      <c r="AA55">
        <f>HYPERLINK("https://klasma.github.io/Logging_2161/klagomål/A 44202-2025 FSC-klagomål.docx", "A 44202-2025")</f>
        <v/>
      </c>
      <c r="AB55">
        <f>HYPERLINK("https://klasma.github.io/Logging_2161/klagomålsmail/A 44202-2025 FSC-klagomål mail.docx", "A 44202-2025")</f>
        <v/>
      </c>
      <c r="AC55">
        <f>HYPERLINK("https://klasma.github.io/Logging_2161/tillsyn/A 44202-2025 tillsynsbegäran.docx", "A 44202-2025")</f>
        <v/>
      </c>
      <c r="AD55">
        <f>HYPERLINK("https://klasma.github.io/Logging_2161/tillsynsmail/A 44202-2025 tillsynsbegäran mail.docx", "A 44202-2025")</f>
        <v/>
      </c>
      <c r="AE55">
        <f>HYPERLINK("https://klasma.github.io/Logging_2161/fåglar/A 44202-2025 prioriterade fågelarter.docx", "A 44202-2025")</f>
        <v/>
      </c>
    </row>
    <row r="56" ht="15" customHeight="1">
      <c r="A56" t="inlineStr">
        <is>
          <t>A 38646-2025</t>
        </is>
      </c>
      <c r="B56" t="inlineStr">
        <is>
          <t>avverkningsanmälan</t>
        </is>
      </c>
      <c r="C56" t="inlineStr">
        <is>
          <t>Föryngringsavverkning</t>
        </is>
      </c>
      <c r="D56" s="1" t="n">
        <v>45884</v>
      </c>
      <c r="E56" s="1" t="n">
        <v>46326</v>
      </c>
      <c r="F56" t="inlineStr">
        <is>
          <t>GÄVLEBORGS LÄN</t>
        </is>
      </c>
      <c r="G56" t="inlineStr">
        <is>
          <t>LJUSDAL</t>
        </is>
      </c>
      <c r="H56" t="inlineStr">
        <is>
          <t>Allmännings- och besparingsskogar</t>
        </is>
      </c>
      <c r="I56" t="n">
        <v>3.4</v>
      </c>
      <c r="J56" t="n">
        <v>2</v>
      </c>
      <c r="K56" t="n">
        <v>1</v>
      </c>
      <c r="L56" t="n">
        <v>8</v>
      </c>
      <c r="M56" t="n">
        <v>1</v>
      </c>
      <c r="N56" t="n">
        <v>0</v>
      </c>
      <c r="O56" t="n">
        <v>0</v>
      </c>
      <c r="P56" t="n">
        <v>0</v>
      </c>
      <c r="Q56" t="n">
        <v>9</v>
      </c>
      <c r="R56" t="n">
        <v>1</v>
      </c>
      <c r="S56" t="n">
        <v>12</v>
      </c>
      <c r="T56" t="n">
        <v>63</v>
      </c>
      <c r="U56" t="n">
        <v>63</v>
      </c>
      <c r="V56" s="2" t="inlineStr">
        <is>
          <t>Garnlav
Dropptaggsvamp
Dvärgbägarlav
Kolflarnlav
Mörk kolflarnlav
Skrovellav
Vedflamlav
Vedskivlav
Violettgrå tagellav
Nästlav
Tjäder
Fläcknycklar</t>
        </is>
      </c>
      <c r="W56">
        <f>HYPERLINK("https://klasma.github.io/Logging_2161/artfynd/A 38646-2025 artfynd.xlsx", "A 38646-2025")</f>
        <v/>
      </c>
      <c r="X56">
        <f>HYPERLINK("https://klasma.github.io/Logging_2161/kartor/A 38646-2025 karta.png", "A 38646-2025")</f>
        <v/>
      </c>
      <c r="Y56">
        <f>HYPERLINK("https://klasma.github.io/Logging_2161/kartor_geotiff/A 38646-2025 georefererad karta.tif", "A 38646-2025")</f>
        <v/>
      </c>
      <c r="AA56">
        <f>HYPERLINK("https://klasma.github.io/Logging_2161/klagomål/A 38646-2025 FSC-klagomål.docx", "A 38646-2025")</f>
        <v/>
      </c>
      <c r="AB56">
        <f>HYPERLINK("https://klasma.github.io/Logging_2161/klagomålsmail/A 38646-2025 FSC-klagomål mail.docx", "A 38646-2025")</f>
        <v/>
      </c>
      <c r="AC56">
        <f>HYPERLINK("https://klasma.github.io/Logging_2161/tillsyn/A 38646-2025 tillsynsbegäran.docx", "A 38646-2025")</f>
        <v/>
      </c>
      <c r="AD56">
        <f>HYPERLINK("https://klasma.github.io/Logging_2161/tillsynsmail/A 38646-2025 tillsynsbegäran mail.docx", "A 38646-2025")</f>
        <v/>
      </c>
      <c r="AE56">
        <f>HYPERLINK("https://klasma.github.io/Logging_2161/fåglar/A 38646-2025 prioriterade fågelarter.docx", "A 38646-2025")</f>
        <v/>
      </c>
    </row>
    <row r="57" ht="15" customHeight="1">
      <c r="A57" t="inlineStr">
        <is>
          <t>A 26649-2025</t>
        </is>
      </c>
      <c r="B57" t="inlineStr">
        <is>
          <t>avverkningsanmälan</t>
        </is>
      </c>
      <c r="C57" t="inlineStr">
        <is>
          <t>Föryngringsavverkning</t>
        </is>
      </c>
      <c r="D57" s="1" t="n">
        <v>45810</v>
      </c>
      <c r="E57" s="1" t="n">
        <v>46326</v>
      </c>
      <c r="F57" t="inlineStr">
        <is>
          <t>GÄVLEBORGS LÄN</t>
        </is>
      </c>
      <c r="G57" t="inlineStr">
        <is>
          <t>LJUSDAL</t>
        </is>
      </c>
      <c r="H57" t="inlineStr">
        <is>
          <t>Allmännings- och besparingsskogar</t>
        </is>
      </c>
      <c r="I57" t="n">
        <v>10</v>
      </c>
      <c r="J57" t="n">
        <v>2</v>
      </c>
      <c r="K57" t="n">
        <v>2</v>
      </c>
      <c r="L57" t="n">
        <v>8</v>
      </c>
      <c r="M57" t="n">
        <v>1</v>
      </c>
      <c r="N57" t="n">
        <v>0</v>
      </c>
      <c r="O57" t="n">
        <v>0</v>
      </c>
      <c r="P57" t="n">
        <v>0</v>
      </c>
      <c r="Q57" t="n">
        <v>9</v>
      </c>
      <c r="R57" t="n">
        <v>1</v>
      </c>
      <c r="S57" t="n">
        <v>12</v>
      </c>
      <c r="T57" t="n">
        <v>25</v>
      </c>
      <c r="U57" t="n">
        <v>24</v>
      </c>
      <c r="V57" s="2" t="inlineStr">
        <is>
          <t>Garnlav
Dropptaggsvamp
Dvärgbägarlav
Kolflarnlav
Lunglav
Mörk kolflarnlav
Tretåig hackspett
Vaddporing
Vedskivlav
Bårdlav
Stuplav
Orre</t>
        </is>
      </c>
      <c r="W57">
        <f>HYPERLINK("https://klasma.github.io/Logging_2161/artfynd/A 26649-2025 artfynd.xlsx", "A 26649-2025")</f>
        <v/>
      </c>
      <c r="X57">
        <f>HYPERLINK("https://klasma.github.io/Logging_2161/kartor/A 26649-2025 karta.png", "A 26649-2025")</f>
        <v/>
      </c>
      <c r="Y57">
        <f>HYPERLINK("https://klasma.github.io/Logging_2161/kartor_geotiff/A 26649-2025 georefererad karta.tif", "A 26649-2025")</f>
        <v/>
      </c>
      <c r="AA57">
        <f>HYPERLINK("https://klasma.github.io/Logging_2161/klagomål/A 26649-2025 FSC-klagomål.docx", "A 26649-2025")</f>
        <v/>
      </c>
      <c r="AB57">
        <f>HYPERLINK("https://klasma.github.io/Logging_2161/klagomålsmail/A 26649-2025 FSC-klagomål mail.docx", "A 26649-2025")</f>
        <v/>
      </c>
      <c r="AC57">
        <f>HYPERLINK("https://klasma.github.io/Logging_2161/tillsyn/A 26649-2025 tillsynsbegäran.docx", "A 26649-2025")</f>
        <v/>
      </c>
      <c r="AD57">
        <f>HYPERLINK("https://klasma.github.io/Logging_2161/tillsynsmail/A 26649-2025 tillsynsbegäran mail.docx", "A 26649-2025")</f>
        <v/>
      </c>
      <c r="AE57">
        <f>HYPERLINK("https://klasma.github.io/Logging_2161/fåglar/A 26649-2025 prioriterade fågelarter.docx", "A 26649-2025")</f>
        <v/>
      </c>
    </row>
    <row r="58" ht="15" customHeight="1">
      <c r="A58" t="inlineStr">
        <is>
          <t>A 54803-2025</t>
        </is>
      </c>
      <c r="B58" t="inlineStr">
        <is>
          <t>avverkningsanmälan</t>
        </is>
      </c>
      <c r="C58" t="inlineStr">
        <is>
          <t>Föryngringsavverkning</t>
        </is>
      </c>
      <c r="D58" s="1" t="n">
        <v>45966</v>
      </c>
      <c r="E58" s="1" t="n">
        <v>46326</v>
      </c>
      <c r="F58" t="inlineStr">
        <is>
          <t>GÄVLEBORGS LÄN</t>
        </is>
      </c>
      <c r="G58" t="inlineStr">
        <is>
          <t>GÄVLE</t>
        </is>
      </c>
      <c r="H58" t="inlineStr">
        <is>
          <t>Bergvik skog öst AB</t>
        </is>
      </c>
      <c r="I58" t="n">
        <v>4.6</v>
      </c>
      <c r="J58" t="n">
        <v>3</v>
      </c>
      <c r="K58" t="n">
        <v>1</v>
      </c>
      <c r="L58" t="n">
        <v>5</v>
      </c>
      <c r="M58" t="n">
        <v>4</v>
      </c>
      <c r="N58" t="n">
        <v>0</v>
      </c>
      <c r="O58" t="n">
        <v>0</v>
      </c>
      <c r="P58" t="n">
        <v>0</v>
      </c>
      <c r="Q58" t="n">
        <v>9</v>
      </c>
      <c r="R58" t="n">
        <v>4</v>
      </c>
      <c r="S58" t="n">
        <v>12</v>
      </c>
      <c r="T58" t="n">
        <v>20</v>
      </c>
      <c r="U58" t="n">
        <v>1</v>
      </c>
      <c r="V58" s="2" t="inlineStr">
        <is>
          <t>Brunfläckig pärlemorfjäril
Kattunvisslare
Silverblåvinge
Ängsblåvinge
Majviva
Mindre tåtelsmygare
Turkos blåvinge
Vitfläckig guldvinge
Vårärt
Skogsknipprot
Citronfläckad kärrtrollslända
Gullviva</t>
        </is>
      </c>
      <c r="W58">
        <f>HYPERLINK("https://klasma.github.io/Logging_2180/artfynd/A 54803-2025 artfynd.xlsx", "A 54803-2025")</f>
        <v/>
      </c>
      <c r="X58">
        <f>HYPERLINK("https://klasma.github.io/Logging_2180/kartor/A 54803-2025 karta.png", "A 54803-2025")</f>
        <v/>
      </c>
      <c r="Y58">
        <f>HYPERLINK("https://klasma.github.io/Logging_2180/kartor_geotiff/A 54803-2025 georefererad karta.tif", "A 54803-2025")</f>
        <v/>
      </c>
      <c r="AA58">
        <f>HYPERLINK("https://klasma.github.io/Logging_2180/klagomål/A 54803-2025 FSC-klagomål.docx", "A 54803-2025")</f>
        <v/>
      </c>
      <c r="AB58">
        <f>HYPERLINK("https://klasma.github.io/Logging_2180/klagomålsmail/A 54803-2025 FSC-klagomål mail.docx", "A 54803-2025")</f>
        <v/>
      </c>
      <c r="AC58">
        <f>HYPERLINK("https://klasma.github.io/Logging_2180/tillsyn/A 54803-2025 tillsynsbegäran.docx", "A 54803-2025")</f>
        <v/>
      </c>
      <c r="AD58">
        <f>HYPERLINK("https://klasma.github.io/Logging_2180/tillsynsmail/A 54803-2025 tillsynsbegäran mail.docx", "A 54803-2025")</f>
        <v/>
      </c>
    </row>
    <row r="59" ht="15" customHeight="1">
      <c r="A59" t="inlineStr">
        <is>
          <t>A 59757-2025</t>
        </is>
      </c>
      <c r="B59" t="inlineStr">
        <is>
          <t>avverkningsanmälan</t>
        </is>
      </c>
      <c r="C59" t="inlineStr">
        <is>
          <t>Föryngringsavverkning</t>
        </is>
      </c>
      <c r="D59" s="1" t="n">
        <v>45992</v>
      </c>
      <c r="E59" s="1" t="n">
        <v>46326</v>
      </c>
      <c r="F59" t="inlineStr">
        <is>
          <t>GÄVLEBORGS LÄN</t>
        </is>
      </c>
      <c r="G59" t="inlineStr">
        <is>
          <t>LJUSDAL</t>
        </is>
      </c>
      <c r="H59" t="inlineStr">
        <is>
          <t>Allmännings- och besparingsskogar</t>
        </is>
      </c>
      <c r="I59" t="n">
        <v>17.1</v>
      </c>
      <c r="J59" t="n">
        <v>1</v>
      </c>
      <c r="K59" t="n">
        <v>0</v>
      </c>
      <c r="L59" t="n">
        <v>9</v>
      </c>
      <c r="M59" t="n">
        <v>2</v>
      </c>
      <c r="N59" t="n">
        <v>0</v>
      </c>
      <c r="O59" t="n">
        <v>0</v>
      </c>
      <c r="P59" t="n">
        <v>0</v>
      </c>
      <c r="Q59" t="n">
        <v>11</v>
      </c>
      <c r="R59" t="n">
        <v>2</v>
      </c>
      <c r="S59" t="n">
        <v>12</v>
      </c>
      <c r="T59" t="n">
        <v>25</v>
      </c>
      <c r="U59" t="n">
        <v>25</v>
      </c>
      <c r="V59" s="2" t="inlineStr">
        <is>
          <t>Garnlav
Gränsticka
Blågrå svartspik
Dvärgbägarlav
Kolflarnlav
Lunglav
Mörk kolflarnlav
Skrovellav
Vedflamlav
Vedskivlav
Violettgrå tagellav
Bergfink</t>
        </is>
      </c>
      <c r="W59">
        <f>HYPERLINK("https://klasma.github.io/Logging_2161/artfynd/A 59757-2025 artfynd.xlsx", "A 59757-2025")</f>
        <v/>
      </c>
      <c r="X59">
        <f>HYPERLINK("https://klasma.github.io/Logging_2161/kartor/A 59757-2025 karta.png", "A 59757-2025")</f>
        <v/>
      </c>
      <c r="Y59">
        <f>HYPERLINK("https://klasma.github.io/Logging_2161/kartor_geotiff/A 59757-2025 georefererad karta.tif", "A 59757-2025")</f>
        <v/>
      </c>
      <c r="AA59">
        <f>HYPERLINK("https://klasma.github.io/Logging_2161/klagomål/A 59757-2025 FSC-klagomål.docx", "A 59757-2025")</f>
        <v/>
      </c>
      <c r="AB59">
        <f>HYPERLINK("https://klasma.github.io/Logging_2161/klagomålsmail/A 59757-2025 FSC-klagomål mail.docx", "A 59757-2025")</f>
        <v/>
      </c>
      <c r="AC59">
        <f>HYPERLINK("https://klasma.github.io/Logging_2161/tillsyn/A 59757-2025 tillsynsbegäran.docx", "A 59757-2025")</f>
        <v/>
      </c>
      <c r="AD59">
        <f>HYPERLINK("https://klasma.github.io/Logging_2161/tillsynsmail/A 59757-2025 tillsynsbegäran mail.docx", "A 59757-2025")</f>
        <v/>
      </c>
    </row>
    <row r="60" ht="15" customHeight="1">
      <c r="A60" t="inlineStr">
        <is>
          <t>A 30010-2026</t>
        </is>
      </c>
      <c r="B60" t="inlineStr">
        <is>
          <t>avverkningsanmälan</t>
        </is>
      </c>
      <c r="C60" t="inlineStr">
        <is>
          <t>Föryngringsavverkning</t>
        </is>
      </c>
      <c r="D60" s="1" t="n">
        <v>46205</v>
      </c>
      <c r="E60" s="1" t="n">
        <v>46326</v>
      </c>
      <c r="F60" t="inlineStr">
        <is>
          <t>GÄVLEBORGS LÄN</t>
        </is>
      </c>
      <c r="G60" t="inlineStr">
        <is>
          <t>LJUSDAL</t>
        </is>
      </c>
      <c r="H60" t="inlineStr">
        <is>
          <t>Sveaskog</t>
        </is>
      </c>
      <c r="I60" t="n">
        <v>18.2</v>
      </c>
      <c r="J60" t="n">
        <v>6</v>
      </c>
      <c r="K60" t="n">
        <v>1</v>
      </c>
      <c r="L60" t="n">
        <v>6</v>
      </c>
      <c r="M60" t="n">
        <v>2</v>
      </c>
      <c r="N60" t="n">
        <v>0</v>
      </c>
      <c r="O60" t="n">
        <v>0</v>
      </c>
      <c r="P60" t="n">
        <v>0</v>
      </c>
      <c r="Q60" t="n">
        <v>8</v>
      </c>
      <c r="R60" t="n">
        <v>2</v>
      </c>
      <c r="S60" t="n">
        <v>12</v>
      </c>
      <c r="T60" t="n">
        <v>38</v>
      </c>
      <c r="U60" t="n">
        <v>37</v>
      </c>
      <c r="V60" s="2" t="inlineStr">
        <is>
          <t>Garnlav
Knärot
Dropptaggsvamp
Kolflarnlav
Lunglav
Motaggsvamp
Rödvingetrast
Skrovellav
Plattlummer
Tjäder
Fläcknycklar
Nattviol</t>
        </is>
      </c>
      <c r="W60">
        <f>HYPERLINK("https://klasma.github.io/Logging_2161/artfynd/A 30010-2026 artfynd.xlsx", "A 30010-2026")</f>
        <v/>
      </c>
      <c r="X60">
        <f>HYPERLINK("https://klasma.github.io/Logging_2161/kartor/A 30010-2026 karta.png", "A 30010-2026")</f>
        <v/>
      </c>
      <c r="Y60">
        <f>HYPERLINK("https://klasma.github.io/Logging_2161/kartor_geotiff/A 30010-2026 georefererad karta.tif", "A 30010-2026")</f>
        <v/>
      </c>
      <c r="Z60">
        <f>HYPERLINK("https://klasma.github.io/Logging_2161/knärot/A 30010-2026 karta knärot.png", "A 30010-2026")</f>
        <v/>
      </c>
      <c r="AA60">
        <f>HYPERLINK("https://klasma.github.io/Logging_2161/klagomål/A 30010-2026 FSC-klagomål.docx", "A 30010-2026")</f>
        <v/>
      </c>
      <c r="AB60">
        <f>HYPERLINK("https://klasma.github.io/Logging_2161/klagomålsmail/A 30010-2026 FSC-klagomål mail.docx", "A 30010-2026")</f>
        <v/>
      </c>
      <c r="AC60">
        <f>HYPERLINK("https://klasma.github.io/Logging_2161/tillsyn/A 30010-2026 tillsynsbegäran.docx", "A 30010-2026")</f>
        <v/>
      </c>
      <c r="AD60">
        <f>HYPERLINK("https://klasma.github.io/Logging_2161/tillsynsmail/A 30010-2026 tillsynsbegäran mail.docx", "A 30010-2026")</f>
        <v/>
      </c>
      <c r="AE60">
        <f>HYPERLINK("https://klasma.github.io/Logging_2161/fåglar/A 30010-2026 prioriterade fågelarter.docx", "A 30010-2026")</f>
        <v/>
      </c>
    </row>
    <row r="61" ht="15" customHeight="1">
      <c r="A61" t="inlineStr">
        <is>
          <t>A 53688-2025</t>
        </is>
      </c>
      <c r="B61" t="inlineStr">
        <is>
          <t>avverkningsanmälan</t>
        </is>
      </c>
      <c r="C61" t="inlineStr">
        <is>
          <t>Föryngringsavverkning</t>
        </is>
      </c>
      <c r="D61" s="1" t="n">
        <v>45960</v>
      </c>
      <c r="E61" s="1" t="n">
        <v>46326</v>
      </c>
      <c r="F61" t="inlineStr">
        <is>
          <t>GÄVLEBORGS LÄN</t>
        </is>
      </c>
      <c r="G61" t="inlineStr">
        <is>
          <t>LJUSDAL</t>
        </is>
      </c>
      <c r="H61" t="inlineStr">
        <is>
          <t>Allmännings- och besparingsskogar</t>
        </is>
      </c>
      <c r="I61" t="n">
        <v>16.2</v>
      </c>
      <c r="J61" t="n">
        <v>2</v>
      </c>
      <c r="K61" t="n">
        <v>1</v>
      </c>
      <c r="L61" t="n">
        <v>10</v>
      </c>
      <c r="M61" t="n">
        <v>1</v>
      </c>
      <c r="N61" t="n">
        <v>0</v>
      </c>
      <c r="O61" t="n">
        <v>0</v>
      </c>
      <c r="P61" t="n">
        <v>0</v>
      </c>
      <c r="Q61" t="n">
        <v>11</v>
      </c>
      <c r="R61" t="n">
        <v>1</v>
      </c>
      <c r="S61" t="n">
        <v>12</v>
      </c>
      <c r="T61" t="n">
        <v>62</v>
      </c>
      <c r="U61" t="n">
        <v>62</v>
      </c>
      <c r="V61" s="2" t="inlineStr">
        <is>
          <t>Garnlav
Blanksvart spiklav
Blågrå svartspik
Kolflarnlav
Kortskaftad ärgspik
Lavskrika
Mörk kolflarnlav
Tretåig hackspett
Vedflamlav
Vedskivlav
Violettgrå tagellav
Nästlav</t>
        </is>
      </c>
      <c r="W61">
        <f>HYPERLINK("https://klasma.github.io/Logging_2161/artfynd/A 53688-2025 artfynd.xlsx", "A 53688-2025")</f>
        <v/>
      </c>
      <c r="X61">
        <f>HYPERLINK("https://klasma.github.io/Logging_2161/kartor/A 53688-2025 karta.png", "A 53688-2025")</f>
        <v/>
      </c>
      <c r="Y61">
        <f>HYPERLINK("https://klasma.github.io/Logging_2161/kartor_geotiff/A 53688-2025 georefererad karta.tif", "A 53688-2025")</f>
        <v/>
      </c>
      <c r="AA61">
        <f>HYPERLINK("https://klasma.github.io/Logging_2161/klagomål/A 53688-2025 FSC-klagomål.docx", "A 53688-2025")</f>
        <v/>
      </c>
      <c r="AB61">
        <f>HYPERLINK("https://klasma.github.io/Logging_2161/klagomålsmail/A 53688-2025 FSC-klagomål mail.docx", "A 53688-2025")</f>
        <v/>
      </c>
      <c r="AC61">
        <f>HYPERLINK("https://klasma.github.io/Logging_2161/tillsyn/A 53688-2025 tillsynsbegäran.docx", "A 53688-2025")</f>
        <v/>
      </c>
      <c r="AD61">
        <f>HYPERLINK("https://klasma.github.io/Logging_2161/tillsynsmail/A 53688-2025 tillsynsbegäran mail.docx", "A 53688-2025")</f>
        <v/>
      </c>
      <c r="AE61">
        <f>HYPERLINK("https://klasma.github.io/Logging_2161/fåglar/A 53688-2025 prioriterade fågelarter.docx", "A 53688-2025")</f>
        <v/>
      </c>
    </row>
    <row r="62" ht="15" customHeight="1">
      <c r="A62" t="inlineStr">
        <is>
          <t>A 22714-2026</t>
        </is>
      </c>
      <c r="B62" t="inlineStr">
        <is>
          <t>avverkningsanmälan</t>
        </is>
      </c>
      <c r="C62" t="inlineStr">
        <is>
          <t>Föryngringsavverkning</t>
        </is>
      </c>
      <c r="D62" s="1" t="n">
        <v>46156</v>
      </c>
      <c r="E62" s="1" t="n">
        <v>46326</v>
      </c>
      <c r="F62" t="inlineStr">
        <is>
          <t>GÄVLEBORGS LÄN</t>
        </is>
      </c>
      <c r="G62" t="inlineStr">
        <is>
          <t>LJUSDAL</t>
        </is>
      </c>
      <c r="H62" t="inlineStr">
        <is>
          <t>Allmännings- och besparingsskogar</t>
        </is>
      </c>
      <c r="I62" t="n">
        <v>20.3</v>
      </c>
      <c r="J62" t="n">
        <v>6</v>
      </c>
      <c r="K62" t="n">
        <v>1</v>
      </c>
      <c r="L62" t="n">
        <v>6</v>
      </c>
      <c r="M62" t="n">
        <v>2</v>
      </c>
      <c r="N62" t="n">
        <v>0</v>
      </c>
      <c r="O62" t="n">
        <v>0</v>
      </c>
      <c r="P62" t="n">
        <v>0</v>
      </c>
      <c r="Q62" t="n">
        <v>8</v>
      </c>
      <c r="R62" t="n">
        <v>2</v>
      </c>
      <c r="S62" t="n">
        <v>12</v>
      </c>
      <c r="T62" t="n">
        <v>98</v>
      </c>
      <c r="U62" t="n">
        <v>98</v>
      </c>
      <c r="V62" s="2" t="inlineStr">
        <is>
          <t>Garnlav
Knärot
Blanksvart spiklav
Mörk kolflarnlav
Tallticka
Tretåig hackspett
Varglav
Vedflamlav
Mindre märgborre
Spillkråka
Tjäder
Grönsiska</t>
        </is>
      </c>
      <c r="W62">
        <f>HYPERLINK("https://klasma.github.io/Logging_2161/artfynd/A 22714-2026 artfynd.xlsx", "A 22714-2026")</f>
        <v/>
      </c>
      <c r="X62">
        <f>HYPERLINK("https://klasma.github.io/Logging_2161/kartor/A 22714-2026 karta.png", "A 22714-2026")</f>
        <v/>
      </c>
      <c r="Y62">
        <f>HYPERLINK("https://klasma.github.io/Logging_2161/kartor_geotiff/A 22714-2026 georefererad karta.tif", "A 22714-2026")</f>
        <v/>
      </c>
      <c r="Z62">
        <f>HYPERLINK("https://klasma.github.io/Logging_2161/knärot/A 22714-2026 karta knärot.png", "A 22714-2026")</f>
        <v/>
      </c>
      <c r="AA62">
        <f>HYPERLINK("https://klasma.github.io/Logging_2161/klagomål/A 22714-2026 FSC-klagomål.docx", "A 22714-2026")</f>
        <v/>
      </c>
      <c r="AB62">
        <f>HYPERLINK("https://klasma.github.io/Logging_2161/klagomålsmail/A 22714-2026 FSC-klagomål mail.docx", "A 22714-2026")</f>
        <v/>
      </c>
      <c r="AC62">
        <f>HYPERLINK("https://klasma.github.io/Logging_2161/tillsyn/A 22714-2026 tillsynsbegäran.docx", "A 22714-2026")</f>
        <v/>
      </c>
      <c r="AD62">
        <f>HYPERLINK("https://klasma.github.io/Logging_2161/tillsynsmail/A 22714-2026 tillsynsbegäran mail.docx", "A 22714-2026")</f>
        <v/>
      </c>
      <c r="AE62">
        <f>HYPERLINK("https://klasma.github.io/Logging_2161/fåglar/A 22714-2026 prioriterade fågelarter.docx", "A 22714-2026")</f>
        <v/>
      </c>
    </row>
    <row r="63" ht="15" customHeight="1">
      <c r="A63" t="inlineStr">
        <is>
          <t>S 3985-2023</t>
        </is>
      </c>
      <c r="B63" t="inlineStr">
        <is>
          <t>samrådsanmälan</t>
        </is>
      </c>
      <c r="C63" t="inlineStr">
        <is>
          <t>Skogsgödsling</t>
        </is>
      </c>
      <c r="D63" s="1" t="n">
        <v>45238</v>
      </c>
      <c r="E63" s="1" t="n">
        <v>46326</v>
      </c>
      <c r="F63" t="inlineStr">
        <is>
          <t>GÄVLEBORGS LÄN</t>
        </is>
      </c>
      <c r="G63" t="inlineStr">
        <is>
          <t>NORDANSTIG</t>
        </is>
      </c>
      <c r="H63" t="inlineStr">
        <is>
          <t>Holmen skog AB</t>
        </is>
      </c>
      <c r="I63" t="n">
        <v>129.9</v>
      </c>
      <c r="J63" t="n">
        <v>7</v>
      </c>
      <c r="K63" t="n">
        <v>5</v>
      </c>
      <c r="L63" t="n">
        <v>2</v>
      </c>
      <c r="M63" t="n">
        <v>1</v>
      </c>
      <c r="N63" t="n">
        <v>0</v>
      </c>
      <c r="O63" t="n">
        <v>0</v>
      </c>
      <c r="P63" t="n">
        <v>0</v>
      </c>
      <c r="Q63" t="n">
        <v>3</v>
      </c>
      <c r="R63" t="n">
        <v>1</v>
      </c>
      <c r="S63" t="n">
        <v>12</v>
      </c>
      <c r="T63" t="n">
        <v>12</v>
      </c>
      <c r="U63" t="n">
        <v>12</v>
      </c>
      <c r="V63" s="2" t="inlineStr">
        <is>
          <t>Bredgentiana
Brunklöver
Vårärt
Korallrot
Kransrams
Svart trolldruva
Tibast
Tvåblad
Blåsippa
Brudsporre
Fläcknycklar
Lopplummer (aggregat)</t>
        </is>
      </c>
      <c r="W63">
        <f>HYPERLINK("https://klasma.github.io/Logging_2132/artfynd/S 3985-2023 artfynd.xlsx", "S 3985-2023")</f>
        <v/>
      </c>
      <c r="X63">
        <f>HYPERLINK("https://klasma.github.io/Logging_2132/kartor/S 3985-2023 karta.png", "S 3985-2023")</f>
        <v/>
      </c>
      <c r="Y63">
        <f>HYPERLINK("https://klasma.github.io/Logging_2132/kartor_geotiff/S 3985-2023 georefererad karta.tif", "S 3985-2023")</f>
        <v/>
      </c>
      <c r="AA63">
        <f>HYPERLINK("https://klasma.github.io/Logging_2132/klagomål/S 3985-2023 FSC-klagomål.docx", "S 3985-2023")</f>
        <v/>
      </c>
      <c r="AB63">
        <f>HYPERLINK("https://klasma.github.io/Logging_2132/klagomålsmail/S 3985-2023 FSC-klagomål mail.docx", "S 3985-2023")</f>
        <v/>
      </c>
      <c r="AC63">
        <f>HYPERLINK("https://klasma.github.io/Logging_2132/tillsyn/S 3985-2023 tillsynsbegäran.docx", "S 3985-2023")</f>
        <v/>
      </c>
      <c r="AD63">
        <f>HYPERLINK("https://klasma.github.io/Logging_2132/tillsynsmail/S 3985-2023 tillsynsbegäran mail.docx", "S 3985-2023")</f>
        <v/>
      </c>
    </row>
    <row r="64" ht="15" customHeight="1">
      <c r="A64" t="inlineStr">
        <is>
          <t>S 3386-2025</t>
        </is>
      </c>
      <c r="B64" t="inlineStr">
        <is>
          <t>samrådsanmälan</t>
        </is>
      </c>
      <c r="C64" t="inlineStr">
        <is>
          <t>Skogsgödsling</t>
        </is>
      </c>
      <c r="D64" s="1" t="n">
        <v>45993</v>
      </c>
      <c r="E64" s="1" t="n">
        <v>46326</v>
      </c>
      <c r="F64" t="inlineStr">
        <is>
          <t>GÄVLEBORGS LÄN</t>
        </is>
      </c>
      <c r="G64" t="inlineStr">
        <is>
          <t>LJUSDAL</t>
        </is>
      </c>
      <c r="I64" t="n">
        <v>281.5</v>
      </c>
      <c r="J64" t="n">
        <v>6</v>
      </c>
      <c r="K64" t="n">
        <v>3</v>
      </c>
      <c r="L64" t="n">
        <v>4</v>
      </c>
      <c r="M64" t="n">
        <v>1</v>
      </c>
      <c r="N64" t="n">
        <v>0</v>
      </c>
      <c r="O64" t="n">
        <v>0</v>
      </c>
      <c r="P64" t="n">
        <v>0</v>
      </c>
      <c r="Q64" t="n">
        <v>5</v>
      </c>
      <c r="R64" t="n">
        <v>1</v>
      </c>
      <c r="S64" t="n">
        <v>12</v>
      </c>
      <c r="T64" t="n">
        <v>15</v>
      </c>
      <c r="U64" t="n">
        <v>2</v>
      </c>
      <c r="V64" s="2" t="inlineStr">
        <is>
          <t>Garnlav
Blanksvart spiklav
Blågrå svartspik
Lunglav
Talltita
Bårdlav
Luddlav
Spindelblomster
Spillkråka
Tjäder
Fläcknycklar
Revlummer</t>
        </is>
      </c>
      <c r="W64">
        <f>HYPERLINK("https://klasma.github.io/Logging_2161/artfynd/S 3386-2025 artfynd.xlsx", "S 3386-2025")</f>
        <v/>
      </c>
      <c r="X64">
        <f>HYPERLINK("https://klasma.github.io/Logging_2161/kartor/S 3386-2025 karta.png", "S 3386-2025")</f>
        <v/>
      </c>
      <c r="Y64">
        <f>HYPERLINK("https://klasma.github.io/Logging_2161/kartor_geotiff/S 3386-2025 georefererad karta.tif", "S 3386-2025")</f>
        <v/>
      </c>
      <c r="AA64">
        <f>HYPERLINK("https://klasma.github.io/Logging_2161/klagomål/S 3386-2025 FSC-klagomål.docx", "S 3386-2025")</f>
        <v/>
      </c>
      <c r="AB64">
        <f>HYPERLINK("https://klasma.github.io/Logging_2161/klagomålsmail/S 3386-2025 FSC-klagomål mail.docx", "S 3386-2025")</f>
        <v/>
      </c>
      <c r="AC64">
        <f>HYPERLINK("https://klasma.github.io/Logging_2161/tillsyn/S 3386-2025 tillsynsbegäran.docx", "S 3386-2025")</f>
        <v/>
      </c>
      <c r="AD64">
        <f>HYPERLINK("https://klasma.github.io/Logging_2161/tillsynsmail/S 3386-2025 tillsynsbegäran mail.docx", "S 3386-2025")</f>
        <v/>
      </c>
      <c r="AE64">
        <f>HYPERLINK("https://klasma.github.io/Logging_2161/fåglar/S 3386-2025 prioriterade fågelarter.docx", "S 3386-2025")</f>
        <v/>
      </c>
    </row>
    <row r="65" ht="15" customHeight="1">
      <c r="A65" t="inlineStr">
        <is>
          <t>S 69-2026</t>
        </is>
      </c>
      <c r="B65" t="inlineStr">
        <is>
          <t>samrådsanmälan</t>
        </is>
      </c>
      <c r="C65" t="inlineStr">
        <is>
          <t>Annan skogsbruksåtgärd</t>
        </is>
      </c>
      <c r="D65" s="1" t="n">
        <v>46031</v>
      </c>
      <c r="E65" s="1" t="n">
        <v>46326</v>
      </c>
      <c r="F65" t="inlineStr">
        <is>
          <t>GÄVLEBORGS LÄN</t>
        </is>
      </c>
      <c r="G65" t="inlineStr">
        <is>
          <t>BOLLNÄS</t>
        </is>
      </c>
      <c r="I65" t="n">
        <v>1.7</v>
      </c>
      <c r="J65" t="n">
        <v>5</v>
      </c>
      <c r="K65" t="n">
        <v>5</v>
      </c>
      <c r="L65" t="n">
        <v>3</v>
      </c>
      <c r="M65" t="n">
        <v>2</v>
      </c>
      <c r="N65" t="n">
        <v>0</v>
      </c>
      <c r="O65" t="n">
        <v>0</v>
      </c>
      <c r="P65" t="n">
        <v>0</v>
      </c>
      <c r="Q65" t="n">
        <v>5</v>
      </c>
      <c r="R65" t="n">
        <v>2</v>
      </c>
      <c r="S65" t="n">
        <v>12</v>
      </c>
      <c r="T65" t="n">
        <v>22</v>
      </c>
      <c r="U65" t="n">
        <v>0</v>
      </c>
      <c r="V65" s="2" t="inlineStr">
        <is>
          <t>Bredgentiana
Stor låsbräken
Gullpudra
Myskmåra
Vårärt
Dvärghäxört
Myskmadra
Svart trolldruva
Tibast
Tvåblad
Blåsippa
Fläcknycklar</t>
        </is>
      </c>
      <c r="W65">
        <f>HYPERLINK("https://klasma.github.io/Logging_2183/artfynd/S 69-2026 artfynd.xlsx", "S 69-2026")</f>
        <v/>
      </c>
      <c r="X65">
        <f>HYPERLINK("https://klasma.github.io/Logging_2183/kartor/S 69-2026 karta.png", "S 69-2026")</f>
        <v/>
      </c>
      <c r="Y65">
        <f>HYPERLINK("https://klasma.github.io/Logging_2183/kartor_geotiff/S 69-2026 georefererad karta.tif", "S 69-2026")</f>
        <v/>
      </c>
      <c r="AA65">
        <f>HYPERLINK("https://klasma.github.io/Logging_2183/klagomål/S 69-2026 FSC-klagomål.docx", "S 69-2026")</f>
        <v/>
      </c>
      <c r="AB65">
        <f>HYPERLINK("https://klasma.github.io/Logging_2183/klagomålsmail/S 69-2026 FSC-klagomål mail.docx", "S 69-2026")</f>
        <v/>
      </c>
      <c r="AC65">
        <f>HYPERLINK("https://klasma.github.io/Logging_2183/tillsyn/S 69-2026 tillsynsbegäran.docx", "S 69-2026")</f>
        <v/>
      </c>
      <c r="AD65">
        <f>HYPERLINK("https://klasma.github.io/Logging_2183/tillsynsmail/S 69-2026 tillsynsbegäran mail.docx", "S 69-2026")</f>
        <v/>
      </c>
    </row>
    <row r="66" ht="15" customHeight="1">
      <c r="A66" t="inlineStr">
        <is>
          <t>S 1534-2026</t>
        </is>
      </c>
      <c r="B66" t="inlineStr">
        <is>
          <t>samrådsanmälan</t>
        </is>
      </c>
      <c r="C66" t="inlineStr">
        <is>
          <t>Annan skogsbruksåtgärd</t>
        </is>
      </c>
      <c r="D66" s="1" t="n">
        <v>46164</v>
      </c>
      <c r="E66" s="1" t="n">
        <v>46326</v>
      </c>
      <c r="F66" t="inlineStr">
        <is>
          <t>GÄVLEBORGS LÄN</t>
        </is>
      </c>
      <c r="G66" t="inlineStr">
        <is>
          <t>HOFORS</t>
        </is>
      </c>
      <c r="I66" t="n">
        <v>1.7</v>
      </c>
      <c r="J66" t="n">
        <v>3</v>
      </c>
      <c r="K66" t="n">
        <v>3</v>
      </c>
      <c r="L66" t="n">
        <v>6</v>
      </c>
      <c r="M66" t="n">
        <v>2</v>
      </c>
      <c r="N66" t="n">
        <v>0</v>
      </c>
      <c r="O66" t="n">
        <v>0</v>
      </c>
      <c r="P66" t="n">
        <v>0</v>
      </c>
      <c r="Q66" t="n">
        <v>8</v>
      </c>
      <c r="R66" t="n">
        <v>2</v>
      </c>
      <c r="S66" t="n">
        <v>12</v>
      </c>
      <c r="T66" t="n">
        <v>35</v>
      </c>
      <c r="U66" t="n">
        <v>0</v>
      </c>
      <c r="V66" s="2" t="inlineStr">
        <is>
          <t>Garnlav
Knärot
Kötticka
Rosenticka
Rynkskinn
Tretåig hackspett
Ullticka
Vedskivlav
Bronshjon
Thomsons trägnagare
Vedticka
Tjäder</t>
        </is>
      </c>
      <c r="W66">
        <f>HYPERLINK("https://klasma.github.io/Logging_2104/artfynd/S 1534-2026 artfynd.xlsx", "S 1534-2026")</f>
        <v/>
      </c>
      <c r="X66">
        <f>HYPERLINK("https://klasma.github.io/Logging_2104/kartor/S 1534-2026 karta.png", "S 1534-2026")</f>
        <v/>
      </c>
      <c r="Y66">
        <f>HYPERLINK("https://klasma.github.io/Logging_2104/kartor_geotiff/S 1534-2026 georefererad karta.tif", "S 1534-2026")</f>
        <v/>
      </c>
      <c r="Z66">
        <f>HYPERLINK("https://klasma.github.io/Logging_2104/knärot/S 1534-2026 karta knärot.png", "S 1534-2026")</f>
        <v/>
      </c>
      <c r="AA66">
        <f>HYPERLINK("https://klasma.github.io/Logging_2104/klagomål/S 1534-2026 FSC-klagomål.docx", "S 1534-2026")</f>
        <v/>
      </c>
      <c r="AB66">
        <f>HYPERLINK("https://klasma.github.io/Logging_2104/klagomålsmail/S 1534-2026 FSC-klagomål mail.docx", "S 1534-2026")</f>
        <v/>
      </c>
      <c r="AC66">
        <f>HYPERLINK("https://klasma.github.io/Logging_2104/tillsyn/S 1534-2026 tillsynsbegäran.docx", "S 1534-2026")</f>
        <v/>
      </c>
      <c r="AD66">
        <f>HYPERLINK("https://klasma.github.io/Logging_2104/tillsynsmail/S 1534-2026 tillsynsbegäran mail.docx", "S 1534-2026")</f>
        <v/>
      </c>
      <c r="AE66">
        <f>HYPERLINK("https://klasma.github.io/Logging_2104/fåglar/S 1534-2026 prioriterade fågelarter.docx", "S 1534-2026")</f>
        <v/>
      </c>
    </row>
    <row r="67" ht="15" customHeight="1">
      <c r="A67" t="inlineStr">
        <is>
          <t>A 31324-2024</t>
        </is>
      </c>
      <c r="B67" t="inlineStr">
        <is>
          <t>avverkningsanmälan</t>
        </is>
      </c>
      <c r="C67" t="inlineStr">
        <is>
          <t>Föryngringsavverkning</t>
        </is>
      </c>
      <c r="D67" s="1" t="n">
        <v>45504</v>
      </c>
      <c r="E67" s="1" t="n">
        <v>46326</v>
      </c>
      <c r="F67" t="inlineStr">
        <is>
          <t>GÄVLEBORGS LÄN</t>
        </is>
      </c>
      <c r="G67" t="inlineStr">
        <is>
          <t>LJUSDAL</t>
        </is>
      </c>
      <c r="H67" t="inlineStr">
        <is>
          <t>Sveaskog</t>
        </is>
      </c>
      <c r="I67" t="n">
        <v>14</v>
      </c>
      <c r="J67" t="n">
        <v>4</v>
      </c>
      <c r="K67" t="n">
        <v>2</v>
      </c>
      <c r="L67" t="n">
        <v>5</v>
      </c>
      <c r="M67" t="n">
        <v>2</v>
      </c>
      <c r="N67" t="n">
        <v>0</v>
      </c>
      <c r="O67" t="n">
        <v>0</v>
      </c>
      <c r="P67" t="n">
        <v>0</v>
      </c>
      <c r="Q67" t="n">
        <v>7</v>
      </c>
      <c r="R67" t="n">
        <v>2</v>
      </c>
      <c r="S67" t="n">
        <v>11</v>
      </c>
      <c r="T67" t="n">
        <v>43</v>
      </c>
      <c r="U67" t="n">
        <v>41</v>
      </c>
      <c r="V67" s="2" t="inlineStr">
        <is>
          <t>Garnlav
Knärot
Dropptaggsvamp
Kolflarnlav
Lunglav
Mörk kolflarnlav
Vedskivlav
Norrlandslav
Spindelblomster
Tjäder
Fläcknycklar</t>
        </is>
      </c>
      <c r="W67">
        <f>HYPERLINK("https://klasma.github.io/Logging_2161/artfynd/A 31324-2024 artfynd.xlsx", "A 31324-2024")</f>
        <v/>
      </c>
      <c r="X67">
        <f>HYPERLINK("https://klasma.github.io/Logging_2161/kartor/A 31324-2024 karta.png", "A 31324-2024")</f>
        <v/>
      </c>
      <c r="Y67">
        <f>HYPERLINK("https://klasma.github.io/Logging_2161/kartor_geotiff/A 31324-2024 georefererad karta.tif", "A 31324-2024")</f>
        <v/>
      </c>
      <c r="Z67">
        <f>HYPERLINK("https://klasma.github.io/Logging_2161/knärot/A 31324-2024 karta knärot.png", "A 31324-2024")</f>
        <v/>
      </c>
      <c r="AA67">
        <f>HYPERLINK("https://klasma.github.io/Logging_2161/klagomål/A 31324-2024 FSC-klagomål.docx", "A 31324-2024")</f>
        <v/>
      </c>
      <c r="AB67">
        <f>HYPERLINK("https://klasma.github.io/Logging_2161/klagomålsmail/A 31324-2024 FSC-klagomål mail.docx", "A 31324-2024")</f>
        <v/>
      </c>
      <c r="AC67">
        <f>HYPERLINK("https://klasma.github.io/Logging_2161/tillsyn/A 31324-2024 tillsynsbegäran.docx", "A 31324-2024")</f>
        <v/>
      </c>
      <c r="AD67">
        <f>HYPERLINK("https://klasma.github.io/Logging_2161/tillsynsmail/A 31324-2024 tillsynsbegäran mail.docx", "A 31324-2024")</f>
        <v/>
      </c>
      <c r="AE67">
        <f>HYPERLINK("https://klasma.github.io/Logging_2161/fåglar/A 31324-2024 prioriterade fågelarter.docx", "A 31324-2024")</f>
        <v/>
      </c>
    </row>
    <row r="68" ht="15" customHeight="1">
      <c r="A68" t="inlineStr">
        <is>
          <t>A 31613-2025</t>
        </is>
      </c>
      <c r="B68" t="inlineStr">
        <is>
          <t>avverkningsanmälan</t>
        </is>
      </c>
      <c r="C68" t="inlineStr">
        <is>
          <t>Föryngringsavverkning</t>
        </is>
      </c>
      <c r="D68" s="1" t="n">
        <v>45833</v>
      </c>
      <c r="E68" s="1" t="n">
        <v>46326</v>
      </c>
      <c r="F68" t="inlineStr">
        <is>
          <t>GÄVLEBORGS LÄN</t>
        </is>
      </c>
      <c r="G68" t="inlineStr">
        <is>
          <t>LJUSDAL</t>
        </is>
      </c>
      <c r="H68" t="inlineStr">
        <is>
          <t>Sveaskog</t>
        </is>
      </c>
      <c r="I68" t="n">
        <v>22.9</v>
      </c>
      <c r="J68" t="n">
        <v>6</v>
      </c>
      <c r="K68" t="n">
        <v>2</v>
      </c>
      <c r="L68" t="n">
        <v>5</v>
      </c>
      <c r="M68" t="n">
        <v>1</v>
      </c>
      <c r="N68" t="n">
        <v>0</v>
      </c>
      <c r="O68" t="n">
        <v>0</v>
      </c>
      <c r="P68" t="n">
        <v>0</v>
      </c>
      <c r="Q68" t="n">
        <v>6</v>
      </c>
      <c r="R68" t="n">
        <v>1</v>
      </c>
      <c r="S68" t="n">
        <v>11</v>
      </c>
      <c r="T68" t="n">
        <v>27</v>
      </c>
      <c r="U68" t="n">
        <v>27</v>
      </c>
      <c r="V68" s="2" t="inlineStr">
        <is>
          <t>Garnlav
Kolflarnlav
Lunglav
Mörk kolflarnlav
Skrovellav
Talltita
Korallrot
Plattlummer
Tjäder
Kungsfågel
Fläcknycklar</t>
        </is>
      </c>
      <c r="W68">
        <f>HYPERLINK("https://klasma.github.io/Logging_2161/artfynd/A 31613-2025 artfynd.xlsx", "A 31613-2025")</f>
        <v/>
      </c>
      <c r="X68">
        <f>HYPERLINK("https://klasma.github.io/Logging_2161/kartor/A 31613-2025 karta.png", "A 31613-2025")</f>
        <v/>
      </c>
      <c r="Y68">
        <f>HYPERLINK("https://klasma.github.io/Logging_2161/kartor_geotiff/A 31613-2025 georefererad karta.tif", "A 31613-2025")</f>
        <v/>
      </c>
      <c r="AA68">
        <f>HYPERLINK("https://klasma.github.io/Logging_2161/klagomål/A 31613-2025 FSC-klagomål.docx", "A 31613-2025")</f>
        <v/>
      </c>
      <c r="AB68">
        <f>HYPERLINK("https://klasma.github.io/Logging_2161/klagomålsmail/A 31613-2025 FSC-klagomål mail.docx", "A 31613-2025")</f>
        <v/>
      </c>
      <c r="AC68">
        <f>HYPERLINK("https://klasma.github.io/Logging_2161/tillsyn/A 31613-2025 tillsynsbegäran.docx", "A 31613-2025")</f>
        <v/>
      </c>
      <c r="AD68">
        <f>HYPERLINK("https://klasma.github.io/Logging_2161/tillsynsmail/A 31613-2025 tillsynsbegäran mail.docx", "A 31613-2025")</f>
        <v/>
      </c>
      <c r="AE68">
        <f>HYPERLINK("https://klasma.github.io/Logging_2161/fåglar/A 31613-2025 prioriterade fågelarter.docx", "A 31613-2025")</f>
        <v/>
      </c>
    </row>
    <row r="69" ht="15" customHeight="1">
      <c r="A69" t="inlineStr">
        <is>
          <t>A 57253-2023</t>
        </is>
      </c>
      <c r="B69" t="inlineStr">
        <is>
          <t>avverkningsanmälan</t>
        </is>
      </c>
      <c r="C69" t="inlineStr">
        <is>
          <t>Föryngringsavverkning</t>
        </is>
      </c>
      <c r="D69" s="1" t="n">
        <v>45245</v>
      </c>
      <c r="E69" s="1" t="n">
        <v>46326</v>
      </c>
      <c r="F69" t="inlineStr">
        <is>
          <t>GÄVLEBORGS LÄN</t>
        </is>
      </c>
      <c r="G69" t="inlineStr">
        <is>
          <t>NORDANSTIG</t>
        </is>
      </c>
      <c r="H69" t="inlineStr">
        <is>
          <t>Holmen skog AB</t>
        </is>
      </c>
      <c r="I69" t="n">
        <v>16</v>
      </c>
      <c r="J69" t="n">
        <v>2</v>
      </c>
      <c r="K69" t="n">
        <v>7</v>
      </c>
      <c r="L69" t="n">
        <v>0</v>
      </c>
      <c r="M69" t="n">
        <v>0</v>
      </c>
      <c r="N69" t="n">
        <v>0</v>
      </c>
      <c r="O69" t="n">
        <v>0</v>
      </c>
      <c r="P69" t="n">
        <v>0</v>
      </c>
      <c r="Q69" t="n">
        <v>0</v>
      </c>
      <c r="R69" t="n">
        <v>0</v>
      </c>
      <c r="S69" t="n">
        <v>11</v>
      </c>
      <c r="T69" t="n">
        <v>14</v>
      </c>
      <c r="U69" t="n">
        <v>14</v>
      </c>
      <c r="V69" s="2" t="inlineStr">
        <is>
          <t>Björksplintborre
Korallrot
Kransrams
Källpraktmossa
Mörk husmossa
Svart trolldruva
Ögonpyrola
Blåsippa
Kransmossa
Ormbär
Torta</t>
        </is>
      </c>
      <c r="W69">
        <f>HYPERLINK("https://klasma.github.io/Logging_2132/artfynd/A 57253-2023 artfynd.xlsx", "A 57253-2023")</f>
        <v/>
      </c>
      <c r="X69">
        <f>HYPERLINK("https://klasma.github.io/Logging_2132/kartor/A 57253-2023 karta.png", "A 57253-2023")</f>
        <v/>
      </c>
      <c r="Y69">
        <f>HYPERLINK("https://klasma.github.io/Logging_2132/kartor_geotiff/A 57253-2023 georefererad karta.tif", "A 57253-2023")</f>
        <v/>
      </c>
      <c r="AA69">
        <f>HYPERLINK("https://klasma.github.io/Logging_2132/klagomål/A 57253-2023 FSC-klagomål.docx", "A 57253-2023")</f>
        <v/>
      </c>
      <c r="AB69">
        <f>HYPERLINK("https://klasma.github.io/Logging_2132/klagomålsmail/A 57253-2023 FSC-klagomål mail.docx", "A 57253-2023")</f>
        <v/>
      </c>
      <c r="AC69">
        <f>HYPERLINK("https://klasma.github.io/Logging_2132/tillsyn/A 57253-2023 tillsynsbegäran.docx", "A 57253-2023")</f>
        <v/>
      </c>
      <c r="AD69">
        <f>HYPERLINK("https://klasma.github.io/Logging_2132/tillsynsmail/A 57253-2023 tillsynsbegäran mail.docx", "A 57253-2023")</f>
        <v/>
      </c>
    </row>
    <row r="70" ht="15" customHeight="1">
      <c r="A70" t="inlineStr">
        <is>
          <t>A 18705-2022</t>
        </is>
      </c>
      <c r="B70" t="inlineStr">
        <is>
          <t>avverkningsanmälan</t>
        </is>
      </c>
      <c r="C70" t="inlineStr">
        <is>
          <t>Avverkning för annat ändamål</t>
        </is>
      </c>
      <c r="D70" s="1" t="n">
        <v>44687</v>
      </c>
      <c r="E70" s="1" t="n">
        <v>46326</v>
      </c>
      <c r="F70" t="inlineStr">
        <is>
          <t>GÄVLEBORGS LÄN</t>
        </is>
      </c>
      <c r="G70" t="inlineStr">
        <is>
          <t>LJUSDAL</t>
        </is>
      </c>
      <c r="H70" t="inlineStr">
        <is>
          <t>Bergvik skog väst AB</t>
        </is>
      </c>
      <c r="I70" t="n">
        <v>3.3</v>
      </c>
      <c r="J70" t="n">
        <v>4</v>
      </c>
      <c r="K70" t="n">
        <v>2</v>
      </c>
      <c r="L70" t="n">
        <v>5</v>
      </c>
      <c r="M70" t="n">
        <v>3</v>
      </c>
      <c r="N70" t="n">
        <v>0</v>
      </c>
      <c r="O70" t="n">
        <v>0</v>
      </c>
      <c r="P70" t="n">
        <v>0</v>
      </c>
      <c r="Q70" t="n">
        <v>8</v>
      </c>
      <c r="R70" t="n">
        <v>3</v>
      </c>
      <c r="S70" t="n">
        <v>11</v>
      </c>
      <c r="T70" t="n">
        <v>29</v>
      </c>
      <c r="U70" t="n">
        <v>21</v>
      </c>
      <c r="V70" s="2" t="inlineStr">
        <is>
          <t>Doftticka
Garnlav
Knärot
Blanksvart spiklav
Blågrå svartspik
Lunglav
Mörk kolflarnlav
Tretåig hackspett
Skinnlav
Stuplav
Spillkråka</t>
        </is>
      </c>
      <c r="W70">
        <f>HYPERLINK("https://klasma.github.io/Logging_2161/artfynd/A 18705-2022 artfynd.xlsx", "A 18705-2022")</f>
        <v/>
      </c>
      <c r="X70">
        <f>HYPERLINK("https://klasma.github.io/Logging_2161/kartor/A 18705-2022 karta.png", "A 18705-2022")</f>
        <v/>
      </c>
      <c r="Y70">
        <f>HYPERLINK("https://klasma.github.io/Logging_2161/kartor_geotiff/A 18705-2022 georefererad karta.tif", "A 18705-2022")</f>
        <v/>
      </c>
      <c r="Z70">
        <f>HYPERLINK("https://klasma.github.io/Logging_2161/knärot/A 18705-2022 karta knärot.png", "A 18705-2022")</f>
        <v/>
      </c>
      <c r="AA70">
        <f>HYPERLINK("https://klasma.github.io/Logging_2161/klagomål/A 18705-2022 FSC-klagomål.docx", "A 18705-2022")</f>
        <v/>
      </c>
      <c r="AB70">
        <f>HYPERLINK("https://klasma.github.io/Logging_2161/klagomålsmail/A 18705-2022 FSC-klagomål mail.docx", "A 18705-2022")</f>
        <v/>
      </c>
      <c r="AC70">
        <f>HYPERLINK("https://klasma.github.io/Logging_2161/tillsyn/A 18705-2022 tillsynsbegäran.docx", "A 18705-2022")</f>
        <v/>
      </c>
      <c r="AD70">
        <f>HYPERLINK("https://klasma.github.io/Logging_2161/tillsynsmail/A 18705-2022 tillsynsbegäran mail.docx", "A 18705-2022")</f>
        <v/>
      </c>
      <c r="AE70">
        <f>HYPERLINK("https://klasma.github.io/Logging_2161/fåglar/A 18705-2022 prioriterade fågelarter.docx", "A 18705-2022")</f>
        <v/>
      </c>
    </row>
    <row r="71" ht="15" customHeight="1">
      <c r="A71" t="inlineStr">
        <is>
          <t>A 20438-2026</t>
        </is>
      </c>
      <c r="B71" t="inlineStr">
        <is>
          <t>avverkningsanmälan</t>
        </is>
      </c>
      <c r="C71" t="inlineStr">
        <is>
          <t>Föryngringsavverkning</t>
        </is>
      </c>
      <c r="D71" s="1" t="n">
        <v>46140</v>
      </c>
      <c r="E71" s="1" t="n">
        <v>46326</v>
      </c>
      <c r="F71" t="inlineStr">
        <is>
          <t>GÄVLEBORGS LÄN</t>
        </is>
      </c>
      <c r="G71" t="inlineStr">
        <is>
          <t>LJUSDAL</t>
        </is>
      </c>
      <c r="H71" t="inlineStr">
        <is>
          <t>Allmännings- och besparingsskogar</t>
        </is>
      </c>
      <c r="I71" t="n">
        <v>5.7</v>
      </c>
      <c r="J71" t="n">
        <v>3</v>
      </c>
      <c r="K71" t="n">
        <v>3</v>
      </c>
      <c r="L71" t="n">
        <v>5</v>
      </c>
      <c r="M71" t="n">
        <v>1</v>
      </c>
      <c r="N71" t="n">
        <v>0</v>
      </c>
      <c r="O71" t="n">
        <v>0</v>
      </c>
      <c r="P71" t="n">
        <v>0</v>
      </c>
      <c r="Q71" t="n">
        <v>6</v>
      </c>
      <c r="R71" t="n">
        <v>1</v>
      </c>
      <c r="S71" t="n">
        <v>11</v>
      </c>
      <c r="T71" t="n">
        <v>21</v>
      </c>
      <c r="U71" t="n">
        <v>21</v>
      </c>
      <c r="V71" s="2" t="inlineStr">
        <is>
          <t>Garnlav
Dropptaggsvamp
Skogshare
Stjärntagging
Tretåig hackspett
Ullticka
Bronshjon
Mindre märgborre
Stuplav
Tjäder
Svartvit flugsnappare</t>
        </is>
      </c>
      <c r="W71">
        <f>HYPERLINK("https://klasma.github.io/Logging_2161/artfynd/A 20438-2026 artfynd.xlsx", "A 20438-2026")</f>
        <v/>
      </c>
      <c r="X71">
        <f>HYPERLINK("https://klasma.github.io/Logging_2161/kartor/A 20438-2026 karta.png", "A 20438-2026")</f>
        <v/>
      </c>
      <c r="Y71">
        <f>HYPERLINK("https://klasma.github.io/Logging_2161/kartor_geotiff/A 20438-2026 georefererad karta.tif", "A 20438-2026")</f>
        <v/>
      </c>
      <c r="AA71">
        <f>HYPERLINK("https://klasma.github.io/Logging_2161/klagomål/A 20438-2026 FSC-klagomål.docx", "A 20438-2026")</f>
        <v/>
      </c>
      <c r="AB71">
        <f>HYPERLINK("https://klasma.github.io/Logging_2161/klagomålsmail/A 20438-2026 FSC-klagomål mail.docx", "A 20438-2026")</f>
        <v/>
      </c>
      <c r="AC71">
        <f>HYPERLINK("https://klasma.github.io/Logging_2161/tillsyn/A 20438-2026 tillsynsbegäran.docx", "A 20438-2026")</f>
        <v/>
      </c>
      <c r="AD71">
        <f>HYPERLINK("https://klasma.github.io/Logging_2161/tillsynsmail/A 20438-2026 tillsynsbegäran mail.docx", "A 20438-2026")</f>
        <v/>
      </c>
      <c r="AE71">
        <f>HYPERLINK("https://klasma.github.io/Logging_2161/fåglar/A 20438-2026 prioriterade fågelarter.docx", "A 20438-2026")</f>
        <v/>
      </c>
    </row>
    <row r="72" ht="15" customHeight="1">
      <c r="A72" t="inlineStr">
        <is>
          <t>A 42012-2026</t>
        </is>
      </c>
      <c r="B72" t="inlineStr">
        <is>
          <t>avverkningsanmälan</t>
        </is>
      </c>
      <c r="C72" t="inlineStr">
        <is>
          <t>Föryngringsavverkning</t>
        </is>
      </c>
      <c r="D72" s="1" t="n">
        <v>46303</v>
      </c>
      <c r="E72" s="1" t="n">
        <v>46326</v>
      </c>
      <c r="F72" t="inlineStr">
        <is>
          <t>GÄVLEBORGS LÄN</t>
        </is>
      </c>
      <c r="G72" t="inlineStr">
        <is>
          <t>HUDIKSVALL</t>
        </is>
      </c>
      <c r="H72" t="inlineStr">
        <is>
          <t>Holmen skog AB</t>
        </is>
      </c>
      <c r="I72" t="n">
        <v>45</v>
      </c>
      <c r="J72" t="n">
        <v>5</v>
      </c>
      <c r="K72" t="n">
        <v>5</v>
      </c>
      <c r="L72" t="n">
        <v>3</v>
      </c>
      <c r="M72" t="n">
        <v>1</v>
      </c>
      <c r="N72" t="n">
        <v>0</v>
      </c>
      <c r="O72" t="n">
        <v>0</v>
      </c>
      <c r="P72" t="n">
        <v>0</v>
      </c>
      <c r="Q72" t="n">
        <v>4</v>
      </c>
      <c r="R72" t="n">
        <v>1</v>
      </c>
      <c r="S72" t="n">
        <v>11</v>
      </c>
      <c r="T72" t="n">
        <v>13</v>
      </c>
      <c r="U72" t="n">
        <v>0</v>
      </c>
      <c r="V72" s="2" t="inlineStr">
        <is>
          <t>Garnlav
Gammelgransskål
Storgröe
Vitgrynig nållav
Grov husmossa
Korallrot
Spindelblomster
Tvåblad
Ögonpyrola
Fläcknycklar
Revlummer</t>
        </is>
      </c>
      <c r="W72">
        <f>HYPERLINK("https://klasma.github.io/Logging_2184/artfynd/A 42012-2026 artfynd.xlsx", "A 42012-2026")</f>
        <v/>
      </c>
      <c r="X72">
        <f>HYPERLINK("https://klasma.github.io/Logging_2184/kartor/A 42012-2026 karta.png", "A 42012-2026")</f>
        <v/>
      </c>
      <c r="Y72">
        <f>HYPERLINK("https://klasma.github.io/Logging_2184/kartor_geotiff/A 42012-2026 georefererad karta.tif", "A 42012-2026")</f>
        <v/>
      </c>
      <c r="Z72">
        <f>HYPERLINK("https://klasma.github.io/Logging_2184/knärot/A 42012-2026 karta knärot.png", "A 42012-2026")</f>
        <v/>
      </c>
      <c r="AA72">
        <f>HYPERLINK("https://klasma.github.io/Logging_2184/klagomål/A 42012-2026 FSC-klagomål.docx", "A 42012-2026")</f>
        <v/>
      </c>
      <c r="AB72">
        <f>HYPERLINK("https://klasma.github.io/Logging_2184/klagomålsmail/A 42012-2026 FSC-klagomål mail.docx", "A 42012-2026")</f>
        <v/>
      </c>
      <c r="AC72">
        <f>HYPERLINK("https://klasma.github.io/Logging_2184/tillsyn/A 42012-2026 tillsynsbegäran.docx", "A 42012-2026")</f>
        <v/>
      </c>
      <c r="AD72">
        <f>HYPERLINK("https://klasma.github.io/Logging_2184/tillsynsmail/A 42012-2026 tillsynsbegäran mail.docx", "A 42012-2026")</f>
        <v/>
      </c>
    </row>
    <row r="73" ht="15" customHeight="1">
      <c r="A73" t="inlineStr">
        <is>
          <t>S 515-2022</t>
        </is>
      </c>
      <c r="B73" t="inlineStr">
        <is>
          <t>samrådsanmälan</t>
        </is>
      </c>
      <c r="C73" t="inlineStr">
        <is>
          <t>Skogsgödsling</t>
        </is>
      </c>
      <c r="D73" s="1" t="n">
        <v>44588</v>
      </c>
      <c r="E73" s="1" t="n">
        <v>46326</v>
      </c>
      <c r="F73" t="inlineStr">
        <is>
          <t>GÄVLEBORGS LÄN</t>
        </is>
      </c>
      <c r="G73" t="inlineStr">
        <is>
          <t>GÄVLE</t>
        </is>
      </c>
      <c r="H73" t="inlineStr">
        <is>
          <t>Bergvik skog öst AB</t>
        </is>
      </c>
      <c r="I73" t="n">
        <v>114.5</v>
      </c>
      <c r="J73" t="n">
        <v>8</v>
      </c>
      <c r="K73" t="n">
        <v>0</v>
      </c>
      <c r="L73" t="n">
        <v>6</v>
      </c>
      <c r="M73" t="n">
        <v>1</v>
      </c>
      <c r="N73" t="n">
        <v>0</v>
      </c>
      <c r="O73" t="n">
        <v>0</v>
      </c>
      <c r="P73" t="n">
        <v>0</v>
      </c>
      <c r="Q73" t="n">
        <v>7</v>
      </c>
      <c r="R73" t="n">
        <v>1</v>
      </c>
      <c r="S73" t="n">
        <v>11</v>
      </c>
      <c r="T73" t="n">
        <v>18</v>
      </c>
      <c r="U73" t="n">
        <v>18</v>
      </c>
      <c r="V73" s="2" t="inlineStr">
        <is>
          <t>Väddnätfjäril
Brunlångöra
Nordfladdermus
Sotnätfjäril
Talltita
Vedskivlav
Vitfläckig guldvinge
Dvärgpipistrell
Trollpipistrell
Trädlärka
Vattenfladdermus</t>
        </is>
      </c>
      <c r="W73">
        <f>HYPERLINK("https://klasma.github.io/Logging_2180/artfynd/S 515-2022 artfynd.xlsx", "S 515-2022")</f>
        <v/>
      </c>
      <c r="X73">
        <f>HYPERLINK("https://klasma.github.io/Logging_2180/kartor/S 515-2022 karta.png", "S 515-2022")</f>
        <v/>
      </c>
      <c r="Y73">
        <f>HYPERLINK("https://klasma.github.io/Logging_2180/kartor_geotiff/S 515-2022 georefererad karta.tif", "S 515-2022")</f>
        <v/>
      </c>
      <c r="AA73">
        <f>HYPERLINK("https://klasma.github.io/Logging_2180/klagomål/S 515-2022 FSC-klagomål.docx", "S 515-2022")</f>
        <v/>
      </c>
      <c r="AB73">
        <f>HYPERLINK("https://klasma.github.io/Logging_2180/klagomålsmail/S 515-2022 FSC-klagomål mail.docx", "S 515-2022")</f>
        <v/>
      </c>
      <c r="AC73">
        <f>HYPERLINK("https://klasma.github.io/Logging_2180/tillsyn/S 515-2022 tillsynsbegäran.docx", "S 515-2022")</f>
        <v/>
      </c>
      <c r="AD73">
        <f>HYPERLINK("https://klasma.github.io/Logging_2180/tillsynsmail/S 515-2022 tillsynsbegäran mail.docx", "S 515-2022")</f>
        <v/>
      </c>
      <c r="AE73">
        <f>HYPERLINK("https://klasma.github.io/Logging_2180/fåglar/S 515-2022 prioriterade fågelarter.docx", "S 515-2022")</f>
        <v/>
      </c>
    </row>
    <row r="74" ht="15" customHeight="1">
      <c r="A74" t="inlineStr">
        <is>
          <t>S 1278-2025</t>
        </is>
      </c>
      <c r="B74" t="inlineStr">
        <is>
          <t>samrådsanmälan</t>
        </is>
      </c>
      <c r="C74" t="inlineStr">
        <is>
          <t>Annan skogsbruksåtgärd</t>
        </is>
      </c>
      <c r="D74" s="1" t="n">
        <v>45764</v>
      </c>
      <c r="E74" s="1" t="n">
        <v>46326</v>
      </c>
      <c r="F74" t="inlineStr">
        <is>
          <t>GÄVLEBORGS LÄN</t>
        </is>
      </c>
      <c r="G74" t="inlineStr">
        <is>
          <t>OVANÅKER</t>
        </is>
      </c>
      <c r="H74" t="inlineStr">
        <is>
          <t>Sveaskog</t>
        </is>
      </c>
      <c r="I74" t="n">
        <v>84.09999999999999</v>
      </c>
      <c r="J74" t="n">
        <v>5</v>
      </c>
      <c r="K74" t="n">
        <v>2</v>
      </c>
      <c r="L74" t="n">
        <v>6</v>
      </c>
      <c r="M74" t="n">
        <v>2</v>
      </c>
      <c r="N74" t="n">
        <v>0</v>
      </c>
      <c r="O74" t="n">
        <v>0</v>
      </c>
      <c r="P74" t="n">
        <v>0</v>
      </c>
      <c r="Q74" t="n">
        <v>8</v>
      </c>
      <c r="R74" t="n">
        <v>2</v>
      </c>
      <c r="S74" t="n">
        <v>11</v>
      </c>
      <c r="T74" t="n">
        <v>28</v>
      </c>
      <c r="U74" t="n">
        <v>1</v>
      </c>
      <c r="V74" s="2" t="inlineStr">
        <is>
          <t>Garnlav
Knärot
Kolflarnlav
Lunglav
Mörk kolflarnlav
Talltita
Ullticka
Vedskivlav
Korallrot
Spindelblomster
Fläcknycklar</t>
        </is>
      </c>
      <c r="W74">
        <f>HYPERLINK("https://klasma.github.io/Logging_2121/artfynd/S 1278-2025 artfynd.xlsx", "S 1278-2025")</f>
        <v/>
      </c>
      <c r="X74">
        <f>HYPERLINK("https://klasma.github.io/Logging_2121/kartor/S 1278-2025 karta.png", "S 1278-2025")</f>
        <v/>
      </c>
      <c r="Y74">
        <f>HYPERLINK("https://klasma.github.io/Logging_2121/kartor_geotiff/S 1278-2025 georefererad karta.tif", "S 1278-2025")</f>
        <v/>
      </c>
      <c r="Z74">
        <f>HYPERLINK("https://klasma.github.io/Logging_2121/knärot/S 1278-2025 karta knärot.png", "S 1278-2025")</f>
        <v/>
      </c>
      <c r="AA74">
        <f>HYPERLINK("https://klasma.github.io/Logging_2121/klagomål/S 1278-2025 FSC-klagomål.docx", "S 1278-2025")</f>
        <v/>
      </c>
      <c r="AB74">
        <f>HYPERLINK("https://klasma.github.io/Logging_2121/klagomålsmail/S 1278-2025 FSC-klagomål mail.docx", "S 1278-2025")</f>
        <v/>
      </c>
      <c r="AC74">
        <f>HYPERLINK("https://klasma.github.io/Logging_2121/tillsyn/S 1278-2025 tillsynsbegäran.docx", "S 1278-2025")</f>
        <v/>
      </c>
      <c r="AD74">
        <f>HYPERLINK("https://klasma.github.io/Logging_2121/tillsynsmail/S 1278-2025 tillsynsbegäran mail.docx", "S 1278-2025")</f>
        <v/>
      </c>
      <c r="AE74">
        <f>HYPERLINK("https://klasma.github.io/Logging_2121/fåglar/S 1278-2025 prioriterade fågelarter.docx", "S 1278-2025")</f>
        <v/>
      </c>
    </row>
    <row r="75" ht="15" customHeight="1">
      <c r="A75" t="inlineStr">
        <is>
          <t>A 33353-2024</t>
        </is>
      </c>
      <c r="B75" t="inlineStr">
        <is>
          <t>avverkningsanmälan</t>
        </is>
      </c>
      <c r="C75" t="inlineStr">
        <is>
          <t>Avverkning för att bevara och utveckla /försöksver</t>
        </is>
      </c>
      <c r="D75" s="1" t="n">
        <v>45519</v>
      </c>
      <c r="E75" s="1" t="n">
        <v>46326</v>
      </c>
      <c r="F75" t="inlineStr">
        <is>
          <t>GÄVLEBORGS LÄN</t>
        </is>
      </c>
      <c r="G75" t="inlineStr">
        <is>
          <t>LJUSDAL</t>
        </is>
      </c>
      <c r="H75" t="inlineStr">
        <is>
          <t>Bergvik skog väst AB</t>
        </is>
      </c>
      <c r="I75" t="n">
        <v>3.9</v>
      </c>
      <c r="J75" t="n">
        <v>2</v>
      </c>
      <c r="K75" t="n">
        <v>3</v>
      </c>
      <c r="L75" t="n">
        <v>5</v>
      </c>
      <c r="M75" t="n">
        <v>1</v>
      </c>
      <c r="N75" t="n">
        <v>0</v>
      </c>
      <c r="O75" t="n">
        <v>0</v>
      </c>
      <c r="P75" t="n">
        <v>0</v>
      </c>
      <c r="Q75" t="n">
        <v>6</v>
      </c>
      <c r="R75" t="n">
        <v>1</v>
      </c>
      <c r="S75" t="n">
        <v>10</v>
      </c>
      <c r="T75" t="n">
        <v>16</v>
      </c>
      <c r="U75" t="n">
        <v>0</v>
      </c>
      <c r="V75" s="2" t="inlineStr">
        <is>
          <t>Doftticka
Gammelgransskål
Kortskaftad ärgspik
Lunglav
Stiftgelélav
Vedtrappmossa
Korallblylav
Skinnlav
Stuplav
Blåsippa</t>
        </is>
      </c>
      <c r="W75">
        <f>HYPERLINK("https://klasma.github.io/Logging_2161/artfynd/A 33353-2024 artfynd.xlsx", "A 33353-2024")</f>
        <v/>
      </c>
      <c r="X75">
        <f>HYPERLINK("https://klasma.github.io/Logging_2161/kartor/A 33353-2024 karta.png", "A 33353-2024")</f>
        <v/>
      </c>
      <c r="Y75">
        <f>HYPERLINK("https://klasma.github.io/Logging_2161/kartor_geotiff/A 33353-2024 georefererad karta.tif", "A 33353-2024")</f>
        <v/>
      </c>
      <c r="AA75">
        <f>HYPERLINK("https://klasma.github.io/Logging_2161/klagomål/A 33353-2024 FSC-klagomål.docx", "A 33353-2024")</f>
        <v/>
      </c>
      <c r="AB75">
        <f>HYPERLINK("https://klasma.github.io/Logging_2161/klagomålsmail/A 33353-2024 FSC-klagomål mail.docx", "A 33353-2024")</f>
        <v/>
      </c>
      <c r="AC75">
        <f>HYPERLINK("https://klasma.github.io/Logging_2161/tillsyn/A 33353-2024 tillsynsbegäran.docx", "A 33353-2024")</f>
        <v/>
      </c>
      <c r="AD75">
        <f>HYPERLINK("https://klasma.github.io/Logging_2161/tillsynsmail/A 33353-2024 tillsynsbegäran mail.docx", "A 33353-2024")</f>
        <v/>
      </c>
    </row>
    <row r="76" ht="15" customHeight="1">
      <c r="A76" t="inlineStr">
        <is>
          <t>A 15365-2023</t>
        </is>
      </c>
      <c r="B76" t="inlineStr">
        <is>
          <t>avverkningsanmälan</t>
        </is>
      </c>
      <c r="C76" t="inlineStr">
        <is>
          <t>Avverkning för annat ändamål</t>
        </is>
      </c>
      <c r="D76" s="1" t="n">
        <v>45019</v>
      </c>
      <c r="E76" s="1" t="n">
        <v>46326</v>
      </c>
      <c r="F76" t="inlineStr">
        <is>
          <t>GÄVLEBORGS LÄN</t>
        </is>
      </c>
      <c r="G76" t="inlineStr">
        <is>
          <t>GÄVLE</t>
        </is>
      </c>
      <c r="I76" t="n">
        <v>55.2</v>
      </c>
      <c r="J76" t="n">
        <v>8</v>
      </c>
      <c r="K76" t="n">
        <v>0</v>
      </c>
      <c r="L76" t="n">
        <v>5</v>
      </c>
      <c r="M76" t="n">
        <v>1</v>
      </c>
      <c r="N76" t="n">
        <v>0</v>
      </c>
      <c r="O76" t="n">
        <v>0</v>
      </c>
      <c r="P76" t="n">
        <v>0</v>
      </c>
      <c r="Q76" t="n">
        <v>6</v>
      </c>
      <c r="R76" t="n">
        <v>1</v>
      </c>
      <c r="S76" t="n">
        <v>10</v>
      </c>
      <c r="T76" t="n">
        <v>11</v>
      </c>
      <c r="U76" t="n">
        <v>9</v>
      </c>
      <c r="V76" s="2" t="inlineStr">
        <is>
          <t>Knärot
Enkelbeckasin
Gulsparv
Järnsparv
Klofibbla
Skogsklocka
Blåsippa
Grönsiska
Kopparödla
Lopplummer (aggregat)</t>
        </is>
      </c>
      <c r="W76">
        <f>HYPERLINK("https://klasma.github.io/Logging_2180/artfynd/A 15365-2023 artfynd.xlsx", "A 15365-2023")</f>
        <v/>
      </c>
      <c r="X76">
        <f>HYPERLINK("https://klasma.github.io/Logging_2180/kartor/A 15365-2023 karta.png", "A 15365-2023")</f>
        <v/>
      </c>
      <c r="Y76">
        <f>HYPERLINK("https://klasma.github.io/Logging_2180/kartor_geotiff/A 15365-2023 georefererad karta.tif", "A 15365-2023")</f>
        <v/>
      </c>
      <c r="Z76">
        <f>HYPERLINK("https://klasma.github.io/Logging_2180/knärot/A 15365-2023 karta knärot.png", "A 15365-2023")</f>
        <v/>
      </c>
      <c r="AA76">
        <f>HYPERLINK("https://klasma.github.io/Logging_2180/klagomål/A 15365-2023 FSC-klagomål.docx", "A 15365-2023")</f>
        <v/>
      </c>
      <c r="AB76">
        <f>HYPERLINK("https://klasma.github.io/Logging_2180/klagomålsmail/A 15365-2023 FSC-klagomål mail.docx", "A 15365-2023")</f>
        <v/>
      </c>
      <c r="AC76">
        <f>HYPERLINK("https://klasma.github.io/Logging_2180/tillsyn/A 15365-2023 tillsynsbegäran.docx", "A 15365-2023")</f>
        <v/>
      </c>
      <c r="AD76">
        <f>HYPERLINK("https://klasma.github.io/Logging_2180/tillsynsmail/A 15365-2023 tillsynsbegäran mail.docx", "A 15365-2023")</f>
        <v/>
      </c>
      <c r="AE76">
        <f>HYPERLINK("https://klasma.github.io/Logging_2180/fåglar/A 15365-2023 prioriterade fågelarter.docx", "A 15365-2023")</f>
        <v/>
      </c>
    </row>
    <row r="77" ht="15" customHeight="1">
      <c r="A77" t="inlineStr">
        <is>
          <t>A 528-2024</t>
        </is>
      </c>
      <c r="B77" t="inlineStr">
        <is>
          <t>avverkningsanmälan</t>
        </is>
      </c>
      <c r="C77" t="inlineStr">
        <is>
          <t>Avverkning för annat ändamål</t>
        </is>
      </c>
      <c r="D77" s="1" t="n">
        <v>45299</v>
      </c>
      <c r="E77" s="1" t="n">
        <v>46326</v>
      </c>
      <c r="F77" t="inlineStr">
        <is>
          <t>GÄVLEBORGS LÄN</t>
        </is>
      </c>
      <c r="G77" t="inlineStr">
        <is>
          <t>HOFORS</t>
        </is>
      </c>
      <c r="I77" t="n">
        <v>1.1</v>
      </c>
      <c r="J77" t="n">
        <v>2</v>
      </c>
      <c r="K77" t="n">
        <v>3</v>
      </c>
      <c r="L77" t="n">
        <v>5</v>
      </c>
      <c r="M77" t="n">
        <v>0</v>
      </c>
      <c r="N77" t="n">
        <v>1</v>
      </c>
      <c r="O77" t="n">
        <v>0</v>
      </c>
      <c r="P77" t="n">
        <v>0</v>
      </c>
      <c r="Q77" t="n">
        <v>6</v>
      </c>
      <c r="R77" t="n">
        <v>1</v>
      </c>
      <c r="S77" t="n">
        <v>10</v>
      </c>
      <c r="T77" t="n">
        <v>14</v>
      </c>
      <c r="U77" t="n">
        <v>0</v>
      </c>
      <c r="V77" s="2" t="inlineStr">
        <is>
          <t>Koppartaggsvamp
Dropptaggsvamp
Fjällig taggsvamp s.str.
Flattoppad klubbsvamp
Gultoppig fingersvamp
Ullticka
Purpurknipprot
Svavelriska
Trådticka
Blåsippa</t>
        </is>
      </c>
      <c r="W77">
        <f>HYPERLINK("https://klasma.github.io/Logging_2104/artfynd/A 528-2024 artfynd.xlsx", "A 528-2024")</f>
        <v/>
      </c>
      <c r="X77">
        <f>HYPERLINK("https://klasma.github.io/Logging_2104/kartor/A 528-2024 karta.png", "A 528-2024")</f>
        <v/>
      </c>
      <c r="Y77">
        <f>HYPERLINK("https://klasma.github.io/Logging_2104/kartor_geotiff/A 528-2024 georefererad karta.tif", "A 528-2024")</f>
        <v/>
      </c>
      <c r="AA77">
        <f>HYPERLINK("https://klasma.github.io/Logging_2104/klagomål/A 528-2024 FSC-klagomål.docx", "A 528-2024")</f>
        <v/>
      </c>
      <c r="AB77">
        <f>HYPERLINK("https://klasma.github.io/Logging_2104/klagomålsmail/A 528-2024 FSC-klagomål mail.docx", "A 528-2024")</f>
        <v/>
      </c>
      <c r="AC77">
        <f>HYPERLINK("https://klasma.github.io/Logging_2104/tillsyn/A 528-2024 tillsynsbegäran.docx", "A 528-2024")</f>
        <v/>
      </c>
      <c r="AD77">
        <f>HYPERLINK("https://klasma.github.io/Logging_2104/tillsynsmail/A 528-2024 tillsynsbegäran mail.docx", "A 528-2024")</f>
        <v/>
      </c>
    </row>
    <row r="78" ht="15" customHeight="1">
      <c r="A78" t="inlineStr">
        <is>
          <t>A 52778-2025</t>
        </is>
      </c>
      <c r="B78" t="inlineStr">
        <is>
          <t>avverkningsanmälan</t>
        </is>
      </c>
      <c r="C78" t="inlineStr">
        <is>
          <t>Föryngringsavverkning</t>
        </is>
      </c>
      <c r="D78" s="1" t="n">
        <v>45957</v>
      </c>
      <c r="E78" s="1" t="n">
        <v>46326</v>
      </c>
      <c r="F78" t="inlineStr">
        <is>
          <t>GÄVLEBORGS LÄN</t>
        </is>
      </c>
      <c r="G78" t="inlineStr">
        <is>
          <t>SANDVIKEN</t>
        </is>
      </c>
      <c r="H78" t="inlineStr">
        <is>
          <t>Sveaskog</t>
        </is>
      </c>
      <c r="I78" t="n">
        <v>4.1</v>
      </c>
      <c r="J78" t="n">
        <v>2</v>
      </c>
      <c r="K78" t="n">
        <v>2</v>
      </c>
      <c r="L78" t="n">
        <v>5</v>
      </c>
      <c r="M78" t="n">
        <v>2</v>
      </c>
      <c r="N78" t="n">
        <v>0</v>
      </c>
      <c r="O78" t="n">
        <v>0</v>
      </c>
      <c r="P78" t="n">
        <v>0</v>
      </c>
      <c r="Q78" t="n">
        <v>7</v>
      </c>
      <c r="R78" t="n">
        <v>2</v>
      </c>
      <c r="S78" t="n">
        <v>10</v>
      </c>
      <c r="T78" t="n">
        <v>16</v>
      </c>
      <c r="U78" t="n">
        <v>15</v>
      </c>
      <c r="V78" s="2" t="inlineStr">
        <is>
          <t>Garnlav
Knärot
Dropptaggsvamp
Kolflarnlav
Motaggsvamp
Svart taggsvamp
Ullticka
Bronshjon
Mindre märgborre
Spillkråka</t>
        </is>
      </c>
      <c r="W78">
        <f>HYPERLINK("https://klasma.github.io/Logging_2181/artfynd/A 52778-2025 artfynd.xlsx", "A 52778-2025")</f>
        <v/>
      </c>
      <c r="X78">
        <f>HYPERLINK("https://klasma.github.io/Logging_2181/kartor/A 52778-2025 karta.png", "A 52778-2025")</f>
        <v/>
      </c>
      <c r="Y78">
        <f>HYPERLINK("https://klasma.github.io/Logging_2181/kartor_geotiff/A 52778-2025 georefererad karta.tif", "A 52778-2025")</f>
        <v/>
      </c>
      <c r="Z78">
        <f>HYPERLINK("https://klasma.github.io/Logging_2181/knärot/A 52778-2025 karta knärot.png", "A 52778-2025")</f>
        <v/>
      </c>
      <c r="AA78">
        <f>HYPERLINK("https://klasma.github.io/Logging_2181/klagomål/A 52778-2025 FSC-klagomål.docx", "A 52778-2025")</f>
        <v/>
      </c>
      <c r="AB78">
        <f>HYPERLINK("https://klasma.github.io/Logging_2181/klagomålsmail/A 52778-2025 FSC-klagomål mail.docx", "A 52778-2025")</f>
        <v/>
      </c>
      <c r="AC78">
        <f>HYPERLINK("https://klasma.github.io/Logging_2181/tillsyn/A 52778-2025 tillsynsbegäran.docx", "A 52778-2025")</f>
        <v/>
      </c>
      <c r="AD78">
        <f>HYPERLINK("https://klasma.github.io/Logging_2181/tillsynsmail/A 52778-2025 tillsynsbegäran mail.docx", "A 52778-2025")</f>
        <v/>
      </c>
      <c r="AE78">
        <f>HYPERLINK("https://klasma.github.io/Logging_2181/fåglar/A 52778-2025 prioriterade fågelarter.docx", "A 52778-2025")</f>
        <v/>
      </c>
    </row>
    <row r="79" ht="15" customHeight="1">
      <c r="A79" t="inlineStr">
        <is>
          <t>A 57970-2022</t>
        </is>
      </c>
      <c r="B79" t="inlineStr">
        <is>
          <t>avverkningsanmälan</t>
        </is>
      </c>
      <c r="C79" t="inlineStr">
        <is>
          <t>Föryngringsavverkning</t>
        </is>
      </c>
      <c r="D79" s="1" t="n">
        <v>44900</v>
      </c>
      <c r="E79" s="1" t="n">
        <v>46326</v>
      </c>
      <c r="F79" t="inlineStr">
        <is>
          <t>GÄVLEBORGS LÄN</t>
        </is>
      </c>
      <c r="G79" t="inlineStr">
        <is>
          <t>NORDANSTIG</t>
        </is>
      </c>
      <c r="I79" t="n">
        <v>5</v>
      </c>
      <c r="J79" t="n">
        <v>0</v>
      </c>
      <c r="K79" t="n">
        <v>5</v>
      </c>
      <c r="L79" t="n">
        <v>3</v>
      </c>
      <c r="M79" t="n">
        <v>0</v>
      </c>
      <c r="N79" t="n">
        <v>0</v>
      </c>
      <c r="O79" t="n">
        <v>0</v>
      </c>
      <c r="P79" t="n">
        <v>0</v>
      </c>
      <c r="Q79" t="n">
        <v>3</v>
      </c>
      <c r="R79" t="n">
        <v>0</v>
      </c>
      <c r="S79" t="n">
        <v>10</v>
      </c>
      <c r="T79" t="n">
        <v>17</v>
      </c>
      <c r="U79" t="n">
        <v>17</v>
      </c>
      <c r="V79" s="2" t="inlineStr">
        <is>
          <t>Gammelgransskål
Lunglav
Rosenticka
Korallblylav
Luddlav
Mörk husmossa
Svavelriska
Ögonpyrola
Kärrfibbla
Torta</t>
        </is>
      </c>
      <c r="W79">
        <f>HYPERLINK("https://klasma.github.io/Logging_2132/artfynd/A 57970-2022 artfynd.xlsx", "A 57970-2022")</f>
        <v/>
      </c>
      <c r="X79">
        <f>HYPERLINK("https://klasma.github.io/Logging_2132/kartor/A 57970-2022 karta.png", "A 57970-2022")</f>
        <v/>
      </c>
      <c r="Y79">
        <f>HYPERLINK("https://klasma.github.io/Logging_2132/kartor_geotiff/A 57970-2022 georefererad karta.tif", "A 57970-2022")</f>
        <v/>
      </c>
      <c r="AA79">
        <f>HYPERLINK("https://klasma.github.io/Logging_2132/klagomål/A 57970-2022 FSC-klagomål.docx", "A 57970-2022")</f>
        <v/>
      </c>
      <c r="AB79">
        <f>HYPERLINK("https://klasma.github.io/Logging_2132/klagomålsmail/A 57970-2022 FSC-klagomål mail.docx", "A 57970-2022")</f>
        <v/>
      </c>
      <c r="AC79">
        <f>HYPERLINK("https://klasma.github.io/Logging_2132/tillsyn/A 57970-2022 tillsynsbegäran.docx", "A 57970-2022")</f>
        <v/>
      </c>
      <c r="AD79">
        <f>HYPERLINK("https://klasma.github.io/Logging_2132/tillsynsmail/A 57970-2022 tillsynsbegäran mail.docx", "A 57970-2022")</f>
        <v/>
      </c>
    </row>
    <row r="80" ht="15" customHeight="1">
      <c r="A80" t="inlineStr">
        <is>
          <t>A 53690-2025</t>
        </is>
      </c>
      <c r="B80" t="inlineStr">
        <is>
          <t>avverkningsanmälan</t>
        </is>
      </c>
      <c r="C80" t="inlineStr">
        <is>
          <t>Föryngringsavverkning</t>
        </is>
      </c>
      <c r="D80" s="1" t="n">
        <v>45960</v>
      </c>
      <c r="E80" s="1" t="n">
        <v>46326</v>
      </c>
      <c r="F80" t="inlineStr">
        <is>
          <t>GÄVLEBORGS LÄN</t>
        </is>
      </c>
      <c r="G80" t="inlineStr">
        <is>
          <t>LJUSDAL</t>
        </is>
      </c>
      <c r="H80" t="inlineStr">
        <is>
          <t>Allmännings- och besparingsskogar</t>
        </is>
      </c>
      <c r="I80" t="n">
        <v>4.3</v>
      </c>
      <c r="J80" t="n">
        <v>2</v>
      </c>
      <c r="K80" t="n">
        <v>0</v>
      </c>
      <c r="L80" t="n">
        <v>7</v>
      </c>
      <c r="M80" t="n">
        <v>1</v>
      </c>
      <c r="N80" t="n">
        <v>0</v>
      </c>
      <c r="O80" t="n">
        <v>0</v>
      </c>
      <c r="P80" t="n">
        <v>0</v>
      </c>
      <c r="Q80" t="n">
        <v>8</v>
      </c>
      <c r="R80" t="n">
        <v>1</v>
      </c>
      <c r="S80" t="n">
        <v>10</v>
      </c>
      <c r="T80" t="n">
        <v>26</v>
      </c>
      <c r="U80" t="n">
        <v>12</v>
      </c>
      <c r="V80" s="2" t="inlineStr">
        <is>
          <t>Garnlav
Blanksvart spiklav
Kolflarnlav
Mörk kolflarnlav
Skrovellav
Vedflamlav
Vedskivlav
Violettgrå tagellav
Tjäder
Fläcknycklar</t>
        </is>
      </c>
      <c r="W80">
        <f>HYPERLINK("https://klasma.github.io/Logging_2161/artfynd/A 53690-2025 artfynd.xlsx", "A 53690-2025")</f>
        <v/>
      </c>
      <c r="X80">
        <f>HYPERLINK("https://klasma.github.io/Logging_2161/kartor/A 53690-2025 karta.png", "A 53690-2025")</f>
        <v/>
      </c>
      <c r="Y80">
        <f>HYPERLINK("https://klasma.github.io/Logging_2161/kartor_geotiff/A 53690-2025 georefererad karta.tif", "A 53690-2025")</f>
        <v/>
      </c>
      <c r="AA80">
        <f>HYPERLINK("https://klasma.github.io/Logging_2161/klagomål/A 53690-2025 FSC-klagomål.docx", "A 53690-2025")</f>
        <v/>
      </c>
      <c r="AB80">
        <f>HYPERLINK("https://klasma.github.io/Logging_2161/klagomålsmail/A 53690-2025 FSC-klagomål mail.docx", "A 53690-2025")</f>
        <v/>
      </c>
      <c r="AC80">
        <f>HYPERLINK("https://klasma.github.io/Logging_2161/tillsyn/A 53690-2025 tillsynsbegäran.docx", "A 53690-2025")</f>
        <v/>
      </c>
      <c r="AD80">
        <f>HYPERLINK("https://klasma.github.io/Logging_2161/tillsynsmail/A 53690-2025 tillsynsbegäran mail.docx", "A 53690-2025")</f>
        <v/>
      </c>
      <c r="AE80">
        <f>HYPERLINK("https://klasma.github.io/Logging_2161/fåglar/A 53690-2025 prioriterade fågelarter.docx", "A 53690-2025")</f>
        <v/>
      </c>
    </row>
    <row r="81" ht="15" customHeight="1">
      <c r="A81" t="inlineStr">
        <is>
          <t>A 35543-2026</t>
        </is>
      </c>
      <c r="B81" t="inlineStr">
        <is>
          <t>avverkningsanmälan</t>
        </is>
      </c>
      <c r="C81" t="inlineStr">
        <is>
          <t>Föryngringsavverkning</t>
        </is>
      </c>
      <c r="D81" s="1" t="n">
        <v>46262</v>
      </c>
      <c r="E81" s="1" t="n">
        <v>46326</v>
      </c>
      <c r="F81" t="inlineStr">
        <is>
          <t>GÄVLEBORGS LÄN</t>
        </is>
      </c>
      <c r="G81" t="inlineStr">
        <is>
          <t>LJUSDAL</t>
        </is>
      </c>
      <c r="I81" t="n">
        <v>16.6</v>
      </c>
      <c r="J81" t="n">
        <v>2</v>
      </c>
      <c r="K81" t="n">
        <v>4</v>
      </c>
      <c r="L81" t="n">
        <v>2</v>
      </c>
      <c r="M81" t="n">
        <v>2</v>
      </c>
      <c r="N81" t="n">
        <v>0</v>
      </c>
      <c r="O81" t="n">
        <v>0</v>
      </c>
      <c r="P81" t="n">
        <v>0</v>
      </c>
      <c r="Q81" t="n">
        <v>4</v>
      </c>
      <c r="R81" t="n">
        <v>2</v>
      </c>
      <c r="S81" t="n">
        <v>10</v>
      </c>
      <c r="T81" t="n">
        <v>32</v>
      </c>
      <c r="U81" t="n">
        <v>32</v>
      </c>
      <c r="V81" s="2" t="inlineStr">
        <is>
          <t>Aspgelélav
Knärot
Kolflarnlav
Violettgrå tagellav
Korallblylav
Mörk husmossa
Skinnlav
Stor aspticka
Torta
Nattviol</t>
        </is>
      </c>
      <c r="W81">
        <f>HYPERLINK("https://klasma.github.io/Logging_2161/artfynd/A 35543-2026 artfynd.xlsx", "A 35543-2026")</f>
        <v/>
      </c>
      <c r="X81">
        <f>HYPERLINK("https://klasma.github.io/Logging_2161/kartor/A 35543-2026 karta.png", "A 35543-2026")</f>
        <v/>
      </c>
      <c r="Y81">
        <f>HYPERLINK("https://klasma.github.io/Logging_2161/kartor_geotiff/A 35543-2026 georefererad karta.tif", "A 35543-2026")</f>
        <v/>
      </c>
      <c r="Z81">
        <f>HYPERLINK("https://klasma.github.io/Logging_2161/knärot/A 35543-2026 karta knärot.png", "A 35543-2026")</f>
        <v/>
      </c>
      <c r="AA81">
        <f>HYPERLINK("https://klasma.github.io/Logging_2161/klagomål/A 35543-2026 FSC-klagomål.docx", "A 35543-2026")</f>
        <v/>
      </c>
      <c r="AB81">
        <f>HYPERLINK("https://klasma.github.io/Logging_2161/klagomålsmail/A 35543-2026 FSC-klagomål mail.docx", "A 35543-2026")</f>
        <v/>
      </c>
      <c r="AC81">
        <f>HYPERLINK("https://klasma.github.io/Logging_2161/tillsyn/A 35543-2026 tillsynsbegäran.docx", "A 35543-2026")</f>
        <v/>
      </c>
      <c r="AD81">
        <f>HYPERLINK("https://klasma.github.io/Logging_2161/tillsynsmail/A 35543-2026 tillsynsbegäran mail.docx", "A 35543-2026")</f>
        <v/>
      </c>
    </row>
    <row r="82" ht="15" customHeight="1">
      <c r="A82" t="inlineStr">
        <is>
          <t>A 14326-2024</t>
        </is>
      </c>
      <c r="B82" t="inlineStr">
        <is>
          <t>avverkningsanmälan</t>
        </is>
      </c>
      <c r="C82" t="inlineStr">
        <is>
          <t>Föryngringsavverkning</t>
        </is>
      </c>
      <c r="D82" s="1" t="n">
        <v>45393</v>
      </c>
      <c r="E82" s="1" t="n">
        <v>46326</v>
      </c>
      <c r="F82" t="inlineStr">
        <is>
          <t>GÄVLEBORGS LÄN</t>
        </is>
      </c>
      <c r="G82" t="inlineStr">
        <is>
          <t>SÖDERHAMN</t>
        </is>
      </c>
      <c r="I82" t="n">
        <v>37.3</v>
      </c>
      <c r="J82" t="n">
        <v>10</v>
      </c>
      <c r="K82" t="n">
        <v>0</v>
      </c>
      <c r="L82" t="n">
        <v>5</v>
      </c>
      <c r="M82" t="n">
        <v>0</v>
      </c>
      <c r="N82" t="n">
        <v>0</v>
      </c>
      <c r="O82" t="n">
        <v>0</v>
      </c>
      <c r="P82" t="n">
        <v>0</v>
      </c>
      <c r="Q82" t="n">
        <v>5</v>
      </c>
      <c r="R82" t="n">
        <v>0</v>
      </c>
      <c r="S82" t="n">
        <v>10</v>
      </c>
      <c r="T82" t="n">
        <v>10</v>
      </c>
      <c r="U82" t="n">
        <v>10</v>
      </c>
      <c r="V82" s="2" t="inlineStr">
        <is>
          <t>Enkelbeckasin
Grönsångare
Järnsparv
Rödvingetrast
Talltita
Spillkråka
Grönsiska
Kungsfågel
Orre
Smålom</t>
        </is>
      </c>
      <c r="W82">
        <f>HYPERLINK("https://klasma.github.io/Logging_2182/artfynd/A 14326-2024 artfynd.xlsx", "A 14326-2024")</f>
        <v/>
      </c>
      <c r="X82">
        <f>HYPERLINK("https://klasma.github.io/Logging_2182/kartor/A 14326-2024 karta.png", "A 14326-2024")</f>
        <v/>
      </c>
      <c r="Y82">
        <f>HYPERLINK("https://klasma.github.io/Logging_2182/kartor_geotiff/A 14326-2024 georefererad karta.tif", "A 14326-2024")</f>
        <v/>
      </c>
      <c r="AA82">
        <f>HYPERLINK("https://klasma.github.io/Logging_2182/klagomål/A 14326-2024 FSC-klagomål.docx", "A 14326-2024")</f>
        <v/>
      </c>
      <c r="AB82">
        <f>HYPERLINK("https://klasma.github.io/Logging_2182/klagomålsmail/A 14326-2024 FSC-klagomål mail.docx", "A 14326-2024")</f>
        <v/>
      </c>
      <c r="AC82">
        <f>HYPERLINK("https://klasma.github.io/Logging_2182/tillsyn/A 14326-2024 tillsynsbegäran.docx", "A 14326-2024")</f>
        <v/>
      </c>
      <c r="AD82">
        <f>HYPERLINK("https://klasma.github.io/Logging_2182/tillsynsmail/A 14326-2024 tillsynsbegäran mail.docx", "A 14326-2024")</f>
        <v/>
      </c>
      <c r="AE82">
        <f>HYPERLINK("https://klasma.github.io/Logging_2182/fåglar/A 14326-2024 prioriterade fågelarter.docx", "A 14326-2024")</f>
        <v/>
      </c>
    </row>
    <row r="83" ht="15" customHeight="1">
      <c r="A83" t="inlineStr">
        <is>
          <t>S 24-2023</t>
        </is>
      </c>
      <c r="B83" t="inlineStr">
        <is>
          <t>samrådsanmälan</t>
        </is>
      </c>
      <c r="C83" t="inlineStr">
        <is>
          <t>Skogsgödsling</t>
        </is>
      </c>
      <c r="D83" s="1" t="n">
        <v>44904</v>
      </c>
      <c r="E83" s="1" t="n">
        <v>46326</v>
      </c>
      <c r="F83" t="inlineStr">
        <is>
          <t>GÄVLEBORGS LÄN</t>
        </is>
      </c>
      <c r="G83" t="inlineStr">
        <is>
          <t>LJUSDAL</t>
        </is>
      </c>
      <c r="H83" t="inlineStr">
        <is>
          <t>Holmen skog AB</t>
        </is>
      </c>
      <c r="I83" t="n">
        <v>544.2</v>
      </c>
      <c r="J83" t="n">
        <v>9</v>
      </c>
      <c r="K83" t="n">
        <v>1</v>
      </c>
      <c r="L83" t="n">
        <v>3</v>
      </c>
      <c r="M83" t="n">
        <v>0</v>
      </c>
      <c r="N83" t="n">
        <v>0</v>
      </c>
      <c r="O83" t="n">
        <v>0</v>
      </c>
      <c r="P83" t="n">
        <v>0</v>
      </c>
      <c r="Q83" t="n">
        <v>3</v>
      </c>
      <c r="R83" t="n">
        <v>0</v>
      </c>
      <c r="S83" t="n">
        <v>10</v>
      </c>
      <c r="T83" t="n">
        <v>10</v>
      </c>
      <c r="U83" t="n">
        <v>8</v>
      </c>
      <c r="V83" s="2" t="inlineStr">
        <is>
          <t>Duvhök
Enkelbeckasin
Rödvingetrast
Skinnlav
Spillkråka
Tjäder
Fjällvråk
Orre
Fläcknycklar
Revlummer</t>
        </is>
      </c>
      <c r="W83">
        <f>HYPERLINK("https://klasma.github.io/Logging_2161/artfynd/S 24-2023 artfynd.xlsx", "S 24-2023")</f>
        <v/>
      </c>
      <c r="X83">
        <f>HYPERLINK("https://klasma.github.io/Logging_2161/kartor/S 24-2023 karta.png", "S 24-2023")</f>
        <v/>
      </c>
      <c r="Y83">
        <f>HYPERLINK("https://klasma.github.io/Logging_2161/kartor_geotiff/S 24-2023 georefererad karta.tif", "S 24-2023")</f>
        <v/>
      </c>
      <c r="AA83">
        <f>HYPERLINK("https://klasma.github.io/Logging_2161/klagomål/S 24-2023 FSC-klagomål.docx", "S 24-2023")</f>
        <v/>
      </c>
      <c r="AB83">
        <f>HYPERLINK("https://klasma.github.io/Logging_2161/klagomålsmail/S 24-2023 FSC-klagomål mail.docx", "S 24-2023")</f>
        <v/>
      </c>
      <c r="AC83">
        <f>HYPERLINK("https://klasma.github.io/Logging_2161/tillsyn/S 24-2023 tillsynsbegäran.docx", "S 24-2023")</f>
        <v/>
      </c>
      <c r="AD83">
        <f>HYPERLINK("https://klasma.github.io/Logging_2161/tillsynsmail/S 24-2023 tillsynsbegäran mail.docx", "S 24-2023")</f>
        <v/>
      </c>
      <c r="AE83">
        <f>HYPERLINK("https://klasma.github.io/Logging_2161/fåglar/S 24-2023 prioriterade fågelarter.docx", "S 24-2023")</f>
        <v/>
      </c>
    </row>
    <row r="84" ht="15" customHeight="1">
      <c r="A84" t="inlineStr">
        <is>
          <t>S 282-2026</t>
        </is>
      </c>
      <c r="B84" t="inlineStr">
        <is>
          <t>samrådsanmälan</t>
        </is>
      </c>
      <c r="C84" t="inlineStr">
        <is>
          <t>Annan skogsbruksåtgärd</t>
        </is>
      </c>
      <c r="D84" s="1" t="n">
        <v>46056</v>
      </c>
      <c r="E84" s="1" t="n">
        <v>46326</v>
      </c>
      <c r="F84" t="inlineStr">
        <is>
          <t>GÄVLEBORGS LÄN</t>
        </is>
      </c>
      <c r="G84" t="inlineStr">
        <is>
          <t>SANDVIKEN</t>
        </is>
      </c>
      <c r="H84" t="inlineStr">
        <is>
          <t>Sveaskog</t>
        </is>
      </c>
      <c r="I84" t="n">
        <v>13.5</v>
      </c>
      <c r="J84" t="n">
        <v>3</v>
      </c>
      <c r="K84" t="n">
        <v>4</v>
      </c>
      <c r="L84" t="n">
        <v>4</v>
      </c>
      <c r="M84" t="n">
        <v>1</v>
      </c>
      <c r="N84" t="n">
        <v>0</v>
      </c>
      <c r="O84" t="n">
        <v>0</v>
      </c>
      <c r="P84" t="n">
        <v>0</v>
      </c>
      <c r="Q84" t="n">
        <v>5</v>
      </c>
      <c r="R84" t="n">
        <v>1</v>
      </c>
      <c r="S84" t="n">
        <v>10</v>
      </c>
      <c r="T84" t="n">
        <v>13</v>
      </c>
      <c r="U84" t="n">
        <v>0</v>
      </c>
      <c r="V84" s="2" t="inlineStr">
        <is>
          <t>Knärot
Kattfotslav
Kortskaftad ärgspik
Lunglav
Ullticka
Bårdlav
Korallblylav
Spindelblomster
Thomsons trägnagare
Fläcknycklar</t>
        </is>
      </c>
      <c r="W84">
        <f>HYPERLINK("https://klasma.github.io/Logging_2181/artfynd/S 282-2026 artfynd.xlsx", "S 282-2026")</f>
        <v/>
      </c>
      <c r="X84">
        <f>HYPERLINK("https://klasma.github.io/Logging_2181/kartor/S 282-2026 karta.png", "S 282-2026")</f>
        <v/>
      </c>
      <c r="Y84">
        <f>HYPERLINK("https://klasma.github.io/Logging_2181/kartor_geotiff/S 282-2026 georefererad karta.tif", "S 282-2026")</f>
        <v/>
      </c>
      <c r="Z84">
        <f>HYPERLINK("https://klasma.github.io/Logging_2181/knärot/S 282-2026 karta knärot.png", "S 282-2026")</f>
        <v/>
      </c>
      <c r="AA84">
        <f>HYPERLINK("https://klasma.github.io/Logging_2181/klagomål/S 282-2026 FSC-klagomål.docx", "S 282-2026")</f>
        <v/>
      </c>
      <c r="AB84">
        <f>HYPERLINK("https://klasma.github.io/Logging_2181/klagomålsmail/S 282-2026 FSC-klagomål mail.docx", "S 282-2026")</f>
        <v/>
      </c>
      <c r="AC84">
        <f>HYPERLINK("https://klasma.github.io/Logging_2181/tillsyn/S 282-2026 tillsynsbegäran.docx", "S 282-2026")</f>
        <v/>
      </c>
      <c r="AD84">
        <f>HYPERLINK("https://klasma.github.io/Logging_2181/tillsynsmail/S 282-2026 tillsynsbegäran mail.docx", "S 282-2026")</f>
        <v/>
      </c>
    </row>
    <row r="85" ht="15" customHeight="1">
      <c r="A85" t="inlineStr">
        <is>
          <t>S 540-2026</t>
        </is>
      </c>
      <c r="B85" t="inlineStr">
        <is>
          <t>samrådsanmälan</t>
        </is>
      </c>
      <c r="C85" t="inlineStr">
        <is>
          <t>Annan skogsbruksåtgärd</t>
        </is>
      </c>
      <c r="D85" s="1" t="n">
        <v>46079</v>
      </c>
      <c r="E85" s="1" t="n">
        <v>46326</v>
      </c>
      <c r="F85" t="inlineStr">
        <is>
          <t>GÄVLEBORGS LÄN</t>
        </is>
      </c>
      <c r="G85" t="inlineStr">
        <is>
          <t>HOFORS</t>
        </is>
      </c>
      <c r="I85" t="n">
        <v>1.5</v>
      </c>
      <c r="J85" t="n">
        <v>2</v>
      </c>
      <c r="K85" t="n">
        <v>3</v>
      </c>
      <c r="L85" t="n">
        <v>5</v>
      </c>
      <c r="M85" t="n">
        <v>0</v>
      </c>
      <c r="N85" t="n">
        <v>1</v>
      </c>
      <c r="O85" t="n">
        <v>0</v>
      </c>
      <c r="P85" t="n">
        <v>0</v>
      </c>
      <c r="Q85" t="n">
        <v>6</v>
      </c>
      <c r="R85" t="n">
        <v>1</v>
      </c>
      <c r="S85" t="n">
        <v>10</v>
      </c>
      <c r="T85" t="n">
        <v>14</v>
      </c>
      <c r="U85" t="n">
        <v>0</v>
      </c>
      <c r="V85" s="2" t="inlineStr">
        <is>
          <t>Koppartaggsvamp
Dropptaggsvamp
Fjällig taggsvamp s.str.
Flattoppad klubbsvamp
Gultoppig fingersvamp
Ullticka
Purpurknipprot
Svavelriska
Trådticka
Blåsippa</t>
        </is>
      </c>
      <c r="W85">
        <f>HYPERLINK("https://klasma.github.io/Logging_2104/artfynd/S 540-2026 artfynd.xlsx", "S 540-2026")</f>
        <v/>
      </c>
      <c r="X85">
        <f>HYPERLINK("https://klasma.github.io/Logging_2104/kartor/S 540-2026 karta.png", "S 540-2026")</f>
        <v/>
      </c>
      <c r="Y85">
        <f>HYPERLINK("https://klasma.github.io/Logging_2104/kartor_geotiff/S 540-2026 georefererad karta.tif", "S 540-2026")</f>
        <v/>
      </c>
      <c r="AA85">
        <f>HYPERLINK("https://klasma.github.io/Logging_2104/klagomål/S 540-2026 FSC-klagomål.docx", "S 540-2026")</f>
        <v/>
      </c>
      <c r="AB85">
        <f>HYPERLINK("https://klasma.github.io/Logging_2104/klagomålsmail/S 540-2026 FSC-klagomål mail.docx", "S 540-2026")</f>
        <v/>
      </c>
      <c r="AC85">
        <f>HYPERLINK("https://klasma.github.io/Logging_2104/tillsyn/S 540-2026 tillsynsbegäran.docx", "S 540-2026")</f>
        <v/>
      </c>
      <c r="AD85">
        <f>HYPERLINK("https://klasma.github.io/Logging_2104/tillsynsmail/S 540-2026 tillsynsbegäran mail.docx", "S 540-2026")</f>
        <v/>
      </c>
    </row>
    <row r="86" ht="15" customHeight="1">
      <c r="A86" t="inlineStr">
        <is>
          <t>A 31524-2022</t>
        </is>
      </c>
      <c r="B86" t="inlineStr">
        <is>
          <t>avverkningsanmälan</t>
        </is>
      </c>
      <c r="C86" t="inlineStr">
        <is>
          <t>Föryngringsavverkning</t>
        </is>
      </c>
      <c r="D86" s="1" t="n">
        <v>44775</v>
      </c>
      <c r="E86" s="1" t="n">
        <v>46326</v>
      </c>
      <c r="F86" t="inlineStr">
        <is>
          <t>GÄVLEBORGS LÄN</t>
        </is>
      </c>
      <c r="G86" t="inlineStr">
        <is>
          <t>LJUSDAL</t>
        </is>
      </c>
      <c r="H86" t="inlineStr">
        <is>
          <t>Sveaskog</t>
        </is>
      </c>
      <c r="I86" t="n">
        <v>38.6</v>
      </c>
      <c r="J86" t="n">
        <v>3</v>
      </c>
      <c r="K86" t="n">
        <v>3</v>
      </c>
      <c r="L86" t="n">
        <v>2</v>
      </c>
      <c r="M86" t="n">
        <v>2</v>
      </c>
      <c r="N86" t="n">
        <v>0</v>
      </c>
      <c r="O86" t="n">
        <v>0</v>
      </c>
      <c r="P86" t="n">
        <v>0</v>
      </c>
      <c r="Q86" t="n">
        <v>4</v>
      </c>
      <c r="R86" t="n">
        <v>2</v>
      </c>
      <c r="S86" t="n">
        <v>9</v>
      </c>
      <c r="T86" t="n">
        <v>10</v>
      </c>
      <c r="U86" t="n">
        <v>2</v>
      </c>
      <c r="V86" s="2" t="inlineStr">
        <is>
          <t>Garnlav
Gränsticka
Kolflarnlav
Lunglav
Bårdlav
Korallrot
Källmossa
Fläcknycklar
Revlummer</t>
        </is>
      </c>
      <c r="W86">
        <f>HYPERLINK("https://klasma.github.io/Logging_2161/artfynd/A 31524-2022 artfynd.xlsx", "A 31524-2022")</f>
        <v/>
      </c>
      <c r="X86">
        <f>HYPERLINK("https://klasma.github.io/Logging_2161/kartor/A 31524-2022 karta.png", "A 31524-2022")</f>
        <v/>
      </c>
      <c r="Y86">
        <f>HYPERLINK("https://klasma.github.io/Logging_2161/kartor_geotiff/A 31524-2022 georefererad karta.tif", "A 31524-2022")</f>
        <v/>
      </c>
      <c r="AA86">
        <f>HYPERLINK("https://klasma.github.io/Logging_2161/klagomål/A 31524-2022 FSC-klagomål.docx", "A 31524-2022")</f>
        <v/>
      </c>
      <c r="AB86">
        <f>HYPERLINK("https://klasma.github.io/Logging_2161/klagomålsmail/A 31524-2022 FSC-klagomål mail.docx", "A 31524-2022")</f>
        <v/>
      </c>
      <c r="AC86">
        <f>HYPERLINK("https://klasma.github.io/Logging_2161/tillsyn/A 31524-2022 tillsynsbegäran.docx", "A 31524-2022")</f>
        <v/>
      </c>
      <c r="AD86">
        <f>HYPERLINK("https://klasma.github.io/Logging_2161/tillsynsmail/A 31524-2022 tillsynsbegäran mail.docx", "A 31524-2022")</f>
        <v/>
      </c>
    </row>
    <row r="87" ht="15" customHeight="1">
      <c r="A87" t="inlineStr">
        <is>
          <t>A 28857-2025</t>
        </is>
      </c>
      <c r="B87" t="inlineStr">
        <is>
          <t>avverkningsanmälan</t>
        </is>
      </c>
      <c r="C87" t="inlineStr">
        <is>
          <t>Föryngringsavverkning</t>
        </is>
      </c>
      <c r="D87" s="1" t="n">
        <v>45820</v>
      </c>
      <c r="E87" s="1" t="n">
        <v>46326</v>
      </c>
      <c r="F87" t="inlineStr">
        <is>
          <t>GÄVLEBORGS LÄN</t>
        </is>
      </c>
      <c r="G87" t="inlineStr">
        <is>
          <t>LJUSDAL</t>
        </is>
      </c>
      <c r="H87" t="inlineStr">
        <is>
          <t>Bergvik skog väst AB</t>
        </is>
      </c>
      <c r="I87" t="n">
        <v>12.5</v>
      </c>
      <c r="J87" t="n">
        <v>6</v>
      </c>
      <c r="K87" t="n">
        <v>0</v>
      </c>
      <c r="L87" t="n">
        <v>3</v>
      </c>
      <c r="M87" t="n">
        <v>1</v>
      </c>
      <c r="N87" t="n">
        <v>0</v>
      </c>
      <c r="O87" t="n">
        <v>0</v>
      </c>
      <c r="P87" t="n">
        <v>0</v>
      </c>
      <c r="Q87" t="n">
        <v>4</v>
      </c>
      <c r="R87" t="n">
        <v>1</v>
      </c>
      <c r="S87" t="n">
        <v>9</v>
      </c>
      <c r="T87" t="n">
        <v>34</v>
      </c>
      <c r="U87" t="n">
        <v>34</v>
      </c>
      <c r="V87" s="2" t="inlineStr">
        <is>
          <t>Garnlav
Lunglav
Talltita
Vedskivlav
Järpe
Tjäder
Grönsiska
Kungsfågel
Svartvit flugsnappare</t>
        </is>
      </c>
      <c r="W87">
        <f>HYPERLINK("https://klasma.github.io/Logging_2161/artfynd/A 28857-2025 artfynd.xlsx", "A 28857-2025")</f>
        <v/>
      </c>
      <c r="X87">
        <f>HYPERLINK("https://klasma.github.io/Logging_2161/kartor/A 28857-2025 karta.png", "A 28857-2025")</f>
        <v/>
      </c>
      <c r="Y87">
        <f>HYPERLINK("https://klasma.github.io/Logging_2161/kartor_geotiff/A 28857-2025 georefererad karta.tif", "A 28857-2025")</f>
        <v/>
      </c>
      <c r="AA87">
        <f>HYPERLINK("https://klasma.github.io/Logging_2161/klagomål/A 28857-2025 FSC-klagomål.docx", "A 28857-2025")</f>
        <v/>
      </c>
      <c r="AB87">
        <f>HYPERLINK("https://klasma.github.io/Logging_2161/klagomålsmail/A 28857-2025 FSC-klagomål mail.docx", "A 28857-2025")</f>
        <v/>
      </c>
      <c r="AC87">
        <f>HYPERLINK("https://klasma.github.io/Logging_2161/tillsyn/A 28857-2025 tillsynsbegäran.docx", "A 28857-2025")</f>
        <v/>
      </c>
      <c r="AD87">
        <f>HYPERLINK("https://klasma.github.io/Logging_2161/tillsynsmail/A 28857-2025 tillsynsbegäran mail.docx", "A 28857-2025")</f>
        <v/>
      </c>
      <c r="AE87">
        <f>HYPERLINK("https://klasma.github.io/Logging_2161/fåglar/A 28857-2025 prioriterade fågelarter.docx", "A 28857-2025")</f>
        <v/>
      </c>
    </row>
    <row r="88" ht="15" customHeight="1">
      <c r="A88" t="inlineStr">
        <is>
          <t>A 44201-2025</t>
        </is>
      </c>
      <c r="B88" t="inlineStr">
        <is>
          <t>avverkningsanmälan</t>
        </is>
      </c>
      <c r="C88" t="inlineStr">
        <is>
          <t>Föryngringsavverkning</t>
        </is>
      </c>
      <c r="D88" s="1" t="n">
        <v>45915</v>
      </c>
      <c r="E88" s="1" t="n">
        <v>46326</v>
      </c>
      <c r="F88" t="inlineStr">
        <is>
          <t>GÄVLEBORGS LÄN</t>
        </is>
      </c>
      <c r="G88" t="inlineStr">
        <is>
          <t>LJUSDAL</t>
        </is>
      </c>
      <c r="H88" t="inlineStr">
        <is>
          <t>Sveaskog</t>
        </is>
      </c>
      <c r="I88" t="n">
        <v>4.3</v>
      </c>
      <c r="J88" t="n">
        <v>3</v>
      </c>
      <c r="K88" t="n">
        <v>2</v>
      </c>
      <c r="L88" t="n">
        <v>6</v>
      </c>
      <c r="M88" t="n">
        <v>1</v>
      </c>
      <c r="N88" t="n">
        <v>0</v>
      </c>
      <c r="O88" t="n">
        <v>0</v>
      </c>
      <c r="P88" t="n">
        <v>0</v>
      </c>
      <c r="Q88" t="n">
        <v>7</v>
      </c>
      <c r="R88" t="n">
        <v>1</v>
      </c>
      <c r="S88" t="n">
        <v>9</v>
      </c>
      <c r="T88" t="n">
        <v>26</v>
      </c>
      <c r="U88" t="n">
        <v>26</v>
      </c>
      <c r="V88" s="2" t="inlineStr">
        <is>
          <t>Knärot
Dvärgbägarlav
Lunglav
Orange taggsvamp
Skrovellav
Talltita
Vedtrappmossa
Luddlav
Plattlummer</t>
        </is>
      </c>
      <c r="W88">
        <f>HYPERLINK("https://klasma.github.io/Logging_2161/artfynd/A 44201-2025 artfynd.xlsx", "A 44201-2025")</f>
        <v/>
      </c>
      <c r="X88">
        <f>HYPERLINK("https://klasma.github.io/Logging_2161/kartor/A 44201-2025 karta.png", "A 44201-2025")</f>
        <v/>
      </c>
      <c r="Y88">
        <f>HYPERLINK("https://klasma.github.io/Logging_2161/kartor_geotiff/A 44201-2025 georefererad karta.tif", "A 44201-2025")</f>
        <v/>
      </c>
      <c r="Z88">
        <f>HYPERLINK("https://klasma.github.io/Logging_2161/knärot/A 44201-2025 karta knärot.png", "A 44201-2025")</f>
        <v/>
      </c>
      <c r="AA88">
        <f>HYPERLINK("https://klasma.github.io/Logging_2161/klagomål/A 44201-2025 FSC-klagomål.docx", "A 44201-2025")</f>
        <v/>
      </c>
      <c r="AB88">
        <f>HYPERLINK("https://klasma.github.io/Logging_2161/klagomålsmail/A 44201-2025 FSC-klagomål mail.docx", "A 44201-2025")</f>
        <v/>
      </c>
      <c r="AC88">
        <f>HYPERLINK("https://klasma.github.io/Logging_2161/tillsyn/A 44201-2025 tillsynsbegäran.docx", "A 44201-2025")</f>
        <v/>
      </c>
      <c r="AD88">
        <f>HYPERLINK("https://klasma.github.io/Logging_2161/tillsynsmail/A 44201-2025 tillsynsbegäran mail.docx", "A 44201-2025")</f>
        <v/>
      </c>
      <c r="AE88">
        <f>HYPERLINK("https://klasma.github.io/Logging_2161/fåglar/A 44201-2025 prioriterade fågelarter.docx", "A 44201-2025")</f>
        <v/>
      </c>
    </row>
    <row r="89" ht="15" customHeight="1">
      <c r="A89" t="inlineStr">
        <is>
          <t>A 53665-2025</t>
        </is>
      </c>
      <c r="B89" t="inlineStr">
        <is>
          <t>avverkningsanmälan</t>
        </is>
      </c>
      <c r="C89" t="inlineStr">
        <is>
          <t>Föryngringsavverkning</t>
        </is>
      </c>
      <c r="D89" s="1" t="n">
        <v>45960</v>
      </c>
      <c r="E89" s="1" t="n">
        <v>46326</v>
      </c>
      <c r="F89" t="inlineStr">
        <is>
          <t>GÄVLEBORGS LÄN</t>
        </is>
      </c>
      <c r="G89" t="inlineStr">
        <is>
          <t>NORDANSTIG</t>
        </is>
      </c>
      <c r="H89" t="inlineStr">
        <is>
          <t>Holmen skog AB</t>
        </is>
      </c>
      <c r="I89" t="n">
        <v>0.8</v>
      </c>
      <c r="J89" t="n">
        <v>3</v>
      </c>
      <c r="K89" t="n">
        <v>6</v>
      </c>
      <c r="L89" t="n">
        <v>0</v>
      </c>
      <c r="M89" t="n">
        <v>0</v>
      </c>
      <c r="N89" t="n">
        <v>0</v>
      </c>
      <c r="O89" t="n">
        <v>0</v>
      </c>
      <c r="P89" t="n">
        <v>0</v>
      </c>
      <c r="Q89" t="n">
        <v>0</v>
      </c>
      <c r="R89" t="n">
        <v>0</v>
      </c>
      <c r="S89" t="n">
        <v>9</v>
      </c>
      <c r="T89" t="n">
        <v>9</v>
      </c>
      <c r="U89" t="n">
        <v>9</v>
      </c>
      <c r="V89" s="2" t="inlineStr">
        <is>
          <t>Korallrot
Kransrams
Källpraktmossa
Skogshakmossa
Svart trolldruva
Tvåblad
Blåsippa
Fjällskråp
Kransmossa</t>
        </is>
      </c>
      <c r="W89">
        <f>HYPERLINK("https://klasma.github.io/Logging_2132/artfynd/A 53665-2025 artfynd.xlsx", "A 53665-2025")</f>
        <v/>
      </c>
      <c r="X89">
        <f>HYPERLINK("https://klasma.github.io/Logging_2132/kartor/A 53665-2025 karta.png", "A 53665-2025")</f>
        <v/>
      </c>
      <c r="Y89">
        <f>HYPERLINK("https://klasma.github.io/Logging_2132/kartor_geotiff/A 53665-2025 georefererad karta.tif", "A 53665-2025")</f>
        <v/>
      </c>
      <c r="AA89">
        <f>HYPERLINK("https://klasma.github.io/Logging_2132/klagomål/A 53665-2025 FSC-klagomål.docx", "A 53665-2025")</f>
        <v/>
      </c>
      <c r="AB89">
        <f>HYPERLINK("https://klasma.github.io/Logging_2132/klagomålsmail/A 53665-2025 FSC-klagomål mail.docx", "A 53665-2025")</f>
        <v/>
      </c>
      <c r="AC89">
        <f>HYPERLINK("https://klasma.github.io/Logging_2132/tillsyn/A 53665-2025 tillsynsbegäran.docx", "A 53665-2025")</f>
        <v/>
      </c>
      <c r="AD89">
        <f>HYPERLINK("https://klasma.github.io/Logging_2132/tillsynsmail/A 53665-2025 tillsynsbegäran mail.docx", "A 53665-2025")</f>
        <v/>
      </c>
    </row>
    <row r="90" ht="15" customHeight="1">
      <c r="A90" t="inlineStr">
        <is>
          <t>A 10492-2026</t>
        </is>
      </c>
      <c r="B90" t="inlineStr">
        <is>
          <t>avverkningsanmälan</t>
        </is>
      </c>
      <c r="C90" t="inlineStr">
        <is>
          <t>Föryngringsavverkning</t>
        </is>
      </c>
      <c r="D90" s="1" t="n">
        <v>46077</v>
      </c>
      <c r="E90" s="1" t="n">
        <v>46326</v>
      </c>
      <c r="F90" t="inlineStr">
        <is>
          <t>GÄVLEBORGS LÄN</t>
        </is>
      </c>
      <c r="G90" t="inlineStr">
        <is>
          <t>OCKELBO</t>
        </is>
      </c>
      <c r="I90" t="n">
        <v>10.2</v>
      </c>
      <c r="J90" t="n">
        <v>1</v>
      </c>
      <c r="K90" t="n">
        <v>3</v>
      </c>
      <c r="L90" t="n">
        <v>4</v>
      </c>
      <c r="M90" t="n">
        <v>2</v>
      </c>
      <c r="N90" t="n">
        <v>0</v>
      </c>
      <c r="O90" t="n">
        <v>0</v>
      </c>
      <c r="P90" t="n">
        <v>0</v>
      </c>
      <c r="Q90" t="n">
        <v>6</v>
      </c>
      <c r="R90" t="n">
        <v>2</v>
      </c>
      <c r="S90" t="n">
        <v>9</v>
      </c>
      <c r="T90" t="n">
        <v>30</v>
      </c>
      <c r="U90" t="n">
        <v>0</v>
      </c>
      <c r="V90" s="2" t="inlineStr">
        <is>
          <t>Garnlav
Knärot
Dropptaggsvamp
Rosenticka
Tallticka
Ullticka
Grönpyrola
Kornig nållav
Vedticka</t>
        </is>
      </c>
      <c r="W90">
        <f>HYPERLINK("https://klasma.github.io/Logging_2101/artfynd/A 10492-2026 artfynd.xlsx", "A 10492-2026")</f>
        <v/>
      </c>
      <c r="X90">
        <f>HYPERLINK("https://klasma.github.io/Logging_2101/kartor/A 10492-2026 karta.png", "A 10492-2026")</f>
        <v/>
      </c>
      <c r="Y90">
        <f>HYPERLINK("https://klasma.github.io/Logging_2101/kartor_geotiff/A 10492-2026 georefererad karta.tif", "A 10492-2026")</f>
        <v/>
      </c>
      <c r="Z90">
        <f>HYPERLINK("https://klasma.github.io/Logging_2101/knärot/A 10492-2026 karta knärot.png", "A 10492-2026")</f>
        <v/>
      </c>
      <c r="AA90">
        <f>HYPERLINK("https://klasma.github.io/Logging_2101/klagomål/A 10492-2026 FSC-klagomål.docx", "A 10492-2026")</f>
        <v/>
      </c>
      <c r="AB90">
        <f>HYPERLINK("https://klasma.github.io/Logging_2101/klagomålsmail/A 10492-2026 FSC-klagomål mail.docx", "A 10492-2026")</f>
        <v/>
      </c>
      <c r="AC90">
        <f>HYPERLINK("https://klasma.github.io/Logging_2101/tillsyn/A 10492-2026 tillsynsbegäran.docx", "A 10492-2026")</f>
        <v/>
      </c>
      <c r="AD90">
        <f>HYPERLINK("https://klasma.github.io/Logging_2101/tillsynsmail/A 10492-2026 tillsynsbegäran mail.docx", "A 10492-2026")</f>
        <v/>
      </c>
    </row>
    <row r="91" ht="15" customHeight="1">
      <c r="A91" t="inlineStr">
        <is>
          <t>A 55498-2025</t>
        </is>
      </c>
      <c r="B91" t="inlineStr">
        <is>
          <t>avverkningsanmälan</t>
        </is>
      </c>
      <c r="C91" t="inlineStr">
        <is>
          <t>Föryngringsavverkning</t>
        </is>
      </c>
      <c r="D91" s="1" t="n">
        <v>45971</v>
      </c>
      <c r="E91" s="1" t="n">
        <v>46326</v>
      </c>
      <c r="F91" t="inlineStr">
        <is>
          <t>GÄVLEBORGS LÄN</t>
        </is>
      </c>
      <c r="G91" t="inlineStr">
        <is>
          <t>LJUSDAL</t>
        </is>
      </c>
      <c r="H91" t="inlineStr">
        <is>
          <t>Sveaskog</t>
        </is>
      </c>
      <c r="I91" t="n">
        <v>22.6</v>
      </c>
      <c r="J91" t="n">
        <v>5</v>
      </c>
      <c r="K91" t="n">
        <v>1</v>
      </c>
      <c r="L91" t="n">
        <v>4</v>
      </c>
      <c r="M91" t="n">
        <v>0</v>
      </c>
      <c r="N91" t="n">
        <v>0</v>
      </c>
      <c r="O91" t="n">
        <v>0</v>
      </c>
      <c r="P91" t="n">
        <v>0</v>
      </c>
      <c r="Q91" t="n">
        <v>4</v>
      </c>
      <c r="R91" t="n">
        <v>0</v>
      </c>
      <c r="S91" t="n">
        <v>9</v>
      </c>
      <c r="T91" t="n">
        <v>11</v>
      </c>
      <c r="U91" t="n">
        <v>0</v>
      </c>
      <c r="V91" s="2" t="inlineStr">
        <is>
          <t>Kolflarnlav
Mörk kolflarnlav
Tallticka
Varglav
Nästlav
Spillkråka
Tjäder
Fläcknycklar
Revlummer</t>
        </is>
      </c>
      <c r="W91">
        <f>HYPERLINK("https://klasma.github.io/Logging_2161/artfynd/A 55498-2025 artfynd.xlsx", "A 55498-2025")</f>
        <v/>
      </c>
      <c r="X91">
        <f>HYPERLINK("https://klasma.github.io/Logging_2161/kartor/A 55498-2025 karta.png", "A 55498-2025")</f>
        <v/>
      </c>
      <c r="Y91">
        <f>HYPERLINK("https://klasma.github.io/Logging_2161/kartor_geotiff/A 55498-2025 georefererad karta.tif", "A 55498-2025")</f>
        <v/>
      </c>
      <c r="AA91">
        <f>HYPERLINK("https://klasma.github.io/Logging_2161/klagomål/A 55498-2025 FSC-klagomål.docx", "A 55498-2025")</f>
        <v/>
      </c>
      <c r="AB91">
        <f>HYPERLINK("https://klasma.github.io/Logging_2161/klagomålsmail/A 55498-2025 FSC-klagomål mail.docx", "A 55498-2025")</f>
        <v/>
      </c>
      <c r="AC91">
        <f>HYPERLINK("https://klasma.github.io/Logging_2161/tillsyn/A 55498-2025 tillsynsbegäran.docx", "A 55498-2025")</f>
        <v/>
      </c>
      <c r="AD91">
        <f>HYPERLINK("https://klasma.github.io/Logging_2161/tillsynsmail/A 55498-2025 tillsynsbegäran mail.docx", "A 55498-2025")</f>
        <v/>
      </c>
      <c r="AE91">
        <f>HYPERLINK("https://klasma.github.io/Logging_2161/fåglar/A 55498-2025 prioriterade fågelarter.docx", "A 55498-2025")</f>
        <v/>
      </c>
    </row>
    <row r="92" ht="15" customHeight="1">
      <c r="A92" t="inlineStr">
        <is>
          <t>A 17701-2025</t>
        </is>
      </c>
      <c r="B92" t="inlineStr">
        <is>
          <t>avverkningsanmälan</t>
        </is>
      </c>
      <c r="C92" t="inlineStr">
        <is>
          <t>Föryngringsavverkning</t>
        </is>
      </c>
      <c r="D92" s="1" t="n">
        <v>45758</v>
      </c>
      <c r="E92" s="1" t="n">
        <v>46326</v>
      </c>
      <c r="F92" t="inlineStr">
        <is>
          <t>GÄVLEBORGS LÄN</t>
        </is>
      </c>
      <c r="G92" t="inlineStr">
        <is>
          <t>LJUSDAL</t>
        </is>
      </c>
      <c r="H92" t="inlineStr">
        <is>
          <t>Kyrkan</t>
        </is>
      </c>
      <c r="I92" t="n">
        <v>3.5</v>
      </c>
      <c r="J92" t="n">
        <v>3</v>
      </c>
      <c r="K92" t="n">
        <v>2</v>
      </c>
      <c r="L92" t="n">
        <v>2</v>
      </c>
      <c r="M92" t="n">
        <v>2</v>
      </c>
      <c r="N92" t="n">
        <v>0</v>
      </c>
      <c r="O92" t="n">
        <v>0</v>
      </c>
      <c r="P92" t="n">
        <v>0</v>
      </c>
      <c r="Q92" t="n">
        <v>4</v>
      </c>
      <c r="R92" t="n">
        <v>2</v>
      </c>
      <c r="S92" t="n">
        <v>9</v>
      </c>
      <c r="T92" t="n">
        <v>32</v>
      </c>
      <c r="U92" t="n">
        <v>32</v>
      </c>
      <c r="V92" s="2" t="inlineStr">
        <is>
          <t>Garnlav
Knärot
Rynkskinn
Skrovellav
Grönpyrola
Korallblylav
Timmerticka
Tjäder
Nattviol</t>
        </is>
      </c>
      <c r="W92">
        <f>HYPERLINK("https://klasma.github.io/Logging_2161/artfynd/A 17701-2025 artfynd.xlsx", "A 17701-2025")</f>
        <v/>
      </c>
      <c r="X92">
        <f>HYPERLINK("https://klasma.github.io/Logging_2161/kartor/A 17701-2025 karta.png", "A 17701-2025")</f>
        <v/>
      </c>
      <c r="Y92">
        <f>HYPERLINK("https://klasma.github.io/Logging_2161/kartor_geotiff/A 17701-2025 georefererad karta.tif", "A 17701-2025")</f>
        <v/>
      </c>
      <c r="Z92">
        <f>HYPERLINK("https://klasma.github.io/Logging_2161/knärot/A 17701-2025 karta knärot.png", "A 17701-2025")</f>
        <v/>
      </c>
      <c r="AA92">
        <f>HYPERLINK("https://klasma.github.io/Logging_2161/klagomål/A 17701-2025 FSC-klagomål.docx", "A 17701-2025")</f>
        <v/>
      </c>
      <c r="AB92">
        <f>HYPERLINK("https://klasma.github.io/Logging_2161/klagomålsmail/A 17701-2025 FSC-klagomål mail.docx", "A 17701-2025")</f>
        <v/>
      </c>
      <c r="AC92">
        <f>HYPERLINK("https://klasma.github.io/Logging_2161/tillsyn/A 17701-2025 tillsynsbegäran.docx", "A 17701-2025")</f>
        <v/>
      </c>
      <c r="AD92">
        <f>HYPERLINK("https://klasma.github.io/Logging_2161/tillsynsmail/A 17701-2025 tillsynsbegäran mail.docx", "A 17701-2025")</f>
        <v/>
      </c>
      <c r="AE92">
        <f>HYPERLINK("https://klasma.github.io/Logging_2161/fåglar/A 17701-2025 prioriterade fågelarter.docx", "A 17701-2025")</f>
        <v/>
      </c>
    </row>
    <row r="93" ht="15" customHeight="1">
      <c r="A93" t="inlineStr">
        <is>
          <t>A 19899-2026</t>
        </is>
      </c>
      <c r="B93" t="inlineStr">
        <is>
          <t>avverkningsanmälan</t>
        </is>
      </c>
      <c r="C93" t="inlineStr">
        <is>
          <t>Föryngringsavverkning</t>
        </is>
      </c>
      <c r="D93" s="1" t="n">
        <v>46135</v>
      </c>
      <c r="E93" s="1" t="n">
        <v>46326</v>
      </c>
      <c r="F93" t="inlineStr">
        <is>
          <t>GÄVLEBORGS LÄN</t>
        </is>
      </c>
      <c r="G93" t="inlineStr">
        <is>
          <t>GÄVLE</t>
        </is>
      </c>
      <c r="I93" t="n">
        <v>16</v>
      </c>
      <c r="J93" t="n">
        <v>4</v>
      </c>
      <c r="K93" t="n">
        <v>5</v>
      </c>
      <c r="L93" t="n">
        <v>2</v>
      </c>
      <c r="M93" t="n">
        <v>0</v>
      </c>
      <c r="N93" t="n">
        <v>0</v>
      </c>
      <c r="O93" t="n">
        <v>0</v>
      </c>
      <c r="P93" t="n">
        <v>0</v>
      </c>
      <c r="Q93" t="n">
        <v>2</v>
      </c>
      <c r="R93" t="n">
        <v>0</v>
      </c>
      <c r="S93" t="n">
        <v>9</v>
      </c>
      <c r="T93" t="n">
        <v>16</v>
      </c>
      <c r="U93" t="n">
        <v>0</v>
      </c>
      <c r="V93" s="2" t="inlineStr">
        <is>
          <t>Storgröe
Vårärt
Grönpyrola
Myskmadra
Nästrot
Trådfräken
Tvåblad
Blåsippa
Revlummer</t>
        </is>
      </c>
      <c r="W93">
        <f>HYPERLINK("https://klasma.github.io/Logging_2180/artfynd/A 19899-2026 artfynd.xlsx", "A 19899-2026")</f>
        <v/>
      </c>
      <c r="X93">
        <f>HYPERLINK("https://klasma.github.io/Logging_2180/kartor/A 19899-2026 karta.png", "A 19899-2026")</f>
        <v/>
      </c>
      <c r="Y93">
        <f>HYPERLINK("https://klasma.github.io/Logging_2180/kartor_geotiff/A 19899-2026 georefererad karta.tif", "A 19899-2026")</f>
        <v/>
      </c>
      <c r="AA93">
        <f>HYPERLINK("https://klasma.github.io/Logging_2180/klagomål/A 19899-2026 FSC-klagomål.docx", "A 19899-2026")</f>
        <v/>
      </c>
      <c r="AB93">
        <f>HYPERLINK("https://klasma.github.io/Logging_2180/klagomålsmail/A 19899-2026 FSC-klagomål mail.docx", "A 19899-2026")</f>
        <v/>
      </c>
      <c r="AC93">
        <f>HYPERLINK("https://klasma.github.io/Logging_2180/tillsyn/A 19899-2026 tillsynsbegäran.docx", "A 19899-2026")</f>
        <v/>
      </c>
      <c r="AD93">
        <f>HYPERLINK("https://klasma.github.io/Logging_2180/tillsynsmail/A 19899-2026 tillsynsbegäran mail.docx", "A 19899-2026")</f>
        <v/>
      </c>
    </row>
    <row r="94" ht="15" customHeight="1">
      <c r="A94" t="inlineStr">
        <is>
          <t>A 18986-2024</t>
        </is>
      </c>
      <c r="B94" t="inlineStr">
        <is>
          <t>avverkningsanmälan</t>
        </is>
      </c>
      <c r="C94" t="inlineStr">
        <is>
          <t>Föryngringsavverkning</t>
        </is>
      </c>
      <c r="D94" s="1" t="n">
        <v>45427</v>
      </c>
      <c r="E94" s="1" t="n">
        <v>46326</v>
      </c>
      <c r="F94" t="inlineStr">
        <is>
          <t>GÄVLEBORGS LÄN</t>
        </is>
      </c>
      <c r="G94" t="inlineStr">
        <is>
          <t>LJUSDAL</t>
        </is>
      </c>
      <c r="H94" t="inlineStr">
        <is>
          <t>Sveaskog</t>
        </is>
      </c>
      <c r="I94" t="n">
        <v>5.7</v>
      </c>
      <c r="J94" t="n">
        <v>1</v>
      </c>
      <c r="K94" t="n">
        <v>2</v>
      </c>
      <c r="L94" t="n">
        <v>4</v>
      </c>
      <c r="M94" t="n">
        <v>2</v>
      </c>
      <c r="N94" t="n">
        <v>0</v>
      </c>
      <c r="O94" t="n">
        <v>0</v>
      </c>
      <c r="P94" t="n">
        <v>0</v>
      </c>
      <c r="Q94" t="n">
        <v>6</v>
      </c>
      <c r="R94" t="n">
        <v>2</v>
      </c>
      <c r="S94" t="n">
        <v>9</v>
      </c>
      <c r="T94" t="n">
        <v>46</v>
      </c>
      <c r="U94" t="n">
        <v>46</v>
      </c>
      <c r="V94" s="2" t="inlineStr">
        <is>
          <t>Garnlav
Knärot
Kolflarnlav
Mörk kolflarnlav
Vedflamlav
Vedskivlav
Nästlav
Vågbandad barkbock
Sälg</t>
        </is>
      </c>
      <c r="W94">
        <f>HYPERLINK("https://klasma.github.io/Logging_2161/artfynd/A 18986-2024 artfynd.xlsx", "A 18986-2024")</f>
        <v/>
      </c>
      <c r="X94">
        <f>HYPERLINK("https://klasma.github.io/Logging_2161/kartor/A 18986-2024 karta.png", "A 18986-2024")</f>
        <v/>
      </c>
      <c r="Y94">
        <f>HYPERLINK("https://klasma.github.io/Logging_2161/kartor_geotiff/A 18986-2024 georefererad karta.tif", "A 18986-2024")</f>
        <v/>
      </c>
      <c r="Z94">
        <f>HYPERLINK("https://klasma.github.io/Logging_2161/knärot/A 18986-2024 karta knärot.png", "A 18986-2024")</f>
        <v/>
      </c>
      <c r="AA94">
        <f>HYPERLINK("https://klasma.github.io/Logging_2161/klagomål/A 18986-2024 FSC-klagomål.docx", "A 18986-2024")</f>
        <v/>
      </c>
      <c r="AB94">
        <f>HYPERLINK("https://klasma.github.io/Logging_2161/klagomålsmail/A 18986-2024 FSC-klagomål mail.docx", "A 18986-2024")</f>
        <v/>
      </c>
      <c r="AC94">
        <f>HYPERLINK("https://klasma.github.io/Logging_2161/tillsyn/A 18986-2024 tillsynsbegäran.docx", "A 18986-2024")</f>
        <v/>
      </c>
      <c r="AD94">
        <f>HYPERLINK("https://klasma.github.io/Logging_2161/tillsynsmail/A 18986-2024 tillsynsbegäran mail.docx", "A 18986-2024")</f>
        <v/>
      </c>
    </row>
    <row r="95" ht="15" customHeight="1">
      <c r="A95" t="inlineStr">
        <is>
          <t>A 23601-2026</t>
        </is>
      </c>
      <c r="B95" t="inlineStr">
        <is>
          <t>avverkningsanmälan</t>
        </is>
      </c>
      <c r="C95" t="inlineStr">
        <is>
          <t>Föryngringsavverkning</t>
        </is>
      </c>
      <c r="D95" s="1" t="n">
        <v>46163</v>
      </c>
      <c r="E95" s="1" t="n">
        <v>46326</v>
      </c>
      <c r="F95" t="inlineStr">
        <is>
          <t>GÄVLEBORGS LÄN</t>
        </is>
      </c>
      <c r="G95" t="inlineStr">
        <is>
          <t>HOFORS</t>
        </is>
      </c>
      <c r="I95" t="n">
        <v>2.7</v>
      </c>
      <c r="J95" t="n">
        <v>3</v>
      </c>
      <c r="K95" t="n">
        <v>3</v>
      </c>
      <c r="L95" t="n">
        <v>4</v>
      </c>
      <c r="M95" t="n">
        <v>1</v>
      </c>
      <c r="N95" t="n">
        <v>0</v>
      </c>
      <c r="O95" t="n">
        <v>0</v>
      </c>
      <c r="P95" t="n">
        <v>0</v>
      </c>
      <c r="Q95" t="n">
        <v>5</v>
      </c>
      <c r="R95" t="n">
        <v>1</v>
      </c>
      <c r="S95" t="n">
        <v>9</v>
      </c>
      <c r="T95" t="n">
        <v>11</v>
      </c>
      <c r="U95" t="n">
        <v>0</v>
      </c>
      <c r="V95" s="2" t="inlineStr">
        <is>
          <t>Knärot
Orange taggsvamp
Tretåig hackspett
Ullticka
Vedtrappmossa
Bronshjon
Kantarellvaxing
Vedticka
Blåsippa</t>
        </is>
      </c>
      <c r="W95">
        <f>HYPERLINK("https://klasma.github.io/Logging_2104/artfynd/A 23601-2026 artfynd.xlsx", "A 23601-2026")</f>
        <v/>
      </c>
      <c r="X95">
        <f>HYPERLINK("https://klasma.github.io/Logging_2104/kartor/A 23601-2026 karta.png", "A 23601-2026")</f>
        <v/>
      </c>
      <c r="Y95">
        <f>HYPERLINK("https://klasma.github.io/Logging_2104/kartor_geotiff/A 23601-2026 georefererad karta.tif", "A 23601-2026")</f>
        <v/>
      </c>
      <c r="Z95">
        <f>HYPERLINK("https://klasma.github.io/Logging_2104/knärot/A 23601-2026 karta knärot.png", "A 23601-2026")</f>
        <v/>
      </c>
      <c r="AA95">
        <f>HYPERLINK("https://klasma.github.io/Logging_2104/klagomål/A 23601-2026 FSC-klagomål.docx", "A 23601-2026")</f>
        <v/>
      </c>
      <c r="AB95">
        <f>HYPERLINK("https://klasma.github.io/Logging_2104/klagomålsmail/A 23601-2026 FSC-klagomål mail.docx", "A 23601-2026")</f>
        <v/>
      </c>
      <c r="AC95">
        <f>HYPERLINK("https://klasma.github.io/Logging_2104/tillsyn/A 23601-2026 tillsynsbegäran.docx", "A 23601-2026")</f>
        <v/>
      </c>
      <c r="AD95">
        <f>HYPERLINK("https://klasma.github.io/Logging_2104/tillsynsmail/A 23601-2026 tillsynsbegäran mail.docx", "A 23601-2026")</f>
        <v/>
      </c>
      <c r="AE95">
        <f>HYPERLINK("https://klasma.github.io/Logging_2104/fåglar/A 23601-2026 prioriterade fågelarter.docx", "A 23601-2026")</f>
        <v/>
      </c>
    </row>
    <row r="96" ht="15" customHeight="1">
      <c r="A96" t="inlineStr">
        <is>
          <t>A 39905-2022</t>
        </is>
      </c>
      <c r="B96" t="inlineStr">
        <is>
          <t>avverkningsanmälan</t>
        </is>
      </c>
      <c r="C96" t="inlineStr">
        <is>
          <t>Föryngringsavverkning</t>
        </is>
      </c>
      <c r="D96" s="1" t="n">
        <v>44819</v>
      </c>
      <c r="E96" s="1" t="n">
        <v>46326</v>
      </c>
      <c r="F96" t="inlineStr">
        <is>
          <t>GÄVLEBORGS LÄN</t>
        </is>
      </c>
      <c r="G96" t="inlineStr">
        <is>
          <t>OVANÅKER</t>
        </is>
      </c>
      <c r="I96" t="n">
        <v>3.5</v>
      </c>
      <c r="J96" t="n">
        <v>6</v>
      </c>
      <c r="K96" t="n">
        <v>4</v>
      </c>
      <c r="L96" t="n">
        <v>2</v>
      </c>
      <c r="M96" t="n">
        <v>0</v>
      </c>
      <c r="N96" t="n">
        <v>0</v>
      </c>
      <c r="O96" t="n">
        <v>0</v>
      </c>
      <c r="P96" t="n">
        <v>0</v>
      </c>
      <c r="Q96" t="n">
        <v>2</v>
      </c>
      <c r="R96" t="n">
        <v>0</v>
      </c>
      <c r="S96" t="n">
        <v>9</v>
      </c>
      <c r="T96" t="n">
        <v>9</v>
      </c>
      <c r="U96" t="n">
        <v>8</v>
      </c>
      <c r="V96" s="2" t="inlineStr">
        <is>
          <t>Månlåsbräken
Turkos blåvinge
Grönkulla
Plattlummer
Spindelblomster
Ögonpyrola
Fläcknycklar
Nattviol
Revlummer</t>
        </is>
      </c>
      <c r="W96">
        <f>HYPERLINK("https://klasma.github.io/Logging_2121/artfynd/A 39905-2022 artfynd.xlsx", "A 39905-2022")</f>
        <v/>
      </c>
      <c r="X96">
        <f>HYPERLINK("https://klasma.github.io/Logging_2121/kartor/A 39905-2022 karta.png", "A 39905-2022")</f>
        <v/>
      </c>
      <c r="Y96">
        <f>HYPERLINK("https://klasma.github.io/Logging_2121/kartor_geotiff/A 39905-2022 georefererad karta.tif", "A 39905-2022")</f>
        <v/>
      </c>
      <c r="AA96">
        <f>HYPERLINK("https://klasma.github.io/Logging_2121/klagomål/A 39905-2022 FSC-klagomål.docx", "A 39905-2022")</f>
        <v/>
      </c>
      <c r="AB96">
        <f>HYPERLINK("https://klasma.github.io/Logging_2121/klagomålsmail/A 39905-2022 FSC-klagomål mail.docx", "A 39905-2022")</f>
        <v/>
      </c>
      <c r="AC96">
        <f>HYPERLINK("https://klasma.github.io/Logging_2121/tillsyn/A 39905-2022 tillsynsbegäran.docx", "A 39905-2022")</f>
        <v/>
      </c>
      <c r="AD96">
        <f>HYPERLINK("https://klasma.github.io/Logging_2121/tillsynsmail/A 39905-2022 tillsynsbegäran mail.docx", "A 39905-2022")</f>
        <v/>
      </c>
    </row>
    <row r="97" ht="15" customHeight="1">
      <c r="A97" t="inlineStr">
        <is>
          <t>A 19656-2024</t>
        </is>
      </c>
      <c r="B97" t="inlineStr">
        <is>
          <t>avverkningsanmälan</t>
        </is>
      </c>
      <c r="C97" t="inlineStr">
        <is>
          <t>Föryngringsavverkning</t>
        </is>
      </c>
      <c r="D97" s="1" t="n">
        <v>45432</v>
      </c>
      <c r="E97" s="1" t="n">
        <v>46326</v>
      </c>
      <c r="F97" t="inlineStr">
        <is>
          <t>GÄVLEBORGS LÄN</t>
        </is>
      </c>
      <c r="G97" t="inlineStr">
        <is>
          <t>OVANÅKER</t>
        </is>
      </c>
      <c r="I97" t="n">
        <v>9.4</v>
      </c>
      <c r="J97" t="n">
        <v>4</v>
      </c>
      <c r="K97" t="n">
        <v>4</v>
      </c>
      <c r="L97" t="n">
        <v>2</v>
      </c>
      <c r="M97" t="n">
        <v>2</v>
      </c>
      <c r="N97" t="n">
        <v>0</v>
      </c>
      <c r="O97" t="n">
        <v>0</v>
      </c>
      <c r="P97" t="n">
        <v>0</v>
      </c>
      <c r="Q97" t="n">
        <v>4</v>
      </c>
      <c r="R97" t="n">
        <v>2</v>
      </c>
      <c r="S97" t="n">
        <v>9</v>
      </c>
      <c r="T97" t="n">
        <v>14</v>
      </c>
      <c r="U97" t="n">
        <v>14</v>
      </c>
      <c r="V97" s="2" t="inlineStr">
        <is>
          <t>Garnlav
Tornseglare
Violettgrå tagellav
Vitgrynig nållav
Korallrot
Nästlav
Spindelblomster
Vågbandad barkbock
Fläcknycklar</t>
        </is>
      </c>
      <c r="W97">
        <f>HYPERLINK("https://klasma.github.io/Logging_2121/artfynd/A 19656-2024 artfynd.xlsx", "A 19656-2024")</f>
        <v/>
      </c>
      <c r="X97">
        <f>HYPERLINK("https://klasma.github.io/Logging_2121/kartor/A 19656-2024 karta.png", "A 19656-2024")</f>
        <v/>
      </c>
      <c r="Y97">
        <f>HYPERLINK("https://klasma.github.io/Logging_2121/kartor_geotiff/A 19656-2024 georefererad karta.tif", "A 19656-2024")</f>
        <v/>
      </c>
      <c r="AA97">
        <f>HYPERLINK("https://klasma.github.io/Logging_2121/klagomål/A 19656-2024 FSC-klagomål.docx", "A 19656-2024")</f>
        <v/>
      </c>
      <c r="AB97">
        <f>HYPERLINK("https://klasma.github.io/Logging_2121/klagomålsmail/A 19656-2024 FSC-klagomål mail.docx", "A 19656-2024")</f>
        <v/>
      </c>
      <c r="AC97">
        <f>HYPERLINK("https://klasma.github.io/Logging_2121/tillsyn/A 19656-2024 tillsynsbegäran.docx", "A 19656-2024")</f>
        <v/>
      </c>
      <c r="AD97">
        <f>HYPERLINK("https://klasma.github.io/Logging_2121/tillsynsmail/A 19656-2024 tillsynsbegäran mail.docx", "A 19656-2024")</f>
        <v/>
      </c>
      <c r="AE97">
        <f>HYPERLINK("https://klasma.github.io/Logging_2121/fåglar/A 19656-2024 prioriterade fågelarter.docx", "A 19656-2024")</f>
        <v/>
      </c>
    </row>
    <row r="98" ht="15" customHeight="1">
      <c r="A98" t="inlineStr">
        <is>
          <t>A 11088-2026</t>
        </is>
      </c>
      <c r="B98" t="inlineStr">
        <is>
          <t>avverkningsanmälan</t>
        </is>
      </c>
      <c r="C98" t="inlineStr">
        <is>
          <t>Avverkning för annat ändamål</t>
        </is>
      </c>
      <c r="D98" s="1" t="n">
        <v>46079</v>
      </c>
      <c r="E98" s="1" t="n">
        <v>46326</v>
      </c>
      <c r="F98" t="inlineStr">
        <is>
          <t>GÄVLEBORGS LÄN</t>
        </is>
      </c>
      <c r="G98" t="inlineStr">
        <is>
          <t>GÄVLE</t>
        </is>
      </c>
      <c r="H98" t="inlineStr">
        <is>
          <t>Kommuner</t>
        </is>
      </c>
      <c r="I98" t="n">
        <v>3.8</v>
      </c>
      <c r="J98" t="n">
        <v>7</v>
      </c>
      <c r="K98" t="n">
        <v>0</v>
      </c>
      <c r="L98" t="n">
        <v>5</v>
      </c>
      <c r="M98" t="n">
        <v>1</v>
      </c>
      <c r="N98" t="n">
        <v>1</v>
      </c>
      <c r="O98" t="n">
        <v>0</v>
      </c>
      <c r="P98" t="n">
        <v>0</v>
      </c>
      <c r="Q98" t="n">
        <v>7</v>
      </c>
      <c r="R98" t="n">
        <v>2</v>
      </c>
      <c r="S98" t="n">
        <v>9</v>
      </c>
      <c r="T98" t="n">
        <v>9</v>
      </c>
      <c r="U98" t="n">
        <v>0</v>
      </c>
      <c r="V98" s="2" t="inlineStr">
        <is>
          <t>Havstrut
Gråtrut
Duvhök
Knytlingsäckmal
Rödvingetrast
Slåtterfibbla
Talltita
Havsörn
Kråka</t>
        </is>
      </c>
      <c r="W98">
        <f>HYPERLINK("https://klasma.github.io/Logging_2180/artfynd/A 11088-2026 artfynd.xlsx", "A 11088-2026")</f>
        <v/>
      </c>
      <c r="X98">
        <f>HYPERLINK("https://klasma.github.io/Logging_2180/kartor/A 11088-2026 karta.png", "A 11088-2026")</f>
        <v/>
      </c>
      <c r="Y98">
        <f>HYPERLINK("https://klasma.github.io/Logging_2180/kartor_geotiff/A 11088-2026 georefererad karta.tif", "A 11088-2026")</f>
        <v/>
      </c>
      <c r="AA98">
        <f>HYPERLINK("https://klasma.github.io/Logging_2180/klagomål/A 11088-2026 FSC-klagomål.docx", "A 11088-2026")</f>
        <v/>
      </c>
      <c r="AB98">
        <f>HYPERLINK("https://klasma.github.io/Logging_2180/klagomålsmail/A 11088-2026 FSC-klagomål mail.docx", "A 11088-2026")</f>
        <v/>
      </c>
      <c r="AC98">
        <f>HYPERLINK("https://klasma.github.io/Logging_2180/tillsyn/A 11088-2026 tillsynsbegäran.docx", "A 11088-2026")</f>
        <v/>
      </c>
      <c r="AD98">
        <f>HYPERLINK("https://klasma.github.io/Logging_2180/tillsynsmail/A 11088-2026 tillsynsbegäran mail.docx", "A 11088-2026")</f>
        <v/>
      </c>
      <c r="AE98">
        <f>HYPERLINK("https://klasma.github.io/Logging_2180/fåglar/A 11088-2026 prioriterade fågelarter.docx", "A 11088-2026")</f>
        <v/>
      </c>
    </row>
    <row r="99" ht="15" customHeight="1">
      <c r="A99" t="inlineStr">
        <is>
          <t>S 22-2023</t>
        </is>
      </c>
      <c r="B99" t="inlineStr">
        <is>
          <t>samrådsanmälan</t>
        </is>
      </c>
      <c r="C99" t="inlineStr">
        <is>
          <t>Skogsgödsling</t>
        </is>
      </c>
      <c r="D99" s="1" t="n">
        <v>44904</v>
      </c>
      <c r="E99" s="1" t="n">
        <v>46326</v>
      </c>
      <c r="F99" t="inlineStr">
        <is>
          <t>GÄVLEBORGS LÄN</t>
        </is>
      </c>
      <c r="G99" t="inlineStr">
        <is>
          <t>HUDIKSVALL</t>
        </is>
      </c>
      <c r="H99" t="inlineStr">
        <is>
          <t>Holmen skog AB</t>
        </is>
      </c>
      <c r="I99" t="n">
        <v>2582.8</v>
      </c>
      <c r="J99" t="n">
        <v>7</v>
      </c>
      <c r="K99" t="n">
        <v>2</v>
      </c>
      <c r="L99" t="n">
        <v>2</v>
      </c>
      <c r="M99" t="n">
        <v>1</v>
      </c>
      <c r="N99" t="n">
        <v>0</v>
      </c>
      <c r="O99" t="n">
        <v>0</v>
      </c>
      <c r="P99" t="n">
        <v>0</v>
      </c>
      <c r="Q99" t="n">
        <v>3</v>
      </c>
      <c r="R99" t="n">
        <v>1</v>
      </c>
      <c r="S99" t="n">
        <v>9</v>
      </c>
      <c r="T99" t="n">
        <v>15</v>
      </c>
      <c r="U99" t="n">
        <v>4</v>
      </c>
      <c r="V99" s="2" t="inlineStr">
        <is>
          <t>Knärot
Lunglav
Talltita
Plattlummer
Stuplav
Gråspett
Tjäder
Fläcknycklar
Revlummer</t>
        </is>
      </c>
      <c r="W99">
        <f>HYPERLINK("https://klasma.github.io/Logging_2184/artfynd/S 22-2023 artfynd.xlsx", "S 22-2023")</f>
        <v/>
      </c>
      <c r="X99">
        <f>HYPERLINK("https://klasma.github.io/Logging_2184/kartor/S 22-2023 karta.png", "S 22-2023")</f>
        <v/>
      </c>
      <c r="Y99">
        <f>HYPERLINK("https://klasma.github.io/Logging_2184/kartor_geotiff/S 22-2023 georefererad karta.tif", "S 22-2023")</f>
        <v/>
      </c>
      <c r="Z99">
        <f>HYPERLINK("https://klasma.github.io/Logging_2184/knärot/S 22-2023 karta knärot.png", "S 22-2023")</f>
        <v/>
      </c>
      <c r="AA99">
        <f>HYPERLINK("https://klasma.github.io/Logging_2184/klagomål/S 22-2023 FSC-klagomål.docx", "S 22-2023")</f>
        <v/>
      </c>
      <c r="AB99">
        <f>HYPERLINK("https://klasma.github.io/Logging_2184/klagomålsmail/S 22-2023 FSC-klagomål mail.docx", "S 22-2023")</f>
        <v/>
      </c>
      <c r="AC99">
        <f>HYPERLINK("https://klasma.github.io/Logging_2184/tillsyn/S 22-2023 tillsynsbegäran.docx", "S 22-2023")</f>
        <v/>
      </c>
      <c r="AD99">
        <f>HYPERLINK("https://klasma.github.io/Logging_2184/tillsynsmail/S 22-2023 tillsynsbegäran mail.docx", "S 22-2023")</f>
        <v/>
      </c>
      <c r="AE99">
        <f>HYPERLINK("https://klasma.github.io/Logging_2184/fåglar/S 22-2023 prioriterade fågelarter.docx", "S 22-2023")</f>
        <v/>
      </c>
    </row>
    <row r="100" ht="15" customHeight="1">
      <c r="A100" t="inlineStr">
        <is>
          <t>S 3426-2025</t>
        </is>
      </c>
      <c r="B100" t="inlineStr">
        <is>
          <t>samrådsanmälan</t>
        </is>
      </c>
      <c r="C100" t="inlineStr">
        <is>
          <t>Skogsgödsling</t>
        </is>
      </c>
      <c r="D100" s="1" t="n">
        <v>45995</v>
      </c>
      <c r="E100" s="1" t="n">
        <v>46326</v>
      </c>
      <c r="F100" t="inlineStr">
        <is>
          <t>GÄVLEBORGS LÄN</t>
        </is>
      </c>
      <c r="G100" t="inlineStr">
        <is>
          <t>HUDIKSVALL</t>
        </is>
      </c>
      <c r="H100" t="inlineStr">
        <is>
          <t>Holmen skog AB</t>
        </is>
      </c>
      <c r="I100" t="n">
        <v>521.8</v>
      </c>
      <c r="J100" t="n">
        <v>5</v>
      </c>
      <c r="K100" t="n">
        <v>4</v>
      </c>
      <c r="L100" t="n">
        <v>1</v>
      </c>
      <c r="M100" t="n">
        <v>1</v>
      </c>
      <c r="N100" t="n">
        <v>0</v>
      </c>
      <c r="O100" t="n">
        <v>0</v>
      </c>
      <c r="P100" t="n">
        <v>0</v>
      </c>
      <c r="Q100" t="n">
        <v>2</v>
      </c>
      <c r="R100" t="n">
        <v>1</v>
      </c>
      <c r="S100" t="n">
        <v>9</v>
      </c>
      <c r="T100" t="n">
        <v>10</v>
      </c>
      <c r="U100" t="n">
        <v>0</v>
      </c>
      <c r="V100" s="2" t="inlineStr">
        <is>
          <t>Igelkott
Lunglav
Plattlummer
Spindelblomster
Stuplav
Ögonpyrola
Blåsippa
Nattviol
Revlummer</t>
        </is>
      </c>
      <c r="W100">
        <f>HYPERLINK("https://klasma.github.io/Logging_2184/artfynd/S 3426-2025 artfynd.xlsx", "S 3426-2025")</f>
        <v/>
      </c>
      <c r="X100">
        <f>HYPERLINK("https://klasma.github.io/Logging_2184/kartor/S 3426-2025 karta.png", "S 3426-2025")</f>
        <v/>
      </c>
      <c r="Y100">
        <f>HYPERLINK("https://klasma.github.io/Logging_2184/kartor_geotiff/S 3426-2025 georefererad karta.tif", "S 3426-2025")</f>
        <v/>
      </c>
      <c r="AA100">
        <f>HYPERLINK("https://klasma.github.io/Logging_2184/klagomål/S 3426-2025 FSC-klagomål.docx", "S 3426-2025")</f>
        <v/>
      </c>
      <c r="AB100">
        <f>HYPERLINK("https://klasma.github.io/Logging_2184/klagomålsmail/S 3426-2025 FSC-klagomål mail.docx", "S 3426-2025")</f>
        <v/>
      </c>
      <c r="AC100">
        <f>HYPERLINK("https://klasma.github.io/Logging_2184/tillsyn/S 3426-2025 tillsynsbegäran.docx", "S 3426-2025")</f>
        <v/>
      </c>
      <c r="AD100">
        <f>HYPERLINK("https://klasma.github.io/Logging_2184/tillsynsmail/S 3426-2025 tillsynsbegäran mail.docx", "S 3426-2025")</f>
        <v/>
      </c>
    </row>
    <row r="101" ht="15" customHeight="1">
      <c r="A101" t="inlineStr">
        <is>
          <t>A 20596-2025</t>
        </is>
      </c>
      <c r="B101" t="inlineStr">
        <is>
          <t>avverkningsanmälan</t>
        </is>
      </c>
      <c r="C101" t="inlineStr">
        <is>
          <t>Föryngringsavverkning</t>
        </is>
      </c>
      <c r="D101" s="1" t="n">
        <v>45775</v>
      </c>
      <c r="E101" s="1" t="n">
        <v>46326</v>
      </c>
      <c r="F101" t="inlineStr">
        <is>
          <t>GÄVLEBORGS LÄN</t>
        </is>
      </c>
      <c r="G101" t="inlineStr">
        <is>
          <t>LJUSDAL</t>
        </is>
      </c>
      <c r="H101" t="inlineStr">
        <is>
          <t>Sveaskog</t>
        </is>
      </c>
      <c r="I101" t="n">
        <v>15.7</v>
      </c>
      <c r="J101" t="n">
        <v>5</v>
      </c>
      <c r="K101" t="n">
        <v>2</v>
      </c>
      <c r="L101" t="n">
        <v>2</v>
      </c>
      <c r="M101" t="n">
        <v>1</v>
      </c>
      <c r="N101" t="n">
        <v>0</v>
      </c>
      <c r="O101" t="n">
        <v>0</v>
      </c>
      <c r="P101" t="n">
        <v>0</v>
      </c>
      <c r="Q101" t="n">
        <v>3</v>
      </c>
      <c r="R101" t="n">
        <v>1</v>
      </c>
      <c r="S101" t="n">
        <v>8</v>
      </c>
      <c r="T101" t="n">
        <v>14</v>
      </c>
      <c r="U101" t="n">
        <v>14</v>
      </c>
      <c r="V101" s="2" t="inlineStr">
        <is>
          <t>Knärot
Kolflarnlav
Mörk kolflarnlav
Gräsull
Korallrot
Mattlummer
Grönsiska
Fläcknycklar</t>
        </is>
      </c>
      <c r="W101">
        <f>HYPERLINK("https://klasma.github.io/Logging_2161/artfynd/A 20596-2025 artfynd.xlsx", "A 20596-2025")</f>
        <v/>
      </c>
      <c r="X101">
        <f>HYPERLINK("https://klasma.github.io/Logging_2161/kartor/A 20596-2025 karta.png", "A 20596-2025")</f>
        <v/>
      </c>
      <c r="Y101">
        <f>HYPERLINK("https://klasma.github.io/Logging_2161/kartor_geotiff/A 20596-2025 georefererad karta.tif", "A 20596-2025")</f>
        <v/>
      </c>
      <c r="Z101">
        <f>HYPERLINK("https://klasma.github.io/Logging_2161/knärot/A 20596-2025 karta knärot.png", "A 20596-2025")</f>
        <v/>
      </c>
      <c r="AA101">
        <f>HYPERLINK("https://klasma.github.io/Logging_2161/klagomål/A 20596-2025 FSC-klagomål.docx", "A 20596-2025")</f>
        <v/>
      </c>
      <c r="AB101">
        <f>HYPERLINK("https://klasma.github.io/Logging_2161/klagomålsmail/A 20596-2025 FSC-klagomål mail.docx", "A 20596-2025")</f>
        <v/>
      </c>
      <c r="AC101">
        <f>HYPERLINK("https://klasma.github.io/Logging_2161/tillsyn/A 20596-2025 tillsynsbegäran.docx", "A 20596-2025")</f>
        <v/>
      </c>
      <c r="AD101">
        <f>HYPERLINK("https://klasma.github.io/Logging_2161/tillsynsmail/A 20596-2025 tillsynsbegäran mail.docx", "A 20596-2025")</f>
        <v/>
      </c>
    </row>
    <row r="102" ht="15" customHeight="1">
      <c r="A102" t="inlineStr">
        <is>
          <t>A 28859-2025</t>
        </is>
      </c>
      <c r="B102" t="inlineStr">
        <is>
          <t>avverkningsanmälan</t>
        </is>
      </c>
      <c r="C102" t="inlineStr">
        <is>
          <t>Föryngringsavverkning</t>
        </is>
      </c>
      <c r="D102" s="1" t="n">
        <v>45820</v>
      </c>
      <c r="E102" s="1" t="n">
        <v>46326</v>
      </c>
      <c r="F102" t="inlineStr">
        <is>
          <t>GÄVLEBORGS LÄN</t>
        </is>
      </c>
      <c r="G102" t="inlineStr">
        <is>
          <t>LJUSDAL</t>
        </is>
      </c>
      <c r="H102" t="inlineStr">
        <is>
          <t>Bergvik skog väst AB</t>
        </is>
      </c>
      <c r="I102" t="n">
        <v>10.2</v>
      </c>
      <c r="J102" t="n">
        <v>6</v>
      </c>
      <c r="K102" t="n">
        <v>0</v>
      </c>
      <c r="L102" t="n">
        <v>4</v>
      </c>
      <c r="M102" t="n">
        <v>1</v>
      </c>
      <c r="N102" t="n">
        <v>0</v>
      </c>
      <c r="O102" t="n">
        <v>0</v>
      </c>
      <c r="P102" t="n">
        <v>0</v>
      </c>
      <c r="Q102" t="n">
        <v>5</v>
      </c>
      <c r="R102" t="n">
        <v>1</v>
      </c>
      <c r="S102" t="n">
        <v>8</v>
      </c>
      <c r="T102" t="n">
        <v>17</v>
      </c>
      <c r="U102" t="n">
        <v>17</v>
      </c>
      <c r="V102" s="2" t="inlineStr">
        <is>
          <t>Garnlav
Lavskrika
Lunglav
Talltita
Tretåig hackspett
Tjäder
Grönsiska
Kungsfågel</t>
        </is>
      </c>
      <c r="W102">
        <f>HYPERLINK("https://klasma.github.io/Logging_2161/artfynd/A 28859-2025 artfynd.xlsx", "A 28859-2025")</f>
        <v/>
      </c>
      <c r="X102">
        <f>HYPERLINK("https://klasma.github.io/Logging_2161/kartor/A 28859-2025 karta.png", "A 28859-2025")</f>
        <v/>
      </c>
      <c r="Y102">
        <f>HYPERLINK("https://klasma.github.io/Logging_2161/kartor_geotiff/A 28859-2025 georefererad karta.tif", "A 28859-2025")</f>
        <v/>
      </c>
      <c r="AA102">
        <f>HYPERLINK("https://klasma.github.io/Logging_2161/klagomål/A 28859-2025 FSC-klagomål.docx", "A 28859-2025")</f>
        <v/>
      </c>
      <c r="AB102">
        <f>HYPERLINK("https://klasma.github.io/Logging_2161/klagomålsmail/A 28859-2025 FSC-klagomål mail.docx", "A 28859-2025")</f>
        <v/>
      </c>
      <c r="AC102">
        <f>HYPERLINK("https://klasma.github.io/Logging_2161/tillsyn/A 28859-2025 tillsynsbegäran.docx", "A 28859-2025")</f>
        <v/>
      </c>
      <c r="AD102">
        <f>HYPERLINK("https://klasma.github.io/Logging_2161/tillsynsmail/A 28859-2025 tillsynsbegäran mail.docx", "A 28859-2025")</f>
        <v/>
      </c>
      <c r="AE102">
        <f>HYPERLINK("https://klasma.github.io/Logging_2161/fåglar/A 28859-2025 prioriterade fågelarter.docx", "A 28859-2025")</f>
        <v/>
      </c>
    </row>
    <row r="103" ht="15" customHeight="1">
      <c r="A103" t="inlineStr">
        <is>
          <t>A 42489-2025</t>
        </is>
      </c>
      <c r="B103" t="inlineStr">
        <is>
          <t>avverkningsanmälan</t>
        </is>
      </c>
      <c r="C103" t="inlineStr">
        <is>
          <t>Föryngringsavverkning</t>
        </is>
      </c>
      <c r="D103" s="1" t="n">
        <v>45905</v>
      </c>
      <c r="E103" s="1" t="n">
        <v>46326</v>
      </c>
      <c r="F103" t="inlineStr">
        <is>
          <t>GÄVLEBORGS LÄN</t>
        </is>
      </c>
      <c r="G103" t="inlineStr">
        <is>
          <t>HUDIKSVALL</t>
        </is>
      </c>
      <c r="I103" t="n">
        <v>1.5</v>
      </c>
      <c r="J103" t="n">
        <v>0</v>
      </c>
      <c r="K103" t="n">
        <v>1</v>
      </c>
      <c r="L103" t="n">
        <v>4</v>
      </c>
      <c r="M103" t="n">
        <v>1</v>
      </c>
      <c r="N103" t="n">
        <v>2</v>
      </c>
      <c r="O103" t="n">
        <v>0</v>
      </c>
      <c r="P103" t="n">
        <v>0</v>
      </c>
      <c r="Q103" t="n">
        <v>7</v>
      </c>
      <c r="R103" t="n">
        <v>3</v>
      </c>
      <c r="S103" t="n">
        <v>8</v>
      </c>
      <c r="T103" t="n">
        <v>22</v>
      </c>
      <c r="U103" t="n">
        <v>5</v>
      </c>
      <c r="V103" s="2" t="inlineStr">
        <is>
          <t>Koppartaggsvamp
Raggtaggsvamp
Ulltickeporing
Fjällig taggsvamp s.str.
Skarp dropptaggsvamp
Sotvaxskivling
Ullticka
Zontaggsvamp</t>
        </is>
      </c>
      <c r="W103">
        <f>HYPERLINK("https://klasma.github.io/Logging_2184/artfynd/A 42489-2025 artfynd.xlsx", "A 42489-2025")</f>
        <v/>
      </c>
      <c r="X103">
        <f>HYPERLINK("https://klasma.github.io/Logging_2184/kartor/A 42489-2025 karta.png", "A 42489-2025")</f>
        <v/>
      </c>
      <c r="Y103">
        <f>HYPERLINK("https://klasma.github.io/Logging_2184/kartor_geotiff/A 42489-2025 georefererad karta.tif", "A 42489-2025")</f>
        <v/>
      </c>
      <c r="AA103">
        <f>HYPERLINK("https://klasma.github.io/Logging_2184/klagomål/A 42489-2025 FSC-klagomål.docx", "A 42489-2025")</f>
        <v/>
      </c>
      <c r="AB103">
        <f>HYPERLINK("https://klasma.github.io/Logging_2184/klagomålsmail/A 42489-2025 FSC-klagomål mail.docx", "A 42489-2025")</f>
        <v/>
      </c>
      <c r="AC103">
        <f>HYPERLINK("https://klasma.github.io/Logging_2184/tillsyn/A 42489-2025 tillsynsbegäran.docx", "A 42489-2025")</f>
        <v/>
      </c>
      <c r="AD103">
        <f>HYPERLINK("https://klasma.github.io/Logging_2184/tillsynsmail/A 42489-2025 tillsynsbegäran mail.docx", "A 42489-2025")</f>
        <v/>
      </c>
    </row>
    <row r="104" ht="15" customHeight="1">
      <c r="A104" t="inlineStr">
        <is>
          <t>A 51147-2025</t>
        </is>
      </c>
      <c r="B104" t="inlineStr">
        <is>
          <t>avverkningsanmälan</t>
        </is>
      </c>
      <c r="C104" t="inlineStr">
        <is>
          <t>Föryngringsavverkning</t>
        </is>
      </c>
      <c r="D104" s="1" t="n">
        <v>45947</v>
      </c>
      <c r="E104" s="1" t="n">
        <v>46326</v>
      </c>
      <c r="F104" t="inlineStr">
        <is>
          <t>GÄVLEBORGS LÄN</t>
        </is>
      </c>
      <c r="G104" t="inlineStr">
        <is>
          <t>SÖDERHAMN</t>
        </is>
      </c>
      <c r="I104" t="n">
        <v>9</v>
      </c>
      <c r="J104" t="n">
        <v>0</v>
      </c>
      <c r="K104" t="n">
        <v>0</v>
      </c>
      <c r="L104" t="n">
        <v>6</v>
      </c>
      <c r="M104" t="n">
        <v>2</v>
      </c>
      <c r="N104" t="n">
        <v>0</v>
      </c>
      <c r="O104" t="n">
        <v>0</v>
      </c>
      <c r="P104" t="n">
        <v>0</v>
      </c>
      <c r="Q104" t="n">
        <v>8</v>
      </c>
      <c r="R104" t="n">
        <v>2</v>
      </c>
      <c r="S104" t="n">
        <v>8</v>
      </c>
      <c r="T104" t="n">
        <v>8</v>
      </c>
      <c r="U104" t="n">
        <v>4</v>
      </c>
      <c r="V104" s="2" t="inlineStr">
        <is>
          <t>Lammticka
Skrovlig taggsvamp
Blå taggsvamp
Dropptaggsvamp
Mindre tåtelsmygare
Tallkötticka
Talltaggsvamp
Vitfläckig guldvinge</t>
        </is>
      </c>
      <c r="W104">
        <f>HYPERLINK("https://klasma.github.io/Logging_2182/artfynd/A 51147-2025 artfynd.xlsx", "A 51147-2025")</f>
        <v/>
      </c>
      <c r="X104">
        <f>HYPERLINK("https://klasma.github.io/Logging_2182/kartor/A 51147-2025 karta.png", "A 51147-2025")</f>
        <v/>
      </c>
      <c r="Y104">
        <f>HYPERLINK("https://klasma.github.io/Logging_2182/kartor_geotiff/A 51147-2025 georefererad karta.tif", "A 51147-2025")</f>
        <v/>
      </c>
      <c r="AA104">
        <f>HYPERLINK("https://klasma.github.io/Logging_2182/klagomål/A 51147-2025 FSC-klagomål.docx", "A 51147-2025")</f>
        <v/>
      </c>
      <c r="AB104">
        <f>HYPERLINK("https://klasma.github.io/Logging_2182/klagomålsmail/A 51147-2025 FSC-klagomål mail.docx", "A 51147-2025")</f>
        <v/>
      </c>
      <c r="AC104">
        <f>HYPERLINK("https://klasma.github.io/Logging_2182/tillsyn/A 51147-2025 tillsynsbegäran.docx", "A 51147-2025")</f>
        <v/>
      </c>
      <c r="AD104">
        <f>HYPERLINK("https://klasma.github.io/Logging_2182/tillsynsmail/A 51147-2025 tillsynsbegäran mail.docx", "A 51147-2025")</f>
        <v/>
      </c>
    </row>
    <row r="105" ht="15" customHeight="1">
      <c r="A105" t="inlineStr">
        <is>
          <t>A 13505-2026</t>
        </is>
      </c>
      <c r="B105" t="inlineStr">
        <is>
          <t>avverkningsanmälan</t>
        </is>
      </c>
      <c r="C105" t="inlineStr">
        <is>
          <t>Föryngringsavverkning</t>
        </is>
      </c>
      <c r="D105" s="1" t="n">
        <v>46094</v>
      </c>
      <c r="E105" s="1" t="n">
        <v>46326</v>
      </c>
      <c r="F105" t="inlineStr">
        <is>
          <t>GÄVLEBORGS LÄN</t>
        </is>
      </c>
      <c r="G105" t="inlineStr">
        <is>
          <t>HUDIKSVALL</t>
        </is>
      </c>
      <c r="H105" t="inlineStr">
        <is>
          <t>Holmen skog AB</t>
        </is>
      </c>
      <c r="I105" t="n">
        <v>11.7</v>
      </c>
      <c r="J105" t="n">
        <v>3</v>
      </c>
      <c r="K105" t="n">
        <v>3</v>
      </c>
      <c r="L105" t="n">
        <v>1</v>
      </c>
      <c r="M105" t="n">
        <v>0</v>
      </c>
      <c r="N105" t="n">
        <v>1</v>
      </c>
      <c r="O105" t="n">
        <v>0</v>
      </c>
      <c r="P105" t="n">
        <v>0</v>
      </c>
      <c r="Q105" t="n">
        <v>2</v>
      </c>
      <c r="R105" t="n">
        <v>1</v>
      </c>
      <c r="S105" t="n">
        <v>8</v>
      </c>
      <c r="T105" t="n">
        <v>9</v>
      </c>
      <c r="U105" t="n">
        <v>1</v>
      </c>
      <c r="V105" s="2" t="inlineStr">
        <is>
          <t>Skogsalm
Skogssvingel
Strutbräken
Tibast
Ögonpyrola
Blåsippa
Lopplummer (aggregat)
Revlummer</t>
        </is>
      </c>
      <c r="W105">
        <f>HYPERLINK("https://klasma.github.io/Logging_2184/artfynd/A 13505-2026 artfynd.xlsx", "A 13505-2026")</f>
        <v/>
      </c>
      <c r="X105">
        <f>HYPERLINK("https://klasma.github.io/Logging_2184/kartor/A 13505-2026 karta.png", "A 13505-2026")</f>
        <v/>
      </c>
      <c r="Y105">
        <f>HYPERLINK("https://klasma.github.io/Logging_2184/kartor_geotiff/A 13505-2026 georefererad karta.tif", "A 13505-2026")</f>
        <v/>
      </c>
      <c r="AA105">
        <f>HYPERLINK("https://klasma.github.io/Logging_2184/klagomål/A 13505-2026 FSC-klagomål.docx", "A 13505-2026")</f>
        <v/>
      </c>
      <c r="AB105">
        <f>HYPERLINK("https://klasma.github.io/Logging_2184/klagomålsmail/A 13505-2026 FSC-klagomål mail.docx", "A 13505-2026")</f>
        <v/>
      </c>
      <c r="AC105">
        <f>HYPERLINK("https://klasma.github.io/Logging_2184/tillsyn/A 13505-2026 tillsynsbegäran.docx", "A 13505-2026")</f>
        <v/>
      </c>
      <c r="AD105">
        <f>HYPERLINK("https://klasma.github.io/Logging_2184/tillsynsmail/A 13505-2026 tillsynsbegäran mail.docx", "A 13505-2026")</f>
        <v/>
      </c>
    </row>
    <row r="106" ht="15" customHeight="1">
      <c r="A106" t="inlineStr">
        <is>
          <t>A 21134-2024</t>
        </is>
      </c>
      <c r="B106" t="inlineStr">
        <is>
          <t>avverkningsanmälan</t>
        </is>
      </c>
      <c r="C106" t="inlineStr">
        <is>
          <t>Föryngringsavverkning</t>
        </is>
      </c>
      <c r="D106" s="1" t="n">
        <v>45440</v>
      </c>
      <c r="E106" s="1" t="n">
        <v>46326</v>
      </c>
      <c r="F106" t="inlineStr">
        <is>
          <t>GÄVLEBORGS LÄN</t>
        </is>
      </c>
      <c r="G106" t="inlineStr">
        <is>
          <t>LJUSDAL</t>
        </is>
      </c>
      <c r="I106" t="n">
        <v>3.2</v>
      </c>
      <c r="J106" t="n">
        <v>6</v>
      </c>
      <c r="K106" t="n">
        <v>0</v>
      </c>
      <c r="L106" t="n">
        <v>4</v>
      </c>
      <c r="M106" t="n">
        <v>2</v>
      </c>
      <c r="N106" t="n">
        <v>0</v>
      </c>
      <c r="O106" t="n">
        <v>0</v>
      </c>
      <c r="P106" t="n">
        <v>0</v>
      </c>
      <c r="Q106" t="n">
        <v>6</v>
      </c>
      <c r="R106" t="n">
        <v>2</v>
      </c>
      <c r="S106" t="n">
        <v>8</v>
      </c>
      <c r="T106" t="n">
        <v>27</v>
      </c>
      <c r="U106" t="n">
        <v>26</v>
      </c>
      <c r="V106" s="2" t="inlineStr">
        <is>
          <t>Knärot
Tofsvipa
Kolflarnlav
Ladusvala
Talltita
Vedflamlav
Grönsiska
Kungsfågel</t>
        </is>
      </c>
      <c r="W106">
        <f>HYPERLINK("https://klasma.github.io/Logging_2161/artfynd/A 21134-2024 artfynd.xlsx", "A 21134-2024")</f>
        <v/>
      </c>
      <c r="X106">
        <f>HYPERLINK("https://klasma.github.io/Logging_2161/kartor/A 21134-2024 karta.png", "A 21134-2024")</f>
        <v/>
      </c>
      <c r="Y106">
        <f>HYPERLINK("https://klasma.github.io/Logging_2161/kartor_geotiff/A 21134-2024 georefererad karta.tif", "A 21134-2024")</f>
        <v/>
      </c>
      <c r="Z106">
        <f>HYPERLINK("https://klasma.github.io/Logging_2161/knärot/A 21134-2024 karta knärot.png", "A 21134-2024")</f>
        <v/>
      </c>
      <c r="AA106">
        <f>HYPERLINK("https://klasma.github.io/Logging_2161/klagomål/A 21134-2024 FSC-klagomål.docx", "A 21134-2024")</f>
        <v/>
      </c>
      <c r="AB106">
        <f>HYPERLINK("https://klasma.github.io/Logging_2161/klagomålsmail/A 21134-2024 FSC-klagomål mail.docx", "A 21134-2024")</f>
        <v/>
      </c>
      <c r="AC106">
        <f>HYPERLINK("https://klasma.github.io/Logging_2161/tillsyn/A 21134-2024 tillsynsbegäran.docx", "A 21134-2024")</f>
        <v/>
      </c>
      <c r="AD106">
        <f>HYPERLINK("https://klasma.github.io/Logging_2161/tillsynsmail/A 21134-2024 tillsynsbegäran mail.docx", "A 21134-2024")</f>
        <v/>
      </c>
      <c r="AE106">
        <f>HYPERLINK("https://klasma.github.io/Logging_2161/fåglar/A 21134-2024 prioriterade fågelarter.docx", "A 21134-2024")</f>
        <v/>
      </c>
    </row>
    <row r="107" ht="15" customHeight="1">
      <c r="A107" t="inlineStr">
        <is>
          <t>A 61183-2025</t>
        </is>
      </c>
      <c r="B107" t="inlineStr">
        <is>
          <t>avverkningsanmälan</t>
        </is>
      </c>
      <c r="C107" t="inlineStr">
        <is>
          <t>Föryngringsavverkning</t>
        </is>
      </c>
      <c r="D107" s="1" t="n">
        <v>46000</v>
      </c>
      <c r="E107" s="1" t="n">
        <v>46326</v>
      </c>
      <c r="F107" t="inlineStr">
        <is>
          <t>GÄVLEBORGS LÄN</t>
        </is>
      </c>
      <c r="G107" t="inlineStr">
        <is>
          <t>LJUSDAL</t>
        </is>
      </c>
      <c r="H107" t="inlineStr">
        <is>
          <t>Allmännings- och besparingsskogar</t>
        </is>
      </c>
      <c r="I107" t="n">
        <v>1.7</v>
      </c>
      <c r="J107" t="n">
        <v>1</v>
      </c>
      <c r="K107" t="n">
        <v>0</v>
      </c>
      <c r="L107" t="n">
        <v>6</v>
      </c>
      <c r="M107" t="n">
        <v>1</v>
      </c>
      <c r="N107" t="n">
        <v>0</v>
      </c>
      <c r="O107" t="n">
        <v>0</v>
      </c>
      <c r="P107" t="n">
        <v>0</v>
      </c>
      <c r="Q107" t="n">
        <v>7</v>
      </c>
      <c r="R107" t="n">
        <v>1</v>
      </c>
      <c r="S107" t="n">
        <v>8</v>
      </c>
      <c r="T107" t="n">
        <v>20</v>
      </c>
      <c r="U107" t="n">
        <v>20</v>
      </c>
      <c r="V107" s="2" t="inlineStr">
        <is>
          <t>Garnlav
Dropptaggsvamp
Kolflarnlav
Mörk kolflarnlav
Vedflamlav
Vedskivlav
Violettgrå tagellav
Tjäder</t>
        </is>
      </c>
      <c r="W107">
        <f>HYPERLINK("https://klasma.github.io/Logging_2161/artfynd/A 61183-2025 artfynd.xlsx", "A 61183-2025")</f>
        <v/>
      </c>
      <c r="X107">
        <f>HYPERLINK("https://klasma.github.io/Logging_2161/kartor/A 61183-2025 karta.png", "A 61183-2025")</f>
        <v/>
      </c>
      <c r="Y107">
        <f>HYPERLINK("https://klasma.github.io/Logging_2161/kartor_geotiff/A 61183-2025 georefererad karta.tif", "A 61183-2025")</f>
        <v/>
      </c>
      <c r="AA107">
        <f>HYPERLINK("https://klasma.github.io/Logging_2161/klagomål/A 61183-2025 FSC-klagomål.docx", "A 61183-2025")</f>
        <v/>
      </c>
      <c r="AB107">
        <f>HYPERLINK("https://klasma.github.io/Logging_2161/klagomålsmail/A 61183-2025 FSC-klagomål mail.docx", "A 61183-2025")</f>
        <v/>
      </c>
      <c r="AC107">
        <f>HYPERLINK("https://klasma.github.io/Logging_2161/tillsyn/A 61183-2025 tillsynsbegäran.docx", "A 61183-2025")</f>
        <v/>
      </c>
      <c r="AD107">
        <f>HYPERLINK("https://klasma.github.io/Logging_2161/tillsynsmail/A 61183-2025 tillsynsbegäran mail.docx", "A 61183-2025")</f>
        <v/>
      </c>
      <c r="AE107">
        <f>HYPERLINK("https://klasma.github.io/Logging_2161/fåglar/A 61183-2025 prioriterade fågelarter.docx", "A 61183-2025")</f>
        <v/>
      </c>
    </row>
    <row r="108" ht="15" customHeight="1">
      <c r="A108" t="inlineStr">
        <is>
          <t>A 16924-2026</t>
        </is>
      </c>
      <c r="B108" t="inlineStr">
        <is>
          <t>avverkningsanmälan</t>
        </is>
      </c>
      <c r="C108" t="inlineStr">
        <is>
          <t>Föryngringsavverkning</t>
        </is>
      </c>
      <c r="D108" s="1" t="n">
        <v>46113</v>
      </c>
      <c r="E108" s="1" t="n">
        <v>46326</v>
      </c>
      <c r="F108" t="inlineStr">
        <is>
          <t>GÄVLEBORGS LÄN</t>
        </is>
      </c>
      <c r="G108" t="inlineStr">
        <is>
          <t>LJUSDAL</t>
        </is>
      </c>
      <c r="H108" t="inlineStr">
        <is>
          <t>SCA</t>
        </is>
      </c>
      <c r="I108" t="n">
        <v>2.4</v>
      </c>
      <c r="J108" t="n">
        <v>4</v>
      </c>
      <c r="K108" t="n">
        <v>2</v>
      </c>
      <c r="L108" t="n">
        <v>4</v>
      </c>
      <c r="M108" t="n">
        <v>2</v>
      </c>
      <c r="N108" t="n">
        <v>0</v>
      </c>
      <c r="O108" t="n">
        <v>0</v>
      </c>
      <c r="P108" t="n">
        <v>0</v>
      </c>
      <c r="Q108" t="n">
        <v>6</v>
      </c>
      <c r="R108" t="n">
        <v>2</v>
      </c>
      <c r="S108" t="n">
        <v>8</v>
      </c>
      <c r="T108" t="n">
        <v>21</v>
      </c>
      <c r="U108" t="n">
        <v>3</v>
      </c>
      <c r="V108" s="2" t="inlineStr">
        <is>
          <t>Knärot
Violett guldvinge
Berggräsfjäril
Lunglav
Tallticka
Vitfläckig guldvinge
Korallrot
Spindelblomster</t>
        </is>
      </c>
      <c r="W108">
        <f>HYPERLINK("https://klasma.github.io/Logging_2161/artfynd/A 16924-2026 artfynd.xlsx", "A 16924-2026")</f>
        <v/>
      </c>
      <c r="X108">
        <f>HYPERLINK("https://klasma.github.io/Logging_2161/kartor/A 16924-2026 karta.png", "A 16924-2026")</f>
        <v/>
      </c>
      <c r="Y108">
        <f>HYPERLINK("https://klasma.github.io/Logging_2161/kartor_geotiff/A 16924-2026 georefererad karta.tif", "A 16924-2026")</f>
        <v/>
      </c>
      <c r="Z108">
        <f>HYPERLINK("https://klasma.github.io/Logging_2161/knärot/A 16924-2026 karta knärot.png", "A 16924-2026")</f>
        <v/>
      </c>
      <c r="AA108">
        <f>HYPERLINK("https://klasma.github.io/Logging_2161/klagomål/A 16924-2026 FSC-klagomål.docx", "A 16924-2026")</f>
        <v/>
      </c>
      <c r="AB108">
        <f>HYPERLINK("https://klasma.github.io/Logging_2161/klagomålsmail/A 16924-2026 FSC-klagomål mail.docx", "A 16924-2026")</f>
        <v/>
      </c>
      <c r="AC108">
        <f>HYPERLINK("https://klasma.github.io/Logging_2161/tillsyn/A 16924-2026 tillsynsbegäran.docx", "A 16924-2026")</f>
        <v/>
      </c>
      <c r="AD108">
        <f>HYPERLINK("https://klasma.github.io/Logging_2161/tillsynsmail/A 16924-2026 tillsynsbegäran mail.docx", "A 16924-2026")</f>
        <v/>
      </c>
    </row>
    <row r="109" ht="15" customHeight="1">
      <c r="A109" t="inlineStr">
        <is>
          <t>A 9898-2026</t>
        </is>
      </c>
      <c r="B109" t="inlineStr">
        <is>
          <t>avverkningsanmälan</t>
        </is>
      </c>
      <c r="C109" t="inlineStr">
        <is>
          <t>Föryngringsavverkning</t>
        </is>
      </c>
      <c r="D109" s="1" t="n">
        <v>46073</v>
      </c>
      <c r="E109" s="1" t="n">
        <v>46326</v>
      </c>
      <c r="F109" t="inlineStr">
        <is>
          <t>GÄVLEBORGS LÄN</t>
        </is>
      </c>
      <c r="G109" t="inlineStr">
        <is>
          <t>OCKELBO</t>
        </is>
      </c>
      <c r="H109" t="inlineStr">
        <is>
          <t>Bergvik skog väst AB</t>
        </is>
      </c>
      <c r="I109" t="n">
        <v>13.3</v>
      </c>
      <c r="J109" t="n">
        <v>1</v>
      </c>
      <c r="K109" t="n">
        <v>4</v>
      </c>
      <c r="L109" t="n">
        <v>3</v>
      </c>
      <c r="M109" t="n">
        <v>1</v>
      </c>
      <c r="N109" t="n">
        <v>0</v>
      </c>
      <c r="O109" t="n">
        <v>0</v>
      </c>
      <c r="P109" t="n">
        <v>0</v>
      </c>
      <c r="Q109" t="n">
        <v>4</v>
      </c>
      <c r="R109" t="n">
        <v>1</v>
      </c>
      <c r="S109" t="n">
        <v>8</v>
      </c>
      <c r="T109" t="n">
        <v>10</v>
      </c>
      <c r="U109" t="n">
        <v>0</v>
      </c>
      <c r="V109" s="2" t="inlineStr">
        <is>
          <t>Knärot
Kattfotslav
Lunglav
Stiftgelélav
Bårdlav
Korallblylav
Skinnlav
Stuplav</t>
        </is>
      </c>
      <c r="W109">
        <f>HYPERLINK("https://klasma.github.io/Logging_2101/artfynd/A 9898-2026 artfynd.xlsx", "A 9898-2026")</f>
        <v/>
      </c>
      <c r="X109">
        <f>HYPERLINK("https://klasma.github.io/Logging_2101/kartor/A 9898-2026 karta.png", "A 9898-2026")</f>
        <v/>
      </c>
      <c r="Y109">
        <f>HYPERLINK("https://klasma.github.io/Logging_2101/kartor_geotiff/A 9898-2026 georefererad karta.tif", "A 9898-2026")</f>
        <v/>
      </c>
      <c r="Z109">
        <f>HYPERLINK("https://klasma.github.io/Logging_2101/knärot/A 9898-2026 karta knärot.png", "A 9898-2026")</f>
        <v/>
      </c>
      <c r="AA109">
        <f>HYPERLINK("https://klasma.github.io/Logging_2101/klagomål/A 9898-2026 FSC-klagomål.docx", "A 9898-2026")</f>
        <v/>
      </c>
      <c r="AB109">
        <f>HYPERLINK("https://klasma.github.io/Logging_2101/klagomålsmail/A 9898-2026 FSC-klagomål mail.docx", "A 9898-2026")</f>
        <v/>
      </c>
      <c r="AC109">
        <f>HYPERLINK("https://klasma.github.io/Logging_2101/tillsyn/A 9898-2026 tillsynsbegäran.docx", "A 9898-2026")</f>
        <v/>
      </c>
      <c r="AD109">
        <f>HYPERLINK("https://klasma.github.io/Logging_2101/tillsynsmail/A 9898-2026 tillsynsbegäran mail.docx", "A 9898-2026")</f>
        <v/>
      </c>
    </row>
    <row r="110" ht="15" customHeight="1">
      <c r="A110" t="inlineStr">
        <is>
          <t>A 25524-2026</t>
        </is>
      </c>
      <c r="B110" t="inlineStr">
        <is>
          <t>avverkningsanmälan</t>
        </is>
      </c>
      <c r="C110" t="inlineStr">
        <is>
          <t>Föryngringsavverkning</t>
        </is>
      </c>
      <c r="D110" s="1" t="n">
        <v>46177</v>
      </c>
      <c r="E110" s="1" t="n">
        <v>46326</v>
      </c>
      <c r="F110" t="inlineStr">
        <is>
          <t>GÄVLEBORGS LÄN</t>
        </is>
      </c>
      <c r="G110" t="inlineStr">
        <is>
          <t>BOLLNÄS</t>
        </is>
      </c>
      <c r="I110" t="n">
        <v>5</v>
      </c>
      <c r="J110" t="n">
        <v>8</v>
      </c>
      <c r="K110" t="n">
        <v>2</v>
      </c>
      <c r="L110" t="n">
        <v>2</v>
      </c>
      <c r="M110" t="n">
        <v>1</v>
      </c>
      <c r="N110" t="n">
        <v>0</v>
      </c>
      <c r="O110" t="n">
        <v>0</v>
      </c>
      <c r="P110" t="n">
        <v>0</v>
      </c>
      <c r="Q110" t="n">
        <v>3</v>
      </c>
      <c r="R110" t="n">
        <v>1</v>
      </c>
      <c r="S110" t="n">
        <v>8</v>
      </c>
      <c r="T110" t="n">
        <v>14</v>
      </c>
      <c r="U110" t="n">
        <v>3</v>
      </c>
      <c r="V110" s="2" t="inlineStr">
        <is>
          <t>Knärot
Lavskrika
Tretåig hackspett
Spindelblomster
Tvåblad
Mattlummer
Fläcknycklar
Nattviol</t>
        </is>
      </c>
      <c r="W110">
        <f>HYPERLINK("https://klasma.github.io/Logging_2183/artfynd/A 25524-2026 artfynd.xlsx", "A 25524-2026")</f>
        <v/>
      </c>
      <c r="X110">
        <f>HYPERLINK("https://klasma.github.io/Logging_2183/kartor/A 25524-2026 karta.png", "A 25524-2026")</f>
        <v/>
      </c>
      <c r="Y110">
        <f>HYPERLINK("https://klasma.github.io/Logging_2183/kartor_geotiff/A 25524-2026 georefererad karta.tif", "A 25524-2026")</f>
        <v/>
      </c>
      <c r="Z110">
        <f>HYPERLINK("https://klasma.github.io/Logging_2183/knärot/A 25524-2026 karta knärot.png", "A 25524-2026")</f>
        <v/>
      </c>
      <c r="AA110">
        <f>HYPERLINK("https://klasma.github.io/Logging_2183/klagomål/A 25524-2026 FSC-klagomål.docx", "A 25524-2026")</f>
        <v/>
      </c>
      <c r="AB110">
        <f>HYPERLINK("https://klasma.github.io/Logging_2183/klagomålsmail/A 25524-2026 FSC-klagomål mail.docx", "A 25524-2026")</f>
        <v/>
      </c>
      <c r="AC110">
        <f>HYPERLINK("https://klasma.github.io/Logging_2183/tillsyn/A 25524-2026 tillsynsbegäran.docx", "A 25524-2026")</f>
        <v/>
      </c>
      <c r="AD110">
        <f>HYPERLINK("https://klasma.github.io/Logging_2183/tillsynsmail/A 25524-2026 tillsynsbegäran mail.docx", "A 25524-2026")</f>
        <v/>
      </c>
      <c r="AE110">
        <f>HYPERLINK("https://klasma.github.io/Logging_2183/fåglar/A 25524-2026 prioriterade fågelarter.docx", "A 25524-2026")</f>
        <v/>
      </c>
    </row>
    <row r="111" ht="15" customHeight="1">
      <c r="A111" t="inlineStr">
        <is>
          <t>A 29934-2024</t>
        </is>
      </c>
      <c r="B111" t="inlineStr">
        <is>
          <t>avverkningsanmälan</t>
        </is>
      </c>
      <c r="C111" t="inlineStr">
        <is>
          <t>Föryngringsavverkning</t>
        </is>
      </c>
      <c r="D111" s="1" t="n">
        <v>45488</v>
      </c>
      <c r="E111" s="1" t="n">
        <v>46326</v>
      </c>
      <c r="F111" t="inlineStr">
        <is>
          <t>GÄVLEBORGS LÄN</t>
        </is>
      </c>
      <c r="G111" t="inlineStr">
        <is>
          <t>LJUSDAL</t>
        </is>
      </c>
      <c r="H111" t="inlineStr">
        <is>
          <t>Bergvik skog väst AB</t>
        </is>
      </c>
      <c r="I111" t="n">
        <v>13.9</v>
      </c>
      <c r="J111" t="n">
        <v>0</v>
      </c>
      <c r="K111" t="n">
        <v>2</v>
      </c>
      <c r="L111" t="n">
        <v>5</v>
      </c>
      <c r="M111" t="n">
        <v>1</v>
      </c>
      <c r="N111" t="n">
        <v>0</v>
      </c>
      <c r="O111" t="n">
        <v>0</v>
      </c>
      <c r="P111" t="n">
        <v>0</v>
      </c>
      <c r="Q111" t="n">
        <v>6</v>
      </c>
      <c r="R111" t="n">
        <v>1</v>
      </c>
      <c r="S111" t="n">
        <v>8</v>
      </c>
      <c r="T111" t="n">
        <v>22</v>
      </c>
      <c r="U111" t="n">
        <v>22</v>
      </c>
      <c r="V111" s="2" t="inlineStr">
        <is>
          <t>Garnlav
Dropptaggsvamp
Dvärgbägarlav
Kolflarnlav
Mörk kolflarnlav
Vedskivlav
Mindre märgborre
Skinnlav</t>
        </is>
      </c>
      <c r="W111">
        <f>HYPERLINK("https://klasma.github.io/Logging_2161/artfynd/A 29934-2024 artfynd.xlsx", "A 29934-2024")</f>
        <v/>
      </c>
      <c r="X111">
        <f>HYPERLINK("https://klasma.github.io/Logging_2161/kartor/A 29934-2024 karta.png", "A 29934-2024")</f>
        <v/>
      </c>
      <c r="Y111">
        <f>HYPERLINK("https://klasma.github.io/Logging_2161/kartor_geotiff/A 29934-2024 georefererad karta.tif", "A 29934-2024")</f>
        <v/>
      </c>
      <c r="AA111">
        <f>HYPERLINK("https://klasma.github.io/Logging_2161/klagomål/A 29934-2024 FSC-klagomål.docx", "A 29934-2024")</f>
        <v/>
      </c>
      <c r="AB111">
        <f>HYPERLINK("https://klasma.github.io/Logging_2161/klagomålsmail/A 29934-2024 FSC-klagomål mail.docx", "A 29934-2024")</f>
        <v/>
      </c>
      <c r="AC111">
        <f>HYPERLINK("https://klasma.github.io/Logging_2161/tillsyn/A 29934-2024 tillsynsbegäran.docx", "A 29934-2024")</f>
        <v/>
      </c>
      <c r="AD111">
        <f>HYPERLINK("https://klasma.github.io/Logging_2161/tillsynsmail/A 29934-2024 tillsynsbegäran mail.docx", "A 29934-2024")</f>
        <v/>
      </c>
    </row>
    <row r="112" ht="15" customHeight="1">
      <c r="A112" t="inlineStr">
        <is>
          <t>A 55773-2024</t>
        </is>
      </c>
      <c r="B112" t="inlineStr">
        <is>
          <t>avverkningsanmälan</t>
        </is>
      </c>
      <c r="C112" t="inlineStr">
        <is>
          <t>Föryngringsavverkning</t>
        </is>
      </c>
      <c r="D112" s="1" t="n">
        <v>45623</v>
      </c>
      <c r="E112" s="1" t="n">
        <v>46326</v>
      </c>
      <c r="F112" t="inlineStr">
        <is>
          <t>GÄVLEBORGS LÄN</t>
        </is>
      </c>
      <c r="G112" t="inlineStr">
        <is>
          <t>GÄVLE</t>
        </is>
      </c>
      <c r="H112" t="inlineStr">
        <is>
          <t>Bergvik skog öst AB</t>
        </is>
      </c>
      <c r="I112" t="n">
        <v>19.2</v>
      </c>
      <c r="J112" t="n">
        <v>1</v>
      </c>
      <c r="K112" t="n">
        <v>1</v>
      </c>
      <c r="L112" t="n">
        <v>5</v>
      </c>
      <c r="M112" t="n">
        <v>1</v>
      </c>
      <c r="N112" t="n">
        <v>1</v>
      </c>
      <c r="O112" t="n">
        <v>0</v>
      </c>
      <c r="P112" t="n">
        <v>0</v>
      </c>
      <c r="Q112" t="n">
        <v>7</v>
      </c>
      <c r="R112" t="n">
        <v>2</v>
      </c>
      <c r="S112" t="n">
        <v>8</v>
      </c>
      <c r="T112" t="n">
        <v>8</v>
      </c>
      <c r="U112" t="n">
        <v>0</v>
      </c>
      <c r="V112" s="2" t="inlineStr">
        <is>
          <t>Gyllenfingersvamp
Bredgentiana
Flattoppad klubbsvamp
Kryddspindling
Rutskinn
Sårläka
Vårärt
Underviol</t>
        </is>
      </c>
      <c r="W112">
        <f>HYPERLINK("https://klasma.github.io/Logging_2180/artfynd/A 55773-2024 artfynd.xlsx", "A 55773-2024")</f>
        <v/>
      </c>
      <c r="X112">
        <f>HYPERLINK("https://klasma.github.io/Logging_2180/kartor/A 55773-2024 karta.png", "A 55773-2024")</f>
        <v/>
      </c>
      <c r="Y112">
        <f>HYPERLINK("https://klasma.github.io/Logging_2180/kartor_geotiff/A 55773-2024 georefererad karta.tif", "A 55773-2024")</f>
        <v/>
      </c>
      <c r="AA112">
        <f>HYPERLINK("https://klasma.github.io/Logging_2180/klagomål/A 55773-2024 FSC-klagomål.docx", "A 55773-2024")</f>
        <v/>
      </c>
      <c r="AB112">
        <f>HYPERLINK("https://klasma.github.io/Logging_2180/klagomålsmail/A 55773-2024 FSC-klagomål mail.docx", "A 55773-2024")</f>
        <v/>
      </c>
      <c r="AC112">
        <f>HYPERLINK("https://klasma.github.io/Logging_2180/tillsyn/A 55773-2024 tillsynsbegäran.docx", "A 55773-2024")</f>
        <v/>
      </c>
      <c r="AD112">
        <f>HYPERLINK("https://klasma.github.io/Logging_2180/tillsynsmail/A 55773-2024 tillsynsbegäran mail.docx", "A 55773-2024")</f>
        <v/>
      </c>
    </row>
    <row r="113" ht="15" customHeight="1">
      <c r="A113" t="inlineStr">
        <is>
          <t>A 53691-2025</t>
        </is>
      </c>
      <c r="B113" t="inlineStr">
        <is>
          <t>avverkningsanmälan</t>
        </is>
      </c>
      <c r="C113" t="inlineStr">
        <is>
          <t>Föryngringsavverkning</t>
        </is>
      </c>
      <c r="D113" s="1" t="n">
        <v>45960</v>
      </c>
      <c r="E113" s="1" t="n">
        <v>46326</v>
      </c>
      <c r="F113" t="inlineStr">
        <is>
          <t>GÄVLEBORGS LÄN</t>
        </is>
      </c>
      <c r="G113" t="inlineStr">
        <is>
          <t>LJUSDAL</t>
        </is>
      </c>
      <c r="H113" t="inlineStr">
        <is>
          <t>Allmännings- och besparingsskogar</t>
        </is>
      </c>
      <c r="I113" t="n">
        <v>3.9</v>
      </c>
      <c r="J113" t="n">
        <v>1</v>
      </c>
      <c r="K113" t="n">
        <v>1</v>
      </c>
      <c r="L113" t="n">
        <v>6</v>
      </c>
      <c r="M113" t="n">
        <v>1</v>
      </c>
      <c r="N113" t="n">
        <v>0</v>
      </c>
      <c r="O113" t="n">
        <v>0</v>
      </c>
      <c r="P113" t="n">
        <v>0</v>
      </c>
      <c r="Q113" t="n">
        <v>7</v>
      </c>
      <c r="R113" t="n">
        <v>1</v>
      </c>
      <c r="S113" t="n">
        <v>8</v>
      </c>
      <c r="T113" t="n">
        <v>25</v>
      </c>
      <c r="U113" t="n">
        <v>25</v>
      </c>
      <c r="V113" s="2" t="inlineStr">
        <is>
          <t>Garnlav
Kolflarnlav
Mörk kolflarnlav
Tretåig hackspett
Vedflamlav
Vedskivlav
Violettgrå tagellav
Nästlav</t>
        </is>
      </c>
      <c r="W113">
        <f>HYPERLINK("https://klasma.github.io/Logging_2161/artfynd/A 53691-2025 artfynd.xlsx", "A 53691-2025")</f>
        <v/>
      </c>
      <c r="X113">
        <f>HYPERLINK("https://klasma.github.io/Logging_2161/kartor/A 53691-2025 karta.png", "A 53691-2025")</f>
        <v/>
      </c>
      <c r="Y113">
        <f>HYPERLINK("https://klasma.github.io/Logging_2161/kartor_geotiff/A 53691-2025 georefererad karta.tif", "A 53691-2025")</f>
        <v/>
      </c>
      <c r="AA113">
        <f>HYPERLINK("https://klasma.github.io/Logging_2161/klagomål/A 53691-2025 FSC-klagomål.docx", "A 53691-2025")</f>
        <v/>
      </c>
      <c r="AB113">
        <f>HYPERLINK("https://klasma.github.io/Logging_2161/klagomålsmail/A 53691-2025 FSC-klagomål mail.docx", "A 53691-2025")</f>
        <v/>
      </c>
      <c r="AC113">
        <f>HYPERLINK("https://klasma.github.io/Logging_2161/tillsyn/A 53691-2025 tillsynsbegäran.docx", "A 53691-2025")</f>
        <v/>
      </c>
      <c r="AD113">
        <f>HYPERLINK("https://klasma.github.io/Logging_2161/tillsynsmail/A 53691-2025 tillsynsbegäran mail.docx", "A 53691-2025")</f>
        <v/>
      </c>
      <c r="AE113">
        <f>HYPERLINK("https://klasma.github.io/Logging_2161/fåglar/A 53691-2025 prioriterade fågelarter.docx", "A 53691-2025")</f>
        <v/>
      </c>
    </row>
    <row r="114" ht="15" customHeight="1">
      <c r="A114" t="inlineStr">
        <is>
          <t>A 11868-2026</t>
        </is>
      </c>
      <c r="B114" t="inlineStr">
        <is>
          <t>avverkningsanmälan</t>
        </is>
      </c>
      <c r="C114" t="inlineStr">
        <is>
          <t>Föryngringsavverkning</t>
        </is>
      </c>
      <c r="D114" s="1" t="n">
        <v>46085</v>
      </c>
      <c r="E114" s="1" t="n">
        <v>46326</v>
      </c>
      <c r="F114" t="inlineStr">
        <is>
          <t>GÄVLEBORGS LÄN</t>
        </is>
      </c>
      <c r="G114" t="inlineStr">
        <is>
          <t>HOFORS</t>
        </is>
      </c>
      <c r="I114" t="n">
        <v>1.1</v>
      </c>
      <c r="J114" t="n">
        <v>0</v>
      </c>
      <c r="K114" t="n">
        <v>3</v>
      </c>
      <c r="L114" t="n">
        <v>4</v>
      </c>
      <c r="M114" t="n">
        <v>0</v>
      </c>
      <c r="N114" t="n">
        <v>1</v>
      </c>
      <c r="O114" t="n">
        <v>0</v>
      </c>
      <c r="P114" t="n">
        <v>0</v>
      </c>
      <c r="Q114" t="n">
        <v>5</v>
      </c>
      <c r="R114" t="n">
        <v>1</v>
      </c>
      <c r="S114" t="n">
        <v>8</v>
      </c>
      <c r="T114" t="n">
        <v>10</v>
      </c>
      <c r="U114" t="n">
        <v>0</v>
      </c>
      <c r="V114" s="2" t="inlineStr">
        <is>
          <t>Koppartaggsvamp
Dropptaggsvamp
Fjällig taggsvamp s.str.
Flattoppad klubbsvamp
Gultoppig fingersvamp
Svavelriska
Trådticka
Zontaggsvamp</t>
        </is>
      </c>
      <c r="W114">
        <f>HYPERLINK("https://klasma.github.io/Logging_2104/artfynd/A 11868-2026 artfynd.xlsx", "A 11868-2026")</f>
        <v/>
      </c>
      <c r="X114">
        <f>HYPERLINK("https://klasma.github.io/Logging_2104/kartor/A 11868-2026 karta.png", "A 11868-2026")</f>
        <v/>
      </c>
      <c r="Y114">
        <f>HYPERLINK("https://klasma.github.io/Logging_2104/kartor_geotiff/A 11868-2026 georefererad karta.tif", "A 11868-2026")</f>
        <v/>
      </c>
      <c r="AA114">
        <f>HYPERLINK("https://klasma.github.io/Logging_2104/klagomål/A 11868-2026 FSC-klagomål.docx", "A 11868-2026")</f>
        <v/>
      </c>
      <c r="AB114">
        <f>HYPERLINK("https://klasma.github.io/Logging_2104/klagomålsmail/A 11868-2026 FSC-klagomål mail.docx", "A 11868-2026")</f>
        <v/>
      </c>
      <c r="AC114">
        <f>HYPERLINK("https://klasma.github.io/Logging_2104/tillsyn/A 11868-2026 tillsynsbegäran.docx", "A 11868-2026")</f>
        <v/>
      </c>
      <c r="AD114">
        <f>HYPERLINK("https://klasma.github.io/Logging_2104/tillsynsmail/A 11868-2026 tillsynsbegäran mail.docx", "A 11868-2026")</f>
        <v/>
      </c>
    </row>
    <row r="115" ht="15" customHeight="1">
      <c r="A115" t="inlineStr">
        <is>
          <t>A 35941-2026</t>
        </is>
      </c>
      <c r="B115" t="inlineStr">
        <is>
          <t>avverkningsanmälan</t>
        </is>
      </c>
      <c r="C115" t="inlineStr">
        <is>
          <t>Föryngringsavverkning</t>
        </is>
      </c>
      <c r="D115" s="1" t="n">
        <v>46266</v>
      </c>
      <c r="E115" s="1" t="n">
        <v>46326</v>
      </c>
      <c r="F115" t="inlineStr">
        <is>
          <t>GÄVLEBORGS LÄN</t>
        </is>
      </c>
      <c r="G115" t="inlineStr">
        <is>
          <t>HOFORS</t>
        </is>
      </c>
      <c r="I115" t="n">
        <v>8.699999999999999</v>
      </c>
      <c r="J115" t="n">
        <v>4</v>
      </c>
      <c r="K115" t="n">
        <v>1</v>
      </c>
      <c r="L115" t="n">
        <v>1</v>
      </c>
      <c r="M115" t="n">
        <v>3</v>
      </c>
      <c r="N115" t="n">
        <v>0</v>
      </c>
      <c r="O115" t="n">
        <v>0</v>
      </c>
      <c r="P115" t="n">
        <v>0</v>
      </c>
      <c r="Q115" t="n">
        <v>4</v>
      </c>
      <c r="R115" t="n">
        <v>3</v>
      </c>
      <c r="S115" t="n">
        <v>8</v>
      </c>
      <c r="T115" t="n">
        <v>17</v>
      </c>
      <c r="U115" t="n">
        <v>4</v>
      </c>
      <c r="V115" s="2" t="inlineStr">
        <is>
          <t>Gränsticka
Knärot
Väddnätfjäril
Ullticka
Vedticka
Kransmossa
Fläcknycklar
Revlummer</t>
        </is>
      </c>
      <c r="W115">
        <f>HYPERLINK("https://klasma.github.io/Logging_2104/artfynd/A 35941-2026 artfynd.xlsx", "A 35941-2026")</f>
        <v/>
      </c>
      <c r="X115">
        <f>HYPERLINK("https://klasma.github.io/Logging_2104/kartor/A 35941-2026 karta.png", "A 35941-2026")</f>
        <v/>
      </c>
      <c r="Y115">
        <f>HYPERLINK("https://klasma.github.io/Logging_2104/kartor_geotiff/A 35941-2026 georefererad karta.tif", "A 35941-2026")</f>
        <v/>
      </c>
      <c r="Z115">
        <f>HYPERLINK("https://klasma.github.io/Logging_2104/knärot/A 35941-2026 karta knärot.png", "A 35941-2026")</f>
        <v/>
      </c>
      <c r="AA115">
        <f>HYPERLINK("https://klasma.github.io/Logging_2104/klagomål/A 35941-2026 FSC-klagomål.docx", "A 35941-2026")</f>
        <v/>
      </c>
      <c r="AB115">
        <f>HYPERLINK("https://klasma.github.io/Logging_2104/klagomålsmail/A 35941-2026 FSC-klagomål mail.docx", "A 35941-2026")</f>
        <v/>
      </c>
      <c r="AC115">
        <f>HYPERLINK("https://klasma.github.io/Logging_2104/tillsyn/A 35941-2026 tillsynsbegäran.docx", "A 35941-2026")</f>
        <v/>
      </c>
      <c r="AD115">
        <f>HYPERLINK("https://klasma.github.io/Logging_2104/tillsynsmail/A 35941-2026 tillsynsbegäran mail.docx", "A 35941-2026")</f>
        <v/>
      </c>
    </row>
    <row r="116" ht="15" customHeight="1">
      <c r="A116" t="inlineStr">
        <is>
          <t>A 37022-2026</t>
        </is>
      </c>
      <c r="B116" t="inlineStr">
        <is>
          <t>avverkningsanmälan</t>
        </is>
      </c>
      <c r="C116" t="inlineStr">
        <is>
          <t>Föryngringsavverkning</t>
        </is>
      </c>
      <c r="D116" s="1" t="n">
        <v>46273</v>
      </c>
      <c r="E116" s="1" t="n">
        <v>46326</v>
      </c>
      <c r="F116" t="inlineStr">
        <is>
          <t>GÄVLEBORGS LÄN</t>
        </is>
      </c>
      <c r="G116" t="inlineStr">
        <is>
          <t>LJUSDAL</t>
        </is>
      </c>
      <c r="H116" t="inlineStr">
        <is>
          <t>Holmen skog AB</t>
        </is>
      </c>
      <c r="I116" t="n">
        <v>6.7</v>
      </c>
      <c r="J116" t="n">
        <v>0</v>
      </c>
      <c r="K116" t="n">
        <v>1</v>
      </c>
      <c r="L116" t="n">
        <v>6</v>
      </c>
      <c r="M116" t="n">
        <v>1</v>
      </c>
      <c r="N116" t="n">
        <v>0</v>
      </c>
      <c r="O116" t="n">
        <v>0</v>
      </c>
      <c r="P116" t="n">
        <v>0</v>
      </c>
      <c r="Q116" t="n">
        <v>7</v>
      </c>
      <c r="R116" t="n">
        <v>1</v>
      </c>
      <c r="S116" t="n">
        <v>8</v>
      </c>
      <c r="T116" t="n">
        <v>18</v>
      </c>
      <c r="U116" t="n">
        <v>0</v>
      </c>
      <c r="V116" s="2" t="inlineStr">
        <is>
          <t>Garnlav
Kolflarnlav
Kortskaftad ärgspik
Lunglav
Vedskivlav
Violettgrå tagellav
Vitgrynig nållav
Vedticka</t>
        </is>
      </c>
      <c r="W116">
        <f>HYPERLINK("https://klasma.github.io/Logging_2161/artfynd/A 37022-2026 artfynd.xlsx", "A 37022-2026")</f>
        <v/>
      </c>
      <c r="X116">
        <f>HYPERLINK("https://klasma.github.io/Logging_2161/kartor/A 37022-2026 karta.png", "A 37022-2026")</f>
        <v/>
      </c>
      <c r="Y116">
        <f>HYPERLINK("https://klasma.github.io/Logging_2161/kartor_geotiff/A 37022-2026 georefererad karta.tif", "A 37022-2026")</f>
        <v/>
      </c>
      <c r="AA116">
        <f>HYPERLINK("https://klasma.github.io/Logging_2161/klagomål/A 37022-2026 FSC-klagomål.docx", "A 37022-2026")</f>
        <v/>
      </c>
      <c r="AB116">
        <f>HYPERLINK("https://klasma.github.io/Logging_2161/klagomålsmail/A 37022-2026 FSC-klagomål mail.docx", "A 37022-2026")</f>
        <v/>
      </c>
      <c r="AC116">
        <f>HYPERLINK("https://klasma.github.io/Logging_2161/tillsyn/A 37022-2026 tillsynsbegäran.docx", "A 37022-2026")</f>
        <v/>
      </c>
      <c r="AD116">
        <f>HYPERLINK("https://klasma.github.io/Logging_2161/tillsynsmail/A 37022-2026 tillsynsbegäran mail.docx", "A 37022-2026")</f>
        <v/>
      </c>
    </row>
    <row r="117" ht="15" customHeight="1">
      <c r="A117" t="inlineStr">
        <is>
          <t>A 37575-2026</t>
        </is>
      </c>
      <c r="B117" t="inlineStr">
        <is>
          <t>avverkningsanmälan</t>
        </is>
      </c>
      <c r="C117" t="inlineStr">
        <is>
          <t>Föryngringsavverkning</t>
        </is>
      </c>
      <c r="D117" s="1" t="n">
        <v>46276</v>
      </c>
      <c r="E117" s="1" t="n">
        <v>46326</v>
      </c>
      <c r="F117" t="inlineStr">
        <is>
          <t>GÄVLEBORGS LÄN</t>
        </is>
      </c>
      <c r="G117" t="inlineStr">
        <is>
          <t>LJUSDAL</t>
        </is>
      </c>
      <c r="H117" t="inlineStr">
        <is>
          <t>Allmännings- och besparingsskogar</t>
        </is>
      </c>
      <c r="I117" t="n">
        <v>5.7</v>
      </c>
      <c r="J117" t="n">
        <v>3</v>
      </c>
      <c r="K117" t="n">
        <v>0</v>
      </c>
      <c r="L117" t="n">
        <v>5</v>
      </c>
      <c r="M117" t="n">
        <v>1</v>
      </c>
      <c r="N117" t="n">
        <v>0</v>
      </c>
      <c r="O117" t="n">
        <v>0</v>
      </c>
      <c r="P117" t="n">
        <v>0</v>
      </c>
      <c r="Q117" t="n">
        <v>6</v>
      </c>
      <c r="R117" t="n">
        <v>1</v>
      </c>
      <c r="S117" t="n">
        <v>8</v>
      </c>
      <c r="T117" t="n">
        <v>18</v>
      </c>
      <c r="U117" t="n">
        <v>18</v>
      </c>
      <c r="V117" s="2" t="inlineStr">
        <is>
          <t>Garnlav
Doftskinn
Kolflarnlav
Lunglav
Skrovellav
Talltita
Spillkråka
Tjäder</t>
        </is>
      </c>
      <c r="W117">
        <f>HYPERLINK("https://klasma.github.io/Logging_2161/artfynd/A 37575-2026 artfynd.xlsx", "A 37575-2026")</f>
        <v/>
      </c>
      <c r="X117">
        <f>HYPERLINK("https://klasma.github.io/Logging_2161/kartor/A 37575-2026 karta.png", "A 37575-2026")</f>
        <v/>
      </c>
      <c r="Y117">
        <f>HYPERLINK("https://klasma.github.io/Logging_2161/kartor_geotiff/A 37575-2026 georefererad karta.tif", "A 37575-2026")</f>
        <v/>
      </c>
      <c r="AA117">
        <f>HYPERLINK("https://klasma.github.io/Logging_2161/klagomål/A 37575-2026 FSC-klagomål.docx", "A 37575-2026")</f>
        <v/>
      </c>
      <c r="AB117">
        <f>HYPERLINK("https://klasma.github.io/Logging_2161/klagomålsmail/A 37575-2026 FSC-klagomål mail.docx", "A 37575-2026")</f>
        <v/>
      </c>
      <c r="AC117">
        <f>HYPERLINK("https://klasma.github.io/Logging_2161/tillsyn/A 37575-2026 tillsynsbegäran.docx", "A 37575-2026")</f>
        <v/>
      </c>
      <c r="AD117">
        <f>HYPERLINK("https://klasma.github.io/Logging_2161/tillsynsmail/A 37575-2026 tillsynsbegäran mail.docx", "A 37575-2026")</f>
        <v/>
      </c>
      <c r="AE117">
        <f>HYPERLINK("https://klasma.github.io/Logging_2161/fåglar/A 37575-2026 prioriterade fågelarter.docx", "A 37575-2026")</f>
        <v/>
      </c>
    </row>
    <row r="118" ht="15" customHeight="1">
      <c r="A118" t="inlineStr">
        <is>
          <t>A 38642-2026</t>
        </is>
      </c>
      <c r="B118" t="inlineStr">
        <is>
          <t>avverkningsanmälan</t>
        </is>
      </c>
      <c r="C118" t="inlineStr">
        <is>
          <t>Avverkning för annat ändamål</t>
        </is>
      </c>
      <c r="D118" s="1" t="n">
        <v>46283</v>
      </c>
      <c r="E118" s="1" t="n">
        <v>46326</v>
      </c>
      <c r="F118" t="inlineStr">
        <is>
          <t>GÄVLEBORGS LÄN</t>
        </is>
      </c>
      <c r="G118" t="inlineStr">
        <is>
          <t>LJUSDAL</t>
        </is>
      </c>
      <c r="H118" t="inlineStr">
        <is>
          <t>Sveaskog</t>
        </is>
      </c>
      <c r="I118" t="n">
        <v>1.1</v>
      </c>
      <c r="J118" t="n">
        <v>4</v>
      </c>
      <c r="K118" t="n">
        <v>1</v>
      </c>
      <c r="L118" t="n">
        <v>4</v>
      </c>
      <c r="M118" t="n">
        <v>2</v>
      </c>
      <c r="N118" t="n">
        <v>0</v>
      </c>
      <c r="O118" t="n">
        <v>0</v>
      </c>
      <c r="P118" t="n">
        <v>0</v>
      </c>
      <c r="Q118" t="n">
        <v>6</v>
      </c>
      <c r="R118" t="n">
        <v>2</v>
      </c>
      <c r="S118" t="n">
        <v>8</v>
      </c>
      <c r="T118" t="n">
        <v>9</v>
      </c>
      <c r="U118" t="n">
        <v>9</v>
      </c>
      <c r="V118" s="2" t="inlineStr">
        <is>
          <t>Knärot
Smalfotad taggsvamp
Dropptaggsvamp
Nordtagging
Skarp dropptaggsvamp
Talltita
Plattlummer
Tjäder</t>
        </is>
      </c>
      <c r="W118">
        <f>HYPERLINK("https://klasma.github.io/Logging_2161/artfynd/A 38642-2026 artfynd.xlsx", "A 38642-2026")</f>
        <v/>
      </c>
      <c r="X118">
        <f>HYPERLINK("https://klasma.github.io/Logging_2161/kartor/A 38642-2026 karta.png", "A 38642-2026")</f>
        <v/>
      </c>
      <c r="Y118">
        <f>HYPERLINK("https://klasma.github.io/Logging_2161/kartor_geotiff/A 38642-2026 georefererad karta.tif", "A 38642-2026")</f>
        <v/>
      </c>
      <c r="Z118">
        <f>HYPERLINK("https://klasma.github.io/Logging_2161/knärot/A 38642-2026 karta knärot.png", "A 38642-2026")</f>
        <v/>
      </c>
      <c r="AA118">
        <f>HYPERLINK("https://klasma.github.io/Logging_2161/klagomål/A 38642-2026 FSC-klagomål.docx", "A 38642-2026")</f>
        <v/>
      </c>
      <c r="AB118">
        <f>HYPERLINK("https://klasma.github.io/Logging_2161/klagomålsmail/A 38642-2026 FSC-klagomål mail.docx", "A 38642-2026")</f>
        <v/>
      </c>
      <c r="AC118">
        <f>HYPERLINK("https://klasma.github.io/Logging_2161/tillsyn/A 38642-2026 tillsynsbegäran.docx", "A 38642-2026")</f>
        <v/>
      </c>
      <c r="AD118">
        <f>HYPERLINK("https://klasma.github.io/Logging_2161/tillsynsmail/A 38642-2026 tillsynsbegäran mail.docx", "A 38642-2026")</f>
        <v/>
      </c>
      <c r="AE118">
        <f>HYPERLINK("https://klasma.github.io/Logging_2161/fåglar/A 38642-2026 prioriterade fågelarter.docx", "A 38642-2026")</f>
        <v/>
      </c>
    </row>
    <row r="119" ht="15" customHeight="1">
      <c r="A119" t="inlineStr">
        <is>
          <t>S 376-2023</t>
        </is>
      </c>
      <c r="B119" t="inlineStr">
        <is>
          <t>samrådsanmälan</t>
        </is>
      </c>
      <c r="C119" t="inlineStr">
        <is>
          <t>Skogsgödsling</t>
        </is>
      </c>
      <c r="D119" s="1" t="n">
        <v>44959</v>
      </c>
      <c r="E119" s="1" t="n">
        <v>46326</v>
      </c>
      <c r="F119" t="inlineStr">
        <is>
          <t>GÄVLEBORGS LÄN</t>
        </is>
      </c>
      <c r="G119" t="inlineStr">
        <is>
          <t>LJUSDAL</t>
        </is>
      </c>
      <c r="H119" t="inlineStr">
        <is>
          <t>Holmen skog AB</t>
        </is>
      </c>
      <c r="I119" t="n">
        <v>136.2</v>
      </c>
      <c r="J119" t="n">
        <v>2</v>
      </c>
      <c r="K119" t="n">
        <v>3</v>
      </c>
      <c r="L119" t="n">
        <v>3</v>
      </c>
      <c r="M119" t="n">
        <v>1</v>
      </c>
      <c r="N119" t="n">
        <v>0</v>
      </c>
      <c r="O119" t="n">
        <v>0</v>
      </c>
      <c r="P119" t="n">
        <v>0</v>
      </c>
      <c r="Q119" t="n">
        <v>4</v>
      </c>
      <c r="R119" t="n">
        <v>1</v>
      </c>
      <c r="S119" t="n">
        <v>8</v>
      </c>
      <c r="T119" t="n">
        <v>10</v>
      </c>
      <c r="U119" t="n">
        <v>0</v>
      </c>
      <c r="V119" s="2" t="inlineStr">
        <is>
          <t>Garnlav
Gammelgransskål
Lunglav
Ullticka
Bronshjon
Plattlummer
Stuplav
Revlummer</t>
        </is>
      </c>
      <c r="W119">
        <f>HYPERLINK("https://klasma.github.io/Logging_2161/artfynd/S 376-2023 artfynd.xlsx", "S 376-2023")</f>
        <v/>
      </c>
      <c r="X119">
        <f>HYPERLINK("https://klasma.github.io/Logging_2161/kartor/S 376-2023 karta.png", "S 376-2023")</f>
        <v/>
      </c>
      <c r="Y119">
        <f>HYPERLINK("https://klasma.github.io/Logging_2161/kartor_geotiff/S 376-2023 georefererad karta.tif", "S 376-2023")</f>
        <v/>
      </c>
      <c r="AA119">
        <f>HYPERLINK("https://klasma.github.io/Logging_2161/klagomål/S 376-2023 FSC-klagomål.docx", "S 376-2023")</f>
        <v/>
      </c>
      <c r="AB119">
        <f>HYPERLINK("https://klasma.github.io/Logging_2161/klagomålsmail/S 376-2023 FSC-klagomål mail.docx", "S 376-2023")</f>
        <v/>
      </c>
      <c r="AC119">
        <f>HYPERLINK("https://klasma.github.io/Logging_2161/tillsyn/S 376-2023 tillsynsbegäran.docx", "S 376-2023")</f>
        <v/>
      </c>
      <c r="AD119">
        <f>HYPERLINK("https://klasma.github.io/Logging_2161/tillsynsmail/S 376-2023 tillsynsbegäran mail.docx", "S 376-2023")</f>
        <v/>
      </c>
    </row>
    <row r="120" ht="15" customHeight="1">
      <c r="A120" t="inlineStr">
        <is>
          <t>S 643-2025</t>
        </is>
      </c>
      <c r="B120" t="inlineStr">
        <is>
          <t>samrådsanmälan</t>
        </is>
      </c>
      <c r="C120" t="inlineStr">
        <is>
          <t>Skogsgödsling</t>
        </is>
      </c>
      <c r="D120" s="1" t="n">
        <v>45714</v>
      </c>
      <c r="E120" s="1" t="n">
        <v>46326</v>
      </c>
      <c r="F120" t="inlineStr">
        <is>
          <t>GÄVLEBORGS LÄN</t>
        </is>
      </c>
      <c r="G120" t="inlineStr">
        <is>
          <t>LJUSDAL</t>
        </is>
      </c>
      <c r="H120" t="inlineStr">
        <is>
          <t>Sveaskog</t>
        </is>
      </c>
      <c r="I120" t="n">
        <v>333.8</v>
      </c>
      <c r="J120" t="n">
        <v>4</v>
      </c>
      <c r="K120" t="n">
        <v>2</v>
      </c>
      <c r="L120" t="n">
        <v>4</v>
      </c>
      <c r="M120" t="n">
        <v>1</v>
      </c>
      <c r="N120" t="n">
        <v>0</v>
      </c>
      <c r="O120" t="n">
        <v>0</v>
      </c>
      <c r="P120" t="n">
        <v>0</v>
      </c>
      <c r="Q120" t="n">
        <v>5</v>
      </c>
      <c r="R120" t="n">
        <v>1</v>
      </c>
      <c r="S120" t="n">
        <v>8</v>
      </c>
      <c r="T120" t="n">
        <v>14</v>
      </c>
      <c r="U120" t="n">
        <v>5</v>
      </c>
      <c r="V120" s="2" t="inlineStr">
        <is>
          <t>Knärot
Dvärgbägarlav
Kolflarnlav
Mörk kolflarnlav
Tretåig hackspett
Plattlummer
Skinnlav
Tjäder</t>
        </is>
      </c>
      <c r="W120">
        <f>HYPERLINK("https://klasma.github.io/Logging_2161/artfynd/S 643-2025 artfynd.xlsx", "S 643-2025")</f>
        <v/>
      </c>
      <c r="X120">
        <f>HYPERLINK("https://klasma.github.io/Logging_2161/kartor/S 643-2025 karta.png", "S 643-2025")</f>
        <v/>
      </c>
      <c r="Y120">
        <f>HYPERLINK("https://klasma.github.io/Logging_2161/kartor_geotiff/S 643-2025 georefererad karta.tif", "S 643-2025")</f>
        <v/>
      </c>
      <c r="Z120">
        <f>HYPERLINK("https://klasma.github.io/Logging_2161/knärot/S 643-2025 karta knärot.png", "S 643-2025")</f>
        <v/>
      </c>
      <c r="AA120">
        <f>HYPERLINK("https://klasma.github.io/Logging_2161/klagomål/S 643-2025 FSC-klagomål.docx", "S 643-2025")</f>
        <v/>
      </c>
      <c r="AB120">
        <f>HYPERLINK("https://klasma.github.io/Logging_2161/klagomålsmail/S 643-2025 FSC-klagomål mail.docx", "S 643-2025")</f>
        <v/>
      </c>
      <c r="AC120">
        <f>HYPERLINK("https://klasma.github.io/Logging_2161/tillsyn/S 643-2025 tillsynsbegäran.docx", "S 643-2025")</f>
        <v/>
      </c>
      <c r="AD120">
        <f>HYPERLINK("https://klasma.github.io/Logging_2161/tillsynsmail/S 643-2025 tillsynsbegäran mail.docx", "S 643-2025")</f>
        <v/>
      </c>
      <c r="AE120">
        <f>HYPERLINK("https://klasma.github.io/Logging_2161/fåglar/S 643-2025 prioriterade fågelarter.docx", "S 643-2025")</f>
        <v/>
      </c>
    </row>
    <row r="121" ht="15" customHeight="1">
      <c r="A121" t="inlineStr">
        <is>
          <t>A 55253-2022</t>
        </is>
      </c>
      <c r="B121" t="inlineStr">
        <is>
          <t>avverkningsanmälan</t>
        </is>
      </c>
      <c r="C121" t="inlineStr">
        <is>
          <t>Föryngringsavverkning</t>
        </is>
      </c>
      <c r="D121" s="1" t="n">
        <v>44887</v>
      </c>
      <c r="E121" s="1" t="n">
        <v>46326</v>
      </c>
      <c r="F121" t="inlineStr">
        <is>
          <t>GÄVLEBORGS LÄN</t>
        </is>
      </c>
      <c r="G121" t="inlineStr">
        <is>
          <t>HUDIKSVALL</t>
        </is>
      </c>
      <c r="H121" t="inlineStr">
        <is>
          <t>Holmen skog AB</t>
        </is>
      </c>
      <c r="I121" t="n">
        <v>5.1</v>
      </c>
      <c r="J121" t="n">
        <v>2</v>
      </c>
      <c r="K121" t="n">
        <v>0</v>
      </c>
      <c r="L121" t="n">
        <v>5</v>
      </c>
      <c r="M121" t="n">
        <v>2</v>
      </c>
      <c r="N121" t="n">
        <v>0</v>
      </c>
      <c r="O121" t="n">
        <v>0</v>
      </c>
      <c r="P121" t="n">
        <v>0</v>
      </c>
      <c r="Q121" t="n">
        <v>7</v>
      </c>
      <c r="R121" t="n">
        <v>2</v>
      </c>
      <c r="S121" t="n">
        <v>7</v>
      </c>
      <c r="T121" t="n">
        <v>8</v>
      </c>
      <c r="U121" t="n">
        <v>8</v>
      </c>
      <c r="V121" s="2" t="inlineStr">
        <is>
          <t>Garnlav
Knärot
Bivråk
Rosenticka
Rynkskinn
Ullticka
Vedtrappmossa</t>
        </is>
      </c>
      <c r="W121">
        <f>HYPERLINK("https://klasma.github.io/Logging_2184/artfynd/A 55253-2022 artfynd.xlsx", "A 55253-2022")</f>
        <v/>
      </c>
      <c r="X121">
        <f>HYPERLINK("https://klasma.github.io/Logging_2184/kartor/A 55253-2022 karta.png", "A 55253-2022")</f>
        <v/>
      </c>
      <c r="Y121">
        <f>HYPERLINK("https://klasma.github.io/Logging_2184/kartor_geotiff/A 55253-2022 georefererad karta.tif", "A 55253-2022")</f>
        <v/>
      </c>
      <c r="Z121">
        <f>HYPERLINK("https://klasma.github.io/Logging_2184/knärot/A 55253-2022 karta knärot.png", "A 55253-2022")</f>
        <v/>
      </c>
      <c r="AA121">
        <f>HYPERLINK("https://klasma.github.io/Logging_2184/klagomål/A 55253-2022 FSC-klagomål.docx", "A 55253-2022")</f>
        <v/>
      </c>
      <c r="AB121">
        <f>HYPERLINK("https://klasma.github.io/Logging_2184/klagomålsmail/A 55253-2022 FSC-klagomål mail.docx", "A 55253-2022")</f>
        <v/>
      </c>
      <c r="AC121">
        <f>HYPERLINK("https://klasma.github.io/Logging_2184/tillsyn/A 55253-2022 tillsynsbegäran.docx", "A 55253-2022")</f>
        <v/>
      </c>
      <c r="AD121">
        <f>HYPERLINK("https://klasma.github.io/Logging_2184/tillsynsmail/A 55253-2022 tillsynsbegäran mail.docx", "A 55253-2022")</f>
        <v/>
      </c>
      <c r="AE121">
        <f>HYPERLINK("https://klasma.github.io/Logging_2184/fåglar/A 55253-2022 prioriterade fågelarter.docx", "A 55253-2022")</f>
        <v/>
      </c>
    </row>
    <row r="122" ht="15" customHeight="1">
      <c r="A122" t="inlineStr">
        <is>
          <t>A 26489-2025</t>
        </is>
      </c>
      <c r="B122" t="inlineStr">
        <is>
          <t>avverkningsanmälan</t>
        </is>
      </c>
      <c r="C122" t="inlineStr">
        <is>
          <t>Föryngringsavverkning</t>
        </is>
      </c>
      <c r="D122" s="1" t="n">
        <v>45807</v>
      </c>
      <c r="E122" s="1" t="n">
        <v>46326</v>
      </c>
      <c r="F122" t="inlineStr">
        <is>
          <t>GÄVLEBORGS LÄN</t>
        </is>
      </c>
      <c r="G122" t="inlineStr">
        <is>
          <t>LJUSDAL</t>
        </is>
      </c>
      <c r="I122" t="n">
        <v>14.8</v>
      </c>
      <c r="J122" t="n">
        <v>3</v>
      </c>
      <c r="K122" t="n">
        <v>1</v>
      </c>
      <c r="L122" t="n">
        <v>2</v>
      </c>
      <c r="M122" t="n">
        <v>1</v>
      </c>
      <c r="N122" t="n">
        <v>0</v>
      </c>
      <c r="O122" t="n">
        <v>0</v>
      </c>
      <c r="P122" t="n">
        <v>0</v>
      </c>
      <c r="Q122" t="n">
        <v>3</v>
      </c>
      <c r="R122" t="n">
        <v>1</v>
      </c>
      <c r="S122" t="n">
        <v>7</v>
      </c>
      <c r="T122" t="n">
        <v>9</v>
      </c>
      <c r="U122" t="n">
        <v>0</v>
      </c>
      <c r="V122" s="2" t="inlineStr">
        <is>
          <t>Garnlav
Gammelgransskål
Lunglav
Luddlav
Kungsfågel
Fläcknycklar
Revlummer</t>
        </is>
      </c>
      <c r="W122">
        <f>HYPERLINK("https://klasma.github.io/Logging_2161/artfynd/A 26489-2025 artfynd.xlsx", "A 26489-2025")</f>
        <v/>
      </c>
      <c r="X122">
        <f>HYPERLINK("https://klasma.github.io/Logging_2161/kartor/A 26489-2025 karta.png", "A 26489-2025")</f>
        <v/>
      </c>
      <c r="Y122">
        <f>HYPERLINK("https://klasma.github.io/Logging_2161/kartor_geotiff/A 26489-2025 georefererad karta.tif", "A 26489-2025")</f>
        <v/>
      </c>
      <c r="AA122">
        <f>HYPERLINK("https://klasma.github.io/Logging_2161/klagomål/A 26489-2025 FSC-klagomål.docx", "A 26489-2025")</f>
        <v/>
      </c>
      <c r="AB122">
        <f>HYPERLINK("https://klasma.github.io/Logging_2161/klagomålsmail/A 26489-2025 FSC-klagomål mail.docx", "A 26489-2025")</f>
        <v/>
      </c>
      <c r="AC122">
        <f>HYPERLINK("https://klasma.github.io/Logging_2161/tillsyn/A 26489-2025 tillsynsbegäran.docx", "A 26489-2025")</f>
        <v/>
      </c>
      <c r="AD122">
        <f>HYPERLINK("https://klasma.github.io/Logging_2161/tillsynsmail/A 26489-2025 tillsynsbegäran mail.docx", "A 26489-2025")</f>
        <v/>
      </c>
    </row>
    <row r="123" ht="15" customHeight="1">
      <c r="A123" t="inlineStr">
        <is>
          <t>A 40143-2025</t>
        </is>
      </c>
      <c r="B123" t="inlineStr">
        <is>
          <t>avverkningsanmälan</t>
        </is>
      </c>
      <c r="C123" t="inlineStr">
        <is>
          <t>Föryngringsavverkning</t>
        </is>
      </c>
      <c r="D123" s="1" t="n">
        <v>45894</v>
      </c>
      <c r="E123" s="1" t="n">
        <v>46326</v>
      </c>
      <c r="F123" t="inlineStr">
        <is>
          <t>GÄVLEBORGS LÄN</t>
        </is>
      </c>
      <c r="G123" t="inlineStr">
        <is>
          <t>LJUSDAL</t>
        </is>
      </c>
      <c r="H123" t="inlineStr">
        <is>
          <t>Sveaskog</t>
        </is>
      </c>
      <c r="I123" t="n">
        <v>7.3</v>
      </c>
      <c r="J123" t="n">
        <v>2</v>
      </c>
      <c r="K123" t="n">
        <v>1</v>
      </c>
      <c r="L123" t="n">
        <v>4</v>
      </c>
      <c r="M123" t="n">
        <v>1</v>
      </c>
      <c r="N123" t="n">
        <v>0</v>
      </c>
      <c r="O123" t="n">
        <v>0</v>
      </c>
      <c r="P123" t="n">
        <v>0</v>
      </c>
      <c r="Q123" t="n">
        <v>5</v>
      </c>
      <c r="R123" t="n">
        <v>1</v>
      </c>
      <c r="S123" t="n">
        <v>7</v>
      </c>
      <c r="T123" t="n">
        <v>9</v>
      </c>
      <c r="U123" t="n">
        <v>9</v>
      </c>
      <c r="V123" s="2" t="inlineStr">
        <is>
          <t>Garnlav
Lunglav
Skogshare
Skrovellav
Talltita
Luddlav
Fläcknycklar</t>
        </is>
      </c>
      <c r="W123">
        <f>HYPERLINK("https://klasma.github.io/Logging_2161/artfynd/A 40143-2025 artfynd.xlsx", "A 40143-2025")</f>
        <v/>
      </c>
      <c r="X123">
        <f>HYPERLINK("https://klasma.github.io/Logging_2161/kartor/A 40143-2025 karta.png", "A 40143-2025")</f>
        <v/>
      </c>
      <c r="Y123">
        <f>HYPERLINK("https://klasma.github.io/Logging_2161/kartor_geotiff/A 40143-2025 georefererad karta.tif", "A 40143-2025")</f>
        <v/>
      </c>
      <c r="AA123">
        <f>HYPERLINK("https://klasma.github.io/Logging_2161/klagomål/A 40143-2025 FSC-klagomål.docx", "A 40143-2025")</f>
        <v/>
      </c>
      <c r="AB123">
        <f>HYPERLINK("https://klasma.github.io/Logging_2161/klagomålsmail/A 40143-2025 FSC-klagomål mail.docx", "A 40143-2025")</f>
        <v/>
      </c>
      <c r="AC123">
        <f>HYPERLINK("https://klasma.github.io/Logging_2161/tillsyn/A 40143-2025 tillsynsbegäran.docx", "A 40143-2025")</f>
        <v/>
      </c>
      <c r="AD123">
        <f>HYPERLINK("https://klasma.github.io/Logging_2161/tillsynsmail/A 40143-2025 tillsynsbegäran mail.docx", "A 40143-2025")</f>
        <v/>
      </c>
      <c r="AE123">
        <f>HYPERLINK("https://klasma.github.io/Logging_2161/fåglar/A 40143-2025 prioriterade fågelarter.docx", "A 40143-2025")</f>
        <v/>
      </c>
    </row>
    <row r="124" ht="15" customHeight="1">
      <c r="A124" t="inlineStr">
        <is>
          <t>A 4009-2026</t>
        </is>
      </c>
      <c r="B124" t="inlineStr">
        <is>
          <t>avverkningsanmälan</t>
        </is>
      </c>
      <c r="C124" t="inlineStr">
        <is>
          <t>Föryngringsavverkning</t>
        </is>
      </c>
      <c r="D124" s="1" t="n">
        <v>46044</v>
      </c>
      <c r="E124" s="1" t="n">
        <v>46326</v>
      </c>
      <c r="F124" t="inlineStr">
        <is>
          <t>GÄVLEBORGS LÄN</t>
        </is>
      </c>
      <c r="G124" t="inlineStr">
        <is>
          <t>OCKELBO</t>
        </is>
      </c>
      <c r="I124" t="n">
        <v>3</v>
      </c>
      <c r="J124" t="n">
        <v>6</v>
      </c>
      <c r="K124" t="n">
        <v>0</v>
      </c>
      <c r="L124" t="n">
        <v>3</v>
      </c>
      <c r="M124" t="n">
        <v>0</v>
      </c>
      <c r="N124" t="n">
        <v>0</v>
      </c>
      <c r="O124" t="n">
        <v>0</v>
      </c>
      <c r="P124" t="n">
        <v>0</v>
      </c>
      <c r="Q124" t="n">
        <v>3</v>
      </c>
      <c r="R124" t="n">
        <v>0</v>
      </c>
      <c r="S124" t="n">
        <v>7</v>
      </c>
      <c r="T124" t="n">
        <v>7</v>
      </c>
      <c r="U124" t="n">
        <v>0</v>
      </c>
      <c r="V124" s="2" t="inlineStr">
        <is>
          <t>Ladusvala
Orange taggsvamp
Talltita
Gröngöling
Svartvit flugsnappare
Trana
Fläcknycklar</t>
        </is>
      </c>
      <c r="W124">
        <f>HYPERLINK("https://klasma.github.io/Logging_2101/artfynd/A 4009-2026 artfynd.xlsx", "A 4009-2026")</f>
        <v/>
      </c>
      <c r="X124">
        <f>HYPERLINK("https://klasma.github.io/Logging_2101/kartor/A 4009-2026 karta.png", "A 4009-2026")</f>
        <v/>
      </c>
      <c r="Y124">
        <f>HYPERLINK("https://klasma.github.io/Logging_2101/kartor_geotiff/A 4009-2026 georefererad karta.tif", "A 4009-2026")</f>
        <v/>
      </c>
      <c r="AA124">
        <f>HYPERLINK("https://klasma.github.io/Logging_2101/klagomål/A 4009-2026 FSC-klagomål.docx", "A 4009-2026")</f>
        <v/>
      </c>
      <c r="AB124">
        <f>HYPERLINK("https://klasma.github.io/Logging_2101/klagomålsmail/A 4009-2026 FSC-klagomål mail.docx", "A 4009-2026")</f>
        <v/>
      </c>
      <c r="AC124">
        <f>HYPERLINK("https://klasma.github.io/Logging_2101/tillsyn/A 4009-2026 tillsynsbegäran.docx", "A 4009-2026")</f>
        <v/>
      </c>
      <c r="AD124">
        <f>HYPERLINK("https://klasma.github.io/Logging_2101/tillsynsmail/A 4009-2026 tillsynsbegäran mail.docx", "A 4009-2026")</f>
        <v/>
      </c>
      <c r="AE124">
        <f>HYPERLINK("https://klasma.github.io/Logging_2101/fåglar/A 4009-2026 prioriterade fågelarter.docx", "A 4009-2026")</f>
        <v/>
      </c>
    </row>
    <row r="125" ht="15" customHeight="1">
      <c r="A125" t="inlineStr">
        <is>
          <t>A 32489-2025</t>
        </is>
      </c>
      <c r="B125" t="inlineStr">
        <is>
          <t>avverkningsanmälan</t>
        </is>
      </c>
      <c r="C125" t="inlineStr">
        <is>
          <t>Föryngringsavverkning</t>
        </is>
      </c>
      <c r="D125" s="1" t="n">
        <v>45838</v>
      </c>
      <c r="E125" s="1" t="n">
        <v>46326</v>
      </c>
      <c r="F125" t="inlineStr">
        <is>
          <t>GÄVLEBORGS LÄN</t>
        </is>
      </c>
      <c r="G125" t="inlineStr">
        <is>
          <t>LJUSDAL</t>
        </is>
      </c>
      <c r="H125" t="inlineStr">
        <is>
          <t>Allmännings- och besparingsskogar</t>
        </is>
      </c>
      <c r="I125" t="n">
        <v>21</v>
      </c>
      <c r="J125" t="n">
        <v>2</v>
      </c>
      <c r="K125" t="n">
        <v>0</v>
      </c>
      <c r="L125" t="n">
        <v>6</v>
      </c>
      <c r="M125" t="n">
        <v>1</v>
      </c>
      <c r="N125" t="n">
        <v>0</v>
      </c>
      <c r="O125" t="n">
        <v>0</v>
      </c>
      <c r="P125" t="n">
        <v>0</v>
      </c>
      <c r="Q125" t="n">
        <v>7</v>
      </c>
      <c r="R125" t="n">
        <v>1</v>
      </c>
      <c r="S125" t="n">
        <v>7</v>
      </c>
      <c r="T125" t="n">
        <v>13</v>
      </c>
      <c r="U125" t="n">
        <v>11</v>
      </c>
      <c r="V125" s="2" t="inlineStr">
        <is>
          <t>Garnlav
Dropptaggsvamp
Kungsörn
Mörk kolflarnlav
Stjärntagging
Tretåig hackspett
Violettgrå tagellav</t>
        </is>
      </c>
      <c r="W125">
        <f>HYPERLINK("https://klasma.github.io/Logging_2161/artfynd/A 32489-2025 artfynd.xlsx", "A 32489-2025")</f>
        <v/>
      </c>
      <c r="X125">
        <f>HYPERLINK("https://klasma.github.io/Logging_2161/kartor/A 32489-2025 karta.png", "A 32489-2025")</f>
        <v/>
      </c>
      <c r="Y125">
        <f>HYPERLINK("https://klasma.github.io/Logging_2161/kartor_geotiff/A 32489-2025 georefererad karta.tif", "A 32489-2025")</f>
        <v/>
      </c>
      <c r="AA125">
        <f>HYPERLINK("https://klasma.github.io/Logging_2161/klagomål/A 32489-2025 FSC-klagomål.docx", "A 32489-2025")</f>
        <v/>
      </c>
      <c r="AB125">
        <f>HYPERLINK("https://klasma.github.io/Logging_2161/klagomålsmail/A 32489-2025 FSC-klagomål mail.docx", "A 32489-2025")</f>
        <v/>
      </c>
      <c r="AC125">
        <f>HYPERLINK("https://klasma.github.io/Logging_2161/tillsyn/A 32489-2025 tillsynsbegäran.docx", "A 32489-2025")</f>
        <v/>
      </c>
      <c r="AD125">
        <f>HYPERLINK("https://klasma.github.io/Logging_2161/tillsynsmail/A 32489-2025 tillsynsbegäran mail.docx", "A 32489-2025")</f>
        <v/>
      </c>
      <c r="AE125">
        <f>HYPERLINK("https://klasma.github.io/Logging_2161/fåglar/A 32489-2025 prioriterade fågelarter.docx", "A 32489-2025")</f>
        <v/>
      </c>
    </row>
    <row r="126" ht="15" customHeight="1">
      <c r="A126" t="inlineStr">
        <is>
          <t>A 44448-2025</t>
        </is>
      </c>
      <c r="B126" t="inlineStr">
        <is>
          <t>avverkningsanmälan</t>
        </is>
      </c>
      <c r="C126" t="inlineStr">
        <is>
          <t>Föryngringsavverkning</t>
        </is>
      </c>
      <c r="D126" s="1" t="n">
        <v>45916</v>
      </c>
      <c r="E126" s="1" t="n">
        <v>46326</v>
      </c>
      <c r="F126" t="inlineStr">
        <is>
          <t>GÄVLEBORGS LÄN</t>
        </is>
      </c>
      <c r="G126" t="inlineStr">
        <is>
          <t>LJUSDAL</t>
        </is>
      </c>
      <c r="H126" t="inlineStr">
        <is>
          <t>Sveaskog</t>
        </is>
      </c>
      <c r="I126" t="n">
        <v>25</v>
      </c>
      <c r="J126" t="n">
        <v>4</v>
      </c>
      <c r="K126" t="n">
        <v>0</v>
      </c>
      <c r="L126" t="n">
        <v>2</v>
      </c>
      <c r="M126" t="n">
        <v>1</v>
      </c>
      <c r="N126" t="n">
        <v>0</v>
      </c>
      <c r="O126" t="n">
        <v>0</v>
      </c>
      <c r="P126" t="n">
        <v>0</v>
      </c>
      <c r="Q126" t="n">
        <v>3</v>
      </c>
      <c r="R126" t="n">
        <v>1</v>
      </c>
      <c r="S126" t="n">
        <v>7</v>
      </c>
      <c r="T126" t="n">
        <v>9</v>
      </c>
      <c r="U126" t="n">
        <v>0</v>
      </c>
      <c r="V126" s="2" t="inlineStr">
        <is>
          <t>Garnlav
Kolflarnlav
Mörk kolflarnlav
Spillkråka
Tjäder
Orre
Revlummer</t>
        </is>
      </c>
      <c r="W126">
        <f>HYPERLINK("https://klasma.github.io/Logging_2161/artfynd/A 44448-2025 artfynd.xlsx", "A 44448-2025")</f>
        <v/>
      </c>
      <c r="X126">
        <f>HYPERLINK("https://klasma.github.io/Logging_2161/kartor/A 44448-2025 karta.png", "A 44448-2025")</f>
        <v/>
      </c>
      <c r="Y126">
        <f>HYPERLINK("https://klasma.github.io/Logging_2161/kartor_geotiff/A 44448-2025 georefererad karta.tif", "A 44448-2025")</f>
        <v/>
      </c>
      <c r="AA126">
        <f>HYPERLINK("https://klasma.github.io/Logging_2161/klagomål/A 44448-2025 FSC-klagomål.docx", "A 44448-2025")</f>
        <v/>
      </c>
      <c r="AB126">
        <f>HYPERLINK("https://klasma.github.io/Logging_2161/klagomålsmail/A 44448-2025 FSC-klagomål mail.docx", "A 44448-2025")</f>
        <v/>
      </c>
      <c r="AC126">
        <f>HYPERLINK("https://klasma.github.io/Logging_2161/tillsyn/A 44448-2025 tillsynsbegäran.docx", "A 44448-2025")</f>
        <v/>
      </c>
      <c r="AD126">
        <f>HYPERLINK("https://klasma.github.io/Logging_2161/tillsynsmail/A 44448-2025 tillsynsbegäran mail.docx", "A 44448-2025")</f>
        <v/>
      </c>
      <c r="AE126">
        <f>HYPERLINK("https://klasma.github.io/Logging_2161/fåglar/A 44448-2025 prioriterade fågelarter.docx", "A 44448-2025")</f>
        <v/>
      </c>
    </row>
    <row r="127" ht="15" customHeight="1">
      <c r="A127" t="inlineStr">
        <is>
          <t>A 33904-2025</t>
        </is>
      </c>
      <c r="B127" t="inlineStr">
        <is>
          <t>avverkningsanmälan</t>
        </is>
      </c>
      <c r="C127" t="inlineStr">
        <is>
          <t>Föryngringsavverkning</t>
        </is>
      </c>
      <c r="D127" s="1" t="n">
        <v>45842</v>
      </c>
      <c r="E127" s="1" t="n">
        <v>46326</v>
      </c>
      <c r="F127" t="inlineStr">
        <is>
          <t>GÄVLEBORGS LÄN</t>
        </is>
      </c>
      <c r="G127" t="inlineStr">
        <is>
          <t>GÄVLE</t>
        </is>
      </c>
      <c r="I127" t="n">
        <v>5.6</v>
      </c>
      <c r="J127" t="n">
        <v>5</v>
      </c>
      <c r="K127" t="n">
        <v>4</v>
      </c>
      <c r="L127" t="n">
        <v>1</v>
      </c>
      <c r="M127" t="n">
        <v>0</v>
      </c>
      <c r="N127" t="n">
        <v>0</v>
      </c>
      <c r="O127" t="n">
        <v>0</v>
      </c>
      <c r="P127" t="n">
        <v>0</v>
      </c>
      <c r="Q127" t="n">
        <v>1</v>
      </c>
      <c r="R127" t="n">
        <v>0</v>
      </c>
      <c r="S127" t="n">
        <v>7</v>
      </c>
      <c r="T127" t="n">
        <v>13</v>
      </c>
      <c r="U127" t="n">
        <v>9</v>
      </c>
      <c r="V127" s="2" t="inlineStr">
        <is>
          <t>Sårläka
Nästrot
Skogsknipprot
Tibast
Tvåblad
Blåsippa
Gullviva</t>
        </is>
      </c>
      <c r="W127">
        <f>HYPERLINK("https://klasma.github.io/Logging_2180/artfynd/A 33904-2025 artfynd.xlsx", "A 33904-2025")</f>
        <v/>
      </c>
      <c r="X127">
        <f>HYPERLINK("https://klasma.github.io/Logging_2180/kartor/A 33904-2025 karta.png", "A 33904-2025")</f>
        <v/>
      </c>
      <c r="Y127">
        <f>HYPERLINK("https://klasma.github.io/Logging_2180/kartor_geotiff/A 33904-2025 georefererad karta.tif", "A 33904-2025")</f>
        <v/>
      </c>
      <c r="AA127">
        <f>HYPERLINK("https://klasma.github.io/Logging_2180/klagomål/A 33904-2025 FSC-klagomål.docx", "A 33904-2025")</f>
        <v/>
      </c>
      <c r="AB127">
        <f>HYPERLINK("https://klasma.github.io/Logging_2180/klagomålsmail/A 33904-2025 FSC-klagomål mail.docx", "A 33904-2025")</f>
        <v/>
      </c>
      <c r="AC127">
        <f>HYPERLINK("https://klasma.github.io/Logging_2180/tillsyn/A 33904-2025 tillsynsbegäran.docx", "A 33904-2025")</f>
        <v/>
      </c>
      <c r="AD127">
        <f>HYPERLINK("https://klasma.github.io/Logging_2180/tillsynsmail/A 33904-2025 tillsynsbegäran mail.docx", "A 33904-2025")</f>
        <v/>
      </c>
    </row>
    <row r="128" ht="15" customHeight="1">
      <c r="A128" t="inlineStr">
        <is>
          <t>A 38086-2024</t>
        </is>
      </c>
      <c r="B128" t="inlineStr">
        <is>
          <t>avverkningsanmälan</t>
        </is>
      </c>
      <c r="C128" t="inlineStr">
        <is>
          <t>Föryngringsavverkning</t>
        </is>
      </c>
      <c r="D128" s="1" t="n">
        <v>45545</v>
      </c>
      <c r="E128" s="1" t="n">
        <v>46326</v>
      </c>
      <c r="F128" t="inlineStr">
        <is>
          <t>GÄVLEBORGS LÄN</t>
        </is>
      </c>
      <c r="G128" t="inlineStr">
        <is>
          <t>OCKELBO</t>
        </is>
      </c>
      <c r="H128" t="inlineStr">
        <is>
          <t>Bergvik skog väst AB</t>
        </is>
      </c>
      <c r="I128" t="n">
        <v>17.2</v>
      </c>
      <c r="J128" t="n">
        <v>1</v>
      </c>
      <c r="K128" t="n">
        <v>1</v>
      </c>
      <c r="L128" t="n">
        <v>4</v>
      </c>
      <c r="M128" t="n">
        <v>1</v>
      </c>
      <c r="N128" t="n">
        <v>0</v>
      </c>
      <c r="O128" t="n">
        <v>0</v>
      </c>
      <c r="P128" t="n">
        <v>0</v>
      </c>
      <c r="Q128" t="n">
        <v>5</v>
      </c>
      <c r="R128" t="n">
        <v>1</v>
      </c>
      <c r="S128" t="n">
        <v>7</v>
      </c>
      <c r="T128" t="n">
        <v>9</v>
      </c>
      <c r="U128" t="n">
        <v>0</v>
      </c>
      <c r="V128" s="2" t="inlineStr">
        <is>
          <t>Skrovlig taggsvamp
Blå taggsvamp
Dropptaggsvamp
Svartvit taggsvamp
Tallriska
Korallblylav
Revlummer</t>
        </is>
      </c>
      <c r="W128">
        <f>HYPERLINK("https://klasma.github.io/Logging_2101/artfynd/A 38086-2024 artfynd.xlsx", "A 38086-2024")</f>
        <v/>
      </c>
      <c r="X128">
        <f>HYPERLINK("https://klasma.github.io/Logging_2101/kartor/A 38086-2024 karta.png", "A 38086-2024")</f>
        <v/>
      </c>
      <c r="Y128">
        <f>HYPERLINK("https://klasma.github.io/Logging_2101/kartor_geotiff/A 38086-2024 georefererad karta.tif", "A 38086-2024")</f>
        <v/>
      </c>
      <c r="AA128">
        <f>HYPERLINK("https://klasma.github.io/Logging_2101/klagomål/A 38086-2024 FSC-klagomål.docx", "A 38086-2024")</f>
        <v/>
      </c>
      <c r="AB128">
        <f>HYPERLINK("https://klasma.github.io/Logging_2101/klagomålsmail/A 38086-2024 FSC-klagomål mail.docx", "A 38086-2024")</f>
        <v/>
      </c>
      <c r="AC128">
        <f>HYPERLINK("https://klasma.github.io/Logging_2101/tillsyn/A 38086-2024 tillsynsbegäran.docx", "A 38086-2024")</f>
        <v/>
      </c>
      <c r="AD128">
        <f>HYPERLINK("https://klasma.github.io/Logging_2101/tillsynsmail/A 38086-2024 tillsynsbegäran mail.docx", "A 38086-2024")</f>
        <v/>
      </c>
    </row>
    <row r="129" ht="15" customHeight="1">
      <c r="A129" t="inlineStr">
        <is>
          <t>A 48335-2025</t>
        </is>
      </c>
      <c r="B129" t="inlineStr">
        <is>
          <t>avverkningsanmälan</t>
        </is>
      </c>
      <c r="C129" t="inlineStr">
        <is>
          <t>Föryngringsavverkning</t>
        </is>
      </c>
      <c r="D129" s="1" t="n">
        <v>45933</v>
      </c>
      <c r="E129" s="1" t="n">
        <v>46326</v>
      </c>
      <c r="F129" t="inlineStr">
        <is>
          <t>GÄVLEBORGS LÄN</t>
        </is>
      </c>
      <c r="G129" t="inlineStr">
        <is>
          <t>LJUSDAL</t>
        </is>
      </c>
      <c r="H129" t="inlineStr">
        <is>
          <t>Sveaskog</t>
        </is>
      </c>
      <c r="I129" t="n">
        <v>16.6</v>
      </c>
      <c r="J129" t="n">
        <v>4</v>
      </c>
      <c r="K129" t="n">
        <v>2</v>
      </c>
      <c r="L129" t="n">
        <v>2</v>
      </c>
      <c r="M129" t="n">
        <v>2</v>
      </c>
      <c r="N129" t="n">
        <v>0</v>
      </c>
      <c r="O129" t="n">
        <v>0</v>
      </c>
      <c r="P129" t="n">
        <v>0</v>
      </c>
      <c r="Q129" t="n">
        <v>4</v>
      </c>
      <c r="R129" t="n">
        <v>2</v>
      </c>
      <c r="S129" t="n">
        <v>7</v>
      </c>
      <c r="T129" t="n">
        <v>16</v>
      </c>
      <c r="U129" t="n">
        <v>16</v>
      </c>
      <c r="V129" s="2" t="inlineStr">
        <is>
          <t>Garnlav
Knärot
Lavskrika
Talltita
Bårdlav
Luddlav
Tjäder</t>
        </is>
      </c>
      <c r="W129">
        <f>HYPERLINK("https://klasma.github.io/Logging_2161/artfynd/A 48335-2025 artfynd.xlsx", "A 48335-2025")</f>
        <v/>
      </c>
      <c r="X129">
        <f>HYPERLINK("https://klasma.github.io/Logging_2161/kartor/A 48335-2025 karta.png", "A 48335-2025")</f>
        <v/>
      </c>
      <c r="Y129">
        <f>HYPERLINK("https://klasma.github.io/Logging_2161/kartor_geotiff/A 48335-2025 georefererad karta.tif", "A 48335-2025")</f>
        <v/>
      </c>
      <c r="Z129">
        <f>HYPERLINK("https://klasma.github.io/Logging_2161/knärot/A 48335-2025 karta knärot.png", "A 48335-2025")</f>
        <v/>
      </c>
      <c r="AA129">
        <f>HYPERLINK("https://klasma.github.io/Logging_2161/klagomål/A 48335-2025 FSC-klagomål.docx", "A 48335-2025")</f>
        <v/>
      </c>
      <c r="AB129">
        <f>HYPERLINK("https://klasma.github.io/Logging_2161/klagomålsmail/A 48335-2025 FSC-klagomål mail.docx", "A 48335-2025")</f>
        <v/>
      </c>
      <c r="AC129">
        <f>HYPERLINK("https://klasma.github.io/Logging_2161/tillsyn/A 48335-2025 tillsynsbegäran.docx", "A 48335-2025")</f>
        <v/>
      </c>
      <c r="AD129">
        <f>HYPERLINK("https://klasma.github.io/Logging_2161/tillsynsmail/A 48335-2025 tillsynsbegäran mail.docx", "A 48335-2025")</f>
        <v/>
      </c>
      <c r="AE129">
        <f>HYPERLINK("https://klasma.github.io/Logging_2161/fåglar/A 48335-2025 prioriterade fågelarter.docx", "A 48335-2025")</f>
        <v/>
      </c>
    </row>
    <row r="130" ht="15" customHeight="1">
      <c r="A130" t="inlineStr">
        <is>
          <t>A 6073-2026</t>
        </is>
      </c>
      <c r="B130" t="inlineStr">
        <is>
          <t>avverkningsanmälan</t>
        </is>
      </c>
      <c r="C130" t="inlineStr">
        <is>
          <t>Föryngringsavverkning</t>
        </is>
      </c>
      <c r="D130" s="1" t="n">
        <v>46052</v>
      </c>
      <c r="E130" s="1" t="n">
        <v>46326</v>
      </c>
      <c r="F130" t="inlineStr">
        <is>
          <t>GÄVLEBORGS LÄN</t>
        </is>
      </c>
      <c r="G130" t="inlineStr">
        <is>
          <t>GÄVLE</t>
        </is>
      </c>
      <c r="H130" t="inlineStr">
        <is>
          <t>Bergvik skog öst AB</t>
        </is>
      </c>
      <c r="I130" t="n">
        <v>3.3</v>
      </c>
      <c r="J130" t="n">
        <v>2</v>
      </c>
      <c r="K130" t="n">
        <v>0</v>
      </c>
      <c r="L130" t="n">
        <v>2</v>
      </c>
      <c r="M130" t="n">
        <v>3</v>
      </c>
      <c r="N130" t="n">
        <v>0</v>
      </c>
      <c r="O130" t="n">
        <v>0</v>
      </c>
      <c r="P130" t="n">
        <v>0</v>
      </c>
      <c r="Q130" t="n">
        <v>5</v>
      </c>
      <c r="R130" t="n">
        <v>3</v>
      </c>
      <c r="S130" t="n">
        <v>7</v>
      </c>
      <c r="T130" t="n">
        <v>12</v>
      </c>
      <c r="U130" t="n">
        <v>0</v>
      </c>
      <c r="V130" s="2" t="inlineStr">
        <is>
          <t>Bredbrämad bastardsvärmare
Mindre bastardsvärmare
Ängsblåvinge
Majviva
Storfläckig kungsnattslända
Slaguggla
Gullviva</t>
        </is>
      </c>
      <c r="W130">
        <f>HYPERLINK("https://klasma.github.io/Logging_2180/artfynd/A 6073-2026 artfynd.xlsx", "A 6073-2026")</f>
        <v/>
      </c>
      <c r="X130">
        <f>HYPERLINK("https://klasma.github.io/Logging_2180/kartor/A 6073-2026 karta.png", "A 6073-2026")</f>
        <v/>
      </c>
      <c r="Y130">
        <f>HYPERLINK("https://klasma.github.io/Logging_2180/kartor_geotiff/A 6073-2026 georefererad karta.tif", "A 6073-2026")</f>
        <v/>
      </c>
      <c r="AA130">
        <f>HYPERLINK("https://klasma.github.io/Logging_2180/klagomål/A 6073-2026 FSC-klagomål.docx", "A 6073-2026")</f>
        <v/>
      </c>
      <c r="AB130">
        <f>HYPERLINK("https://klasma.github.io/Logging_2180/klagomålsmail/A 6073-2026 FSC-klagomål mail.docx", "A 6073-2026")</f>
        <v/>
      </c>
      <c r="AC130">
        <f>HYPERLINK("https://klasma.github.io/Logging_2180/tillsyn/A 6073-2026 tillsynsbegäran.docx", "A 6073-2026")</f>
        <v/>
      </c>
      <c r="AD130">
        <f>HYPERLINK("https://klasma.github.io/Logging_2180/tillsynsmail/A 6073-2026 tillsynsbegäran mail.docx", "A 6073-2026")</f>
        <v/>
      </c>
      <c r="AE130">
        <f>HYPERLINK("https://klasma.github.io/Logging_2180/fåglar/A 6073-2026 prioriterade fågelarter.docx", "A 6073-2026")</f>
        <v/>
      </c>
    </row>
    <row r="131" ht="15" customHeight="1">
      <c r="A131" t="inlineStr">
        <is>
          <t>A 51514-2025</t>
        </is>
      </c>
      <c r="B131" t="inlineStr">
        <is>
          <t>avverkningsanmälan</t>
        </is>
      </c>
      <c r="C131" t="inlineStr">
        <is>
          <t>Föryngringsavverkning</t>
        </is>
      </c>
      <c r="D131" s="1" t="n">
        <v>45950</v>
      </c>
      <c r="E131" s="1" t="n">
        <v>46326</v>
      </c>
      <c r="F131" t="inlineStr">
        <is>
          <t>GÄVLEBORGS LÄN</t>
        </is>
      </c>
      <c r="G131" t="inlineStr">
        <is>
          <t>OVANÅKER</t>
        </is>
      </c>
      <c r="H131" t="inlineStr">
        <is>
          <t>Bergvik skog väst AB</t>
        </is>
      </c>
      <c r="I131" t="n">
        <v>24.3</v>
      </c>
      <c r="J131" t="n">
        <v>1</v>
      </c>
      <c r="K131" t="n">
        <v>0</v>
      </c>
      <c r="L131" t="n">
        <v>4</v>
      </c>
      <c r="M131" t="n">
        <v>2</v>
      </c>
      <c r="N131" t="n">
        <v>0</v>
      </c>
      <c r="O131" t="n">
        <v>0</v>
      </c>
      <c r="P131" t="n">
        <v>0</v>
      </c>
      <c r="Q131" t="n">
        <v>6</v>
      </c>
      <c r="R131" t="n">
        <v>2</v>
      </c>
      <c r="S131" t="n">
        <v>7</v>
      </c>
      <c r="T131" t="n">
        <v>17</v>
      </c>
      <c r="U131" t="n">
        <v>0</v>
      </c>
      <c r="V131" s="2" t="inlineStr">
        <is>
          <t>Skrovlig taggsvamp
Spadskinn
Dvärgbägarlav
Motaggsvamp
Skarp dropptaggsvamp
Tallfingersvamp
Grönsiska</t>
        </is>
      </c>
      <c r="W131">
        <f>HYPERLINK("https://klasma.github.io/Logging_2121/artfynd/A 51514-2025 artfynd.xlsx", "A 51514-2025")</f>
        <v/>
      </c>
      <c r="X131">
        <f>HYPERLINK("https://klasma.github.io/Logging_2121/kartor/A 51514-2025 karta.png", "A 51514-2025")</f>
        <v/>
      </c>
      <c r="Y131">
        <f>HYPERLINK("https://klasma.github.io/Logging_2121/kartor_geotiff/A 51514-2025 georefererad karta.tif", "A 51514-2025")</f>
        <v/>
      </c>
      <c r="AA131">
        <f>HYPERLINK("https://klasma.github.io/Logging_2121/klagomål/A 51514-2025 FSC-klagomål.docx", "A 51514-2025")</f>
        <v/>
      </c>
      <c r="AB131">
        <f>HYPERLINK("https://klasma.github.io/Logging_2121/klagomålsmail/A 51514-2025 FSC-klagomål mail.docx", "A 51514-2025")</f>
        <v/>
      </c>
      <c r="AC131">
        <f>HYPERLINK("https://klasma.github.io/Logging_2121/tillsyn/A 51514-2025 tillsynsbegäran.docx", "A 51514-2025")</f>
        <v/>
      </c>
      <c r="AD131">
        <f>HYPERLINK("https://klasma.github.io/Logging_2121/tillsynsmail/A 51514-2025 tillsynsbegäran mail.docx", "A 51514-2025")</f>
        <v/>
      </c>
    </row>
    <row r="132" ht="15" customHeight="1">
      <c r="A132" t="inlineStr">
        <is>
          <t>A 55957-2025</t>
        </is>
      </c>
      <c r="B132" t="inlineStr">
        <is>
          <t>avverkningsanmälan</t>
        </is>
      </c>
      <c r="C132" t="inlineStr">
        <is>
          <t>Föryngringsavverkning</t>
        </is>
      </c>
      <c r="D132" s="1" t="n">
        <v>45973</v>
      </c>
      <c r="E132" s="1" t="n">
        <v>46326</v>
      </c>
      <c r="F132" t="inlineStr">
        <is>
          <t>GÄVLEBORGS LÄN</t>
        </is>
      </c>
      <c r="G132" t="inlineStr">
        <is>
          <t>LJUSDAL</t>
        </is>
      </c>
      <c r="H132" t="inlineStr">
        <is>
          <t>Allmännings- och besparingsskogar</t>
        </is>
      </c>
      <c r="I132" t="n">
        <v>26.7</v>
      </c>
      <c r="J132" t="n">
        <v>0</v>
      </c>
      <c r="K132" t="n">
        <v>2</v>
      </c>
      <c r="L132" t="n">
        <v>4</v>
      </c>
      <c r="M132" t="n">
        <v>1</v>
      </c>
      <c r="N132" t="n">
        <v>0</v>
      </c>
      <c r="O132" t="n">
        <v>0</v>
      </c>
      <c r="P132" t="n">
        <v>0</v>
      </c>
      <c r="Q132" t="n">
        <v>5</v>
      </c>
      <c r="R132" t="n">
        <v>1</v>
      </c>
      <c r="S132" t="n">
        <v>7</v>
      </c>
      <c r="T132" t="n">
        <v>26</v>
      </c>
      <c r="U132" t="n">
        <v>26</v>
      </c>
      <c r="V132" s="2" t="inlineStr">
        <is>
          <t>Garnlav
Dropptaggsvamp
Kolflarnlav
Mörk kolflarnlav
Vedskivlav
Mindre märgborre
Rävticka</t>
        </is>
      </c>
      <c r="W132">
        <f>HYPERLINK("https://klasma.github.io/Logging_2161/artfynd/A 55957-2025 artfynd.xlsx", "A 55957-2025")</f>
        <v/>
      </c>
      <c r="X132">
        <f>HYPERLINK("https://klasma.github.io/Logging_2161/kartor/A 55957-2025 karta.png", "A 55957-2025")</f>
        <v/>
      </c>
      <c r="Y132">
        <f>HYPERLINK("https://klasma.github.io/Logging_2161/kartor_geotiff/A 55957-2025 georefererad karta.tif", "A 55957-2025")</f>
        <v/>
      </c>
      <c r="AA132">
        <f>HYPERLINK("https://klasma.github.io/Logging_2161/klagomål/A 55957-2025 FSC-klagomål.docx", "A 55957-2025")</f>
        <v/>
      </c>
      <c r="AB132">
        <f>HYPERLINK("https://klasma.github.io/Logging_2161/klagomålsmail/A 55957-2025 FSC-klagomål mail.docx", "A 55957-2025")</f>
        <v/>
      </c>
      <c r="AC132">
        <f>HYPERLINK("https://klasma.github.io/Logging_2161/tillsyn/A 55957-2025 tillsynsbegäran.docx", "A 55957-2025")</f>
        <v/>
      </c>
      <c r="AD132">
        <f>HYPERLINK("https://klasma.github.io/Logging_2161/tillsynsmail/A 55957-2025 tillsynsbegäran mail.docx", "A 55957-2025")</f>
        <v/>
      </c>
    </row>
    <row r="133" ht="15" customHeight="1">
      <c r="A133" t="inlineStr">
        <is>
          <t>A 29544-2023</t>
        </is>
      </c>
      <c r="B133" t="inlineStr">
        <is>
          <t>avverkningsanmälan</t>
        </is>
      </c>
      <c r="C133" t="inlineStr">
        <is>
          <t>Föryngringsavverkning</t>
        </is>
      </c>
      <c r="D133" s="1" t="n">
        <v>45106</v>
      </c>
      <c r="E133" s="1" t="n">
        <v>46326</v>
      </c>
      <c r="F133" t="inlineStr">
        <is>
          <t>GÄVLEBORGS LÄN</t>
        </is>
      </c>
      <c r="G133" t="inlineStr">
        <is>
          <t>OCKELBO</t>
        </is>
      </c>
      <c r="H133" t="inlineStr">
        <is>
          <t>Bergvik skog väst AB</t>
        </is>
      </c>
      <c r="I133" t="n">
        <v>6.5</v>
      </c>
      <c r="J133" t="n">
        <v>5</v>
      </c>
      <c r="K133" t="n">
        <v>2</v>
      </c>
      <c r="L133" t="n">
        <v>1</v>
      </c>
      <c r="M133" t="n">
        <v>0</v>
      </c>
      <c r="N133" t="n">
        <v>0</v>
      </c>
      <c r="O133" t="n">
        <v>0</v>
      </c>
      <c r="P133" t="n">
        <v>0</v>
      </c>
      <c r="Q133" t="n">
        <v>1</v>
      </c>
      <c r="R133" t="n">
        <v>0</v>
      </c>
      <c r="S133" t="n">
        <v>7</v>
      </c>
      <c r="T133" t="n">
        <v>10</v>
      </c>
      <c r="U133" t="n">
        <v>10</v>
      </c>
      <c r="V133" s="2" t="inlineStr">
        <is>
          <t>Vårärt
Skogsknipprot
Tibast
Blåsippa
Fläcknycklar
Lopplummer (aggregat)
Revlummer</t>
        </is>
      </c>
      <c r="W133">
        <f>HYPERLINK("https://klasma.github.io/Logging_2101/artfynd/A 29544-2023 artfynd.xlsx", "A 29544-2023")</f>
        <v/>
      </c>
      <c r="X133">
        <f>HYPERLINK("https://klasma.github.io/Logging_2101/kartor/A 29544-2023 karta.png", "A 29544-2023")</f>
        <v/>
      </c>
      <c r="Y133">
        <f>HYPERLINK("https://klasma.github.io/Logging_2101/kartor_geotiff/A 29544-2023 georefererad karta.tif", "A 29544-2023")</f>
        <v/>
      </c>
      <c r="AA133">
        <f>HYPERLINK("https://klasma.github.io/Logging_2101/klagomål/A 29544-2023 FSC-klagomål.docx", "A 29544-2023")</f>
        <v/>
      </c>
      <c r="AB133">
        <f>HYPERLINK("https://klasma.github.io/Logging_2101/klagomålsmail/A 29544-2023 FSC-klagomål mail.docx", "A 29544-2023")</f>
        <v/>
      </c>
      <c r="AC133">
        <f>HYPERLINK("https://klasma.github.io/Logging_2101/tillsyn/A 29544-2023 tillsynsbegäran.docx", "A 29544-2023")</f>
        <v/>
      </c>
      <c r="AD133">
        <f>HYPERLINK("https://klasma.github.io/Logging_2101/tillsynsmail/A 29544-2023 tillsynsbegäran mail.docx", "A 29544-2023")</f>
        <v/>
      </c>
    </row>
    <row r="134" ht="15" customHeight="1">
      <c r="A134" t="inlineStr">
        <is>
          <t>A 19165-2026</t>
        </is>
      </c>
      <c r="B134" t="inlineStr">
        <is>
          <t>avverkningsanmälan</t>
        </is>
      </c>
      <c r="C134" t="inlineStr">
        <is>
          <t>Föryngringsavverkning</t>
        </is>
      </c>
      <c r="D134" s="1" t="n">
        <v>46132</v>
      </c>
      <c r="E134" s="1" t="n">
        <v>46326</v>
      </c>
      <c r="F134" t="inlineStr">
        <is>
          <t>GÄVLEBORGS LÄN</t>
        </is>
      </c>
      <c r="G134" t="inlineStr">
        <is>
          <t>OCKELBO</t>
        </is>
      </c>
      <c r="H134" t="inlineStr">
        <is>
          <t>Bergvik skog väst AB</t>
        </is>
      </c>
      <c r="I134" t="n">
        <v>7.1</v>
      </c>
      <c r="J134" t="n">
        <v>3</v>
      </c>
      <c r="K134" t="n">
        <v>2</v>
      </c>
      <c r="L134" t="n">
        <v>2</v>
      </c>
      <c r="M134" t="n">
        <v>1</v>
      </c>
      <c r="N134" t="n">
        <v>0</v>
      </c>
      <c r="O134" t="n">
        <v>0</v>
      </c>
      <c r="P134" t="n">
        <v>0</v>
      </c>
      <c r="Q134" t="n">
        <v>3</v>
      </c>
      <c r="R134" t="n">
        <v>1</v>
      </c>
      <c r="S134" t="n">
        <v>7</v>
      </c>
      <c r="T134" t="n">
        <v>9</v>
      </c>
      <c r="U134" t="n">
        <v>0</v>
      </c>
      <c r="V134" s="2" t="inlineStr">
        <is>
          <t>Garnlav
Dropptaggsvamp
Motaggsvamp
Plattlummer
Skinnlav
Fläcknycklar
Revlummer</t>
        </is>
      </c>
      <c r="W134">
        <f>HYPERLINK("https://klasma.github.io/Logging_2101/artfynd/A 19165-2026 artfynd.xlsx", "A 19165-2026")</f>
        <v/>
      </c>
      <c r="X134">
        <f>HYPERLINK("https://klasma.github.io/Logging_2101/kartor/A 19165-2026 karta.png", "A 19165-2026")</f>
        <v/>
      </c>
      <c r="Y134">
        <f>HYPERLINK("https://klasma.github.io/Logging_2101/kartor_geotiff/A 19165-2026 georefererad karta.tif", "A 19165-2026")</f>
        <v/>
      </c>
      <c r="AA134">
        <f>HYPERLINK("https://klasma.github.io/Logging_2101/klagomål/A 19165-2026 FSC-klagomål.docx", "A 19165-2026")</f>
        <v/>
      </c>
      <c r="AB134">
        <f>HYPERLINK("https://klasma.github.io/Logging_2101/klagomålsmail/A 19165-2026 FSC-klagomål mail.docx", "A 19165-2026")</f>
        <v/>
      </c>
      <c r="AC134">
        <f>HYPERLINK("https://klasma.github.io/Logging_2101/tillsyn/A 19165-2026 tillsynsbegäran.docx", "A 19165-2026")</f>
        <v/>
      </c>
      <c r="AD134">
        <f>HYPERLINK("https://klasma.github.io/Logging_2101/tillsynsmail/A 19165-2026 tillsynsbegäran mail.docx", "A 19165-2026")</f>
        <v/>
      </c>
    </row>
    <row r="135" ht="15" customHeight="1">
      <c r="A135" t="inlineStr">
        <is>
          <t>A 48800-2024</t>
        </is>
      </c>
      <c r="B135" t="inlineStr">
        <is>
          <t>avverkningsanmälan</t>
        </is>
      </c>
      <c r="C135" t="inlineStr">
        <is>
          <t>Föryngringsavverkning</t>
        </is>
      </c>
      <c r="D135" s="1" t="n">
        <v>45593</v>
      </c>
      <c r="E135" s="1" t="n">
        <v>46326</v>
      </c>
      <c r="F135" t="inlineStr">
        <is>
          <t>GÄVLEBORGS LÄN</t>
        </is>
      </c>
      <c r="G135" t="inlineStr">
        <is>
          <t>GÄVLE</t>
        </is>
      </c>
      <c r="I135" t="n">
        <v>15.3</v>
      </c>
      <c r="J135" t="n">
        <v>4</v>
      </c>
      <c r="K135" t="n">
        <v>0</v>
      </c>
      <c r="L135" t="n">
        <v>3</v>
      </c>
      <c r="M135" t="n">
        <v>0</v>
      </c>
      <c r="N135" t="n">
        <v>0</v>
      </c>
      <c r="O135" t="n">
        <v>0</v>
      </c>
      <c r="P135" t="n">
        <v>0</v>
      </c>
      <c r="Q135" t="n">
        <v>3</v>
      </c>
      <c r="R135" t="n">
        <v>0</v>
      </c>
      <c r="S135" t="n">
        <v>7</v>
      </c>
      <c r="T135" t="n">
        <v>10</v>
      </c>
      <c r="U135" t="n">
        <v>9</v>
      </c>
      <c r="V135" s="2" t="inlineStr">
        <is>
          <t>Rosenticka
Rynkskinn
Ullticka
Järpe
Spillkråka
Tjäder
Fläcknycklar</t>
        </is>
      </c>
      <c r="W135">
        <f>HYPERLINK("https://klasma.github.io/Logging_2180/artfynd/A 48800-2024 artfynd.xlsx", "A 48800-2024")</f>
        <v/>
      </c>
      <c r="X135">
        <f>HYPERLINK("https://klasma.github.io/Logging_2180/kartor/A 48800-2024 karta.png", "A 48800-2024")</f>
        <v/>
      </c>
      <c r="Y135">
        <f>HYPERLINK("https://klasma.github.io/Logging_2180/kartor_geotiff/A 48800-2024 georefererad karta.tif", "A 48800-2024")</f>
        <v/>
      </c>
      <c r="AA135">
        <f>HYPERLINK("https://klasma.github.io/Logging_2180/klagomål/A 48800-2024 FSC-klagomål.docx", "A 48800-2024")</f>
        <v/>
      </c>
      <c r="AB135">
        <f>HYPERLINK("https://klasma.github.io/Logging_2180/klagomålsmail/A 48800-2024 FSC-klagomål mail.docx", "A 48800-2024")</f>
        <v/>
      </c>
      <c r="AC135">
        <f>HYPERLINK("https://klasma.github.io/Logging_2180/tillsyn/A 48800-2024 tillsynsbegäran.docx", "A 48800-2024")</f>
        <v/>
      </c>
      <c r="AD135">
        <f>HYPERLINK("https://klasma.github.io/Logging_2180/tillsynsmail/A 48800-2024 tillsynsbegäran mail.docx", "A 48800-2024")</f>
        <v/>
      </c>
      <c r="AE135">
        <f>HYPERLINK("https://klasma.github.io/Logging_2180/fåglar/A 48800-2024 prioriterade fågelarter.docx", "A 48800-2024")</f>
        <v/>
      </c>
    </row>
    <row r="136" ht="15" customHeight="1">
      <c r="A136" t="inlineStr">
        <is>
          <t>A 14258-2026</t>
        </is>
      </c>
      <c r="B136" t="inlineStr">
        <is>
          <t>avverkningsanmälan</t>
        </is>
      </c>
      <c r="C136" t="inlineStr">
        <is>
          <t>Föryngringsavverkning</t>
        </is>
      </c>
      <c r="D136" s="1" t="n">
        <v>46099</v>
      </c>
      <c r="E136" s="1" t="n">
        <v>46326</v>
      </c>
      <c r="F136" t="inlineStr">
        <is>
          <t>GÄVLEBORGS LÄN</t>
        </is>
      </c>
      <c r="G136" t="inlineStr">
        <is>
          <t>OCKELBO</t>
        </is>
      </c>
      <c r="H136" t="inlineStr">
        <is>
          <t>Bergvik skog väst AB</t>
        </is>
      </c>
      <c r="I136" t="n">
        <v>40.5</v>
      </c>
      <c r="J136" t="n">
        <v>0</v>
      </c>
      <c r="K136" t="n">
        <v>3</v>
      </c>
      <c r="L136" t="n">
        <v>3</v>
      </c>
      <c r="M136" t="n">
        <v>1</v>
      </c>
      <c r="N136" t="n">
        <v>0</v>
      </c>
      <c r="O136" t="n">
        <v>0</v>
      </c>
      <c r="P136" t="n">
        <v>0</v>
      </c>
      <c r="Q136" t="n">
        <v>4</v>
      </c>
      <c r="R136" t="n">
        <v>1</v>
      </c>
      <c r="S136" t="n">
        <v>7</v>
      </c>
      <c r="T136" t="n">
        <v>14</v>
      </c>
      <c r="U136" t="n">
        <v>0</v>
      </c>
      <c r="V136" s="2" t="inlineStr">
        <is>
          <t>Garnlav
Blanksvart spiklav
Dropptaggsvamp
Vedskivlav
Mindre märgborre
Nästlav
Vågbandad barkbock</t>
        </is>
      </c>
      <c r="W136">
        <f>HYPERLINK("https://klasma.github.io/Logging_2101/artfynd/A 14258-2026 artfynd.xlsx", "A 14258-2026")</f>
        <v/>
      </c>
      <c r="X136">
        <f>HYPERLINK("https://klasma.github.io/Logging_2101/kartor/A 14258-2026 karta.png", "A 14258-2026")</f>
        <v/>
      </c>
      <c r="Y136">
        <f>HYPERLINK("https://klasma.github.io/Logging_2101/kartor_geotiff/A 14258-2026 georefererad karta.tif", "A 14258-2026")</f>
        <v/>
      </c>
      <c r="Z136">
        <f>HYPERLINK("https://klasma.github.io/Logging_2101/knärot/A 14258-2026 karta knärot.png", "A 14258-2026")</f>
        <v/>
      </c>
      <c r="AA136">
        <f>HYPERLINK("https://klasma.github.io/Logging_2101/klagomål/A 14258-2026 FSC-klagomål.docx", "A 14258-2026")</f>
        <v/>
      </c>
      <c r="AB136">
        <f>HYPERLINK("https://klasma.github.io/Logging_2101/klagomålsmail/A 14258-2026 FSC-klagomål mail.docx", "A 14258-2026")</f>
        <v/>
      </c>
      <c r="AC136">
        <f>HYPERLINK("https://klasma.github.io/Logging_2101/tillsyn/A 14258-2026 tillsynsbegäran.docx", "A 14258-2026")</f>
        <v/>
      </c>
      <c r="AD136">
        <f>HYPERLINK("https://klasma.github.io/Logging_2101/tillsynsmail/A 14258-2026 tillsynsbegäran mail.docx", "A 14258-2026")</f>
        <v/>
      </c>
    </row>
    <row r="137" ht="15" customHeight="1">
      <c r="A137" t="inlineStr">
        <is>
          <t>A 18098-2024</t>
        </is>
      </c>
      <c r="B137" t="inlineStr">
        <is>
          <t>avverkningsanmälan</t>
        </is>
      </c>
      <c r="C137" t="inlineStr">
        <is>
          <t>Föryngringsavverkning</t>
        </is>
      </c>
      <c r="D137" s="1" t="n">
        <v>45420</v>
      </c>
      <c r="E137" s="1" t="n">
        <v>46326</v>
      </c>
      <c r="F137" t="inlineStr">
        <is>
          <t>GÄVLEBORGS LÄN</t>
        </is>
      </c>
      <c r="G137" t="inlineStr">
        <is>
          <t>LJUSDAL</t>
        </is>
      </c>
      <c r="H137" t="inlineStr">
        <is>
          <t>Sveaskog</t>
        </is>
      </c>
      <c r="I137" t="n">
        <v>3.3</v>
      </c>
      <c r="J137" t="n">
        <v>1</v>
      </c>
      <c r="K137" t="n">
        <v>1</v>
      </c>
      <c r="L137" t="n">
        <v>5</v>
      </c>
      <c r="M137" t="n">
        <v>1</v>
      </c>
      <c r="N137" t="n">
        <v>0</v>
      </c>
      <c r="O137" t="n">
        <v>0</v>
      </c>
      <c r="P137" t="n">
        <v>0</v>
      </c>
      <c r="Q137" t="n">
        <v>6</v>
      </c>
      <c r="R137" t="n">
        <v>1</v>
      </c>
      <c r="S137" t="n">
        <v>7</v>
      </c>
      <c r="T137" t="n">
        <v>22</v>
      </c>
      <c r="U137" t="n">
        <v>22</v>
      </c>
      <c r="V137" s="2" t="inlineStr">
        <is>
          <t>Garnlav
Kolflarnlav
Varglav
Vedflamlav
Vedskivlav
Vedtrappmossa
Nästlav</t>
        </is>
      </c>
      <c r="W137">
        <f>HYPERLINK("https://klasma.github.io/Logging_2161/artfynd/A 18098-2024 artfynd.xlsx", "A 18098-2024")</f>
        <v/>
      </c>
      <c r="X137">
        <f>HYPERLINK("https://klasma.github.io/Logging_2161/kartor/A 18098-2024 karta.png", "A 18098-2024")</f>
        <v/>
      </c>
      <c r="Y137">
        <f>HYPERLINK("https://klasma.github.io/Logging_2161/kartor_geotiff/A 18098-2024 georefererad karta.tif", "A 18098-2024")</f>
        <v/>
      </c>
      <c r="AA137">
        <f>HYPERLINK("https://klasma.github.io/Logging_2161/klagomål/A 18098-2024 FSC-klagomål.docx", "A 18098-2024")</f>
        <v/>
      </c>
      <c r="AB137">
        <f>HYPERLINK("https://klasma.github.io/Logging_2161/klagomålsmail/A 18098-2024 FSC-klagomål mail.docx", "A 18098-2024")</f>
        <v/>
      </c>
      <c r="AC137">
        <f>HYPERLINK("https://klasma.github.io/Logging_2161/tillsyn/A 18098-2024 tillsynsbegäran.docx", "A 18098-2024")</f>
        <v/>
      </c>
      <c r="AD137">
        <f>HYPERLINK("https://klasma.github.io/Logging_2161/tillsynsmail/A 18098-2024 tillsynsbegäran mail.docx", "A 18098-2024")</f>
        <v/>
      </c>
    </row>
    <row r="138" ht="15" customHeight="1">
      <c r="A138" t="inlineStr">
        <is>
          <t>A 24187-2026</t>
        </is>
      </c>
      <c r="B138" t="inlineStr">
        <is>
          <t>avverkningsanmälan</t>
        </is>
      </c>
      <c r="C138" t="inlineStr">
        <is>
          <t>Föryngringsavverkning</t>
        </is>
      </c>
      <c r="D138" s="1" t="n">
        <v>46168</v>
      </c>
      <c r="E138" s="1" t="n">
        <v>46326</v>
      </c>
      <c r="F138" t="inlineStr">
        <is>
          <t>GÄVLEBORGS LÄN</t>
        </is>
      </c>
      <c r="G138" t="inlineStr">
        <is>
          <t>LJUSDAL</t>
        </is>
      </c>
      <c r="H138" t="inlineStr">
        <is>
          <t>Sveaskog</t>
        </is>
      </c>
      <c r="I138" t="n">
        <v>8.1</v>
      </c>
      <c r="J138" t="n">
        <v>1</v>
      </c>
      <c r="K138" t="n">
        <v>2</v>
      </c>
      <c r="L138" t="n">
        <v>4</v>
      </c>
      <c r="M138" t="n">
        <v>1</v>
      </c>
      <c r="N138" t="n">
        <v>0</v>
      </c>
      <c r="O138" t="n">
        <v>0</v>
      </c>
      <c r="P138" t="n">
        <v>0</v>
      </c>
      <c r="Q138" t="n">
        <v>5</v>
      </c>
      <c r="R138" t="n">
        <v>1</v>
      </c>
      <c r="S138" t="n">
        <v>7</v>
      </c>
      <c r="T138" t="n">
        <v>9</v>
      </c>
      <c r="U138" t="n">
        <v>0</v>
      </c>
      <c r="V138" s="2" t="inlineStr">
        <is>
          <t>Garnlav
Kolflarnlav
Mörk kolflarnlav
Skarp dropptaggsvamp
Vedflamlav
Plattlummer
Vedticka</t>
        </is>
      </c>
      <c r="W138">
        <f>HYPERLINK("https://klasma.github.io/Logging_2161/artfynd/A 24187-2026 artfynd.xlsx", "A 24187-2026")</f>
        <v/>
      </c>
      <c r="X138">
        <f>HYPERLINK("https://klasma.github.io/Logging_2161/kartor/A 24187-2026 karta.png", "A 24187-2026")</f>
        <v/>
      </c>
      <c r="Y138">
        <f>HYPERLINK("https://klasma.github.io/Logging_2161/kartor_geotiff/A 24187-2026 georefererad karta.tif", "A 24187-2026")</f>
        <v/>
      </c>
      <c r="AA138">
        <f>HYPERLINK("https://klasma.github.io/Logging_2161/klagomål/A 24187-2026 FSC-klagomål.docx", "A 24187-2026")</f>
        <v/>
      </c>
      <c r="AB138">
        <f>HYPERLINK("https://klasma.github.io/Logging_2161/klagomålsmail/A 24187-2026 FSC-klagomål mail.docx", "A 24187-2026")</f>
        <v/>
      </c>
      <c r="AC138">
        <f>HYPERLINK("https://klasma.github.io/Logging_2161/tillsyn/A 24187-2026 tillsynsbegäran.docx", "A 24187-2026")</f>
        <v/>
      </c>
      <c r="AD138">
        <f>HYPERLINK("https://klasma.github.io/Logging_2161/tillsynsmail/A 24187-2026 tillsynsbegäran mail.docx", "A 24187-2026")</f>
        <v/>
      </c>
    </row>
    <row r="139" ht="15" customHeight="1">
      <c r="A139" t="inlineStr">
        <is>
          <t>A 23161-2023</t>
        </is>
      </c>
      <c r="B139" t="inlineStr">
        <is>
          <t>avverkningsanmälan</t>
        </is>
      </c>
      <c r="C139" t="inlineStr">
        <is>
          <t>Föryngringsavverkning</t>
        </is>
      </c>
      <c r="D139" s="1" t="n">
        <v>45075</v>
      </c>
      <c r="E139" s="1" t="n">
        <v>46326</v>
      </c>
      <c r="F139" t="inlineStr">
        <is>
          <t>GÄVLEBORGS LÄN</t>
        </is>
      </c>
      <c r="G139" t="inlineStr">
        <is>
          <t>SANDVIKEN</t>
        </is>
      </c>
      <c r="H139" t="inlineStr">
        <is>
          <t>Bergvik skog öst AB</t>
        </is>
      </c>
      <c r="I139" t="n">
        <v>6.1</v>
      </c>
      <c r="J139" t="n">
        <v>1</v>
      </c>
      <c r="K139" t="n">
        <v>5</v>
      </c>
      <c r="L139" t="n">
        <v>0</v>
      </c>
      <c r="M139" t="n">
        <v>0</v>
      </c>
      <c r="N139" t="n">
        <v>1</v>
      </c>
      <c r="O139" t="n">
        <v>0</v>
      </c>
      <c r="P139" t="n">
        <v>0</v>
      </c>
      <c r="Q139" t="n">
        <v>1</v>
      </c>
      <c r="R139" t="n">
        <v>1</v>
      </c>
      <c r="S139" t="n">
        <v>7</v>
      </c>
      <c r="T139" t="n">
        <v>13</v>
      </c>
      <c r="U139" t="n">
        <v>2</v>
      </c>
      <c r="V139" s="2" t="inlineStr">
        <is>
          <t>Strandskinnlav
Brandticka
Bårdlav
Rävticka
Slanklav
Stubbspretmossa
Hårklomossa</t>
        </is>
      </c>
      <c r="W139">
        <f>HYPERLINK("https://klasma.github.io/Logging_2181/artfynd/A 23161-2023 artfynd.xlsx", "A 23161-2023")</f>
        <v/>
      </c>
      <c r="X139">
        <f>HYPERLINK("https://klasma.github.io/Logging_2181/kartor/A 23161-2023 karta.png", "A 23161-2023")</f>
        <v/>
      </c>
      <c r="Y139">
        <f>HYPERLINK("https://klasma.github.io/Logging_2181/kartor_geotiff/A 23161-2023 georefererad karta.tif", "A 23161-2023")</f>
        <v/>
      </c>
      <c r="AA139">
        <f>HYPERLINK("https://klasma.github.io/Logging_2181/klagomål/A 23161-2023 FSC-klagomål.docx", "A 23161-2023")</f>
        <v/>
      </c>
      <c r="AB139">
        <f>HYPERLINK("https://klasma.github.io/Logging_2181/klagomålsmail/A 23161-2023 FSC-klagomål mail.docx", "A 23161-2023")</f>
        <v/>
      </c>
      <c r="AC139">
        <f>HYPERLINK("https://klasma.github.io/Logging_2181/tillsyn/A 23161-2023 tillsynsbegäran.docx", "A 23161-2023")</f>
        <v/>
      </c>
      <c r="AD139">
        <f>HYPERLINK("https://klasma.github.io/Logging_2181/tillsynsmail/A 23161-2023 tillsynsbegäran mail.docx", "A 23161-2023")</f>
        <v/>
      </c>
    </row>
    <row r="140" ht="15" customHeight="1">
      <c r="A140" t="inlineStr">
        <is>
          <t>A 53858-2023</t>
        </is>
      </c>
      <c r="B140" t="inlineStr">
        <is>
          <t>avverkningsanmälan</t>
        </is>
      </c>
      <c r="C140" t="inlineStr">
        <is>
          <t>Avverkning för annat ändamål</t>
        </is>
      </c>
      <c r="D140" s="1" t="n">
        <v>45231</v>
      </c>
      <c r="E140" s="1" t="n">
        <v>46326</v>
      </c>
      <c r="F140" t="inlineStr">
        <is>
          <t>GÄVLEBORGS LÄN</t>
        </is>
      </c>
      <c r="G140" t="inlineStr">
        <is>
          <t>LJUSDAL</t>
        </is>
      </c>
      <c r="H140" t="inlineStr">
        <is>
          <t>Allmännings- och besparingsskogar</t>
        </is>
      </c>
      <c r="I140" t="n">
        <v>2.3</v>
      </c>
      <c r="J140" t="n">
        <v>1</v>
      </c>
      <c r="K140" t="n">
        <v>0</v>
      </c>
      <c r="L140" t="n">
        <v>6</v>
      </c>
      <c r="M140" t="n">
        <v>1</v>
      </c>
      <c r="N140" t="n">
        <v>0</v>
      </c>
      <c r="O140" t="n">
        <v>0</v>
      </c>
      <c r="P140" t="n">
        <v>0</v>
      </c>
      <c r="Q140" t="n">
        <v>7</v>
      </c>
      <c r="R140" t="n">
        <v>1</v>
      </c>
      <c r="S140" t="n">
        <v>7</v>
      </c>
      <c r="T140" t="n">
        <v>15</v>
      </c>
      <c r="U140" t="n">
        <v>15</v>
      </c>
      <c r="V140" s="2" t="inlineStr">
        <is>
          <t>Spadskinn
Blanksvart spiklav
Kolflarnlav
Mellanlummer
Mörk kolflarnlav
Vedflamlav
Vedskivlav</t>
        </is>
      </c>
      <c r="W140">
        <f>HYPERLINK("https://klasma.github.io/Logging_2161/artfynd/A 53858-2023 artfynd.xlsx", "A 53858-2023")</f>
        <v/>
      </c>
      <c r="X140">
        <f>HYPERLINK("https://klasma.github.io/Logging_2161/kartor/A 53858-2023 karta.png", "A 53858-2023")</f>
        <v/>
      </c>
      <c r="Y140">
        <f>HYPERLINK("https://klasma.github.io/Logging_2161/kartor_geotiff/A 53858-2023 georefererad karta.tif", "A 53858-2023")</f>
        <v/>
      </c>
      <c r="AA140">
        <f>HYPERLINK("https://klasma.github.io/Logging_2161/klagomål/A 53858-2023 FSC-klagomål.docx", "A 53858-2023")</f>
        <v/>
      </c>
      <c r="AB140">
        <f>HYPERLINK("https://klasma.github.io/Logging_2161/klagomålsmail/A 53858-2023 FSC-klagomål mail.docx", "A 53858-2023")</f>
        <v/>
      </c>
      <c r="AC140">
        <f>HYPERLINK("https://klasma.github.io/Logging_2161/tillsyn/A 53858-2023 tillsynsbegäran.docx", "A 53858-2023")</f>
        <v/>
      </c>
      <c r="AD140">
        <f>HYPERLINK("https://klasma.github.io/Logging_2161/tillsynsmail/A 53858-2023 tillsynsbegäran mail.docx", "A 53858-2023")</f>
        <v/>
      </c>
    </row>
    <row r="141" ht="15" customHeight="1">
      <c r="A141" t="inlineStr">
        <is>
          <t>A 18297-2024</t>
        </is>
      </c>
      <c r="B141" t="inlineStr">
        <is>
          <t>avverkningsanmälan</t>
        </is>
      </c>
      <c r="C141" t="inlineStr">
        <is>
          <t>Föryngringsavverkning</t>
        </is>
      </c>
      <c r="D141" s="1" t="n">
        <v>45422</v>
      </c>
      <c r="E141" s="1" t="n">
        <v>46326</v>
      </c>
      <c r="F141" t="inlineStr">
        <is>
          <t>GÄVLEBORGS LÄN</t>
        </is>
      </c>
      <c r="G141" t="inlineStr">
        <is>
          <t>LJUSDAL</t>
        </is>
      </c>
      <c r="H141" t="inlineStr">
        <is>
          <t>Holmen skog AB</t>
        </is>
      </c>
      <c r="I141" t="n">
        <v>1.6</v>
      </c>
      <c r="J141" t="n">
        <v>1</v>
      </c>
      <c r="K141" t="n">
        <v>0</v>
      </c>
      <c r="L141" t="n">
        <v>5</v>
      </c>
      <c r="M141" t="n">
        <v>2</v>
      </c>
      <c r="N141" t="n">
        <v>0</v>
      </c>
      <c r="O141" t="n">
        <v>0</v>
      </c>
      <c r="P141" t="n">
        <v>0</v>
      </c>
      <c r="Q141" t="n">
        <v>7</v>
      </c>
      <c r="R141" t="n">
        <v>2</v>
      </c>
      <c r="S141" t="n">
        <v>7</v>
      </c>
      <c r="T141" t="n">
        <v>15</v>
      </c>
      <c r="U141" t="n">
        <v>15</v>
      </c>
      <c r="V141" s="2" t="inlineStr">
        <is>
          <t>Garnlav
Knärot
Kattfotslav
Rosenticka
Ullticka
Violettgrå tagellav
Vitgrynig nållav</t>
        </is>
      </c>
      <c r="W141">
        <f>HYPERLINK("https://klasma.github.io/Logging_2161/artfynd/A 18297-2024 artfynd.xlsx", "A 18297-2024")</f>
        <v/>
      </c>
      <c r="X141">
        <f>HYPERLINK("https://klasma.github.io/Logging_2161/kartor/A 18297-2024 karta.png", "A 18297-2024")</f>
        <v/>
      </c>
      <c r="Y141">
        <f>HYPERLINK("https://klasma.github.io/Logging_2161/kartor_geotiff/A 18297-2024 georefererad karta.tif", "A 18297-2024")</f>
        <v/>
      </c>
      <c r="Z141">
        <f>HYPERLINK("https://klasma.github.io/Logging_2161/knärot/A 18297-2024 karta knärot.png", "A 18297-2024")</f>
        <v/>
      </c>
      <c r="AA141">
        <f>HYPERLINK("https://klasma.github.io/Logging_2161/klagomål/A 18297-2024 FSC-klagomål.docx", "A 18297-2024")</f>
        <v/>
      </c>
      <c r="AB141">
        <f>HYPERLINK("https://klasma.github.io/Logging_2161/klagomålsmail/A 18297-2024 FSC-klagomål mail.docx", "A 18297-2024")</f>
        <v/>
      </c>
      <c r="AC141">
        <f>HYPERLINK("https://klasma.github.io/Logging_2161/tillsyn/A 18297-2024 tillsynsbegäran.docx", "A 18297-2024")</f>
        <v/>
      </c>
      <c r="AD141">
        <f>HYPERLINK("https://klasma.github.io/Logging_2161/tillsynsmail/A 18297-2024 tillsynsbegäran mail.docx", "A 18297-2024")</f>
        <v/>
      </c>
    </row>
    <row r="142" ht="15" customHeight="1">
      <c r="A142" t="inlineStr">
        <is>
          <t>A 24085-2024</t>
        </is>
      </c>
      <c r="B142" t="inlineStr">
        <is>
          <t>avverkningsanmälan</t>
        </is>
      </c>
      <c r="C142" t="inlineStr">
        <is>
          <t>Föryngringsavverkning</t>
        </is>
      </c>
      <c r="D142" s="1" t="n">
        <v>45456</v>
      </c>
      <c r="E142" s="1" t="n">
        <v>46326</v>
      </c>
      <c r="F142" t="inlineStr">
        <is>
          <t>GÄVLEBORGS LÄN</t>
        </is>
      </c>
      <c r="G142" t="inlineStr">
        <is>
          <t>OVANÅKER</t>
        </is>
      </c>
      <c r="I142" t="n">
        <v>6.6</v>
      </c>
      <c r="J142" t="n">
        <v>6</v>
      </c>
      <c r="K142" t="n">
        <v>4</v>
      </c>
      <c r="L142" t="n">
        <v>0</v>
      </c>
      <c r="M142" t="n">
        <v>0</v>
      </c>
      <c r="N142" t="n">
        <v>0</v>
      </c>
      <c r="O142" t="n">
        <v>0</v>
      </c>
      <c r="P142" t="n">
        <v>0</v>
      </c>
      <c r="Q142" t="n">
        <v>0</v>
      </c>
      <c r="R142" t="n">
        <v>0</v>
      </c>
      <c r="S142" t="n">
        <v>7</v>
      </c>
      <c r="T142" t="n">
        <v>7</v>
      </c>
      <c r="U142" t="n">
        <v>7</v>
      </c>
      <c r="V142" s="2" t="inlineStr">
        <is>
          <t>Gräsull
Korallrot
Spindelblomster
Tvåblad
Fläcknycklar
Lopplummer (aggregat)
Revlummer</t>
        </is>
      </c>
      <c r="W142">
        <f>HYPERLINK("https://klasma.github.io/Logging_2121/artfynd/A 24085-2024 artfynd.xlsx", "A 24085-2024")</f>
        <v/>
      </c>
      <c r="X142">
        <f>HYPERLINK("https://klasma.github.io/Logging_2121/kartor/A 24085-2024 karta.png", "A 24085-2024")</f>
        <v/>
      </c>
      <c r="Y142">
        <f>HYPERLINK("https://klasma.github.io/Logging_2121/kartor_geotiff/A 24085-2024 georefererad karta.tif", "A 24085-2024")</f>
        <v/>
      </c>
      <c r="AA142">
        <f>HYPERLINK("https://klasma.github.io/Logging_2121/klagomål/A 24085-2024 FSC-klagomål.docx", "A 24085-2024")</f>
        <v/>
      </c>
      <c r="AB142">
        <f>HYPERLINK("https://klasma.github.io/Logging_2121/klagomålsmail/A 24085-2024 FSC-klagomål mail.docx", "A 24085-2024")</f>
        <v/>
      </c>
      <c r="AC142">
        <f>HYPERLINK("https://klasma.github.io/Logging_2121/tillsyn/A 24085-2024 tillsynsbegäran.docx", "A 24085-2024")</f>
        <v/>
      </c>
      <c r="AD142">
        <f>HYPERLINK("https://klasma.github.io/Logging_2121/tillsynsmail/A 24085-2024 tillsynsbegäran mail.docx", "A 24085-2024")</f>
        <v/>
      </c>
    </row>
    <row r="143" ht="15" customHeight="1">
      <c r="A143" t="inlineStr">
        <is>
          <t>A 18274-2023</t>
        </is>
      </c>
      <c r="B143" t="inlineStr">
        <is>
          <t>avverkningsanmälan</t>
        </is>
      </c>
      <c r="C143" t="inlineStr">
        <is>
          <t>Föryngringsavverkning</t>
        </is>
      </c>
      <c r="D143" s="1" t="n">
        <v>45041</v>
      </c>
      <c r="E143" s="1" t="n">
        <v>46326</v>
      </c>
      <c r="F143" t="inlineStr">
        <is>
          <t>GÄVLEBORGS LÄN</t>
        </is>
      </c>
      <c r="G143" t="inlineStr">
        <is>
          <t>SÖDERHAMN</t>
        </is>
      </c>
      <c r="H143" t="inlineStr">
        <is>
          <t>Bergvik skog väst AB</t>
        </is>
      </c>
      <c r="I143" t="n">
        <v>10.6</v>
      </c>
      <c r="J143" t="n">
        <v>7</v>
      </c>
      <c r="K143" t="n">
        <v>0</v>
      </c>
      <c r="L143" t="n">
        <v>3</v>
      </c>
      <c r="M143" t="n">
        <v>0</v>
      </c>
      <c r="N143" t="n">
        <v>0</v>
      </c>
      <c r="O143" t="n">
        <v>0</v>
      </c>
      <c r="P143" t="n">
        <v>0</v>
      </c>
      <c r="Q143" t="n">
        <v>3</v>
      </c>
      <c r="R143" t="n">
        <v>0</v>
      </c>
      <c r="S143" t="n">
        <v>7</v>
      </c>
      <c r="T143" t="n">
        <v>15</v>
      </c>
      <c r="U143" t="n">
        <v>15</v>
      </c>
      <c r="V143" s="2" t="inlineStr">
        <is>
          <t>Mindre hackspett
Rödvingetrast
Talltita
Grönsiska
Kungsfågel
Svartvit flugsnappare
Ärtsångare</t>
        </is>
      </c>
      <c r="W143">
        <f>HYPERLINK("https://klasma.github.io/Logging_2182/artfynd/A 18274-2023 artfynd.xlsx", "A 18274-2023")</f>
        <v/>
      </c>
      <c r="X143">
        <f>HYPERLINK("https://klasma.github.io/Logging_2182/kartor/A 18274-2023 karta.png", "A 18274-2023")</f>
        <v/>
      </c>
      <c r="Y143">
        <f>HYPERLINK("https://klasma.github.io/Logging_2182/kartor_geotiff/A 18274-2023 georefererad karta.tif", "A 18274-2023")</f>
        <v/>
      </c>
      <c r="AA143">
        <f>HYPERLINK("https://klasma.github.io/Logging_2182/klagomål/A 18274-2023 FSC-klagomål.docx", "A 18274-2023")</f>
        <v/>
      </c>
      <c r="AB143">
        <f>HYPERLINK("https://klasma.github.io/Logging_2182/klagomålsmail/A 18274-2023 FSC-klagomål mail.docx", "A 18274-2023")</f>
        <v/>
      </c>
      <c r="AC143">
        <f>HYPERLINK("https://klasma.github.io/Logging_2182/tillsyn/A 18274-2023 tillsynsbegäran.docx", "A 18274-2023")</f>
        <v/>
      </c>
      <c r="AD143">
        <f>HYPERLINK("https://klasma.github.io/Logging_2182/tillsynsmail/A 18274-2023 tillsynsbegäran mail.docx", "A 18274-2023")</f>
        <v/>
      </c>
      <c r="AE143">
        <f>HYPERLINK("https://klasma.github.io/Logging_2182/fåglar/A 18274-2023 prioriterade fågelarter.docx", "A 18274-2023")</f>
        <v/>
      </c>
    </row>
    <row r="144" ht="15" customHeight="1">
      <c r="A144" t="inlineStr">
        <is>
          <t>A 34739-2026</t>
        </is>
      </c>
      <c r="B144" t="inlineStr">
        <is>
          <t>avverkningsanmälan</t>
        </is>
      </c>
      <c r="C144" t="inlineStr">
        <is>
          <t>Föryngringsavverkning</t>
        </is>
      </c>
      <c r="D144" s="1" t="n">
        <v>46258</v>
      </c>
      <c r="E144" s="1" t="n">
        <v>46326</v>
      </c>
      <c r="F144" t="inlineStr">
        <is>
          <t>GÄVLEBORGS LÄN</t>
        </is>
      </c>
      <c r="G144" t="inlineStr">
        <is>
          <t>LJUSDAL</t>
        </is>
      </c>
      <c r="H144" t="inlineStr">
        <is>
          <t>Sveaskog</t>
        </is>
      </c>
      <c r="I144" t="n">
        <v>5.1</v>
      </c>
      <c r="J144" t="n">
        <v>3</v>
      </c>
      <c r="K144" t="n">
        <v>0</v>
      </c>
      <c r="L144" t="n">
        <v>3</v>
      </c>
      <c r="M144" t="n">
        <v>2</v>
      </c>
      <c r="N144" t="n">
        <v>0</v>
      </c>
      <c r="O144" t="n">
        <v>0</v>
      </c>
      <c r="P144" t="n">
        <v>0</v>
      </c>
      <c r="Q144" t="n">
        <v>5</v>
      </c>
      <c r="R144" t="n">
        <v>2</v>
      </c>
      <c r="S144" t="n">
        <v>7</v>
      </c>
      <c r="T144" t="n">
        <v>12</v>
      </c>
      <c r="U144" t="n">
        <v>1</v>
      </c>
      <c r="V144" s="2" t="inlineStr">
        <is>
          <t>Garnlav
Knärot
Kolflarnlav
Lunglav
Vedflamlav
Tjäder
Nattviol</t>
        </is>
      </c>
      <c r="W144">
        <f>HYPERLINK("https://klasma.github.io/Logging_2161/artfynd/A 34739-2026 artfynd.xlsx", "A 34739-2026")</f>
        <v/>
      </c>
      <c r="X144">
        <f>HYPERLINK("https://klasma.github.io/Logging_2161/kartor/A 34739-2026 karta.png", "A 34739-2026")</f>
        <v/>
      </c>
      <c r="Y144">
        <f>HYPERLINK("https://klasma.github.io/Logging_2161/kartor_geotiff/A 34739-2026 georefererad karta.tif", "A 34739-2026")</f>
        <v/>
      </c>
      <c r="Z144">
        <f>HYPERLINK("https://klasma.github.io/Logging_2161/knärot/A 34739-2026 karta knärot.png", "A 34739-2026")</f>
        <v/>
      </c>
      <c r="AA144">
        <f>HYPERLINK("https://klasma.github.io/Logging_2161/klagomål/A 34739-2026 FSC-klagomål.docx", "A 34739-2026")</f>
        <v/>
      </c>
      <c r="AB144">
        <f>HYPERLINK("https://klasma.github.io/Logging_2161/klagomålsmail/A 34739-2026 FSC-klagomål mail.docx", "A 34739-2026")</f>
        <v/>
      </c>
      <c r="AC144">
        <f>HYPERLINK("https://klasma.github.io/Logging_2161/tillsyn/A 34739-2026 tillsynsbegäran.docx", "A 34739-2026")</f>
        <v/>
      </c>
      <c r="AD144">
        <f>HYPERLINK("https://klasma.github.io/Logging_2161/tillsynsmail/A 34739-2026 tillsynsbegäran mail.docx", "A 34739-2026")</f>
        <v/>
      </c>
      <c r="AE144">
        <f>HYPERLINK("https://klasma.github.io/Logging_2161/fåglar/A 34739-2026 prioriterade fågelarter.docx", "A 34739-2026")</f>
        <v/>
      </c>
    </row>
    <row r="145" ht="15" customHeight="1">
      <c r="A145" t="inlineStr">
        <is>
          <t>A 10036-2026</t>
        </is>
      </c>
      <c r="B145" t="inlineStr">
        <is>
          <t>avverkningsanmälan</t>
        </is>
      </c>
      <c r="C145" t="inlineStr">
        <is>
          <t>Föryngringsavverkning</t>
        </is>
      </c>
      <c r="D145" s="1" t="n">
        <v>46073</v>
      </c>
      <c r="E145" s="1" t="n">
        <v>46326</v>
      </c>
      <c r="F145" t="inlineStr">
        <is>
          <t>GÄVLEBORGS LÄN</t>
        </is>
      </c>
      <c r="G145" t="inlineStr">
        <is>
          <t>BOLLNÄS</t>
        </is>
      </c>
      <c r="I145" t="n">
        <v>3.5</v>
      </c>
      <c r="J145" t="n">
        <v>6</v>
      </c>
      <c r="K145" t="n">
        <v>4</v>
      </c>
      <c r="L145" t="n">
        <v>0</v>
      </c>
      <c r="M145" t="n">
        <v>0</v>
      </c>
      <c r="N145" t="n">
        <v>0</v>
      </c>
      <c r="O145" t="n">
        <v>0</v>
      </c>
      <c r="P145" t="n">
        <v>0</v>
      </c>
      <c r="Q145" t="n">
        <v>0</v>
      </c>
      <c r="R145" t="n">
        <v>0</v>
      </c>
      <c r="S145" t="n">
        <v>7</v>
      </c>
      <c r="T145" t="n">
        <v>7</v>
      </c>
      <c r="U145" t="n">
        <v>0</v>
      </c>
      <c r="V145" s="2" t="inlineStr">
        <is>
          <t>Gräsull
Korallrot
Spindelblomster
Tvåblad
Fläcknycklar
Myggblomster
Revlummer</t>
        </is>
      </c>
      <c r="W145">
        <f>HYPERLINK("https://klasma.github.io/Logging_2183/artfynd/A 10036-2026 artfynd.xlsx", "A 10036-2026")</f>
        <v/>
      </c>
      <c r="X145">
        <f>HYPERLINK("https://klasma.github.io/Logging_2183/kartor/A 10036-2026 karta.png", "A 10036-2026")</f>
        <v/>
      </c>
      <c r="Y145">
        <f>HYPERLINK("https://klasma.github.io/Logging_2183/kartor_geotiff/A 10036-2026 georefererad karta.tif", "A 10036-2026")</f>
        <v/>
      </c>
      <c r="AA145">
        <f>HYPERLINK("https://klasma.github.io/Logging_2183/klagomål/A 10036-2026 FSC-klagomål.docx", "A 10036-2026")</f>
        <v/>
      </c>
      <c r="AB145">
        <f>HYPERLINK("https://klasma.github.io/Logging_2183/klagomålsmail/A 10036-2026 FSC-klagomål mail.docx", "A 10036-2026")</f>
        <v/>
      </c>
      <c r="AC145">
        <f>HYPERLINK("https://klasma.github.io/Logging_2183/tillsyn/A 10036-2026 tillsynsbegäran.docx", "A 10036-2026")</f>
        <v/>
      </c>
      <c r="AD145">
        <f>HYPERLINK("https://klasma.github.io/Logging_2183/tillsynsmail/A 10036-2026 tillsynsbegäran mail.docx", "A 10036-2026")</f>
        <v/>
      </c>
    </row>
    <row r="146" ht="15" customHeight="1">
      <c r="A146" t="inlineStr">
        <is>
          <t>A 36152-2026</t>
        </is>
      </c>
      <c r="B146" t="inlineStr">
        <is>
          <t>avverkningsanmälan</t>
        </is>
      </c>
      <c r="C146" t="inlineStr">
        <is>
          <t>Föryngringsavverkning</t>
        </is>
      </c>
      <c r="D146" s="1" t="n">
        <v>46267</v>
      </c>
      <c r="E146" s="1" t="n">
        <v>46326</v>
      </c>
      <c r="F146" t="inlineStr">
        <is>
          <t>GÄVLEBORGS LÄN</t>
        </is>
      </c>
      <c r="G146" t="inlineStr">
        <is>
          <t>LJUSDAL</t>
        </is>
      </c>
      <c r="H146" t="inlineStr">
        <is>
          <t>Bergvik skog väst AB</t>
        </is>
      </c>
      <c r="I146" t="n">
        <v>2.3</v>
      </c>
      <c r="J146" t="n">
        <v>1</v>
      </c>
      <c r="K146" t="n">
        <v>4</v>
      </c>
      <c r="L146" t="n">
        <v>1</v>
      </c>
      <c r="M146" t="n">
        <v>2</v>
      </c>
      <c r="N146" t="n">
        <v>0</v>
      </c>
      <c r="O146" t="n">
        <v>0</v>
      </c>
      <c r="P146" t="n">
        <v>0</v>
      </c>
      <c r="Q146" t="n">
        <v>3</v>
      </c>
      <c r="R146" t="n">
        <v>2</v>
      </c>
      <c r="S146" t="n">
        <v>7</v>
      </c>
      <c r="T146" t="n">
        <v>7</v>
      </c>
      <c r="U146" t="n">
        <v>0</v>
      </c>
      <c r="V146" s="2" t="inlineStr">
        <is>
          <t>Garnlav
Gränsticka
Doftskinn
Mörk husmossa
Spindelblomster
Vedticka
Vågbandad barkbock</t>
        </is>
      </c>
      <c r="W146">
        <f>HYPERLINK("https://klasma.github.io/Logging_2161/artfynd/A 36152-2026 artfynd.xlsx", "A 36152-2026")</f>
        <v/>
      </c>
      <c r="X146">
        <f>HYPERLINK("https://klasma.github.io/Logging_2161/kartor/A 36152-2026 karta.png", "A 36152-2026")</f>
        <v/>
      </c>
      <c r="Y146">
        <f>HYPERLINK("https://klasma.github.io/Logging_2161/kartor_geotiff/A 36152-2026 georefererad karta.tif", "A 36152-2026")</f>
        <v/>
      </c>
      <c r="AA146">
        <f>HYPERLINK("https://klasma.github.io/Logging_2161/klagomål/A 36152-2026 FSC-klagomål.docx", "A 36152-2026")</f>
        <v/>
      </c>
      <c r="AB146">
        <f>HYPERLINK("https://klasma.github.io/Logging_2161/klagomålsmail/A 36152-2026 FSC-klagomål mail.docx", "A 36152-2026")</f>
        <v/>
      </c>
      <c r="AC146">
        <f>HYPERLINK("https://klasma.github.io/Logging_2161/tillsyn/A 36152-2026 tillsynsbegäran.docx", "A 36152-2026")</f>
        <v/>
      </c>
      <c r="AD146">
        <f>HYPERLINK("https://klasma.github.io/Logging_2161/tillsynsmail/A 36152-2026 tillsynsbegäran mail.docx", "A 36152-2026")</f>
        <v/>
      </c>
    </row>
    <row r="147" ht="15" customHeight="1">
      <c r="A147" t="inlineStr">
        <is>
          <t>S 381-2024</t>
        </is>
      </c>
      <c r="B147" t="inlineStr">
        <is>
          <t>samrådsanmälan</t>
        </is>
      </c>
      <c r="C147" t="inlineStr">
        <is>
          <t>Annan skogsbruksåtgärd</t>
        </is>
      </c>
      <c r="D147" s="1" t="n">
        <v>45331</v>
      </c>
      <c r="E147" s="1" t="n">
        <v>46326</v>
      </c>
      <c r="F147" t="inlineStr">
        <is>
          <t>GÄVLEBORGS LÄN</t>
        </is>
      </c>
      <c r="G147" t="inlineStr">
        <is>
          <t>SÖDERHAMN</t>
        </is>
      </c>
      <c r="H147" t="inlineStr">
        <is>
          <t>Naturvårdsverket</t>
        </is>
      </c>
      <c r="I147" t="n">
        <v>134</v>
      </c>
      <c r="J147" t="n">
        <v>5</v>
      </c>
      <c r="K147" t="n">
        <v>1</v>
      </c>
      <c r="L147" t="n">
        <v>2</v>
      </c>
      <c r="M147" t="n">
        <v>0</v>
      </c>
      <c r="N147" t="n">
        <v>0</v>
      </c>
      <c r="O147" t="n">
        <v>0</v>
      </c>
      <c r="P147" t="n">
        <v>0</v>
      </c>
      <c r="Q147" t="n">
        <v>2</v>
      </c>
      <c r="R147" t="n">
        <v>0</v>
      </c>
      <c r="S147" t="n">
        <v>7</v>
      </c>
      <c r="T147" t="n">
        <v>7</v>
      </c>
      <c r="U147" t="n">
        <v>6</v>
      </c>
      <c r="V147" s="2" t="inlineStr">
        <is>
          <t>Höstlåsbräken
Vårärt
Tibast
Blåsippa
Fläcknycklar
Nattviol
Revlummer</t>
        </is>
      </c>
      <c r="W147">
        <f>HYPERLINK("https://klasma.github.io/Logging_2182/artfynd/S 381-2024 artfynd.xlsx", "S 381-2024")</f>
        <v/>
      </c>
      <c r="X147">
        <f>HYPERLINK("https://klasma.github.io/Logging_2182/kartor/S 381-2024 karta.png", "S 381-2024")</f>
        <v/>
      </c>
      <c r="Y147">
        <f>HYPERLINK("https://klasma.github.io/Logging_2182/kartor_geotiff/S 381-2024 georefererad karta.tif", "S 381-2024")</f>
        <v/>
      </c>
      <c r="AA147">
        <f>HYPERLINK("https://klasma.github.io/Logging_2182/klagomål/S 381-2024 FSC-klagomål.docx", "S 381-2024")</f>
        <v/>
      </c>
      <c r="AB147">
        <f>HYPERLINK("https://klasma.github.io/Logging_2182/klagomålsmail/S 381-2024 FSC-klagomål mail.docx", "S 381-2024")</f>
        <v/>
      </c>
      <c r="AC147">
        <f>HYPERLINK("https://klasma.github.io/Logging_2182/tillsyn/S 381-2024 tillsynsbegäran.docx", "S 381-2024")</f>
        <v/>
      </c>
      <c r="AD147">
        <f>HYPERLINK("https://klasma.github.io/Logging_2182/tillsynsmail/S 381-2024 tillsynsbegäran mail.docx", "S 381-2024")</f>
        <v/>
      </c>
    </row>
    <row r="148" ht="15" customHeight="1">
      <c r="A148" t="inlineStr">
        <is>
          <t>S 116-2025</t>
        </is>
      </c>
      <c r="B148" t="inlineStr">
        <is>
          <t>samrådsanmälan</t>
        </is>
      </c>
      <c r="C148" t="inlineStr">
        <is>
          <t>Skogsgödsling</t>
        </is>
      </c>
      <c r="D148" s="1" t="n">
        <v>45670</v>
      </c>
      <c r="E148" s="1" t="n">
        <v>46326</v>
      </c>
      <c r="F148" t="inlineStr">
        <is>
          <t>GÄVLEBORGS LÄN</t>
        </is>
      </c>
      <c r="G148" t="inlineStr">
        <is>
          <t>HUDIKSVALL</t>
        </is>
      </c>
      <c r="H148" t="inlineStr">
        <is>
          <t>Holmen skog AB</t>
        </is>
      </c>
      <c r="I148" t="n">
        <v>99.3</v>
      </c>
      <c r="J148" t="n">
        <v>3</v>
      </c>
      <c r="K148" t="n">
        <v>2</v>
      </c>
      <c r="L148" t="n">
        <v>2</v>
      </c>
      <c r="M148" t="n">
        <v>1</v>
      </c>
      <c r="N148" t="n">
        <v>0</v>
      </c>
      <c r="O148" t="n">
        <v>0</v>
      </c>
      <c r="P148" t="n">
        <v>0</v>
      </c>
      <c r="Q148" t="n">
        <v>3</v>
      </c>
      <c r="R148" t="n">
        <v>1</v>
      </c>
      <c r="S148" t="n">
        <v>7</v>
      </c>
      <c r="T148" t="n">
        <v>8</v>
      </c>
      <c r="U148" t="n">
        <v>4</v>
      </c>
      <c r="V148" s="2" t="inlineStr">
        <is>
          <t>Knärot
Dropptaggsvamp
Ullticka
Robust tickgnagare
Skinnlav
Nattviol
Revlummer</t>
        </is>
      </c>
      <c r="W148">
        <f>HYPERLINK("https://klasma.github.io/Logging_2184/artfynd/S 116-2025 artfynd.xlsx", "S 116-2025")</f>
        <v/>
      </c>
      <c r="X148">
        <f>HYPERLINK("https://klasma.github.io/Logging_2184/kartor/S 116-2025 karta.png", "S 116-2025")</f>
        <v/>
      </c>
      <c r="Y148">
        <f>HYPERLINK("https://klasma.github.io/Logging_2184/kartor_geotiff/S 116-2025 georefererad karta.tif", "S 116-2025")</f>
        <v/>
      </c>
      <c r="Z148">
        <f>HYPERLINK("https://klasma.github.io/Logging_2184/knärot/S 116-2025 karta knärot.png", "S 116-2025")</f>
        <v/>
      </c>
      <c r="AA148">
        <f>HYPERLINK("https://klasma.github.io/Logging_2184/klagomål/S 116-2025 FSC-klagomål.docx", "S 116-2025")</f>
        <v/>
      </c>
      <c r="AB148">
        <f>HYPERLINK("https://klasma.github.io/Logging_2184/klagomålsmail/S 116-2025 FSC-klagomål mail.docx", "S 116-2025")</f>
        <v/>
      </c>
      <c r="AC148">
        <f>HYPERLINK("https://klasma.github.io/Logging_2184/tillsyn/S 116-2025 tillsynsbegäran.docx", "S 116-2025")</f>
        <v/>
      </c>
      <c r="AD148">
        <f>HYPERLINK("https://klasma.github.io/Logging_2184/tillsynsmail/S 116-2025 tillsynsbegäran mail.docx", "S 116-2025")</f>
        <v/>
      </c>
    </row>
    <row r="149" ht="15" customHeight="1">
      <c r="A149" t="inlineStr">
        <is>
          <t>S 1534-2023</t>
        </is>
      </c>
      <c r="B149" t="inlineStr">
        <is>
          <t>samrådsanmälan</t>
        </is>
      </c>
      <c r="C149" t="inlineStr">
        <is>
          <t>Skogsgödsling</t>
        </is>
      </c>
      <c r="D149" s="1" t="n">
        <v>45054</v>
      </c>
      <c r="E149" s="1" t="n">
        <v>46326</v>
      </c>
      <c r="F149" t="inlineStr">
        <is>
          <t>GÄVLEBORGS LÄN</t>
        </is>
      </c>
      <c r="G149" t="inlineStr">
        <is>
          <t>OCKELBO</t>
        </is>
      </c>
      <c r="H149" t="inlineStr">
        <is>
          <t>Bergvik skog väst AB</t>
        </is>
      </c>
      <c r="I149" t="n">
        <v>426.4</v>
      </c>
      <c r="J149" t="n">
        <v>5</v>
      </c>
      <c r="K149" t="n">
        <v>2</v>
      </c>
      <c r="L149" t="n">
        <v>3</v>
      </c>
      <c r="M149" t="n">
        <v>0</v>
      </c>
      <c r="N149" t="n">
        <v>0</v>
      </c>
      <c r="O149" t="n">
        <v>0</v>
      </c>
      <c r="P149" t="n">
        <v>0</v>
      </c>
      <c r="Q149" t="n">
        <v>3</v>
      </c>
      <c r="R149" t="n">
        <v>0</v>
      </c>
      <c r="S149" t="n">
        <v>7</v>
      </c>
      <c r="T149" t="n">
        <v>10</v>
      </c>
      <c r="U149" t="n">
        <v>6</v>
      </c>
      <c r="V149" s="2" t="inlineStr">
        <is>
          <t>Motaggsvamp
Strandlummer
Talltita
Grönpyrola
Plattlummer
Gråspett
Grönsiska</t>
        </is>
      </c>
      <c r="W149">
        <f>HYPERLINK("https://klasma.github.io/Logging_2101/artfynd/S 1534-2023 artfynd.xlsx", "S 1534-2023")</f>
        <v/>
      </c>
      <c r="X149">
        <f>HYPERLINK("https://klasma.github.io/Logging_2101/kartor/S 1534-2023 karta.png", "S 1534-2023")</f>
        <v/>
      </c>
      <c r="Y149">
        <f>HYPERLINK("https://klasma.github.io/Logging_2101/kartor_geotiff/S 1534-2023 georefererad karta.tif", "S 1534-2023")</f>
        <v/>
      </c>
      <c r="AA149">
        <f>HYPERLINK("https://klasma.github.io/Logging_2101/klagomål/S 1534-2023 FSC-klagomål.docx", "S 1534-2023")</f>
        <v/>
      </c>
      <c r="AB149">
        <f>HYPERLINK("https://klasma.github.io/Logging_2101/klagomålsmail/S 1534-2023 FSC-klagomål mail.docx", "S 1534-2023")</f>
        <v/>
      </c>
      <c r="AC149">
        <f>HYPERLINK("https://klasma.github.io/Logging_2101/tillsyn/S 1534-2023 tillsynsbegäran.docx", "S 1534-2023")</f>
        <v/>
      </c>
      <c r="AD149">
        <f>HYPERLINK("https://klasma.github.io/Logging_2101/tillsynsmail/S 1534-2023 tillsynsbegäran mail.docx", "S 1534-2023")</f>
        <v/>
      </c>
      <c r="AE149">
        <f>HYPERLINK("https://klasma.github.io/Logging_2101/fåglar/S 1534-2023 prioriterade fågelarter.docx", "S 1534-2023")</f>
        <v/>
      </c>
    </row>
    <row r="150" ht="15" customHeight="1">
      <c r="A150" t="inlineStr">
        <is>
          <t>S 114-2025</t>
        </is>
      </c>
      <c r="B150" t="inlineStr">
        <is>
          <t>samrådsanmälan</t>
        </is>
      </c>
      <c r="C150" t="inlineStr">
        <is>
          <t>Skogsgödsling</t>
        </is>
      </c>
      <c r="D150" s="1" t="n">
        <v>45670</v>
      </c>
      <c r="E150" s="1" t="n">
        <v>46326</v>
      </c>
      <c r="F150" t="inlineStr">
        <is>
          <t>GÄVLEBORGS LÄN</t>
        </is>
      </c>
      <c r="G150" t="inlineStr">
        <is>
          <t>HUDIKSVALL</t>
        </is>
      </c>
      <c r="H150" t="inlineStr">
        <is>
          <t>Holmen skog AB</t>
        </is>
      </c>
      <c r="I150" t="n">
        <v>128</v>
      </c>
      <c r="J150" t="n">
        <v>3</v>
      </c>
      <c r="K150" t="n">
        <v>1</v>
      </c>
      <c r="L150" t="n">
        <v>3</v>
      </c>
      <c r="M150" t="n">
        <v>0</v>
      </c>
      <c r="N150" t="n">
        <v>1</v>
      </c>
      <c r="O150" t="n">
        <v>0</v>
      </c>
      <c r="P150" t="n">
        <v>0</v>
      </c>
      <c r="Q150" t="n">
        <v>4</v>
      </c>
      <c r="R150" t="n">
        <v>1</v>
      </c>
      <c r="S150" t="n">
        <v>7</v>
      </c>
      <c r="T150" t="n">
        <v>10</v>
      </c>
      <c r="U150" t="n">
        <v>0</v>
      </c>
      <c r="V150" s="2" t="inlineStr">
        <is>
          <t>Pärluggla
Gammelgransskål
Lunglav
Rynkskinn
Skinnlav
Tjäder
Revlummer</t>
        </is>
      </c>
      <c r="W150">
        <f>HYPERLINK("https://klasma.github.io/Logging_2184/artfynd/S 114-2025 artfynd.xlsx", "S 114-2025")</f>
        <v/>
      </c>
      <c r="X150">
        <f>HYPERLINK("https://klasma.github.io/Logging_2184/kartor/S 114-2025 karta.png", "S 114-2025")</f>
        <v/>
      </c>
      <c r="Y150">
        <f>HYPERLINK("https://klasma.github.io/Logging_2184/kartor_geotiff/S 114-2025 georefererad karta.tif", "S 114-2025")</f>
        <v/>
      </c>
      <c r="AA150">
        <f>HYPERLINK("https://klasma.github.io/Logging_2184/klagomål/S 114-2025 FSC-klagomål.docx", "S 114-2025")</f>
        <v/>
      </c>
      <c r="AB150">
        <f>HYPERLINK("https://klasma.github.io/Logging_2184/klagomålsmail/S 114-2025 FSC-klagomål mail.docx", "S 114-2025")</f>
        <v/>
      </c>
      <c r="AC150">
        <f>HYPERLINK("https://klasma.github.io/Logging_2184/tillsyn/S 114-2025 tillsynsbegäran.docx", "S 114-2025")</f>
        <v/>
      </c>
      <c r="AD150">
        <f>HYPERLINK("https://klasma.github.io/Logging_2184/tillsynsmail/S 114-2025 tillsynsbegäran mail.docx", "S 114-2025")</f>
        <v/>
      </c>
      <c r="AE150">
        <f>HYPERLINK("https://klasma.github.io/Logging_2184/fåglar/S 114-2025 prioriterade fågelarter.docx", "S 114-2025")</f>
        <v/>
      </c>
    </row>
    <row r="151" ht="15" customHeight="1">
      <c r="A151" t="inlineStr">
        <is>
          <t>S 1220-2025</t>
        </is>
      </c>
      <c r="B151" t="inlineStr">
        <is>
          <t>samrådsanmälan</t>
        </is>
      </c>
      <c r="C151" t="inlineStr">
        <is>
          <t>Annan skogsbruksåtgärd</t>
        </is>
      </c>
      <c r="D151" s="1" t="n">
        <v>45761</v>
      </c>
      <c r="E151" s="1" t="n">
        <v>46326</v>
      </c>
      <c r="F151" t="inlineStr">
        <is>
          <t>GÄVLEBORGS LÄN</t>
        </is>
      </c>
      <c r="G151" t="inlineStr">
        <is>
          <t>LJUSDAL</t>
        </is>
      </c>
      <c r="H151" t="inlineStr">
        <is>
          <t>Sveaskog</t>
        </is>
      </c>
      <c r="I151" t="n">
        <v>14.3</v>
      </c>
      <c r="J151" t="n">
        <v>2</v>
      </c>
      <c r="K151" t="n">
        <v>0</v>
      </c>
      <c r="L151" t="n">
        <v>6</v>
      </c>
      <c r="M151" t="n">
        <v>1</v>
      </c>
      <c r="N151" t="n">
        <v>0</v>
      </c>
      <c r="O151" t="n">
        <v>0</v>
      </c>
      <c r="P151" t="n">
        <v>0</v>
      </c>
      <c r="Q151" t="n">
        <v>7</v>
      </c>
      <c r="R151" t="n">
        <v>1</v>
      </c>
      <c r="S151" t="n">
        <v>7</v>
      </c>
      <c r="T151" t="n">
        <v>9</v>
      </c>
      <c r="U151" t="n">
        <v>2</v>
      </c>
      <c r="V151" s="2" t="inlineStr">
        <is>
          <t>Knärot
Dropptaggsvamp
Kolflarnlav
Mörk kolflarnlav
Skarp dropptaggsvamp
Tallticka
Tretåig hackspett</t>
        </is>
      </c>
      <c r="W151">
        <f>HYPERLINK("https://klasma.github.io/Logging_2161/artfynd/S 1220-2025 artfynd.xlsx", "S 1220-2025")</f>
        <v/>
      </c>
      <c r="X151">
        <f>HYPERLINK("https://klasma.github.io/Logging_2161/kartor/S 1220-2025 karta.png", "S 1220-2025")</f>
        <v/>
      </c>
      <c r="Y151">
        <f>HYPERLINK("https://klasma.github.io/Logging_2161/kartor_geotiff/S 1220-2025 georefererad karta.tif", "S 1220-2025")</f>
        <v/>
      </c>
      <c r="Z151">
        <f>HYPERLINK("https://klasma.github.io/Logging_2161/knärot/S 1220-2025 karta knärot.png", "S 1220-2025")</f>
        <v/>
      </c>
      <c r="AA151">
        <f>HYPERLINK("https://klasma.github.io/Logging_2161/klagomål/S 1220-2025 FSC-klagomål.docx", "S 1220-2025")</f>
        <v/>
      </c>
      <c r="AB151">
        <f>HYPERLINK("https://klasma.github.io/Logging_2161/klagomålsmail/S 1220-2025 FSC-klagomål mail.docx", "S 1220-2025")</f>
        <v/>
      </c>
      <c r="AC151">
        <f>HYPERLINK("https://klasma.github.io/Logging_2161/tillsyn/S 1220-2025 tillsynsbegäran.docx", "S 1220-2025")</f>
        <v/>
      </c>
      <c r="AD151">
        <f>HYPERLINK("https://klasma.github.io/Logging_2161/tillsynsmail/S 1220-2025 tillsynsbegäran mail.docx", "S 1220-2025")</f>
        <v/>
      </c>
      <c r="AE151">
        <f>HYPERLINK("https://klasma.github.io/Logging_2161/fåglar/S 1220-2025 prioriterade fågelarter.docx", "S 1220-2025")</f>
        <v/>
      </c>
    </row>
    <row r="152" ht="15" customHeight="1">
      <c r="A152" t="inlineStr">
        <is>
          <t>S 453-2025</t>
        </is>
      </c>
      <c r="B152" t="inlineStr">
        <is>
          <t>samrådsanmälan</t>
        </is>
      </c>
      <c r="C152" t="inlineStr">
        <is>
          <t>Askåterföring</t>
        </is>
      </c>
      <c r="D152" s="1" t="n">
        <v>45701</v>
      </c>
      <c r="E152" s="1" t="n">
        <v>46326</v>
      </c>
      <c r="F152" t="inlineStr">
        <is>
          <t>GÄVLEBORGS LÄN</t>
        </is>
      </c>
      <c r="G152" t="inlineStr">
        <is>
          <t>SANDVIKEN</t>
        </is>
      </c>
      <c r="H152" t="inlineStr">
        <is>
          <t>Sveaskog</t>
        </is>
      </c>
      <c r="I152" t="n">
        <v>43.9</v>
      </c>
      <c r="J152" t="n">
        <v>5</v>
      </c>
      <c r="K152" t="n">
        <v>0</v>
      </c>
      <c r="L152" t="n">
        <v>1</v>
      </c>
      <c r="M152" t="n">
        <v>1</v>
      </c>
      <c r="N152" t="n">
        <v>0</v>
      </c>
      <c r="O152" t="n">
        <v>0</v>
      </c>
      <c r="P152" t="n">
        <v>0</v>
      </c>
      <c r="Q152" t="n">
        <v>2</v>
      </c>
      <c r="R152" t="n">
        <v>1</v>
      </c>
      <c r="S152" t="n">
        <v>7</v>
      </c>
      <c r="T152" t="n">
        <v>9</v>
      </c>
      <c r="U152" t="n">
        <v>1</v>
      </c>
      <c r="V152" s="2" t="inlineStr">
        <is>
          <t>Garnlav
Brunklöver
Mattlummer
Tjäder
Åkergroda
Fläcknycklar
Revlummer</t>
        </is>
      </c>
      <c r="W152">
        <f>HYPERLINK("https://klasma.github.io/Logging_2181/artfynd/S 453-2025 artfynd.xlsx", "S 453-2025")</f>
        <v/>
      </c>
      <c r="X152">
        <f>HYPERLINK("https://klasma.github.io/Logging_2181/kartor/S 453-2025 karta.png", "S 453-2025")</f>
        <v/>
      </c>
      <c r="Y152">
        <f>HYPERLINK("https://klasma.github.io/Logging_2181/kartor_geotiff/S 453-2025 georefererad karta.tif", "S 453-2025")</f>
        <v/>
      </c>
      <c r="AA152">
        <f>HYPERLINK("https://klasma.github.io/Logging_2181/klagomål/S 453-2025 FSC-klagomål.docx", "S 453-2025")</f>
        <v/>
      </c>
      <c r="AB152">
        <f>HYPERLINK("https://klasma.github.io/Logging_2181/klagomålsmail/S 453-2025 FSC-klagomål mail.docx", "S 453-2025")</f>
        <v/>
      </c>
      <c r="AC152">
        <f>HYPERLINK("https://klasma.github.io/Logging_2181/tillsyn/S 453-2025 tillsynsbegäran.docx", "S 453-2025")</f>
        <v/>
      </c>
      <c r="AD152">
        <f>HYPERLINK("https://klasma.github.io/Logging_2181/tillsynsmail/S 453-2025 tillsynsbegäran mail.docx", "S 453-2025")</f>
        <v/>
      </c>
      <c r="AE152">
        <f>HYPERLINK("https://klasma.github.io/Logging_2181/fåglar/S 453-2025 prioriterade fågelarter.docx", "S 453-2025")</f>
        <v/>
      </c>
    </row>
    <row r="153" ht="15" customHeight="1">
      <c r="A153" t="inlineStr">
        <is>
          <t>S 1051-2024</t>
        </is>
      </c>
      <c r="B153" t="inlineStr">
        <is>
          <t>samrådsanmälan</t>
        </is>
      </c>
      <c r="C153" t="inlineStr">
        <is>
          <t>Skogsgödsling</t>
        </is>
      </c>
      <c r="D153" s="1" t="n">
        <v>45387</v>
      </c>
      <c r="E153" s="1" t="n">
        <v>46326</v>
      </c>
      <c r="F153" t="inlineStr">
        <is>
          <t>GÄVLEBORGS LÄN</t>
        </is>
      </c>
      <c r="G153" t="inlineStr">
        <is>
          <t>OCKELBO</t>
        </is>
      </c>
      <c r="H153" t="inlineStr">
        <is>
          <t>Bergvik skog väst AB</t>
        </is>
      </c>
      <c r="I153" t="n">
        <v>339.3</v>
      </c>
      <c r="J153" t="n">
        <v>4</v>
      </c>
      <c r="K153" t="n">
        <v>0</v>
      </c>
      <c r="L153" t="n">
        <v>1</v>
      </c>
      <c r="M153" t="n">
        <v>2</v>
      </c>
      <c r="N153" t="n">
        <v>0</v>
      </c>
      <c r="O153" t="n">
        <v>0</v>
      </c>
      <c r="P153" t="n">
        <v>0</v>
      </c>
      <c r="Q153" t="n">
        <v>3</v>
      </c>
      <c r="R153" t="n">
        <v>2</v>
      </c>
      <c r="S153" t="n">
        <v>7</v>
      </c>
      <c r="T153" t="n">
        <v>11</v>
      </c>
      <c r="U153" t="n">
        <v>5</v>
      </c>
      <c r="V153" s="2" t="inlineStr">
        <is>
          <t>Brunfläckig pärlemorfjäril
Garnlav
Motaggsvamp
Blåsippa
Tjäder
Fläcknycklar
Revlummer</t>
        </is>
      </c>
      <c r="W153">
        <f>HYPERLINK("https://klasma.github.io/Logging_2101/artfynd/S 1051-2024 artfynd.xlsx", "S 1051-2024")</f>
        <v/>
      </c>
      <c r="X153">
        <f>HYPERLINK("https://klasma.github.io/Logging_2101/kartor/S 1051-2024 karta.png", "S 1051-2024")</f>
        <v/>
      </c>
      <c r="Y153">
        <f>HYPERLINK("https://klasma.github.io/Logging_2101/kartor_geotiff/S 1051-2024 georefererad karta.tif", "S 1051-2024")</f>
        <v/>
      </c>
      <c r="AA153">
        <f>HYPERLINK("https://klasma.github.io/Logging_2101/klagomål/S 1051-2024 FSC-klagomål.docx", "S 1051-2024")</f>
        <v/>
      </c>
      <c r="AB153">
        <f>HYPERLINK("https://klasma.github.io/Logging_2101/klagomålsmail/S 1051-2024 FSC-klagomål mail.docx", "S 1051-2024")</f>
        <v/>
      </c>
      <c r="AC153">
        <f>HYPERLINK("https://klasma.github.io/Logging_2101/tillsyn/S 1051-2024 tillsynsbegäran.docx", "S 1051-2024")</f>
        <v/>
      </c>
      <c r="AD153">
        <f>HYPERLINK("https://klasma.github.io/Logging_2101/tillsynsmail/S 1051-2024 tillsynsbegäran mail.docx", "S 1051-2024")</f>
        <v/>
      </c>
      <c r="AE153">
        <f>HYPERLINK("https://klasma.github.io/Logging_2101/fåglar/S 1051-2024 prioriterade fågelarter.docx", "S 1051-2024")</f>
        <v/>
      </c>
    </row>
    <row r="154" ht="15" customHeight="1">
      <c r="A154" t="inlineStr">
        <is>
          <t>S 3427-2025</t>
        </is>
      </c>
      <c r="B154" t="inlineStr">
        <is>
          <t>samrådsanmälan</t>
        </is>
      </c>
      <c r="C154" t="inlineStr">
        <is>
          <t>Skogsgödsling</t>
        </is>
      </c>
      <c r="D154" s="1" t="n">
        <v>45995</v>
      </c>
      <c r="E154" s="1" t="n">
        <v>46326</v>
      </c>
      <c r="F154" t="inlineStr">
        <is>
          <t>GÄVLEBORGS LÄN</t>
        </is>
      </c>
      <c r="G154" t="inlineStr">
        <is>
          <t>HUDIKSVALL</t>
        </is>
      </c>
      <c r="H154" t="inlineStr">
        <is>
          <t>Holmen skog AB</t>
        </is>
      </c>
      <c r="I154" t="n">
        <v>81.2</v>
      </c>
      <c r="J154" t="n">
        <v>3</v>
      </c>
      <c r="K154" t="n">
        <v>1</v>
      </c>
      <c r="L154" t="n">
        <v>2</v>
      </c>
      <c r="M154" t="n">
        <v>1</v>
      </c>
      <c r="N154" t="n">
        <v>0</v>
      </c>
      <c r="O154" t="n">
        <v>0</v>
      </c>
      <c r="P154" t="n">
        <v>0</v>
      </c>
      <c r="Q154" t="n">
        <v>3</v>
      </c>
      <c r="R154" t="n">
        <v>1</v>
      </c>
      <c r="S154" t="n">
        <v>7</v>
      </c>
      <c r="T154" t="n">
        <v>10</v>
      </c>
      <c r="U154" t="n">
        <v>1</v>
      </c>
      <c r="V154" s="2" t="inlineStr">
        <is>
          <t>Garnlav
Lunglav
Vedflamlav
Nästlav
Orre
Fläcknycklar
Revlummer</t>
        </is>
      </c>
      <c r="W154">
        <f>HYPERLINK("https://klasma.github.io/Logging_2184/artfynd/S 3427-2025 artfynd.xlsx", "S 3427-2025")</f>
        <v/>
      </c>
      <c r="X154">
        <f>HYPERLINK("https://klasma.github.io/Logging_2184/kartor/S 3427-2025 karta.png", "S 3427-2025")</f>
        <v/>
      </c>
      <c r="Y154">
        <f>HYPERLINK("https://klasma.github.io/Logging_2184/kartor_geotiff/S 3427-2025 georefererad karta.tif", "S 3427-2025")</f>
        <v/>
      </c>
      <c r="AA154">
        <f>HYPERLINK("https://klasma.github.io/Logging_2184/klagomål/S 3427-2025 FSC-klagomål.docx", "S 3427-2025")</f>
        <v/>
      </c>
      <c r="AB154">
        <f>HYPERLINK("https://klasma.github.io/Logging_2184/klagomålsmail/S 3427-2025 FSC-klagomål mail.docx", "S 3427-2025")</f>
        <v/>
      </c>
      <c r="AC154">
        <f>HYPERLINK("https://klasma.github.io/Logging_2184/tillsyn/S 3427-2025 tillsynsbegäran.docx", "S 3427-2025")</f>
        <v/>
      </c>
      <c r="AD154">
        <f>HYPERLINK("https://klasma.github.io/Logging_2184/tillsynsmail/S 3427-2025 tillsynsbegäran mail.docx", "S 3427-2025")</f>
        <v/>
      </c>
      <c r="AE154">
        <f>HYPERLINK("https://klasma.github.io/Logging_2184/fåglar/S 3427-2025 prioriterade fågelarter.docx", "S 3427-2025")</f>
        <v/>
      </c>
    </row>
    <row r="155" ht="15" customHeight="1">
      <c r="A155" t="inlineStr">
        <is>
          <t>S 317-2026</t>
        </is>
      </c>
      <c r="B155" t="inlineStr">
        <is>
          <t>samrådsanmälan</t>
        </is>
      </c>
      <c r="C155" t="inlineStr">
        <is>
          <t>Skogsgödsling</t>
        </is>
      </c>
      <c r="D155" s="1" t="n">
        <v>46059</v>
      </c>
      <c r="E155" s="1" t="n">
        <v>46326</v>
      </c>
      <c r="F155" t="inlineStr">
        <is>
          <t>GÄVLEBORGS LÄN</t>
        </is>
      </c>
      <c r="G155" t="inlineStr">
        <is>
          <t>SANDVIKEN</t>
        </is>
      </c>
      <c r="H155" t="inlineStr">
        <is>
          <t>Sveaskog</t>
        </is>
      </c>
      <c r="I155" t="n">
        <v>96.90000000000001</v>
      </c>
      <c r="J155" t="n">
        <v>6</v>
      </c>
      <c r="K155" t="n">
        <v>0</v>
      </c>
      <c r="L155" t="n">
        <v>3</v>
      </c>
      <c r="M155" t="n">
        <v>0</v>
      </c>
      <c r="N155" t="n">
        <v>0</v>
      </c>
      <c r="O155" t="n">
        <v>0</v>
      </c>
      <c r="P155" t="n">
        <v>0</v>
      </c>
      <c r="Q155" t="n">
        <v>3</v>
      </c>
      <c r="R155" t="n">
        <v>0</v>
      </c>
      <c r="S155" t="n">
        <v>7</v>
      </c>
      <c r="T155" t="n">
        <v>11</v>
      </c>
      <c r="U155" t="n">
        <v>0</v>
      </c>
      <c r="V155" s="2" t="inlineStr">
        <is>
          <t>Brunlångöra
Nordfladdermus
Slåtterfibbla
Blåsippa
Större brunfladdermus
Vattenfladdermus
Fläcknycklar</t>
        </is>
      </c>
      <c r="W155">
        <f>HYPERLINK("https://klasma.github.io/Logging_2181/artfynd/S 317-2026 artfynd.xlsx", "S 317-2026")</f>
        <v/>
      </c>
      <c r="X155">
        <f>HYPERLINK("https://klasma.github.io/Logging_2181/kartor/S 317-2026 karta.png", "S 317-2026")</f>
        <v/>
      </c>
      <c r="Y155">
        <f>HYPERLINK("https://klasma.github.io/Logging_2181/kartor_geotiff/S 317-2026 georefererad karta.tif", "S 317-2026")</f>
        <v/>
      </c>
      <c r="AA155">
        <f>HYPERLINK("https://klasma.github.io/Logging_2181/klagomål/S 317-2026 FSC-klagomål.docx", "S 317-2026")</f>
        <v/>
      </c>
      <c r="AB155">
        <f>HYPERLINK("https://klasma.github.io/Logging_2181/klagomålsmail/S 317-2026 FSC-klagomål mail.docx", "S 317-2026")</f>
        <v/>
      </c>
      <c r="AC155">
        <f>HYPERLINK("https://klasma.github.io/Logging_2181/tillsyn/S 317-2026 tillsynsbegäran.docx", "S 317-2026")</f>
        <v/>
      </c>
      <c r="AD155">
        <f>HYPERLINK("https://klasma.github.io/Logging_2181/tillsynsmail/S 317-2026 tillsynsbegäran mail.docx", "S 317-2026")</f>
        <v/>
      </c>
    </row>
    <row r="156" ht="15" customHeight="1">
      <c r="A156" t="inlineStr">
        <is>
          <t>S 965-2026</t>
        </is>
      </c>
      <c r="B156" t="inlineStr">
        <is>
          <t>samrådsanmälan</t>
        </is>
      </c>
      <c r="C156" t="inlineStr">
        <is>
          <t>Annan skogsbruksåtgärd</t>
        </is>
      </c>
      <c r="D156" s="1" t="n">
        <v>46114</v>
      </c>
      <c r="E156" s="1" t="n">
        <v>46326</v>
      </c>
      <c r="F156" t="inlineStr">
        <is>
          <t>GÄVLEBORGS LÄN</t>
        </is>
      </c>
      <c r="G156" t="inlineStr">
        <is>
          <t>BOLLNÄS</t>
        </is>
      </c>
      <c r="I156" t="n">
        <v>11.4</v>
      </c>
      <c r="J156" t="n">
        <v>0</v>
      </c>
      <c r="K156" t="n">
        <v>0</v>
      </c>
      <c r="L156" t="n">
        <v>4</v>
      </c>
      <c r="M156" t="n">
        <v>3</v>
      </c>
      <c r="N156" t="n">
        <v>0</v>
      </c>
      <c r="O156" t="n">
        <v>0</v>
      </c>
      <c r="P156" t="n">
        <v>0</v>
      </c>
      <c r="Q156" t="n">
        <v>7</v>
      </c>
      <c r="R156" t="n">
        <v>3</v>
      </c>
      <c r="S156" t="n">
        <v>7</v>
      </c>
      <c r="T156" t="n">
        <v>13</v>
      </c>
      <c r="U156" t="n">
        <v>0</v>
      </c>
      <c r="V156" s="2" t="inlineStr">
        <is>
          <t>Lammticka
Skrovlig taggsvamp
Tallgråticka
Blå taggsvamp
Orange taggsvamp
Tallfingersvamp
Tallticka</t>
        </is>
      </c>
      <c r="W156">
        <f>HYPERLINK("https://klasma.github.io/Logging_2183/artfynd/S 965-2026 artfynd.xlsx", "S 965-2026")</f>
        <v/>
      </c>
      <c r="X156">
        <f>HYPERLINK("https://klasma.github.io/Logging_2183/kartor/S 965-2026 karta.png", "S 965-2026")</f>
        <v/>
      </c>
      <c r="Y156">
        <f>HYPERLINK("https://klasma.github.io/Logging_2183/kartor_geotiff/S 965-2026 georefererad karta.tif", "S 965-2026")</f>
        <v/>
      </c>
      <c r="AA156">
        <f>HYPERLINK("https://klasma.github.io/Logging_2183/klagomål/S 965-2026 FSC-klagomål.docx", "S 965-2026")</f>
        <v/>
      </c>
      <c r="AB156">
        <f>HYPERLINK("https://klasma.github.io/Logging_2183/klagomålsmail/S 965-2026 FSC-klagomål mail.docx", "S 965-2026")</f>
        <v/>
      </c>
      <c r="AC156">
        <f>HYPERLINK("https://klasma.github.io/Logging_2183/tillsyn/S 965-2026 tillsynsbegäran.docx", "S 965-2026")</f>
        <v/>
      </c>
      <c r="AD156">
        <f>HYPERLINK("https://klasma.github.io/Logging_2183/tillsynsmail/S 965-2026 tillsynsbegäran mail.docx", "S 965-2026")</f>
        <v/>
      </c>
    </row>
    <row r="157" ht="15" customHeight="1">
      <c r="A157" t="inlineStr">
        <is>
          <t>A 35985-2022</t>
        </is>
      </c>
      <c r="B157" t="inlineStr">
        <is>
          <t>avverkningsanmälan</t>
        </is>
      </c>
      <c r="C157" t="inlineStr">
        <is>
          <t>Föryngringsavverkning</t>
        </is>
      </c>
      <c r="D157" s="1" t="n">
        <v>44802</v>
      </c>
      <c r="E157" s="1" t="n">
        <v>46326</v>
      </c>
      <c r="F157" t="inlineStr">
        <is>
          <t>GÄVLEBORGS LÄN</t>
        </is>
      </c>
      <c r="G157" t="inlineStr">
        <is>
          <t>HUDIKSVALL</t>
        </is>
      </c>
      <c r="H157" t="inlineStr">
        <is>
          <t>Holmen skog AB</t>
        </is>
      </c>
      <c r="I157" t="n">
        <v>9.1</v>
      </c>
      <c r="J157" t="n">
        <v>1</v>
      </c>
      <c r="K157" t="n">
        <v>4</v>
      </c>
      <c r="L157" t="n">
        <v>1</v>
      </c>
      <c r="M157" t="n">
        <v>0</v>
      </c>
      <c r="N157" t="n">
        <v>0</v>
      </c>
      <c r="O157" t="n">
        <v>0</v>
      </c>
      <c r="P157" t="n">
        <v>0</v>
      </c>
      <c r="Q157" t="n">
        <v>1</v>
      </c>
      <c r="R157" t="n">
        <v>0</v>
      </c>
      <c r="S157" t="n">
        <v>6</v>
      </c>
      <c r="T157" t="n">
        <v>6</v>
      </c>
      <c r="U157" t="n">
        <v>6</v>
      </c>
      <c r="V157" s="2" t="inlineStr">
        <is>
          <t>Myskmåra
Strutbräken
Svart trolldruva
Tibast
Underviol
Blåsippa</t>
        </is>
      </c>
      <c r="W157">
        <f>HYPERLINK("https://klasma.github.io/Logging_2184/artfynd/A 35985-2022 artfynd.xlsx", "A 35985-2022")</f>
        <v/>
      </c>
      <c r="X157">
        <f>HYPERLINK("https://klasma.github.io/Logging_2184/kartor/A 35985-2022 karta.png", "A 35985-2022")</f>
        <v/>
      </c>
      <c r="Y157">
        <f>HYPERLINK("https://klasma.github.io/Logging_2184/kartor_geotiff/A 35985-2022 georefererad karta.tif", "A 35985-2022")</f>
        <v/>
      </c>
      <c r="AA157">
        <f>HYPERLINK("https://klasma.github.io/Logging_2184/klagomål/A 35985-2022 FSC-klagomål.docx", "A 35985-2022")</f>
        <v/>
      </c>
      <c r="AB157">
        <f>HYPERLINK("https://klasma.github.io/Logging_2184/klagomålsmail/A 35985-2022 FSC-klagomål mail.docx", "A 35985-2022")</f>
        <v/>
      </c>
      <c r="AC157">
        <f>HYPERLINK("https://klasma.github.io/Logging_2184/tillsyn/A 35985-2022 tillsynsbegäran.docx", "A 35985-2022")</f>
        <v/>
      </c>
      <c r="AD157">
        <f>HYPERLINK("https://klasma.github.io/Logging_2184/tillsynsmail/A 35985-2022 tillsynsbegäran mail.docx", "A 35985-2022")</f>
        <v/>
      </c>
    </row>
    <row r="158" ht="15" customHeight="1">
      <c r="A158" t="inlineStr">
        <is>
          <t>A 7229-2022</t>
        </is>
      </c>
      <c r="B158" t="inlineStr">
        <is>
          <t>avverkningsanmälan</t>
        </is>
      </c>
      <c r="C158" t="inlineStr">
        <is>
          <t>Föryngringsavverkning</t>
        </is>
      </c>
      <c r="D158" s="1" t="n">
        <v>44606</v>
      </c>
      <c r="E158" s="1" t="n">
        <v>46326</v>
      </c>
      <c r="F158" t="inlineStr">
        <is>
          <t>GÄVLEBORGS LÄN</t>
        </is>
      </c>
      <c r="G158" t="inlineStr">
        <is>
          <t>HUDIKSVALL</t>
        </is>
      </c>
      <c r="H158" t="inlineStr">
        <is>
          <t>Holmen skog AB</t>
        </is>
      </c>
      <c r="I158" t="n">
        <v>1.4</v>
      </c>
      <c r="J158" t="n">
        <v>1</v>
      </c>
      <c r="K158" t="n">
        <v>2</v>
      </c>
      <c r="L158" t="n">
        <v>3</v>
      </c>
      <c r="M158" t="n">
        <v>0</v>
      </c>
      <c r="N158" t="n">
        <v>0</v>
      </c>
      <c r="O158" t="n">
        <v>0</v>
      </c>
      <c r="P158" t="n">
        <v>0</v>
      </c>
      <c r="Q158" t="n">
        <v>3</v>
      </c>
      <c r="R158" t="n">
        <v>0</v>
      </c>
      <c r="S158" t="n">
        <v>6</v>
      </c>
      <c r="T158" t="n">
        <v>7</v>
      </c>
      <c r="U158" t="n">
        <v>0</v>
      </c>
      <c r="V158" s="2" t="inlineStr">
        <is>
          <t>Blanksvart spiklav
Ullticka
Violettgrå tagellav
Bronshjon
Vedticka
Revlummer</t>
        </is>
      </c>
      <c r="W158">
        <f>HYPERLINK("https://klasma.github.io/Logging_2184/artfynd/A 7229-2022 artfynd.xlsx", "A 7229-2022")</f>
        <v/>
      </c>
      <c r="X158">
        <f>HYPERLINK("https://klasma.github.io/Logging_2184/kartor/A 7229-2022 karta.png", "A 7229-2022")</f>
        <v/>
      </c>
      <c r="Y158">
        <f>HYPERLINK("https://klasma.github.io/Logging_2184/kartor_geotiff/A 7229-2022 georefererad karta.tif", "A 7229-2022")</f>
        <v/>
      </c>
      <c r="AA158">
        <f>HYPERLINK("https://klasma.github.io/Logging_2184/klagomål/A 7229-2022 FSC-klagomål.docx", "A 7229-2022")</f>
        <v/>
      </c>
      <c r="AB158">
        <f>HYPERLINK("https://klasma.github.io/Logging_2184/klagomålsmail/A 7229-2022 FSC-klagomål mail.docx", "A 7229-2022")</f>
        <v/>
      </c>
      <c r="AC158">
        <f>HYPERLINK("https://klasma.github.io/Logging_2184/tillsyn/A 7229-2022 tillsynsbegäran.docx", "A 7229-2022")</f>
        <v/>
      </c>
      <c r="AD158">
        <f>HYPERLINK("https://klasma.github.io/Logging_2184/tillsynsmail/A 7229-2022 tillsynsbegäran mail.docx", "A 7229-2022")</f>
        <v/>
      </c>
    </row>
    <row r="159" ht="15" customHeight="1">
      <c r="A159" t="inlineStr">
        <is>
          <t>A 55473-2022</t>
        </is>
      </c>
      <c r="B159" t="inlineStr">
        <is>
          <t>avverkningsanmälan</t>
        </is>
      </c>
      <c r="C159" t="inlineStr">
        <is>
          <t>Föryngringsavverkning</t>
        </is>
      </c>
      <c r="D159" s="1" t="n">
        <v>44887</v>
      </c>
      <c r="E159" s="1" t="n">
        <v>46326</v>
      </c>
      <c r="F159" t="inlineStr">
        <is>
          <t>GÄVLEBORGS LÄN</t>
        </is>
      </c>
      <c r="G159" t="inlineStr">
        <is>
          <t>OVANÅKER</t>
        </is>
      </c>
      <c r="I159" t="n">
        <v>7.9</v>
      </c>
      <c r="J159" t="n">
        <v>0</v>
      </c>
      <c r="K159" t="n">
        <v>0</v>
      </c>
      <c r="L159" t="n">
        <v>4</v>
      </c>
      <c r="M159" t="n">
        <v>2</v>
      </c>
      <c r="N159" t="n">
        <v>0</v>
      </c>
      <c r="O159" t="n">
        <v>0</v>
      </c>
      <c r="P159" t="n">
        <v>0</v>
      </c>
      <c r="Q159" t="n">
        <v>6</v>
      </c>
      <c r="R159" t="n">
        <v>2</v>
      </c>
      <c r="S159" t="n">
        <v>6</v>
      </c>
      <c r="T159" t="n">
        <v>8</v>
      </c>
      <c r="U159" t="n">
        <v>0</v>
      </c>
      <c r="V159" s="2" t="inlineStr">
        <is>
          <t>Garnlav
Gräddporing
Dropptaggsvamp
Dvärgbägarlav
Kolflarnlav
Mörk kolflarnlav</t>
        </is>
      </c>
      <c r="W159">
        <f>HYPERLINK("https://klasma.github.io/Logging_2121/artfynd/A 55473-2022 artfynd.xlsx", "A 55473-2022")</f>
        <v/>
      </c>
      <c r="X159">
        <f>HYPERLINK("https://klasma.github.io/Logging_2121/kartor/A 55473-2022 karta.png", "A 55473-2022")</f>
        <v/>
      </c>
      <c r="Y159">
        <f>HYPERLINK("https://klasma.github.io/Logging_2121/kartor_geotiff/A 55473-2022 georefererad karta.tif", "A 55473-2022")</f>
        <v/>
      </c>
      <c r="AA159">
        <f>HYPERLINK("https://klasma.github.io/Logging_2121/klagomål/A 55473-2022 FSC-klagomål.docx", "A 55473-2022")</f>
        <v/>
      </c>
      <c r="AB159">
        <f>HYPERLINK("https://klasma.github.io/Logging_2121/klagomålsmail/A 55473-2022 FSC-klagomål mail.docx", "A 55473-2022")</f>
        <v/>
      </c>
      <c r="AC159">
        <f>HYPERLINK("https://klasma.github.io/Logging_2121/tillsyn/A 55473-2022 tillsynsbegäran.docx", "A 55473-2022")</f>
        <v/>
      </c>
      <c r="AD159">
        <f>HYPERLINK("https://klasma.github.io/Logging_2121/tillsynsmail/A 55473-2022 tillsynsbegäran mail.docx", "A 55473-2022")</f>
        <v/>
      </c>
    </row>
    <row r="160" ht="15" customHeight="1">
      <c r="A160" t="inlineStr">
        <is>
          <t>A 51955-2023</t>
        </is>
      </c>
      <c r="B160" t="inlineStr">
        <is>
          <t>avverkningsanmälan</t>
        </is>
      </c>
      <c r="C160" t="inlineStr">
        <is>
          <t>Föryngringsavverkning</t>
        </is>
      </c>
      <c r="D160" s="1" t="n">
        <v>45223</v>
      </c>
      <c r="E160" s="1" t="n">
        <v>46326</v>
      </c>
      <c r="F160" t="inlineStr">
        <is>
          <t>GÄVLEBORGS LÄN</t>
        </is>
      </c>
      <c r="G160" t="inlineStr">
        <is>
          <t>LJUSDAL</t>
        </is>
      </c>
      <c r="H160" t="inlineStr">
        <is>
          <t>Sveaskog</t>
        </is>
      </c>
      <c r="I160" t="n">
        <v>33.5</v>
      </c>
      <c r="J160" t="n">
        <v>0</v>
      </c>
      <c r="K160" t="n">
        <v>0</v>
      </c>
      <c r="L160" t="n">
        <v>5</v>
      </c>
      <c r="M160" t="n">
        <v>1</v>
      </c>
      <c r="N160" t="n">
        <v>0</v>
      </c>
      <c r="O160" t="n">
        <v>0</v>
      </c>
      <c r="P160" t="n">
        <v>0</v>
      </c>
      <c r="Q160" t="n">
        <v>6</v>
      </c>
      <c r="R160" t="n">
        <v>1</v>
      </c>
      <c r="S160" t="n">
        <v>6</v>
      </c>
      <c r="T160" t="n">
        <v>12</v>
      </c>
      <c r="U160" t="n">
        <v>12</v>
      </c>
      <c r="V160" s="2" t="inlineStr">
        <is>
          <t>Gräddporing
Blanksvart spiklav
Dropptaggsvamp
Kolflarnlav
Mörk kolflarnlav
Vedflamlav</t>
        </is>
      </c>
      <c r="W160">
        <f>HYPERLINK("https://klasma.github.io/Logging_2161/artfynd/A 51955-2023 artfynd.xlsx", "A 51955-2023")</f>
        <v/>
      </c>
      <c r="X160">
        <f>HYPERLINK("https://klasma.github.io/Logging_2161/kartor/A 51955-2023 karta.png", "A 51955-2023")</f>
        <v/>
      </c>
      <c r="Y160">
        <f>HYPERLINK("https://klasma.github.io/Logging_2161/kartor_geotiff/A 51955-2023 georefererad karta.tif", "A 51955-2023")</f>
        <v/>
      </c>
      <c r="AA160">
        <f>HYPERLINK("https://klasma.github.io/Logging_2161/klagomål/A 51955-2023 FSC-klagomål.docx", "A 51955-2023")</f>
        <v/>
      </c>
      <c r="AB160">
        <f>HYPERLINK("https://klasma.github.io/Logging_2161/klagomålsmail/A 51955-2023 FSC-klagomål mail.docx", "A 51955-2023")</f>
        <v/>
      </c>
      <c r="AC160">
        <f>HYPERLINK("https://klasma.github.io/Logging_2161/tillsyn/A 51955-2023 tillsynsbegäran.docx", "A 51955-2023")</f>
        <v/>
      </c>
      <c r="AD160">
        <f>HYPERLINK("https://klasma.github.io/Logging_2161/tillsynsmail/A 51955-2023 tillsynsbegäran mail.docx", "A 51955-2023")</f>
        <v/>
      </c>
    </row>
    <row r="161" ht="15" customHeight="1">
      <c r="A161" t="inlineStr">
        <is>
          <t>A 31224-2022</t>
        </is>
      </c>
      <c r="B161" t="inlineStr">
        <is>
          <t>avverkningsanmälan</t>
        </is>
      </c>
      <c r="C161" t="inlineStr">
        <is>
          <t>Föryngringsavverkning</t>
        </is>
      </c>
      <c r="D161" s="1" t="n">
        <v>44771</v>
      </c>
      <c r="E161" s="1" t="n">
        <v>46326</v>
      </c>
      <c r="F161" t="inlineStr">
        <is>
          <t>GÄVLEBORGS LÄN</t>
        </is>
      </c>
      <c r="G161" t="inlineStr">
        <is>
          <t>NORDANSTIG</t>
        </is>
      </c>
      <c r="I161" t="n">
        <v>1.2</v>
      </c>
      <c r="J161" t="n">
        <v>1</v>
      </c>
      <c r="K161" t="n">
        <v>0</v>
      </c>
      <c r="L161" t="n">
        <v>3</v>
      </c>
      <c r="M161" t="n">
        <v>2</v>
      </c>
      <c r="N161" t="n">
        <v>1</v>
      </c>
      <c r="O161" t="n">
        <v>0</v>
      </c>
      <c r="P161" t="n">
        <v>0</v>
      </c>
      <c r="Q161" t="n">
        <v>6</v>
      </c>
      <c r="R161" t="n">
        <v>3</v>
      </c>
      <c r="S161" t="n">
        <v>6</v>
      </c>
      <c r="T161" t="n">
        <v>13</v>
      </c>
      <c r="U161" t="n">
        <v>4</v>
      </c>
      <c r="V161" s="2" t="inlineStr">
        <is>
          <t>Bitter taggsvamp
Knärot
Lammticka
Orange taggsvamp
Tallfingersvamp
Talltaggsvamp</t>
        </is>
      </c>
      <c r="W161">
        <f>HYPERLINK("https://klasma.github.io/Logging_2132/artfynd/A 31224-2022 artfynd.xlsx", "A 31224-2022")</f>
        <v/>
      </c>
      <c r="X161">
        <f>HYPERLINK("https://klasma.github.io/Logging_2132/kartor/A 31224-2022 karta.png", "A 31224-2022")</f>
        <v/>
      </c>
      <c r="Y161">
        <f>HYPERLINK("https://klasma.github.io/Logging_2132/kartor_geotiff/A 31224-2022 georefererad karta.tif", "A 31224-2022")</f>
        <v/>
      </c>
      <c r="Z161">
        <f>HYPERLINK("https://klasma.github.io/Logging_2132/knärot/A 31224-2022 karta knärot.png", "A 31224-2022")</f>
        <v/>
      </c>
      <c r="AA161">
        <f>HYPERLINK("https://klasma.github.io/Logging_2132/klagomål/A 31224-2022 FSC-klagomål.docx", "A 31224-2022")</f>
        <v/>
      </c>
      <c r="AB161">
        <f>HYPERLINK("https://klasma.github.io/Logging_2132/klagomålsmail/A 31224-2022 FSC-klagomål mail.docx", "A 31224-2022")</f>
        <v/>
      </c>
      <c r="AC161">
        <f>HYPERLINK("https://klasma.github.io/Logging_2132/tillsyn/A 31224-2022 tillsynsbegäran.docx", "A 31224-2022")</f>
        <v/>
      </c>
      <c r="AD161">
        <f>HYPERLINK("https://klasma.github.io/Logging_2132/tillsynsmail/A 31224-2022 tillsynsbegäran mail.docx", "A 31224-2022")</f>
        <v/>
      </c>
    </row>
    <row r="162" ht="15" customHeight="1">
      <c r="A162" t="inlineStr">
        <is>
          <t>A 26446-2025</t>
        </is>
      </c>
      <c r="B162" t="inlineStr">
        <is>
          <t>avverkningsanmälan</t>
        </is>
      </c>
      <c r="C162" t="inlineStr">
        <is>
          <t>Föryngringsavverkning</t>
        </is>
      </c>
      <c r="D162" s="1" t="n">
        <v>45807</v>
      </c>
      <c r="E162" s="1" t="n">
        <v>46326</v>
      </c>
      <c r="F162" t="inlineStr">
        <is>
          <t>GÄVLEBORGS LÄN</t>
        </is>
      </c>
      <c r="G162" t="inlineStr">
        <is>
          <t>LJUSDAL</t>
        </is>
      </c>
      <c r="I162" t="n">
        <v>10.4</v>
      </c>
      <c r="J162" t="n">
        <v>3</v>
      </c>
      <c r="K162" t="n">
        <v>2</v>
      </c>
      <c r="L162" t="n">
        <v>1</v>
      </c>
      <c r="M162" t="n">
        <v>1</v>
      </c>
      <c r="N162" t="n">
        <v>0</v>
      </c>
      <c r="O162" t="n">
        <v>0</v>
      </c>
      <c r="P162" t="n">
        <v>0</v>
      </c>
      <c r="Q162" t="n">
        <v>2</v>
      </c>
      <c r="R162" t="n">
        <v>1</v>
      </c>
      <c r="S162" t="n">
        <v>6</v>
      </c>
      <c r="T162" t="n">
        <v>8</v>
      </c>
      <c r="U162" t="n">
        <v>0</v>
      </c>
      <c r="V162" s="2" t="inlineStr">
        <is>
          <t>Garnlav
Talltita
Skinnlav
Stuplav
Tjäder
Revlummer</t>
        </is>
      </c>
      <c r="W162">
        <f>HYPERLINK("https://klasma.github.io/Logging_2161/artfynd/A 26446-2025 artfynd.xlsx", "A 26446-2025")</f>
        <v/>
      </c>
      <c r="X162">
        <f>HYPERLINK("https://klasma.github.io/Logging_2161/kartor/A 26446-2025 karta.png", "A 26446-2025")</f>
        <v/>
      </c>
      <c r="Y162">
        <f>HYPERLINK("https://klasma.github.io/Logging_2161/kartor_geotiff/A 26446-2025 georefererad karta.tif", "A 26446-2025")</f>
        <v/>
      </c>
      <c r="AA162">
        <f>HYPERLINK("https://klasma.github.io/Logging_2161/klagomål/A 26446-2025 FSC-klagomål.docx", "A 26446-2025")</f>
        <v/>
      </c>
      <c r="AB162">
        <f>HYPERLINK("https://klasma.github.io/Logging_2161/klagomålsmail/A 26446-2025 FSC-klagomål mail.docx", "A 26446-2025")</f>
        <v/>
      </c>
      <c r="AC162">
        <f>HYPERLINK("https://klasma.github.io/Logging_2161/tillsyn/A 26446-2025 tillsynsbegäran.docx", "A 26446-2025")</f>
        <v/>
      </c>
      <c r="AD162">
        <f>HYPERLINK("https://klasma.github.io/Logging_2161/tillsynsmail/A 26446-2025 tillsynsbegäran mail.docx", "A 26446-2025")</f>
        <v/>
      </c>
      <c r="AE162">
        <f>HYPERLINK("https://klasma.github.io/Logging_2161/fåglar/A 26446-2025 prioriterade fågelarter.docx", "A 26446-2025")</f>
        <v/>
      </c>
    </row>
    <row r="163" ht="15" customHeight="1">
      <c r="A163" t="inlineStr">
        <is>
          <t>A 27029-2025</t>
        </is>
      </c>
      <c r="B163" t="inlineStr">
        <is>
          <t>avverkningsanmälan</t>
        </is>
      </c>
      <c r="C163" t="inlineStr">
        <is>
          <t>Föryngringsavverkning</t>
        </is>
      </c>
      <c r="D163" s="1" t="n">
        <v>45811</v>
      </c>
      <c r="E163" s="1" t="n">
        <v>46326</v>
      </c>
      <c r="F163" t="inlineStr">
        <is>
          <t>GÄVLEBORGS LÄN</t>
        </is>
      </c>
      <c r="G163" t="inlineStr">
        <is>
          <t>LJUSDAL</t>
        </is>
      </c>
      <c r="H163" t="inlineStr">
        <is>
          <t>Allmännings- och besparingsskogar</t>
        </is>
      </c>
      <c r="I163" t="n">
        <v>1.6</v>
      </c>
      <c r="J163" t="n">
        <v>1</v>
      </c>
      <c r="K163" t="n">
        <v>0</v>
      </c>
      <c r="L163" t="n">
        <v>4</v>
      </c>
      <c r="M163" t="n">
        <v>1</v>
      </c>
      <c r="N163" t="n">
        <v>0</v>
      </c>
      <c r="O163" t="n">
        <v>0</v>
      </c>
      <c r="P163" t="n">
        <v>0</v>
      </c>
      <c r="Q163" t="n">
        <v>5</v>
      </c>
      <c r="R163" t="n">
        <v>1</v>
      </c>
      <c r="S163" t="n">
        <v>6</v>
      </c>
      <c r="T163" t="n">
        <v>19</v>
      </c>
      <c r="U163" t="n">
        <v>19</v>
      </c>
      <c r="V163" s="2" t="inlineStr">
        <is>
          <t>Garnlav
Kolflarnlav
Mörk kolflarnlav
Tallticka
Vedskivlav
Tjäder</t>
        </is>
      </c>
      <c r="W163">
        <f>HYPERLINK("https://klasma.github.io/Logging_2161/artfynd/A 27029-2025 artfynd.xlsx", "A 27029-2025")</f>
        <v/>
      </c>
      <c r="X163">
        <f>HYPERLINK("https://klasma.github.io/Logging_2161/kartor/A 27029-2025 karta.png", "A 27029-2025")</f>
        <v/>
      </c>
      <c r="Y163">
        <f>HYPERLINK("https://klasma.github.io/Logging_2161/kartor_geotiff/A 27029-2025 georefererad karta.tif", "A 27029-2025")</f>
        <v/>
      </c>
      <c r="AA163">
        <f>HYPERLINK("https://klasma.github.io/Logging_2161/klagomål/A 27029-2025 FSC-klagomål.docx", "A 27029-2025")</f>
        <v/>
      </c>
      <c r="AB163">
        <f>HYPERLINK("https://klasma.github.io/Logging_2161/klagomålsmail/A 27029-2025 FSC-klagomål mail.docx", "A 27029-2025")</f>
        <v/>
      </c>
      <c r="AC163">
        <f>HYPERLINK("https://klasma.github.io/Logging_2161/tillsyn/A 27029-2025 tillsynsbegäran.docx", "A 27029-2025")</f>
        <v/>
      </c>
      <c r="AD163">
        <f>HYPERLINK("https://klasma.github.io/Logging_2161/tillsynsmail/A 27029-2025 tillsynsbegäran mail.docx", "A 27029-2025")</f>
        <v/>
      </c>
      <c r="AE163">
        <f>HYPERLINK("https://klasma.github.io/Logging_2161/fåglar/A 27029-2025 prioriterade fågelarter.docx", "A 27029-2025")</f>
        <v/>
      </c>
    </row>
    <row r="164" ht="15" customHeight="1">
      <c r="A164" t="inlineStr">
        <is>
          <t>A 21488-2022</t>
        </is>
      </c>
      <c r="B164" t="inlineStr">
        <is>
          <t>avverkningsanmälan</t>
        </is>
      </c>
      <c r="C164" t="inlineStr">
        <is>
          <t>Föryngringsavverkning</t>
        </is>
      </c>
      <c r="D164" s="1" t="n">
        <v>44706</v>
      </c>
      <c r="E164" s="1" t="n">
        <v>46326</v>
      </c>
      <c r="F164" t="inlineStr">
        <is>
          <t>GÄVLEBORGS LÄN</t>
        </is>
      </c>
      <c r="G164" t="inlineStr">
        <is>
          <t>SÖDERHAMN</t>
        </is>
      </c>
      <c r="H164" t="inlineStr">
        <is>
          <t>Bergvik skog väst AB</t>
        </is>
      </c>
      <c r="I164" t="n">
        <v>6</v>
      </c>
      <c r="J164" t="n">
        <v>6</v>
      </c>
      <c r="K164" t="n">
        <v>0</v>
      </c>
      <c r="L164" t="n">
        <v>3</v>
      </c>
      <c r="M164" t="n">
        <v>0</v>
      </c>
      <c r="N164" t="n">
        <v>0</v>
      </c>
      <c r="O164" t="n">
        <v>0</v>
      </c>
      <c r="P164" t="n">
        <v>0</v>
      </c>
      <c r="Q164" t="n">
        <v>3</v>
      </c>
      <c r="R164" t="n">
        <v>0</v>
      </c>
      <c r="S164" t="n">
        <v>6</v>
      </c>
      <c r="T164" t="n">
        <v>11</v>
      </c>
      <c r="U164" t="n">
        <v>11</v>
      </c>
      <c r="V164" s="2" t="inlineStr">
        <is>
          <t>Enkelbeckasin
Järnsparv
Talltita
Grönsiska
Kungsfågel
Fläcknycklar</t>
        </is>
      </c>
      <c r="W164">
        <f>HYPERLINK("https://klasma.github.io/Logging_2182/artfynd/A 21488-2022 artfynd.xlsx", "A 21488-2022")</f>
        <v/>
      </c>
      <c r="X164">
        <f>HYPERLINK("https://klasma.github.io/Logging_2182/kartor/A 21488-2022 karta.png", "A 21488-2022")</f>
        <v/>
      </c>
      <c r="Y164">
        <f>HYPERLINK("https://klasma.github.io/Logging_2182/kartor_geotiff/A 21488-2022 georefererad karta.tif", "A 21488-2022")</f>
        <v/>
      </c>
      <c r="AA164">
        <f>HYPERLINK("https://klasma.github.io/Logging_2182/klagomål/A 21488-2022 FSC-klagomål.docx", "A 21488-2022")</f>
        <v/>
      </c>
      <c r="AB164">
        <f>HYPERLINK("https://klasma.github.io/Logging_2182/klagomålsmail/A 21488-2022 FSC-klagomål mail.docx", "A 21488-2022")</f>
        <v/>
      </c>
      <c r="AC164">
        <f>HYPERLINK("https://klasma.github.io/Logging_2182/tillsyn/A 21488-2022 tillsynsbegäran.docx", "A 21488-2022")</f>
        <v/>
      </c>
      <c r="AD164">
        <f>HYPERLINK("https://klasma.github.io/Logging_2182/tillsynsmail/A 21488-2022 tillsynsbegäran mail.docx", "A 21488-2022")</f>
        <v/>
      </c>
      <c r="AE164">
        <f>HYPERLINK("https://klasma.github.io/Logging_2182/fåglar/A 21488-2022 prioriterade fågelarter.docx", "A 21488-2022")</f>
        <v/>
      </c>
    </row>
    <row r="165" ht="15" customHeight="1">
      <c r="A165" t="inlineStr">
        <is>
          <t>A 29661-2025</t>
        </is>
      </c>
      <c r="B165" t="inlineStr">
        <is>
          <t>avverkningsanmälan</t>
        </is>
      </c>
      <c r="C165" t="inlineStr">
        <is>
          <t>Föryngringsavverkning</t>
        </is>
      </c>
      <c r="D165" s="1" t="n">
        <v>45825</v>
      </c>
      <c r="E165" s="1" t="n">
        <v>46326</v>
      </c>
      <c r="F165" t="inlineStr">
        <is>
          <t>GÄVLEBORGS LÄN</t>
        </is>
      </c>
      <c r="G165" t="inlineStr">
        <is>
          <t>GÄVLE</t>
        </is>
      </c>
      <c r="H165" t="inlineStr">
        <is>
          <t>Bergvik skog väst AB</t>
        </is>
      </c>
      <c r="I165" t="n">
        <v>10.1</v>
      </c>
      <c r="J165" t="n">
        <v>3</v>
      </c>
      <c r="K165" t="n">
        <v>1</v>
      </c>
      <c r="L165" t="n">
        <v>2</v>
      </c>
      <c r="M165" t="n">
        <v>2</v>
      </c>
      <c r="N165" t="n">
        <v>0</v>
      </c>
      <c r="O165" t="n">
        <v>0</v>
      </c>
      <c r="P165" t="n">
        <v>0</v>
      </c>
      <c r="Q165" t="n">
        <v>4</v>
      </c>
      <c r="R165" t="n">
        <v>2</v>
      </c>
      <c r="S165" t="n">
        <v>6</v>
      </c>
      <c r="T165" t="n">
        <v>150</v>
      </c>
      <c r="U165" t="n">
        <v>30</v>
      </c>
      <c r="V165" s="2" t="inlineStr">
        <is>
          <t>Tandsnäcka
Väddnätfjäril
Kalkkärrsgrynsnäcka
Skogsklocka
Tvåblad
Vanliga ängsnycklar</t>
        </is>
      </c>
      <c r="W165">
        <f>HYPERLINK("https://klasma.github.io/Logging_2180/artfynd/A 29661-2025 artfynd.xlsx", "A 29661-2025")</f>
        <v/>
      </c>
      <c r="X165">
        <f>HYPERLINK("https://klasma.github.io/Logging_2180/kartor/A 29661-2025 karta.png", "A 29661-2025")</f>
        <v/>
      </c>
      <c r="Y165">
        <f>HYPERLINK("https://klasma.github.io/Logging_2180/kartor_geotiff/A 29661-2025 georefererad karta.tif", "A 29661-2025")</f>
        <v/>
      </c>
      <c r="AA165">
        <f>HYPERLINK("https://klasma.github.io/Logging_2180/klagomål/A 29661-2025 FSC-klagomål.docx", "A 29661-2025")</f>
        <v/>
      </c>
      <c r="AB165">
        <f>HYPERLINK("https://klasma.github.io/Logging_2180/klagomålsmail/A 29661-2025 FSC-klagomål mail.docx", "A 29661-2025")</f>
        <v/>
      </c>
      <c r="AC165">
        <f>HYPERLINK("https://klasma.github.io/Logging_2180/tillsyn/A 29661-2025 tillsynsbegäran.docx", "A 29661-2025")</f>
        <v/>
      </c>
      <c r="AD165">
        <f>HYPERLINK("https://klasma.github.io/Logging_2180/tillsynsmail/A 29661-2025 tillsynsbegäran mail.docx", "A 29661-2025")</f>
        <v/>
      </c>
    </row>
    <row r="166" ht="15" customHeight="1">
      <c r="A166" t="inlineStr">
        <is>
          <t>A 32536-2025</t>
        </is>
      </c>
      <c r="B166" t="inlineStr">
        <is>
          <t>avverkningsanmälan</t>
        </is>
      </c>
      <c r="C166" t="inlineStr">
        <is>
          <t>Föryngringsavverkning</t>
        </is>
      </c>
      <c r="D166" s="1" t="n">
        <v>45838</v>
      </c>
      <c r="E166" s="1" t="n">
        <v>46326</v>
      </c>
      <c r="F166" t="inlineStr">
        <is>
          <t>GÄVLEBORGS LÄN</t>
        </is>
      </c>
      <c r="G166" t="inlineStr">
        <is>
          <t>LJUSDAL</t>
        </is>
      </c>
      <c r="H166" t="inlineStr">
        <is>
          <t>Sveaskog</t>
        </is>
      </c>
      <c r="I166" t="n">
        <v>4.6</v>
      </c>
      <c r="J166" t="n">
        <v>1</v>
      </c>
      <c r="K166" t="n">
        <v>0</v>
      </c>
      <c r="L166" t="n">
        <v>4</v>
      </c>
      <c r="M166" t="n">
        <v>1</v>
      </c>
      <c r="N166" t="n">
        <v>0</v>
      </c>
      <c r="O166" t="n">
        <v>0</v>
      </c>
      <c r="P166" t="n">
        <v>0</v>
      </c>
      <c r="Q166" t="n">
        <v>5</v>
      </c>
      <c r="R166" t="n">
        <v>1</v>
      </c>
      <c r="S166" t="n">
        <v>6</v>
      </c>
      <c r="T166" t="n">
        <v>10</v>
      </c>
      <c r="U166" t="n">
        <v>10</v>
      </c>
      <c r="V166" s="2" t="inlineStr">
        <is>
          <t>Garnlav
Kolflarnlav
Lunglav
Skrovellav
Vedflamlav
Fläcknycklar</t>
        </is>
      </c>
      <c r="W166">
        <f>HYPERLINK("https://klasma.github.io/Logging_2161/artfynd/A 32536-2025 artfynd.xlsx", "A 32536-2025")</f>
        <v/>
      </c>
      <c r="X166">
        <f>HYPERLINK("https://klasma.github.io/Logging_2161/kartor/A 32536-2025 karta.png", "A 32536-2025")</f>
        <v/>
      </c>
      <c r="Y166">
        <f>HYPERLINK("https://klasma.github.io/Logging_2161/kartor_geotiff/A 32536-2025 georefererad karta.tif", "A 32536-2025")</f>
        <v/>
      </c>
      <c r="AA166">
        <f>HYPERLINK("https://klasma.github.io/Logging_2161/klagomål/A 32536-2025 FSC-klagomål.docx", "A 32536-2025")</f>
        <v/>
      </c>
      <c r="AB166">
        <f>HYPERLINK("https://klasma.github.io/Logging_2161/klagomålsmail/A 32536-2025 FSC-klagomål mail.docx", "A 32536-2025")</f>
        <v/>
      </c>
      <c r="AC166">
        <f>HYPERLINK("https://klasma.github.io/Logging_2161/tillsyn/A 32536-2025 tillsynsbegäran.docx", "A 32536-2025")</f>
        <v/>
      </c>
      <c r="AD166">
        <f>HYPERLINK("https://klasma.github.io/Logging_2161/tillsynsmail/A 32536-2025 tillsynsbegäran mail.docx", "A 32536-2025")</f>
        <v/>
      </c>
    </row>
    <row r="167" ht="15" customHeight="1">
      <c r="A167" t="inlineStr">
        <is>
          <t>A 19180-2024</t>
        </is>
      </c>
      <c r="B167" t="inlineStr">
        <is>
          <t>avverkningsanmälan</t>
        </is>
      </c>
      <c r="C167" t="inlineStr">
        <is>
          <t>Föryngringsavverkning</t>
        </is>
      </c>
      <c r="D167" s="1" t="n">
        <v>45428</v>
      </c>
      <c r="E167" s="1" t="n">
        <v>46326</v>
      </c>
      <c r="F167" t="inlineStr">
        <is>
          <t>GÄVLEBORGS LÄN</t>
        </is>
      </c>
      <c r="G167" t="inlineStr">
        <is>
          <t>OVANÅKER</t>
        </is>
      </c>
      <c r="I167" t="n">
        <v>4.1</v>
      </c>
      <c r="J167" t="n">
        <v>1</v>
      </c>
      <c r="K167" t="n">
        <v>0</v>
      </c>
      <c r="L167" t="n">
        <v>5</v>
      </c>
      <c r="M167" t="n">
        <v>0</v>
      </c>
      <c r="N167" t="n">
        <v>0</v>
      </c>
      <c r="O167" t="n">
        <v>0</v>
      </c>
      <c r="P167" t="n">
        <v>0</v>
      </c>
      <c r="Q167" t="n">
        <v>5</v>
      </c>
      <c r="R167" t="n">
        <v>0</v>
      </c>
      <c r="S167" t="n">
        <v>6</v>
      </c>
      <c r="T167" t="n">
        <v>7</v>
      </c>
      <c r="U167" t="n">
        <v>5</v>
      </c>
      <c r="V167" s="2" t="inlineStr">
        <is>
          <t>Gammelgransskål
Kattfotslav
Kolflarnlav
Ullticka
Vedskivlav
Fläcknycklar</t>
        </is>
      </c>
      <c r="W167">
        <f>HYPERLINK("https://klasma.github.io/Logging_2121/artfynd/A 19180-2024 artfynd.xlsx", "A 19180-2024")</f>
        <v/>
      </c>
      <c r="X167">
        <f>HYPERLINK("https://klasma.github.io/Logging_2121/kartor/A 19180-2024 karta.png", "A 19180-2024")</f>
        <v/>
      </c>
      <c r="Y167">
        <f>HYPERLINK("https://klasma.github.io/Logging_2121/kartor_geotiff/A 19180-2024 georefererad karta.tif", "A 19180-2024")</f>
        <v/>
      </c>
      <c r="AA167">
        <f>HYPERLINK("https://klasma.github.io/Logging_2121/klagomål/A 19180-2024 FSC-klagomål.docx", "A 19180-2024")</f>
        <v/>
      </c>
      <c r="AB167">
        <f>HYPERLINK("https://klasma.github.io/Logging_2121/klagomålsmail/A 19180-2024 FSC-klagomål mail.docx", "A 19180-2024")</f>
        <v/>
      </c>
      <c r="AC167">
        <f>HYPERLINK("https://klasma.github.io/Logging_2121/tillsyn/A 19180-2024 tillsynsbegäran.docx", "A 19180-2024")</f>
        <v/>
      </c>
      <c r="AD167">
        <f>HYPERLINK("https://klasma.github.io/Logging_2121/tillsynsmail/A 19180-2024 tillsynsbegäran mail.docx", "A 19180-2024")</f>
        <v/>
      </c>
    </row>
    <row r="168" ht="15" customHeight="1">
      <c r="A168" t="inlineStr">
        <is>
          <t>A 44198-2025</t>
        </is>
      </c>
      <c r="B168" t="inlineStr">
        <is>
          <t>avverkningsanmälan</t>
        </is>
      </c>
      <c r="C168" t="inlineStr">
        <is>
          <t>Föryngringsavverkning</t>
        </is>
      </c>
      <c r="D168" s="1" t="n">
        <v>45915</v>
      </c>
      <c r="E168" s="1" t="n">
        <v>46326</v>
      </c>
      <c r="F168" t="inlineStr">
        <is>
          <t>GÄVLEBORGS LÄN</t>
        </is>
      </c>
      <c r="G168" t="inlineStr">
        <is>
          <t>LJUSDAL</t>
        </is>
      </c>
      <c r="H168" t="inlineStr">
        <is>
          <t>Sveaskog</t>
        </is>
      </c>
      <c r="I168" t="n">
        <v>17.7</v>
      </c>
      <c r="J168" t="n">
        <v>4</v>
      </c>
      <c r="K168" t="n">
        <v>1</v>
      </c>
      <c r="L168" t="n">
        <v>3</v>
      </c>
      <c r="M168" t="n">
        <v>1</v>
      </c>
      <c r="N168" t="n">
        <v>0</v>
      </c>
      <c r="O168" t="n">
        <v>0</v>
      </c>
      <c r="P168" t="n">
        <v>0</v>
      </c>
      <c r="Q168" t="n">
        <v>4</v>
      </c>
      <c r="R168" t="n">
        <v>1</v>
      </c>
      <c r="S168" t="n">
        <v>6</v>
      </c>
      <c r="T168" t="n">
        <v>33</v>
      </c>
      <c r="U168" t="n">
        <v>30</v>
      </c>
      <c r="V168" s="2" t="inlineStr">
        <is>
          <t>Knärot
Kolflarnlav
Talltita
Violettgrå tagellav
Plattlummer
Revlummer</t>
        </is>
      </c>
      <c r="W168">
        <f>HYPERLINK("https://klasma.github.io/Logging_2161/artfynd/A 44198-2025 artfynd.xlsx", "A 44198-2025")</f>
        <v/>
      </c>
      <c r="X168">
        <f>HYPERLINK("https://klasma.github.io/Logging_2161/kartor/A 44198-2025 karta.png", "A 44198-2025")</f>
        <v/>
      </c>
      <c r="Y168">
        <f>HYPERLINK("https://klasma.github.io/Logging_2161/kartor_geotiff/A 44198-2025 georefererad karta.tif", "A 44198-2025")</f>
        <v/>
      </c>
      <c r="Z168">
        <f>HYPERLINK("https://klasma.github.io/Logging_2161/knärot/A 44198-2025 karta knärot.png", "A 44198-2025")</f>
        <v/>
      </c>
      <c r="AA168">
        <f>HYPERLINK("https://klasma.github.io/Logging_2161/klagomål/A 44198-2025 FSC-klagomål.docx", "A 44198-2025")</f>
        <v/>
      </c>
      <c r="AB168">
        <f>HYPERLINK("https://klasma.github.io/Logging_2161/klagomålsmail/A 44198-2025 FSC-klagomål mail.docx", "A 44198-2025")</f>
        <v/>
      </c>
      <c r="AC168">
        <f>HYPERLINK("https://klasma.github.io/Logging_2161/tillsyn/A 44198-2025 tillsynsbegäran.docx", "A 44198-2025")</f>
        <v/>
      </c>
      <c r="AD168">
        <f>HYPERLINK("https://klasma.github.io/Logging_2161/tillsynsmail/A 44198-2025 tillsynsbegäran mail.docx", "A 44198-2025")</f>
        <v/>
      </c>
      <c r="AE168">
        <f>HYPERLINK("https://klasma.github.io/Logging_2161/fåglar/A 44198-2025 prioriterade fågelarter.docx", "A 44198-2025")</f>
        <v/>
      </c>
    </row>
    <row r="169" ht="15" customHeight="1">
      <c r="A169" t="inlineStr">
        <is>
          <t>A 43829-2025</t>
        </is>
      </c>
      <c r="B169" t="inlineStr">
        <is>
          <t>avverkningsanmälan</t>
        </is>
      </c>
      <c r="C169" t="inlineStr">
        <is>
          <t>Föryngringsavverkning</t>
        </is>
      </c>
      <c r="D169" s="1" t="n">
        <v>45912</v>
      </c>
      <c r="E169" s="1" t="n">
        <v>46326</v>
      </c>
      <c r="F169" t="inlineStr">
        <is>
          <t>GÄVLEBORGS LÄN</t>
        </is>
      </c>
      <c r="G169" t="inlineStr">
        <is>
          <t>LJUSDAL</t>
        </is>
      </c>
      <c r="H169" t="inlineStr">
        <is>
          <t>Sveaskog</t>
        </is>
      </c>
      <c r="I169" t="n">
        <v>13</v>
      </c>
      <c r="J169" t="n">
        <v>3</v>
      </c>
      <c r="K169" t="n">
        <v>2</v>
      </c>
      <c r="L169" t="n">
        <v>2</v>
      </c>
      <c r="M169" t="n">
        <v>2</v>
      </c>
      <c r="N169" t="n">
        <v>0</v>
      </c>
      <c r="O169" t="n">
        <v>0</v>
      </c>
      <c r="P169" t="n">
        <v>0</v>
      </c>
      <c r="Q169" t="n">
        <v>4</v>
      </c>
      <c r="R169" t="n">
        <v>2</v>
      </c>
      <c r="S169" t="n">
        <v>6</v>
      </c>
      <c r="T169" t="n">
        <v>14</v>
      </c>
      <c r="U169" t="n">
        <v>11</v>
      </c>
      <c r="V169" s="2" t="inlineStr">
        <is>
          <t>Garnlav
Knärot
Orange taggsvamp
Violettgrå tagellav
Plattlummer
Spindelblomster</t>
        </is>
      </c>
      <c r="W169">
        <f>HYPERLINK("https://klasma.github.io/Logging_2161/artfynd/A 43829-2025 artfynd.xlsx", "A 43829-2025")</f>
        <v/>
      </c>
      <c r="X169">
        <f>HYPERLINK("https://klasma.github.io/Logging_2161/kartor/A 43829-2025 karta.png", "A 43829-2025")</f>
        <v/>
      </c>
      <c r="Y169">
        <f>HYPERLINK("https://klasma.github.io/Logging_2161/kartor_geotiff/A 43829-2025 georefererad karta.tif", "A 43829-2025")</f>
        <v/>
      </c>
      <c r="Z169">
        <f>HYPERLINK("https://klasma.github.io/Logging_2161/knärot/A 43829-2025 karta knärot.png", "A 43829-2025")</f>
        <v/>
      </c>
      <c r="AA169">
        <f>HYPERLINK("https://klasma.github.io/Logging_2161/klagomål/A 43829-2025 FSC-klagomål.docx", "A 43829-2025")</f>
        <v/>
      </c>
      <c r="AB169">
        <f>HYPERLINK("https://klasma.github.io/Logging_2161/klagomålsmail/A 43829-2025 FSC-klagomål mail.docx", "A 43829-2025")</f>
        <v/>
      </c>
      <c r="AC169">
        <f>HYPERLINK("https://klasma.github.io/Logging_2161/tillsyn/A 43829-2025 tillsynsbegäran.docx", "A 43829-2025")</f>
        <v/>
      </c>
      <c r="AD169">
        <f>HYPERLINK("https://klasma.github.io/Logging_2161/tillsynsmail/A 43829-2025 tillsynsbegäran mail.docx", "A 43829-2025")</f>
        <v/>
      </c>
    </row>
    <row r="170" ht="15" customHeight="1">
      <c r="A170" t="inlineStr">
        <is>
          <t>A 33367-2025</t>
        </is>
      </c>
      <c r="B170" t="inlineStr">
        <is>
          <t>avverkningsanmälan</t>
        </is>
      </c>
      <c r="C170" t="inlineStr">
        <is>
          <t>Föryngringsavverkning</t>
        </is>
      </c>
      <c r="D170" s="1" t="n">
        <v>45841</v>
      </c>
      <c r="E170" s="1" t="n">
        <v>46326</v>
      </c>
      <c r="F170" t="inlineStr">
        <is>
          <t>GÄVLEBORGS LÄN</t>
        </is>
      </c>
      <c r="G170" t="inlineStr">
        <is>
          <t>OCKELBO</t>
        </is>
      </c>
      <c r="I170" t="n">
        <v>1.7</v>
      </c>
      <c r="J170" t="n">
        <v>3</v>
      </c>
      <c r="K170" t="n">
        <v>2</v>
      </c>
      <c r="L170" t="n">
        <v>2</v>
      </c>
      <c r="M170" t="n">
        <v>0</v>
      </c>
      <c r="N170" t="n">
        <v>0</v>
      </c>
      <c r="O170" t="n">
        <v>0</v>
      </c>
      <c r="P170" t="n">
        <v>0</v>
      </c>
      <c r="Q170" t="n">
        <v>2</v>
      </c>
      <c r="R170" t="n">
        <v>0</v>
      </c>
      <c r="S170" t="n">
        <v>6</v>
      </c>
      <c r="T170" t="n">
        <v>6</v>
      </c>
      <c r="U170" t="n">
        <v>1</v>
      </c>
      <c r="V170" s="2" t="inlineStr">
        <is>
          <t>Talltita
Vedskivlav
Bronshjon
Vågbandad barkbock
Spillkråka
Tjäder</t>
        </is>
      </c>
      <c r="W170">
        <f>HYPERLINK("https://klasma.github.io/Logging_2101/artfynd/A 33367-2025 artfynd.xlsx", "A 33367-2025")</f>
        <v/>
      </c>
      <c r="X170">
        <f>HYPERLINK("https://klasma.github.io/Logging_2101/kartor/A 33367-2025 karta.png", "A 33367-2025")</f>
        <v/>
      </c>
      <c r="Y170">
        <f>HYPERLINK("https://klasma.github.io/Logging_2101/kartor_geotiff/A 33367-2025 georefererad karta.tif", "A 33367-2025")</f>
        <v/>
      </c>
      <c r="AA170">
        <f>HYPERLINK("https://klasma.github.io/Logging_2101/klagomål/A 33367-2025 FSC-klagomål.docx", "A 33367-2025")</f>
        <v/>
      </c>
      <c r="AB170">
        <f>HYPERLINK("https://klasma.github.io/Logging_2101/klagomålsmail/A 33367-2025 FSC-klagomål mail.docx", "A 33367-2025")</f>
        <v/>
      </c>
      <c r="AC170">
        <f>HYPERLINK("https://klasma.github.io/Logging_2101/tillsyn/A 33367-2025 tillsynsbegäran.docx", "A 33367-2025")</f>
        <v/>
      </c>
      <c r="AD170">
        <f>HYPERLINK("https://klasma.github.io/Logging_2101/tillsynsmail/A 33367-2025 tillsynsbegäran mail.docx", "A 33367-2025")</f>
        <v/>
      </c>
      <c r="AE170">
        <f>HYPERLINK("https://klasma.github.io/Logging_2101/fåglar/A 33367-2025 prioriterade fågelarter.docx", "A 33367-2025")</f>
        <v/>
      </c>
    </row>
    <row r="171" ht="15" customHeight="1">
      <c r="A171" t="inlineStr">
        <is>
          <t>A 35605-2025</t>
        </is>
      </c>
      <c r="B171" t="inlineStr">
        <is>
          <t>avverkningsanmälan</t>
        </is>
      </c>
      <c r="C171" t="inlineStr">
        <is>
          <t>Föryngringsavverkning</t>
        </is>
      </c>
      <c r="D171" s="1" t="n">
        <v>45859</v>
      </c>
      <c r="E171" s="1" t="n">
        <v>46326</v>
      </c>
      <c r="F171" t="inlineStr">
        <is>
          <t>GÄVLEBORGS LÄN</t>
        </is>
      </c>
      <c r="G171" t="inlineStr">
        <is>
          <t>LJUSDAL</t>
        </is>
      </c>
      <c r="H171" t="inlineStr">
        <is>
          <t>Bergvik skog väst AB</t>
        </is>
      </c>
      <c r="I171" t="n">
        <v>3.1</v>
      </c>
      <c r="J171" t="n">
        <v>3</v>
      </c>
      <c r="K171" t="n">
        <v>1</v>
      </c>
      <c r="L171" t="n">
        <v>2</v>
      </c>
      <c r="M171" t="n">
        <v>1</v>
      </c>
      <c r="N171" t="n">
        <v>0</v>
      </c>
      <c r="O171" t="n">
        <v>0</v>
      </c>
      <c r="P171" t="n">
        <v>0</v>
      </c>
      <c r="Q171" t="n">
        <v>3</v>
      </c>
      <c r="R171" t="n">
        <v>1</v>
      </c>
      <c r="S171" t="n">
        <v>6</v>
      </c>
      <c r="T171" t="n">
        <v>9</v>
      </c>
      <c r="U171" t="n">
        <v>0</v>
      </c>
      <c r="V171" s="2" t="inlineStr">
        <is>
          <t>Knärot
Lunglav
Vitgrynig nållav
Skinnlav
Spillkråka
Nattviol</t>
        </is>
      </c>
      <c r="W171">
        <f>HYPERLINK("https://klasma.github.io/Logging_2161/artfynd/A 35605-2025 artfynd.xlsx", "A 35605-2025")</f>
        <v/>
      </c>
      <c r="X171">
        <f>HYPERLINK("https://klasma.github.io/Logging_2161/kartor/A 35605-2025 karta.png", "A 35605-2025")</f>
        <v/>
      </c>
      <c r="Y171">
        <f>HYPERLINK("https://klasma.github.io/Logging_2161/kartor_geotiff/A 35605-2025 georefererad karta.tif", "A 35605-2025")</f>
        <v/>
      </c>
      <c r="Z171">
        <f>HYPERLINK("https://klasma.github.io/Logging_2161/knärot/A 35605-2025 karta knärot.png", "A 35605-2025")</f>
        <v/>
      </c>
      <c r="AA171">
        <f>HYPERLINK("https://klasma.github.io/Logging_2161/klagomål/A 35605-2025 FSC-klagomål.docx", "A 35605-2025")</f>
        <v/>
      </c>
      <c r="AB171">
        <f>HYPERLINK("https://klasma.github.io/Logging_2161/klagomålsmail/A 35605-2025 FSC-klagomål mail.docx", "A 35605-2025")</f>
        <v/>
      </c>
      <c r="AC171">
        <f>HYPERLINK("https://klasma.github.io/Logging_2161/tillsyn/A 35605-2025 tillsynsbegäran.docx", "A 35605-2025")</f>
        <v/>
      </c>
      <c r="AD171">
        <f>HYPERLINK("https://klasma.github.io/Logging_2161/tillsynsmail/A 35605-2025 tillsynsbegäran mail.docx", "A 35605-2025")</f>
        <v/>
      </c>
      <c r="AE171">
        <f>HYPERLINK("https://klasma.github.io/Logging_2161/fåglar/A 35605-2025 prioriterade fågelarter.docx", "A 35605-2025")</f>
        <v/>
      </c>
    </row>
    <row r="172" ht="15" customHeight="1">
      <c r="A172" t="inlineStr">
        <is>
          <t>A 63804-2025</t>
        </is>
      </c>
      <c r="B172" t="inlineStr">
        <is>
          <t>avverkningsanmälan</t>
        </is>
      </c>
      <c r="C172" t="inlineStr">
        <is>
          <t>Föryngringsavverkning</t>
        </is>
      </c>
      <c r="D172" s="1" t="n">
        <v>46019</v>
      </c>
      <c r="E172" s="1" t="n">
        <v>46326</v>
      </c>
      <c r="F172" t="inlineStr">
        <is>
          <t>GÄVLEBORGS LÄN</t>
        </is>
      </c>
      <c r="G172" t="inlineStr">
        <is>
          <t>NORDANSTIG</t>
        </is>
      </c>
      <c r="I172" t="n">
        <v>31.4</v>
      </c>
      <c r="J172" t="n">
        <v>4</v>
      </c>
      <c r="K172" t="n">
        <v>0</v>
      </c>
      <c r="L172" t="n">
        <v>3</v>
      </c>
      <c r="M172" t="n">
        <v>0</v>
      </c>
      <c r="N172" t="n">
        <v>0</v>
      </c>
      <c r="O172" t="n">
        <v>0</v>
      </c>
      <c r="P172" t="n">
        <v>0</v>
      </c>
      <c r="Q172" t="n">
        <v>3</v>
      </c>
      <c r="R172" t="n">
        <v>0</v>
      </c>
      <c r="S172" t="n">
        <v>6</v>
      </c>
      <c r="T172" t="n">
        <v>6</v>
      </c>
      <c r="U172" t="n">
        <v>0</v>
      </c>
      <c r="V172" s="2" t="inlineStr">
        <is>
          <t>Tallkötticka
Talltita
Älg
Spillkråka
Kråka
Kungsfågel</t>
        </is>
      </c>
      <c r="W172">
        <f>HYPERLINK("https://klasma.github.io/Logging_2132/artfynd/A 63804-2025 artfynd.xlsx", "A 63804-2025")</f>
        <v/>
      </c>
      <c r="X172">
        <f>HYPERLINK("https://klasma.github.io/Logging_2132/kartor/A 63804-2025 karta.png", "A 63804-2025")</f>
        <v/>
      </c>
      <c r="Y172">
        <f>HYPERLINK("https://klasma.github.io/Logging_2132/kartor_geotiff/A 63804-2025 georefererad karta.tif", "A 63804-2025")</f>
        <v/>
      </c>
      <c r="AA172">
        <f>HYPERLINK("https://klasma.github.io/Logging_2132/klagomål/A 63804-2025 FSC-klagomål.docx", "A 63804-2025")</f>
        <v/>
      </c>
      <c r="AB172">
        <f>HYPERLINK("https://klasma.github.io/Logging_2132/klagomålsmail/A 63804-2025 FSC-klagomål mail.docx", "A 63804-2025")</f>
        <v/>
      </c>
      <c r="AC172">
        <f>HYPERLINK("https://klasma.github.io/Logging_2132/tillsyn/A 63804-2025 tillsynsbegäran.docx", "A 63804-2025")</f>
        <v/>
      </c>
      <c r="AD172">
        <f>HYPERLINK("https://klasma.github.io/Logging_2132/tillsynsmail/A 63804-2025 tillsynsbegäran mail.docx", "A 63804-2025")</f>
        <v/>
      </c>
      <c r="AE172">
        <f>HYPERLINK("https://klasma.github.io/Logging_2132/fåglar/A 63804-2025 prioriterade fågelarter.docx", "A 63804-2025")</f>
        <v/>
      </c>
    </row>
    <row r="173" ht="15" customHeight="1">
      <c r="A173" t="inlineStr">
        <is>
          <t>A 45153-2023</t>
        </is>
      </c>
      <c r="B173" t="inlineStr">
        <is>
          <t>avverkningsanmälan</t>
        </is>
      </c>
      <c r="C173" t="inlineStr">
        <is>
          <t>Föryngringsavverkning</t>
        </is>
      </c>
      <c r="D173" s="1" t="n">
        <v>45191</v>
      </c>
      <c r="E173" s="1" t="n">
        <v>46326</v>
      </c>
      <c r="F173" t="inlineStr">
        <is>
          <t>GÄVLEBORGS LÄN</t>
        </is>
      </c>
      <c r="G173" t="inlineStr">
        <is>
          <t>HUDIKSVALL</t>
        </is>
      </c>
      <c r="I173" t="n">
        <v>0.6</v>
      </c>
      <c r="J173" t="n">
        <v>3</v>
      </c>
      <c r="K173" t="n">
        <v>2</v>
      </c>
      <c r="L173" t="n">
        <v>2</v>
      </c>
      <c r="M173" t="n">
        <v>0</v>
      </c>
      <c r="N173" t="n">
        <v>0</v>
      </c>
      <c r="O173" t="n">
        <v>0</v>
      </c>
      <c r="P173" t="n">
        <v>0</v>
      </c>
      <c r="Q173" t="n">
        <v>2</v>
      </c>
      <c r="R173" t="n">
        <v>0</v>
      </c>
      <c r="S173" t="n">
        <v>6</v>
      </c>
      <c r="T173" t="n">
        <v>6</v>
      </c>
      <c r="U173" t="n">
        <v>5</v>
      </c>
      <c r="V173" s="2" t="inlineStr">
        <is>
          <t>Sparvuggla
Vitgrynig nållav
Rödgul trumpetsvamp
Tibast
Slaguggla
Skogsödla</t>
        </is>
      </c>
      <c r="W173">
        <f>HYPERLINK("https://klasma.github.io/Logging_2184/artfynd/A 45153-2023 artfynd.xlsx", "A 45153-2023")</f>
        <v/>
      </c>
      <c r="X173">
        <f>HYPERLINK("https://klasma.github.io/Logging_2184/kartor/A 45153-2023 karta.png", "A 45153-2023")</f>
        <v/>
      </c>
      <c r="Y173">
        <f>HYPERLINK("https://klasma.github.io/Logging_2184/kartor_geotiff/A 45153-2023 georefererad karta.tif", "A 45153-2023")</f>
        <v/>
      </c>
      <c r="AA173">
        <f>HYPERLINK("https://klasma.github.io/Logging_2184/klagomål/A 45153-2023 FSC-klagomål.docx", "A 45153-2023")</f>
        <v/>
      </c>
      <c r="AB173">
        <f>HYPERLINK("https://klasma.github.io/Logging_2184/klagomålsmail/A 45153-2023 FSC-klagomål mail.docx", "A 45153-2023")</f>
        <v/>
      </c>
      <c r="AC173">
        <f>HYPERLINK("https://klasma.github.io/Logging_2184/tillsyn/A 45153-2023 tillsynsbegäran.docx", "A 45153-2023")</f>
        <v/>
      </c>
      <c r="AD173">
        <f>HYPERLINK("https://klasma.github.io/Logging_2184/tillsynsmail/A 45153-2023 tillsynsbegäran mail.docx", "A 45153-2023")</f>
        <v/>
      </c>
      <c r="AE173">
        <f>HYPERLINK("https://klasma.github.io/Logging_2184/fåglar/A 45153-2023 prioriterade fågelarter.docx", "A 45153-2023")</f>
        <v/>
      </c>
    </row>
    <row r="174" ht="15" customHeight="1">
      <c r="A174" t="inlineStr">
        <is>
          <t>A 13897-2026</t>
        </is>
      </c>
      <c r="B174" t="inlineStr">
        <is>
          <t>avverkningsanmälan</t>
        </is>
      </c>
      <c r="C174" t="inlineStr">
        <is>
          <t>Föryngringsavverkning</t>
        </is>
      </c>
      <c r="D174" s="1" t="n">
        <v>46098</v>
      </c>
      <c r="E174" s="1" t="n">
        <v>46326</v>
      </c>
      <c r="F174" t="inlineStr">
        <is>
          <t>GÄVLEBORGS LÄN</t>
        </is>
      </c>
      <c r="G174" t="inlineStr">
        <is>
          <t>SANDVIKEN</t>
        </is>
      </c>
      <c r="H174" t="inlineStr">
        <is>
          <t>Kommuner</t>
        </is>
      </c>
      <c r="I174" t="n">
        <v>1.7</v>
      </c>
      <c r="J174" t="n">
        <v>4</v>
      </c>
      <c r="K174" t="n">
        <v>0</v>
      </c>
      <c r="L174" t="n">
        <v>1</v>
      </c>
      <c r="M174" t="n">
        <v>1</v>
      </c>
      <c r="N174" t="n">
        <v>0</v>
      </c>
      <c r="O174" t="n">
        <v>0</v>
      </c>
      <c r="P174" t="n">
        <v>0</v>
      </c>
      <c r="Q174" t="n">
        <v>2</v>
      </c>
      <c r="R174" t="n">
        <v>1</v>
      </c>
      <c r="S174" t="n">
        <v>6</v>
      </c>
      <c r="T174" t="n">
        <v>11</v>
      </c>
      <c r="U174" t="n">
        <v>0</v>
      </c>
      <c r="V174" s="2" t="inlineStr">
        <is>
          <t>Igelkott
Skogshare
Blåsippa
Mindre vattensalamander
Fläcknycklar
Gullviva</t>
        </is>
      </c>
      <c r="W174">
        <f>HYPERLINK("https://klasma.github.io/Logging_2181/artfynd/A 13897-2026 artfynd.xlsx", "A 13897-2026")</f>
        <v/>
      </c>
      <c r="X174">
        <f>HYPERLINK("https://klasma.github.io/Logging_2181/kartor/A 13897-2026 karta.png", "A 13897-2026")</f>
        <v/>
      </c>
      <c r="Y174">
        <f>HYPERLINK("https://klasma.github.io/Logging_2181/kartor_geotiff/A 13897-2026 georefererad karta.tif", "A 13897-2026")</f>
        <v/>
      </c>
      <c r="AA174">
        <f>HYPERLINK("https://klasma.github.io/Logging_2181/klagomål/A 13897-2026 FSC-klagomål.docx", "A 13897-2026")</f>
        <v/>
      </c>
      <c r="AB174">
        <f>HYPERLINK("https://klasma.github.io/Logging_2181/klagomålsmail/A 13897-2026 FSC-klagomål mail.docx", "A 13897-2026")</f>
        <v/>
      </c>
      <c r="AC174">
        <f>HYPERLINK("https://klasma.github.io/Logging_2181/tillsyn/A 13897-2026 tillsynsbegäran.docx", "A 13897-2026")</f>
        <v/>
      </c>
      <c r="AD174">
        <f>HYPERLINK("https://klasma.github.io/Logging_2181/tillsynsmail/A 13897-2026 tillsynsbegäran mail.docx", "A 13897-2026")</f>
        <v/>
      </c>
    </row>
    <row r="175" ht="15" customHeight="1">
      <c r="A175" t="inlineStr">
        <is>
          <t>A 23581-2024</t>
        </is>
      </c>
      <c r="B175" t="inlineStr">
        <is>
          <t>avverkningsanmälan</t>
        </is>
      </c>
      <c r="C175" t="inlineStr">
        <is>
          <t>Avverkning för att bevara och utveckla /försöksver</t>
        </is>
      </c>
      <c r="D175" s="1" t="n">
        <v>45454</v>
      </c>
      <c r="E175" s="1" t="n">
        <v>46326</v>
      </c>
      <c r="F175" t="inlineStr">
        <is>
          <t>GÄVLEBORGS LÄN</t>
        </is>
      </c>
      <c r="G175" t="inlineStr">
        <is>
          <t>OVANÅKER</t>
        </is>
      </c>
      <c r="H175" t="inlineStr">
        <is>
          <t>Sveaskog</t>
        </is>
      </c>
      <c r="I175" t="n">
        <v>9.199999999999999</v>
      </c>
      <c r="J175" t="n">
        <v>4</v>
      </c>
      <c r="K175" t="n">
        <v>2</v>
      </c>
      <c r="L175" t="n">
        <v>1</v>
      </c>
      <c r="M175" t="n">
        <v>1</v>
      </c>
      <c r="N175" t="n">
        <v>0</v>
      </c>
      <c r="O175" t="n">
        <v>0</v>
      </c>
      <c r="P175" t="n">
        <v>0</v>
      </c>
      <c r="Q175" t="n">
        <v>2</v>
      </c>
      <c r="R175" t="n">
        <v>1</v>
      </c>
      <c r="S175" t="n">
        <v>6</v>
      </c>
      <c r="T175" t="n">
        <v>8</v>
      </c>
      <c r="U175" t="n">
        <v>4</v>
      </c>
      <c r="V175" s="2" t="inlineStr">
        <is>
          <t>Knärot
Mörk kolflarnlav
Korallrot
Stuplav
Spillkråka
Nattviol</t>
        </is>
      </c>
      <c r="W175">
        <f>HYPERLINK("https://klasma.github.io/Logging_2121/artfynd/A 23581-2024 artfynd.xlsx", "A 23581-2024")</f>
        <v/>
      </c>
      <c r="X175">
        <f>HYPERLINK("https://klasma.github.io/Logging_2121/kartor/A 23581-2024 karta.png", "A 23581-2024")</f>
        <v/>
      </c>
      <c r="Y175">
        <f>HYPERLINK("https://klasma.github.io/Logging_2121/kartor_geotiff/A 23581-2024 georefererad karta.tif", "A 23581-2024")</f>
        <v/>
      </c>
      <c r="Z175">
        <f>HYPERLINK("https://klasma.github.io/Logging_2121/knärot/A 23581-2024 karta knärot.png", "A 23581-2024")</f>
        <v/>
      </c>
      <c r="AA175">
        <f>HYPERLINK("https://klasma.github.io/Logging_2121/klagomål/A 23581-2024 FSC-klagomål.docx", "A 23581-2024")</f>
        <v/>
      </c>
      <c r="AB175">
        <f>HYPERLINK("https://klasma.github.io/Logging_2121/klagomålsmail/A 23581-2024 FSC-klagomål mail.docx", "A 23581-2024")</f>
        <v/>
      </c>
      <c r="AC175">
        <f>HYPERLINK("https://klasma.github.io/Logging_2121/tillsyn/A 23581-2024 tillsynsbegäran.docx", "A 23581-2024")</f>
        <v/>
      </c>
      <c r="AD175">
        <f>HYPERLINK("https://klasma.github.io/Logging_2121/tillsynsmail/A 23581-2024 tillsynsbegäran mail.docx", "A 23581-2024")</f>
        <v/>
      </c>
      <c r="AE175">
        <f>HYPERLINK("https://klasma.github.io/Logging_2121/fåglar/A 23581-2024 prioriterade fågelarter.docx", "A 23581-2024")</f>
        <v/>
      </c>
    </row>
    <row r="176" ht="15" customHeight="1">
      <c r="A176" t="inlineStr">
        <is>
          <t>A 14671-2026</t>
        </is>
      </c>
      <c r="B176" t="inlineStr">
        <is>
          <t>avverkningsanmälan</t>
        </is>
      </c>
      <c r="C176" t="inlineStr">
        <is>
          <t>Föryngringsavverkning</t>
        </is>
      </c>
      <c r="D176" s="1" t="n">
        <v>46101</v>
      </c>
      <c r="E176" s="1" t="n">
        <v>46326</v>
      </c>
      <c r="F176" t="inlineStr">
        <is>
          <t>GÄVLEBORGS LÄN</t>
        </is>
      </c>
      <c r="G176" t="inlineStr">
        <is>
          <t>OCKELBO</t>
        </is>
      </c>
      <c r="H176" t="inlineStr">
        <is>
          <t>Bergvik skog väst AB</t>
        </is>
      </c>
      <c r="I176" t="n">
        <v>19.6</v>
      </c>
      <c r="J176" t="n">
        <v>4</v>
      </c>
      <c r="K176" t="n">
        <v>0</v>
      </c>
      <c r="L176" t="n">
        <v>2</v>
      </c>
      <c r="M176" t="n">
        <v>0</v>
      </c>
      <c r="N176" t="n">
        <v>0</v>
      </c>
      <c r="O176" t="n">
        <v>0</v>
      </c>
      <c r="P176" t="n">
        <v>0</v>
      </c>
      <c r="Q176" t="n">
        <v>2</v>
      </c>
      <c r="R176" t="n">
        <v>0</v>
      </c>
      <c r="S176" t="n">
        <v>6</v>
      </c>
      <c r="T176" t="n">
        <v>16</v>
      </c>
      <c r="U176" t="n">
        <v>0</v>
      </c>
      <c r="V176" s="2" t="inlineStr">
        <is>
          <t>Kortskaftad ärgspik
Motaggsvamp
Järpe
Tjäder
Buskskvätta
Fläcknycklar</t>
        </is>
      </c>
      <c r="W176">
        <f>HYPERLINK("https://klasma.github.io/Logging_2101/artfynd/A 14671-2026 artfynd.xlsx", "A 14671-2026")</f>
        <v/>
      </c>
      <c r="X176">
        <f>HYPERLINK("https://klasma.github.io/Logging_2101/kartor/A 14671-2026 karta.png", "A 14671-2026")</f>
        <v/>
      </c>
      <c r="Y176">
        <f>HYPERLINK("https://klasma.github.io/Logging_2101/kartor_geotiff/A 14671-2026 georefererad karta.tif", "A 14671-2026")</f>
        <v/>
      </c>
      <c r="AA176">
        <f>HYPERLINK("https://klasma.github.io/Logging_2101/klagomål/A 14671-2026 FSC-klagomål.docx", "A 14671-2026")</f>
        <v/>
      </c>
      <c r="AB176">
        <f>HYPERLINK("https://klasma.github.io/Logging_2101/klagomålsmail/A 14671-2026 FSC-klagomål mail.docx", "A 14671-2026")</f>
        <v/>
      </c>
      <c r="AC176">
        <f>HYPERLINK("https://klasma.github.io/Logging_2101/tillsyn/A 14671-2026 tillsynsbegäran.docx", "A 14671-2026")</f>
        <v/>
      </c>
      <c r="AD176">
        <f>HYPERLINK("https://klasma.github.io/Logging_2101/tillsynsmail/A 14671-2026 tillsynsbegäran mail.docx", "A 14671-2026")</f>
        <v/>
      </c>
      <c r="AE176">
        <f>HYPERLINK("https://klasma.github.io/Logging_2101/fåglar/A 14671-2026 prioriterade fågelarter.docx", "A 14671-2026")</f>
        <v/>
      </c>
    </row>
    <row r="177" ht="15" customHeight="1">
      <c r="A177" t="inlineStr">
        <is>
          <t>A 26085-2025</t>
        </is>
      </c>
      <c r="B177" t="inlineStr">
        <is>
          <t>avverkningsanmälan</t>
        </is>
      </c>
      <c r="C177" t="inlineStr">
        <is>
          <t>Föryngringsavverkning</t>
        </is>
      </c>
      <c r="D177" s="1" t="n">
        <v>45805</v>
      </c>
      <c r="E177" s="1" t="n">
        <v>46326</v>
      </c>
      <c r="F177" t="inlineStr">
        <is>
          <t>GÄVLEBORGS LÄN</t>
        </is>
      </c>
      <c r="G177" t="inlineStr">
        <is>
          <t>LJUSDAL</t>
        </is>
      </c>
      <c r="H177" t="inlineStr">
        <is>
          <t>SCA</t>
        </is>
      </c>
      <c r="I177" t="n">
        <v>11.3</v>
      </c>
      <c r="J177" t="n">
        <v>2</v>
      </c>
      <c r="K177" t="n">
        <v>3</v>
      </c>
      <c r="L177" t="n">
        <v>1</v>
      </c>
      <c r="M177" t="n">
        <v>0</v>
      </c>
      <c r="N177" t="n">
        <v>0</v>
      </c>
      <c r="O177" t="n">
        <v>0</v>
      </c>
      <c r="P177" t="n">
        <v>0</v>
      </c>
      <c r="Q177" t="n">
        <v>1</v>
      </c>
      <c r="R177" t="n">
        <v>0</v>
      </c>
      <c r="S177" t="n">
        <v>6</v>
      </c>
      <c r="T177" t="n">
        <v>12</v>
      </c>
      <c r="U177" t="n">
        <v>12</v>
      </c>
      <c r="V177" s="2" t="inlineStr">
        <is>
          <t>Skuggviol
Kransrams
Svart trolldruva
Underviol
Blåsippa
Lopplummer (aggregat)</t>
        </is>
      </c>
      <c r="W177">
        <f>HYPERLINK("https://klasma.github.io/Logging_2161/artfynd/A 26085-2025 artfynd.xlsx", "A 26085-2025")</f>
        <v/>
      </c>
      <c r="X177">
        <f>HYPERLINK("https://klasma.github.io/Logging_2161/kartor/A 26085-2025 karta.png", "A 26085-2025")</f>
        <v/>
      </c>
      <c r="Y177">
        <f>HYPERLINK("https://klasma.github.io/Logging_2161/kartor_geotiff/A 26085-2025 georefererad karta.tif", "A 26085-2025")</f>
        <v/>
      </c>
      <c r="AA177">
        <f>HYPERLINK("https://klasma.github.io/Logging_2161/klagomål/A 26085-2025 FSC-klagomål.docx", "A 26085-2025")</f>
        <v/>
      </c>
      <c r="AB177">
        <f>HYPERLINK("https://klasma.github.io/Logging_2161/klagomålsmail/A 26085-2025 FSC-klagomål mail.docx", "A 26085-2025")</f>
        <v/>
      </c>
      <c r="AC177">
        <f>HYPERLINK("https://klasma.github.io/Logging_2161/tillsyn/A 26085-2025 tillsynsbegäran.docx", "A 26085-2025")</f>
        <v/>
      </c>
      <c r="AD177">
        <f>HYPERLINK("https://klasma.github.io/Logging_2161/tillsynsmail/A 26085-2025 tillsynsbegäran mail.docx", "A 26085-2025")</f>
        <v/>
      </c>
    </row>
    <row r="178" ht="15" customHeight="1">
      <c r="A178" t="inlineStr">
        <is>
          <t>A 56800-2023</t>
        </is>
      </c>
      <c r="B178" t="inlineStr">
        <is>
          <t>avverkningsanmälan</t>
        </is>
      </c>
      <c r="C178" t="inlineStr">
        <is>
          <t>Avverkning för att bevara och utveckla /försöksver</t>
        </is>
      </c>
      <c r="D178" s="1" t="n">
        <v>45244</v>
      </c>
      <c r="E178" s="1" t="n">
        <v>46326</v>
      </c>
      <c r="F178" t="inlineStr">
        <is>
          <t>GÄVLEBORGS LÄN</t>
        </is>
      </c>
      <c r="G178" t="inlineStr">
        <is>
          <t>LJUSDAL</t>
        </is>
      </c>
      <c r="H178" t="inlineStr">
        <is>
          <t>Sveaskog</t>
        </is>
      </c>
      <c r="I178" t="n">
        <v>7.3</v>
      </c>
      <c r="J178" t="n">
        <v>0</v>
      </c>
      <c r="K178" t="n">
        <v>1</v>
      </c>
      <c r="L178" t="n">
        <v>2</v>
      </c>
      <c r="M178" t="n">
        <v>3</v>
      </c>
      <c r="N178" t="n">
        <v>0</v>
      </c>
      <c r="O178" t="n">
        <v>0</v>
      </c>
      <c r="P178" t="n">
        <v>0</v>
      </c>
      <c r="Q178" t="n">
        <v>5</v>
      </c>
      <c r="R178" t="n">
        <v>3</v>
      </c>
      <c r="S178" t="n">
        <v>6</v>
      </c>
      <c r="T178" t="n">
        <v>7</v>
      </c>
      <c r="U178" t="n">
        <v>7</v>
      </c>
      <c r="V178" s="2" t="inlineStr">
        <is>
          <t>Garnlav
Gräddporing
Gränsticka
Lunglav
Skrovellav
Trådticka</t>
        </is>
      </c>
      <c r="W178">
        <f>HYPERLINK("https://klasma.github.io/Logging_2161/artfynd/A 56800-2023 artfynd.xlsx", "A 56800-2023")</f>
        <v/>
      </c>
      <c r="X178">
        <f>HYPERLINK("https://klasma.github.io/Logging_2161/kartor/A 56800-2023 karta.png", "A 56800-2023")</f>
        <v/>
      </c>
      <c r="Y178">
        <f>HYPERLINK("https://klasma.github.io/Logging_2161/kartor_geotiff/A 56800-2023 georefererad karta.tif", "A 56800-2023")</f>
        <v/>
      </c>
      <c r="AA178">
        <f>HYPERLINK("https://klasma.github.io/Logging_2161/klagomål/A 56800-2023 FSC-klagomål.docx", "A 56800-2023")</f>
        <v/>
      </c>
      <c r="AB178">
        <f>HYPERLINK("https://klasma.github.io/Logging_2161/klagomålsmail/A 56800-2023 FSC-klagomål mail.docx", "A 56800-2023")</f>
        <v/>
      </c>
      <c r="AC178">
        <f>HYPERLINK("https://klasma.github.io/Logging_2161/tillsyn/A 56800-2023 tillsynsbegäran.docx", "A 56800-2023")</f>
        <v/>
      </c>
      <c r="AD178">
        <f>HYPERLINK("https://klasma.github.io/Logging_2161/tillsynsmail/A 56800-2023 tillsynsbegäran mail.docx", "A 56800-2023")</f>
        <v/>
      </c>
    </row>
    <row r="179" ht="15" customHeight="1">
      <c r="A179" t="inlineStr">
        <is>
          <t>A 48609-2025</t>
        </is>
      </c>
      <c r="B179" t="inlineStr">
        <is>
          <t>avverkningsanmälan</t>
        </is>
      </c>
      <c r="C179" t="inlineStr">
        <is>
          <t>Föryngringsavverkning</t>
        </is>
      </c>
      <c r="D179" s="1" t="n">
        <v>45935</v>
      </c>
      <c r="E179" s="1" t="n">
        <v>46326</v>
      </c>
      <c r="F179" t="inlineStr">
        <is>
          <t>GÄVLEBORGS LÄN</t>
        </is>
      </c>
      <c r="G179" t="inlineStr">
        <is>
          <t>HOFORS</t>
        </is>
      </c>
      <c r="H179" t="inlineStr">
        <is>
          <t>Bergvik skog väst AB</t>
        </is>
      </c>
      <c r="I179" t="n">
        <v>5.1</v>
      </c>
      <c r="J179" t="n">
        <v>0</v>
      </c>
      <c r="K179" t="n">
        <v>3</v>
      </c>
      <c r="L179" t="n">
        <v>2</v>
      </c>
      <c r="M179" t="n">
        <v>0</v>
      </c>
      <c r="N179" t="n">
        <v>0</v>
      </c>
      <c r="O179" t="n">
        <v>0</v>
      </c>
      <c r="P179" t="n">
        <v>0</v>
      </c>
      <c r="Q179" t="n">
        <v>2</v>
      </c>
      <c r="R179" t="n">
        <v>0</v>
      </c>
      <c r="S179" t="n">
        <v>6</v>
      </c>
      <c r="T179" t="n">
        <v>6</v>
      </c>
      <c r="U179" t="n">
        <v>4</v>
      </c>
      <c r="V179" s="2" t="inlineStr">
        <is>
          <t>Fagervaxing
Scharlakansvaxing
Guldlockmossa
Mörk husmossa
Stubbspretmossa
Asphättemossa</t>
        </is>
      </c>
      <c r="W179">
        <f>HYPERLINK("https://klasma.github.io/Logging_2104/artfynd/A 48609-2025 artfynd.xlsx", "A 48609-2025")</f>
        <v/>
      </c>
      <c r="X179">
        <f>HYPERLINK("https://klasma.github.io/Logging_2104/kartor/A 48609-2025 karta.png", "A 48609-2025")</f>
        <v/>
      </c>
      <c r="Y179">
        <f>HYPERLINK("https://klasma.github.io/Logging_2104/kartor_geotiff/A 48609-2025 georefererad karta.tif", "A 48609-2025")</f>
        <v/>
      </c>
      <c r="AA179">
        <f>HYPERLINK("https://klasma.github.io/Logging_2104/klagomål/A 48609-2025 FSC-klagomål.docx", "A 48609-2025")</f>
        <v/>
      </c>
      <c r="AB179">
        <f>HYPERLINK("https://klasma.github.io/Logging_2104/klagomålsmail/A 48609-2025 FSC-klagomål mail.docx", "A 48609-2025")</f>
        <v/>
      </c>
      <c r="AC179">
        <f>HYPERLINK("https://klasma.github.io/Logging_2104/tillsyn/A 48609-2025 tillsynsbegäran.docx", "A 48609-2025")</f>
        <v/>
      </c>
      <c r="AD179">
        <f>HYPERLINK("https://klasma.github.io/Logging_2104/tillsynsmail/A 48609-2025 tillsynsbegäran mail.docx", "A 48609-2025")</f>
        <v/>
      </c>
    </row>
    <row r="180" ht="15" customHeight="1">
      <c r="A180" t="inlineStr">
        <is>
          <t>A 18103-2024</t>
        </is>
      </c>
      <c r="B180" t="inlineStr">
        <is>
          <t>avverkningsanmälan</t>
        </is>
      </c>
      <c r="C180" t="inlineStr">
        <is>
          <t>Föryngringsavverkning</t>
        </is>
      </c>
      <c r="D180" s="1" t="n">
        <v>45420</v>
      </c>
      <c r="E180" s="1" t="n">
        <v>46326</v>
      </c>
      <c r="F180" t="inlineStr">
        <is>
          <t>GÄVLEBORGS LÄN</t>
        </is>
      </c>
      <c r="G180" t="inlineStr">
        <is>
          <t>LJUSDAL</t>
        </is>
      </c>
      <c r="H180" t="inlineStr">
        <is>
          <t>Sveaskog</t>
        </is>
      </c>
      <c r="I180" t="n">
        <v>3.9</v>
      </c>
      <c r="J180" t="n">
        <v>0</v>
      </c>
      <c r="K180" t="n">
        <v>0</v>
      </c>
      <c r="L180" t="n">
        <v>4</v>
      </c>
      <c r="M180" t="n">
        <v>1</v>
      </c>
      <c r="N180" t="n">
        <v>0</v>
      </c>
      <c r="O180" t="n">
        <v>0</v>
      </c>
      <c r="P180" t="n">
        <v>0</v>
      </c>
      <c r="Q180" t="n">
        <v>5</v>
      </c>
      <c r="R180" t="n">
        <v>1</v>
      </c>
      <c r="S180" t="n">
        <v>6</v>
      </c>
      <c r="T180" t="n">
        <v>17</v>
      </c>
      <c r="U180" t="n">
        <v>17</v>
      </c>
      <c r="V180" s="2" t="inlineStr">
        <is>
          <t>Garnlav
Dvärgbägarlav
Kolflarnlav
Mörk kolflarnlav
Vedskivlav
Sälg</t>
        </is>
      </c>
      <c r="W180">
        <f>HYPERLINK("https://klasma.github.io/Logging_2161/artfynd/A 18103-2024 artfynd.xlsx", "A 18103-2024")</f>
        <v/>
      </c>
      <c r="X180">
        <f>HYPERLINK("https://klasma.github.io/Logging_2161/kartor/A 18103-2024 karta.png", "A 18103-2024")</f>
        <v/>
      </c>
      <c r="Y180">
        <f>HYPERLINK("https://klasma.github.io/Logging_2161/kartor_geotiff/A 18103-2024 georefererad karta.tif", "A 18103-2024")</f>
        <v/>
      </c>
      <c r="AA180">
        <f>HYPERLINK("https://klasma.github.io/Logging_2161/klagomål/A 18103-2024 FSC-klagomål.docx", "A 18103-2024")</f>
        <v/>
      </c>
      <c r="AB180">
        <f>HYPERLINK("https://klasma.github.io/Logging_2161/klagomålsmail/A 18103-2024 FSC-klagomål mail.docx", "A 18103-2024")</f>
        <v/>
      </c>
      <c r="AC180">
        <f>HYPERLINK("https://klasma.github.io/Logging_2161/tillsyn/A 18103-2024 tillsynsbegäran.docx", "A 18103-2024")</f>
        <v/>
      </c>
      <c r="AD180">
        <f>HYPERLINK("https://klasma.github.io/Logging_2161/tillsynsmail/A 18103-2024 tillsynsbegäran mail.docx", "A 18103-2024")</f>
        <v/>
      </c>
    </row>
    <row r="181" ht="15" customHeight="1">
      <c r="A181" t="inlineStr">
        <is>
          <t>A 25235-2026</t>
        </is>
      </c>
      <c r="B181" t="inlineStr">
        <is>
          <t>avverkningsanmälan</t>
        </is>
      </c>
      <c r="C181" t="inlineStr">
        <is>
          <t>Föryngringsavverkning</t>
        </is>
      </c>
      <c r="D181" s="1" t="n">
        <v>46175</v>
      </c>
      <c r="E181" s="1" t="n">
        <v>46326</v>
      </c>
      <c r="F181" t="inlineStr">
        <is>
          <t>GÄVLEBORGS LÄN</t>
        </is>
      </c>
      <c r="G181" t="inlineStr">
        <is>
          <t>LJUSDAL</t>
        </is>
      </c>
      <c r="H181" t="inlineStr">
        <is>
          <t>Allmännings- och besparingsskogar</t>
        </is>
      </c>
      <c r="I181" t="n">
        <v>3.3</v>
      </c>
      <c r="J181" t="n">
        <v>2</v>
      </c>
      <c r="K181" t="n">
        <v>0</v>
      </c>
      <c r="L181" t="n">
        <v>3</v>
      </c>
      <c r="M181" t="n">
        <v>1</v>
      </c>
      <c r="N181" t="n">
        <v>0</v>
      </c>
      <c r="O181" t="n">
        <v>0</v>
      </c>
      <c r="P181" t="n">
        <v>0</v>
      </c>
      <c r="Q181" t="n">
        <v>4</v>
      </c>
      <c r="R181" t="n">
        <v>1</v>
      </c>
      <c r="S181" t="n">
        <v>6</v>
      </c>
      <c r="T181" t="n">
        <v>10</v>
      </c>
      <c r="U181" t="n">
        <v>10</v>
      </c>
      <c r="V181" s="2" t="inlineStr">
        <is>
          <t>Garnlav
Blågrå svartspik
Kolflarnlav
Vedskivlav
Spillkråka
Tofsmes</t>
        </is>
      </c>
      <c r="W181">
        <f>HYPERLINK("https://klasma.github.io/Logging_2161/artfynd/A 25235-2026 artfynd.xlsx", "A 25235-2026")</f>
        <v/>
      </c>
      <c r="X181">
        <f>HYPERLINK("https://klasma.github.io/Logging_2161/kartor/A 25235-2026 karta.png", "A 25235-2026")</f>
        <v/>
      </c>
      <c r="Y181">
        <f>HYPERLINK("https://klasma.github.io/Logging_2161/kartor_geotiff/A 25235-2026 georefererad karta.tif", "A 25235-2026")</f>
        <v/>
      </c>
      <c r="AA181">
        <f>HYPERLINK("https://klasma.github.io/Logging_2161/klagomål/A 25235-2026 FSC-klagomål.docx", "A 25235-2026")</f>
        <v/>
      </c>
      <c r="AB181">
        <f>HYPERLINK("https://klasma.github.io/Logging_2161/klagomålsmail/A 25235-2026 FSC-klagomål mail.docx", "A 25235-2026")</f>
        <v/>
      </c>
      <c r="AC181">
        <f>HYPERLINK("https://klasma.github.io/Logging_2161/tillsyn/A 25235-2026 tillsynsbegäran.docx", "A 25235-2026")</f>
        <v/>
      </c>
      <c r="AD181">
        <f>HYPERLINK("https://klasma.github.io/Logging_2161/tillsynsmail/A 25235-2026 tillsynsbegäran mail.docx", "A 25235-2026")</f>
        <v/>
      </c>
      <c r="AE181">
        <f>HYPERLINK("https://klasma.github.io/Logging_2161/fåglar/A 25235-2026 prioriterade fågelarter.docx", "A 25235-2026")</f>
        <v/>
      </c>
    </row>
    <row r="182" ht="15" customHeight="1">
      <c r="A182" t="inlineStr">
        <is>
          <t>A 7148-2023</t>
        </is>
      </c>
      <c r="B182" t="inlineStr">
        <is>
          <t>avverkningsanmälan</t>
        </is>
      </c>
      <c r="C182" t="inlineStr">
        <is>
          <t>Föryngringsavverkning</t>
        </is>
      </c>
      <c r="D182" s="1" t="n">
        <v>44970</v>
      </c>
      <c r="E182" s="1" t="n">
        <v>46326</v>
      </c>
      <c r="F182" t="inlineStr">
        <is>
          <t>GÄVLEBORGS LÄN</t>
        </is>
      </c>
      <c r="G182" t="inlineStr">
        <is>
          <t>LJUSDAL</t>
        </is>
      </c>
      <c r="H182" t="inlineStr">
        <is>
          <t>Holmen skog AB</t>
        </is>
      </c>
      <c r="I182" t="n">
        <v>4.9</v>
      </c>
      <c r="J182" t="n">
        <v>0</v>
      </c>
      <c r="K182" t="n">
        <v>2</v>
      </c>
      <c r="L182" t="n">
        <v>3</v>
      </c>
      <c r="M182" t="n">
        <v>1</v>
      </c>
      <c r="N182" t="n">
        <v>0</v>
      </c>
      <c r="O182" t="n">
        <v>0</v>
      </c>
      <c r="P182" t="n">
        <v>0</v>
      </c>
      <c r="Q182" t="n">
        <v>4</v>
      </c>
      <c r="R182" t="n">
        <v>1</v>
      </c>
      <c r="S182" t="n">
        <v>6</v>
      </c>
      <c r="T182" t="n">
        <v>11</v>
      </c>
      <c r="U182" t="n">
        <v>11</v>
      </c>
      <c r="V182" s="2" t="inlineStr">
        <is>
          <t>Garnlav
Dropptaggsvamp
Gammelgransskål
Vitgrynig nållav
Bollvitmossa
Vedticka</t>
        </is>
      </c>
      <c r="W182">
        <f>HYPERLINK("https://klasma.github.io/Logging_2161/artfynd/A 7148-2023 artfynd.xlsx", "A 7148-2023")</f>
        <v/>
      </c>
      <c r="X182">
        <f>HYPERLINK("https://klasma.github.io/Logging_2161/kartor/A 7148-2023 karta.png", "A 7148-2023")</f>
        <v/>
      </c>
      <c r="Y182">
        <f>HYPERLINK("https://klasma.github.io/Logging_2161/kartor_geotiff/A 7148-2023 georefererad karta.tif", "A 7148-2023")</f>
        <v/>
      </c>
      <c r="Z182">
        <f>HYPERLINK("https://klasma.github.io/Logging_2161/knärot/A 7148-2023 karta knärot.png", "A 7148-2023")</f>
        <v/>
      </c>
      <c r="AA182">
        <f>HYPERLINK("https://klasma.github.io/Logging_2161/klagomål/A 7148-2023 FSC-klagomål.docx", "A 7148-2023")</f>
        <v/>
      </c>
      <c r="AB182">
        <f>HYPERLINK("https://klasma.github.io/Logging_2161/klagomålsmail/A 7148-2023 FSC-klagomål mail.docx", "A 7148-2023")</f>
        <v/>
      </c>
      <c r="AC182">
        <f>HYPERLINK("https://klasma.github.io/Logging_2161/tillsyn/A 7148-2023 tillsynsbegäran.docx", "A 7148-2023")</f>
        <v/>
      </c>
      <c r="AD182">
        <f>HYPERLINK("https://klasma.github.io/Logging_2161/tillsynsmail/A 7148-2023 tillsynsbegäran mail.docx", "A 7148-2023")</f>
        <v/>
      </c>
    </row>
    <row r="183" ht="15" customHeight="1">
      <c r="A183" t="inlineStr">
        <is>
          <t>A 27600-2026</t>
        </is>
      </c>
      <c r="B183" t="inlineStr">
        <is>
          <t>avverkningsanmälan</t>
        </is>
      </c>
      <c r="C183" t="inlineStr">
        <is>
          <t>Föryngringsavverkning</t>
        </is>
      </c>
      <c r="D183" s="1" t="n">
        <v>46190</v>
      </c>
      <c r="E183" s="1" t="n">
        <v>46326</v>
      </c>
      <c r="F183" t="inlineStr">
        <is>
          <t>GÄVLEBORGS LÄN</t>
        </is>
      </c>
      <c r="G183" t="inlineStr">
        <is>
          <t>LJUSDAL</t>
        </is>
      </c>
      <c r="H183" t="inlineStr">
        <is>
          <t>Sveaskog</t>
        </is>
      </c>
      <c r="I183" t="n">
        <v>9.4</v>
      </c>
      <c r="J183" t="n">
        <v>1</v>
      </c>
      <c r="K183" t="n">
        <v>0</v>
      </c>
      <c r="L183" t="n">
        <v>3</v>
      </c>
      <c r="M183" t="n">
        <v>1</v>
      </c>
      <c r="N183" t="n">
        <v>0</v>
      </c>
      <c r="O183" t="n">
        <v>0</v>
      </c>
      <c r="P183" t="n">
        <v>0</v>
      </c>
      <c r="Q183" t="n">
        <v>4</v>
      </c>
      <c r="R183" t="n">
        <v>1</v>
      </c>
      <c r="S183" t="n">
        <v>6</v>
      </c>
      <c r="T183" t="n">
        <v>12</v>
      </c>
      <c r="U183" t="n">
        <v>8</v>
      </c>
      <c r="V183" s="2" t="inlineStr">
        <is>
          <t>Garnlav
Lunglav
Skrovellav
Violettgrå tagellav
Torta
Fläcknycklar</t>
        </is>
      </c>
      <c r="W183">
        <f>HYPERLINK("https://klasma.github.io/Logging_2161/artfynd/A 27600-2026 artfynd.xlsx", "A 27600-2026")</f>
        <v/>
      </c>
      <c r="X183">
        <f>HYPERLINK("https://klasma.github.io/Logging_2161/kartor/A 27600-2026 karta.png", "A 27600-2026")</f>
        <v/>
      </c>
      <c r="Y183">
        <f>HYPERLINK("https://klasma.github.io/Logging_2161/kartor_geotiff/A 27600-2026 georefererad karta.tif", "A 27600-2026")</f>
        <v/>
      </c>
      <c r="AA183">
        <f>HYPERLINK("https://klasma.github.io/Logging_2161/klagomål/A 27600-2026 FSC-klagomål.docx", "A 27600-2026")</f>
        <v/>
      </c>
      <c r="AB183">
        <f>HYPERLINK("https://klasma.github.io/Logging_2161/klagomålsmail/A 27600-2026 FSC-klagomål mail.docx", "A 27600-2026")</f>
        <v/>
      </c>
      <c r="AC183">
        <f>HYPERLINK("https://klasma.github.io/Logging_2161/tillsyn/A 27600-2026 tillsynsbegäran.docx", "A 27600-2026")</f>
        <v/>
      </c>
      <c r="AD183">
        <f>HYPERLINK("https://klasma.github.io/Logging_2161/tillsynsmail/A 27600-2026 tillsynsbegäran mail.docx", "A 27600-2026")</f>
        <v/>
      </c>
    </row>
    <row r="184" ht="15" customHeight="1">
      <c r="A184" t="inlineStr">
        <is>
          <t>A 10518-2026</t>
        </is>
      </c>
      <c r="B184" t="inlineStr">
        <is>
          <t>avverkningsanmälan</t>
        </is>
      </c>
      <c r="C184" t="inlineStr">
        <is>
          <t>Föryngringsavverkning</t>
        </is>
      </c>
      <c r="D184" s="1" t="n">
        <v>46077</v>
      </c>
      <c r="E184" s="1" t="n">
        <v>46326</v>
      </c>
      <c r="F184" t="inlineStr">
        <is>
          <t>GÄVLEBORGS LÄN</t>
        </is>
      </c>
      <c r="G184" t="inlineStr">
        <is>
          <t>OCKELBO</t>
        </is>
      </c>
      <c r="I184" t="n">
        <v>5.1</v>
      </c>
      <c r="J184" t="n">
        <v>1</v>
      </c>
      <c r="K184" t="n">
        <v>1</v>
      </c>
      <c r="L184" t="n">
        <v>3</v>
      </c>
      <c r="M184" t="n">
        <v>2</v>
      </c>
      <c r="N184" t="n">
        <v>0</v>
      </c>
      <c r="O184" t="n">
        <v>0</v>
      </c>
      <c r="P184" t="n">
        <v>0</v>
      </c>
      <c r="Q184" t="n">
        <v>5</v>
      </c>
      <c r="R184" t="n">
        <v>2</v>
      </c>
      <c r="S184" t="n">
        <v>6</v>
      </c>
      <c r="T184" t="n">
        <v>17</v>
      </c>
      <c r="U184" t="n">
        <v>0</v>
      </c>
      <c r="V184" s="2" t="inlineStr">
        <is>
          <t>Garnlav
Knärot
Rynkskinn
Tallticka
Ullticka
Bronshjon</t>
        </is>
      </c>
      <c r="W184">
        <f>HYPERLINK("https://klasma.github.io/Logging_2101/artfynd/A 10518-2026 artfynd.xlsx", "A 10518-2026")</f>
        <v/>
      </c>
      <c r="X184">
        <f>HYPERLINK("https://klasma.github.io/Logging_2101/kartor/A 10518-2026 karta.png", "A 10518-2026")</f>
        <v/>
      </c>
      <c r="Y184">
        <f>HYPERLINK("https://klasma.github.io/Logging_2101/kartor_geotiff/A 10518-2026 georefererad karta.tif", "A 10518-2026")</f>
        <v/>
      </c>
      <c r="Z184">
        <f>HYPERLINK("https://klasma.github.io/Logging_2101/knärot/A 10518-2026 karta knärot.png", "A 10518-2026")</f>
        <v/>
      </c>
      <c r="AA184">
        <f>HYPERLINK("https://klasma.github.io/Logging_2101/klagomål/A 10518-2026 FSC-klagomål.docx", "A 10518-2026")</f>
        <v/>
      </c>
      <c r="AB184">
        <f>HYPERLINK("https://klasma.github.io/Logging_2101/klagomålsmail/A 10518-2026 FSC-klagomål mail.docx", "A 10518-2026")</f>
        <v/>
      </c>
      <c r="AC184">
        <f>HYPERLINK("https://klasma.github.io/Logging_2101/tillsyn/A 10518-2026 tillsynsbegäran.docx", "A 10518-2026")</f>
        <v/>
      </c>
      <c r="AD184">
        <f>HYPERLINK("https://klasma.github.io/Logging_2101/tillsynsmail/A 10518-2026 tillsynsbegäran mail.docx", "A 10518-2026")</f>
        <v/>
      </c>
    </row>
    <row r="185" ht="15" customHeight="1">
      <c r="A185" t="inlineStr">
        <is>
          <t>A 1101-2024</t>
        </is>
      </c>
      <c r="B185" t="inlineStr">
        <is>
          <t>avverkningsanmälan</t>
        </is>
      </c>
      <c r="C185" t="inlineStr">
        <is>
          <t>Föryngringsavverkning</t>
        </is>
      </c>
      <c r="D185" s="1" t="n">
        <v>45302</v>
      </c>
      <c r="E185" s="1" t="n">
        <v>46326</v>
      </c>
      <c r="F185" t="inlineStr">
        <is>
          <t>GÄVLEBORGS LÄN</t>
        </is>
      </c>
      <c r="G185" t="inlineStr">
        <is>
          <t>GÄVLE</t>
        </is>
      </c>
      <c r="H185" t="inlineStr">
        <is>
          <t>Bergvik skog väst AB</t>
        </is>
      </c>
      <c r="I185" t="n">
        <v>6.5</v>
      </c>
      <c r="J185" t="n">
        <v>1</v>
      </c>
      <c r="K185" t="n">
        <v>0</v>
      </c>
      <c r="L185" t="n">
        <v>5</v>
      </c>
      <c r="M185" t="n">
        <v>0</v>
      </c>
      <c r="N185" t="n">
        <v>0</v>
      </c>
      <c r="O185" t="n">
        <v>0</v>
      </c>
      <c r="P185" t="n">
        <v>0</v>
      </c>
      <c r="Q185" t="n">
        <v>5</v>
      </c>
      <c r="R185" t="n">
        <v>0</v>
      </c>
      <c r="S185" t="n">
        <v>6</v>
      </c>
      <c r="T185" t="n">
        <v>11</v>
      </c>
      <c r="U185" t="n">
        <v>1</v>
      </c>
      <c r="V185" s="2" t="inlineStr">
        <is>
          <t>Blanksvart spiklav
Dropptaggsvamp
Svartvit taggsvamp
Vedskivlav
Vedtrappmossa
Vattenfladdermus</t>
        </is>
      </c>
      <c r="W185">
        <f>HYPERLINK("https://klasma.github.io/Logging_2180/artfynd/A 1101-2024 artfynd.xlsx", "A 1101-2024")</f>
        <v/>
      </c>
      <c r="X185">
        <f>HYPERLINK("https://klasma.github.io/Logging_2180/kartor/A 1101-2024 karta.png", "A 1101-2024")</f>
        <v/>
      </c>
      <c r="Y185">
        <f>HYPERLINK("https://klasma.github.io/Logging_2180/kartor_geotiff/A 1101-2024 georefererad karta.tif", "A 1101-2024")</f>
        <v/>
      </c>
      <c r="AA185">
        <f>HYPERLINK("https://klasma.github.io/Logging_2180/klagomål/A 1101-2024 FSC-klagomål.docx", "A 1101-2024")</f>
        <v/>
      </c>
      <c r="AB185">
        <f>HYPERLINK("https://klasma.github.io/Logging_2180/klagomålsmail/A 1101-2024 FSC-klagomål mail.docx", "A 1101-2024")</f>
        <v/>
      </c>
      <c r="AC185">
        <f>HYPERLINK("https://klasma.github.io/Logging_2180/tillsyn/A 1101-2024 tillsynsbegäran.docx", "A 1101-2024")</f>
        <v/>
      </c>
      <c r="AD185">
        <f>HYPERLINK("https://klasma.github.io/Logging_2180/tillsynsmail/A 1101-2024 tillsynsbegäran mail.docx", "A 1101-2024")</f>
        <v/>
      </c>
    </row>
    <row r="186" ht="15" customHeight="1">
      <c r="A186" t="inlineStr">
        <is>
          <t>A 28822-2024</t>
        </is>
      </c>
      <c r="B186" t="inlineStr">
        <is>
          <t>avverkningsanmälan</t>
        </is>
      </c>
      <c r="C186" t="inlineStr">
        <is>
          <t>Föryngringsavverkning</t>
        </is>
      </c>
      <c r="D186" s="1" t="n">
        <v>45478</v>
      </c>
      <c r="E186" s="1" t="n">
        <v>46326</v>
      </c>
      <c r="F186" t="inlineStr">
        <is>
          <t>GÄVLEBORGS LÄN</t>
        </is>
      </c>
      <c r="G186" t="inlineStr">
        <is>
          <t>NORDANSTIG</t>
        </is>
      </c>
      <c r="I186" t="n">
        <v>7</v>
      </c>
      <c r="J186" t="n">
        <v>0</v>
      </c>
      <c r="K186" t="n">
        <v>2</v>
      </c>
      <c r="L186" t="n">
        <v>2</v>
      </c>
      <c r="M186" t="n">
        <v>2</v>
      </c>
      <c r="N186" t="n">
        <v>0</v>
      </c>
      <c r="O186" t="n">
        <v>0</v>
      </c>
      <c r="P186" t="n">
        <v>0</v>
      </c>
      <c r="Q186" t="n">
        <v>4</v>
      </c>
      <c r="R186" t="n">
        <v>2</v>
      </c>
      <c r="S186" t="n">
        <v>6</v>
      </c>
      <c r="T186" t="n">
        <v>15</v>
      </c>
      <c r="U186" t="n">
        <v>15</v>
      </c>
      <c r="V186" s="2" t="inlineStr">
        <is>
          <t>Aspgelélav
Garnlav
Ullticka
Vedskivlav
Korallblylav
Skinnlav</t>
        </is>
      </c>
      <c r="W186">
        <f>HYPERLINK("https://klasma.github.io/Logging_2132/artfynd/A 28822-2024 artfynd.xlsx", "A 28822-2024")</f>
        <v/>
      </c>
      <c r="X186">
        <f>HYPERLINK("https://klasma.github.io/Logging_2132/kartor/A 28822-2024 karta.png", "A 28822-2024")</f>
        <v/>
      </c>
      <c r="Y186">
        <f>HYPERLINK("https://klasma.github.io/Logging_2132/kartor_geotiff/A 28822-2024 georefererad karta.tif", "A 28822-2024")</f>
        <v/>
      </c>
      <c r="AA186">
        <f>HYPERLINK("https://klasma.github.io/Logging_2132/klagomål/A 28822-2024 FSC-klagomål.docx", "A 28822-2024")</f>
        <v/>
      </c>
      <c r="AB186">
        <f>HYPERLINK("https://klasma.github.io/Logging_2132/klagomålsmail/A 28822-2024 FSC-klagomål mail.docx", "A 28822-2024")</f>
        <v/>
      </c>
      <c r="AC186">
        <f>HYPERLINK("https://klasma.github.io/Logging_2132/tillsyn/A 28822-2024 tillsynsbegäran.docx", "A 28822-2024")</f>
        <v/>
      </c>
      <c r="AD186">
        <f>HYPERLINK("https://klasma.github.io/Logging_2132/tillsynsmail/A 28822-2024 tillsynsbegäran mail.docx", "A 28822-2024")</f>
        <v/>
      </c>
    </row>
    <row r="187" ht="15" customHeight="1">
      <c r="A187" t="inlineStr">
        <is>
          <t>A 63252-2023</t>
        </is>
      </c>
      <c r="B187" t="inlineStr">
        <is>
          <t>avverkningsanmälan</t>
        </is>
      </c>
      <c r="C187" t="inlineStr">
        <is>
          <t>Föryngringsavverkning</t>
        </is>
      </c>
      <c r="D187" s="1" t="n">
        <v>45273</v>
      </c>
      <c r="E187" s="1" t="n">
        <v>46326</v>
      </c>
      <c r="F187" t="inlineStr">
        <is>
          <t>GÄVLEBORGS LÄN</t>
        </is>
      </c>
      <c r="G187" t="inlineStr">
        <is>
          <t>LJUSDAL</t>
        </is>
      </c>
      <c r="I187" t="n">
        <v>17.1</v>
      </c>
      <c r="J187" t="n">
        <v>0</v>
      </c>
      <c r="K187" t="n">
        <v>0</v>
      </c>
      <c r="L187" t="n">
        <v>5</v>
      </c>
      <c r="M187" t="n">
        <v>1</v>
      </c>
      <c r="N187" t="n">
        <v>0</v>
      </c>
      <c r="O187" t="n">
        <v>0</v>
      </c>
      <c r="P187" t="n">
        <v>0</v>
      </c>
      <c r="Q187" t="n">
        <v>6</v>
      </c>
      <c r="R187" t="n">
        <v>1</v>
      </c>
      <c r="S187" t="n">
        <v>6</v>
      </c>
      <c r="T187" t="n">
        <v>6</v>
      </c>
      <c r="U187" t="n">
        <v>0</v>
      </c>
      <c r="V187" s="2" t="inlineStr">
        <is>
          <t>Garnlav
Dropptaggsvamp
Lunglav
Motaggsvamp
Skarp dropptaggsvamp
Tallticka</t>
        </is>
      </c>
      <c r="W187">
        <f>HYPERLINK("https://klasma.github.io/Logging_2161/artfynd/A 63252-2023 artfynd.xlsx", "A 63252-2023")</f>
        <v/>
      </c>
      <c r="X187">
        <f>HYPERLINK("https://klasma.github.io/Logging_2161/kartor/A 63252-2023 karta.png", "A 63252-2023")</f>
        <v/>
      </c>
      <c r="Y187">
        <f>HYPERLINK("https://klasma.github.io/Logging_2161/kartor_geotiff/A 63252-2023 georefererad karta.tif", "A 63252-2023")</f>
        <v/>
      </c>
      <c r="AA187">
        <f>HYPERLINK("https://klasma.github.io/Logging_2161/klagomål/A 63252-2023 FSC-klagomål.docx", "A 63252-2023")</f>
        <v/>
      </c>
      <c r="AB187">
        <f>HYPERLINK("https://klasma.github.io/Logging_2161/klagomålsmail/A 63252-2023 FSC-klagomål mail.docx", "A 63252-2023")</f>
        <v/>
      </c>
      <c r="AC187">
        <f>HYPERLINK("https://klasma.github.io/Logging_2161/tillsyn/A 63252-2023 tillsynsbegäran.docx", "A 63252-2023")</f>
        <v/>
      </c>
      <c r="AD187">
        <f>HYPERLINK("https://klasma.github.io/Logging_2161/tillsynsmail/A 63252-2023 tillsynsbegäran mail.docx", "A 63252-2023")</f>
        <v/>
      </c>
    </row>
    <row r="188" ht="15" customHeight="1">
      <c r="A188" t="inlineStr">
        <is>
          <t>A 26675-2023</t>
        </is>
      </c>
      <c r="B188" t="inlineStr">
        <is>
          <t>avverkningsanmälan</t>
        </is>
      </c>
      <c r="C188" t="inlineStr">
        <is>
          <t>Föryngringsavverkning</t>
        </is>
      </c>
      <c r="D188" s="1" t="n">
        <v>45093</v>
      </c>
      <c r="E188" s="1" t="n">
        <v>46326</v>
      </c>
      <c r="F188" t="inlineStr">
        <is>
          <t>GÄVLEBORGS LÄN</t>
        </is>
      </c>
      <c r="G188" t="inlineStr">
        <is>
          <t>LJUSDAL</t>
        </is>
      </c>
      <c r="H188" t="inlineStr">
        <is>
          <t>Sveaskog</t>
        </is>
      </c>
      <c r="I188" t="n">
        <v>8.300000000000001</v>
      </c>
      <c r="J188" t="n">
        <v>3</v>
      </c>
      <c r="K188" t="n">
        <v>0</v>
      </c>
      <c r="L188" t="n">
        <v>3</v>
      </c>
      <c r="M188" t="n">
        <v>1</v>
      </c>
      <c r="N188" t="n">
        <v>0</v>
      </c>
      <c r="O188" t="n">
        <v>0</v>
      </c>
      <c r="P188" t="n">
        <v>0</v>
      </c>
      <c r="Q188" t="n">
        <v>4</v>
      </c>
      <c r="R188" t="n">
        <v>1</v>
      </c>
      <c r="S188" t="n">
        <v>6</v>
      </c>
      <c r="T188" t="n">
        <v>9</v>
      </c>
      <c r="U188" t="n">
        <v>1</v>
      </c>
      <c r="V188" s="2" t="inlineStr">
        <is>
          <t>Garnlav
Kolflarnlav
Mörk kolflarnlav
Talltita
Tjäder
Kungsfågel</t>
        </is>
      </c>
      <c r="W188">
        <f>HYPERLINK("https://klasma.github.io/Logging_2161/artfynd/A 26675-2023 artfynd.xlsx", "A 26675-2023")</f>
        <v/>
      </c>
      <c r="X188">
        <f>HYPERLINK("https://klasma.github.io/Logging_2161/kartor/A 26675-2023 karta.png", "A 26675-2023")</f>
        <v/>
      </c>
      <c r="Y188">
        <f>HYPERLINK("https://klasma.github.io/Logging_2161/kartor_geotiff/A 26675-2023 georefererad karta.tif", "A 26675-2023")</f>
        <v/>
      </c>
      <c r="AA188">
        <f>HYPERLINK("https://klasma.github.io/Logging_2161/klagomål/A 26675-2023 FSC-klagomål.docx", "A 26675-2023")</f>
        <v/>
      </c>
      <c r="AB188">
        <f>HYPERLINK("https://klasma.github.io/Logging_2161/klagomålsmail/A 26675-2023 FSC-klagomål mail.docx", "A 26675-2023")</f>
        <v/>
      </c>
      <c r="AC188">
        <f>HYPERLINK("https://klasma.github.io/Logging_2161/tillsyn/A 26675-2023 tillsynsbegäran.docx", "A 26675-2023")</f>
        <v/>
      </c>
      <c r="AD188">
        <f>HYPERLINK("https://klasma.github.io/Logging_2161/tillsynsmail/A 26675-2023 tillsynsbegäran mail.docx", "A 26675-2023")</f>
        <v/>
      </c>
      <c r="AE188">
        <f>HYPERLINK("https://klasma.github.io/Logging_2161/fåglar/A 26675-2023 prioriterade fågelarter.docx", "A 26675-2023")</f>
        <v/>
      </c>
    </row>
    <row r="189" ht="15" customHeight="1">
      <c r="A189" t="inlineStr">
        <is>
          <t>A 32783-2022</t>
        </is>
      </c>
      <c r="B189" t="inlineStr">
        <is>
          <t>avverkningsanmälan</t>
        </is>
      </c>
      <c r="C189" t="inlineStr">
        <is>
          <t>Föryngringsavverkning</t>
        </is>
      </c>
      <c r="D189" s="1" t="n">
        <v>44784</v>
      </c>
      <c r="E189" s="1" t="n">
        <v>46326</v>
      </c>
      <c r="F189" t="inlineStr">
        <is>
          <t>GÄVLEBORGS LÄN</t>
        </is>
      </c>
      <c r="G189" t="inlineStr">
        <is>
          <t>LJUSDAL</t>
        </is>
      </c>
      <c r="H189" t="inlineStr">
        <is>
          <t>Sveaskog</t>
        </is>
      </c>
      <c r="I189" t="n">
        <v>12.7</v>
      </c>
      <c r="J189" t="n">
        <v>0</v>
      </c>
      <c r="K189" t="n">
        <v>0</v>
      </c>
      <c r="L189" t="n">
        <v>5</v>
      </c>
      <c r="M189" t="n">
        <v>1</v>
      </c>
      <c r="N189" t="n">
        <v>0</v>
      </c>
      <c r="O189" t="n">
        <v>0</v>
      </c>
      <c r="P189" t="n">
        <v>0</v>
      </c>
      <c r="Q189" t="n">
        <v>6</v>
      </c>
      <c r="R189" t="n">
        <v>1</v>
      </c>
      <c r="S189" t="n">
        <v>6</v>
      </c>
      <c r="T189" t="n">
        <v>7</v>
      </c>
      <c r="U189" t="n">
        <v>7</v>
      </c>
      <c r="V189" s="2" t="inlineStr">
        <is>
          <t>Garnlav
Dropptaggsvamp
Dvärgbägarlav
Kolflarnlav
Mörk kolflarnlav
Skarp dropptaggsvamp</t>
        </is>
      </c>
      <c r="W189">
        <f>HYPERLINK("https://klasma.github.io/Logging_2161/artfynd/A 32783-2022 artfynd.xlsx", "A 32783-2022")</f>
        <v/>
      </c>
      <c r="X189">
        <f>HYPERLINK("https://klasma.github.io/Logging_2161/kartor/A 32783-2022 karta.png", "A 32783-2022")</f>
        <v/>
      </c>
      <c r="Y189">
        <f>HYPERLINK("https://klasma.github.io/Logging_2161/kartor_geotiff/A 32783-2022 georefererad karta.tif", "A 32783-2022")</f>
        <v/>
      </c>
      <c r="AA189">
        <f>HYPERLINK("https://klasma.github.io/Logging_2161/klagomål/A 32783-2022 FSC-klagomål.docx", "A 32783-2022")</f>
        <v/>
      </c>
      <c r="AB189">
        <f>HYPERLINK("https://klasma.github.io/Logging_2161/klagomålsmail/A 32783-2022 FSC-klagomål mail.docx", "A 32783-2022")</f>
        <v/>
      </c>
      <c r="AC189">
        <f>HYPERLINK("https://klasma.github.io/Logging_2161/tillsyn/A 32783-2022 tillsynsbegäran.docx", "A 32783-2022")</f>
        <v/>
      </c>
      <c r="AD189">
        <f>HYPERLINK("https://klasma.github.io/Logging_2161/tillsynsmail/A 32783-2022 tillsynsbegäran mail.docx", "A 32783-2022")</f>
        <v/>
      </c>
    </row>
    <row r="190" ht="15" customHeight="1">
      <c r="A190" t="inlineStr">
        <is>
          <t>A 382-2024</t>
        </is>
      </c>
      <c r="B190" t="inlineStr">
        <is>
          <t>avverkningsanmälan</t>
        </is>
      </c>
      <c r="C190" t="inlineStr">
        <is>
          <t>Föryngringsavverkning</t>
        </is>
      </c>
      <c r="D190" s="1" t="n">
        <v>45296</v>
      </c>
      <c r="E190" s="1" t="n">
        <v>46326</v>
      </c>
      <c r="F190" t="inlineStr">
        <is>
          <t>GÄVLEBORGS LÄN</t>
        </is>
      </c>
      <c r="G190" t="inlineStr">
        <is>
          <t>NORDANSTIG</t>
        </is>
      </c>
      <c r="H190" t="inlineStr">
        <is>
          <t>Holmen skog AB</t>
        </is>
      </c>
      <c r="I190" t="n">
        <v>2.7</v>
      </c>
      <c r="J190" t="n">
        <v>0</v>
      </c>
      <c r="K190" t="n">
        <v>2</v>
      </c>
      <c r="L190" t="n">
        <v>3</v>
      </c>
      <c r="M190" t="n">
        <v>1</v>
      </c>
      <c r="N190" t="n">
        <v>0</v>
      </c>
      <c r="O190" t="n">
        <v>0</v>
      </c>
      <c r="P190" t="n">
        <v>0</v>
      </c>
      <c r="Q190" t="n">
        <v>4</v>
      </c>
      <c r="R190" t="n">
        <v>1</v>
      </c>
      <c r="S190" t="n">
        <v>6</v>
      </c>
      <c r="T190" t="n">
        <v>26</v>
      </c>
      <c r="U190" t="n">
        <v>26</v>
      </c>
      <c r="V190" s="2" t="inlineStr">
        <is>
          <t>Ringlav
Lunglav
Rosenticka
Violettgrå tagellav
Stuplav
Vedticka</t>
        </is>
      </c>
      <c r="W190">
        <f>HYPERLINK("https://klasma.github.io/Logging_2132/artfynd/A 382-2024 artfynd.xlsx", "A 382-2024")</f>
        <v/>
      </c>
      <c r="X190">
        <f>HYPERLINK("https://klasma.github.io/Logging_2132/kartor/A 382-2024 karta.png", "A 382-2024")</f>
        <v/>
      </c>
      <c r="Y190">
        <f>HYPERLINK("https://klasma.github.io/Logging_2132/kartor_geotiff/A 382-2024 georefererad karta.tif", "A 382-2024")</f>
        <v/>
      </c>
      <c r="AA190">
        <f>HYPERLINK("https://klasma.github.io/Logging_2132/klagomål/A 382-2024 FSC-klagomål.docx", "A 382-2024")</f>
        <v/>
      </c>
      <c r="AB190">
        <f>HYPERLINK("https://klasma.github.io/Logging_2132/klagomålsmail/A 382-2024 FSC-klagomål mail.docx", "A 382-2024")</f>
        <v/>
      </c>
      <c r="AC190">
        <f>HYPERLINK("https://klasma.github.io/Logging_2132/tillsyn/A 382-2024 tillsynsbegäran.docx", "A 382-2024")</f>
        <v/>
      </c>
      <c r="AD190">
        <f>HYPERLINK("https://klasma.github.io/Logging_2132/tillsynsmail/A 382-2024 tillsynsbegäran mail.docx", "A 382-2024")</f>
        <v/>
      </c>
    </row>
    <row r="191" ht="15" customHeight="1">
      <c r="A191" t="inlineStr">
        <is>
          <t>A 32710-2026</t>
        </is>
      </c>
      <c r="B191" t="inlineStr">
        <is>
          <t>avverkningsanmälan</t>
        </is>
      </c>
      <c r="C191" t="inlineStr">
        <is>
          <t>Föryngringsavverkning</t>
        </is>
      </c>
      <c r="D191" s="1" t="n">
        <v>46241</v>
      </c>
      <c r="E191" s="1" t="n">
        <v>46326</v>
      </c>
      <c r="F191" t="inlineStr">
        <is>
          <t>GÄVLEBORGS LÄN</t>
        </is>
      </c>
      <c r="G191" t="inlineStr">
        <is>
          <t>OVANÅKER</t>
        </is>
      </c>
      <c r="H191" t="inlineStr">
        <is>
          <t>Bergvik skog väst AB</t>
        </is>
      </c>
      <c r="I191" t="n">
        <v>13.3</v>
      </c>
      <c r="J191" t="n">
        <v>0</v>
      </c>
      <c r="K191" t="n">
        <v>3</v>
      </c>
      <c r="L191" t="n">
        <v>2</v>
      </c>
      <c r="M191" t="n">
        <v>1</v>
      </c>
      <c r="N191" t="n">
        <v>0</v>
      </c>
      <c r="O191" t="n">
        <v>0</v>
      </c>
      <c r="P191" t="n">
        <v>0</v>
      </c>
      <c r="Q191" t="n">
        <v>3</v>
      </c>
      <c r="R191" t="n">
        <v>1</v>
      </c>
      <c r="S191" t="n">
        <v>6</v>
      </c>
      <c r="T191" t="n">
        <v>6</v>
      </c>
      <c r="U191" t="n">
        <v>0</v>
      </c>
      <c r="V191" s="2" t="inlineStr">
        <is>
          <t>Garnlav
Kattfotslav
Vitgrynig nållav
Barkkornlav
Bårdlav
Stuplav</t>
        </is>
      </c>
      <c r="W191">
        <f>HYPERLINK("https://klasma.github.io/Logging_2121/artfynd/A 32710-2026 artfynd.xlsx", "A 32710-2026")</f>
        <v/>
      </c>
      <c r="X191">
        <f>HYPERLINK("https://klasma.github.io/Logging_2121/kartor/A 32710-2026 karta.png", "A 32710-2026")</f>
        <v/>
      </c>
      <c r="Y191">
        <f>HYPERLINK("https://klasma.github.io/Logging_2121/kartor_geotiff/A 32710-2026 georefererad karta.tif", "A 32710-2026")</f>
        <v/>
      </c>
      <c r="AA191">
        <f>HYPERLINK("https://klasma.github.io/Logging_2121/klagomål/A 32710-2026 FSC-klagomål.docx", "A 32710-2026")</f>
        <v/>
      </c>
      <c r="AB191">
        <f>HYPERLINK("https://klasma.github.io/Logging_2121/klagomålsmail/A 32710-2026 FSC-klagomål mail.docx", "A 32710-2026")</f>
        <v/>
      </c>
      <c r="AC191">
        <f>HYPERLINK("https://klasma.github.io/Logging_2121/tillsyn/A 32710-2026 tillsynsbegäran.docx", "A 32710-2026")</f>
        <v/>
      </c>
      <c r="AD191">
        <f>HYPERLINK("https://klasma.github.io/Logging_2121/tillsynsmail/A 32710-2026 tillsynsbegäran mail.docx", "A 32710-2026")</f>
        <v/>
      </c>
    </row>
    <row r="192" ht="15" customHeight="1">
      <c r="A192" t="inlineStr">
        <is>
          <t>A 19432-2025</t>
        </is>
      </c>
      <c r="B192" t="inlineStr">
        <is>
          <t>avverkningsanmälan</t>
        </is>
      </c>
      <c r="C192" t="inlineStr">
        <is>
          <t>Föryngringsavverkning</t>
        </is>
      </c>
      <c r="D192" s="1" t="n">
        <v>45769</v>
      </c>
      <c r="E192" s="1" t="n">
        <v>46326</v>
      </c>
      <c r="F192" t="inlineStr">
        <is>
          <t>GÄVLEBORGS LÄN</t>
        </is>
      </c>
      <c r="G192" t="inlineStr">
        <is>
          <t>HUDIKSVALL</t>
        </is>
      </c>
      <c r="H192" t="inlineStr">
        <is>
          <t>Holmen skog AB</t>
        </is>
      </c>
      <c r="I192" t="n">
        <v>10.4</v>
      </c>
      <c r="J192" t="n">
        <v>1</v>
      </c>
      <c r="K192" t="n">
        <v>4</v>
      </c>
      <c r="L192" t="n">
        <v>1</v>
      </c>
      <c r="M192" t="n">
        <v>0</v>
      </c>
      <c r="N192" t="n">
        <v>0</v>
      </c>
      <c r="O192" t="n">
        <v>0</v>
      </c>
      <c r="P192" t="n">
        <v>0</v>
      </c>
      <c r="Q192" t="n">
        <v>1</v>
      </c>
      <c r="R192" t="n">
        <v>0</v>
      </c>
      <c r="S192" t="n">
        <v>6</v>
      </c>
      <c r="T192" t="n">
        <v>6</v>
      </c>
      <c r="U192" t="n">
        <v>6</v>
      </c>
      <c r="V192" s="2" t="inlineStr">
        <is>
          <t>Myskmåra
Strutbräken
Svart trolldruva
Tibast
Underviol
Blåsippa</t>
        </is>
      </c>
      <c r="W192">
        <f>HYPERLINK("https://klasma.github.io/Logging_2184/artfynd/A 19432-2025 artfynd.xlsx", "A 19432-2025")</f>
        <v/>
      </c>
      <c r="X192">
        <f>HYPERLINK("https://klasma.github.io/Logging_2184/kartor/A 19432-2025 karta.png", "A 19432-2025")</f>
        <v/>
      </c>
      <c r="Y192">
        <f>HYPERLINK("https://klasma.github.io/Logging_2184/kartor_geotiff/A 19432-2025 georefererad karta.tif", "A 19432-2025")</f>
        <v/>
      </c>
      <c r="AA192">
        <f>HYPERLINK("https://klasma.github.io/Logging_2184/klagomål/A 19432-2025 FSC-klagomål.docx", "A 19432-2025")</f>
        <v/>
      </c>
      <c r="AB192">
        <f>HYPERLINK("https://klasma.github.io/Logging_2184/klagomålsmail/A 19432-2025 FSC-klagomål mail.docx", "A 19432-2025")</f>
        <v/>
      </c>
      <c r="AC192">
        <f>HYPERLINK("https://klasma.github.io/Logging_2184/tillsyn/A 19432-2025 tillsynsbegäran.docx", "A 19432-2025")</f>
        <v/>
      </c>
      <c r="AD192">
        <f>HYPERLINK("https://klasma.github.io/Logging_2184/tillsynsmail/A 19432-2025 tillsynsbegäran mail.docx", "A 19432-2025")</f>
        <v/>
      </c>
    </row>
    <row r="193" ht="15" customHeight="1">
      <c r="A193" t="inlineStr">
        <is>
          <t>A 38297-2026</t>
        </is>
      </c>
      <c r="B193" t="inlineStr">
        <is>
          <t>avverkningsanmälan</t>
        </is>
      </c>
      <c r="C193" t="inlineStr">
        <is>
          <t>Föryngringsavverkning</t>
        </is>
      </c>
      <c r="D193" s="1" t="n">
        <v>46282</v>
      </c>
      <c r="E193" s="1" t="n">
        <v>46326</v>
      </c>
      <c r="F193" t="inlineStr">
        <is>
          <t>GÄVLEBORGS LÄN</t>
        </is>
      </c>
      <c r="G193" t="inlineStr">
        <is>
          <t>LJUSDAL</t>
        </is>
      </c>
      <c r="H193" t="inlineStr">
        <is>
          <t>Allmännings- och besparingsskogar</t>
        </is>
      </c>
      <c r="I193" t="n">
        <v>29.4</v>
      </c>
      <c r="J193" t="n">
        <v>1</v>
      </c>
      <c r="K193" t="n">
        <v>0</v>
      </c>
      <c r="L193" t="n">
        <v>4</v>
      </c>
      <c r="M193" t="n">
        <v>2</v>
      </c>
      <c r="N193" t="n">
        <v>0</v>
      </c>
      <c r="O193" t="n">
        <v>0</v>
      </c>
      <c r="P193" t="n">
        <v>0</v>
      </c>
      <c r="Q193" t="n">
        <v>6</v>
      </c>
      <c r="R193" t="n">
        <v>2</v>
      </c>
      <c r="S193" t="n">
        <v>6</v>
      </c>
      <c r="T193" t="n">
        <v>29</v>
      </c>
      <c r="U193" t="n">
        <v>0</v>
      </c>
      <c r="V193" s="2" t="inlineStr">
        <is>
          <t>Garnlav
Knärot
Lunglav
Skrovellav
Talltagel
Violettgrå tagellav</t>
        </is>
      </c>
      <c r="W193">
        <f>HYPERLINK("https://klasma.github.io/Logging_2161/artfynd/A 38297-2026 artfynd.xlsx", "A 38297-2026")</f>
        <v/>
      </c>
      <c r="X193">
        <f>HYPERLINK("https://klasma.github.io/Logging_2161/kartor/A 38297-2026 karta.png", "A 38297-2026")</f>
        <v/>
      </c>
      <c r="Y193">
        <f>HYPERLINK("https://klasma.github.io/Logging_2161/kartor_geotiff/A 38297-2026 georefererad karta.tif", "A 38297-2026")</f>
        <v/>
      </c>
      <c r="Z193">
        <f>HYPERLINK("https://klasma.github.io/Logging_2161/knärot/A 38297-2026 karta knärot.png", "A 38297-2026")</f>
        <v/>
      </c>
      <c r="AA193">
        <f>HYPERLINK("https://klasma.github.io/Logging_2161/klagomål/A 38297-2026 FSC-klagomål.docx", "A 38297-2026")</f>
        <v/>
      </c>
      <c r="AB193">
        <f>HYPERLINK("https://klasma.github.io/Logging_2161/klagomålsmail/A 38297-2026 FSC-klagomål mail.docx", "A 38297-2026")</f>
        <v/>
      </c>
      <c r="AC193">
        <f>HYPERLINK("https://klasma.github.io/Logging_2161/tillsyn/A 38297-2026 tillsynsbegäran.docx", "A 38297-2026")</f>
        <v/>
      </c>
      <c r="AD193">
        <f>HYPERLINK("https://klasma.github.io/Logging_2161/tillsynsmail/A 38297-2026 tillsynsbegäran mail.docx", "A 38297-2026")</f>
        <v/>
      </c>
    </row>
    <row r="194" ht="15" customHeight="1">
      <c r="A194" t="inlineStr">
        <is>
          <t>A 38431-2026</t>
        </is>
      </c>
      <c r="B194" t="inlineStr">
        <is>
          <t>avverkningsanmälan</t>
        </is>
      </c>
      <c r="C194" t="inlineStr">
        <is>
          <t>Föryngringsavverkning</t>
        </is>
      </c>
      <c r="D194" s="1" t="n">
        <v>46282</v>
      </c>
      <c r="E194" s="1" t="n">
        <v>46326</v>
      </c>
      <c r="F194" t="inlineStr">
        <is>
          <t>GÄVLEBORGS LÄN</t>
        </is>
      </c>
      <c r="G194" t="inlineStr">
        <is>
          <t>LJUSDAL</t>
        </is>
      </c>
      <c r="H194" t="inlineStr">
        <is>
          <t>Sveaskog</t>
        </is>
      </c>
      <c r="I194" t="n">
        <v>11.1</v>
      </c>
      <c r="J194" t="n">
        <v>0</v>
      </c>
      <c r="K194" t="n">
        <v>0</v>
      </c>
      <c r="L194" t="n">
        <v>6</v>
      </c>
      <c r="M194" t="n">
        <v>0</v>
      </c>
      <c r="N194" t="n">
        <v>0</v>
      </c>
      <c r="O194" t="n">
        <v>0</v>
      </c>
      <c r="P194" t="n">
        <v>0</v>
      </c>
      <c r="Q194" t="n">
        <v>6</v>
      </c>
      <c r="R194" t="n">
        <v>0</v>
      </c>
      <c r="S194" t="n">
        <v>6</v>
      </c>
      <c r="T194" t="n">
        <v>7</v>
      </c>
      <c r="U194" t="n">
        <v>7</v>
      </c>
      <c r="V194" s="2" t="inlineStr">
        <is>
          <t>Dropptaggsvamp
Kolflarnlav
Lunglav
Orange taggsvamp
Skarp dropptaggsvamp
Vedflamlav</t>
        </is>
      </c>
      <c r="W194">
        <f>HYPERLINK("https://klasma.github.io/Logging_2161/artfynd/A 38431-2026 artfynd.xlsx", "A 38431-2026")</f>
        <v/>
      </c>
      <c r="X194">
        <f>HYPERLINK("https://klasma.github.io/Logging_2161/kartor/A 38431-2026 karta.png", "A 38431-2026")</f>
        <v/>
      </c>
      <c r="Y194">
        <f>HYPERLINK("https://klasma.github.io/Logging_2161/kartor_geotiff/A 38431-2026 georefererad karta.tif", "A 38431-2026")</f>
        <v/>
      </c>
      <c r="AA194">
        <f>HYPERLINK("https://klasma.github.io/Logging_2161/klagomål/A 38431-2026 FSC-klagomål.docx", "A 38431-2026")</f>
        <v/>
      </c>
      <c r="AB194">
        <f>HYPERLINK("https://klasma.github.io/Logging_2161/klagomålsmail/A 38431-2026 FSC-klagomål mail.docx", "A 38431-2026")</f>
        <v/>
      </c>
      <c r="AC194">
        <f>HYPERLINK("https://klasma.github.io/Logging_2161/tillsyn/A 38431-2026 tillsynsbegäran.docx", "A 38431-2026")</f>
        <v/>
      </c>
      <c r="AD194">
        <f>HYPERLINK("https://klasma.github.io/Logging_2161/tillsynsmail/A 38431-2026 tillsynsbegäran mail.docx", "A 38431-2026")</f>
        <v/>
      </c>
    </row>
    <row r="195" ht="15" customHeight="1">
      <c r="A195" t="inlineStr">
        <is>
          <t>S 216-2024</t>
        </is>
      </c>
      <c r="B195" t="inlineStr">
        <is>
          <t>samrådsanmälan</t>
        </is>
      </c>
      <c r="C195" t="inlineStr">
        <is>
          <t>Skogsgödsling</t>
        </is>
      </c>
      <c r="D195" s="1" t="n">
        <v>45316</v>
      </c>
      <c r="E195" s="1" t="n">
        <v>46326</v>
      </c>
      <c r="F195" t="inlineStr">
        <is>
          <t>GÄVLEBORGS LÄN</t>
        </is>
      </c>
      <c r="G195" t="inlineStr">
        <is>
          <t>HOFORS</t>
        </is>
      </c>
      <c r="H195" t="inlineStr">
        <is>
          <t>Sveaskog</t>
        </is>
      </c>
      <c r="I195" t="n">
        <v>31.8</v>
      </c>
      <c r="J195" t="n">
        <v>2</v>
      </c>
      <c r="K195" t="n">
        <v>4</v>
      </c>
      <c r="L195" t="n">
        <v>0</v>
      </c>
      <c r="M195" t="n">
        <v>1</v>
      </c>
      <c r="N195" t="n">
        <v>0</v>
      </c>
      <c r="O195" t="n">
        <v>0</v>
      </c>
      <c r="P195" t="n">
        <v>0</v>
      </c>
      <c r="Q195" t="n">
        <v>1</v>
      </c>
      <c r="R195" t="n">
        <v>1</v>
      </c>
      <c r="S195" t="n">
        <v>6</v>
      </c>
      <c r="T195" t="n">
        <v>6</v>
      </c>
      <c r="U195" t="n">
        <v>1</v>
      </c>
      <c r="V195" s="2" t="inlineStr">
        <is>
          <t>Garnlav
Bronshjon
Flagellkvastmossa
Plattlummer
Vågbandad barkbock
Fläcknycklar</t>
        </is>
      </c>
      <c r="W195">
        <f>HYPERLINK("https://klasma.github.io/Logging_2104/artfynd/S 216-2024 artfynd.xlsx", "S 216-2024")</f>
        <v/>
      </c>
      <c r="X195">
        <f>HYPERLINK("https://klasma.github.io/Logging_2104/kartor/S 216-2024 karta.png", "S 216-2024")</f>
        <v/>
      </c>
      <c r="Y195">
        <f>HYPERLINK("https://klasma.github.io/Logging_2104/kartor_geotiff/S 216-2024 georefererad karta.tif", "S 216-2024")</f>
        <v/>
      </c>
      <c r="AA195">
        <f>HYPERLINK("https://klasma.github.io/Logging_2104/klagomål/S 216-2024 FSC-klagomål.docx", "S 216-2024")</f>
        <v/>
      </c>
      <c r="AB195">
        <f>HYPERLINK("https://klasma.github.io/Logging_2104/klagomålsmail/S 216-2024 FSC-klagomål mail.docx", "S 216-2024")</f>
        <v/>
      </c>
      <c r="AC195">
        <f>HYPERLINK("https://klasma.github.io/Logging_2104/tillsyn/S 216-2024 tillsynsbegäran.docx", "S 216-2024")</f>
        <v/>
      </c>
      <c r="AD195">
        <f>HYPERLINK("https://klasma.github.io/Logging_2104/tillsynsmail/S 216-2024 tillsynsbegäran mail.docx", "S 216-2024")</f>
        <v/>
      </c>
    </row>
    <row r="196" ht="15" customHeight="1">
      <c r="A196" t="inlineStr">
        <is>
          <t>S 120-2025</t>
        </is>
      </c>
      <c r="B196" t="inlineStr">
        <is>
          <t>samrådsanmälan</t>
        </is>
      </c>
      <c r="C196" t="inlineStr">
        <is>
          <t>Skogsgödsling</t>
        </is>
      </c>
      <c r="D196" s="1" t="n">
        <v>45670</v>
      </c>
      <c r="E196" s="1" t="n">
        <v>46326</v>
      </c>
      <c r="F196" t="inlineStr">
        <is>
          <t>GÄVLEBORGS LÄN</t>
        </is>
      </c>
      <c r="G196" t="inlineStr">
        <is>
          <t>HUDIKSVALL</t>
        </is>
      </c>
      <c r="H196" t="inlineStr">
        <is>
          <t>Holmen skog AB</t>
        </is>
      </c>
      <c r="I196" t="n">
        <v>47.2</v>
      </c>
      <c r="J196" t="n">
        <v>3</v>
      </c>
      <c r="K196" t="n">
        <v>0</v>
      </c>
      <c r="L196" t="n">
        <v>2</v>
      </c>
      <c r="M196" t="n">
        <v>2</v>
      </c>
      <c r="N196" t="n">
        <v>0</v>
      </c>
      <c r="O196" t="n">
        <v>0</v>
      </c>
      <c r="P196" t="n">
        <v>0</v>
      </c>
      <c r="Q196" t="n">
        <v>4</v>
      </c>
      <c r="R196" t="n">
        <v>2</v>
      </c>
      <c r="S196" t="n">
        <v>6</v>
      </c>
      <c r="T196" t="n">
        <v>11</v>
      </c>
      <c r="U196" t="n">
        <v>10</v>
      </c>
      <c r="V196" s="2" t="inlineStr">
        <is>
          <t>Knärot
Ulltickeporing
Enkelbeckasin
Ullticka
Blåsippa
Kärrfibbla</t>
        </is>
      </c>
      <c r="W196">
        <f>HYPERLINK("https://klasma.github.io/Logging_2184/artfynd/S 120-2025 artfynd.xlsx", "S 120-2025")</f>
        <v/>
      </c>
      <c r="X196">
        <f>HYPERLINK("https://klasma.github.io/Logging_2184/kartor/S 120-2025 karta.png", "S 120-2025")</f>
        <v/>
      </c>
      <c r="Y196">
        <f>HYPERLINK("https://klasma.github.io/Logging_2184/kartor_geotiff/S 120-2025 georefererad karta.tif", "S 120-2025")</f>
        <v/>
      </c>
      <c r="Z196">
        <f>HYPERLINK("https://klasma.github.io/Logging_2184/knärot/S 120-2025 karta knärot.png", "S 120-2025")</f>
        <v/>
      </c>
      <c r="AA196">
        <f>HYPERLINK("https://klasma.github.io/Logging_2184/klagomål/S 120-2025 FSC-klagomål.docx", "S 120-2025")</f>
        <v/>
      </c>
      <c r="AB196">
        <f>HYPERLINK("https://klasma.github.io/Logging_2184/klagomålsmail/S 120-2025 FSC-klagomål mail.docx", "S 120-2025")</f>
        <v/>
      </c>
      <c r="AC196">
        <f>HYPERLINK("https://klasma.github.io/Logging_2184/tillsyn/S 120-2025 tillsynsbegäran.docx", "S 120-2025")</f>
        <v/>
      </c>
      <c r="AD196">
        <f>HYPERLINK("https://klasma.github.io/Logging_2184/tillsynsmail/S 120-2025 tillsynsbegäran mail.docx", "S 120-2025")</f>
        <v/>
      </c>
      <c r="AE196">
        <f>HYPERLINK("https://klasma.github.io/Logging_2184/fåglar/S 120-2025 prioriterade fågelarter.docx", "S 120-2025")</f>
        <v/>
      </c>
    </row>
    <row r="197" ht="15" customHeight="1">
      <c r="A197" t="inlineStr">
        <is>
          <t>S 3257-2025</t>
        </is>
      </c>
      <c r="B197" t="inlineStr">
        <is>
          <t>samrådsanmälan</t>
        </is>
      </c>
      <c r="C197" t="inlineStr">
        <is>
          <t>Skogsgödsling</t>
        </is>
      </c>
      <c r="D197" s="1" t="n">
        <v>45982</v>
      </c>
      <c r="E197" s="1" t="n">
        <v>46326</v>
      </c>
      <c r="F197" t="inlineStr">
        <is>
          <t>GÄVLEBORGS LÄN</t>
        </is>
      </c>
      <c r="G197" t="inlineStr">
        <is>
          <t>GÄVLE</t>
        </is>
      </c>
      <c r="H197" t="inlineStr">
        <is>
          <t>Bergvik skog väst AB</t>
        </is>
      </c>
      <c r="I197" t="n">
        <v>106.5</v>
      </c>
      <c r="J197" t="n">
        <v>6</v>
      </c>
      <c r="K197" t="n">
        <v>1</v>
      </c>
      <c r="L197" t="n">
        <v>1</v>
      </c>
      <c r="M197" t="n">
        <v>0</v>
      </c>
      <c r="N197" t="n">
        <v>0</v>
      </c>
      <c r="O197" t="n">
        <v>0</v>
      </c>
      <c r="P197" t="n">
        <v>0</v>
      </c>
      <c r="Q197" t="n">
        <v>1</v>
      </c>
      <c r="R197" t="n">
        <v>0</v>
      </c>
      <c r="S197" t="n">
        <v>6</v>
      </c>
      <c r="T197" t="n">
        <v>6</v>
      </c>
      <c r="U197" t="n">
        <v>1</v>
      </c>
      <c r="V197" s="2" t="inlineStr">
        <is>
          <t>Strandlummer
Skogsknipprot
Blåsippa
Tjäder
Kopparödla
Gullviva</t>
        </is>
      </c>
      <c r="W197">
        <f>HYPERLINK("https://klasma.github.io/Logging_2180/artfynd/S 3257-2025 artfynd.xlsx", "S 3257-2025")</f>
        <v/>
      </c>
      <c r="X197">
        <f>HYPERLINK("https://klasma.github.io/Logging_2180/kartor/S 3257-2025 karta.png", "S 3257-2025")</f>
        <v/>
      </c>
      <c r="Y197">
        <f>HYPERLINK("https://klasma.github.io/Logging_2180/kartor_geotiff/S 3257-2025 georefererad karta.tif", "S 3257-2025")</f>
        <v/>
      </c>
      <c r="AA197">
        <f>HYPERLINK("https://klasma.github.io/Logging_2180/klagomål/S 3257-2025 FSC-klagomål.docx", "S 3257-2025")</f>
        <v/>
      </c>
      <c r="AB197">
        <f>HYPERLINK("https://klasma.github.io/Logging_2180/klagomålsmail/S 3257-2025 FSC-klagomål mail.docx", "S 3257-2025")</f>
        <v/>
      </c>
      <c r="AC197">
        <f>HYPERLINK("https://klasma.github.io/Logging_2180/tillsyn/S 3257-2025 tillsynsbegäran.docx", "S 3257-2025")</f>
        <v/>
      </c>
      <c r="AD197">
        <f>HYPERLINK("https://klasma.github.io/Logging_2180/tillsynsmail/S 3257-2025 tillsynsbegäran mail.docx", "S 3257-2025")</f>
        <v/>
      </c>
      <c r="AE197">
        <f>HYPERLINK("https://klasma.github.io/Logging_2180/fåglar/S 3257-2025 prioriterade fågelarter.docx", "S 3257-2025")</f>
        <v/>
      </c>
    </row>
    <row r="198" ht="15" customHeight="1">
      <c r="A198" t="inlineStr">
        <is>
          <t>S 1080-2026</t>
        </is>
      </c>
      <c r="B198" t="inlineStr">
        <is>
          <t>samrådsanmälan</t>
        </is>
      </c>
      <c r="C198" t="inlineStr">
        <is>
          <t>Annan skogsbruksåtgärd</t>
        </is>
      </c>
      <c r="D198" s="1" t="n">
        <v>46129</v>
      </c>
      <c r="E198" s="1" t="n">
        <v>46326</v>
      </c>
      <c r="F198" t="inlineStr">
        <is>
          <t>GÄVLEBORGS LÄN</t>
        </is>
      </c>
      <c r="G198" t="inlineStr">
        <is>
          <t>LJUSDAL</t>
        </is>
      </c>
      <c r="I198" t="n">
        <v>6</v>
      </c>
      <c r="J198" t="n">
        <v>5</v>
      </c>
      <c r="K198" t="n">
        <v>0</v>
      </c>
      <c r="L198" t="n">
        <v>2</v>
      </c>
      <c r="M198" t="n">
        <v>1</v>
      </c>
      <c r="N198" t="n">
        <v>0</v>
      </c>
      <c r="O198" t="n">
        <v>0</v>
      </c>
      <c r="P198" t="n">
        <v>0</v>
      </c>
      <c r="Q198" t="n">
        <v>3</v>
      </c>
      <c r="R198" t="n">
        <v>1</v>
      </c>
      <c r="S198" t="n">
        <v>6</v>
      </c>
      <c r="T198" t="n">
        <v>15</v>
      </c>
      <c r="U198" t="n">
        <v>0</v>
      </c>
      <c r="V198" s="2" t="inlineStr">
        <is>
          <t>Knärot
Skogshare
Tretåig hackspett
Spillkråka
Tjäder
Kungsfågel</t>
        </is>
      </c>
      <c r="W198">
        <f>HYPERLINK("https://klasma.github.io/Logging_2161/artfynd/S 1080-2026 artfynd.xlsx", "S 1080-2026")</f>
        <v/>
      </c>
      <c r="X198">
        <f>HYPERLINK("https://klasma.github.io/Logging_2161/kartor/S 1080-2026 karta.png", "S 1080-2026")</f>
        <v/>
      </c>
      <c r="Y198">
        <f>HYPERLINK("https://klasma.github.io/Logging_2161/kartor_geotiff/S 1080-2026 georefererad karta.tif", "S 1080-2026")</f>
        <v/>
      </c>
      <c r="Z198">
        <f>HYPERLINK("https://klasma.github.io/Logging_2161/knärot/S 1080-2026 karta knärot.png", "S 1080-2026")</f>
        <v/>
      </c>
      <c r="AA198">
        <f>HYPERLINK("https://klasma.github.io/Logging_2161/klagomål/S 1080-2026 FSC-klagomål.docx", "S 1080-2026")</f>
        <v/>
      </c>
      <c r="AB198">
        <f>HYPERLINK("https://klasma.github.io/Logging_2161/klagomålsmail/S 1080-2026 FSC-klagomål mail.docx", "S 1080-2026")</f>
        <v/>
      </c>
      <c r="AC198">
        <f>HYPERLINK("https://klasma.github.io/Logging_2161/tillsyn/S 1080-2026 tillsynsbegäran.docx", "S 1080-2026")</f>
        <v/>
      </c>
      <c r="AD198">
        <f>HYPERLINK("https://klasma.github.io/Logging_2161/tillsynsmail/S 1080-2026 tillsynsbegäran mail.docx", "S 1080-2026")</f>
        <v/>
      </c>
      <c r="AE198">
        <f>HYPERLINK("https://klasma.github.io/Logging_2161/fåglar/S 1080-2026 prioriterade fågelarter.docx", "S 1080-2026")</f>
        <v/>
      </c>
    </row>
    <row r="199" ht="15" customHeight="1">
      <c r="A199" t="inlineStr">
        <is>
          <t>S 2563-2026</t>
        </is>
      </c>
      <c r="B199" t="inlineStr">
        <is>
          <t>samrådsanmälan</t>
        </is>
      </c>
      <c r="C199" t="inlineStr">
        <is>
          <t>Annan skogsbruksåtgärd</t>
        </is>
      </c>
      <c r="D199" s="1" t="n">
        <v>46294</v>
      </c>
      <c r="E199" s="1" t="n">
        <v>46326</v>
      </c>
      <c r="F199" t="inlineStr">
        <is>
          <t>GÄVLEBORGS LÄN</t>
        </is>
      </c>
      <c r="G199" t="inlineStr">
        <is>
          <t>HUDIKSVALL</t>
        </is>
      </c>
      <c r="I199" t="n">
        <v>1.4</v>
      </c>
      <c r="J199" t="n">
        <v>0</v>
      </c>
      <c r="K199" t="n">
        <v>2</v>
      </c>
      <c r="L199" t="n">
        <v>3</v>
      </c>
      <c r="M199" t="n">
        <v>1</v>
      </c>
      <c r="N199" t="n">
        <v>0</v>
      </c>
      <c r="O199" t="n">
        <v>0</v>
      </c>
      <c r="P199" t="n">
        <v>0</v>
      </c>
      <c r="Q199" t="n">
        <v>4</v>
      </c>
      <c r="R199" t="n">
        <v>1</v>
      </c>
      <c r="S199" t="n">
        <v>6</v>
      </c>
      <c r="T199" t="n">
        <v>15</v>
      </c>
      <c r="U199" t="n">
        <v>0</v>
      </c>
      <c r="V199" s="2" t="inlineStr">
        <is>
          <t>Garnlav
Kattfotslav
Ullticka
Violettgrå tagellav
Barkkornlav
Mörk husmossa</t>
        </is>
      </c>
      <c r="W199">
        <f>HYPERLINK("https://klasma.github.io/Logging_2184/artfynd/S 2563-2026 artfynd.xlsx", "S 2563-2026")</f>
        <v/>
      </c>
      <c r="X199">
        <f>HYPERLINK("https://klasma.github.io/Logging_2184/kartor/S 2563-2026 karta.png", "S 2563-2026")</f>
        <v/>
      </c>
      <c r="Y199">
        <f>HYPERLINK("https://klasma.github.io/Logging_2184/kartor_geotiff/S 2563-2026 georefererad karta.tif", "S 2563-2026")</f>
        <v/>
      </c>
      <c r="AA199">
        <f>HYPERLINK("https://klasma.github.io/Logging_2184/klagomål/S 2563-2026 FSC-klagomål.docx", "S 2563-2026")</f>
        <v/>
      </c>
      <c r="AB199">
        <f>HYPERLINK("https://klasma.github.io/Logging_2184/klagomålsmail/S 2563-2026 FSC-klagomål mail.docx", "S 2563-2026")</f>
        <v/>
      </c>
      <c r="AC199">
        <f>HYPERLINK("https://klasma.github.io/Logging_2184/tillsyn/S 2563-2026 tillsynsbegäran.docx", "S 2563-2026")</f>
        <v/>
      </c>
      <c r="AD199">
        <f>HYPERLINK("https://klasma.github.io/Logging_2184/tillsynsmail/S 2563-2026 tillsynsbegäran mail.docx", "S 2563-2026")</f>
        <v/>
      </c>
    </row>
    <row r="200" ht="15" customHeight="1">
      <c r="A200" t="inlineStr">
        <is>
          <t>A 49799-2023</t>
        </is>
      </c>
      <c r="B200" t="inlineStr">
        <is>
          <t>avverkningsanmälan</t>
        </is>
      </c>
      <c r="C200" t="inlineStr">
        <is>
          <t>Föryngringsavverkning</t>
        </is>
      </c>
      <c r="D200" s="1" t="n">
        <v>45212</v>
      </c>
      <c r="E200" s="1" t="n">
        <v>46326</v>
      </c>
      <c r="F200" t="inlineStr">
        <is>
          <t>GÄVLEBORGS LÄN</t>
        </is>
      </c>
      <c r="G200" t="inlineStr">
        <is>
          <t>HUDIKSVALL</t>
        </is>
      </c>
      <c r="I200" t="n">
        <v>4</v>
      </c>
      <c r="J200" t="n">
        <v>0</v>
      </c>
      <c r="K200" t="n">
        <v>1</v>
      </c>
      <c r="L200" t="n">
        <v>4</v>
      </c>
      <c r="M200" t="n">
        <v>0</v>
      </c>
      <c r="N200" t="n">
        <v>0</v>
      </c>
      <c r="O200" t="n">
        <v>0</v>
      </c>
      <c r="P200" t="n">
        <v>0</v>
      </c>
      <c r="Q200" t="n">
        <v>4</v>
      </c>
      <c r="R200" t="n">
        <v>0</v>
      </c>
      <c r="S200" t="n">
        <v>5</v>
      </c>
      <c r="T200" t="n">
        <v>7</v>
      </c>
      <c r="U200" t="n">
        <v>0</v>
      </c>
      <c r="V200" s="2" t="inlineStr">
        <is>
          <t>Rosenticka
Ullticka
Violettgrå tagellav
Vitgrynig nållav
Vedticka</t>
        </is>
      </c>
      <c r="W200">
        <f>HYPERLINK("https://klasma.github.io/Logging_2184/artfynd/A 49799-2023 artfynd.xlsx", "A 49799-2023")</f>
        <v/>
      </c>
      <c r="X200">
        <f>HYPERLINK("https://klasma.github.io/Logging_2184/kartor/A 49799-2023 karta.png", "A 49799-2023")</f>
        <v/>
      </c>
      <c r="Y200">
        <f>HYPERLINK("https://klasma.github.io/Logging_2184/kartor_geotiff/A 49799-2023 georefererad karta.tif", "A 49799-2023")</f>
        <v/>
      </c>
      <c r="AA200">
        <f>HYPERLINK("https://klasma.github.io/Logging_2184/klagomål/A 49799-2023 FSC-klagomål.docx", "A 49799-2023")</f>
        <v/>
      </c>
      <c r="AB200">
        <f>HYPERLINK("https://klasma.github.io/Logging_2184/klagomålsmail/A 49799-2023 FSC-klagomål mail.docx", "A 49799-2023")</f>
        <v/>
      </c>
      <c r="AC200">
        <f>HYPERLINK("https://klasma.github.io/Logging_2184/tillsyn/A 49799-2023 tillsynsbegäran.docx", "A 49799-2023")</f>
        <v/>
      </c>
      <c r="AD200">
        <f>HYPERLINK("https://klasma.github.io/Logging_2184/tillsynsmail/A 49799-2023 tillsynsbegäran mail.docx", "A 49799-2023")</f>
        <v/>
      </c>
    </row>
    <row r="201" ht="15" customHeight="1">
      <c r="A201" t="inlineStr">
        <is>
          <t>A 44837-2024</t>
        </is>
      </c>
      <c r="B201" t="inlineStr">
        <is>
          <t>avverkningsanmälan</t>
        </is>
      </c>
      <c r="C201" t="inlineStr">
        <is>
          <t>Föryngringsavverkning</t>
        </is>
      </c>
      <c r="D201" s="1" t="n">
        <v>45574</v>
      </c>
      <c r="E201" s="1" t="n">
        <v>46326</v>
      </c>
      <c r="F201" t="inlineStr">
        <is>
          <t>GÄVLEBORGS LÄN</t>
        </is>
      </c>
      <c r="G201" t="inlineStr">
        <is>
          <t>NORDANSTIG</t>
        </is>
      </c>
      <c r="H201" t="inlineStr">
        <is>
          <t>Holmen skog AB</t>
        </is>
      </c>
      <c r="I201" t="n">
        <v>1.6</v>
      </c>
      <c r="J201" t="n">
        <v>2</v>
      </c>
      <c r="K201" t="n">
        <v>1</v>
      </c>
      <c r="L201" t="n">
        <v>1</v>
      </c>
      <c r="M201" t="n">
        <v>2</v>
      </c>
      <c r="N201" t="n">
        <v>0</v>
      </c>
      <c r="O201" t="n">
        <v>0</v>
      </c>
      <c r="P201" t="n">
        <v>0</v>
      </c>
      <c r="Q201" t="n">
        <v>3</v>
      </c>
      <c r="R201" t="n">
        <v>2</v>
      </c>
      <c r="S201" t="n">
        <v>5</v>
      </c>
      <c r="T201" t="n">
        <v>6</v>
      </c>
      <c r="U201" t="n">
        <v>6</v>
      </c>
      <c r="V201" s="2" t="inlineStr">
        <is>
          <t>Garnlav
Knärot
Violettgrå tagellav
Luddlav
Blåsippa</t>
        </is>
      </c>
      <c r="W201">
        <f>HYPERLINK("https://klasma.github.io/Logging_2132/artfynd/A 44837-2024 artfynd.xlsx", "A 44837-2024")</f>
        <v/>
      </c>
      <c r="X201">
        <f>HYPERLINK("https://klasma.github.io/Logging_2132/kartor/A 44837-2024 karta.png", "A 44837-2024")</f>
        <v/>
      </c>
      <c r="Y201">
        <f>HYPERLINK("https://klasma.github.io/Logging_2132/kartor_geotiff/A 44837-2024 georefererad karta.tif", "A 44837-2024")</f>
        <v/>
      </c>
      <c r="Z201">
        <f>HYPERLINK("https://klasma.github.io/Logging_2132/knärot/A 44837-2024 karta knärot.png", "A 44837-2024")</f>
        <v/>
      </c>
      <c r="AA201">
        <f>HYPERLINK("https://klasma.github.io/Logging_2132/klagomål/A 44837-2024 FSC-klagomål.docx", "A 44837-2024")</f>
        <v/>
      </c>
      <c r="AB201">
        <f>HYPERLINK("https://klasma.github.io/Logging_2132/klagomålsmail/A 44837-2024 FSC-klagomål mail.docx", "A 44837-2024")</f>
        <v/>
      </c>
      <c r="AC201">
        <f>HYPERLINK("https://klasma.github.io/Logging_2132/tillsyn/A 44837-2024 tillsynsbegäran.docx", "A 44837-2024")</f>
        <v/>
      </c>
      <c r="AD201">
        <f>HYPERLINK("https://klasma.github.io/Logging_2132/tillsynsmail/A 44837-2024 tillsynsbegäran mail.docx", "A 44837-2024")</f>
        <v/>
      </c>
    </row>
    <row r="202" ht="15" customHeight="1">
      <c r="A202" t="inlineStr">
        <is>
          <t>A 26415-2025</t>
        </is>
      </c>
      <c r="B202" t="inlineStr">
        <is>
          <t>avverkningsanmälan</t>
        </is>
      </c>
      <c r="C202" t="inlineStr">
        <is>
          <t>Föryngringsavverkning</t>
        </is>
      </c>
      <c r="D202" s="1" t="n">
        <v>45807</v>
      </c>
      <c r="E202" s="1" t="n">
        <v>46326</v>
      </c>
      <c r="F202" t="inlineStr">
        <is>
          <t>GÄVLEBORGS LÄN</t>
        </is>
      </c>
      <c r="G202" t="inlineStr">
        <is>
          <t>LJUSDAL</t>
        </is>
      </c>
      <c r="H202" t="inlineStr">
        <is>
          <t>Naturvårdsverket</t>
        </is>
      </c>
      <c r="I202" t="n">
        <v>16.2</v>
      </c>
      <c r="J202" t="n">
        <v>2</v>
      </c>
      <c r="K202" t="n">
        <v>0</v>
      </c>
      <c r="L202" t="n">
        <v>2</v>
      </c>
      <c r="M202" t="n">
        <v>1</v>
      </c>
      <c r="N202" t="n">
        <v>0</v>
      </c>
      <c r="O202" t="n">
        <v>0</v>
      </c>
      <c r="P202" t="n">
        <v>0</v>
      </c>
      <c r="Q202" t="n">
        <v>3</v>
      </c>
      <c r="R202" t="n">
        <v>1</v>
      </c>
      <c r="S202" t="n">
        <v>5</v>
      </c>
      <c r="T202" t="n">
        <v>5</v>
      </c>
      <c r="U202" t="n">
        <v>0</v>
      </c>
      <c r="V202" s="2" t="inlineStr">
        <is>
          <t>Garnlav
Vedskivlav
Violettgrå tagellav
Spillkråka
Revlummer</t>
        </is>
      </c>
      <c r="W202">
        <f>HYPERLINK("https://klasma.github.io/Logging_2161/artfynd/A 26415-2025 artfynd.xlsx", "A 26415-2025")</f>
        <v/>
      </c>
      <c r="X202">
        <f>HYPERLINK("https://klasma.github.io/Logging_2161/kartor/A 26415-2025 karta.png", "A 26415-2025")</f>
        <v/>
      </c>
      <c r="Y202">
        <f>HYPERLINK("https://klasma.github.io/Logging_2161/kartor_geotiff/A 26415-2025 georefererad karta.tif", "A 26415-2025")</f>
        <v/>
      </c>
      <c r="AA202">
        <f>HYPERLINK("https://klasma.github.io/Logging_2161/klagomål/A 26415-2025 FSC-klagomål.docx", "A 26415-2025")</f>
        <v/>
      </c>
      <c r="AB202">
        <f>HYPERLINK("https://klasma.github.io/Logging_2161/klagomålsmail/A 26415-2025 FSC-klagomål mail.docx", "A 26415-2025")</f>
        <v/>
      </c>
      <c r="AC202">
        <f>HYPERLINK("https://klasma.github.io/Logging_2161/tillsyn/A 26415-2025 tillsynsbegäran.docx", "A 26415-2025")</f>
        <v/>
      </c>
      <c r="AD202">
        <f>HYPERLINK("https://klasma.github.io/Logging_2161/tillsynsmail/A 26415-2025 tillsynsbegäran mail.docx", "A 26415-2025")</f>
        <v/>
      </c>
      <c r="AE202">
        <f>HYPERLINK("https://klasma.github.io/Logging_2161/fåglar/A 26415-2025 prioriterade fågelarter.docx", "A 26415-2025")</f>
        <v/>
      </c>
    </row>
    <row r="203" ht="15" customHeight="1">
      <c r="A203" t="inlineStr">
        <is>
          <t>A 22067-2024</t>
        </is>
      </c>
      <c r="B203" t="inlineStr">
        <is>
          <t>avverkningsanmälan</t>
        </is>
      </c>
      <c r="C203" t="inlineStr">
        <is>
          <t>Föryngringsavverkning</t>
        </is>
      </c>
      <c r="D203" s="1" t="n">
        <v>45443</v>
      </c>
      <c r="E203" s="1" t="n">
        <v>46326</v>
      </c>
      <c r="F203" t="inlineStr">
        <is>
          <t>GÄVLEBORGS LÄN</t>
        </is>
      </c>
      <c r="G203" t="inlineStr">
        <is>
          <t>LJUSDAL</t>
        </is>
      </c>
      <c r="H203" t="inlineStr">
        <is>
          <t>Sveaskog</t>
        </is>
      </c>
      <c r="I203" t="n">
        <v>2.9</v>
      </c>
      <c r="J203" t="n">
        <v>1</v>
      </c>
      <c r="K203" t="n">
        <v>1</v>
      </c>
      <c r="L203" t="n">
        <v>3</v>
      </c>
      <c r="M203" t="n">
        <v>1</v>
      </c>
      <c r="N203" t="n">
        <v>0</v>
      </c>
      <c r="O203" t="n">
        <v>0</v>
      </c>
      <c r="P203" t="n">
        <v>0</v>
      </c>
      <c r="Q203" t="n">
        <v>4</v>
      </c>
      <c r="R203" t="n">
        <v>1</v>
      </c>
      <c r="S203" t="n">
        <v>5</v>
      </c>
      <c r="T203" t="n">
        <v>10</v>
      </c>
      <c r="U203" t="n">
        <v>10</v>
      </c>
      <c r="V203" s="2" t="inlineStr">
        <is>
          <t>Garnlav
Lunglav
Skrovellav
Violettgrå tagellav
Spindelblomster</t>
        </is>
      </c>
      <c r="W203">
        <f>HYPERLINK("https://klasma.github.io/Logging_2161/artfynd/A 22067-2024 artfynd.xlsx", "A 22067-2024")</f>
        <v/>
      </c>
      <c r="X203">
        <f>HYPERLINK("https://klasma.github.io/Logging_2161/kartor/A 22067-2024 karta.png", "A 22067-2024")</f>
        <v/>
      </c>
      <c r="Y203">
        <f>HYPERLINK("https://klasma.github.io/Logging_2161/kartor_geotiff/A 22067-2024 georefererad karta.tif", "A 22067-2024")</f>
        <v/>
      </c>
      <c r="AA203">
        <f>HYPERLINK("https://klasma.github.io/Logging_2161/klagomål/A 22067-2024 FSC-klagomål.docx", "A 22067-2024")</f>
        <v/>
      </c>
      <c r="AB203">
        <f>HYPERLINK("https://klasma.github.io/Logging_2161/klagomålsmail/A 22067-2024 FSC-klagomål mail.docx", "A 22067-2024")</f>
        <v/>
      </c>
      <c r="AC203">
        <f>HYPERLINK("https://klasma.github.io/Logging_2161/tillsyn/A 22067-2024 tillsynsbegäran.docx", "A 22067-2024")</f>
        <v/>
      </c>
      <c r="AD203">
        <f>HYPERLINK("https://klasma.github.io/Logging_2161/tillsynsmail/A 22067-2024 tillsynsbegäran mail.docx", "A 22067-2024")</f>
        <v/>
      </c>
    </row>
    <row r="204" ht="15" customHeight="1">
      <c r="A204" t="inlineStr">
        <is>
          <t>A 38971-2024</t>
        </is>
      </c>
      <c r="B204" t="inlineStr">
        <is>
          <t>avverkningsanmälan</t>
        </is>
      </c>
      <c r="C204" t="inlineStr">
        <is>
          <t>Föryngringsavverkning</t>
        </is>
      </c>
      <c r="D204" s="1" t="n">
        <v>45548</v>
      </c>
      <c r="E204" s="1" t="n">
        <v>46326</v>
      </c>
      <c r="F204" t="inlineStr">
        <is>
          <t>GÄVLEBORGS LÄN</t>
        </is>
      </c>
      <c r="G204" t="inlineStr">
        <is>
          <t>BOLLNÄS</t>
        </is>
      </c>
      <c r="H204" t="inlineStr">
        <is>
          <t>Sveaskog</t>
        </is>
      </c>
      <c r="I204" t="n">
        <v>5.7</v>
      </c>
      <c r="J204" t="n">
        <v>4</v>
      </c>
      <c r="K204" t="n">
        <v>0</v>
      </c>
      <c r="L204" t="n">
        <v>2</v>
      </c>
      <c r="M204" t="n">
        <v>1</v>
      </c>
      <c r="N204" t="n">
        <v>1</v>
      </c>
      <c r="O204" t="n">
        <v>0</v>
      </c>
      <c r="P204" t="n">
        <v>0</v>
      </c>
      <c r="Q204" t="n">
        <v>4</v>
      </c>
      <c r="R204" t="n">
        <v>2</v>
      </c>
      <c r="S204" t="n">
        <v>5</v>
      </c>
      <c r="T204" t="n">
        <v>8</v>
      </c>
      <c r="U204" t="n">
        <v>5</v>
      </c>
      <c r="V204" s="2" t="inlineStr">
        <is>
          <t>Pärluggla
Knärot
Lavskrika
Ullticka
Tofsmes</t>
        </is>
      </c>
      <c r="W204">
        <f>HYPERLINK("https://klasma.github.io/Logging_2183/artfynd/A 38971-2024 artfynd.xlsx", "A 38971-2024")</f>
        <v/>
      </c>
      <c r="X204">
        <f>HYPERLINK("https://klasma.github.io/Logging_2183/kartor/A 38971-2024 karta.png", "A 38971-2024")</f>
        <v/>
      </c>
      <c r="Y204">
        <f>HYPERLINK("https://klasma.github.io/Logging_2183/kartor_geotiff/A 38971-2024 georefererad karta.tif", "A 38971-2024")</f>
        <v/>
      </c>
      <c r="Z204">
        <f>HYPERLINK("https://klasma.github.io/Logging_2183/knärot/A 38971-2024 karta knärot.png", "A 38971-2024")</f>
        <v/>
      </c>
      <c r="AA204">
        <f>HYPERLINK("https://klasma.github.io/Logging_2183/klagomål/A 38971-2024 FSC-klagomål.docx", "A 38971-2024")</f>
        <v/>
      </c>
      <c r="AB204">
        <f>HYPERLINK("https://klasma.github.io/Logging_2183/klagomålsmail/A 38971-2024 FSC-klagomål mail.docx", "A 38971-2024")</f>
        <v/>
      </c>
      <c r="AC204">
        <f>HYPERLINK("https://klasma.github.io/Logging_2183/tillsyn/A 38971-2024 tillsynsbegäran.docx", "A 38971-2024")</f>
        <v/>
      </c>
      <c r="AD204">
        <f>HYPERLINK("https://klasma.github.io/Logging_2183/tillsynsmail/A 38971-2024 tillsynsbegäran mail.docx", "A 38971-2024")</f>
        <v/>
      </c>
      <c r="AE204">
        <f>HYPERLINK("https://klasma.github.io/Logging_2183/fåglar/A 38971-2024 prioriterade fågelarter.docx", "A 38971-2024")</f>
        <v/>
      </c>
    </row>
    <row r="205" ht="15" customHeight="1">
      <c r="A205" t="inlineStr">
        <is>
          <t>A 41151-2025</t>
        </is>
      </c>
      <c r="B205" t="inlineStr">
        <is>
          <t>avverkningsanmälan</t>
        </is>
      </c>
      <c r="C205" t="inlineStr">
        <is>
          <t>Föryngringsavverkning</t>
        </is>
      </c>
      <c r="D205" s="1" t="n">
        <v>45898</v>
      </c>
      <c r="E205" s="1" t="n">
        <v>46326</v>
      </c>
      <c r="F205" t="inlineStr">
        <is>
          <t>GÄVLEBORGS LÄN</t>
        </is>
      </c>
      <c r="G205" t="inlineStr">
        <is>
          <t>HUDIKSVALL</t>
        </is>
      </c>
      <c r="I205" t="n">
        <v>1.3</v>
      </c>
      <c r="J205" t="n">
        <v>5</v>
      </c>
      <c r="K205" t="n">
        <v>0</v>
      </c>
      <c r="L205" t="n">
        <v>2</v>
      </c>
      <c r="M205" t="n">
        <v>0</v>
      </c>
      <c r="N205" t="n">
        <v>0</v>
      </c>
      <c r="O205" t="n">
        <v>0</v>
      </c>
      <c r="P205" t="n">
        <v>0</v>
      </c>
      <c r="Q205" t="n">
        <v>2</v>
      </c>
      <c r="R205" t="n">
        <v>0</v>
      </c>
      <c r="S205" t="n">
        <v>5</v>
      </c>
      <c r="T205" t="n">
        <v>5</v>
      </c>
      <c r="U205" t="n">
        <v>0</v>
      </c>
      <c r="V205" s="2" t="inlineStr">
        <is>
          <t>Ladusvala
Skrattmås
Kråka
Sångsvan
Trana</t>
        </is>
      </c>
      <c r="W205">
        <f>HYPERLINK("https://klasma.github.io/Logging_2184/artfynd/A 41151-2025 artfynd.xlsx", "A 41151-2025")</f>
        <v/>
      </c>
      <c r="X205">
        <f>HYPERLINK("https://klasma.github.io/Logging_2184/kartor/A 41151-2025 karta.png", "A 41151-2025")</f>
        <v/>
      </c>
      <c r="Y205">
        <f>HYPERLINK("https://klasma.github.io/Logging_2184/kartor_geotiff/A 41151-2025 georefererad karta.tif", "A 41151-2025")</f>
        <v/>
      </c>
      <c r="AA205">
        <f>HYPERLINK("https://klasma.github.io/Logging_2184/klagomål/A 41151-2025 FSC-klagomål.docx", "A 41151-2025")</f>
        <v/>
      </c>
      <c r="AB205">
        <f>HYPERLINK("https://klasma.github.io/Logging_2184/klagomålsmail/A 41151-2025 FSC-klagomål mail.docx", "A 41151-2025")</f>
        <v/>
      </c>
      <c r="AC205">
        <f>HYPERLINK("https://klasma.github.io/Logging_2184/tillsyn/A 41151-2025 tillsynsbegäran.docx", "A 41151-2025")</f>
        <v/>
      </c>
      <c r="AD205">
        <f>HYPERLINK("https://klasma.github.io/Logging_2184/tillsynsmail/A 41151-2025 tillsynsbegäran mail.docx", "A 41151-2025")</f>
        <v/>
      </c>
      <c r="AE205">
        <f>HYPERLINK("https://klasma.github.io/Logging_2184/fåglar/A 41151-2025 prioriterade fågelarter.docx", "A 41151-2025")</f>
        <v/>
      </c>
    </row>
    <row r="206" ht="15" customHeight="1">
      <c r="A206" t="inlineStr">
        <is>
          <t>A 14564-2025</t>
        </is>
      </c>
      <c r="B206" t="inlineStr">
        <is>
          <t>avverkningsanmälan</t>
        </is>
      </c>
      <c r="C206" t="inlineStr">
        <is>
          <t>Föryngringsavverkning</t>
        </is>
      </c>
      <c r="D206" s="1" t="n">
        <v>45741</v>
      </c>
      <c r="E206" s="1" t="n">
        <v>46326</v>
      </c>
      <c r="F206" t="inlineStr">
        <is>
          <t>GÄVLEBORGS LÄN</t>
        </is>
      </c>
      <c r="G206" t="inlineStr">
        <is>
          <t>GÄVLE</t>
        </is>
      </c>
      <c r="I206" t="n">
        <v>2</v>
      </c>
      <c r="J206" t="n">
        <v>1</v>
      </c>
      <c r="K206" t="n">
        <v>2</v>
      </c>
      <c r="L206" t="n">
        <v>1</v>
      </c>
      <c r="M206" t="n">
        <v>2</v>
      </c>
      <c r="N206" t="n">
        <v>0</v>
      </c>
      <c r="O206" t="n">
        <v>0</v>
      </c>
      <c r="P206" t="n">
        <v>0</v>
      </c>
      <c r="Q206" t="n">
        <v>3</v>
      </c>
      <c r="R206" t="n">
        <v>2</v>
      </c>
      <c r="S206" t="n">
        <v>5</v>
      </c>
      <c r="T206" t="n">
        <v>5</v>
      </c>
      <c r="U206" t="n">
        <v>5</v>
      </c>
      <c r="V206" s="2" t="inlineStr">
        <is>
          <t>Garnlav
Knärot
Kattfotslav
Guldlockmossa
Korallblylav</t>
        </is>
      </c>
      <c r="W206">
        <f>HYPERLINK("https://klasma.github.io/Logging_2180/artfynd/A 14564-2025 artfynd.xlsx", "A 14564-2025")</f>
        <v/>
      </c>
      <c r="X206">
        <f>HYPERLINK("https://klasma.github.io/Logging_2180/kartor/A 14564-2025 karta.png", "A 14564-2025")</f>
        <v/>
      </c>
      <c r="Y206">
        <f>HYPERLINK("https://klasma.github.io/Logging_2180/kartor_geotiff/A 14564-2025 georefererad karta.tif", "A 14564-2025")</f>
        <v/>
      </c>
      <c r="Z206">
        <f>HYPERLINK("https://klasma.github.io/Logging_2180/knärot/A 14564-2025 karta knärot.png", "A 14564-2025")</f>
        <v/>
      </c>
      <c r="AA206">
        <f>HYPERLINK("https://klasma.github.io/Logging_2180/klagomål/A 14564-2025 FSC-klagomål.docx", "A 14564-2025")</f>
        <v/>
      </c>
      <c r="AB206">
        <f>HYPERLINK("https://klasma.github.io/Logging_2180/klagomålsmail/A 14564-2025 FSC-klagomål mail.docx", "A 14564-2025")</f>
        <v/>
      </c>
      <c r="AC206">
        <f>HYPERLINK("https://klasma.github.io/Logging_2180/tillsyn/A 14564-2025 tillsynsbegäran.docx", "A 14564-2025")</f>
        <v/>
      </c>
      <c r="AD206">
        <f>HYPERLINK("https://klasma.github.io/Logging_2180/tillsynsmail/A 14564-2025 tillsynsbegäran mail.docx", "A 14564-2025")</f>
        <v/>
      </c>
    </row>
    <row r="207" ht="15" customHeight="1">
      <c r="A207" t="inlineStr">
        <is>
          <t>A 30156-2025</t>
        </is>
      </c>
      <c r="B207" t="inlineStr">
        <is>
          <t>avverkningsanmälan</t>
        </is>
      </c>
      <c r="C207" t="inlineStr">
        <is>
          <t>Föryngringsavverkning</t>
        </is>
      </c>
      <c r="D207" s="1" t="n">
        <v>45827</v>
      </c>
      <c r="E207" s="1" t="n">
        <v>46326</v>
      </c>
      <c r="F207" t="inlineStr">
        <is>
          <t>GÄVLEBORGS LÄN</t>
        </is>
      </c>
      <c r="G207" t="inlineStr">
        <is>
          <t>OVANÅKER</t>
        </is>
      </c>
      <c r="H207" t="inlineStr">
        <is>
          <t>Holmen skog AB</t>
        </is>
      </c>
      <c r="I207" t="n">
        <v>29.1</v>
      </c>
      <c r="J207" t="n">
        <v>2</v>
      </c>
      <c r="K207" t="n">
        <v>2</v>
      </c>
      <c r="L207" t="n">
        <v>1</v>
      </c>
      <c r="M207" t="n">
        <v>2</v>
      </c>
      <c r="N207" t="n">
        <v>0</v>
      </c>
      <c r="O207" t="n">
        <v>0</v>
      </c>
      <c r="P207" t="n">
        <v>0</v>
      </c>
      <c r="Q207" t="n">
        <v>3</v>
      </c>
      <c r="R207" t="n">
        <v>2</v>
      </c>
      <c r="S207" t="n">
        <v>5</v>
      </c>
      <c r="T207" t="n">
        <v>8</v>
      </c>
      <c r="U207" t="n">
        <v>8</v>
      </c>
      <c r="V207" s="2" t="inlineStr">
        <is>
          <t>Garnlav
Knärot
Ullticka
Spindelblomster
Vedticka</t>
        </is>
      </c>
      <c r="W207">
        <f>HYPERLINK("https://klasma.github.io/Logging_2121/artfynd/A 30156-2025 artfynd.xlsx", "A 30156-2025")</f>
        <v/>
      </c>
      <c r="X207">
        <f>HYPERLINK("https://klasma.github.io/Logging_2121/kartor/A 30156-2025 karta.png", "A 30156-2025")</f>
        <v/>
      </c>
      <c r="Y207">
        <f>HYPERLINK("https://klasma.github.io/Logging_2121/kartor_geotiff/A 30156-2025 georefererad karta.tif", "A 30156-2025")</f>
        <v/>
      </c>
      <c r="Z207">
        <f>HYPERLINK("https://klasma.github.io/Logging_2121/knärot/A 30156-2025 karta knärot.png", "A 30156-2025")</f>
        <v/>
      </c>
      <c r="AA207">
        <f>HYPERLINK("https://klasma.github.io/Logging_2121/klagomål/A 30156-2025 FSC-klagomål.docx", "A 30156-2025")</f>
        <v/>
      </c>
      <c r="AB207">
        <f>HYPERLINK("https://klasma.github.io/Logging_2121/klagomålsmail/A 30156-2025 FSC-klagomål mail.docx", "A 30156-2025")</f>
        <v/>
      </c>
      <c r="AC207">
        <f>HYPERLINK("https://klasma.github.io/Logging_2121/tillsyn/A 30156-2025 tillsynsbegäran.docx", "A 30156-2025")</f>
        <v/>
      </c>
      <c r="AD207">
        <f>HYPERLINK("https://klasma.github.io/Logging_2121/tillsynsmail/A 30156-2025 tillsynsbegäran mail.docx", "A 30156-2025")</f>
        <v/>
      </c>
    </row>
    <row r="208" ht="15" customHeight="1">
      <c r="A208" t="inlineStr">
        <is>
          <t>A 38738-2023</t>
        </is>
      </c>
      <c r="B208" t="inlineStr">
        <is>
          <t>avverkningsanmälan</t>
        </is>
      </c>
      <c r="C208" t="inlineStr">
        <is>
          <t>Föryngringsavverkning</t>
        </is>
      </c>
      <c r="D208" s="1" t="n">
        <v>45163</v>
      </c>
      <c r="E208" s="1" t="n">
        <v>46326</v>
      </c>
      <c r="F208" t="inlineStr">
        <is>
          <t>GÄVLEBORGS LÄN</t>
        </is>
      </c>
      <c r="G208" t="inlineStr">
        <is>
          <t>HOFORS</t>
        </is>
      </c>
      <c r="H208" t="inlineStr">
        <is>
          <t>Kyrkan</t>
        </is>
      </c>
      <c r="I208" t="n">
        <v>1.3</v>
      </c>
      <c r="J208" t="n">
        <v>1</v>
      </c>
      <c r="K208" t="n">
        <v>1</v>
      </c>
      <c r="L208" t="n">
        <v>3</v>
      </c>
      <c r="M208" t="n">
        <v>1</v>
      </c>
      <c r="N208" t="n">
        <v>0</v>
      </c>
      <c r="O208" t="n">
        <v>0</v>
      </c>
      <c r="P208" t="n">
        <v>0</v>
      </c>
      <c r="Q208" t="n">
        <v>4</v>
      </c>
      <c r="R208" t="n">
        <v>1</v>
      </c>
      <c r="S208" t="n">
        <v>5</v>
      </c>
      <c r="T208" t="n">
        <v>19</v>
      </c>
      <c r="U208" t="n">
        <v>19</v>
      </c>
      <c r="V208" s="2" t="inlineStr">
        <is>
          <t>Knärot
Fjällig taggsvamp s.str.
Motaggsvamp
Svartvit taggsvamp
Grönpyrola</t>
        </is>
      </c>
      <c r="W208">
        <f>HYPERLINK("https://klasma.github.io/Logging_2104/artfynd/A 38738-2023 artfynd.xlsx", "A 38738-2023")</f>
        <v/>
      </c>
      <c r="X208">
        <f>HYPERLINK("https://klasma.github.io/Logging_2104/kartor/A 38738-2023 karta.png", "A 38738-2023")</f>
        <v/>
      </c>
      <c r="Y208">
        <f>HYPERLINK("https://klasma.github.io/Logging_2104/kartor_geotiff/A 38738-2023 georefererad karta.tif", "A 38738-2023")</f>
        <v/>
      </c>
      <c r="Z208">
        <f>HYPERLINK("https://klasma.github.io/Logging_2104/knärot/A 38738-2023 karta knärot.png", "A 38738-2023")</f>
        <v/>
      </c>
      <c r="AA208">
        <f>HYPERLINK("https://klasma.github.io/Logging_2104/klagomål/A 38738-2023 FSC-klagomål.docx", "A 38738-2023")</f>
        <v/>
      </c>
      <c r="AB208">
        <f>HYPERLINK("https://klasma.github.io/Logging_2104/klagomålsmail/A 38738-2023 FSC-klagomål mail.docx", "A 38738-2023")</f>
        <v/>
      </c>
      <c r="AC208">
        <f>HYPERLINK("https://klasma.github.io/Logging_2104/tillsyn/A 38738-2023 tillsynsbegäran.docx", "A 38738-2023")</f>
        <v/>
      </c>
      <c r="AD208">
        <f>HYPERLINK("https://klasma.github.io/Logging_2104/tillsynsmail/A 38738-2023 tillsynsbegäran mail.docx", "A 38738-2023")</f>
        <v/>
      </c>
    </row>
    <row r="209" ht="15" customHeight="1">
      <c r="A209" t="inlineStr">
        <is>
          <t>A 42179-2025</t>
        </is>
      </c>
      <c r="B209" t="inlineStr">
        <is>
          <t>avverkningsanmälan</t>
        </is>
      </c>
      <c r="C209" t="inlineStr">
        <is>
          <t>Föryngringsavverkning</t>
        </is>
      </c>
      <c r="D209" s="1" t="n">
        <v>45904</v>
      </c>
      <c r="E209" s="1" t="n">
        <v>46326</v>
      </c>
      <c r="F209" t="inlineStr">
        <is>
          <t>GÄVLEBORGS LÄN</t>
        </is>
      </c>
      <c r="G209" t="inlineStr">
        <is>
          <t>LJUSDAL</t>
        </is>
      </c>
      <c r="H209" t="inlineStr">
        <is>
          <t>Allmännings- och besparingsskogar</t>
        </is>
      </c>
      <c r="I209" t="n">
        <v>3.9</v>
      </c>
      <c r="J209" t="n">
        <v>4</v>
      </c>
      <c r="K209" t="n">
        <v>0</v>
      </c>
      <c r="L209" t="n">
        <v>2</v>
      </c>
      <c r="M209" t="n">
        <v>2</v>
      </c>
      <c r="N209" t="n">
        <v>0</v>
      </c>
      <c r="O209" t="n">
        <v>0</v>
      </c>
      <c r="P209" t="n">
        <v>0</v>
      </c>
      <c r="Q209" t="n">
        <v>4</v>
      </c>
      <c r="R209" t="n">
        <v>2</v>
      </c>
      <c r="S209" t="n">
        <v>5</v>
      </c>
      <c r="T209" t="n">
        <v>12</v>
      </c>
      <c r="U209" t="n">
        <v>12</v>
      </c>
      <c r="V209" s="2" t="inlineStr">
        <is>
          <t>Garnlav
Knärot
Björktrast
Tretåig hackspett
Revlummer</t>
        </is>
      </c>
      <c r="W209">
        <f>HYPERLINK("https://klasma.github.io/Logging_2161/artfynd/A 42179-2025 artfynd.xlsx", "A 42179-2025")</f>
        <v/>
      </c>
      <c r="X209">
        <f>HYPERLINK("https://klasma.github.io/Logging_2161/kartor/A 42179-2025 karta.png", "A 42179-2025")</f>
        <v/>
      </c>
      <c r="Y209">
        <f>HYPERLINK("https://klasma.github.io/Logging_2161/kartor_geotiff/A 42179-2025 georefererad karta.tif", "A 42179-2025")</f>
        <v/>
      </c>
      <c r="Z209">
        <f>HYPERLINK("https://klasma.github.io/Logging_2161/knärot/A 42179-2025 karta knärot.png", "A 42179-2025")</f>
        <v/>
      </c>
      <c r="AA209">
        <f>HYPERLINK("https://klasma.github.io/Logging_2161/klagomål/A 42179-2025 FSC-klagomål.docx", "A 42179-2025")</f>
        <v/>
      </c>
      <c r="AB209">
        <f>HYPERLINK("https://klasma.github.io/Logging_2161/klagomålsmail/A 42179-2025 FSC-klagomål mail.docx", "A 42179-2025")</f>
        <v/>
      </c>
      <c r="AC209">
        <f>HYPERLINK("https://klasma.github.io/Logging_2161/tillsyn/A 42179-2025 tillsynsbegäran.docx", "A 42179-2025")</f>
        <v/>
      </c>
      <c r="AD209">
        <f>HYPERLINK("https://klasma.github.io/Logging_2161/tillsynsmail/A 42179-2025 tillsynsbegäran mail.docx", "A 42179-2025")</f>
        <v/>
      </c>
      <c r="AE209">
        <f>HYPERLINK("https://klasma.github.io/Logging_2161/fåglar/A 42179-2025 prioriterade fågelarter.docx", "A 42179-2025")</f>
        <v/>
      </c>
    </row>
    <row r="210" ht="15" customHeight="1">
      <c r="A210" t="inlineStr">
        <is>
          <t>A 44207-2025</t>
        </is>
      </c>
      <c r="B210" t="inlineStr">
        <is>
          <t>avverkningsanmälan</t>
        </is>
      </c>
      <c r="C210" t="inlineStr">
        <is>
          <t>Föryngringsavverkning</t>
        </is>
      </c>
      <c r="D210" s="1" t="n">
        <v>45915</v>
      </c>
      <c r="E210" s="1" t="n">
        <v>46326</v>
      </c>
      <c r="F210" t="inlineStr">
        <is>
          <t>GÄVLEBORGS LÄN</t>
        </is>
      </c>
      <c r="G210" t="inlineStr">
        <is>
          <t>LJUSDAL</t>
        </is>
      </c>
      <c r="H210" t="inlineStr">
        <is>
          <t>Sveaskog</t>
        </is>
      </c>
      <c r="I210" t="n">
        <v>0.9</v>
      </c>
      <c r="J210" t="n">
        <v>3</v>
      </c>
      <c r="K210" t="n">
        <v>1</v>
      </c>
      <c r="L210" t="n">
        <v>2</v>
      </c>
      <c r="M210" t="n">
        <v>2</v>
      </c>
      <c r="N210" t="n">
        <v>0</v>
      </c>
      <c r="O210" t="n">
        <v>0</v>
      </c>
      <c r="P210" t="n">
        <v>0</v>
      </c>
      <c r="Q210" t="n">
        <v>4</v>
      </c>
      <c r="R210" t="n">
        <v>2</v>
      </c>
      <c r="S210" t="n">
        <v>5</v>
      </c>
      <c r="T210" t="n">
        <v>6</v>
      </c>
      <c r="U210" t="n">
        <v>5</v>
      </c>
      <c r="V210" s="2" t="inlineStr">
        <is>
          <t>Doftticka
Knärot
Lunglav
Violettgrå tagellav
Plattlummer</t>
        </is>
      </c>
      <c r="W210">
        <f>HYPERLINK("https://klasma.github.io/Logging_2161/artfynd/A 44207-2025 artfynd.xlsx", "A 44207-2025")</f>
        <v/>
      </c>
      <c r="X210">
        <f>HYPERLINK("https://klasma.github.io/Logging_2161/kartor/A 44207-2025 karta.png", "A 44207-2025")</f>
        <v/>
      </c>
      <c r="Y210">
        <f>HYPERLINK("https://klasma.github.io/Logging_2161/kartor_geotiff/A 44207-2025 georefererad karta.tif", "A 44207-2025")</f>
        <v/>
      </c>
      <c r="Z210">
        <f>HYPERLINK("https://klasma.github.io/Logging_2161/knärot/A 44207-2025 karta knärot.png", "A 44207-2025")</f>
        <v/>
      </c>
      <c r="AA210">
        <f>HYPERLINK("https://klasma.github.io/Logging_2161/klagomål/A 44207-2025 FSC-klagomål.docx", "A 44207-2025")</f>
        <v/>
      </c>
      <c r="AB210">
        <f>HYPERLINK("https://klasma.github.io/Logging_2161/klagomålsmail/A 44207-2025 FSC-klagomål mail.docx", "A 44207-2025")</f>
        <v/>
      </c>
      <c r="AC210">
        <f>HYPERLINK("https://klasma.github.io/Logging_2161/tillsyn/A 44207-2025 tillsynsbegäran.docx", "A 44207-2025")</f>
        <v/>
      </c>
      <c r="AD210">
        <f>HYPERLINK("https://klasma.github.io/Logging_2161/tillsynsmail/A 44207-2025 tillsynsbegäran mail.docx", "A 44207-2025")</f>
        <v/>
      </c>
    </row>
    <row r="211" ht="15" customHeight="1">
      <c r="A211" t="inlineStr">
        <is>
          <t>A 43647-2025</t>
        </is>
      </c>
      <c r="B211" t="inlineStr">
        <is>
          <t>avverkningsanmälan</t>
        </is>
      </c>
      <c r="C211" t="inlineStr">
        <is>
          <t>Föryngringsavverkning</t>
        </is>
      </c>
      <c r="D211" s="1" t="n">
        <v>45912</v>
      </c>
      <c r="E211" s="1" t="n">
        <v>46326</v>
      </c>
      <c r="F211" t="inlineStr">
        <is>
          <t>GÄVLEBORGS LÄN</t>
        </is>
      </c>
      <c r="G211" t="inlineStr">
        <is>
          <t>HUDIKSVALL</t>
        </is>
      </c>
      <c r="I211" t="n">
        <v>3</v>
      </c>
      <c r="J211" t="n">
        <v>0</v>
      </c>
      <c r="K211" t="n">
        <v>1</v>
      </c>
      <c r="L211" t="n">
        <v>4</v>
      </c>
      <c r="M211" t="n">
        <v>0</v>
      </c>
      <c r="N211" t="n">
        <v>0</v>
      </c>
      <c r="O211" t="n">
        <v>0</v>
      </c>
      <c r="P211" t="n">
        <v>0</v>
      </c>
      <c r="Q211" t="n">
        <v>4</v>
      </c>
      <c r="R211" t="n">
        <v>0</v>
      </c>
      <c r="S211" t="n">
        <v>5</v>
      </c>
      <c r="T211" t="n">
        <v>9</v>
      </c>
      <c r="U211" t="n">
        <v>0</v>
      </c>
      <c r="V211" s="2" t="inlineStr">
        <is>
          <t>Kattfotslav
Rosenticka
Tallticka
Ullticka
Vedticka</t>
        </is>
      </c>
      <c r="W211">
        <f>HYPERLINK("https://klasma.github.io/Logging_2184/artfynd/A 43647-2025 artfynd.xlsx", "A 43647-2025")</f>
        <v/>
      </c>
      <c r="X211">
        <f>HYPERLINK("https://klasma.github.io/Logging_2184/kartor/A 43647-2025 karta.png", "A 43647-2025")</f>
        <v/>
      </c>
      <c r="Y211">
        <f>HYPERLINK("https://klasma.github.io/Logging_2184/kartor_geotiff/A 43647-2025 georefererad karta.tif", "A 43647-2025")</f>
        <v/>
      </c>
      <c r="AA211">
        <f>HYPERLINK("https://klasma.github.io/Logging_2184/klagomål/A 43647-2025 FSC-klagomål.docx", "A 43647-2025")</f>
        <v/>
      </c>
      <c r="AB211">
        <f>HYPERLINK("https://klasma.github.io/Logging_2184/klagomålsmail/A 43647-2025 FSC-klagomål mail.docx", "A 43647-2025")</f>
        <v/>
      </c>
      <c r="AC211">
        <f>HYPERLINK("https://klasma.github.io/Logging_2184/tillsyn/A 43647-2025 tillsynsbegäran.docx", "A 43647-2025")</f>
        <v/>
      </c>
      <c r="AD211">
        <f>HYPERLINK("https://klasma.github.io/Logging_2184/tillsynsmail/A 43647-2025 tillsynsbegäran mail.docx", "A 43647-2025")</f>
        <v/>
      </c>
    </row>
    <row r="212" ht="15" customHeight="1">
      <c r="A212" t="inlineStr">
        <is>
          <t>A 31312-2025</t>
        </is>
      </c>
      <c r="B212" t="inlineStr">
        <is>
          <t>avverkningsanmälan</t>
        </is>
      </c>
      <c r="C212" t="inlineStr">
        <is>
          <t>Föryngringsavverkning</t>
        </is>
      </c>
      <c r="D212" s="1" t="n">
        <v>45833</v>
      </c>
      <c r="E212" s="1" t="n">
        <v>46326</v>
      </c>
      <c r="F212" t="inlineStr">
        <is>
          <t>GÄVLEBORGS LÄN</t>
        </is>
      </c>
      <c r="G212" t="inlineStr">
        <is>
          <t>BOLLNÄS</t>
        </is>
      </c>
      <c r="I212" t="n">
        <v>7.7</v>
      </c>
      <c r="J212" t="n">
        <v>5</v>
      </c>
      <c r="K212" t="n">
        <v>0</v>
      </c>
      <c r="L212" t="n">
        <v>3</v>
      </c>
      <c r="M212" t="n">
        <v>0</v>
      </c>
      <c r="N212" t="n">
        <v>0</v>
      </c>
      <c r="O212" t="n">
        <v>0</v>
      </c>
      <c r="P212" t="n">
        <v>0</v>
      </c>
      <c r="Q212" t="n">
        <v>3</v>
      </c>
      <c r="R212" t="n">
        <v>0</v>
      </c>
      <c r="S212" t="n">
        <v>5</v>
      </c>
      <c r="T212" t="n">
        <v>5</v>
      </c>
      <c r="U212" t="n">
        <v>0</v>
      </c>
      <c r="V212" s="2" t="inlineStr">
        <is>
          <t>Brunlångöra
Fransfladdermus
Nordfladdermus
Mustaschfladdermus
Vattenfladdermus</t>
        </is>
      </c>
      <c r="W212">
        <f>HYPERLINK("https://klasma.github.io/Logging_2183/artfynd/A 31312-2025 artfynd.xlsx", "A 31312-2025")</f>
        <v/>
      </c>
      <c r="X212">
        <f>HYPERLINK("https://klasma.github.io/Logging_2183/kartor/A 31312-2025 karta.png", "A 31312-2025")</f>
        <v/>
      </c>
      <c r="Y212">
        <f>HYPERLINK("https://klasma.github.io/Logging_2183/kartor_geotiff/A 31312-2025 georefererad karta.tif", "A 31312-2025")</f>
        <v/>
      </c>
      <c r="AA212">
        <f>HYPERLINK("https://klasma.github.io/Logging_2183/klagomål/A 31312-2025 FSC-klagomål.docx", "A 31312-2025")</f>
        <v/>
      </c>
      <c r="AB212">
        <f>HYPERLINK("https://klasma.github.io/Logging_2183/klagomålsmail/A 31312-2025 FSC-klagomål mail.docx", "A 31312-2025")</f>
        <v/>
      </c>
      <c r="AC212">
        <f>HYPERLINK("https://klasma.github.io/Logging_2183/tillsyn/A 31312-2025 tillsynsbegäran.docx", "A 31312-2025")</f>
        <v/>
      </c>
      <c r="AD212">
        <f>HYPERLINK("https://klasma.github.io/Logging_2183/tillsynsmail/A 31312-2025 tillsynsbegäran mail.docx", "A 31312-2025")</f>
        <v/>
      </c>
    </row>
    <row r="213" ht="15" customHeight="1">
      <c r="A213" t="inlineStr">
        <is>
          <t>A 37207-2025</t>
        </is>
      </c>
      <c r="B213" t="inlineStr">
        <is>
          <t>avverkningsanmälan</t>
        </is>
      </c>
      <c r="C213" t="inlineStr">
        <is>
          <t>Föryngringsavverkning</t>
        </is>
      </c>
      <c r="D213" s="1" t="n">
        <v>45875</v>
      </c>
      <c r="E213" s="1" t="n">
        <v>46326</v>
      </c>
      <c r="F213" t="inlineStr">
        <is>
          <t>GÄVLEBORGS LÄN</t>
        </is>
      </c>
      <c r="G213" t="inlineStr">
        <is>
          <t>HUDIKSVALL</t>
        </is>
      </c>
      <c r="I213" t="n">
        <v>5</v>
      </c>
      <c r="J213" t="n">
        <v>1</v>
      </c>
      <c r="K213" t="n">
        <v>2</v>
      </c>
      <c r="L213" t="n">
        <v>3</v>
      </c>
      <c r="M213" t="n">
        <v>0</v>
      </c>
      <c r="N213" t="n">
        <v>0</v>
      </c>
      <c r="O213" t="n">
        <v>0</v>
      </c>
      <c r="P213" t="n">
        <v>0</v>
      </c>
      <c r="Q213" t="n">
        <v>3</v>
      </c>
      <c r="R213" t="n">
        <v>0</v>
      </c>
      <c r="S213" t="n">
        <v>5</v>
      </c>
      <c r="T213" t="n">
        <v>5</v>
      </c>
      <c r="U213" t="n">
        <v>5</v>
      </c>
      <c r="V213" s="2" t="inlineStr">
        <is>
          <t>Rynkskinn
Tallticka
Talltita
Bronshjon
Jättesvampmal</t>
        </is>
      </c>
      <c r="W213">
        <f>HYPERLINK("https://klasma.github.io/Logging_2184/artfynd/A 37207-2025 artfynd.xlsx", "A 37207-2025")</f>
        <v/>
      </c>
      <c r="X213">
        <f>HYPERLINK("https://klasma.github.io/Logging_2184/kartor/A 37207-2025 karta.png", "A 37207-2025")</f>
        <v/>
      </c>
      <c r="Y213">
        <f>HYPERLINK("https://klasma.github.io/Logging_2184/kartor_geotiff/A 37207-2025 georefererad karta.tif", "A 37207-2025")</f>
        <v/>
      </c>
      <c r="AA213">
        <f>HYPERLINK("https://klasma.github.io/Logging_2184/klagomål/A 37207-2025 FSC-klagomål.docx", "A 37207-2025")</f>
        <v/>
      </c>
      <c r="AB213">
        <f>HYPERLINK("https://klasma.github.io/Logging_2184/klagomålsmail/A 37207-2025 FSC-klagomål mail.docx", "A 37207-2025")</f>
        <v/>
      </c>
      <c r="AC213">
        <f>HYPERLINK("https://klasma.github.io/Logging_2184/tillsyn/A 37207-2025 tillsynsbegäran.docx", "A 37207-2025")</f>
        <v/>
      </c>
      <c r="AD213">
        <f>HYPERLINK("https://klasma.github.io/Logging_2184/tillsynsmail/A 37207-2025 tillsynsbegäran mail.docx", "A 37207-2025")</f>
        <v/>
      </c>
      <c r="AE213">
        <f>HYPERLINK("https://klasma.github.io/Logging_2184/fåglar/A 37207-2025 prioriterade fågelarter.docx", "A 37207-2025")</f>
        <v/>
      </c>
    </row>
    <row r="214" ht="15" customHeight="1">
      <c r="A214" t="inlineStr">
        <is>
          <t>A 37833-2025</t>
        </is>
      </c>
      <c r="B214" t="inlineStr">
        <is>
          <t>avverkningsanmälan</t>
        </is>
      </c>
      <c r="C214" t="inlineStr">
        <is>
          <t>Föryngringsavverkning</t>
        </is>
      </c>
      <c r="D214" s="1" t="n">
        <v>45881</v>
      </c>
      <c r="E214" s="1" t="n">
        <v>46326</v>
      </c>
      <c r="F214" t="inlineStr">
        <is>
          <t>GÄVLEBORGS LÄN</t>
        </is>
      </c>
      <c r="G214" t="inlineStr">
        <is>
          <t>LJUSDAL</t>
        </is>
      </c>
      <c r="H214" t="inlineStr">
        <is>
          <t>Bergvik skog väst AB</t>
        </is>
      </c>
      <c r="I214" t="n">
        <v>8.5</v>
      </c>
      <c r="J214" t="n">
        <v>2</v>
      </c>
      <c r="K214" t="n">
        <v>1</v>
      </c>
      <c r="L214" t="n">
        <v>3</v>
      </c>
      <c r="M214" t="n">
        <v>1</v>
      </c>
      <c r="N214" t="n">
        <v>0</v>
      </c>
      <c r="O214" t="n">
        <v>0</v>
      </c>
      <c r="P214" t="n">
        <v>0</v>
      </c>
      <c r="Q214" t="n">
        <v>4</v>
      </c>
      <c r="R214" t="n">
        <v>1</v>
      </c>
      <c r="S214" t="n">
        <v>5</v>
      </c>
      <c r="T214" t="n">
        <v>14</v>
      </c>
      <c r="U214" t="n">
        <v>14</v>
      </c>
      <c r="V214" s="2" t="inlineStr">
        <is>
          <t>Knärot
Lunglav
Skrovellav
Talltita
Luddlav</t>
        </is>
      </c>
      <c r="W214">
        <f>HYPERLINK("https://klasma.github.io/Logging_2161/artfynd/A 37833-2025 artfynd.xlsx", "A 37833-2025")</f>
        <v/>
      </c>
      <c r="X214">
        <f>HYPERLINK("https://klasma.github.io/Logging_2161/kartor/A 37833-2025 karta.png", "A 37833-2025")</f>
        <v/>
      </c>
      <c r="Y214">
        <f>HYPERLINK("https://klasma.github.io/Logging_2161/kartor_geotiff/A 37833-2025 georefererad karta.tif", "A 37833-2025")</f>
        <v/>
      </c>
      <c r="Z214">
        <f>HYPERLINK("https://klasma.github.io/Logging_2161/knärot/A 37833-2025 karta knärot.png", "A 37833-2025")</f>
        <v/>
      </c>
      <c r="AA214">
        <f>HYPERLINK("https://klasma.github.io/Logging_2161/klagomål/A 37833-2025 FSC-klagomål.docx", "A 37833-2025")</f>
        <v/>
      </c>
      <c r="AB214">
        <f>HYPERLINK("https://klasma.github.io/Logging_2161/klagomålsmail/A 37833-2025 FSC-klagomål mail.docx", "A 37833-2025")</f>
        <v/>
      </c>
      <c r="AC214">
        <f>HYPERLINK("https://klasma.github.io/Logging_2161/tillsyn/A 37833-2025 tillsynsbegäran.docx", "A 37833-2025")</f>
        <v/>
      </c>
      <c r="AD214">
        <f>HYPERLINK("https://klasma.github.io/Logging_2161/tillsynsmail/A 37833-2025 tillsynsbegäran mail.docx", "A 37833-2025")</f>
        <v/>
      </c>
      <c r="AE214">
        <f>HYPERLINK("https://klasma.github.io/Logging_2161/fåglar/A 37833-2025 prioriterade fågelarter.docx", "A 37833-2025")</f>
        <v/>
      </c>
    </row>
    <row r="215" ht="15" customHeight="1">
      <c r="A215" t="inlineStr">
        <is>
          <t>A 50662-2025</t>
        </is>
      </c>
      <c r="B215" t="inlineStr">
        <is>
          <t>avverkningsanmälan</t>
        </is>
      </c>
      <c r="C215" t="inlineStr">
        <is>
          <t>Föryngringsavverkning</t>
        </is>
      </c>
      <c r="D215" s="1" t="n">
        <v>45945</v>
      </c>
      <c r="E215" s="1" t="n">
        <v>46326</v>
      </c>
      <c r="F215" t="inlineStr">
        <is>
          <t>GÄVLEBORGS LÄN</t>
        </is>
      </c>
      <c r="G215" t="inlineStr">
        <is>
          <t>LJUSDAL</t>
        </is>
      </c>
      <c r="H215" t="inlineStr">
        <is>
          <t>Sveaskog</t>
        </is>
      </c>
      <c r="I215" t="n">
        <v>16.9</v>
      </c>
      <c r="J215" t="n">
        <v>1</v>
      </c>
      <c r="K215" t="n">
        <v>1</v>
      </c>
      <c r="L215" t="n">
        <v>3</v>
      </c>
      <c r="M215" t="n">
        <v>0</v>
      </c>
      <c r="N215" t="n">
        <v>0</v>
      </c>
      <c r="O215" t="n">
        <v>0</v>
      </c>
      <c r="P215" t="n">
        <v>0</v>
      </c>
      <c r="Q215" t="n">
        <v>3</v>
      </c>
      <c r="R215" t="n">
        <v>0</v>
      </c>
      <c r="S215" t="n">
        <v>5</v>
      </c>
      <c r="T215" t="n">
        <v>11</v>
      </c>
      <c r="U215" t="n">
        <v>10</v>
      </c>
      <c r="V215" s="2" t="inlineStr">
        <is>
          <t>Dropptaggsvamp
Lunglav
Skrovellav
Luddlav
Tjäder</t>
        </is>
      </c>
      <c r="W215">
        <f>HYPERLINK("https://klasma.github.io/Logging_2161/artfynd/A 50662-2025 artfynd.xlsx", "A 50662-2025")</f>
        <v/>
      </c>
      <c r="X215">
        <f>HYPERLINK("https://klasma.github.io/Logging_2161/kartor/A 50662-2025 karta.png", "A 50662-2025")</f>
        <v/>
      </c>
      <c r="Y215">
        <f>HYPERLINK("https://klasma.github.io/Logging_2161/kartor_geotiff/A 50662-2025 georefererad karta.tif", "A 50662-2025")</f>
        <v/>
      </c>
      <c r="AA215">
        <f>HYPERLINK("https://klasma.github.io/Logging_2161/klagomål/A 50662-2025 FSC-klagomål.docx", "A 50662-2025")</f>
        <v/>
      </c>
      <c r="AB215">
        <f>HYPERLINK("https://klasma.github.io/Logging_2161/klagomålsmail/A 50662-2025 FSC-klagomål mail.docx", "A 50662-2025")</f>
        <v/>
      </c>
      <c r="AC215">
        <f>HYPERLINK("https://klasma.github.io/Logging_2161/tillsyn/A 50662-2025 tillsynsbegäran.docx", "A 50662-2025")</f>
        <v/>
      </c>
      <c r="AD215">
        <f>HYPERLINK("https://klasma.github.io/Logging_2161/tillsynsmail/A 50662-2025 tillsynsbegäran mail.docx", "A 50662-2025")</f>
        <v/>
      </c>
      <c r="AE215">
        <f>HYPERLINK("https://klasma.github.io/Logging_2161/fåglar/A 50662-2025 prioriterade fågelarter.docx", "A 50662-2025")</f>
        <v/>
      </c>
    </row>
    <row r="216" ht="15" customHeight="1">
      <c r="A216" t="inlineStr">
        <is>
          <t>A 37835-2025</t>
        </is>
      </c>
      <c r="B216" t="inlineStr">
        <is>
          <t>avverkningsanmälan</t>
        </is>
      </c>
      <c r="C216" t="inlineStr">
        <is>
          <t>Föryngringsavverkning</t>
        </is>
      </c>
      <c r="D216" s="1" t="n">
        <v>45881</v>
      </c>
      <c r="E216" s="1" t="n">
        <v>46326</v>
      </c>
      <c r="F216" t="inlineStr">
        <is>
          <t>GÄVLEBORGS LÄN</t>
        </is>
      </c>
      <c r="G216" t="inlineStr">
        <is>
          <t>LJUSDAL</t>
        </is>
      </c>
      <c r="H216" t="inlineStr">
        <is>
          <t>Bergvik skog väst AB</t>
        </is>
      </c>
      <c r="I216" t="n">
        <v>2.3</v>
      </c>
      <c r="J216" t="n">
        <v>2</v>
      </c>
      <c r="K216" t="n">
        <v>0</v>
      </c>
      <c r="L216" t="n">
        <v>3</v>
      </c>
      <c r="M216" t="n">
        <v>1</v>
      </c>
      <c r="N216" t="n">
        <v>0</v>
      </c>
      <c r="O216" t="n">
        <v>0</v>
      </c>
      <c r="P216" t="n">
        <v>0</v>
      </c>
      <c r="Q216" t="n">
        <v>4</v>
      </c>
      <c r="R216" t="n">
        <v>1</v>
      </c>
      <c r="S216" t="n">
        <v>5</v>
      </c>
      <c r="T216" t="n">
        <v>5</v>
      </c>
      <c r="U216" t="n">
        <v>5</v>
      </c>
      <c r="V216" s="2" t="inlineStr">
        <is>
          <t>Garnlav
Lunglav
Talltita
Vedflamlav
Järpe</t>
        </is>
      </c>
      <c r="W216">
        <f>HYPERLINK("https://klasma.github.io/Logging_2161/artfynd/A 37835-2025 artfynd.xlsx", "A 37835-2025")</f>
        <v/>
      </c>
      <c r="X216">
        <f>HYPERLINK("https://klasma.github.io/Logging_2161/kartor/A 37835-2025 karta.png", "A 37835-2025")</f>
        <v/>
      </c>
      <c r="Y216">
        <f>HYPERLINK("https://klasma.github.io/Logging_2161/kartor_geotiff/A 37835-2025 georefererad karta.tif", "A 37835-2025")</f>
        <v/>
      </c>
      <c r="AA216">
        <f>HYPERLINK("https://klasma.github.io/Logging_2161/klagomål/A 37835-2025 FSC-klagomål.docx", "A 37835-2025")</f>
        <v/>
      </c>
      <c r="AB216">
        <f>HYPERLINK("https://klasma.github.io/Logging_2161/klagomålsmail/A 37835-2025 FSC-klagomål mail.docx", "A 37835-2025")</f>
        <v/>
      </c>
      <c r="AC216">
        <f>HYPERLINK("https://klasma.github.io/Logging_2161/tillsyn/A 37835-2025 tillsynsbegäran.docx", "A 37835-2025")</f>
        <v/>
      </c>
      <c r="AD216">
        <f>HYPERLINK("https://klasma.github.io/Logging_2161/tillsynsmail/A 37835-2025 tillsynsbegäran mail.docx", "A 37835-2025")</f>
        <v/>
      </c>
      <c r="AE216">
        <f>HYPERLINK("https://klasma.github.io/Logging_2161/fåglar/A 37835-2025 prioriterade fågelarter.docx", "A 37835-2025")</f>
        <v/>
      </c>
    </row>
    <row r="217" ht="15" customHeight="1">
      <c r="A217" t="inlineStr">
        <is>
          <t>A 26606-2025</t>
        </is>
      </c>
      <c r="B217" t="inlineStr">
        <is>
          <t>avverkningsanmälan</t>
        </is>
      </c>
      <c r="C217" t="inlineStr">
        <is>
          <t>Avverkning för annat ändamål</t>
        </is>
      </c>
      <c r="D217" s="1" t="n">
        <v>45809</v>
      </c>
      <c r="E217" s="1" t="n">
        <v>46326</v>
      </c>
      <c r="F217" t="inlineStr">
        <is>
          <t>GÄVLEBORGS LÄN</t>
        </is>
      </c>
      <c r="G217" t="inlineStr">
        <is>
          <t>LJUSDAL</t>
        </is>
      </c>
      <c r="I217" t="n">
        <v>11.1</v>
      </c>
      <c r="J217" t="n">
        <v>0</v>
      </c>
      <c r="K217" t="n">
        <v>0</v>
      </c>
      <c r="L217" t="n">
        <v>4</v>
      </c>
      <c r="M217" t="n">
        <v>1</v>
      </c>
      <c r="N217" t="n">
        <v>0</v>
      </c>
      <c r="O217" t="n">
        <v>0</v>
      </c>
      <c r="P217" t="n">
        <v>0</v>
      </c>
      <c r="Q217" t="n">
        <v>5</v>
      </c>
      <c r="R217" t="n">
        <v>1</v>
      </c>
      <c r="S217" t="n">
        <v>5</v>
      </c>
      <c r="T217" t="n">
        <v>10</v>
      </c>
      <c r="U217" t="n">
        <v>0</v>
      </c>
      <c r="V217" s="2" t="inlineStr">
        <is>
          <t>Garnlav
Dropptaggsvamp
Dvärgbägarlav
Talltaggsvamp
Vedskivlav</t>
        </is>
      </c>
      <c r="W217">
        <f>HYPERLINK("https://klasma.github.io/Logging_2161/artfynd/A 26606-2025 artfynd.xlsx", "A 26606-2025")</f>
        <v/>
      </c>
      <c r="X217">
        <f>HYPERLINK("https://klasma.github.io/Logging_2161/kartor/A 26606-2025 karta.png", "A 26606-2025")</f>
        <v/>
      </c>
      <c r="Y217">
        <f>HYPERLINK("https://klasma.github.io/Logging_2161/kartor_geotiff/A 26606-2025 georefererad karta.tif", "A 26606-2025")</f>
        <v/>
      </c>
      <c r="AA217">
        <f>HYPERLINK("https://klasma.github.io/Logging_2161/klagomål/A 26606-2025 FSC-klagomål.docx", "A 26606-2025")</f>
        <v/>
      </c>
      <c r="AB217">
        <f>HYPERLINK("https://klasma.github.io/Logging_2161/klagomålsmail/A 26606-2025 FSC-klagomål mail.docx", "A 26606-2025")</f>
        <v/>
      </c>
      <c r="AC217">
        <f>HYPERLINK("https://klasma.github.io/Logging_2161/tillsyn/A 26606-2025 tillsynsbegäran.docx", "A 26606-2025")</f>
        <v/>
      </c>
      <c r="AD217">
        <f>HYPERLINK("https://klasma.github.io/Logging_2161/tillsynsmail/A 26606-2025 tillsynsbegäran mail.docx", "A 26606-2025")</f>
        <v/>
      </c>
    </row>
    <row r="218" ht="15" customHeight="1">
      <c r="A218" t="inlineStr">
        <is>
          <t>A 18101-2024</t>
        </is>
      </c>
      <c r="B218" t="inlineStr">
        <is>
          <t>avverkningsanmälan</t>
        </is>
      </c>
      <c r="C218" t="inlineStr">
        <is>
          <t>Föryngringsavverkning</t>
        </is>
      </c>
      <c r="D218" s="1" t="n">
        <v>45420</v>
      </c>
      <c r="E218" s="1" t="n">
        <v>46326</v>
      </c>
      <c r="F218" t="inlineStr">
        <is>
          <t>GÄVLEBORGS LÄN</t>
        </is>
      </c>
      <c r="G218" t="inlineStr">
        <is>
          <t>LJUSDAL</t>
        </is>
      </c>
      <c r="H218" t="inlineStr">
        <is>
          <t>Sveaskog</t>
        </is>
      </c>
      <c r="I218" t="n">
        <v>2.8</v>
      </c>
      <c r="J218" t="n">
        <v>1</v>
      </c>
      <c r="K218" t="n">
        <v>0</v>
      </c>
      <c r="L218" t="n">
        <v>5</v>
      </c>
      <c r="M218" t="n">
        <v>0</v>
      </c>
      <c r="N218" t="n">
        <v>0</v>
      </c>
      <c r="O218" t="n">
        <v>0</v>
      </c>
      <c r="P218" t="n">
        <v>0</v>
      </c>
      <c r="Q218" t="n">
        <v>5</v>
      </c>
      <c r="R218" t="n">
        <v>0</v>
      </c>
      <c r="S218" t="n">
        <v>5</v>
      </c>
      <c r="T218" t="n">
        <v>16</v>
      </c>
      <c r="U218" t="n">
        <v>16</v>
      </c>
      <c r="V218" s="2" t="inlineStr">
        <is>
          <t>Kolflarnlav
Mörk kolflarnlav
Varglav
Vedflamlav
Vedskivlav</t>
        </is>
      </c>
      <c r="W218">
        <f>HYPERLINK("https://klasma.github.io/Logging_2161/artfynd/A 18101-2024 artfynd.xlsx", "A 18101-2024")</f>
        <v/>
      </c>
      <c r="X218">
        <f>HYPERLINK("https://klasma.github.io/Logging_2161/kartor/A 18101-2024 karta.png", "A 18101-2024")</f>
        <v/>
      </c>
      <c r="Y218">
        <f>HYPERLINK("https://klasma.github.io/Logging_2161/kartor_geotiff/A 18101-2024 georefererad karta.tif", "A 18101-2024")</f>
        <v/>
      </c>
      <c r="AA218">
        <f>HYPERLINK("https://klasma.github.io/Logging_2161/klagomål/A 18101-2024 FSC-klagomål.docx", "A 18101-2024")</f>
        <v/>
      </c>
      <c r="AB218">
        <f>HYPERLINK("https://klasma.github.io/Logging_2161/klagomålsmail/A 18101-2024 FSC-klagomål mail.docx", "A 18101-2024")</f>
        <v/>
      </c>
      <c r="AC218">
        <f>HYPERLINK("https://klasma.github.io/Logging_2161/tillsyn/A 18101-2024 tillsynsbegäran.docx", "A 18101-2024")</f>
        <v/>
      </c>
      <c r="AD218">
        <f>HYPERLINK("https://klasma.github.io/Logging_2161/tillsynsmail/A 18101-2024 tillsynsbegäran mail.docx", "A 18101-2024")</f>
        <v/>
      </c>
    </row>
    <row r="219" ht="15" customHeight="1">
      <c r="A219" t="inlineStr">
        <is>
          <t>A 38485-2025</t>
        </is>
      </c>
      <c r="B219" t="inlineStr">
        <is>
          <t>avverkningsanmälan</t>
        </is>
      </c>
      <c r="C219" t="inlineStr">
        <is>
          <t>Föryngringsavverkning</t>
        </is>
      </c>
      <c r="D219" s="1" t="n">
        <v>45884</v>
      </c>
      <c r="E219" s="1" t="n">
        <v>46326</v>
      </c>
      <c r="F219" t="inlineStr">
        <is>
          <t>GÄVLEBORGS LÄN</t>
        </is>
      </c>
      <c r="G219" t="inlineStr">
        <is>
          <t>LJUSDAL</t>
        </is>
      </c>
      <c r="H219" t="inlineStr">
        <is>
          <t>Bergvik skog väst AB</t>
        </is>
      </c>
      <c r="I219" t="n">
        <v>9.300000000000001</v>
      </c>
      <c r="J219" t="n">
        <v>0</v>
      </c>
      <c r="K219" t="n">
        <v>1</v>
      </c>
      <c r="L219" t="n">
        <v>3</v>
      </c>
      <c r="M219" t="n">
        <v>1</v>
      </c>
      <c r="N219" t="n">
        <v>0</v>
      </c>
      <c r="O219" t="n">
        <v>0</v>
      </c>
      <c r="P219" t="n">
        <v>0</v>
      </c>
      <c r="Q219" t="n">
        <v>4</v>
      </c>
      <c r="R219" t="n">
        <v>1</v>
      </c>
      <c r="S219" t="n">
        <v>5</v>
      </c>
      <c r="T219" t="n">
        <v>5</v>
      </c>
      <c r="U219" t="n">
        <v>0</v>
      </c>
      <c r="V219" s="2" t="inlineStr">
        <is>
          <t>Garnlav
Kortskaftad ärgspik
Lunglav
Vitgrynig nållav
Skinnlav</t>
        </is>
      </c>
      <c r="W219">
        <f>HYPERLINK("https://klasma.github.io/Logging_2161/artfynd/A 38485-2025 artfynd.xlsx", "A 38485-2025")</f>
        <v/>
      </c>
      <c r="X219">
        <f>HYPERLINK("https://klasma.github.io/Logging_2161/kartor/A 38485-2025 karta.png", "A 38485-2025")</f>
        <v/>
      </c>
      <c r="Y219">
        <f>HYPERLINK("https://klasma.github.io/Logging_2161/kartor_geotiff/A 38485-2025 georefererad karta.tif", "A 38485-2025")</f>
        <v/>
      </c>
      <c r="AA219">
        <f>HYPERLINK("https://klasma.github.io/Logging_2161/klagomål/A 38485-2025 FSC-klagomål.docx", "A 38485-2025")</f>
        <v/>
      </c>
      <c r="AB219">
        <f>HYPERLINK("https://klasma.github.io/Logging_2161/klagomålsmail/A 38485-2025 FSC-klagomål mail.docx", "A 38485-2025")</f>
        <v/>
      </c>
      <c r="AC219">
        <f>HYPERLINK("https://klasma.github.io/Logging_2161/tillsyn/A 38485-2025 tillsynsbegäran.docx", "A 38485-2025")</f>
        <v/>
      </c>
      <c r="AD219">
        <f>HYPERLINK("https://klasma.github.io/Logging_2161/tillsynsmail/A 38485-2025 tillsynsbegäran mail.docx", "A 38485-2025")</f>
        <v/>
      </c>
    </row>
    <row r="220" ht="15" customHeight="1">
      <c r="A220" t="inlineStr">
        <is>
          <t>A 31054-2024</t>
        </is>
      </c>
      <c r="B220" t="inlineStr">
        <is>
          <t>avverkningsanmälan</t>
        </is>
      </c>
      <c r="C220" t="inlineStr">
        <is>
          <t>Föryngringsavverkning</t>
        </is>
      </c>
      <c r="D220" s="1" t="n">
        <v>45502</v>
      </c>
      <c r="E220" s="1" t="n">
        <v>46326</v>
      </c>
      <c r="F220" t="inlineStr">
        <is>
          <t>GÄVLEBORGS LÄN</t>
        </is>
      </c>
      <c r="G220" t="inlineStr">
        <is>
          <t>NORDANSTIG</t>
        </is>
      </c>
      <c r="H220" t="inlineStr">
        <is>
          <t>Holmen skog AB</t>
        </is>
      </c>
      <c r="I220" t="n">
        <v>4.7</v>
      </c>
      <c r="J220" t="n">
        <v>0</v>
      </c>
      <c r="K220" t="n">
        <v>3</v>
      </c>
      <c r="L220" t="n">
        <v>2</v>
      </c>
      <c r="M220" t="n">
        <v>0</v>
      </c>
      <c r="N220" t="n">
        <v>0</v>
      </c>
      <c r="O220" t="n">
        <v>0</v>
      </c>
      <c r="P220" t="n">
        <v>0</v>
      </c>
      <c r="Q220" t="n">
        <v>2</v>
      </c>
      <c r="R220" t="n">
        <v>0</v>
      </c>
      <c r="S220" t="n">
        <v>5</v>
      </c>
      <c r="T220" t="n">
        <v>5</v>
      </c>
      <c r="U220" t="n">
        <v>2</v>
      </c>
      <c r="V220" s="2" t="inlineStr">
        <is>
          <t>Rosenticka
Svartvit taggsvamp
Kamjordstjärna
Smal svampklubba
Stor aspticka</t>
        </is>
      </c>
      <c r="W220">
        <f>HYPERLINK("https://klasma.github.io/Logging_2132/artfynd/A 31054-2024 artfynd.xlsx", "A 31054-2024")</f>
        <v/>
      </c>
      <c r="X220">
        <f>HYPERLINK("https://klasma.github.io/Logging_2132/kartor/A 31054-2024 karta.png", "A 31054-2024")</f>
        <v/>
      </c>
      <c r="Y220">
        <f>HYPERLINK("https://klasma.github.io/Logging_2132/kartor_geotiff/A 31054-2024 georefererad karta.tif", "A 31054-2024")</f>
        <v/>
      </c>
      <c r="AA220">
        <f>HYPERLINK("https://klasma.github.io/Logging_2132/klagomål/A 31054-2024 FSC-klagomål.docx", "A 31054-2024")</f>
        <v/>
      </c>
      <c r="AB220">
        <f>HYPERLINK("https://klasma.github.io/Logging_2132/klagomålsmail/A 31054-2024 FSC-klagomål mail.docx", "A 31054-2024")</f>
        <v/>
      </c>
      <c r="AC220">
        <f>HYPERLINK("https://klasma.github.io/Logging_2132/tillsyn/A 31054-2024 tillsynsbegäran.docx", "A 31054-2024")</f>
        <v/>
      </c>
      <c r="AD220">
        <f>HYPERLINK("https://klasma.github.io/Logging_2132/tillsynsmail/A 31054-2024 tillsynsbegäran mail.docx", "A 31054-2024")</f>
        <v/>
      </c>
    </row>
    <row r="221" ht="15" customHeight="1">
      <c r="A221" t="inlineStr">
        <is>
          <t>A 12801-2026</t>
        </is>
      </c>
      <c r="B221" t="inlineStr">
        <is>
          <t>avverkningsanmälan</t>
        </is>
      </c>
      <c r="C221" t="inlineStr">
        <is>
          <t>Föryngringsavverkning</t>
        </is>
      </c>
      <c r="D221" s="1" t="n">
        <v>46092</v>
      </c>
      <c r="E221" s="1" t="n">
        <v>46326</v>
      </c>
      <c r="F221" t="inlineStr">
        <is>
          <t>GÄVLEBORGS LÄN</t>
        </is>
      </c>
      <c r="G221" t="inlineStr">
        <is>
          <t>LJUSDAL</t>
        </is>
      </c>
      <c r="H221" t="inlineStr">
        <is>
          <t>Sveaskog</t>
        </is>
      </c>
      <c r="I221" t="n">
        <v>16.9</v>
      </c>
      <c r="J221" t="n">
        <v>1</v>
      </c>
      <c r="K221" t="n">
        <v>1</v>
      </c>
      <c r="L221" t="n">
        <v>3</v>
      </c>
      <c r="M221" t="n">
        <v>0</v>
      </c>
      <c r="N221" t="n">
        <v>0</v>
      </c>
      <c r="O221" t="n">
        <v>0</v>
      </c>
      <c r="P221" t="n">
        <v>0</v>
      </c>
      <c r="Q221" t="n">
        <v>3</v>
      </c>
      <c r="R221" t="n">
        <v>0</v>
      </c>
      <c r="S221" t="n">
        <v>5</v>
      </c>
      <c r="T221" t="n">
        <v>11</v>
      </c>
      <c r="U221" t="n">
        <v>5</v>
      </c>
      <c r="V221" s="2" t="inlineStr">
        <is>
          <t>Dropptaggsvamp
Lunglav
Skrovellav
Luddlav
Tjäder</t>
        </is>
      </c>
      <c r="W221">
        <f>HYPERLINK("https://klasma.github.io/Logging_2161/artfynd/A 12801-2026 artfynd.xlsx", "A 12801-2026")</f>
        <v/>
      </c>
      <c r="X221">
        <f>HYPERLINK("https://klasma.github.io/Logging_2161/kartor/A 12801-2026 karta.png", "A 12801-2026")</f>
        <v/>
      </c>
      <c r="Y221">
        <f>HYPERLINK("https://klasma.github.io/Logging_2161/kartor_geotiff/A 12801-2026 georefererad karta.tif", "A 12801-2026")</f>
        <v/>
      </c>
      <c r="AA221">
        <f>HYPERLINK("https://klasma.github.io/Logging_2161/klagomål/A 12801-2026 FSC-klagomål.docx", "A 12801-2026")</f>
        <v/>
      </c>
      <c r="AB221">
        <f>HYPERLINK("https://klasma.github.io/Logging_2161/klagomålsmail/A 12801-2026 FSC-klagomål mail.docx", "A 12801-2026")</f>
        <v/>
      </c>
      <c r="AC221">
        <f>HYPERLINK("https://klasma.github.io/Logging_2161/tillsyn/A 12801-2026 tillsynsbegäran.docx", "A 12801-2026")</f>
        <v/>
      </c>
      <c r="AD221">
        <f>HYPERLINK("https://klasma.github.io/Logging_2161/tillsynsmail/A 12801-2026 tillsynsbegäran mail.docx", "A 12801-2026")</f>
        <v/>
      </c>
      <c r="AE221">
        <f>HYPERLINK("https://klasma.github.io/Logging_2161/fåglar/A 12801-2026 prioriterade fågelarter.docx", "A 12801-2026")</f>
        <v/>
      </c>
    </row>
    <row r="222" ht="15" customHeight="1">
      <c r="A222" t="inlineStr">
        <is>
          <t>A 24802-2023</t>
        </is>
      </c>
      <c r="B222" t="inlineStr">
        <is>
          <t>avverkningsanmälan</t>
        </is>
      </c>
      <c r="C222" t="inlineStr">
        <is>
          <t>Föryngringsavverkning</t>
        </is>
      </c>
      <c r="D222" s="1" t="n">
        <v>45084</v>
      </c>
      <c r="E222" s="1" t="n">
        <v>46326</v>
      </c>
      <c r="F222" t="inlineStr">
        <is>
          <t>GÄVLEBORGS LÄN</t>
        </is>
      </c>
      <c r="G222" t="inlineStr">
        <is>
          <t>SANDVIKEN</t>
        </is>
      </c>
      <c r="H222" t="inlineStr">
        <is>
          <t>Bergvik skog öst AB</t>
        </is>
      </c>
      <c r="I222" t="n">
        <v>3</v>
      </c>
      <c r="J222" t="n">
        <v>0</v>
      </c>
      <c r="K222" t="n">
        <v>3</v>
      </c>
      <c r="L222" t="n">
        <v>1</v>
      </c>
      <c r="M222" t="n">
        <v>0</v>
      </c>
      <c r="N222" t="n">
        <v>1</v>
      </c>
      <c r="O222" t="n">
        <v>0</v>
      </c>
      <c r="P222" t="n">
        <v>0</v>
      </c>
      <c r="Q222" t="n">
        <v>2</v>
      </c>
      <c r="R222" t="n">
        <v>1</v>
      </c>
      <c r="S222" t="n">
        <v>5</v>
      </c>
      <c r="T222" t="n">
        <v>9</v>
      </c>
      <c r="U222" t="n">
        <v>6</v>
      </c>
      <c r="V222" s="2" t="inlineStr">
        <is>
          <t>Strandskinnlav
Koralltaggsvamp
Brandticka
Rävticka
Svart trolldruva</t>
        </is>
      </c>
      <c r="W222">
        <f>HYPERLINK("https://klasma.github.io/Logging_2181/artfynd/A 24802-2023 artfynd.xlsx", "A 24802-2023")</f>
        <v/>
      </c>
      <c r="X222">
        <f>HYPERLINK("https://klasma.github.io/Logging_2181/kartor/A 24802-2023 karta.png", "A 24802-2023")</f>
        <v/>
      </c>
      <c r="Y222">
        <f>HYPERLINK("https://klasma.github.io/Logging_2181/kartor_geotiff/A 24802-2023 georefererad karta.tif", "A 24802-2023")</f>
        <v/>
      </c>
      <c r="AA222">
        <f>HYPERLINK("https://klasma.github.io/Logging_2181/klagomål/A 24802-2023 FSC-klagomål.docx", "A 24802-2023")</f>
        <v/>
      </c>
      <c r="AB222">
        <f>HYPERLINK("https://klasma.github.io/Logging_2181/klagomålsmail/A 24802-2023 FSC-klagomål mail.docx", "A 24802-2023")</f>
        <v/>
      </c>
      <c r="AC222">
        <f>HYPERLINK("https://klasma.github.io/Logging_2181/tillsyn/A 24802-2023 tillsynsbegäran.docx", "A 24802-2023")</f>
        <v/>
      </c>
      <c r="AD222">
        <f>HYPERLINK("https://klasma.github.io/Logging_2181/tillsynsmail/A 24802-2023 tillsynsbegäran mail.docx", "A 24802-2023")</f>
        <v/>
      </c>
    </row>
    <row r="223" ht="15" customHeight="1">
      <c r="A223" t="inlineStr">
        <is>
          <t>A 62566-2025</t>
        </is>
      </c>
      <c r="B223" t="inlineStr">
        <is>
          <t>avverkningsanmälan</t>
        </is>
      </c>
      <c r="C223" t="inlineStr">
        <is>
          <t>Föryngringsavverkning</t>
        </is>
      </c>
      <c r="D223" s="1" t="n">
        <v>46007</v>
      </c>
      <c r="E223" s="1" t="n">
        <v>46326</v>
      </c>
      <c r="F223" t="inlineStr">
        <is>
          <t>GÄVLEBORGS LÄN</t>
        </is>
      </c>
      <c r="G223" t="inlineStr">
        <is>
          <t>LJUSDAL</t>
        </is>
      </c>
      <c r="I223" t="n">
        <v>4</v>
      </c>
      <c r="J223" t="n">
        <v>3</v>
      </c>
      <c r="K223" t="n">
        <v>2</v>
      </c>
      <c r="L223" t="n">
        <v>1</v>
      </c>
      <c r="M223" t="n">
        <v>1</v>
      </c>
      <c r="N223" t="n">
        <v>0</v>
      </c>
      <c r="O223" t="n">
        <v>0</v>
      </c>
      <c r="P223" t="n">
        <v>0</v>
      </c>
      <c r="Q223" t="n">
        <v>2</v>
      </c>
      <c r="R223" t="n">
        <v>1</v>
      </c>
      <c r="S223" t="n">
        <v>5</v>
      </c>
      <c r="T223" t="n">
        <v>6</v>
      </c>
      <c r="U223" t="n">
        <v>6</v>
      </c>
      <c r="V223" s="2" t="inlineStr">
        <is>
          <t>Knärot
Tallticka
Nästlav
Plattlummer
Tjäder</t>
        </is>
      </c>
      <c r="W223">
        <f>HYPERLINK("https://klasma.github.io/Logging_2161/artfynd/A 62566-2025 artfynd.xlsx", "A 62566-2025")</f>
        <v/>
      </c>
      <c r="X223">
        <f>HYPERLINK("https://klasma.github.io/Logging_2161/kartor/A 62566-2025 karta.png", "A 62566-2025")</f>
        <v/>
      </c>
      <c r="Y223">
        <f>HYPERLINK("https://klasma.github.io/Logging_2161/kartor_geotiff/A 62566-2025 georefererad karta.tif", "A 62566-2025")</f>
        <v/>
      </c>
      <c r="Z223">
        <f>HYPERLINK("https://klasma.github.io/Logging_2161/knärot/A 62566-2025 karta knärot.png", "A 62566-2025")</f>
        <v/>
      </c>
      <c r="AA223">
        <f>HYPERLINK("https://klasma.github.io/Logging_2161/klagomål/A 62566-2025 FSC-klagomål.docx", "A 62566-2025")</f>
        <v/>
      </c>
      <c r="AB223">
        <f>HYPERLINK("https://klasma.github.io/Logging_2161/klagomålsmail/A 62566-2025 FSC-klagomål mail.docx", "A 62566-2025")</f>
        <v/>
      </c>
      <c r="AC223">
        <f>HYPERLINK("https://klasma.github.io/Logging_2161/tillsyn/A 62566-2025 tillsynsbegäran.docx", "A 62566-2025")</f>
        <v/>
      </c>
      <c r="AD223">
        <f>HYPERLINK("https://klasma.github.io/Logging_2161/tillsynsmail/A 62566-2025 tillsynsbegäran mail.docx", "A 62566-2025")</f>
        <v/>
      </c>
      <c r="AE223">
        <f>HYPERLINK("https://klasma.github.io/Logging_2161/fåglar/A 62566-2025 prioriterade fågelarter.docx", "A 62566-2025")</f>
        <v/>
      </c>
    </row>
    <row r="224" ht="15" customHeight="1">
      <c r="A224" t="inlineStr">
        <is>
          <t>A 14547-2026</t>
        </is>
      </c>
      <c r="B224" t="inlineStr">
        <is>
          <t>avverkningsanmälan</t>
        </is>
      </c>
      <c r="C224" t="inlineStr">
        <is>
          <t>Avverkning för att bevara och utveckla /försöksver</t>
        </is>
      </c>
      <c r="D224" s="1" t="n">
        <v>46100</v>
      </c>
      <c r="E224" s="1" t="n">
        <v>46326</v>
      </c>
      <c r="F224" t="inlineStr">
        <is>
          <t>GÄVLEBORGS LÄN</t>
        </is>
      </c>
      <c r="G224" t="inlineStr">
        <is>
          <t>LJUSDAL</t>
        </is>
      </c>
      <c r="H224" t="inlineStr">
        <is>
          <t>Sveaskog</t>
        </is>
      </c>
      <c r="I224" t="n">
        <v>1.8</v>
      </c>
      <c r="J224" t="n">
        <v>0</v>
      </c>
      <c r="K224" t="n">
        <v>0</v>
      </c>
      <c r="L224" t="n">
        <v>5</v>
      </c>
      <c r="M224" t="n">
        <v>0</v>
      </c>
      <c r="N224" t="n">
        <v>0</v>
      </c>
      <c r="O224" t="n">
        <v>0</v>
      </c>
      <c r="P224" t="n">
        <v>0</v>
      </c>
      <c r="Q224" t="n">
        <v>5</v>
      </c>
      <c r="R224" t="n">
        <v>0</v>
      </c>
      <c r="S224" t="n">
        <v>5</v>
      </c>
      <c r="T224" t="n">
        <v>11</v>
      </c>
      <c r="U224" t="n">
        <v>9</v>
      </c>
      <c r="V224" s="2" t="inlineStr">
        <is>
          <t>Blanksvart spiklav
Kolflarnlav
Lunglav
Mörk kolflarnlav
Vedflamlav</t>
        </is>
      </c>
      <c r="W224">
        <f>HYPERLINK("https://klasma.github.io/Logging_2161/artfynd/A 14547-2026 artfynd.xlsx", "A 14547-2026")</f>
        <v/>
      </c>
      <c r="X224">
        <f>HYPERLINK("https://klasma.github.io/Logging_2161/kartor/A 14547-2026 karta.png", "A 14547-2026")</f>
        <v/>
      </c>
      <c r="Y224">
        <f>HYPERLINK("https://klasma.github.io/Logging_2161/kartor_geotiff/A 14547-2026 georefererad karta.tif", "A 14547-2026")</f>
        <v/>
      </c>
      <c r="AA224">
        <f>HYPERLINK("https://klasma.github.io/Logging_2161/klagomål/A 14547-2026 FSC-klagomål.docx", "A 14547-2026")</f>
        <v/>
      </c>
      <c r="AB224">
        <f>HYPERLINK("https://klasma.github.io/Logging_2161/klagomålsmail/A 14547-2026 FSC-klagomål mail.docx", "A 14547-2026")</f>
        <v/>
      </c>
      <c r="AC224">
        <f>HYPERLINK("https://klasma.github.io/Logging_2161/tillsyn/A 14547-2026 tillsynsbegäran.docx", "A 14547-2026")</f>
        <v/>
      </c>
      <c r="AD224">
        <f>HYPERLINK("https://klasma.github.io/Logging_2161/tillsynsmail/A 14547-2026 tillsynsbegäran mail.docx", "A 14547-2026")</f>
        <v/>
      </c>
    </row>
    <row r="225" ht="15" customHeight="1">
      <c r="A225" t="inlineStr">
        <is>
          <t>A 46744-2025</t>
        </is>
      </c>
      <c r="B225" t="inlineStr">
        <is>
          <t>avverkningsanmälan</t>
        </is>
      </c>
      <c r="C225" t="inlineStr">
        <is>
          <t>Föryngringsavverkning</t>
        </is>
      </c>
      <c r="D225" s="1" t="n">
        <v>45926</v>
      </c>
      <c r="E225" s="1" t="n">
        <v>46326</v>
      </c>
      <c r="F225" t="inlineStr">
        <is>
          <t>GÄVLEBORGS LÄN</t>
        </is>
      </c>
      <c r="G225" t="inlineStr">
        <is>
          <t>GÄVLE</t>
        </is>
      </c>
      <c r="I225" t="n">
        <v>4.9</v>
      </c>
      <c r="J225" t="n">
        <v>3</v>
      </c>
      <c r="K225" t="n">
        <v>2</v>
      </c>
      <c r="L225" t="n">
        <v>0</v>
      </c>
      <c r="M225" t="n">
        <v>1</v>
      </c>
      <c r="N225" t="n">
        <v>0</v>
      </c>
      <c r="O225" t="n">
        <v>0</v>
      </c>
      <c r="P225" t="n">
        <v>0</v>
      </c>
      <c r="Q225" t="n">
        <v>1</v>
      </c>
      <c r="R225" t="n">
        <v>1</v>
      </c>
      <c r="S225" t="n">
        <v>5</v>
      </c>
      <c r="T225" t="n">
        <v>5</v>
      </c>
      <c r="U225" t="n">
        <v>0</v>
      </c>
      <c r="V225" s="2" t="inlineStr">
        <is>
          <t>Knärot
Rödgul trumpetsvamp
Svavelriska
Blåsippa
Spillkråka</t>
        </is>
      </c>
      <c r="W225">
        <f>HYPERLINK("https://klasma.github.io/Logging_2180/artfynd/A 46744-2025 artfynd.xlsx", "A 46744-2025")</f>
        <v/>
      </c>
      <c r="X225">
        <f>HYPERLINK("https://klasma.github.io/Logging_2180/kartor/A 46744-2025 karta.png", "A 46744-2025")</f>
        <v/>
      </c>
      <c r="Y225">
        <f>HYPERLINK("https://klasma.github.io/Logging_2180/kartor_geotiff/A 46744-2025 georefererad karta.tif", "A 46744-2025")</f>
        <v/>
      </c>
      <c r="Z225">
        <f>HYPERLINK("https://klasma.github.io/Logging_2180/knärot/A 46744-2025 karta knärot.png", "A 46744-2025")</f>
        <v/>
      </c>
      <c r="AA225">
        <f>HYPERLINK("https://klasma.github.io/Logging_2180/klagomål/A 46744-2025 FSC-klagomål.docx", "A 46744-2025")</f>
        <v/>
      </c>
      <c r="AB225">
        <f>HYPERLINK("https://klasma.github.io/Logging_2180/klagomålsmail/A 46744-2025 FSC-klagomål mail.docx", "A 46744-2025")</f>
        <v/>
      </c>
      <c r="AC225">
        <f>HYPERLINK("https://klasma.github.io/Logging_2180/tillsyn/A 46744-2025 tillsynsbegäran.docx", "A 46744-2025")</f>
        <v/>
      </c>
      <c r="AD225">
        <f>HYPERLINK("https://klasma.github.io/Logging_2180/tillsynsmail/A 46744-2025 tillsynsbegäran mail.docx", "A 46744-2025")</f>
        <v/>
      </c>
      <c r="AE225">
        <f>HYPERLINK("https://klasma.github.io/Logging_2180/fåglar/A 46744-2025 prioriterade fågelarter.docx", "A 46744-2025")</f>
        <v/>
      </c>
    </row>
    <row r="226" ht="15" customHeight="1">
      <c r="A226" t="inlineStr">
        <is>
          <t>A 46755-2025</t>
        </is>
      </c>
      <c r="B226" t="inlineStr">
        <is>
          <t>avverkningsanmälan</t>
        </is>
      </c>
      <c r="C226" t="inlineStr">
        <is>
          <t>Föryngringsavverkning</t>
        </is>
      </c>
      <c r="D226" s="1" t="n">
        <v>45926</v>
      </c>
      <c r="E226" s="1" t="n">
        <v>46326</v>
      </c>
      <c r="F226" t="inlineStr">
        <is>
          <t>GÄVLEBORGS LÄN</t>
        </is>
      </c>
      <c r="G226" t="inlineStr">
        <is>
          <t>GÄVLE</t>
        </is>
      </c>
      <c r="I226" t="n">
        <v>4.9</v>
      </c>
      <c r="J226" t="n">
        <v>3</v>
      </c>
      <c r="K226" t="n">
        <v>2</v>
      </c>
      <c r="L226" t="n">
        <v>0</v>
      </c>
      <c r="M226" t="n">
        <v>1</v>
      </c>
      <c r="N226" t="n">
        <v>0</v>
      </c>
      <c r="O226" t="n">
        <v>0</v>
      </c>
      <c r="P226" t="n">
        <v>0</v>
      </c>
      <c r="Q226" t="n">
        <v>1</v>
      </c>
      <c r="R226" t="n">
        <v>1</v>
      </c>
      <c r="S226" t="n">
        <v>5</v>
      </c>
      <c r="T226" t="n">
        <v>5</v>
      </c>
      <c r="U226" t="n">
        <v>0</v>
      </c>
      <c r="V226" s="2" t="inlineStr">
        <is>
          <t>Knärot
Rödgul trumpetsvamp
Svavelriska
Blåsippa
Spillkråka</t>
        </is>
      </c>
      <c r="W226">
        <f>HYPERLINK("https://klasma.github.io/Logging_2180/artfynd/A 46755-2025 artfynd.xlsx", "A 46755-2025")</f>
        <v/>
      </c>
      <c r="X226">
        <f>HYPERLINK("https://klasma.github.io/Logging_2180/kartor/A 46755-2025 karta.png", "A 46755-2025")</f>
        <v/>
      </c>
      <c r="Y226">
        <f>HYPERLINK("https://klasma.github.io/Logging_2180/kartor_geotiff/A 46755-2025 georefererad karta.tif", "A 46755-2025")</f>
        <v/>
      </c>
      <c r="Z226">
        <f>HYPERLINK("https://klasma.github.io/Logging_2180/knärot/A 46755-2025 karta knärot.png", "A 46755-2025")</f>
        <v/>
      </c>
      <c r="AA226">
        <f>HYPERLINK("https://klasma.github.io/Logging_2180/klagomål/A 46755-2025 FSC-klagomål.docx", "A 46755-2025")</f>
        <v/>
      </c>
      <c r="AB226">
        <f>HYPERLINK("https://klasma.github.io/Logging_2180/klagomålsmail/A 46755-2025 FSC-klagomål mail.docx", "A 46755-2025")</f>
        <v/>
      </c>
      <c r="AC226">
        <f>HYPERLINK("https://klasma.github.io/Logging_2180/tillsyn/A 46755-2025 tillsynsbegäran.docx", "A 46755-2025")</f>
        <v/>
      </c>
      <c r="AD226">
        <f>HYPERLINK("https://klasma.github.io/Logging_2180/tillsynsmail/A 46755-2025 tillsynsbegäran mail.docx", "A 46755-2025")</f>
        <v/>
      </c>
      <c r="AE226">
        <f>HYPERLINK("https://klasma.github.io/Logging_2180/fåglar/A 46755-2025 prioriterade fågelarter.docx", "A 46755-2025")</f>
        <v/>
      </c>
    </row>
    <row r="227" ht="15" customHeight="1">
      <c r="A227" t="inlineStr">
        <is>
          <t>A 34666-2025</t>
        </is>
      </c>
      <c r="B227" t="inlineStr">
        <is>
          <t>avverkningsanmälan</t>
        </is>
      </c>
      <c r="C227" t="inlineStr">
        <is>
          <t>Föryngringsavverkning</t>
        </is>
      </c>
      <c r="D227" s="1" t="n">
        <v>45848</v>
      </c>
      <c r="E227" s="1" t="n">
        <v>46326</v>
      </c>
      <c r="F227" t="inlineStr">
        <is>
          <t>GÄVLEBORGS LÄN</t>
        </is>
      </c>
      <c r="G227" t="inlineStr">
        <is>
          <t>GÄVLE</t>
        </is>
      </c>
      <c r="I227" t="n">
        <v>4.9</v>
      </c>
      <c r="J227" t="n">
        <v>3</v>
      </c>
      <c r="K227" t="n">
        <v>2</v>
      </c>
      <c r="L227" t="n">
        <v>0</v>
      </c>
      <c r="M227" t="n">
        <v>1</v>
      </c>
      <c r="N227" t="n">
        <v>0</v>
      </c>
      <c r="O227" t="n">
        <v>0</v>
      </c>
      <c r="P227" t="n">
        <v>0</v>
      </c>
      <c r="Q227" t="n">
        <v>1</v>
      </c>
      <c r="R227" t="n">
        <v>1</v>
      </c>
      <c r="S227" t="n">
        <v>5</v>
      </c>
      <c r="T227" t="n">
        <v>5</v>
      </c>
      <c r="U227" t="n">
        <v>5</v>
      </c>
      <c r="V227" s="2" t="inlineStr">
        <is>
          <t>Knärot
Rödgul trumpetsvamp
Svavelriska
Blåsippa
Spillkråka</t>
        </is>
      </c>
      <c r="W227">
        <f>HYPERLINK("https://klasma.github.io/Logging_2180/artfynd/A 34666-2025 artfynd.xlsx", "A 34666-2025")</f>
        <v/>
      </c>
      <c r="X227">
        <f>HYPERLINK("https://klasma.github.io/Logging_2180/kartor/A 34666-2025 karta.png", "A 34666-2025")</f>
        <v/>
      </c>
      <c r="Y227">
        <f>HYPERLINK("https://klasma.github.io/Logging_2180/kartor_geotiff/A 34666-2025 georefererad karta.tif", "A 34666-2025")</f>
        <v/>
      </c>
      <c r="Z227">
        <f>HYPERLINK("https://klasma.github.io/Logging_2180/knärot/A 34666-2025 karta knärot.png", "A 34666-2025")</f>
        <v/>
      </c>
      <c r="AA227">
        <f>HYPERLINK("https://klasma.github.io/Logging_2180/klagomål/A 34666-2025 FSC-klagomål.docx", "A 34666-2025")</f>
        <v/>
      </c>
      <c r="AB227">
        <f>HYPERLINK("https://klasma.github.io/Logging_2180/klagomålsmail/A 34666-2025 FSC-klagomål mail.docx", "A 34666-2025")</f>
        <v/>
      </c>
      <c r="AC227">
        <f>HYPERLINK("https://klasma.github.io/Logging_2180/tillsyn/A 34666-2025 tillsynsbegäran.docx", "A 34666-2025")</f>
        <v/>
      </c>
      <c r="AD227">
        <f>HYPERLINK("https://klasma.github.io/Logging_2180/tillsynsmail/A 34666-2025 tillsynsbegäran mail.docx", "A 34666-2025")</f>
        <v/>
      </c>
      <c r="AE227">
        <f>HYPERLINK("https://klasma.github.io/Logging_2180/fåglar/A 34666-2025 prioriterade fågelarter.docx", "A 34666-2025")</f>
        <v/>
      </c>
    </row>
    <row r="228" ht="15" customHeight="1">
      <c r="A228" t="inlineStr">
        <is>
          <t>A 15559-2026</t>
        </is>
      </c>
      <c r="B228" t="inlineStr">
        <is>
          <t>avverkningsanmälan</t>
        </is>
      </c>
      <c r="C228" t="inlineStr">
        <is>
          <t>Föryngringsavverkning</t>
        </is>
      </c>
      <c r="D228" s="1" t="n">
        <v>46106</v>
      </c>
      <c r="E228" s="1" t="n">
        <v>46326</v>
      </c>
      <c r="F228" t="inlineStr">
        <is>
          <t>GÄVLEBORGS LÄN</t>
        </is>
      </c>
      <c r="G228" t="inlineStr">
        <is>
          <t>OVANÅKER</t>
        </is>
      </c>
      <c r="H228" t="inlineStr">
        <is>
          <t>Bergvik skog öst AB</t>
        </is>
      </c>
      <c r="I228" t="n">
        <v>0.8</v>
      </c>
      <c r="J228" t="n">
        <v>3</v>
      </c>
      <c r="K228" t="n">
        <v>1</v>
      </c>
      <c r="L228" t="n">
        <v>2</v>
      </c>
      <c r="M228" t="n">
        <v>1</v>
      </c>
      <c r="N228" t="n">
        <v>0</v>
      </c>
      <c r="O228" t="n">
        <v>0</v>
      </c>
      <c r="P228" t="n">
        <v>0</v>
      </c>
      <c r="Q228" t="n">
        <v>3</v>
      </c>
      <c r="R228" t="n">
        <v>1</v>
      </c>
      <c r="S228" t="n">
        <v>5</v>
      </c>
      <c r="T228" t="n">
        <v>6</v>
      </c>
      <c r="U228" t="n">
        <v>0</v>
      </c>
      <c r="V228" s="2" t="inlineStr">
        <is>
          <t>Hussvala
Varglav
Vedflamlav
Sotlav
Fiskgjuse</t>
        </is>
      </c>
      <c r="W228">
        <f>HYPERLINK("https://klasma.github.io/Logging_2121/artfynd/A 15559-2026 artfynd.xlsx", "A 15559-2026")</f>
        <v/>
      </c>
      <c r="X228">
        <f>HYPERLINK("https://klasma.github.io/Logging_2121/kartor/A 15559-2026 karta.png", "A 15559-2026")</f>
        <v/>
      </c>
      <c r="Y228">
        <f>HYPERLINK("https://klasma.github.io/Logging_2121/kartor_geotiff/A 15559-2026 georefererad karta.tif", "A 15559-2026")</f>
        <v/>
      </c>
      <c r="AA228">
        <f>HYPERLINK("https://klasma.github.io/Logging_2121/klagomål/A 15559-2026 FSC-klagomål.docx", "A 15559-2026")</f>
        <v/>
      </c>
      <c r="AB228">
        <f>HYPERLINK("https://klasma.github.io/Logging_2121/klagomålsmail/A 15559-2026 FSC-klagomål mail.docx", "A 15559-2026")</f>
        <v/>
      </c>
      <c r="AC228">
        <f>HYPERLINK("https://klasma.github.io/Logging_2121/tillsyn/A 15559-2026 tillsynsbegäran.docx", "A 15559-2026")</f>
        <v/>
      </c>
      <c r="AD228">
        <f>HYPERLINK("https://klasma.github.io/Logging_2121/tillsynsmail/A 15559-2026 tillsynsbegäran mail.docx", "A 15559-2026")</f>
        <v/>
      </c>
      <c r="AE228">
        <f>HYPERLINK("https://klasma.github.io/Logging_2121/fåglar/A 15559-2026 prioriterade fågelarter.docx", "A 15559-2026")</f>
        <v/>
      </c>
    </row>
    <row r="229" ht="15" customHeight="1">
      <c r="A229" t="inlineStr">
        <is>
          <t>A 55326-2024</t>
        </is>
      </c>
      <c r="B229" t="inlineStr">
        <is>
          <t>avverkningsanmälan</t>
        </is>
      </c>
      <c r="C229" t="inlineStr">
        <is>
          <t>Föryngringsavverkning</t>
        </is>
      </c>
      <c r="D229" s="1" t="n">
        <v>45621</v>
      </c>
      <c r="E229" s="1" t="n">
        <v>46326</v>
      </c>
      <c r="F229" t="inlineStr">
        <is>
          <t>GÄVLEBORGS LÄN</t>
        </is>
      </c>
      <c r="G229" t="inlineStr">
        <is>
          <t>LJUSDAL</t>
        </is>
      </c>
      <c r="I229" t="n">
        <v>11.1</v>
      </c>
      <c r="J229" t="n">
        <v>1</v>
      </c>
      <c r="K229" t="n">
        <v>1</v>
      </c>
      <c r="L229" t="n">
        <v>2</v>
      </c>
      <c r="M229" t="n">
        <v>2</v>
      </c>
      <c r="N229" t="n">
        <v>0</v>
      </c>
      <c r="O229" t="n">
        <v>0</v>
      </c>
      <c r="P229" t="n">
        <v>0</v>
      </c>
      <c r="Q229" t="n">
        <v>4</v>
      </c>
      <c r="R229" t="n">
        <v>2</v>
      </c>
      <c r="S229" t="n">
        <v>5</v>
      </c>
      <c r="T229" t="n">
        <v>7</v>
      </c>
      <c r="U229" t="n">
        <v>0</v>
      </c>
      <c r="V229" s="2" t="inlineStr">
        <is>
          <t>Garnlav
Knärot
Mörk kolflarnlav
Vedskivlav
Vedticka</t>
        </is>
      </c>
      <c r="W229">
        <f>HYPERLINK("https://klasma.github.io/Logging_2161/artfynd/A 55326-2024 artfynd.xlsx", "A 55326-2024")</f>
        <v/>
      </c>
      <c r="X229">
        <f>HYPERLINK("https://klasma.github.io/Logging_2161/kartor/A 55326-2024 karta.png", "A 55326-2024")</f>
        <v/>
      </c>
      <c r="Y229">
        <f>HYPERLINK("https://klasma.github.io/Logging_2161/kartor_geotiff/A 55326-2024 georefererad karta.tif", "A 55326-2024")</f>
        <v/>
      </c>
      <c r="Z229">
        <f>HYPERLINK("https://klasma.github.io/Logging_2161/knärot/A 55326-2024 karta knärot.png", "A 55326-2024")</f>
        <v/>
      </c>
      <c r="AA229">
        <f>HYPERLINK("https://klasma.github.io/Logging_2161/klagomål/A 55326-2024 FSC-klagomål.docx", "A 55326-2024")</f>
        <v/>
      </c>
      <c r="AB229">
        <f>HYPERLINK("https://klasma.github.io/Logging_2161/klagomålsmail/A 55326-2024 FSC-klagomål mail.docx", "A 55326-2024")</f>
        <v/>
      </c>
      <c r="AC229">
        <f>HYPERLINK("https://klasma.github.io/Logging_2161/tillsyn/A 55326-2024 tillsynsbegäran.docx", "A 55326-2024")</f>
        <v/>
      </c>
      <c r="AD229">
        <f>HYPERLINK("https://klasma.github.io/Logging_2161/tillsynsmail/A 55326-2024 tillsynsbegäran mail.docx", "A 55326-2024")</f>
        <v/>
      </c>
    </row>
    <row r="230" ht="15" customHeight="1">
      <c r="A230" t="inlineStr">
        <is>
          <t>A 16271-2026</t>
        </is>
      </c>
      <c r="B230" t="inlineStr">
        <is>
          <t>avverkningsanmälan</t>
        </is>
      </c>
      <c r="C230" t="inlineStr">
        <is>
          <t>Föryngringsavverkning</t>
        </is>
      </c>
      <c r="D230" s="1" t="n">
        <v>46111</v>
      </c>
      <c r="E230" s="1" t="n">
        <v>46326</v>
      </c>
      <c r="F230" t="inlineStr">
        <is>
          <t>GÄVLEBORGS LÄN</t>
        </is>
      </c>
      <c r="G230" t="inlineStr">
        <is>
          <t>SÖDERHAMN</t>
        </is>
      </c>
      <c r="H230" t="inlineStr">
        <is>
          <t>Bergvik skog väst AB</t>
        </is>
      </c>
      <c r="I230" t="n">
        <v>0.7</v>
      </c>
      <c r="J230" t="n">
        <v>5</v>
      </c>
      <c r="K230" t="n">
        <v>0</v>
      </c>
      <c r="L230" t="n">
        <v>1</v>
      </c>
      <c r="M230" t="n">
        <v>0</v>
      </c>
      <c r="N230" t="n">
        <v>0</v>
      </c>
      <c r="O230" t="n">
        <v>0</v>
      </c>
      <c r="P230" t="n">
        <v>0</v>
      </c>
      <c r="Q230" t="n">
        <v>1</v>
      </c>
      <c r="R230" t="n">
        <v>0</v>
      </c>
      <c r="S230" t="n">
        <v>5</v>
      </c>
      <c r="T230" t="n">
        <v>7</v>
      </c>
      <c r="U230" t="n">
        <v>0</v>
      </c>
      <c r="V230" s="2" t="inlineStr">
        <is>
          <t>Talltita
Grönsiska
Kungsfågel
Orre
Ängsnycklar</t>
        </is>
      </c>
      <c r="W230">
        <f>HYPERLINK("https://klasma.github.io/Logging_2182/artfynd/A 16271-2026 artfynd.xlsx", "A 16271-2026")</f>
        <v/>
      </c>
      <c r="X230">
        <f>HYPERLINK("https://klasma.github.io/Logging_2182/kartor/A 16271-2026 karta.png", "A 16271-2026")</f>
        <v/>
      </c>
      <c r="Y230">
        <f>HYPERLINK("https://klasma.github.io/Logging_2182/kartor_geotiff/A 16271-2026 georefererad karta.tif", "A 16271-2026")</f>
        <v/>
      </c>
      <c r="AA230">
        <f>HYPERLINK("https://klasma.github.io/Logging_2182/klagomål/A 16271-2026 FSC-klagomål.docx", "A 16271-2026")</f>
        <v/>
      </c>
      <c r="AB230">
        <f>HYPERLINK("https://klasma.github.io/Logging_2182/klagomålsmail/A 16271-2026 FSC-klagomål mail.docx", "A 16271-2026")</f>
        <v/>
      </c>
      <c r="AC230">
        <f>HYPERLINK("https://klasma.github.io/Logging_2182/tillsyn/A 16271-2026 tillsynsbegäran.docx", "A 16271-2026")</f>
        <v/>
      </c>
      <c r="AD230">
        <f>HYPERLINK("https://klasma.github.io/Logging_2182/tillsynsmail/A 16271-2026 tillsynsbegäran mail.docx", "A 16271-2026")</f>
        <v/>
      </c>
      <c r="AE230">
        <f>HYPERLINK("https://klasma.github.io/Logging_2182/fåglar/A 16271-2026 prioriterade fågelarter.docx", "A 16271-2026")</f>
        <v/>
      </c>
    </row>
    <row r="231" ht="15" customHeight="1">
      <c r="A231" t="inlineStr">
        <is>
          <t>A 19141-2026</t>
        </is>
      </c>
      <c r="B231" t="inlineStr">
        <is>
          <t>avverkningsanmälan</t>
        </is>
      </c>
      <c r="C231" t="inlineStr">
        <is>
          <t>Föryngringsavverkning</t>
        </is>
      </c>
      <c r="D231" s="1" t="n">
        <v>46132</v>
      </c>
      <c r="E231" s="1" t="n">
        <v>46326</v>
      </c>
      <c r="F231" t="inlineStr">
        <is>
          <t>GÄVLEBORGS LÄN</t>
        </is>
      </c>
      <c r="G231" t="inlineStr">
        <is>
          <t>OCKELBO</t>
        </is>
      </c>
      <c r="H231" t="inlineStr">
        <is>
          <t>Bergvik skog väst AB</t>
        </is>
      </c>
      <c r="I231" t="n">
        <v>55.5</v>
      </c>
      <c r="J231" t="n">
        <v>1</v>
      </c>
      <c r="K231" t="n">
        <v>1</v>
      </c>
      <c r="L231" t="n">
        <v>3</v>
      </c>
      <c r="M231" t="n">
        <v>0</v>
      </c>
      <c r="N231" t="n">
        <v>0</v>
      </c>
      <c r="O231" t="n">
        <v>0</v>
      </c>
      <c r="P231" t="n">
        <v>0</v>
      </c>
      <c r="Q231" t="n">
        <v>3</v>
      </c>
      <c r="R231" t="n">
        <v>0</v>
      </c>
      <c r="S231" t="n">
        <v>5</v>
      </c>
      <c r="T231" t="n">
        <v>11</v>
      </c>
      <c r="U231" t="n">
        <v>0</v>
      </c>
      <c r="V231" s="2" t="inlineStr">
        <is>
          <t>Blanksvart spiklav
Motaggsvamp
Vedskivlav
Nästlav
Revlummer</t>
        </is>
      </c>
      <c r="W231">
        <f>HYPERLINK("https://klasma.github.io/Logging_2101/artfynd/A 19141-2026 artfynd.xlsx", "A 19141-2026")</f>
        <v/>
      </c>
      <c r="X231">
        <f>HYPERLINK("https://klasma.github.io/Logging_2101/kartor/A 19141-2026 karta.png", "A 19141-2026")</f>
        <v/>
      </c>
      <c r="Y231">
        <f>HYPERLINK("https://klasma.github.io/Logging_2101/kartor_geotiff/A 19141-2026 georefererad karta.tif", "A 19141-2026")</f>
        <v/>
      </c>
      <c r="AA231">
        <f>HYPERLINK("https://klasma.github.io/Logging_2101/klagomål/A 19141-2026 FSC-klagomål.docx", "A 19141-2026")</f>
        <v/>
      </c>
      <c r="AB231">
        <f>HYPERLINK("https://klasma.github.io/Logging_2101/klagomålsmail/A 19141-2026 FSC-klagomål mail.docx", "A 19141-2026")</f>
        <v/>
      </c>
      <c r="AC231">
        <f>HYPERLINK("https://klasma.github.io/Logging_2101/tillsyn/A 19141-2026 tillsynsbegäran.docx", "A 19141-2026")</f>
        <v/>
      </c>
      <c r="AD231">
        <f>HYPERLINK("https://klasma.github.io/Logging_2101/tillsynsmail/A 19141-2026 tillsynsbegäran mail.docx", "A 19141-2026")</f>
        <v/>
      </c>
    </row>
    <row r="232" ht="15" customHeight="1">
      <c r="A232" t="inlineStr">
        <is>
          <t>A 6417-2025</t>
        </is>
      </c>
      <c r="B232" t="inlineStr">
        <is>
          <t>avverkningsanmälan</t>
        </is>
      </c>
      <c r="C232" t="inlineStr">
        <is>
          <t>Föryngringsavverkning</t>
        </is>
      </c>
      <c r="D232" s="1" t="n">
        <v>45699</v>
      </c>
      <c r="E232" s="1" t="n">
        <v>46326</v>
      </c>
      <c r="F232" t="inlineStr">
        <is>
          <t>GÄVLEBORGS LÄN</t>
        </is>
      </c>
      <c r="G232" t="inlineStr">
        <is>
          <t>LJUSDAL</t>
        </is>
      </c>
      <c r="H232" t="inlineStr">
        <is>
          <t>Holmen skog AB</t>
        </is>
      </c>
      <c r="I232" t="n">
        <v>42.3</v>
      </c>
      <c r="J232" t="n">
        <v>1</v>
      </c>
      <c r="K232" t="n">
        <v>2</v>
      </c>
      <c r="L232" t="n">
        <v>2</v>
      </c>
      <c r="M232" t="n">
        <v>1</v>
      </c>
      <c r="N232" t="n">
        <v>0</v>
      </c>
      <c r="O232" t="n">
        <v>0</v>
      </c>
      <c r="P232" t="n">
        <v>0</v>
      </c>
      <c r="Q232" t="n">
        <v>3</v>
      </c>
      <c r="R232" t="n">
        <v>1</v>
      </c>
      <c r="S232" t="n">
        <v>5</v>
      </c>
      <c r="T232" t="n">
        <v>68</v>
      </c>
      <c r="U232" t="n">
        <v>68</v>
      </c>
      <c r="V232" s="2" t="inlineStr">
        <is>
          <t>Knärot
Kötticka
Lunglav
Korallblylav
Skinnlav</t>
        </is>
      </c>
      <c r="W232">
        <f>HYPERLINK("https://klasma.github.io/Logging_2161/artfynd/A 6417-2025 artfynd.xlsx", "A 6417-2025")</f>
        <v/>
      </c>
      <c r="X232">
        <f>HYPERLINK("https://klasma.github.io/Logging_2161/kartor/A 6417-2025 karta.png", "A 6417-2025")</f>
        <v/>
      </c>
      <c r="Y232">
        <f>HYPERLINK("https://klasma.github.io/Logging_2161/kartor_geotiff/A 6417-2025 georefererad karta.tif", "A 6417-2025")</f>
        <v/>
      </c>
      <c r="Z232">
        <f>HYPERLINK("https://klasma.github.io/Logging_2161/knärot/A 6417-2025 karta knärot.png", "A 6417-2025")</f>
        <v/>
      </c>
      <c r="AA232">
        <f>HYPERLINK("https://klasma.github.io/Logging_2161/klagomål/A 6417-2025 FSC-klagomål.docx", "A 6417-2025")</f>
        <v/>
      </c>
      <c r="AB232">
        <f>HYPERLINK("https://klasma.github.io/Logging_2161/klagomålsmail/A 6417-2025 FSC-klagomål mail.docx", "A 6417-2025")</f>
        <v/>
      </c>
      <c r="AC232">
        <f>HYPERLINK("https://klasma.github.io/Logging_2161/tillsyn/A 6417-2025 tillsynsbegäran.docx", "A 6417-2025")</f>
        <v/>
      </c>
      <c r="AD232">
        <f>HYPERLINK("https://klasma.github.io/Logging_2161/tillsynsmail/A 6417-2025 tillsynsbegäran mail.docx", "A 6417-2025")</f>
        <v/>
      </c>
    </row>
    <row r="233" ht="15" customHeight="1">
      <c r="A233" t="inlineStr">
        <is>
          <t>A 53654-2025</t>
        </is>
      </c>
      <c r="B233" t="inlineStr">
        <is>
          <t>avverkningsanmälan</t>
        </is>
      </c>
      <c r="C233" t="inlineStr">
        <is>
          <t>Föryngringsavverkning</t>
        </is>
      </c>
      <c r="D233" s="1" t="n">
        <v>45960</v>
      </c>
      <c r="E233" s="1" t="n">
        <v>46326</v>
      </c>
      <c r="F233" t="inlineStr">
        <is>
          <t>GÄVLEBORGS LÄN</t>
        </is>
      </c>
      <c r="G233" t="inlineStr">
        <is>
          <t>LJUSDAL</t>
        </is>
      </c>
      <c r="H233" t="inlineStr">
        <is>
          <t>Bergvik skog väst AB</t>
        </is>
      </c>
      <c r="I233" t="n">
        <v>12.9</v>
      </c>
      <c r="J233" t="n">
        <v>3</v>
      </c>
      <c r="K233" t="n">
        <v>0</v>
      </c>
      <c r="L233" t="n">
        <v>2</v>
      </c>
      <c r="M233" t="n">
        <v>1</v>
      </c>
      <c r="N233" t="n">
        <v>0</v>
      </c>
      <c r="O233" t="n">
        <v>0</v>
      </c>
      <c r="P233" t="n">
        <v>0</v>
      </c>
      <c r="Q233" t="n">
        <v>3</v>
      </c>
      <c r="R233" t="n">
        <v>1</v>
      </c>
      <c r="S233" t="n">
        <v>5</v>
      </c>
      <c r="T233" t="n">
        <v>9</v>
      </c>
      <c r="U233" t="n">
        <v>6</v>
      </c>
      <c r="V233" s="2" t="inlineStr">
        <is>
          <t>Garnlav
Mörk kolflarnlav
Varglav
Orre
Fläcknycklar</t>
        </is>
      </c>
      <c r="W233">
        <f>HYPERLINK("https://klasma.github.io/Logging_2161/artfynd/A 53654-2025 artfynd.xlsx", "A 53654-2025")</f>
        <v/>
      </c>
      <c r="X233">
        <f>HYPERLINK("https://klasma.github.io/Logging_2161/kartor/A 53654-2025 karta.png", "A 53654-2025")</f>
        <v/>
      </c>
      <c r="Y233">
        <f>HYPERLINK("https://klasma.github.io/Logging_2161/kartor_geotiff/A 53654-2025 georefererad karta.tif", "A 53654-2025")</f>
        <v/>
      </c>
      <c r="AA233">
        <f>HYPERLINK("https://klasma.github.io/Logging_2161/klagomål/A 53654-2025 FSC-klagomål.docx", "A 53654-2025")</f>
        <v/>
      </c>
      <c r="AB233">
        <f>HYPERLINK("https://klasma.github.io/Logging_2161/klagomålsmail/A 53654-2025 FSC-klagomål mail.docx", "A 53654-2025")</f>
        <v/>
      </c>
      <c r="AC233">
        <f>HYPERLINK("https://klasma.github.io/Logging_2161/tillsyn/A 53654-2025 tillsynsbegäran.docx", "A 53654-2025")</f>
        <v/>
      </c>
      <c r="AD233">
        <f>HYPERLINK("https://klasma.github.io/Logging_2161/tillsynsmail/A 53654-2025 tillsynsbegäran mail.docx", "A 53654-2025")</f>
        <v/>
      </c>
      <c r="AE233">
        <f>HYPERLINK("https://klasma.github.io/Logging_2161/fåglar/A 53654-2025 prioriterade fågelarter.docx", "A 53654-2025")</f>
        <v/>
      </c>
    </row>
    <row r="234" ht="15" customHeight="1">
      <c r="A234" t="inlineStr">
        <is>
          <t>A 27605-2026</t>
        </is>
      </c>
      <c r="B234" t="inlineStr">
        <is>
          <t>avverkningsanmälan</t>
        </is>
      </c>
      <c r="C234" t="inlineStr">
        <is>
          <t>Föryngringsavverkning</t>
        </is>
      </c>
      <c r="D234" s="1" t="n">
        <v>46190</v>
      </c>
      <c r="E234" s="1" t="n">
        <v>46326</v>
      </c>
      <c r="F234" t="inlineStr">
        <is>
          <t>GÄVLEBORGS LÄN</t>
        </is>
      </c>
      <c r="G234" t="inlineStr">
        <is>
          <t>LJUSDAL</t>
        </is>
      </c>
      <c r="H234" t="inlineStr">
        <is>
          <t>Sveaskog</t>
        </is>
      </c>
      <c r="I234" t="n">
        <v>11</v>
      </c>
      <c r="J234" t="n">
        <v>5</v>
      </c>
      <c r="K234" t="n">
        <v>0</v>
      </c>
      <c r="L234" t="n">
        <v>2</v>
      </c>
      <c r="M234" t="n">
        <v>2</v>
      </c>
      <c r="N234" t="n">
        <v>0</v>
      </c>
      <c r="O234" t="n">
        <v>0</v>
      </c>
      <c r="P234" t="n">
        <v>0</v>
      </c>
      <c r="Q234" t="n">
        <v>4</v>
      </c>
      <c r="R234" t="n">
        <v>2</v>
      </c>
      <c r="S234" t="n">
        <v>5</v>
      </c>
      <c r="T234" t="n">
        <v>6</v>
      </c>
      <c r="U234" t="n">
        <v>5</v>
      </c>
      <c r="V234" s="2" t="inlineStr">
        <is>
          <t>Doftticka
Knärot
Talltita
Tretåig hackspett
Fläcknycklar</t>
        </is>
      </c>
      <c r="W234">
        <f>HYPERLINK("https://klasma.github.io/Logging_2161/artfynd/A 27605-2026 artfynd.xlsx", "A 27605-2026")</f>
        <v/>
      </c>
      <c r="X234">
        <f>HYPERLINK("https://klasma.github.io/Logging_2161/kartor/A 27605-2026 karta.png", "A 27605-2026")</f>
        <v/>
      </c>
      <c r="Y234">
        <f>HYPERLINK("https://klasma.github.io/Logging_2161/kartor_geotiff/A 27605-2026 georefererad karta.tif", "A 27605-2026")</f>
        <v/>
      </c>
      <c r="Z234">
        <f>HYPERLINK("https://klasma.github.io/Logging_2161/knärot/A 27605-2026 karta knärot.png", "A 27605-2026")</f>
        <v/>
      </c>
      <c r="AA234">
        <f>HYPERLINK("https://klasma.github.io/Logging_2161/klagomål/A 27605-2026 FSC-klagomål.docx", "A 27605-2026")</f>
        <v/>
      </c>
      <c r="AB234">
        <f>HYPERLINK("https://klasma.github.io/Logging_2161/klagomålsmail/A 27605-2026 FSC-klagomål mail.docx", "A 27605-2026")</f>
        <v/>
      </c>
      <c r="AC234">
        <f>HYPERLINK("https://klasma.github.io/Logging_2161/tillsyn/A 27605-2026 tillsynsbegäran.docx", "A 27605-2026")</f>
        <v/>
      </c>
      <c r="AD234">
        <f>HYPERLINK("https://klasma.github.io/Logging_2161/tillsynsmail/A 27605-2026 tillsynsbegäran mail.docx", "A 27605-2026")</f>
        <v/>
      </c>
      <c r="AE234">
        <f>HYPERLINK("https://klasma.github.io/Logging_2161/fåglar/A 27605-2026 prioriterade fågelarter.docx", "A 27605-2026")</f>
        <v/>
      </c>
    </row>
    <row r="235" ht="15" customHeight="1">
      <c r="A235" t="inlineStr">
        <is>
          <t>A 29840-2023</t>
        </is>
      </c>
      <c r="B235" t="inlineStr">
        <is>
          <t>avverkningsanmälan</t>
        </is>
      </c>
      <c r="C235" t="inlineStr">
        <is>
          <t>Föryngringsavverkning</t>
        </is>
      </c>
      <c r="D235" s="1" t="n">
        <v>45107</v>
      </c>
      <c r="E235" s="1" t="n">
        <v>46326</v>
      </c>
      <c r="F235" t="inlineStr">
        <is>
          <t>GÄVLEBORGS LÄN</t>
        </is>
      </c>
      <c r="G235" t="inlineStr">
        <is>
          <t>GÄVLE</t>
        </is>
      </c>
      <c r="I235" t="n">
        <v>1.4</v>
      </c>
      <c r="J235" t="n">
        <v>5</v>
      </c>
      <c r="K235" t="n">
        <v>0</v>
      </c>
      <c r="L235" t="n">
        <v>3</v>
      </c>
      <c r="M235" t="n">
        <v>0</v>
      </c>
      <c r="N235" t="n">
        <v>0</v>
      </c>
      <c r="O235" t="n">
        <v>0</v>
      </c>
      <c r="P235" t="n">
        <v>0</v>
      </c>
      <c r="Q235" t="n">
        <v>3</v>
      </c>
      <c r="R235" t="n">
        <v>0</v>
      </c>
      <c r="S235" t="n">
        <v>5</v>
      </c>
      <c r="T235" t="n">
        <v>5</v>
      </c>
      <c r="U235" t="n">
        <v>5</v>
      </c>
      <c r="V235" s="2" t="inlineStr">
        <is>
          <t>Brunlångöra
Järnsparv
Nordfladdermus
Kungsfågel
Vattenfladdermus</t>
        </is>
      </c>
      <c r="W235">
        <f>HYPERLINK("https://klasma.github.io/Logging_2180/artfynd/A 29840-2023 artfynd.xlsx", "A 29840-2023")</f>
        <v/>
      </c>
      <c r="X235">
        <f>HYPERLINK("https://klasma.github.io/Logging_2180/kartor/A 29840-2023 karta.png", "A 29840-2023")</f>
        <v/>
      </c>
      <c r="Y235">
        <f>HYPERLINK("https://klasma.github.io/Logging_2180/kartor_geotiff/A 29840-2023 georefererad karta.tif", "A 29840-2023")</f>
        <v/>
      </c>
      <c r="AA235">
        <f>HYPERLINK("https://klasma.github.io/Logging_2180/klagomål/A 29840-2023 FSC-klagomål.docx", "A 29840-2023")</f>
        <v/>
      </c>
      <c r="AB235">
        <f>HYPERLINK("https://klasma.github.io/Logging_2180/klagomålsmail/A 29840-2023 FSC-klagomål mail.docx", "A 29840-2023")</f>
        <v/>
      </c>
      <c r="AC235">
        <f>HYPERLINK("https://klasma.github.io/Logging_2180/tillsyn/A 29840-2023 tillsynsbegäran.docx", "A 29840-2023")</f>
        <v/>
      </c>
      <c r="AD235">
        <f>HYPERLINK("https://klasma.github.io/Logging_2180/tillsynsmail/A 29840-2023 tillsynsbegäran mail.docx", "A 29840-2023")</f>
        <v/>
      </c>
      <c r="AE235">
        <f>HYPERLINK("https://klasma.github.io/Logging_2180/fåglar/A 29840-2023 prioriterade fågelarter.docx", "A 29840-2023")</f>
        <v/>
      </c>
    </row>
    <row r="236" ht="15" customHeight="1">
      <c r="A236" t="inlineStr">
        <is>
          <t>A 29582-2026</t>
        </is>
      </c>
      <c r="B236" t="inlineStr">
        <is>
          <t>avverkningsanmälan</t>
        </is>
      </c>
      <c r="C236" t="inlineStr">
        <is>
          <t>Föryngringsavverkning</t>
        </is>
      </c>
      <c r="D236" s="1" t="n">
        <v>46204</v>
      </c>
      <c r="E236" s="1" t="n">
        <v>46326</v>
      </c>
      <c r="F236" t="inlineStr">
        <is>
          <t>GÄVLEBORGS LÄN</t>
        </is>
      </c>
      <c r="G236" t="inlineStr">
        <is>
          <t>HUDIKSVALL</t>
        </is>
      </c>
      <c r="H236" t="inlineStr">
        <is>
          <t>Holmen skog AB</t>
        </is>
      </c>
      <c r="I236" t="n">
        <v>21.3</v>
      </c>
      <c r="J236" t="n">
        <v>1</v>
      </c>
      <c r="K236" t="n">
        <v>0</v>
      </c>
      <c r="L236" t="n">
        <v>3</v>
      </c>
      <c r="M236" t="n">
        <v>1</v>
      </c>
      <c r="N236" t="n">
        <v>0</v>
      </c>
      <c r="O236" t="n">
        <v>0</v>
      </c>
      <c r="P236" t="n">
        <v>0</v>
      </c>
      <c r="Q236" t="n">
        <v>4</v>
      </c>
      <c r="R236" t="n">
        <v>1</v>
      </c>
      <c r="S236" t="n">
        <v>5</v>
      </c>
      <c r="T236" t="n">
        <v>10</v>
      </c>
      <c r="U236" t="n">
        <v>0</v>
      </c>
      <c r="V236" s="2" t="inlineStr">
        <is>
          <t>Garnlav
Gammelgransskål
Violettgrå tagellav
Vitgrynig nållav
Järpe</t>
        </is>
      </c>
      <c r="W236">
        <f>HYPERLINK("https://klasma.github.io/Logging_2184/artfynd/A 29582-2026 artfynd.xlsx", "A 29582-2026")</f>
        <v/>
      </c>
      <c r="X236">
        <f>HYPERLINK("https://klasma.github.io/Logging_2184/kartor/A 29582-2026 karta.png", "A 29582-2026")</f>
        <v/>
      </c>
      <c r="Y236">
        <f>HYPERLINK("https://klasma.github.io/Logging_2184/kartor_geotiff/A 29582-2026 georefererad karta.tif", "A 29582-2026")</f>
        <v/>
      </c>
      <c r="AA236">
        <f>HYPERLINK("https://klasma.github.io/Logging_2184/klagomål/A 29582-2026 FSC-klagomål.docx", "A 29582-2026")</f>
        <v/>
      </c>
      <c r="AB236">
        <f>HYPERLINK("https://klasma.github.io/Logging_2184/klagomålsmail/A 29582-2026 FSC-klagomål mail.docx", "A 29582-2026")</f>
        <v/>
      </c>
      <c r="AC236">
        <f>HYPERLINK("https://klasma.github.io/Logging_2184/tillsyn/A 29582-2026 tillsynsbegäran.docx", "A 29582-2026")</f>
        <v/>
      </c>
      <c r="AD236">
        <f>HYPERLINK("https://klasma.github.io/Logging_2184/tillsynsmail/A 29582-2026 tillsynsbegäran mail.docx", "A 29582-2026")</f>
        <v/>
      </c>
      <c r="AE236">
        <f>HYPERLINK("https://klasma.github.io/Logging_2184/fåglar/A 29582-2026 prioriterade fågelarter.docx", "A 29582-2026")</f>
        <v/>
      </c>
    </row>
    <row r="237" ht="15" customHeight="1">
      <c r="A237" t="inlineStr">
        <is>
          <t>A 60287-2022</t>
        </is>
      </c>
      <c r="B237" t="inlineStr">
        <is>
          <t>avverkningsanmälan</t>
        </is>
      </c>
      <c r="C237" t="inlineStr">
        <is>
          <t>Avverkning för att bevara och utveckla /försöksver</t>
        </is>
      </c>
      <c r="D237" s="1" t="n">
        <v>44910</v>
      </c>
      <c r="E237" s="1" t="n">
        <v>46326</v>
      </c>
      <c r="F237" t="inlineStr">
        <is>
          <t>GÄVLEBORGS LÄN</t>
        </is>
      </c>
      <c r="G237" t="inlineStr">
        <is>
          <t>OVANÅKER</t>
        </is>
      </c>
      <c r="H237" t="inlineStr">
        <is>
          <t>Sveaskog</t>
        </is>
      </c>
      <c r="I237" t="n">
        <v>1.2</v>
      </c>
      <c r="J237" t="n">
        <v>4</v>
      </c>
      <c r="K237" t="n">
        <v>0</v>
      </c>
      <c r="L237" t="n">
        <v>2</v>
      </c>
      <c r="M237" t="n">
        <v>0</v>
      </c>
      <c r="N237" t="n">
        <v>0</v>
      </c>
      <c r="O237" t="n">
        <v>0</v>
      </c>
      <c r="P237" t="n">
        <v>0</v>
      </c>
      <c r="Q237" t="n">
        <v>2</v>
      </c>
      <c r="R237" t="n">
        <v>0</v>
      </c>
      <c r="S237" t="n">
        <v>5</v>
      </c>
      <c r="T237" t="n">
        <v>7</v>
      </c>
      <c r="U237" t="n">
        <v>7</v>
      </c>
      <c r="V237" s="2" t="inlineStr">
        <is>
          <t>Skogshare
Talltita
Kungsfågel
Törnskata
Kopparödla</t>
        </is>
      </c>
      <c r="W237">
        <f>HYPERLINK("https://klasma.github.io/Logging_2121/artfynd/A 60287-2022 artfynd.xlsx", "A 60287-2022")</f>
        <v/>
      </c>
      <c r="X237">
        <f>HYPERLINK("https://klasma.github.io/Logging_2121/kartor/A 60287-2022 karta.png", "A 60287-2022")</f>
        <v/>
      </c>
      <c r="Y237">
        <f>HYPERLINK("https://klasma.github.io/Logging_2121/kartor_geotiff/A 60287-2022 georefererad karta.tif", "A 60287-2022")</f>
        <v/>
      </c>
      <c r="AA237">
        <f>HYPERLINK("https://klasma.github.io/Logging_2121/klagomål/A 60287-2022 FSC-klagomål.docx", "A 60287-2022")</f>
        <v/>
      </c>
      <c r="AB237">
        <f>HYPERLINK("https://klasma.github.io/Logging_2121/klagomålsmail/A 60287-2022 FSC-klagomål mail.docx", "A 60287-2022")</f>
        <v/>
      </c>
      <c r="AC237">
        <f>HYPERLINK("https://klasma.github.io/Logging_2121/tillsyn/A 60287-2022 tillsynsbegäran.docx", "A 60287-2022")</f>
        <v/>
      </c>
      <c r="AD237">
        <f>HYPERLINK("https://klasma.github.io/Logging_2121/tillsynsmail/A 60287-2022 tillsynsbegäran mail.docx", "A 60287-2022")</f>
        <v/>
      </c>
      <c r="AE237">
        <f>HYPERLINK("https://klasma.github.io/Logging_2121/fåglar/A 60287-2022 prioriterade fågelarter.docx", "A 60287-2022")</f>
        <v/>
      </c>
    </row>
    <row r="238" ht="15" customHeight="1">
      <c r="A238" t="inlineStr">
        <is>
          <t>A 31433-2026</t>
        </is>
      </c>
      <c r="B238" t="inlineStr">
        <is>
          <t>avverkningsanmälan</t>
        </is>
      </c>
      <c r="C238" t="inlineStr">
        <is>
          <t>Föryngringsavverkning</t>
        </is>
      </c>
      <c r="D238" s="1" t="n">
        <v>46220</v>
      </c>
      <c r="E238" s="1" t="n">
        <v>46326</v>
      </c>
      <c r="F238" t="inlineStr">
        <is>
          <t>GÄVLEBORGS LÄN</t>
        </is>
      </c>
      <c r="G238" t="inlineStr">
        <is>
          <t>OCKELBO</t>
        </is>
      </c>
      <c r="H238" t="inlineStr">
        <is>
          <t>Bergvik skog väst AB</t>
        </is>
      </c>
      <c r="I238" t="n">
        <v>1.7</v>
      </c>
      <c r="J238" t="n">
        <v>2</v>
      </c>
      <c r="K238" t="n">
        <v>2</v>
      </c>
      <c r="L238" t="n">
        <v>1</v>
      </c>
      <c r="M238" t="n">
        <v>0</v>
      </c>
      <c r="N238" t="n">
        <v>0</v>
      </c>
      <c r="O238" t="n">
        <v>0</v>
      </c>
      <c r="P238" t="n">
        <v>0</v>
      </c>
      <c r="Q238" t="n">
        <v>1</v>
      </c>
      <c r="R238" t="n">
        <v>0</v>
      </c>
      <c r="S238" t="n">
        <v>5</v>
      </c>
      <c r="T238" t="n">
        <v>7</v>
      </c>
      <c r="U238" t="n">
        <v>0</v>
      </c>
      <c r="V238" s="2" t="inlineStr">
        <is>
          <t>Vårärt
Grönpyrola
Svart trolldruva
Blåsippa
Nattviol</t>
        </is>
      </c>
      <c r="W238">
        <f>HYPERLINK("https://klasma.github.io/Logging_2101/artfynd/A 31433-2026 artfynd.xlsx", "A 31433-2026")</f>
        <v/>
      </c>
      <c r="X238">
        <f>HYPERLINK("https://klasma.github.io/Logging_2101/kartor/A 31433-2026 karta.png", "A 31433-2026")</f>
        <v/>
      </c>
      <c r="Y238">
        <f>HYPERLINK("https://klasma.github.io/Logging_2101/kartor_geotiff/A 31433-2026 georefererad karta.tif", "A 31433-2026")</f>
        <v/>
      </c>
      <c r="AA238">
        <f>HYPERLINK("https://klasma.github.io/Logging_2101/klagomål/A 31433-2026 FSC-klagomål.docx", "A 31433-2026")</f>
        <v/>
      </c>
      <c r="AB238">
        <f>HYPERLINK("https://klasma.github.io/Logging_2101/klagomålsmail/A 31433-2026 FSC-klagomål mail.docx", "A 31433-2026")</f>
        <v/>
      </c>
      <c r="AC238">
        <f>HYPERLINK("https://klasma.github.io/Logging_2101/tillsyn/A 31433-2026 tillsynsbegäran.docx", "A 31433-2026")</f>
        <v/>
      </c>
      <c r="AD238">
        <f>HYPERLINK("https://klasma.github.io/Logging_2101/tillsynsmail/A 31433-2026 tillsynsbegäran mail.docx", "A 31433-2026")</f>
        <v/>
      </c>
    </row>
    <row r="239" ht="15" customHeight="1">
      <c r="A239" t="inlineStr">
        <is>
          <t>A 32751-2026</t>
        </is>
      </c>
      <c r="B239" t="inlineStr">
        <is>
          <t>avverkningsanmälan</t>
        </is>
      </c>
      <c r="C239" t="inlineStr">
        <is>
          <t>Föryngringsavverkning</t>
        </is>
      </c>
      <c r="D239" s="1" t="n">
        <v>46241</v>
      </c>
      <c r="E239" s="1" t="n">
        <v>46326</v>
      </c>
      <c r="F239" t="inlineStr">
        <is>
          <t>GÄVLEBORGS LÄN</t>
        </is>
      </c>
      <c r="G239" t="inlineStr">
        <is>
          <t>OVANÅKER</t>
        </is>
      </c>
      <c r="H239" t="inlineStr">
        <is>
          <t>Bergvik skog väst AB</t>
        </is>
      </c>
      <c r="I239" t="n">
        <v>18</v>
      </c>
      <c r="J239" t="n">
        <v>3</v>
      </c>
      <c r="K239" t="n">
        <v>2</v>
      </c>
      <c r="L239" t="n">
        <v>1</v>
      </c>
      <c r="M239" t="n">
        <v>1</v>
      </c>
      <c r="N239" t="n">
        <v>0</v>
      </c>
      <c r="O239" t="n">
        <v>0</v>
      </c>
      <c r="P239" t="n">
        <v>0</v>
      </c>
      <c r="Q239" t="n">
        <v>2</v>
      </c>
      <c r="R239" t="n">
        <v>1</v>
      </c>
      <c r="S239" t="n">
        <v>5</v>
      </c>
      <c r="T239" t="n">
        <v>5</v>
      </c>
      <c r="U239" t="n">
        <v>0</v>
      </c>
      <c r="V239" s="2" t="inlineStr">
        <is>
          <t>Garnlav
Vitgrynig nållav
Korallrot
Spindelblomster
Fläcknycklar</t>
        </is>
      </c>
      <c r="W239">
        <f>HYPERLINK("https://klasma.github.io/Logging_2121/artfynd/A 32751-2026 artfynd.xlsx", "A 32751-2026")</f>
        <v/>
      </c>
      <c r="X239">
        <f>HYPERLINK("https://klasma.github.io/Logging_2121/kartor/A 32751-2026 karta.png", "A 32751-2026")</f>
        <v/>
      </c>
      <c r="Y239">
        <f>HYPERLINK("https://klasma.github.io/Logging_2121/kartor_geotiff/A 32751-2026 georefererad karta.tif", "A 32751-2026")</f>
        <v/>
      </c>
      <c r="AA239">
        <f>HYPERLINK("https://klasma.github.io/Logging_2121/klagomål/A 32751-2026 FSC-klagomål.docx", "A 32751-2026")</f>
        <v/>
      </c>
      <c r="AB239">
        <f>HYPERLINK("https://klasma.github.io/Logging_2121/klagomålsmail/A 32751-2026 FSC-klagomål mail.docx", "A 32751-2026")</f>
        <v/>
      </c>
      <c r="AC239">
        <f>HYPERLINK("https://klasma.github.io/Logging_2121/tillsyn/A 32751-2026 tillsynsbegäran.docx", "A 32751-2026")</f>
        <v/>
      </c>
      <c r="AD239">
        <f>HYPERLINK("https://klasma.github.io/Logging_2121/tillsynsmail/A 32751-2026 tillsynsbegäran mail.docx", "A 32751-2026")</f>
        <v/>
      </c>
    </row>
    <row r="240" ht="15" customHeight="1">
      <c r="A240" t="inlineStr">
        <is>
          <t>A 40041-2026</t>
        </is>
      </c>
      <c r="B240" t="inlineStr">
        <is>
          <t>avverkningsanmälan</t>
        </is>
      </c>
      <c r="C240" t="inlineStr">
        <is>
          <t>Föryngringsavverkning</t>
        </is>
      </c>
      <c r="D240" s="1" t="n">
        <v>46293</v>
      </c>
      <c r="E240" s="1" t="n">
        <v>46326</v>
      </c>
      <c r="F240" t="inlineStr">
        <is>
          <t>GÄVLEBORGS LÄN</t>
        </is>
      </c>
      <c r="G240" t="inlineStr">
        <is>
          <t>LJUSDAL</t>
        </is>
      </c>
      <c r="H240" t="inlineStr">
        <is>
          <t>Allmännings- och besparingsskogar</t>
        </is>
      </c>
      <c r="I240" t="n">
        <v>4.1</v>
      </c>
      <c r="J240" t="n">
        <v>3</v>
      </c>
      <c r="K240" t="n">
        <v>1</v>
      </c>
      <c r="L240" t="n">
        <v>2</v>
      </c>
      <c r="M240" t="n">
        <v>1</v>
      </c>
      <c r="N240" t="n">
        <v>0</v>
      </c>
      <c r="O240" t="n">
        <v>0</v>
      </c>
      <c r="P240" t="n">
        <v>0</v>
      </c>
      <c r="Q240" t="n">
        <v>3</v>
      </c>
      <c r="R240" t="n">
        <v>1</v>
      </c>
      <c r="S240" t="n">
        <v>5</v>
      </c>
      <c r="T240" t="n">
        <v>6</v>
      </c>
      <c r="U240" t="n">
        <v>5</v>
      </c>
      <c r="V240" s="2" t="inlineStr">
        <is>
          <t>Garnlav
Kungsörn
Talltita
Mindre märgborre
Järpe</t>
        </is>
      </c>
      <c r="W240">
        <f>HYPERLINK("https://klasma.github.io/Logging_2161/artfynd/A 40041-2026 artfynd.xlsx", "A 40041-2026")</f>
        <v/>
      </c>
      <c r="X240">
        <f>HYPERLINK("https://klasma.github.io/Logging_2161/kartor/A 40041-2026 karta.png", "A 40041-2026")</f>
        <v/>
      </c>
      <c r="Y240">
        <f>HYPERLINK("https://klasma.github.io/Logging_2161/kartor_geotiff/A 40041-2026 georefererad karta.tif", "A 40041-2026")</f>
        <v/>
      </c>
      <c r="AA240">
        <f>HYPERLINK("https://klasma.github.io/Logging_2161/klagomål/A 40041-2026 FSC-klagomål.docx", "A 40041-2026")</f>
        <v/>
      </c>
      <c r="AB240">
        <f>HYPERLINK("https://klasma.github.io/Logging_2161/klagomålsmail/A 40041-2026 FSC-klagomål mail.docx", "A 40041-2026")</f>
        <v/>
      </c>
      <c r="AC240">
        <f>HYPERLINK("https://klasma.github.io/Logging_2161/tillsyn/A 40041-2026 tillsynsbegäran.docx", "A 40041-2026")</f>
        <v/>
      </c>
      <c r="AD240">
        <f>HYPERLINK("https://klasma.github.io/Logging_2161/tillsynsmail/A 40041-2026 tillsynsbegäran mail.docx", "A 40041-2026")</f>
        <v/>
      </c>
      <c r="AE240">
        <f>HYPERLINK("https://klasma.github.io/Logging_2161/fåglar/A 40041-2026 prioriterade fågelarter.docx", "A 40041-2026")</f>
        <v/>
      </c>
    </row>
    <row r="241" ht="15" customHeight="1">
      <c r="A241" t="inlineStr">
        <is>
          <t>A 33891-2026</t>
        </is>
      </c>
      <c r="B241" t="inlineStr">
        <is>
          <t>avverkningsanmälan</t>
        </is>
      </c>
      <c r="C241" t="inlineStr">
        <is>
          <t>Föryngringsavverkning</t>
        </is>
      </c>
      <c r="D241" s="1" t="n">
        <v>46251</v>
      </c>
      <c r="E241" s="1" t="n">
        <v>46326</v>
      </c>
      <c r="F241" t="inlineStr">
        <is>
          <t>GÄVLEBORGS LÄN</t>
        </is>
      </c>
      <c r="G241" t="inlineStr">
        <is>
          <t>LJUSDAL</t>
        </is>
      </c>
      <c r="H241" t="inlineStr">
        <is>
          <t>Sveaskog</t>
        </is>
      </c>
      <c r="I241" t="n">
        <v>19.8</v>
      </c>
      <c r="J241" t="n">
        <v>2</v>
      </c>
      <c r="K241" t="n">
        <v>1</v>
      </c>
      <c r="L241" t="n">
        <v>2</v>
      </c>
      <c r="M241" t="n">
        <v>1</v>
      </c>
      <c r="N241" t="n">
        <v>0</v>
      </c>
      <c r="O241" t="n">
        <v>0</v>
      </c>
      <c r="P241" t="n">
        <v>0</v>
      </c>
      <c r="Q241" t="n">
        <v>3</v>
      </c>
      <c r="R241" t="n">
        <v>1</v>
      </c>
      <c r="S241" t="n">
        <v>5</v>
      </c>
      <c r="T241" t="n">
        <v>6</v>
      </c>
      <c r="U241" t="n">
        <v>6</v>
      </c>
      <c r="V241" s="2" t="inlineStr">
        <is>
          <t>Garnlav
Kolflarnlav
Lunglav
Plattlummer
Fläcknycklar</t>
        </is>
      </c>
      <c r="W241">
        <f>HYPERLINK("https://klasma.github.io/Logging_2161/artfynd/A 33891-2026 artfynd.xlsx", "A 33891-2026")</f>
        <v/>
      </c>
      <c r="X241">
        <f>HYPERLINK("https://klasma.github.io/Logging_2161/kartor/A 33891-2026 karta.png", "A 33891-2026")</f>
        <v/>
      </c>
      <c r="Y241">
        <f>HYPERLINK("https://klasma.github.io/Logging_2161/kartor_geotiff/A 33891-2026 georefererad karta.tif", "A 33891-2026")</f>
        <v/>
      </c>
      <c r="AA241">
        <f>HYPERLINK("https://klasma.github.io/Logging_2161/klagomål/A 33891-2026 FSC-klagomål.docx", "A 33891-2026")</f>
        <v/>
      </c>
      <c r="AB241">
        <f>HYPERLINK("https://klasma.github.io/Logging_2161/klagomålsmail/A 33891-2026 FSC-klagomål mail.docx", "A 33891-2026")</f>
        <v/>
      </c>
      <c r="AC241">
        <f>HYPERLINK("https://klasma.github.io/Logging_2161/tillsyn/A 33891-2026 tillsynsbegäran.docx", "A 33891-2026")</f>
        <v/>
      </c>
      <c r="AD241">
        <f>HYPERLINK("https://klasma.github.io/Logging_2161/tillsynsmail/A 33891-2026 tillsynsbegäran mail.docx", "A 33891-2026")</f>
        <v/>
      </c>
    </row>
    <row r="242" ht="15" customHeight="1">
      <c r="A242" t="inlineStr">
        <is>
          <t>A 34373-2026</t>
        </is>
      </c>
      <c r="B242" t="inlineStr">
        <is>
          <t>avverkningsanmälan</t>
        </is>
      </c>
      <c r="C242" t="inlineStr">
        <is>
          <t>Föryngringsavverkning</t>
        </is>
      </c>
      <c r="D242" s="1" t="n">
        <v>46254</v>
      </c>
      <c r="E242" s="1" t="n">
        <v>46326</v>
      </c>
      <c r="F242" t="inlineStr">
        <is>
          <t>GÄVLEBORGS LÄN</t>
        </is>
      </c>
      <c r="G242" t="inlineStr">
        <is>
          <t>SANDVIKEN</t>
        </is>
      </c>
      <c r="I242" t="n">
        <v>6.8</v>
      </c>
      <c r="J242" t="n">
        <v>3</v>
      </c>
      <c r="K242" t="n">
        <v>3</v>
      </c>
      <c r="L242" t="n">
        <v>1</v>
      </c>
      <c r="M242" t="n">
        <v>0</v>
      </c>
      <c r="N242" t="n">
        <v>0</v>
      </c>
      <c r="O242" t="n">
        <v>0</v>
      </c>
      <c r="P242" t="n">
        <v>0</v>
      </c>
      <c r="Q242" t="n">
        <v>1</v>
      </c>
      <c r="R242" t="n">
        <v>0</v>
      </c>
      <c r="S242" t="n">
        <v>5</v>
      </c>
      <c r="T242" t="n">
        <v>5</v>
      </c>
      <c r="U242" t="n">
        <v>0</v>
      </c>
      <c r="V242" s="2" t="inlineStr">
        <is>
          <t>Gullpudra
Korallrot
Plattlummer
Ögonpyrola
Revlummer</t>
        </is>
      </c>
      <c r="W242">
        <f>HYPERLINK("https://klasma.github.io/Logging_2181/artfynd/A 34373-2026 artfynd.xlsx", "A 34373-2026")</f>
        <v/>
      </c>
      <c r="X242">
        <f>HYPERLINK("https://klasma.github.io/Logging_2181/kartor/A 34373-2026 karta.png", "A 34373-2026")</f>
        <v/>
      </c>
      <c r="Y242">
        <f>HYPERLINK("https://klasma.github.io/Logging_2181/kartor_geotiff/A 34373-2026 georefererad karta.tif", "A 34373-2026")</f>
        <v/>
      </c>
      <c r="AA242">
        <f>HYPERLINK("https://klasma.github.io/Logging_2181/klagomål/A 34373-2026 FSC-klagomål.docx", "A 34373-2026")</f>
        <v/>
      </c>
      <c r="AB242">
        <f>HYPERLINK("https://klasma.github.io/Logging_2181/klagomålsmail/A 34373-2026 FSC-klagomål mail.docx", "A 34373-2026")</f>
        <v/>
      </c>
      <c r="AC242">
        <f>HYPERLINK("https://klasma.github.io/Logging_2181/tillsyn/A 34373-2026 tillsynsbegäran.docx", "A 34373-2026")</f>
        <v/>
      </c>
      <c r="AD242">
        <f>HYPERLINK("https://klasma.github.io/Logging_2181/tillsynsmail/A 34373-2026 tillsynsbegäran mail.docx", "A 34373-2026")</f>
        <v/>
      </c>
    </row>
    <row r="243" ht="15" customHeight="1">
      <c r="A243" t="inlineStr">
        <is>
          <t>A 35201-2026</t>
        </is>
      </c>
      <c r="B243" t="inlineStr">
        <is>
          <t>avverkningsanmälan</t>
        </is>
      </c>
      <c r="C243" t="inlineStr">
        <is>
          <t>Föryngringsavverkning</t>
        </is>
      </c>
      <c r="D243" s="1" t="n">
        <v>46260</v>
      </c>
      <c r="E243" s="1" t="n">
        <v>46326</v>
      </c>
      <c r="F243" t="inlineStr">
        <is>
          <t>GÄVLEBORGS LÄN</t>
        </is>
      </c>
      <c r="G243" t="inlineStr">
        <is>
          <t>HUDIKSVALL</t>
        </is>
      </c>
      <c r="H243" t="inlineStr">
        <is>
          <t>Holmen skog AB</t>
        </is>
      </c>
      <c r="I243" t="n">
        <v>7.5</v>
      </c>
      <c r="J243" t="n">
        <v>1</v>
      </c>
      <c r="K243" t="n">
        <v>3</v>
      </c>
      <c r="L243" t="n">
        <v>1</v>
      </c>
      <c r="M243" t="n">
        <v>0</v>
      </c>
      <c r="N243" t="n">
        <v>0</v>
      </c>
      <c r="O243" t="n">
        <v>0</v>
      </c>
      <c r="P243" t="n">
        <v>0</v>
      </c>
      <c r="Q243" t="n">
        <v>1</v>
      </c>
      <c r="R243" t="n">
        <v>0</v>
      </c>
      <c r="S243" t="n">
        <v>5</v>
      </c>
      <c r="T243" t="n">
        <v>5</v>
      </c>
      <c r="U243" t="n">
        <v>0</v>
      </c>
      <c r="V243" s="2" t="inlineStr">
        <is>
          <t>Gullpudra
Skogsbräsma
Strutbräken
Svart trolldruva
Lopplummer (aggregat)</t>
        </is>
      </c>
      <c r="W243">
        <f>HYPERLINK("https://klasma.github.io/Logging_2184/artfynd/A 35201-2026 artfynd.xlsx", "A 35201-2026")</f>
        <v/>
      </c>
      <c r="X243">
        <f>HYPERLINK("https://klasma.github.io/Logging_2184/kartor/A 35201-2026 karta.png", "A 35201-2026")</f>
        <v/>
      </c>
      <c r="Y243">
        <f>HYPERLINK("https://klasma.github.io/Logging_2184/kartor_geotiff/A 35201-2026 georefererad karta.tif", "A 35201-2026")</f>
        <v/>
      </c>
      <c r="AA243">
        <f>HYPERLINK("https://klasma.github.io/Logging_2184/klagomål/A 35201-2026 FSC-klagomål.docx", "A 35201-2026")</f>
        <v/>
      </c>
      <c r="AB243">
        <f>HYPERLINK("https://klasma.github.io/Logging_2184/klagomålsmail/A 35201-2026 FSC-klagomål mail.docx", "A 35201-2026")</f>
        <v/>
      </c>
      <c r="AC243">
        <f>HYPERLINK("https://klasma.github.io/Logging_2184/tillsyn/A 35201-2026 tillsynsbegäran.docx", "A 35201-2026")</f>
        <v/>
      </c>
      <c r="AD243">
        <f>HYPERLINK("https://klasma.github.io/Logging_2184/tillsynsmail/A 35201-2026 tillsynsbegäran mail.docx", "A 35201-2026")</f>
        <v/>
      </c>
    </row>
    <row r="244" ht="15" customHeight="1">
      <c r="A244" t="inlineStr">
        <is>
          <t>A 41869-2026</t>
        </is>
      </c>
      <c r="B244" t="inlineStr">
        <is>
          <t>avverkningsanmälan</t>
        </is>
      </c>
      <c r="C244" t="inlineStr">
        <is>
          <t>Föryngringsavverkning</t>
        </is>
      </c>
      <c r="D244" s="1" t="n">
        <v>46303</v>
      </c>
      <c r="E244" s="1" t="n">
        <v>46326</v>
      </c>
      <c r="F244" t="inlineStr">
        <is>
          <t>GÄVLEBORGS LÄN</t>
        </is>
      </c>
      <c r="G244" t="inlineStr">
        <is>
          <t>LJUSDAL</t>
        </is>
      </c>
      <c r="H244" t="inlineStr">
        <is>
          <t>Allmännings- och besparingsskogar</t>
        </is>
      </c>
      <c r="I244" t="n">
        <v>15.9</v>
      </c>
      <c r="J244" t="n">
        <v>2</v>
      </c>
      <c r="K244" t="n">
        <v>0</v>
      </c>
      <c r="L244" t="n">
        <v>3</v>
      </c>
      <c r="M244" t="n">
        <v>1</v>
      </c>
      <c r="N244" t="n">
        <v>0</v>
      </c>
      <c r="O244" t="n">
        <v>0</v>
      </c>
      <c r="P244" t="n">
        <v>0</v>
      </c>
      <c r="Q244" t="n">
        <v>4</v>
      </c>
      <c r="R244" t="n">
        <v>1</v>
      </c>
      <c r="S244" t="n">
        <v>5</v>
      </c>
      <c r="T244" t="n">
        <v>12</v>
      </c>
      <c r="U244" t="n">
        <v>12</v>
      </c>
      <c r="V244" s="2" t="inlineStr">
        <is>
          <t>Garnlav
Lunglav
Skrovellav
Talltita
Spillkråka</t>
        </is>
      </c>
      <c r="W244">
        <f>HYPERLINK("https://klasma.github.io/Logging_2161/artfynd/A 41869-2026 artfynd.xlsx", "A 41869-2026")</f>
        <v/>
      </c>
      <c r="X244">
        <f>HYPERLINK("https://klasma.github.io/Logging_2161/kartor/A 41869-2026 karta.png", "A 41869-2026")</f>
        <v/>
      </c>
      <c r="Y244">
        <f>HYPERLINK("https://klasma.github.io/Logging_2161/kartor_geotiff/A 41869-2026 georefererad karta.tif", "A 41869-2026")</f>
        <v/>
      </c>
      <c r="AA244">
        <f>HYPERLINK("https://klasma.github.io/Logging_2161/klagomål/A 41869-2026 FSC-klagomål.docx", "A 41869-2026")</f>
        <v/>
      </c>
      <c r="AB244">
        <f>HYPERLINK("https://klasma.github.io/Logging_2161/klagomålsmail/A 41869-2026 FSC-klagomål mail.docx", "A 41869-2026")</f>
        <v/>
      </c>
      <c r="AC244">
        <f>HYPERLINK("https://klasma.github.io/Logging_2161/tillsyn/A 41869-2026 tillsynsbegäran.docx", "A 41869-2026")</f>
        <v/>
      </c>
      <c r="AD244">
        <f>HYPERLINK("https://klasma.github.io/Logging_2161/tillsynsmail/A 41869-2026 tillsynsbegäran mail.docx", "A 41869-2026")</f>
        <v/>
      </c>
      <c r="AE244">
        <f>HYPERLINK("https://klasma.github.io/Logging_2161/fåglar/A 41869-2026 prioriterade fågelarter.docx", "A 41869-2026")</f>
        <v/>
      </c>
    </row>
    <row r="245" ht="15" customHeight="1">
      <c r="A245" t="inlineStr">
        <is>
          <t>A 44507-2026</t>
        </is>
      </c>
      <c r="B245" t="inlineStr">
        <is>
          <t>avverkningsanmälan</t>
        </is>
      </c>
      <c r="C245" t="inlineStr">
        <is>
          <t>Föryngringsavverkning</t>
        </is>
      </c>
      <c r="D245" s="1" t="n">
        <v>46321</v>
      </c>
      <c r="E245" s="1" t="n">
        <v>46326</v>
      </c>
      <c r="F245" t="inlineStr">
        <is>
          <t>GÄVLEBORGS LÄN</t>
        </is>
      </c>
      <c r="G245" t="inlineStr">
        <is>
          <t>LJUSDAL</t>
        </is>
      </c>
      <c r="H245" t="inlineStr">
        <is>
          <t>SCA</t>
        </is>
      </c>
      <c r="I245" t="n">
        <v>3.8</v>
      </c>
      <c r="J245" t="n">
        <v>1</v>
      </c>
      <c r="K245" t="n">
        <v>0</v>
      </c>
      <c r="L245" t="n">
        <v>3</v>
      </c>
      <c r="M245" t="n">
        <v>1</v>
      </c>
      <c r="N245" t="n">
        <v>0</v>
      </c>
      <c r="O245" t="n">
        <v>0</v>
      </c>
      <c r="P245" t="n">
        <v>0</v>
      </c>
      <c r="Q245" t="n">
        <v>4</v>
      </c>
      <c r="R245" t="n">
        <v>1</v>
      </c>
      <c r="S245" t="n">
        <v>5</v>
      </c>
      <c r="T245" t="n">
        <v>9</v>
      </c>
      <c r="U245" t="n">
        <v>0</v>
      </c>
      <c r="V245" s="2" t="inlineStr">
        <is>
          <t>Garnlav
Gammelgransskål
Kolflarnlav
Lunglav
Revlummer</t>
        </is>
      </c>
      <c r="W245">
        <f>HYPERLINK("https://klasma.github.io/Logging_2161/artfynd/A 44507-2026 artfynd.xlsx", "A 44507-2026")</f>
        <v/>
      </c>
      <c r="X245">
        <f>HYPERLINK("https://klasma.github.io/Logging_2161/kartor/A 44507-2026 karta.png", "A 44507-2026")</f>
        <v/>
      </c>
      <c r="Y245">
        <f>HYPERLINK("https://klasma.github.io/Logging_2161/kartor_geotiff/A 44507-2026 georefererad karta.tif", "A 44507-2026")</f>
        <v/>
      </c>
      <c r="AA245">
        <f>HYPERLINK("https://klasma.github.io/Logging_2161/klagomål/A 44507-2026 FSC-klagomål.docx", "A 44507-2026")</f>
        <v/>
      </c>
      <c r="AB245">
        <f>HYPERLINK("https://klasma.github.io/Logging_2161/klagomålsmail/A 44507-2026 FSC-klagomål mail.docx", "A 44507-2026")</f>
        <v/>
      </c>
      <c r="AC245">
        <f>HYPERLINK("https://klasma.github.io/Logging_2161/tillsyn/A 44507-2026 tillsynsbegäran.docx", "A 44507-2026")</f>
        <v/>
      </c>
      <c r="AD245">
        <f>HYPERLINK("https://klasma.github.io/Logging_2161/tillsynsmail/A 44507-2026 tillsynsbegäran mail.docx", "A 44507-2026")</f>
        <v/>
      </c>
    </row>
    <row r="246" ht="15" customHeight="1">
      <c r="A246" t="inlineStr">
        <is>
          <t>A 21038-2025</t>
        </is>
      </c>
      <c r="B246" t="inlineStr">
        <is>
          <t>avverkningsanmälan</t>
        </is>
      </c>
      <c r="C246" t="inlineStr">
        <is>
          <t>Föryngringsavverkning</t>
        </is>
      </c>
      <c r="D246" s="1" t="n">
        <v>45777</v>
      </c>
      <c r="E246" s="1" t="n">
        <v>46326</v>
      </c>
      <c r="F246" t="inlineStr">
        <is>
          <t>GÄVLEBORGS LÄN</t>
        </is>
      </c>
      <c r="G246" t="inlineStr">
        <is>
          <t>LJUSDAL</t>
        </is>
      </c>
      <c r="H246" t="inlineStr">
        <is>
          <t>SCA</t>
        </is>
      </c>
      <c r="I246" t="n">
        <v>3.8</v>
      </c>
      <c r="J246" t="n">
        <v>1</v>
      </c>
      <c r="K246" t="n">
        <v>0</v>
      </c>
      <c r="L246" t="n">
        <v>3</v>
      </c>
      <c r="M246" t="n">
        <v>1</v>
      </c>
      <c r="N246" t="n">
        <v>0</v>
      </c>
      <c r="O246" t="n">
        <v>0</v>
      </c>
      <c r="P246" t="n">
        <v>0</v>
      </c>
      <c r="Q246" t="n">
        <v>4</v>
      </c>
      <c r="R246" t="n">
        <v>1</v>
      </c>
      <c r="S246" t="n">
        <v>5</v>
      </c>
      <c r="T246" t="n">
        <v>9</v>
      </c>
      <c r="U246" t="n">
        <v>0</v>
      </c>
      <c r="V246" s="2" t="inlineStr">
        <is>
          <t>Garnlav
Gammelgransskål
Kolflarnlav
Lunglav
Revlummer</t>
        </is>
      </c>
      <c r="W246">
        <f>HYPERLINK("https://klasma.github.io/Logging_2161/artfynd/A 21038-2025 artfynd.xlsx", "A 21038-2025")</f>
        <v/>
      </c>
      <c r="X246">
        <f>HYPERLINK("https://klasma.github.io/Logging_2161/kartor/A 21038-2025 karta.png", "A 21038-2025")</f>
        <v/>
      </c>
      <c r="Y246">
        <f>HYPERLINK("https://klasma.github.io/Logging_2161/kartor_geotiff/A 21038-2025 georefererad karta.tif", "A 21038-2025")</f>
        <v/>
      </c>
      <c r="AA246">
        <f>HYPERLINK("https://klasma.github.io/Logging_2161/klagomål/A 21038-2025 FSC-klagomål.docx", "A 21038-2025")</f>
        <v/>
      </c>
      <c r="AB246">
        <f>HYPERLINK("https://klasma.github.io/Logging_2161/klagomålsmail/A 21038-2025 FSC-klagomål mail.docx", "A 21038-2025")</f>
        <v/>
      </c>
      <c r="AC246">
        <f>HYPERLINK("https://klasma.github.io/Logging_2161/tillsyn/A 21038-2025 tillsynsbegäran.docx", "A 21038-2025")</f>
        <v/>
      </c>
      <c r="AD246">
        <f>HYPERLINK("https://klasma.github.io/Logging_2161/tillsynsmail/A 21038-2025 tillsynsbegäran mail.docx", "A 21038-2025")</f>
        <v/>
      </c>
    </row>
    <row r="247" ht="15" customHeight="1">
      <c r="A247" t="inlineStr">
        <is>
          <t>A 38286-2026</t>
        </is>
      </c>
      <c r="B247" t="inlineStr">
        <is>
          <t>avverkningsanmälan</t>
        </is>
      </c>
      <c r="C247" t="inlineStr">
        <is>
          <t>Föryngringsavverkning</t>
        </is>
      </c>
      <c r="D247" s="1" t="n">
        <v>46281</v>
      </c>
      <c r="E247" s="1" t="n">
        <v>46326</v>
      </c>
      <c r="F247" t="inlineStr">
        <is>
          <t>GÄVLEBORGS LÄN</t>
        </is>
      </c>
      <c r="G247" t="inlineStr">
        <is>
          <t>LJUSDAL</t>
        </is>
      </c>
      <c r="H247" t="inlineStr">
        <is>
          <t>Sveaskog</t>
        </is>
      </c>
      <c r="I247" t="n">
        <v>15.7</v>
      </c>
      <c r="J247" t="n">
        <v>1</v>
      </c>
      <c r="K247" t="n">
        <v>1</v>
      </c>
      <c r="L247" t="n">
        <v>4</v>
      </c>
      <c r="M247" t="n">
        <v>0</v>
      </c>
      <c r="N247" t="n">
        <v>0</v>
      </c>
      <c r="O247" t="n">
        <v>0</v>
      </c>
      <c r="P247" t="n">
        <v>0</v>
      </c>
      <c r="Q247" t="n">
        <v>4</v>
      </c>
      <c r="R247" t="n">
        <v>0</v>
      </c>
      <c r="S247" t="n">
        <v>5</v>
      </c>
      <c r="T247" t="n">
        <v>5</v>
      </c>
      <c r="U247" t="n">
        <v>5</v>
      </c>
      <c r="V247" s="2" t="inlineStr">
        <is>
          <t>Kolflarnlav
Lunglav
Skrovellav
Talltaggsvamp
Plattlummer</t>
        </is>
      </c>
      <c r="W247">
        <f>HYPERLINK("https://klasma.github.io/Logging_2161/artfynd/A 38286-2026 artfynd.xlsx", "A 38286-2026")</f>
        <v/>
      </c>
      <c r="X247">
        <f>HYPERLINK("https://klasma.github.io/Logging_2161/kartor/A 38286-2026 karta.png", "A 38286-2026")</f>
        <v/>
      </c>
      <c r="Y247">
        <f>HYPERLINK("https://klasma.github.io/Logging_2161/kartor_geotiff/A 38286-2026 georefererad karta.tif", "A 38286-2026")</f>
        <v/>
      </c>
      <c r="AA247">
        <f>HYPERLINK("https://klasma.github.io/Logging_2161/klagomål/A 38286-2026 FSC-klagomål.docx", "A 38286-2026")</f>
        <v/>
      </c>
      <c r="AB247">
        <f>HYPERLINK("https://klasma.github.io/Logging_2161/klagomålsmail/A 38286-2026 FSC-klagomål mail.docx", "A 38286-2026")</f>
        <v/>
      </c>
      <c r="AC247">
        <f>HYPERLINK("https://klasma.github.io/Logging_2161/tillsyn/A 38286-2026 tillsynsbegäran.docx", "A 38286-2026")</f>
        <v/>
      </c>
      <c r="AD247">
        <f>HYPERLINK("https://klasma.github.io/Logging_2161/tillsynsmail/A 38286-2026 tillsynsbegäran mail.docx", "A 38286-2026")</f>
        <v/>
      </c>
    </row>
    <row r="248" ht="15" customHeight="1">
      <c r="A248" t="inlineStr">
        <is>
          <t>S 194-2024</t>
        </is>
      </c>
      <c r="B248" t="inlineStr">
        <is>
          <t>samrådsanmälan</t>
        </is>
      </c>
      <c r="C248" t="inlineStr">
        <is>
          <t>Skogsgödsling</t>
        </is>
      </c>
      <c r="D248" s="1" t="n">
        <v>45315</v>
      </c>
      <c r="E248" s="1" t="n">
        <v>46326</v>
      </c>
      <c r="F248" t="inlineStr">
        <is>
          <t>GÄVLEBORGS LÄN</t>
        </is>
      </c>
      <c r="G248" t="inlineStr">
        <is>
          <t>GÄVLE</t>
        </is>
      </c>
      <c r="H248" t="inlineStr">
        <is>
          <t>Bergvik skog öst AB</t>
        </is>
      </c>
      <c r="I248" t="n">
        <v>67.3</v>
      </c>
      <c r="J248" t="n">
        <v>1</v>
      </c>
      <c r="K248" t="n">
        <v>3</v>
      </c>
      <c r="L248" t="n">
        <v>1</v>
      </c>
      <c r="M248" t="n">
        <v>0</v>
      </c>
      <c r="N248" t="n">
        <v>0</v>
      </c>
      <c r="O248" t="n">
        <v>0</v>
      </c>
      <c r="P248" t="n">
        <v>0</v>
      </c>
      <c r="Q248" t="n">
        <v>1</v>
      </c>
      <c r="R248" t="n">
        <v>0</v>
      </c>
      <c r="S248" t="n">
        <v>5</v>
      </c>
      <c r="T248" t="n">
        <v>9</v>
      </c>
      <c r="U248" t="n">
        <v>0</v>
      </c>
      <c r="V248" s="2" t="inlineStr">
        <is>
          <t>Vedtrappmossa
Bronshjon
Svavelriska
Tibast
Blåsippa</t>
        </is>
      </c>
      <c r="W248">
        <f>HYPERLINK("https://klasma.github.io/Logging_2180/artfynd/S 194-2024 artfynd.xlsx", "S 194-2024")</f>
        <v/>
      </c>
      <c r="X248">
        <f>HYPERLINK("https://klasma.github.io/Logging_2180/kartor/S 194-2024 karta.png", "S 194-2024")</f>
        <v/>
      </c>
      <c r="Y248">
        <f>HYPERLINK("https://klasma.github.io/Logging_2180/kartor_geotiff/S 194-2024 georefererad karta.tif", "S 194-2024")</f>
        <v/>
      </c>
      <c r="AA248">
        <f>HYPERLINK("https://klasma.github.io/Logging_2180/klagomål/S 194-2024 FSC-klagomål.docx", "S 194-2024")</f>
        <v/>
      </c>
      <c r="AB248">
        <f>HYPERLINK("https://klasma.github.io/Logging_2180/klagomålsmail/S 194-2024 FSC-klagomål mail.docx", "S 194-2024")</f>
        <v/>
      </c>
      <c r="AC248">
        <f>HYPERLINK("https://klasma.github.io/Logging_2180/tillsyn/S 194-2024 tillsynsbegäran.docx", "S 194-2024")</f>
        <v/>
      </c>
      <c r="AD248">
        <f>HYPERLINK("https://klasma.github.io/Logging_2180/tillsynsmail/S 194-2024 tillsynsbegäran mail.docx", "S 194-2024")</f>
        <v/>
      </c>
    </row>
    <row r="249" ht="15" customHeight="1">
      <c r="A249" t="inlineStr">
        <is>
          <t>S 890-2023</t>
        </is>
      </c>
      <c r="B249" t="inlineStr">
        <is>
          <t>samrådsanmälan</t>
        </is>
      </c>
      <c r="C249" t="inlineStr">
        <is>
          <t>Skogsgödsling</t>
        </is>
      </c>
      <c r="D249" s="1" t="n">
        <v>44995</v>
      </c>
      <c r="E249" s="1" t="n">
        <v>46326</v>
      </c>
      <c r="F249" t="inlineStr">
        <is>
          <t>GÄVLEBORGS LÄN</t>
        </is>
      </c>
      <c r="G249" t="inlineStr">
        <is>
          <t>OCKELBO</t>
        </is>
      </c>
      <c r="H249" t="inlineStr">
        <is>
          <t>Bergvik skog väst AB</t>
        </is>
      </c>
      <c r="I249" t="n">
        <v>151</v>
      </c>
      <c r="J249" t="n">
        <v>0</v>
      </c>
      <c r="K249" t="n">
        <v>1</v>
      </c>
      <c r="L249" t="n">
        <v>3</v>
      </c>
      <c r="M249" t="n">
        <v>1</v>
      </c>
      <c r="N249" t="n">
        <v>0</v>
      </c>
      <c r="O249" t="n">
        <v>0</v>
      </c>
      <c r="P249" t="n">
        <v>0</v>
      </c>
      <c r="Q249" t="n">
        <v>4</v>
      </c>
      <c r="R249" t="n">
        <v>1</v>
      </c>
      <c r="S249" t="n">
        <v>5</v>
      </c>
      <c r="T249" t="n">
        <v>6</v>
      </c>
      <c r="U249" t="n">
        <v>0</v>
      </c>
      <c r="V249" s="2" t="inlineStr">
        <is>
          <t>Garnlav
Dropptaggsvamp
Motaggsvamp
Skarp dropptaggsvamp
Smal svampklubba</t>
        </is>
      </c>
      <c r="W249">
        <f>HYPERLINK("https://klasma.github.io/Logging_2101/artfynd/S 890-2023 artfynd.xlsx", "S 890-2023")</f>
        <v/>
      </c>
      <c r="X249">
        <f>HYPERLINK("https://klasma.github.io/Logging_2101/kartor/S 890-2023 karta.png", "S 890-2023")</f>
        <v/>
      </c>
      <c r="Y249">
        <f>HYPERLINK("https://klasma.github.io/Logging_2101/kartor_geotiff/S 890-2023 georefererad karta.tif", "S 890-2023")</f>
        <v/>
      </c>
      <c r="AA249">
        <f>HYPERLINK("https://klasma.github.io/Logging_2101/klagomål/S 890-2023 FSC-klagomål.docx", "S 890-2023")</f>
        <v/>
      </c>
      <c r="AB249">
        <f>HYPERLINK("https://klasma.github.io/Logging_2101/klagomålsmail/S 890-2023 FSC-klagomål mail.docx", "S 890-2023")</f>
        <v/>
      </c>
      <c r="AC249">
        <f>HYPERLINK("https://klasma.github.io/Logging_2101/tillsyn/S 890-2023 tillsynsbegäran.docx", "S 890-2023")</f>
        <v/>
      </c>
      <c r="AD249">
        <f>HYPERLINK("https://klasma.github.io/Logging_2101/tillsynsmail/S 890-2023 tillsynsbegäran mail.docx", "S 890-2023")</f>
        <v/>
      </c>
    </row>
    <row r="250" ht="15" customHeight="1">
      <c r="A250" t="inlineStr">
        <is>
          <t>S 5062-2024</t>
        </is>
      </c>
      <c r="B250" t="inlineStr">
        <is>
          <t>samrådsanmälan</t>
        </is>
      </c>
      <c r="C250" t="inlineStr">
        <is>
          <t>Skogsgödsling</t>
        </is>
      </c>
      <c r="D250" s="1" t="n">
        <v>45638</v>
      </c>
      <c r="E250" s="1" t="n">
        <v>46326</v>
      </c>
      <c r="F250" t="inlineStr">
        <is>
          <t>GÄVLEBORGS LÄN</t>
        </is>
      </c>
      <c r="G250" t="inlineStr">
        <is>
          <t>GÄVLE</t>
        </is>
      </c>
      <c r="H250" t="inlineStr">
        <is>
          <t>Bergvik skog väst AB</t>
        </is>
      </c>
      <c r="I250" t="n">
        <v>255.2</v>
      </c>
      <c r="J250" t="n">
        <v>3</v>
      </c>
      <c r="K250" t="n">
        <v>0</v>
      </c>
      <c r="L250" t="n">
        <v>2</v>
      </c>
      <c r="M250" t="n">
        <v>0</v>
      </c>
      <c r="N250" t="n">
        <v>0</v>
      </c>
      <c r="O250" t="n">
        <v>0</v>
      </c>
      <c r="P250" t="n">
        <v>0</v>
      </c>
      <c r="Q250" t="n">
        <v>2</v>
      </c>
      <c r="R250" t="n">
        <v>0</v>
      </c>
      <c r="S250" t="n">
        <v>5</v>
      </c>
      <c r="T250" t="n">
        <v>5</v>
      </c>
      <c r="U250" t="n">
        <v>5</v>
      </c>
      <c r="V250" s="2" t="inlineStr">
        <is>
          <t>Brunklöver
Vedskivlav
Tjäder
Havsörn
Mindre vattensalamander</t>
        </is>
      </c>
      <c r="W250">
        <f>HYPERLINK("https://klasma.github.io/Logging_2180/artfynd/S 5062-2024 artfynd.xlsx", "S 5062-2024")</f>
        <v/>
      </c>
      <c r="X250">
        <f>HYPERLINK("https://klasma.github.io/Logging_2180/kartor/S 5062-2024 karta.png", "S 5062-2024")</f>
        <v/>
      </c>
      <c r="Y250">
        <f>HYPERLINK("https://klasma.github.io/Logging_2180/kartor_geotiff/S 5062-2024 georefererad karta.tif", "S 5062-2024")</f>
        <v/>
      </c>
      <c r="AA250">
        <f>HYPERLINK("https://klasma.github.io/Logging_2180/klagomål/S 5062-2024 FSC-klagomål.docx", "S 5062-2024")</f>
        <v/>
      </c>
      <c r="AB250">
        <f>HYPERLINK("https://klasma.github.io/Logging_2180/klagomålsmail/S 5062-2024 FSC-klagomål mail.docx", "S 5062-2024")</f>
        <v/>
      </c>
      <c r="AC250">
        <f>HYPERLINK("https://klasma.github.io/Logging_2180/tillsyn/S 5062-2024 tillsynsbegäran.docx", "S 5062-2024")</f>
        <v/>
      </c>
      <c r="AD250">
        <f>HYPERLINK("https://klasma.github.io/Logging_2180/tillsynsmail/S 5062-2024 tillsynsbegäran mail.docx", "S 5062-2024")</f>
        <v/>
      </c>
      <c r="AE250">
        <f>HYPERLINK("https://klasma.github.io/Logging_2180/fåglar/S 5062-2024 prioriterade fågelarter.docx", "S 5062-2024")</f>
        <v/>
      </c>
    </row>
    <row r="251" ht="15" customHeight="1">
      <c r="A251" t="inlineStr">
        <is>
          <t>S 4511-2023</t>
        </is>
      </c>
      <c r="B251" t="inlineStr">
        <is>
          <t>samrådsanmälan</t>
        </is>
      </c>
      <c r="C251" t="inlineStr">
        <is>
          <t>Skogsgödsling</t>
        </is>
      </c>
      <c r="D251" s="1" t="n">
        <v>45274</v>
      </c>
      <c r="E251" s="1" t="n">
        <v>46326</v>
      </c>
      <c r="F251" t="inlineStr">
        <is>
          <t>GÄVLEBORGS LÄN</t>
        </is>
      </c>
      <c r="G251" t="inlineStr">
        <is>
          <t>GÄVLE</t>
        </is>
      </c>
      <c r="H251" t="inlineStr">
        <is>
          <t>Bergvik skog väst AB</t>
        </is>
      </c>
      <c r="I251" t="n">
        <v>218.3</v>
      </c>
      <c r="J251" t="n">
        <v>2</v>
      </c>
      <c r="K251" t="n">
        <v>3</v>
      </c>
      <c r="L251" t="n">
        <v>0</v>
      </c>
      <c r="M251" t="n">
        <v>0</v>
      </c>
      <c r="N251" t="n">
        <v>0</v>
      </c>
      <c r="O251" t="n">
        <v>0</v>
      </c>
      <c r="P251" t="n">
        <v>0</v>
      </c>
      <c r="Q251" t="n">
        <v>0</v>
      </c>
      <c r="R251" t="n">
        <v>0</v>
      </c>
      <c r="S251" t="n">
        <v>5</v>
      </c>
      <c r="T251" t="n">
        <v>7</v>
      </c>
      <c r="U251" t="n">
        <v>3</v>
      </c>
      <c r="V251" s="2" t="inlineStr">
        <is>
          <t>Blåsfliksmossa
Grov baronmossa
Guldlockmossa
Fläcknycklar
Nattviol</t>
        </is>
      </c>
      <c r="W251">
        <f>HYPERLINK("https://klasma.github.io/Logging_2180/artfynd/S 4511-2023 artfynd.xlsx", "S 4511-2023")</f>
        <v/>
      </c>
      <c r="X251">
        <f>HYPERLINK("https://klasma.github.io/Logging_2180/kartor/S 4511-2023 karta.png", "S 4511-2023")</f>
        <v/>
      </c>
      <c r="Y251">
        <f>HYPERLINK("https://klasma.github.io/Logging_2180/kartor_geotiff/S 4511-2023 georefererad karta.tif", "S 4511-2023")</f>
        <v/>
      </c>
      <c r="AA251">
        <f>HYPERLINK("https://klasma.github.io/Logging_2180/klagomål/S 4511-2023 FSC-klagomål.docx", "S 4511-2023")</f>
        <v/>
      </c>
      <c r="AB251">
        <f>HYPERLINK("https://klasma.github.io/Logging_2180/klagomålsmail/S 4511-2023 FSC-klagomål mail.docx", "S 4511-2023")</f>
        <v/>
      </c>
      <c r="AC251">
        <f>HYPERLINK("https://klasma.github.io/Logging_2180/tillsyn/S 4511-2023 tillsynsbegäran.docx", "S 4511-2023")</f>
        <v/>
      </c>
      <c r="AD251">
        <f>HYPERLINK("https://klasma.github.io/Logging_2180/tillsynsmail/S 4511-2023 tillsynsbegäran mail.docx", "S 4511-2023")</f>
        <v/>
      </c>
    </row>
    <row r="252" ht="15" customHeight="1">
      <c r="A252" t="inlineStr">
        <is>
          <t>S 104-2022</t>
        </is>
      </c>
      <c r="B252" t="inlineStr">
        <is>
          <t>samrådsanmälan</t>
        </is>
      </c>
      <c r="C252" t="inlineStr">
        <is>
          <t>Skogsgödsling</t>
        </is>
      </c>
      <c r="D252" s="1" t="n">
        <v>44566</v>
      </c>
      <c r="E252" s="1" t="n">
        <v>46326</v>
      </c>
      <c r="F252" t="inlineStr">
        <is>
          <t>GÄVLEBORGS LÄN</t>
        </is>
      </c>
      <c r="G252" t="inlineStr">
        <is>
          <t>LJUSDAL</t>
        </is>
      </c>
      <c r="H252" t="inlineStr">
        <is>
          <t>Bergvik skog väst AB</t>
        </is>
      </c>
      <c r="I252" t="n">
        <v>126</v>
      </c>
      <c r="J252" t="n">
        <v>1</v>
      </c>
      <c r="K252" t="n">
        <v>1</v>
      </c>
      <c r="L252" t="n">
        <v>2</v>
      </c>
      <c r="M252" t="n">
        <v>1</v>
      </c>
      <c r="N252" t="n">
        <v>0</v>
      </c>
      <c r="O252" t="n">
        <v>0</v>
      </c>
      <c r="P252" t="n">
        <v>0</v>
      </c>
      <c r="Q252" t="n">
        <v>3</v>
      </c>
      <c r="R252" t="n">
        <v>1</v>
      </c>
      <c r="S252" t="n">
        <v>5</v>
      </c>
      <c r="T252" t="n">
        <v>6</v>
      </c>
      <c r="U252" t="n">
        <v>6</v>
      </c>
      <c r="V252" s="2" t="inlineStr">
        <is>
          <t>Garnlav
Flikbålmossa
Gammelgransskål
Rödgul trumpetsvamp
Fläcknycklar</t>
        </is>
      </c>
      <c r="W252">
        <f>HYPERLINK("https://klasma.github.io/Logging_2161/artfynd/S 104-2022 artfynd.xlsx", "S 104-2022")</f>
        <v/>
      </c>
      <c r="X252">
        <f>HYPERLINK("https://klasma.github.io/Logging_2161/kartor/S 104-2022 karta.png", "S 104-2022")</f>
        <v/>
      </c>
      <c r="Y252">
        <f>HYPERLINK("https://klasma.github.io/Logging_2161/kartor_geotiff/S 104-2022 georefererad karta.tif", "S 104-2022")</f>
        <v/>
      </c>
      <c r="AA252">
        <f>HYPERLINK("https://klasma.github.io/Logging_2161/klagomål/S 104-2022 FSC-klagomål.docx", "S 104-2022")</f>
        <v/>
      </c>
      <c r="AB252">
        <f>HYPERLINK("https://klasma.github.io/Logging_2161/klagomålsmail/S 104-2022 FSC-klagomål mail.docx", "S 104-2022")</f>
        <v/>
      </c>
      <c r="AC252">
        <f>HYPERLINK("https://klasma.github.io/Logging_2161/tillsyn/S 104-2022 tillsynsbegäran.docx", "S 104-2022")</f>
        <v/>
      </c>
      <c r="AD252">
        <f>HYPERLINK("https://klasma.github.io/Logging_2161/tillsynsmail/S 104-2022 tillsynsbegäran mail.docx", "S 104-2022")</f>
        <v/>
      </c>
    </row>
    <row r="253" ht="15" customHeight="1">
      <c r="A253" t="inlineStr">
        <is>
          <t>S 563-2024</t>
        </is>
      </c>
      <c r="B253" t="inlineStr">
        <is>
          <t>samrådsanmälan</t>
        </is>
      </c>
      <c r="C253" t="inlineStr">
        <is>
          <t>Skogsgödsling</t>
        </is>
      </c>
      <c r="D253" s="1" t="n">
        <v>45349</v>
      </c>
      <c r="E253" s="1" t="n">
        <v>46326</v>
      </c>
      <c r="F253" t="inlineStr">
        <is>
          <t>GÄVLEBORGS LÄN</t>
        </is>
      </c>
      <c r="G253" t="inlineStr">
        <is>
          <t>LJUSDAL</t>
        </is>
      </c>
      <c r="H253" t="inlineStr">
        <is>
          <t>Sveaskog</t>
        </is>
      </c>
      <c r="I253" t="n">
        <v>527.5</v>
      </c>
      <c r="J253" t="n">
        <v>1</v>
      </c>
      <c r="K253" t="n">
        <v>1</v>
      </c>
      <c r="L253" t="n">
        <v>2</v>
      </c>
      <c r="M253" t="n">
        <v>0</v>
      </c>
      <c r="N253" t="n">
        <v>0</v>
      </c>
      <c r="O253" t="n">
        <v>0</v>
      </c>
      <c r="P253" t="n">
        <v>0</v>
      </c>
      <c r="Q253" t="n">
        <v>2</v>
      </c>
      <c r="R253" t="n">
        <v>0</v>
      </c>
      <c r="S253" t="n">
        <v>5</v>
      </c>
      <c r="T253" t="n">
        <v>13</v>
      </c>
      <c r="U253" t="n">
        <v>12</v>
      </c>
      <c r="V253" s="2" t="inlineStr">
        <is>
          <t>Kolflarnlav
Lunglav
Bronshjon
Linnea
Tjäder</t>
        </is>
      </c>
      <c r="W253">
        <f>HYPERLINK("https://klasma.github.io/Logging_2161/artfynd/S 563-2024 artfynd.xlsx", "S 563-2024")</f>
        <v/>
      </c>
      <c r="X253">
        <f>HYPERLINK("https://klasma.github.io/Logging_2161/kartor/S 563-2024 karta.png", "S 563-2024")</f>
        <v/>
      </c>
      <c r="Y253">
        <f>HYPERLINK("https://klasma.github.io/Logging_2161/kartor_geotiff/S 563-2024 georefererad karta.tif", "S 563-2024")</f>
        <v/>
      </c>
      <c r="AA253">
        <f>HYPERLINK("https://klasma.github.io/Logging_2161/klagomål/S 563-2024 FSC-klagomål.docx", "S 563-2024")</f>
        <v/>
      </c>
      <c r="AB253">
        <f>HYPERLINK("https://klasma.github.io/Logging_2161/klagomålsmail/S 563-2024 FSC-klagomål mail.docx", "S 563-2024")</f>
        <v/>
      </c>
      <c r="AC253">
        <f>HYPERLINK("https://klasma.github.io/Logging_2161/tillsyn/S 563-2024 tillsynsbegäran.docx", "S 563-2024")</f>
        <v/>
      </c>
      <c r="AD253">
        <f>HYPERLINK("https://klasma.github.io/Logging_2161/tillsynsmail/S 563-2024 tillsynsbegäran mail.docx", "S 563-2024")</f>
        <v/>
      </c>
      <c r="AE253">
        <f>HYPERLINK("https://klasma.github.io/Logging_2161/fåglar/S 563-2024 prioriterade fågelarter.docx", "S 563-2024")</f>
        <v/>
      </c>
    </row>
    <row r="254" ht="15" customHeight="1">
      <c r="A254" t="inlineStr">
        <is>
          <t>S 17-2024</t>
        </is>
      </c>
      <c r="B254" t="inlineStr">
        <is>
          <t>samrådsanmälan</t>
        </is>
      </c>
      <c r="C254" t="inlineStr">
        <is>
          <t>Skogsgödsling</t>
        </is>
      </c>
      <c r="D254" s="1" t="n">
        <v>45293</v>
      </c>
      <c r="E254" s="1" t="n">
        <v>46326</v>
      </c>
      <c r="F254" t="inlineStr">
        <is>
          <t>GÄVLEBORGS LÄN</t>
        </is>
      </c>
      <c r="G254" t="inlineStr">
        <is>
          <t>SÖDERHAMN</t>
        </is>
      </c>
      <c r="H254" t="inlineStr">
        <is>
          <t>Bergvik skog väst AB</t>
        </is>
      </c>
      <c r="I254" t="n">
        <v>26.9</v>
      </c>
      <c r="J254" t="n">
        <v>4</v>
      </c>
      <c r="K254" t="n">
        <v>1</v>
      </c>
      <c r="L254" t="n">
        <v>1</v>
      </c>
      <c r="M254" t="n">
        <v>0</v>
      </c>
      <c r="N254" t="n">
        <v>0</v>
      </c>
      <c r="O254" t="n">
        <v>0</v>
      </c>
      <c r="P254" t="n">
        <v>0</v>
      </c>
      <c r="Q254" t="n">
        <v>1</v>
      </c>
      <c r="R254" t="n">
        <v>0</v>
      </c>
      <c r="S254" t="n">
        <v>5</v>
      </c>
      <c r="T254" t="n">
        <v>5</v>
      </c>
      <c r="U254" t="n">
        <v>5</v>
      </c>
      <c r="V254" s="2" t="inlineStr">
        <is>
          <t>Vårärt
Plattlummer
Blåsippa
Nattviol
Revlummer</t>
        </is>
      </c>
      <c r="W254">
        <f>HYPERLINK("https://klasma.github.io/Logging_2182/artfynd/S 17-2024 artfynd.xlsx", "S 17-2024")</f>
        <v/>
      </c>
      <c r="X254">
        <f>HYPERLINK("https://klasma.github.io/Logging_2182/kartor/S 17-2024 karta.png", "S 17-2024")</f>
        <v/>
      </c>
      <c r="Y254">
        <f>HYPERLINK("https://klasma.github.io/Logging_2182/kartor_geotiff/S 17-2024 georefererad karta.tif", "S 17-2024")</f>
        <v/>
      </c>
      <c r="AA254">
        <f>HYPERLINK("https://klasma.github.io/Logging_2182/klagomål/S 17-2024 FSC-klagomål.docx", "S 17-2024")</f>
        <v/>
      </c>
      <c r="AB254">
        <f>HYPERLINK("https://klasma.github.io/Logging_2182/klagomålsmail/S 17-2024 FSC-klagomål mail.docx", "S 17-2024")</f>
        <v/>
      </c>
      <c r="AC254">
        <f>HYPERLINK("https://klasma.github.io/Logging_2182/tillsyn/S 17-2024 tillsynsbegäran.docx", "S 17-2024")</f>
        <v/>
      </c>
      <c r="AD254">
        <f>HYPERLINK("https://klasma.github.io/Logging_2182/tillsynsmail/S 17-2024 tillsynsbegäran mail.docx", "S 17-2024")</f>
        <v/>
      </c>
    </row>
    <row r="255" ht="15" customHeight="1">
      <c r="A255" t="inlineStr">
        <is>
          <t>S 499-2025</t>
        </is>
      </c>
      <c r="B255" t="inlineStr">
        <is>
          <t>samrådsanmälan</t>
        </is>
      </c>
      <c r="C255" t="inlineStr">
        <is>
          <t>Skogsgödsling</t>
        </is>
      </c>
      <c r="D255" s="1" t="n">
        <v>45705</v>
      </c>
      <c r="E255" s="1" t="n">
        <v>46326</v>
      </c>
      <c r="F255" t="inlineStr">
        <is>
          <t>GÄVLEBORGS LÄN</t>
        </is>
      </c>
      <c r="G255" t="inlineStr">
        <is>
          <t>LJUSDAL</t>
        </is>
      </c>
      <c r="H255" t="inlineStr">
        <is>
          <t>Bergvik skog väst AB</t>
        </is>
      </c>
      <c r="I255" t="n">
        <v>430.7</v>
      </c>
      <c r="J255" t="n">
        <v>2</v>
      </c>
      <c r="K255" t="n">
        <v>3</v>
      </c>
      <c r="L255" t="n">
        <v>1</v>
      </c>
      <c r="M255" t="n">
        <v>0</v>
      </c>
      <c r="N255" t="n">
        <v>0</v>
      </c>
      <c r="O255" t="n">
        <v>0</v>
      </c>
      <c r="P255" t="n">
        <v>0</v>
      </c>
      <c r="Q255" t="n">
        <v>1</v>
      </c>
      <c r="R255" t="n">
        <v>0</v>
      </c>
      <c r="S255" t="n">
        <v>5</v>
      </c>
      <c r="T255" t="n">
        <v>5</v>
      </c>
      <c r="U255" t="n">
        <v>0</v>
      </c>
      <c r="V255" s="2" t="inlineStr">
        <is>
          <t>Kolflarnlav
Mörkhövdad spiklav
Plattlummer
Stuplav
Kungsfågel</t>
        </is>
      </c>
      <c r="W255">
        <f>HYPERLINK("https://klasma.github.io/Logging_2161/artfynd/S 499-2025 artfynd.xlsx", "S 499-2025")</f>
        <v/>
      </c>
      <c r="X255">
        <f>HYPERLINK("https://klasma.github.io/Logging_2161/kartor/S 499-2025 karta.png", "S 499-2025")</f>
        <v/>
      </c>
      <c r="Y255">
        <f>HYPERLINK("https://klasma.github.io/Logging_2161/kartor_geotiff/S 499-2025 georefererad karta.tif", "S 499-2025")</f>
        <v/>
      </c>
      <c r="AA255">
        <f>HYPERLINK("https://klasma.github.io/Logging_2161/klagomål/S 499-2025 FSC-klagomål.docx", "S 499-2025")</f>
        <v/>
      </c>
      <c r="AB255">
        <f>HYPERLINK("https://klasma.github.io/Logging_2161/klagomålsmail/S 499-2025 FSC-klagomål mail.docx", "S 499-2025")</f>
        <v/>
      </c>
      <c r="AC255">
        <f>HYPERLINK("https://klasma.github.io/Logging_2161/tillsyn/S 499-2025 tillsynsbegäran.docx", "S 499-2025")</f>
        <v/>
      </c>
      <c r="AD255">
        <f>HYPERLINK("https://klasma.github.io/Logging_2161/tillsynsmail/S 499-2025 tillsynsbegäran mail.docx", "S 499-2025")</f>
        <v/>
      </c>
    </row>
    <row r="256" ht="15" customHeight="1">
      <c r="A256" t="inlineStr">
        <is>
          <t>S 140-2025</t>
        </is>
      </c>
      <c r="B256" t="inlineStr">
        <is>
          <t>samrådsanmälan</t>
        </is>
      </c>
      <c r="C256" t="inlineStr">
        <is>
          <t>Skogsgödsling</t>
        </is>
      </c>
      <c r="D256" s="1" t="n">
        <v>45670</v>
      </c>
      <c r="E256" s="1" t="n">
        <v>46326</v>
      </c>
      <c r="F256" t="inlineStr">
        <is>
          <t>GÄVLEBORGS LÄN</t>
        </is>
      </c>
      <c r="G256" t="inlineStr">
        <is>
          <t>LJUSDAL</t>
        </is>
      </c>
      <c r="I256" t="n">
        <v>95.09999999999999</v>
      </c>
      <c r="J256" t="n">
        <v>1</v>
      </c>
      <c r="K256" t="n">
        <v>0</v>
      </c>
      <c r="L256" t="n">
        <v>3</v>
      </c>
      <c r="M256" t="n">
        <v>2</v>
      </c>
      <c r="N256" t="n">
        <v>0</v>
      </c>
      <c r="O256" t="n">
        <v>0</v>
      </c>
      <c r="P256" t="n">
        <v>0</v>
      </c>
      <c r="Q256" t="n">
        <v>5</v>
      </c>
      <c r="R256" t="n">
        <v>2</v>
      </c>
      <c r="S256" t="n">
        <v>5</v>
      </c>
      <c r="T256" t="n">
        <v>6</v>
      </c>
      <c r="U256" t="n">
        <v>0</v>
      </c>
      <c r="V256" s="2" t="inlineStr">
        <is>
          <t>Garnlav
Knärot
Blanksvart spiklav
Vedflamlav
Vedtrappmossa</t>
        </is>
      </c>
      <c r="W256">
        <f>HYPERLINK("https://klasma.github.io/Logging_2161/artfynd/S 140-2025 artfynd.xlsx", "S 140-2025")</f>
        <v/>
      </c>
      <c r="X256">
        <f>HYPERLINK("https://klasma.github.io/Logging_2161/kartor/S 140-2025 karta.png", "S 140-2025")</f>
        <v/>
      </c>
      <c r="Y256">
        <f>HYPERLINK("https://klasma.github.io/Logging_2161/kartor_geotiff/S 140-2025 georefererad karta.tif", "S 140-2025")</f>
        <v/>
      </c>
      <c r="Z256">
        <f>HYPERLINK("https://klasma.github.io/Logging_2161/knärot/S 140-2025 karta knärot.png", "S 140-2025")</f>
        <v/>
      </c>
      <c r="AA256">
        <f>HYPERLINK("https://klasma.github.io/Logging_2161/klagomål/S 140-2025 FSC-klagomål.docx", "S 140-2025")</f>
        <v/>
      </c>
      <c r="AB256">
        <f>HYPERLINK("https://klasma.github.io/Logging_2161/klagomålsmail/S 140-2025 FSC-klagomål mail.docx", "S 140-2025")</f>
        <v/>
      </c>
      <c r="AC256">
        <f>HYPERLINK("https://klasma.github.io/Logging_2161/tillsyn/S 140-2025 tillsynsbegäran.docx", "S 140-2025")</f>
        <v/>
      </c>
      <c r="AD256">
        <f>HYPERLINK("https://klasma.github.io/Logging_2161/tillsynsmail/S 140-2025 tillsynsbegäran mail.docx", "S 140-2025")</f>
        <v/>
      </c>
    </row>
    <row r="257" ht="15" customHeight="1">
      <c r="A257" t="inlineStr">
        <is>
          <t>S 3383-2025</t>
        </is>
      </c>
      <c r="B257" t="inlineStr">
        <is>
          <t>samrådsanmälan</t>
        </is>
      </c>
      <c r="C257" t="inlineStr">
        <is>
          <t>Skogsgödsling</t>
        </is>
      </c>
      <c r="D257" s="1" t="n">
        <v>45993</v>
      </c>
      <c r="E257" s="1" t="n">
        <v>46326</v>
      </c>
      <c r="F257" t="inlineStr">
        <is>
          <t>GÄVLEBORGS LÄN</t>
        </is>
      </c>
      <c r="G257" t="inlineStr">
        <is>
          <t>LJUSDAL</t>
        </is>
      </c>
      <c r="H257" t="inlineStr">
        <is>
          <t>Holmen skog AB</t>
        </is>
      </c>
      <c r="I257" t="n">
        <v>624.7</v>
      </c>
      <c r="J257" t="n">
        <v>1</v>
      </c>
      <c r="K257" t="n">
        <v>1</v>
      </c>
      <c r="L257" t="n">
        <v>3</v>
      </c>
      <c r="M257" t="n">
        <v>1</v>
      </c>
      <c r="N257" t="n">
        <v>0</v>
      </c>
      <c r="O257" t="n">
        <v>0</v>
      </c>
      <c r="P257" t="n">
        <v>0</v>
      </c>
      <c r="Q257" t="n">
        <v>4</v>
      </c>
      <c r="R257" t="n">
        <v>1</v>
      </c>
      <c r="S257" t="n">
        <v>5</v>
      </c>
      <c r="T257" t="n">
        <v>7</v>
      </c>
      <c r="U257" t="n">
        <v>6</v>
      </c>
      <c r="V257" s="2" t="inlineStr">
        <is>
          <t>Garnlav
Lunglav
Ullticka
Vitgrynig nållav
Plattlummer</t>
        </is>
      </c>
      <c r="W257">
        <f>HYPERLINK("https://klasma.github.io/Logging_2161/artfynd/S 3383-2025 artfynd.xlsx", "S 3383-2025")</f>
        <v/>
      </c>
      <c r="X257">
        <f>HYPERLINK("https://klasma.github.io/Logging_2161/kartor/S 3383-2025 karta.png", "S 3383-2025")</f>
        <v/>
      </c>
      <c r="Y257">
        <f>HYPERLINK("https://klasma.github.io/Logging_2161/kartor_geotiff/S 3383-2025 georefererad karta.tif", "S 3383-2025")</f>
        <v/>
      </c>
      <c r="AA257">
        <f>HYPERLINK("https://klasma.github.io/Logging_2161/klagomål/S 3383-2025 FSC-klagomål.docx", "S 3383-2025")</f>
        <v/>
      </c>
      <c r="AB257">
        <f>HYPERLINK("https://klasma.github.io/Logging_2161/klagomålsmail/S 3383-2025 FSC-klagomål mail.docx", "S 3383-2025")</f>
        <v/>
      </c>
      <c r="AC257">
        <f>HYPERLINK("https://klasma.github.io/Logging_2161/tillsyn/S 3383-2025 tillsynsbegäran.docx", "S 3383-2025")</f>
        <v/>
      </c>
      <c r="AD257">
        <f>HYPERLINK("https://klasma.github.io/Logging_2161/tillsynsmail/S 3383-2025 tillsynsbegäran mail.docx", "S 3383-2025")</f>
        <v/>
      </c>
    </row>
    <row r="258" ht="15" customHeight="1">
      <c r="A258" t="inlineStr">
        <is>
          <t>S 3409-2025</t>
        </is>
      </c>
      <c r="B258" t="inlineStr">
        <is>
          <t>samrådsanmälan</t>
        </is>
      </c>
      <c r="C258" t="inlineStr">
        <is>
          <t>Skogsgödsling</t>
        </is>
      </c>
      <c r="D258" s="1" t="n">
        <v>45994</v>
      </c>
      <c r="E258" s="1" t="n">
        <v>46326</v>
      </c>
      <c r="F258" t="inlineStr">
        <is>
          <t>GÄVLEBORGS LÄN</t>
        </is>
      </c>
      <c r="G258" t="inlineStr">
        <is>
          <t>LJUSDAL</t>
        </is>
      </c>
      <c r="H258" t="inlineStr">
        <is>
          <t>Bergvik skog väst AB</t>
        </is>
      </c>
      <c r="I258" t="n">
        <v>695.9</v>
      </c>
      <c r="J258" t="n">
        <v>0</v>
      </c>
      <c r="K258" t="n">
        <v>3</v>
      </c>
      <c r="L258" t="n">
        <v>2</v>
      </c>
      <c r="M258" t="n">
        <v>0</v>
      </c>
      <c r="N258" t="n">
        <v>0</v>
      </c>
      <c r="O258" t="n">
        <v>0</v>
      </c>
      <c r="P258" t="n">
        <v>0</v>
      </c>
      <c r="Q258" t="n">
        <v>2</v>
      </c>
      <c r="R258" t="n">
        <v>0</v>
      </c>
      <c r="S258" t="n">
        <v>5</v>
      </c>
      <c r="T258" t="n">
        <v>5</v>
      </c>
      <c r="U258" t="n">
        <v>0</v>
      </c>
      <c r="V258" s="2" t="inlineStr">
        <is>
          <t>Lunglav
Ullticka
Bårdlav
Skinnlav
Stuplav</t>
        </is>
      </c>
      <c r="W258">
        <f>HYPERLINK("https://klasma.github.io/Logging_2161/artfynd/S 3409-2025 artfynd.xlsx", "S 3409-2025")</f>
        <v/>
      </c>
      <c r="X258">
        <f>HYPERLINK("https://klasma.github.io/Logging_2161/kartor/S 3409-2025 karta.png", "S 3409-2025")</f>
        <v/>
      </c>
      <c r="Y258">
        <f>HYPERLINK("https://klasma.github.io/Logging_2161/kartor_geotiff/S 3409-2025 georefererad karta.tif", "S 3409-2025")</f>
        <v/>
      </c>
      <c r="AA258">
        <f>HYPERLINK("https://klasma.github.io/Logging_2161/klagomål/S 3409-2025 FSC-klagomål.docx", "S 3409-2025")</f>
        <v/>
      </c>
      <c r="AB258">
        <f>HYPERLINK("https://klasma.github.io/Logging_2161/klagomålsmail/S 3409-2025 FSC-klagomål mail.docx", "S 3409-2025")</f>
        <v/>
      </c>
      <c r="AC258">
        <f>HYPERLINK("https://klasma.github.io/Logging_2161/tillsyn/S 3409-2025 tillsynsbegäran.docx", "S 3409-2025")</f>
        <v/>
      </c>
      <c r="AD258">
        <f>HYPERLINK("https://klasma.github.io/Logging_2161/tillsynsmail/S 3409-2025 tillsynsbegäran mail.docx", "S 3409-2025")</f>
        <v/>
      </c>
    </row>
    <row r="259" ht="15" customHeight="1">
      <c r="A259" t="inlineStr">
        <is>
          <t>S 498-2026</t>
        </is>
      </c>
      <c r="B259" t="inlineStr">
        <is>
          <t>samrådsanmälan</t>
        </is>
      </c>
      <c r="C259" t="inlineStr">
        <is>
          <t>Skogsgödsling</t>
        </is>
      </c>
      <c r="D259" s="1" t="n">
        <v>46073</v>
      </c>
      <c r="E259" s="1" t="n">
        <v>46326</v>
      </c>
      <c r="F259" t="inlineStr">
        <is>
          <t>GÄVLEBORGS LÄN</t>
        </is>
      </c>
      <c r="G259" t="inlineStr">
        <is>
          <t>LJUSDAL</t>
        </is>
      </c>
      <c r="H259" t="inlineStr">
        <is>
          <t>Sveaskog</t>
        </is>
      </c>
      <c r="I259" t="n">
        <v>315.4</v>
      </c>
      <c r="J259" t="n">
        <v>2</v>
      </c>
      <c r="K259" t="n">
        <v>0</v>
      </c>
      <c r="L259" t="n">
        <v>3</v>
      </c>
      <c r="M259" t="n">
        <v>0</v>
      </c>
      <c r="N259" t="n">
        <v>0</v>
      </c>
      <c r="O259" t="n">
        <v>0</v>
      </c>
      <c r="P259" t="n">
        <v>0</v>
      </c>
      <c r="Q259" t="n">
        <v>3</v>
      </c>
      <c r="R259" t="n">
        <v>0</v>
      </c>
      <c r="S259" t="n">
        <v>5</v>
      </c>
      <c r="T259" t="n">
        <v>6</v>
      </c>
      <c r="U259" t="n">
        <v>0</v>
      </c>
      <c r="V259" s="2" t="inlineStr">
        <is>
          <t>Kolflarnlav
Lunglav
Mörk kolflarnlav
Fläcknycklar
Revlummer</t>
        </is>
      </c>
      <c r="W259">
        <f>HYPERLINK("https://klasma.github.io/Logging_2161/artfynd/S 498-2026 artfynd.xlsx", "S 498-2026")</f>
        <v/>
      </c>
      <c r="X259">
        <f>HYPERLINK("https://klasma.github.io/Logging_2161/kartor/S 498-2026 karta.png", "S 498-2026")</f>
        <v/>
      </c>
      <c r="Y259">
        <f>HYPERLINK("https://klasma.github.io/Logging_2161/kartor_geotiff/S 498-2026 georefererad karta.tif", "S 498-2026")</f>
        <v/>
      </c>
      <c r="AA259">
        <f>HYPERLINK("https://klasma.github.io/Logging_2161/klagomål/S 498-2026 FSC-klagomål.docx", "S 498-2026")</f>
        <v/>
      </c>
      <c r="AB259">
        <f>HYPERLINK("https://klasma.github.io/Logging_2161/klagomålsmail/S 498-2026 FSC-klagomål mail.docx", "S 498-2026")</f>
        <v/>
      </c>
      <c r="AC259">
        <f>HYPERLINK("https://klasma.github.io/Logging_2161/tillsyn/S 498-2026 tillsynsbegäran.docx", "S 498-2026")</f>
        <v/>
      </c>
      <c r="AD259">
        <f>HYPERLINK("https://klasma.github.io/Logging_2161/tillsynsmail/S 498-2026 tillsynsbegäran mail.docx", "S 498-2026")</f>
        <v/>
      </c>
    </row>
    <row r="260" ht="15" customHeight="1">
      <c r="A260" t="inlineStr">
        <is>
          <t>S 804-2026</t>
        </is>
      </c>
      <c r="B260" t="inlineStr">
        <is>
          <t>samrådsanmälan</t>
        </is>
      </c>
      <c r="C260" t="inlineStr">
        <is>
          <t>Annan skogsbruksåtgärd</t>
        </is>
      </c>
      <c r="D260" s="1" t="n">
        <v>46100</v>
      </c>
      <c r="E260" s="1" t="n">
        <v>46326</v>
      </c>
      <c r="F260" t="inlineStr">
        <is>
          <t>GÄVLEBORGS LÄN</t>
        </is>
      </c>
      <c r="G260" t="inlineStr">
        <is>
          <t>LJUSDAL</t>
        </is>
      </c>
      <c r="H260" t="inlineStr">
        <is>
          <t>Sveaskog</t>
        </is>
      </c>
      <c r="I260" t="n">
        <v>1.8</v>
      </c>
      <c r="J260" t="n">
        <v>0</v>
      </c>
      <c r="K260" t="n">
        <v>0</v>
      </c>
      <c r="L260" t="n">
        <v>5</v>
      </c>
      <c r="M260" t="n">
        <v>0</v>
      </c>
      <c r="N260" t="n">
        <v>0</v>
      </c>
      <c r="O260" t="n">
        <v>0</v>
      </c>
      <c r="P260" t="n">
        <v>0</v>
      </c>
      <c r="Q260" t="n">
        <v>5</v>
      </c>
      <c r="R260" t="n">
        <v>0</v>
      </c>
      <c r="S260" t="n">
        <v>5</v>
      </c>
      <c r="T260" t="n">
        <v>11</v>
      </c>
      <c r="U260" t="n">
        <v>9</v>
      </c>
      <c r="V260" s="2" t="inlineStr">
        <is>
          <t>Blanksvart spiklav
Kolflarnlav
Lunglav
Mörk kolflarnlav
Vedflamlav</t>
        </is>
      </c>
      <c r="W260">
        <f>HYPERLINK("https://klasma.github.io/Logging_2161/artfynd/S 804-2026 artfynd.xlsx", "S 804-2026")</f>
        <v/>
      </c>
      <c r="X260">
        <f>HYPERLINK("https://klasma.github.io/Logging_2161/kartor/S 804-2026 karta.png", "S 804-2026")</f>
        <v/>
      </c>
      <c r="Y260">
        <f>HYPERLINK("https://klasma.github.io/Logging_2161/kartor_geotiff/S 804-2026 georefererad karta.tif", "S 804-2026")</f>
        <v/>
      </c>
      <c r="AA260">
        <f>HYPERLINK("https://klasma.github.io/Logging_2161/klagomål/S 804-2026 FSC-klagomål.docx", "S 804-2026")</f>
        <v/>
      </c>
      <c r="AB260">
        <f>HYPERLINK("https://klasma.github.io/Logging_2161/klagomålsmail/S 804-2026 FSC-klagomål mail.docx", "S 804-2026")</f>
        <v/>
      </c>
      <c r="AC260">
        <f>HYPERLINK("https://klasma.github.io/Logging_2161/tillsyn/S 804-2026 tillsynsbegäran.docx", "S 804-2026")</f>
        <v/>
      </c>
      <c r="AD260">
        <f>HYPERLINK("https://klasma.github.io/Logging_2161/tillsynsmail/S 804-2026 tillsynsbegäran mail.docx", "S 804-2026")</f>
        <v/>
      </c>
    </row>
    <row r="261" ht="15" customHeight="1">
      <c r="A261" t="inlineStr">
        <is>
          <t>S 645-2026</t>
        </is>
      </c>
      <c r="B261" t="inlineStr">
        <is>
          <t>samrådsanmälan</t>
        </is>
      </c>
      <c r="C261" t="inlineStr">
        <is>
          <t>Skogsgödsling</t>
        </is>
      </c>
      <c r="D261" s="1" t="n">
        <v>46089</v>
      </c>
      <c r="E261" s="1" t="n">
        <v>46326</v>
      </c>
      <c r="F261" t="inlineStr">
        <is>
          <t>GÄVLEBORGS LÄN</t>
        </is>
      </c>
      <c r="G261" t="inlineStr">
        <is>
          <t>GÄVLE</t>
        </is>
      </c>
      <c r="H261" t="inlineStr">
        <is>
          <t>Bergvik skog öst AB</t>
        </is>
      </c>
      <c r="I261" t="n">
        <v>82.7</v>
      </c>
      <c r="J261" t="n">
        <v>3</v>
      </c>
      <c r="K261" t="n">
        <v>0</v>
      </c>
      <c r="L261" t="n">
        <v>2</v>
      </c>
      <c r="M261" t="n">
        <v>0</v>
      </c>
      <c r="N261" t="n">
        <v>0</v>
      </c>
      <c r="O261" t="n">
        <v>0</v>
      </c>
      <c r="P261" t="n">
        <v>0</v>
      </c>
      <c r="Q261" t="n">
        <v>2</v>
      </c>
      <c r="R261" t="n">
        <v>0</v>
      </c>
      <c r="S261" t="n">
        <v>5</v>
      </c>
      <c r="T261" t="n">
        <v>10</v>
      </c>
      <c r="U261" t="n">
        <v>0</v>
      </c>
      <c r="V261" s="2" t="inlineStr">
        <is>
          <t>Blanksvart spiklav
Tallticka
Tjäder
Fläcknycklar
Revlummer</t>
        </is>
      </c>
      <c r="W261">
        <f>HYPERLINK("https://klasma.github.io/Logging_2180/artfynd/S 645-2026 artfynd.xlsx", "S 645-2026")</f>
        <v/>
      </c>
      <c r="X261">
        <f>HYPERLINK("https://klasma.github.io/Logging_2180/kartor/S 645-2026 karta.png", "S 645-2026")</f>
        <v/>
      </c>
      <c r="Y261">
        <f>HYPERLINK("https://klasma.github.io/Logging_2180/kartor_geotiff/S 645-2026 georefererad karta.tif", "S 645-2026")</f>
        <v/>
      </c>
      <c r="AA261">
        <f>HYPERLINK("https://klasma.github.io/Logging_2180/klagomål/S 645-2026 FSC-klagomål.docx", "S 645-2026")</f>
        <v/>
      </c>
      <c r="AB261">
        <f>HYPERLINK("https://klasma.github.io/Logging_2180/klagomålsmail/S 645-2026 FSC-klagomål mail.docx", "S 645-2026")</f>
        <v/>
      </c>
      <c r="AC261">
        <f>HYPERLINK("https://klasma.github.io/Logging_2180/tillsyn/S 645-2026 tillsynsbegäran.docx", "S 645-2026")</f>
        <v/>
      </c>
      <c r="AD261">
        <f>HYPERLINK("https://klasma.github.io/Logging_2180/tillsynsmail/S 645-2026 tillsynsbegäran mail.docx", "S 645-2026")</f>
        <v/>
      </c>
      <c r="AE261">
        <f>HYPERLINK("https://klasma.github.io/Logging_2180/fåglar/S 645-2026 prioriterade fågelarter.docx", "S 645-2026")</f>
        <v/>
      </c>
    </row>
    <row r="262" ht="15" customHeight="1">
      <c r="A262" t="inlineStr">
        <is>
          <t>A 51121-2022</t>
        </is>
      </c>
      <c r="B262" t="inlineStr">
        <is>
          <t>avverkningsanmälan</t>
        </is>
      </c>
      <c r="C262" t="inlineStr">
        <is>
          <t>Föryngringsavverkning</t>
        </is>
      </c>
      <c r="D262" s="1" t="n">
        <v>44868</v>
      </c>
      <c r="E262" s="1" t="n">
        <v>46326</v>
      </c>
      <c r="F262" t="inlineStr">
        <is>
          <t>GÄVLEBORGS LÄN</t>
        </is>
      </c>
      <c r="G262" t="inlineStr">
        <is>
          <t>LJUSDAL</t>
        </is>
      </c>
      <c r="H262" t="inlineStr">
        <is>
          <t>Sveaskog</t>
        </is>
      </c>
      <c r="I262" t="n">
        <v>3.1</v>
      </c>
      <c r="J262" t="n">
        <v>3</v>
      </c>
      <c r="K262" t="n">
        <v>0</v>
      </c>
      <c r="L262" t="n">
        <v>1</v>
      </c>
      <c r="M262" t="n">
        <v>2</v>
      </c>
      <c r="N262" t="n">
        <v>0</v>
      </c>
      <c r="O262" t="n">
        <v>0</v>
      </c>
      <c r="P262" t="n">
        <v>0</v>
      </c>
      <c r="Q262" t="n">
        <v>3</v>
      </c>
      <c r="R262" t="n">
        <v>2</v>
      </c>
      <c r="S262" t="n">
        <v>4</v>
      </c>
      <c r="T262" t="n">
        <v>23</v>
      </c>
      <c r="U262" t="n">
        <v>23</v>
      </c>
      <c r="V262" s="2" t="inlineStr">
        <is>
          <t>Garnlav
Knärot
Tretåig hackspett
Kråka</t>
        </is>
      </c>
      <c r="W262">
        <f>HYPERLINK("https://klasma.github.io/Logging_2161/artfynd/A 51121-2022 artfynd.xlsx", "A 51121-2022")</f>
        <v/>
      </c>
      <c r="X262">
        <f>HYPERLINK("https://klasma.github.io/Logging_2161/kartor/A 51121-2022 karta.png", "A 51121-2022")</f>
        <v/>
      </c>
      <c r="Y262">
        <f>HYPERLINK("https://klasma.github.io/Logging_2161/kartor_geotiff/A 51121-2022 georefererad karta.tif", "A 51121-2022")</f>
        <v/>
      </c>
      <c r="Z262">
        <f>HYPERLINK("https://klasma.github.io/Logging_2161/knärot/A 51121-2022 karta knärot.png", "A 51121-2022")</f>
        <v/>
      </c>
      <c r="AA262">
        <f>HYPERLINK("https://klasma.github.io/Logging_2161/klagomål/A 51121-2022 FSC-klagomål.docx", "A 51121-2022")</f>
        <v/>
      </c>
      <c r="AB262">
        <f>HYPERLINK("https://klasma.github.io/Logging_2161/klagomålsmail/A 51121-2022 FSC-klagomål mail.docx", "A 51121-2022")</f>
        <v/>
      </c>
      <c r="AC262">
        <f>HYPERLINK("https://klasma.github.io/Logging_2161/tillsyn/A 51121-2022 tillsynsbegäran.docx", "A 51121-2022")</f>
        <v/>
      </c>
      <c r="AD262">
        <f>HYPERLINK("https://klasma.github.io/Logging_2161/tillsynsmail/A 51121-2022 tillsynsbegäran mail.docx", "A 51121-2022")</f>
        <v/>
      </c>
      <c r="AE262">
        <f>HYPERLINK("https://klasma.github.io/Logging_2161/fåglar/A 51121-2022 prioriterade fågelarter.docx", "A 51121-2022")</f>
        <v/>
      </c>
    </row>
    <row r="263" ht="15" customHeight="1">
      <c r="A263" t="inlineStr">
        <is>
          <t>A 67300-2021</t>
        </is>
      </c>
      <c r="B263" t="inlineStr">
        <is>
          <t>avverkningsanmälan</t>
        </is>
      </c>
      <c r="C263" t="inlineStr">
        <is>
          <t>Föryngringsavverkning</t>
        </is>
      </c>
      <c r="D263" s="1" t="n">
        <v>44523</v>
      </c>
      <c r="E263" s="1" t="n">
        <v>46326</v>
      </c>
      <c r="F263" t="inlineStr">
        <is>
          <t>GÄVLEBORGS LÄN</t>
        </is>
      </c>
      <c r="G263" t="inlineStr">
        <is>
          <t>SÖDERHAMN</t>
        </is>
      </c>
      <c r="I263" t="n">
        <v>9.5</v>
      </c>
      <c r="J263" t="n">
        <v>3</v>
      </c>
      <c r="K263" t="n">
        <v>0</v>
      </c>
      <c r="L263" t="n">
        <v>0</v>
      </c>
      <c r="M263" t="n">
        <v>1</v>
      </c>
      <c r="N263" t="n">
        <v>0</v>
      </c>
      <c r="O263" t="n">
        <v>0</v>
      </c>
      <c r="P263" t="n">
        <v>0</v>
      </c>
      <c r="Q263" t="n">
        <v>1</v>
      </c>
      <c r="R263" t="n">
        <v>1</v>
      </c>
      <c r="S263" t="n">
        <v>4</v>
      </c>
      <c r="T263" t="n">
        <v>4</v>
      </c>
      <c r="U263" t="n">
        <v>4</v>
      </c>
      <c r="V263" s="2" t="inlineStr">
        <is>
          <t>Garnlav
Tjäder
Orre
Fläcknycklar</t>
        </is>
      </c>
      <c r="W263">
        <f>HYPERLINK("https://klasma.github.io/Logging_2182/artfynd/A 67300-2021 artfynd.xlsx", "A 67300-2021")</f>
        <v/>
      </c>
      <c r="X263">
        <f>HYPERLINK("https://klasma.github.io/Logging_2182/kartor/A 67300-2021 karta.png", "A 67300-2021")</f>
        <v/>
      </c>
      <c r="Y263">
        <f>HYPERLINK("https://klasma.github.io/Logging_2182/kartor_geotiff/A 67300-2021 georefererad karta.tif", "A 67300-2021")</f>
        <v/>
      </c>
      <c r="AA263">
        <f>HYPERLINK("https://klasma.github.io/Logging_2182/klagomål/A 67300-2021 FSC-klagomål.docx", "A 67300-2021")</f>
        <v/>
      </c>
      <c r="AB263">
        <f>HYPERLINK("https://klasma.github.io/Logging_2182/klagomålsmail/A 67300-2021 FSC-klagomål mail.docx", "A 67300-2021")</f>
        <v/>
      </c>
      <c r="AC263">
        <f>HYPERLINK("https://klasma.github.io/Logging_2182/tillsyn/A 67300-2021 tillsynsbegäran.docx", "A 67300-2021")</f>
        <v/>
      </c>
      <c r="AD263">
        <f>HYPERLINK("https://klasma.github.io/Logging_2182/tillsynsmail/A 67300-2021 tillsynsbegäran mail.docx", "A 67300-2021")</f>
        <v/>
      </c>
      <c r="AE263">
        <f>HYPERLINK("https://klasma.github.io/Logging_2182/fåglar/A 67300-2021 prioriterade fågelarter.docx", "A 67300-2021")</f>
        <v/>
      </c>
    </row>
    <row r="264" ht="15" customHeight="1">
      <c r="A264" t="inlineStr">
        <is>
          <t>A 44589-2022</t>
        </is>
      </c>
      <c r="B264" t="inlineStr">
        <is>
          <t>avverkningsanmälan</t>
        </is>
      </c>
      <c r="C264" t="inlineStr">
        <is>
          <t>Föryngringsavverkning</t>
        </is>
      </c>
      <c r="D264" s="1" t="n">
        <v>44840</v>
      </c>
      <c r="E264" s="1" t="n">
        <v>46326</v>
      </c>
      <c r="F264" t="inlineStr">
        <is>
          <t>GÄVLEBORGS LÄN</t>
        </is>
      </c>
      <c r="G264" t="inlineStr">
        <is>
          <t>NORDANSTIG</t>
        </is>
      </c>
      <c r="H264" t="inlineStr">
        <is>
          <t>Holmen skog AB</t>
        </is>
      </c>
      <c r="I264" t="n">
        <v>8.199999999999999</v>
      </c>
      <c r="J264" t="n">
        <v>0</v>
      </c>
      <c r="K264" t="n">
        <v>1</v>
      </c>
      <c r="L264" t="n">
        <v>3</v>
      </c>
      <c r="M264" t="n">
        <v>0</v>
      </c>
      <c r="N264" t="n">
        <v>0</v>
      </c>
      <c r="O264" t="n">
        <v>0</v>
      </c>
      <c r="P264" t="n">
        <v>0</v>
      </c>
      <c r="Q264" t="n">
        <v>3</v>
      </c>
      <c r="R264" t="n">
        <v>0</v>
      </c>
      <c r="S264" t="n">
        <v>4</v>
      </c>
      <c r="T264" t="n">
        <v>4</v>
      </c>
      <c r="U264" t="n">
        <v>4</v>
      </c>
      <c r="V264" s="2" t="inlineStr">
        <is>
          <t>Gammelgransskål
Vedtrappmossa
Vitgrynig nållav
Bollvitmossa</t>
        </is>
      </c>
      <c r="W264">
        <f>HYPERLINK("https://klasma.github.io/Logging_2132/artfynd/A 44589-2022 artfynd.xlsx", "A 44589-2022")</f>
        <v/>
      </c>
      <c r="X264">
        <f>HYPERLINK("https://klasma.github.io/Logging_2132/kartor/A 44589-2022 karta.png", "A 44589-2022")</f>
        <v/>
      </c>
      <c r="Y264">
        <f>HYPERLINK("https://klasma.github.io/Logging_2132/kartor_geotiff/A 44589-2022 georefererad karta.tif", "A 44589-2022")</f>
        <v/>
      </c>
      <c r="AA264">
        <f>HYPERLINK("https://klasma.github.io/Logging_2132/klagomål/A 44589-2022 FSC-klagomål.docx", "A 44589-2022")</f>
        <v/>
      </c>
      <c r="AB264">
        <f>HYPERLINK("https://klasma.github.io/Logging_2132/klagomålsmail/A 44589-2022 FSC-klagomål mail.docx", "A 44589-2022")</f>
        <v/>
      </c>
      <c r="AC264">
        <f>HYPERLINK("https://klasma.github.io/Logging_2132/tillsyn/A 44589-2022 tillsynsbegäran.docx", "A 44589-2022")</f>
        <v/>
      </c>
      <c r="AD264">
        <f>HYPERLINK("https://klasma.github.io/Logging_2132/tillsynsmail/A 44589-2022 tillsynsbegäran mail.docx", "A 44589-2022")</f>
        <v/>
      </c>
    </row>
    <row r="265" ht="15" customHeight="1">
      <c r="A265" t="inlineStr">
        <is>
          <t>A 33684-2024</t>
        </is>
      </c>
      <c r="B265" t="inlineStr">
        <is>
          <t>avverkningsanmälan</t>
        </is>
      </c>
      <c r="C265" t="inlineStr">
        <is>
          <t>Föryngringsavverkning</t>
        </is>
      </c>
      <c r="D265" s="1" t="n">
        <v>45520</v>
      </c>
      <c r="E265" s="1" t="n">
        <v>46326</v>
      </c>
      <c r="F265" t="inlineStr">
        <is>
          <t>GÄVLEBORGS LÄN</t>
        </is>
      </c>
      <c r="G265" t="inlineStr">
        <is>
          <t>LJUSDAL</t>
        </is>
      </c>
      <c r="H265" t="inlineStr">
        <is>
          <t>Bergvik skog väst AB</t>
        </is>
      </c>
      <c r="I265" t="n">
        <v>2.6</v>
      </c>
      <c r="J265" t="n">
        <v>0</v>
      </c>
      <c r="K265" t="n">
        <v>0</v>
      </c>
      <c r="L265" t="n">
        <v>3</v>
      </c>
      <c r="M265" t="n">
        <v>1</v>
      </c>
      <c r="N265" t="n">
        <v>0</v>
      </c>
      <c r="O265" t="n">
        <v>0</v>
      </c>
      <c r="P265" t="n">
        <v>0</v>
      </c>
      <c r="Q265" t="n">
        <v>4</v>
      </c>
      <c r="R265" t="n">
        <v>1</v>
      </c>
      <c r="S265" t="n">
        <v>4</v>
      </c>
      <c r="T265" t="n">
        <v>7</v>
      </c>
      <c r="U265" t="n">
        <v>0</v>
      </c>
      <c r="V265" s="2" t="inlineStr">
        <is>
          <t>Garnlav
Dvärgbägarlav
Kolflarnlav
Vedskivlav</t>
        </is>
      </c>
      <c r="W265">
        <f>HYPERLINK("https://klasma.github.io/Logging_2161/artfynd/A 33684-2024 artfynd.xlsx", "A 33684-2024")</f>
        <v/>
      </c>
      <c r="X265">
        <f>HYPERLINK("https://klasma.github.io/Logging_2161/kartor/A 33684-2024 karta.png", "A 33684-2024")</f>
        <v/>
      </c>
      <c r="Y265">
        <f>HYPERLINK("https://klasma.github.io/Logging_2161/kartor_geotiff/A 33684-2024 georefererad karta.tif", "A 33684-2024")</f>
        <v/>
      </c>
      <c r="AA265">
        <f>HYPERLINK("https://klasma.github.io/Logging_2161/klagomål/A 33684-2024 FSC-klagomål.docx", "A 33684-2024")</f>
        <v/>
      </c>
      <c r="AB265">
        <f>HYPERLINK("https://klasma.github.io/Logging_2161/klagomålsmail/A 33684-2024 FSC-klagomål mail.docx", "A 33684-2024")</f>
        <v/>
      </c>
      <c r="AC265">
        <f>HYPERLINK("https://klasma.github.io/Logging_2161/tillsyn/A 33684-2024 tillsynsbegäran.docx", "A 33684-2024")</f>
        <v/>
      </c>
      <c r="AD265">
        <f>HYPERLINK("https://klasma.github.io/Logging_2161/tillsynsmail/A 33684-2024 tillsynsbegäran mail.docx", "A 33684-2024")</f>
        <v/>
      </c>
    </row>
    <row r="266" ht="15" customHeight="1">
      <c r="A266" t="inlineStr">
        <is>
          <t>A 4287-2024</t>
        </is>
      </c>
      <c r="B266" t="inlineStr">
        <is>
          <t>avverkningsanmälan</t>
        </is>
      </c>
      <c r="C266" t="inlineStr">
        <is>
          <t>Föryngringsavverkning</t>
        </is>
      </c>
      <c r="D266" s="1" t="n">
        <v>45324</v>
      </c>
      <c r="E266" s="1" t="n">
        <v>46326</v>
      </c>
      <c r="F266" t="inlineStr">
        <is>
          <t>GÄVLEBORGS LÄN</t>
        </is>
      </c>
      <c r="G266" t="inlineStr">
        <is>
          <t>GÄVLE</t>
        </is>
      </c>
      <c r="I266" t="n">
        <v>1.6</v>
      </c>
      <c r="J266" t="n">
        <v>4</v>
      </c>
      <c r="K266" t="n">
        <v>0</v>
      </c>
      <c r="L266" t="n">
        <v>3</v>
      </c>
      <c r="M266" t="n">
        <v>0</v>
      </c>
      <c r="N266" t="n">
        <v>0</v>
      </c>
      <c r="O266" t="n">
        <v>0</v>
      </c>
      <c r="P266" t="n">
        <v>0</v>
      </c>
      <c r="Q266" t="n">
        <v>3</v>
      </c>
      <c r="R266" t="n">
        <v>0</v>
      </c>
      <c r="S266" t="n">
        <v>4</v>
      </c>
      <c r="T266" t="n">
        <v>4</v>
      </c>
      <c r="U266" t="n">
        <v>4</v>
      </c>
      <c r="V266" s="2" t="inlineStr">
        <is>
          <t>Järnsparv
Rödvingetrast
Talltita
Grönsiska</t>
        </is>
      </c>
      <c r="W266">
        <f>HYPERLINK("https://klasma.github.io/Logging_2180/artfynd/A 4287-2024 artfynd.xlsx", "A 4287-2024")</f>
        <v/>
      </c>
      <c r="X266">
        <f>HYPERLINK("https://klasma.github.io/Logging_2180/kartor/A 4287-2024 karta.png", "A 4287-2024")</f>
        <v/>
      </c>
      <c r="Y266">
        <f>HYPERLINK("https://klasma.github.io/Logging_2180/kartor_geotiff/A 4287-2024 georefererad karta.tif", "A 4287-2024")</f>
        <v/>
      </c>
      <c r="AA266">
        <f>HYPERLINK("https://klasma.github.io/Logging_2180/klagomål/A 4287-2024 FSC-klagomål.docx", "A 4287-2024")</f>
        <v/>
      </c>
      <c r="AB266">
        <f>HYPERLINK("https://klasma.github.io/Logging_2180/klagomålsmail/A 4287-2024 FSC-klagomål mail.docx", "A 4287-2024")</f>
        <v/>
      </c>
      <c r="AC266">
        <f>HYPERLINK("https://klasma.github.io/Logging_2180/tillsyn/A 4287-2024 tillsynsbegäran.docx", "A 4287-2024")</f>
        <v/>
      </c>
      <c r="AD266">
        <f>HYPERLINK("https://klasma.github.io/Logging_2180/tillsynsmail/A 4287-2024 tillsynsbegäran mail.docx", "A 4287-2024")</f>
        <v/>
      </c>
      <c r="AE266">
        <f>HYPERLINK("https://klasma.github.io/Logging_2180/fåglar/A 4287-2024 prioriterade fågelarter.docx", "A 4287-2024")</f>
        <v/>
      </c>
    </row>
    <row r="267" ht="15" customHeight="1">
      <c r="A267" t="inlineStr">
        <is>
          <t>A 55216-2022</t>
        </is>
      </c>
      <c r="B267" t="inlineStr">
        <is>
          <t>avverkningsanmälan</t>
        </is>
      </c>
      <c r="C267" t="inlineStr">
        <is>
          <t>Föryngringsavverkning</t>
        </is>
      </c>
      <c r="D267" s="1" t="n">
        <v>44886</v>
      </c>
      <c r="E267" s="1" t="n">
        <v>46326</v>
      </c>
      <c r="F267" t="inlineStr">
        <is>
          <t>GÄVLEBORGS LÄN</t>
        </is>
      </c>
      <c r="G267" t="inlineStr">
        <is>
          <t>LJUSDAL</t>
        </is>
      </c>
      <c r="H267" t="inlineStr">
        <is>
          <t>SCA</t>
        </is>
      </c>
      <c r="I267" t="n">
        <v>10.1</v>
      </c>
      <c r="J267" t="n">
        <v>1</v>
      </c>
      <c r="K267" t="n">
        <v>0</v>
      </c>
      <c r="L267" t="n">
        <v>1</v>
      </c>
      <c r="M267" t="n">
        <v>2</v>
      </c>
      <c r="N267" t="n">
        <v>0</v>
      </c>
      <c r="O267" t="n">
        <v>0</v>
      </c>
      <c r="P267" t="n">
        <v>0</v>
      </c>
      <c r="Q267" t="n">
        <v>3</v>
      </c>
      <c r="R267" t="n">
        <v>2</v>
      </c>
      <c r="S267" t="n">
        <v>4</v>
      </c>
      <c r="T267" t="n">
        <v>6</v>
      </c>
      <c r="U267" t="n">
        <v>1</v>
      </c>
      <c r="V267" s="2" t="inlineStr">
        <is>
          <t>Brunfläckig pärlemorfjäril
Ängsblåvinge
Vitfläckig guldvinge
Kungsfågel</t>
        </is>
      </c>
      <c r="W267">
        <f>HYPERLINK("https://klasma.github.io/Logging_2161/artfynd/A 55216-2022 artfynd.xlsx", "A 55216-2022")</f>
        <v/>
      </c>
      <c r="X267">
        <f>HYPERLINK("https://klasma.github.io/Logging_2161/kartor/A 55216-2022 karta.png", "A 55216-2022")</f>
        <v/>
      </c>
      <c r="Y267">
        <f>HYPERLINK("https://klasma.github.io/Logging_2161/kartor_geotiff/A 55216-2022 georefererad karta.tif", "A 55216-2022")</f>
        <v/>
      </c>
      <c r="AA267">
        <f>HYPERLINK("https://klasma.github.io/Logging_2161/klagomål/A 55216-2022 FSC-klagomål.docx", "A 55216-2022")</f>
        <v/>
      </c>
      <c r="AB267">
        <f>HYPERLINK("https://klasma.github.io/Logging_2161/klagomålsmail/A 55216-2022 FSC-klagomål mail.docx", "A 55216-2022")</f>
        <v/>
      </c>
      <c r="AC267">
        <f>HYPERLINK("https://klasma.github.io/Logging_2161/tillsyn/A 55216-2022 tillsynsbegäran.docx", "A 55216-2022")</f>
        <v/>
      </c>
      <c r="AD267">
        <f>HYPERLINK("https://klasma.github.io/Logging_2161/tillsynsmail/A 55216-2022 tillsynsbegäran mail.docx", "A 55216-2022")</f>
        <v/>
      </c>
    </row>
    <row r="268" ht="15" customHeight="1">
      <c r="A268" t="inlineStr">
        <is>
          <t>A 55280-2022</t>
        </is>
      </c>
      <c r="B268" t="inlineStr">
        <is>
          <t>avverkningsanmälan</t>
        </is>
      </c>
      <c r="C268" t="inlineStr">
        <is>
          <t>Avverkning för att bevara och utveckla /försöksver</t>
        </is>
      </c>
      <c r="D268" s="1" t="n">
        <v>44887</v>
      </c>
      <c r="E268" s="1" t="n">
        <v>46326</v>
      </c>
      <c r="F268" t="inlineStr">
        <is>
          <t>GÄVLEBORGS LÄN</t>
        </is>
      </c>
      <c r="G268" t="inlineStr">
        <is>
          <t>HUDIKSVALL</t>
        </is>
      </c>
      <c r="H268" t="inlineStr">
        <is>
          <t>Holmen skog AB</t>
        </is>
      </c>
      <c r="I268" t="n">
        <v>3.3</v>
      </c>
      <c r="J268" t="n">
        <v>0</v>
      </c>
      <c r="K268" t="n">
        <v>1</v>
      </c>
      <c r="L268" t="n">
        <v>3</v>
      </c>
      <c r="M268" t="n">
        <v>0</v>
      </c>
      <c r="N268" t="n">
        <v>0</v>
      </c>
      <c r="O268" t="n">
        <v>0</v>
      </c>
      <c r="P268" t="n">
        <v>0</v>
      </c>
      <c r="Q268" t="n">
        <v>3</v>
      </c>
      <c r="R268" t="n">
        <v>0</v>
      </c>
      <c r="S268" t="n">
        <v>4</v>
      </c>
      <c r="T268" t="n">
        <v>5</v>
      </c>
      <c r="U268" t="n">
        <v>5</v>
      </c>
      <c r="V268" s="2" t="inlineStr">
        <is>
          <t>Ullticka
Veckticka
Vedtrappmossa
Korallblylav</t>
        </is>
      </c>
      <c r="W268">
        <f>HYPERLINK("https://klasma.github.io/Logging_2184/artfynd/A 55280-2022 artfynd.xlsx", "A 55280-2022")</f>
        <v/>
      </c>
      <c r="X268">
        <f>HYPERLINK("https://klasma.github.io/Logging_2184/kartor/A 55280-2022 karta.png", "A 55280-2022")</f>
        <v/>
      </c>
      <c r="Y268">
        <f>HYPERLINK("https://klasma.github.io/Logging_2184/kartor_geotiff/A 55280-2022 georefererad karta.tif", "A 55280-2022")</f>
        <v/>
      </c>
      <c r="AA268">
        <f>HYPERLINK("https://klasma.github.io/Logging_2184/klagomål/A 55280-2022 FSC-klagomål.docx", "A 55280-2022")</f>
        <v/>
      </c>
      <c r="AB268">
        <f>HYPERLINK("https://klasma.github.io/Logging_2184/klagomålsmail/A 55280-2022 FSC-klagomål mail.docx", "A 55280-2022")</f>
        <v/>
      </c>
      <c r="AC268">
        <f>HYPERLINK("https://klasma.github.io/Logging_2184/tillsyn/A 55280-2022 tillsynsbegäran.docx", "A 55280-2022")</f>
        <v/>
      </c>
      <c r="AD268">
        <f>HYPERLINK("https://klasma.github.io/Logging_2184/tillsynsmail/A 55280-2022 tillsynsbegäran mail.docx", "A 55280-2022")</f>
        <v/>
      </c>
    </row>
    <row r="269" ht="15" customHeight="1">
      <c r="A269" t="inlineStr">
        <is>
          <t>A 31615-2024</t>
        </is>
      </c>
      <c r="B269" t="inlineStr">
        <is>
          <t>avverkningsanmälan</t>
        </is>
      </c>
      <c r="C269" t="inlineStr">
        <is>
          <t>Föryngringsavverkning</t>
        </is>
      </c>
      <c r="D269" s="1" t="n">
        <v>45506</v>
      </c>
      <c r="E269" s="1" t="n">
        <v>46326</v>
      </c>
      <c r="F269" t="inlineStr">
        <is>
          <t>GÄVLEBORGS LÄN</t>
        </is>
      </c>
      <c r="G269" t="inlineStr">
        <is>
          <t>LJUSDAL</t>
        </is>
      </c>
      <c r="H269" t="inlineStr">
        <is>
          <t>Sveaskog</t>
        </is>
      </c>
      <c r="I269" t="n">
        <v>15.8</v>
      </c>
      <c r="J269" t="n">
        <v>0</v>
      </c>
      <c r="K269" t="n">
        <v>0</v>
      </c>
      <c r="L269" t="n">
        <v>4</v>
      </c>
      <c r="M269" t="n">
        <v>0</v>
      </c>
      <c r="N269" t="n">
        <v>0</v>
      </c>
      <c r="O269" t="n">
        <v>0</v>
      </c>
      <c r="P269" t="n">
        <v>0</v>
      </c>
      <c r="Q269" t="n">
        <v>4</v>
      </c>
      <c r="R269" t="n">
        <v>0</v>
      </c>
      <c r="S269" t="n">
        <v>4</v>
      </c>
      <c r="T269" t="n">
        <v>6</v>
      </c>
      <c r="U269" t="n">
        <v>6</v>
      </c>
      <c r="V269" s="2" t="inlineStr">
        <is>
          <t>Blanksvart spiklav
Kolflarnlav
Lunglav
Mörk kolflarnlav</t>
        </is>
      </c>
      <c r="W269">
        <f>HYPERLINK("https://klasma.github.io/Logging_2161/artfynd/A 31615-2024 artfynd.xlsx", "A 31615-2024")</f>
        <v/>
      </c>
      <c r="X269">
        <f>HYPERLINK("https://klasma.github.io/Logging_2161/kartor/A 31615-2024 karta.png", "A 31615-2024")</f>
        <v/>
      </c>
      <c r="Y269">
        <f>HYPERLINK("https://klasma.github.io/Logging_2161/kartor_geotiff/A 31615-2024 georefererad karta.tif", "A 31615-2024")</f>
        <v/>
      </c>
      <c r="AA269">
        <f>HYPERLINK("https://klasma.github.io/Logging_2161/klagomål/A 31615-2024 FSC-klagomål.docx", "A 31615-2024")</f>
        <v/>
      </c>
      <c r="AB269">
        <f>HYPERLINK("https://klasma.github.io/Logging_2161/klagomålsmail/A 31615-2024 FSC-klagomål mail.docx", "A 31615-2024")</f>
        <v/>
      </c>
      <c r="AC269">
        <f>HYPERLINK("https://klasma.github.io/Logging_2161/tillsyn/A 31615-2024 tillsynsbegäran.docx", "A 31615-2024")</f>
        <v/>
      </c>
      <c r="AD269">
        <f>HYPERLINK("https://klasma.github.io/Logging_2161/tillsynsmail/A 31615-2024 tillsynsbegäran mail.docx", "A 31615-2024")</f>
        <v/>
      </c>
    </row>
    <row r="270" ht="15" customHeight="1">
      <c r="A270" t="inlineStr">
        <is>
          <t>A 35174-2023</t>
        </is>
      </c>
      <c r="B270" t="inlineStr">
        <is>
          <t>avverkningsanmälan</t>
        </is>
      </c>
      <c r="C270" t="inlineStr">
        <is>
          <t>Föryngringsavverkning</t>
        </is>
      </c>
      <c r="D270" s="1" t="n">
        <v>45145</v>
      </c>
      <c r="E270" s="1" t="n">
        <v>46326</v>
      </c>
      <c r="F270" t="inlineStr">
        <is>
          <t>GÄVLEBORGS LÄN</t>
        </is>
      </c>
      <c r="G270" t="inlineStr">
        <is>
          <t>BOLLNÄS</t>
        </is>
      </c>
      <c r="H270" t="inlineStr">
        <is>
          <t>Holmen skog AB</t>
        </is>
      </c>
      <c r="I270" t="n">
        <v>1.3</v>
      </c>
      <c r="J270" t="n">
        <v>0</v>
      </c>
      <c r="K270" t="n">
        <v>3</v>
      </c>
      <c r="L270" t="n">
        <v>1</v>
      </c>
      <c r="M270" t="n">
        <v>0</v>
      </c>
      <c r="N270" t="n">
        <v>0</v>
      </c>
      <c r="O270" t="n">
        <v>0</v>
      </c>
      <c r="P270" t="n">
        <v>0</v>
      </c>
      <c r="Q270" t="n">
        <v>1</v>
      </c>
      <c r="R270" t="n">
        <v>0</v>
      </c>
      <c r="S270" t="n">
        <v>4</v>
      </c>
      <c r="T270" t="n">
        <v>5</v>
      </c>
      <c r="U270" t="n">
        <v>0</v>
      </c>
      <c r="V270" s="2" t="inlineStr">
        <is>
          <t>Lunglav
Bårdlav
Korallblylav
Luddlav</t>
        </is>
      </c>
      <c r="W270">
        <f>HYPERLINK("https://klasma.github.io/Logging_2183/artfynd/A 35174-2023 artfynd.xlsx", "A 35174-2023")</f>
        <v/>
      </c>
      <c r="X270">
        <f>HYPERLINK("https://klasma.github.io/Logging_2183/kartor/A 35174-2023 karta.png", "A 35174-2023")</f>
        <v/>
      </c>
      <c r="Y270">
        <f>HYPERLINK("https://klasma.github.io/Logging_2183/kartor_geotiff/A 35174-2023 georefererad karta.tif", "A 35174-2023")</f>
        <v/>
      </c>
      <c r="AA270">
        <f>HYPERLINK("https://klasma.github.io/Logging_2183/klagomål/A 35174-2023 FSC-klagomål.docx", "A 35174-2023")</f>
        <v/>
      </c>
      <c r="AB270">
        <f>HYPERLINK("https://klasma.github.io/Logging_2183/klagomålsmail/A 35174-2023 FSC-klagomål mail.docx", "A 35174-2023")</f>
        <v/>
      </c>
      <c r="AC270">
        <f>HYPERLINK("https://klasma.github.io/Logging_2183/tillsyn/A 35174-2023 tillsynsbegäran.docx", "A 35174-2023")</f>
        <v/>
      </c>
      <c r="AD270">
        <f>HYPERLINK("https://klasma.github.io/Logging_2183/tillsynsmail/A 35174-2023 tillsynsbegäran mail.docx", "A 35174-2023")</f>
        <v/>
      </c>
    </row>
    <row r="271" ht="15" customHeight="1">
      <c r="A271" t="inlineStr">
        <is>
          <t>A 23-2026</t>
        </is>
      </c>
      <c r="B271" t="inlineStr">
        <is>
          <t>avverkningsanmälan</t>
        </is>
      </c>
      <c r="C271" t="inlineStr">
        <is>
          <t>Föryngringsavverkning</t>
        </is>
      </c>
      <c r="D271" s="1" t="n">
        <v>46023</v>
      </c>
      <c r="E271" s="1" t="n">
        <v>46326</v>
      </c>
      <c r="F271" t="inlineStr">
        <is>
          <t>GÄVLEBORGS LÄN</t>
        </is>
      </c>
      <c r="G271" t="inlineStr">
        <is>
          <t>LJUSDAL</t>
        </is>
      </c>
      <c r="I271" t="n">
        <v>3.7</v>
      </c>
      <c r="J271" t="n">
        <v>0</v>
      </c>
      <c r="K271" t="n">
        <v>0</v>
      </c>
      <c r="L271" t="n">
        <v>2</v>
      </c>
      <c r="M271" t="n">
        <v>2</v>
      </c>
      <c r="N271" t="n">
        <v>0</v>
      </c>
      <c r="O271" t="n">
        <v>0</v>
      </c>
      <c r="P271" t="n">
        <v>0</v>
      </c>
      <c r="Q271" t="n">
        <v>4</v>
      </c>
      <c r="R271" t="n">
        <v>2</v>
      </c>
      <c r="S271" t="n">
        <v>4</v>
      </c>
      <c r="T271" t="n">
        <v>6</v>
      </c>
      <c r="U271" t="n">
        <v>0</v>
      </c>
      <c r="V271" s="2" t="inlineStr">
        <is>
          <t>Garnlav
Smalfotad taggsvamp
Dropptaggsvamp
Talltagel</t>
        </is>
      </c>
      <c r="W271">
        <f>HYPERLINK("https://klasma.github.io/Logging_2161/artfynd/A 23-2026 artfynd.xlsx", "A 23-2026")</f>
        <v/>
      </c>
      <c r="X271">
        <f>HYPERLINK("https://klasma.github.io/Logging_2161/kartor/A 23-2026 karta.png", "A 23-2026")</f>
        <v/>
      </c>
      <c r="Y271">
        <f>HYPERLINK("https://klasma.github.io/Logging_2161/kartor_geotiff/A 23-2026 georefererad karta.tif", "A 23-2026")</f>
        <v/>
      </c>
      <c r="AA271">
        <f>HYPERLINK("https://klasma.github.io/Logging_2161/klagomål/A 23-2026 FSC-klagomål.docx", "A 23-2026")</f>
        <v/>
      </c>
      <c r="AB271">
        <f>HYPERLINK("https://klasma.github.io/Logging_2161/klagomålsmail/A 23-2026 FSC-klagomål mail.docx", "A 23-2026")</f>
        <v/>
      </c>
      <c r="AC271">
        <f>HYPERLINK("https://klasma.github.io/Logging_2161/tillsyn/A 23-2026 tillsynsbegäran.docx", "A 23-2026")</f>
        <v/>
      </c>
      <c r="AD271">
        <f>HYPERLINK("https://klasma.github.io/Logging_2161/tillsynsmail/A 23-2026 tillsynsbegäran mail.docx", "A 23-2026")</f>
        <v/>
      </c>
    </row>
    <row r="272" ht="15" customHeight="1">
      <c r="A272" t="inlineStr">
        <is>
          <t>A 27434-2025</t>
        </is>
      </c>
      <c r="B272" t="inlineStr">
        <is>
          <t>avverkningsanmälan</t>
        </is>
      </c>
      <c r="C272" t="inlineStr">
        <is>
          <t>Föryngringsavverkning</t>
        </is>
      </c>
      <c r="D272" s="1" t="n">
        <v>45813</v>
      </c>
      <c r="E272" s="1" t="n">
        <v>46326</v>
      </c>
      <c r="F272" t="inlineStr">
        <is>
          <t>GÄVLEBORGS LÄN</t>
        </is>
      </c>
      <c r="G272" t="inlineStr">
        <is>
          <t>HOFORS</t>
        </is>
      </c>
      <c r="H272" t="inlineStr">
        <is>
          <t>Sveaskog</t>
        </is>
      </c>
      <c r="I272" t="n">
        <v>4.2</v>
      </c>
      <c r="J272" t="n">
        <v>2</v>
      </c>
      <c r="K272" t="n">
        <v>0</v>
      </c>
      <c r="L272" t="n">
        <v>2</v>
      </c>
      <c r="M272" t="n">
        <v>0</v>
      </c>
      <c r="N272" t="n">
        <v>0</v>
      </c>
      <c r="O272" t="n">
        <v>0</v>
      </c>
      <c r="P272" t="n">
        <v>0</v>
      </c>
      <c r="Q272" t="n">
        <v>2</v>
      </c>
      <c r="R272" t="n">
        <v>0</v>
      </c>
      <c r="S272" t="n">
        <v>4</v>
      </c>
      <c r="T272" t="n">
        <v>4</v>
      </c>
      <c r="U272" t="n">
        <v>1</v>
      </c>
      <c r="V272" s="2" t="inlineStr">
        <is>
          <t>Orange taggsvamp
Vedtrappmossa
Fläcknycklar
Revlummer</t>
        </is>
      </c>
      <c r="W272">
        <f>HYPERLINK("https://klasma.github.io/Logging_2104/artfynd/A 27434-2025 artfynd.xlsx", "A 27434-2025")</f>
        <v/>
      </c>
      <c r="X272">
        <f>HYPERLINK("https://klasma.github.io/Logging_2104/kartor/A 27434-2025 karta.png", "A 27434-2025")</f>
        <v/>
      </c>
      <c r="Y272">
        <f>HYPERLINK("https://klasma.github.io/Logging_2104/kartor_geotiff/A 27434-2025 georefererad karta.tif", "A 27434-2025")</f>
        <v/>
      </c>
      <c r="AA272">
        <f>HYPERLINK("https://klasma.github.io/Logging_2104/klagomål/A 27434-2025 FSC-klagomål.docx", "A 27434-2025")</f>
        <v/>
      </c>
      <c r="AB272">
        <f>HYPERLINK("https://klasma.github.io/Logging_2104/klagomålsmail/A 27434-2025 FSC-klagomål mail.docx", "A 27434-2025")</f>
        <v/>
      </c>
      <c r="AC272">
        <f>HYPERLINK("https://klasma.github.io/Logging_2104/tillsyn/A 27434-2025 tillsynsbegäran.docx", "A 27434-2025")</f>
        <v/>
      </c>
      <c r="AD272">
        <f>HYPERLINK("https://klasma.github.io/Logging_2104/tillsynsmail/A 27434-2025 tillsynsbegäran mail.docx", "A 27434-2025")</f>
        <v/>
      </c>
    </row>
    <row r="273" ht="15" customHeight="1">
      <c r="A273" t="inlineStr">
        <is>
          <t>A 28866-2025</t>
        </is>
      </c>
      <c r="B273" t="inlineStr">
        <is>
          <t>avverkningsanmälan</t>
        </is>
      </c>
      <c r="C273" t="inlineStr">
        <is>
          <t>Föryngringsavverkning</t>
        </is>
      </c>
      <c r="D273" s="1" t="n">
        <v>45820</v>
      </c>
      <c r="E273" s="1" t="n">
        <v>46326</v>
      </c>
      <c r="F273" t="inlineStr">
        <is>
          <t>GÄVLEBORGS LÄN</t>
        </is>
      </c>
      <c r="G273" t="inlineStr">
        <is>
          <t>LJUSDAL</t>
        </is>
      </c>
      <c r="H273" t="inlineStr">
        <is>
          <t>Bergvik skog väst AB</t>
        </is>
      </c>
      <c r="I273" t="n">
        <v>4.6</v>
      </c>
      <c r="J273" t="n">
        <v>3</v>
      </c>
      <c r="K273" t="n">
        <v>0</v>
      </c>
      <c r="L273" t="n">
        <v>1</v>
      </c>
      <c r="M273" t="n">
        <v>1</v>
      </c>
      <c r="N273" t="n">
        <v>0</v>
      </c>
      <c r="O273" t="n">
        <v>0</v>
      </c>
      <c r="P273" t="n">
        <v>0</v>
      </c>
      <c r="Q273" t="n">
        <v>2</v>
      </c>
      <c r="R273" t="n">
        <v>1</v>
      </c>
      <c r="S273" t="n">
        <v>4</v>
      </c>
      <c r="T273" t="n">
        <v>17</v>
      </c>
      <c r="U273" t="n">
        <v>17</v>
      </c>
      <c r="V273" s="2" t="inlineStr">
        <is>
          <t>Garnlav
Talltita
Järpe
Grönsiska</t>
        </is>
      </c>
      <c r="W273">
        <f>HYPERLINK("https://klasma.github.io/Logging_2161/artfynd/A 28866-2025 artfynd.xlsx", "A 28866-2025")</f>
        <v/>
      </c>
      <c r="X273">
        <f>HYPERLINK("https://klasma.github.io/Logging_2161/kartor/A 28866-2025 karta.png", "A 28866-2025")</f>
        <v/>
      </c>
      <c r="Y273">
        <f>HYPERLINK("https://klasma.github.io/Logging_2161/kartor_geotiff/A 28866-2025 georefererad karta.tif", "A 28866-2025")</f>
        <v/>
      </c>
      <c r="AA273">
        <f>HYPERLINK("https://klasma.github.io/Logging_2161/klagomål/A 28866-2025 FSC-klagomål.docx", "A 28866-2025")</f>
        <v/>
      </c>
      <c r="AB273">
        <f>HYPERLINK("https://klasma.github.io/Logging_2161/klagomålsmail/A 28866-2025 FSC-klagomål mail.docx", "A 28866-2025")</f>
        <v/>
      </c>
      <c r="AC273">
        <f>HYPERLINK("https://klasma.github.io/Logging_2161/tillsyn/A 28866-2025 tillsynsbegäran.docx", "A 28866-2025")</f>
        <v/>
      </c>
      <c r="AD273">
        <f>HYPERLINK("https://klasma.github.io/Logging_2161/tillsynsmail/A 28866-2025 tillsynsbegäran mail.docx", "A 28866-2025")</f>
        <v/>
      </c>
      <c r="AE273">
        <f>HYPERLINK("https://klasma.github.io/Logging_2161/fåglar/A 28866-2025 prioriterade fågelarter.docx", "A 28866-2025")</f>
        <v/>
      </c>
    </row>
    <row r="274" ht="15" customHeight="1">
      <c r="A274" t="inlineStr">
        <is>
          <t>A 3193-2026</t>
        </is>
      </c>
      <c r="B274" t="inlineStr">
        <is>
          <t>avverkningsanmälan</t>
        </is>
      </c>
      <c r="C274" t="inlineStr">
        <is>
          <t>Föryngringsavverkning</t>
        </is>
      </c>
      <c r="D274" s="1" t="n">
        <v>46041</v>
      </c>
      <c r="E274" s="1" t="n">
        <v>46326</v>
      </c>
      <c r="F274" t="inlineStr">
        <is>
          <t>GÄVLEBORGS LÄN</t>
        </is>
      </c>
      <c r="G274" t="inlineStr">
        <is>
          <t>GÄVLE</t>
        </is>
      </c>
      <c r="I274" t="n">
        <v>10.3</v>
      </c>
      <c r="J274" t="n">
        <v>4</v>
      </c>
      <c r="K274" t="n">
        <v>0</v>
      </c>
      <c r="L274" t="n">
        <v>1</v>
      </c>
      <c r="M274" t="n">
        <v>1</v>
      </c>
      <c r="N274" t="n">
        <v>0</v>
      </c>
      <c r="O274" t="n">
        <v>0</v>
      </c>
      <c r="P274" t="n">
        <v>0</v>
      </c>
      <c r="Q274" t="n">
        <v>2</v>
      </c>
      <c r="R274" t="n">
        <v>1</v>
      </c>
      <c r="S274" t="n">
        <v>4</v>
      </c>
      <c r="T274" t="n">
        <v>4</v>
      </c>
      <c r="U274" t="n">
        <v>1</v>
      </c>
      <c r="V274" s="2" t="inlineStr">
        <is>
          <t>Trastsångare
Enkelbeckasin
Buskskvätta
Trana</t>
        </is>
      </c>
      <c r="W274">
        <f>HYPERLINK("https://klasma.github.io/Logging_2180/artfynd/A 3193-2026 artfynd.xlsx", "A 3193-2026")</f>
        <v/>
      </c>
      <c r="X274">
        <f>HYPERLINK("https://klasma.github.io/Logging_2180/kartor/A 3193-2026 karta.png", "A 3193-2026")</f>
        <v/>
      </c>
      <c r="Y274">
        <f>HYPERLINK("https://klasma.github.io/Logging_2180/kartor_geotiff/A 3193-2026 georefererad karta.tif", "A 3193-2026")</f>
        <v/>
      </c>
      <c r="AA274">
        <f>HYPERLINK("https://klasma.github.io/Logging_2180/klagomål/A 3193-2026 FSC-klagomål.docx", "A 3193-2026")</f>
        <v/>
      </c>
      <c r="AB274">
        <f>HYPERLINK("https://klasma.github.io/Logging_2180/klagomålsmail/A 3193-2026 FSC-klagomål mail.docx", "A 3193-2026")</f>
        <v/>
      </c>
      <c r="AC274">
        <f>HYPERLINK("https://klasma.github.io/Logging_2180/tillsyn/A 3193-2026 tillsynsbegäran.docx", "A 3193-2026")</f>
        <v/>
      </c>
      <c r="AD274">
        <f>HYPERLINK("https://klasma.github.io/Logging_2180/tillsynsmail/A 3193-2026 tillsynsbegäran mail.docx", "A 3193-2026")</f>
        <v/>
      </c>
      <c r="AE274">
        <f>HYPERLINK("https://klasma.github.io/Logging_2180/fåglar/A 3193-2026 prioriterade fågelarter.docx", "A 3193-2026")</f>
        <v/>
      </c>
    </row>
    <row r="275" ht="15" customHeight="1">
      <c r="A275" t="inlineStr">
        <is>
          <t>A 41028-2025</t>
        </is>
      </c>
      <c r="B275" t="inlineStr">
        <is>
          <t>avverkningsanmälan</t>
        </is>
      </c>
      <c r="C275" t="inlineStr">
        <is>
          <t>Föryngringsavverkning</t>
        </is>
      </c>
      <c r="D275" s="1" t="n">
        <v>45898</v>
      </c>
      <c r="E275" s="1" t="n">
        <v>46326</v>
      </c>
      <c r="F275" t="inlineStr">
        <is>
          <t>GÄVLEBORGS LÄN</t>
        </is>
      </c>
      <c r="G275" t="inlineStr">
        <is>
          <t>GÄVLE</t>
        </is>
      </c>
      <c r="H275" t="inlineStr">
        <is>
          <t>Bergvik skog väst AB</t>
        </is>
      </c>
      <c r="I275" t="n">
        <v>2</v>
      </c>
      <c r="J275" t="n">
        <v>0</v>
      </c>
      <c r="K275" t="n">
        <v>0</v>
      </c>
      <c r="L275" t="n">
        <v>4</v>
      </c>
      <c r="M275" t="n">
        <v>0</v>
      </c>
      <c r="N275" t="n">
        <v>0</v>
      </c>
      <c r="O275" t="n">
        <v>0</v>
      </c>
      <c r="P275" t="n">
        <v>0</v>
      </c>
      <c r="Q275" t="n">
        <v>4</v>
      </c>
      <c r="R275" t="n">
        <v>0</v>
      </c>
      <c r="S275" t="n">
        <v>4</v>
      </c>
      <c r="T275" t="n">
        <v>4</v>
      </c>
      <c r="U275" t="n">
        <v>0</v>
      </c>
      <c r="V275" s="2" t="inlineStr">
        <is>
          <t>Kolflarnlav
Reliktbock
Vedflamlav
Vedskivlav</t>
        </is>
      </c>
      <c r="W275">
        <f>HYPERLINK("https://klasma.github.io/Logging_2180/artfynd/A 41028-2025 artfynd.xlsx", "A 41028-2025")</f>
        <v/>
      </c>
      <c r="X275">
        <f>HYPERLINK("https://klasma.github.io/Logging_2180/kartor/A 41028-2025 karta.png", "A 41028-2025")</f>
        <v/>
      </c>
      <c r="Y275">
        <f>HYPERLINK("https://klasma.github.io/Logging_2180/kartor_geotiff/A 41028-2025 georefererad karta.tif", "A 41028-2025")</f>
        <v/>
      </c>
      <c r="AA275">
        <f>HYPERLINK("https://klasma.github.io/Logging_2180/klagomål/A 41028-2025 FSC-klagomål.docx", "A 41028-2025")</f>
        <v/>
      </c>
      <c r="AB275">
        <f>HYPERLINK("https://klasma.github.io/Logging_2180/klagomålsmail/A 41028-2025 FSC-klagomål mail.docx", "A 41028-2025")</f>
        <v/>
      </c>
      <c r="AC275">
        <f>HYPERLINK("https://klasma.github.io/Logging_2180/tillsyn/A 41028-2025 tillsynsbegäran.docx", "A 41028-2025")</f>
        <v/>
      </c>
      <c r="AD275">
        <f>HYPERLINK("https://klasma.github.io/Logging_2180/tillsynsmail/A 41028-2025 tillsynsbegäran mail.docx", "A 41028-2025")</f>
        <v/>
      </c>
    </row>
    <row r="276" ht="15" customHeight="1">
      <c r="A276" t="inlineStr">
        <is>
          <t>A 41922-2025</t>
        </is>
      </c>
      <c r="B276" t="inlineStr">
        <is>
          <t>avverkningsanmälan</t>
        </is>
      </c>
      <c r="C276" t="inlineStr">
        <is>
          <t>Föryngringsavverkning</t>
        </is>
      </c>
      <c r="D276" s="1" t="n">
        <v>45903</v>
      </c>
      <c r="E276" s="1" t="n">
        <v>46326</v>
      </c>
      <c r="F276" t="inlineStr">
        <is>
          <t>GÄVLEBORGS LÄN</t>
        </is>
      </c>
      <c r="G276" t="inlineStr">
        <is>
          <t>LJUSDAL</t>
        </is>
      </c>
      <c r="H276" t="inlineStr">
        <is>
          <t>Bergvik skog väst AB</t>
        </is>
      </c>
      <c r="I276" t="n">
        <v>3.7</v>
      </c>
      <c r="J276" t="n">
        <v>0</v>
      </c>
      <c r="K276" t="n">
        <v>1</v>
      </c>
      <c r="L276" t="n">
        <v>2</v>
      </c>
      <c r="M276" t="n">
        <v>1</v>
      </c>
      <c r="N276" t="n">
        <v>0</v>
      </c>
      <c r="O276" t="n">
        <v>0</v>
      </c>
      <c r="P276" t="n">
        <v>0</v>
      </c>
      <c r="Q276" t="n">
        <v>3</v>
      </c>
      <c r="R276" t="n">
        <v>1</v>
      </c>
      <c r="S276" t="n">
        <v>4</v>
      </c>
      <c r="T276" t="n">
        <v>6</v>
      </c>
      <c r="U276" t="n">
        <v>0</v>
      </c>
      <c r="V276" s="2" t="inlineStr">
        <is>
          <t>Garnlav
Blanksvart spiklav
Kolflarnlav
Bollvitmossa</t>
        </is>
      </c>
      <c r="W276">
        <f>HYPERLINK("https://klasma.github.io/Logging_2161/artfynd/A 41922-2025 artfynd.xlsx", "A 41922-2025")</f>
        <v/>
      </c>
      <c r="X276">
        <f>HYPERLINK("https://klasma.github.io/Logging_2161/kartor/A 41922-2025 karta.png", "A 41922-2025")</f>
        <v/>
      </c>
      <c r="Y276">
        <f>HYPERLINK("https://klasma.github.io/Logging_2161/kartor_geotiff/A 41922-2025 georefererad karta.tif", "A 41922-2025")</f>
        <v/>
      </c>
      <c r="AA276">
        <f>HYPERLINK("https://klasma.github.io/Logging_2161/klagomål/A 41922-2025 FSC-klagomål.docx", "A 41922-2025")</f>
        <v/>
      </c>
      <c r="AB276">
        <f>HYPERLINK("https://klasma.github.io/Logging_2161/klagomålsmail/A 41922-2025 FSC-klagomål mail.docx", "A 41922-2025")</f>
        <v/>
      </c>
      <c r="AC276">
        <f>HYPERLINK("https://klasma.github.io/Logging_2161/tillsyn/A 41922-2025 tillsynsbegäran.docx", "A 41922-2025")</f>
        <v/>
      </c>
      <c r="AD276">
        <f>HYPERLINK("https://klasma.github.io/Logging_2161/tillsynsmail/A 41922-2025 tillsynsbegäran mail.docx", "A 41922-2025")</f>
        <v/>
      </c>
    </row>
    <row r="277" ht="15" customHeight="1">
      <c r="A277" t="inlineStr">
        <is>
          <t>A 42022-2025</t>
        </is>
      </c>
      <c r="B277" t="inlineStr">
        <is>
          <t>avverkningsanmälan</t>
        </is>
      </c>
      <c r="C277" t="inlineStr">
        <is>
          <t>Föryngringsavverkning</t>
        </is>
      </c>
      <c r="D277" s="1" t="n">
        <v>45903</v>
      </c>
      <c r="E277" s="1" t="n">
        <v>46326</v>
      </c>
      <c r="F277" t="inlineStr">
        <is>
          <t>GÄVLEBORGS LÄN</t>
        </is>
      </c>
      <c r="G277" t="inlineStr">
        <is>
          <t>LJUSDAL</t>
        </is>
      </c>
      <c r="H277" t="inlineStr">
        <is>
          <t>Sveaskog</t>
        </is>
      </c>
      <c r="I277" t="n">
        <v>17.7</v>
      </c>
      <c r="J277" t="n">
        <v>1</v>
      </c>
      <c r="K277" t="n">
        <v>0</v>
      </c>
      <c r="L277" t="n">
        <v>3</v>
      </c>
      <c r="M277" t="n">
        <v>1</v>
      </c>
      <c r="N277" t="n">
        <v>0</v>
      </c>
      <c r="O277" t="n">
        <v>0</v>
      </c>
      <c r="P277" t="n">
        <v>0</v>
      </c>
      <c r="Q277" t="n">
        <v>4</v>
      </c>
      <c r="R277" t="n">
        <v>1</v>
      </c>
      <c r="S277" t="n">
        <v>4</v>
      </c>
      <c r="T277" t="n">
        <v>5</v>
      </c>
      <c r="U277" t="n">
        <v>5</v>
      </c>
      <c r="V277" s="2" t="inlineStr">
        <is>
          <t>Garnlav
Kolflarnlav
Lavskrika
Vedflamlav</t>
        </is>
      </c>
      <c r="W277">
        <f>HYPERLINK("https://klasma.github.io/Logging_2161/artfynd/A 42022-2025 artfynd.xlsx", "A 42022-2025")</f>
        <v/>
      </c>
      <c r="X277">
        <f>HYPERLINK("https://klasma.github.io/Logging_2161/kartor/A 42022-2025 karta.png", "A 42022-2025")</f>
        <v/>
      </c>
      <c r="Y277">
        <f>HYPERLINK("https://klasma.github.io/Logging_2161/kartor_geotiff/A 42022-2025 georefererad karta.tif", "A 42022-2025")</f>
        <v/>
      </c>
      <c r="AA277">
        <f>HYPERLINK("https://klasma.github.io/Logging_2161/klagomål/A 42022-2025 FSC-klagomål.docx", "A 42022-2025")</f>
        <v/>
      </c>
      <c r="AB277">
        <f>HYPERLINK("https://klasma.github.io/Logging_2161/klagomålsmail/A 42022-2025 FSC-klagomål mail.docx", "A 42022-2025")</f>
        <v/>
      </c>
      <c r="AC277">
        <f>HYPERLINK("https://klasma.github.io/Logging_2161/tillsyn/A 42022-2025 tillsynsbegäran.docx", "A 42022-2025")</f>
        <v/>
      </c>
      <c r="AD277">
        <f>HYPERLINK("https://klasma.github.io/Logging_2161/tillsynsmail/A 42022-2025 tillsynsbegäran mail.docx", "A 42022-2025")</f>
        <v/>
      </c>
      <c r="AE277">
        <f>HYPERLINK("https://klasma.github.io/Logging_2161/fåglar/A 42022-2025 prioriterade fågelarter.docx", "A 42022-2025")</f>
        <v/>
      </c>
    </row>
    <row r="278" ht="15" customHeight="1">
      <c r="A278" t="inlineStr">
        <is>
          <t>A 42046-2025</t>
        </is>
      </c>
      <c r="B278" t="inlineStr">
        <is>
          <t>avverkningsanmälan</t>
        </is>
      </c>
      <c r="C278" t="inlineStr">
        <is>
          <t>Föryngringsavverkning</t>
        </is>
      </c>
      <c r="D278" s="1" t="n">
        <v>45903</v>
      </c>
      <c r="E278" s="1" t="n">
        <v>46326</v>
      </c>
      <c r="F278" t="inlineStr">
        <is>
          <t>GÄVLEBORGS LÄN</t>
        </is>
      </c>
      <c r="G278" t="inlineStr">
        <is>
          <t>LJUSDAL</t>
        </is>
      </c>
      <c r="H278" t="inlineStr">
        <is>
          <t>Sveaskog</t>
        </is>
      </c>
      <c r="I278" t="n">
        <v>7.8</v>
      </c>
      <c r="J278" t="n">
        <v>0</v>
      </c>
      <c r="K278" t="n">
        <v>0</v>
      </c>
      <c r="L278" t="n">
        <v>4</v>
      </c>
      <c r="M278" t="n">
        <v>0</v>
      </c>
      <c r="N278" t="n">
        <v>0</v>
      </c>
      <c r="O278" t="n">
        <v>0</v>
      </c>
      <c r="P278" t="n">
        <v>0</v>
      </c>
      <c r="Q278" t="n">
        <v>4</v>
      </c>
      <c r="R278" t="n">
        <v>0</v>
      </c>
      <c r="S278" t="n">
        <v>4</v>
      </c>
      <c r="T278" t="n">
        <v>7</v>
      </c>
      <c r="U278" t="n">
        <v>6</v>
      </c>
      <c r="V278" s="2" t="inlineStr">
        <is>
          <t>Dropptaggsvamp
Kolflarnlav
Orange taggsvamp
Vedflamlav</t>
        </is>
      </c>
      <c r="W278">
        <f>HYPERLINK("https://klasma.github.io/Logging_2161/artfynd/A 42046-2025 artfynd.xlsx", "A 42046-2025")</f>
        <v/>
      </c>
      <c r="X278">
        <f>HYPERLINK("https://klasma.github.io/Logging_2161/kartor/A 42046-2025 karta.png", "A 42046-2025")</f>
        <v/>
      </c>
      <c r="Y278">
        <f>HYPERLINK("https://klasma.github.io/Logging_2161/kartor_geotiff/A 42046-2025 georefererad karta.tif", "A 42046-2025")</f>
        <v/>
      </c>
      <c r="AA278">
        <f>HYPERLINK("https://klasma.github.io/Logging_2161/klagomål/A 42046-2025 FSC-klagomål.docx", "A 42046-2025")</f>
        <v/>
      </c>
      <c r="AB278">
        <f>HYPERLINK("https://klasma.github.io/Logging_2161/klagomålsmail/A 42046-2025 FSC-klagomål mail.docx", "A 42046-2025")</f>
        <v/>
      </c>
      <c r="AC278">
        <f>HYPERLINK("https://klasma.github.io/Logging_2161/tillsyn/A 42046-2025 tillsynsbegäran.docx", "A 42046-2025")</f>
        <v/>
      </c>
      <c r="AD278">
        <f>HYPERLINK("https://klasma.github.io/Logging_2161/tillsynsmail/A 42046-2025 tillsynsbegäran mail.docx", "A 42046-2025")</f>
        <v/>
      </c>
    </row>
    <row r="279" ht="15" customHeight="1">
      <c r="A279" t="inlineStr">
        <is>
          <t>A 4344-2026</t>
        </is>
      </c>
      <c r="B279" t="inlineStr">
        <is>
          <t>avverkningsanmälan</t>
        </is>
      </c>
      <c r="C279" t="inlineStr">
        <is>
          <t>Föryngringsavverkning</t>
        </is>
      </c>
      <c r="D279" s="1" t="n">
        <v>46045</v>
      </c>
      <c r="E279" s="1" t="n">
        <v>46326</v>
      </c>
      <c r="F279" t="inlineStr">
        <is>
          <t>GÄVLEBORGS LÄN</t>
        </is>
      </c>
      <c r="G279" t="inlineStr">
        <is>
          <t>HUDIKSVALL</t>
        </is>
      </c>
      <c r="I279" t="n">
        <v>11.7</v>
      </c>
      <c r="J279" t="n">
        <v>1</v>
      </c>
      <c r="K279" t="n">
        <v>0</v>
      </c>
      <c r="L279" t="n">
        <v>3</v>
      </c>
      <c r="M279" t="n">
        <v>0</v>
      </c>
      <c r="N279" t="n">
        <v>0</v>
      </c>
      <c r="O279" t="n">
        <v>0</v>
      </c>
      <c r="P279" t="n">
        <v>0</v>
      </c>
      <c r="Q279" t="n">
        <v>3</v>
      </c>
      <c r="R279" t="n">
        <v>0</v>
      </c>
      <c r="S279" t="n">
        <v>4</v>
      </c>
      <c r="T279" t="n">
        <v>6</v>
      </c>
      <c r="U279" t="n">
        <v>0</v>
      </c>
      <c r="V279" s="2" t="inlineStr">
        <is>
          <t>Dvärgbägarlav
Motaggsvamp
Reliktbock
Spillkråka</t>
        </is>
      </c>
      <c r="W279">
        <f>HYPERLINK("https://klasma.github.io/Logging_2184/artfynd/A 4344-2026 artfynd.xlsx", "A 4344-2026")</f>
        <v/>
      </c>
      <c r="X279">
        <f>HYPERLINK("https://klasma.github.io/Logging_2184/kartor/A 4344-2026 karta.png", "A 4344-2026")</f>
        <v/>
      </c>
      <c r="Y279">
        <f>HYPERLINK("https://klasma.github.io/Logging_2184/kartor_geotiff/A 4344-2026 georefererad karta.tif", "A 4344-2026")</f>
        <v/>
      </c>
      <c r="AA279">
        <f>HYPERLINK("https://klasma.github.io/Logging_2184/klagomål/A 4344-2026 FSC-klagomål.docx", "A 4344-2026")</f>
        <v/>
      </c>
      <c r="AB279">
        <f>HYPERLINK("https://klasma.github.io/Logging_2184/klagomålsmail/A 4344-2026 FSC-klagomål mail.docx", "A 4344-2026")</f>
        <v/>
      </c>
      <c r="AC279">
        <f>HYPERLINK("https://klasma.github.io/Logging_2184/tillsyn/A 4344-2026 tillsynsbegäran.docx", "A 4344-2026")</f>
        <v/>
      </c>
      <c r="AD279">
        <f>HYPERLINK("https://klasma.github.io/Logging_2184/tillsynsmail/A 4344-2026 tillsynsbegäran mail.docx", "A 4344-2026")</f>
        <v/>
      </c>
      <c r="AE279">
        <f>HYPERLINK("https://klasma.github.io/Logging_2184/fåglar/A 4344-2026 prioriterade fågelarter.docx", "A 4344-2026")</f>
        <v/>
      </c>
    </row>
    <row r="280" ht="15" customHeight="1">
      <c r="A280" t="inlineStr">
        <is>
          <t>A 42460-2025</t>
        </is>
      </c>
      <c r="B280" t="inlineStr">
        <is>
          <t>avverkningsanmälan</t>
        </is>
      </c>
      <c r="C280" t="inlineStr">
        <is>
          <t>Föryngringsavverkning</t>
        </is>
      </c>
      <c r="D280" s="1" t="n">
        <v>45905</v>
      </c>
      <c r="E280" s="1" t="n">
        <v>46326</v>
      </c>
      <c r="F280" t="inlineStr">
        <is>
          <t>GÄVLEBORGS LÄN</t>
        </is>
      </c>
      <c r="G280" t="inlineStr">
        <is>
          <t>LJUSDAL</t>
        </is>
      </c>
      <c r="H280" t="inlineStr">
        <is>
          <t>Sveaskog</t>
        </is>
      </c>
      <c r="I280" t="n">
        <v>7.8</v>
      </c>
      <c r="J280" t="n">
        <v>0</v>
      </c>
      <c r="K280" t="n">
        <v>0</v>
      </c>
      <c r="L280" t="n">
        <v>4</v>
      </c>
      <c r="M280" t="n">
        <v>0</v>
      </c>
      <c r="N280" t="n">
        <v>0</v>
      </c>
      <c r="O280" t="n">
        <v>0</v>
      </c>
      <c r="P280" t="n">
        <v>0</v>
      </c>
      <c r="Q280" t="n">
        <v>4</v>
      </c>
      <c r="R280" t="n">
        <v>0</v>
      </c>
      <c r="S280" t="n">
        <v>4</v>
      </c>
      <c r="T280" t="n">
        <v>7</v>
      </c>
      <c r="U280" t="n">
        <v>6</v>
      </c>
      <c r="V280" s="2" t="inlineStr">
        <is>
          <t>Dropptaggsvamp
Kolflarnlav
Orange taggsvamp
Vedflamlav</t>
        </is>
      </c>
      <c r="W280">
        <f>HYPERLINK("https://klasma.github.io/Logging_2161/artfynd/A 42460-2025 artfynd.xlsx", "A 42460-2025")</f>
        <v/>
      </c>
      <c r="X280">
        <f>HYPERLINK("https://klasma.github.io/Logging_2161/kartor/A 42460-2025 karta.png", "A 42460-2025")</f>
        <v/>
      </c>
      <c r="Y280">
        <f>HYPERLINK("https://klasma.github.io/Logging_2161/kartor_geotiff/A 42460-2025 georefererad karta.tif", "A 42460-2025")</f>
        <v/>
      </c>
      <c r="AA280">
        <f>HYPERLINK("https://klasma.github.io/Logging_2161/klagomål/A 42460-2025 FSC-klagomål.docx", "A 42460-2025")</f>
        <v/>
      </c>
      <c r="AB280">
        <f>HYPERLINK("https://klasma.github.io/Logging_2161/klagomålsmail/A 42460-2025 FSC-klagomål mail.docx", "A 42460-2025")</f>
        <v/>
      </c>
      <c r="AC280">
        <f>HYPERLINK("https://klasma.github.io/Logging_2161/tillsyn/A 42460-2025 tillsynsbegäran.docx", "A 42460-2025")</f>
        <v/>
      </c>
      <c r="AD280">
        <f>HYPERLINK("https://klasma.github.io/Logging_2161/tillsynsmail/A 42460-2025 tillsynsbegäran mail.docx", "A 42460-2025")</f>
        <v/>
      </c>
    </row>
    <row r="281" ht="15" customHeight="1">
      <c r="A281" t="inlineStr">
        <is>
          <t>A 42606-2025</t>
        </is>
      </c>
      <c r="B281" t="inlineStr">
        <is>
          <t>avverkningsanmälan</t>
        </is>
      </c>
      <c r="C281" t="inlineStr">
        <is>
          <t>Föryngringsavverkning</t>
        </is>
      </c>
      <c r="D281" s="1" t="n">
        <v>45905</v>
      </c>
      <c r="E281" s="1" t="n">
        <v>46326</v>
      </c>
      <c r="F281" t="inlineStr">
        <is>
          <t>GÄVLEBORGS LÄN</t>
        </is>
      </c>
      <c r="G281" t="inlineStr">
        <is>
          <t>HUDIKSVALL</t>
        </is>
      </c>
      <c r="H281" t="inlineStr">
        <is>
          <t>Holmen skog AB</t>
        </is>
      </c>
      <c r="I281" t="n">
        <v>2.9</v>
      </c>
      <c r="J281" t="n">
        <v>0</v>
      </c>
      <c r="K281" t="n">
        <v>1</v>
      </c>
      <c r="L281" t="n">
        <v>0</v>
      </c>
      <c r="M281" t="n">
        <v>0</v>
      </c>
      <c r="N281" t="n">
        <v>0</v>
      </c>
      <c r="O281" t="n">
        <v>0</v>
      </c>
      <c r="P281" t="n">
        <v>0</v>
      </c>
      <c r="Q281" t="n">
        <v>0</v>
      </c>
      <c r="R281" t="n">
        <v>0</v>
      </c>
      <c r="S281" t="n">
        <v>4</v>
      </c>
      <c r="T281" t="n">
        <v>4</v>
      </c>
      <c r="U281" t="n">
        <v>4</v>
      </c>
      <c r="V281" s="2" t="inlineStr">
        <is>
          <t>Strutbräken
Lundarv
Ormbär
Torta</t>
        </is>
      </c>
      <c r="W281">
        <f>HYPERLINK("https://klasma.github.io/Logging_2184/artfynd/A 42606-2025 artfynd.xlsx", "A 42606-2025")</f>
        <v/>
      </c>
      <c r="X281">
        <f>HYPERLINK("https://klasma.github.io/Logging_2184/kartor/A 42606-2025 karta.png", "A 42606-2025")</f>
        <v/>
      </c>
      <c r="Y281">
        <f>HYPERLINK("https://klasma.github.io/Logging_2184/kartor_geotiff/A 42606-2025 georefererad karta.tif", "A 42606-2025")</f>
        <v/>
      </c>
      <c r="AA281">
        <f>HYPERLINK("https://klasma.github.io/Logging_2184/klagomål/A 42606-2025 FSC-klagomål.docx", "A 42606-2025")</f>
        <v/>
      </c>
      <c r="AB281">
        <f>HYPERLINK("https://klasma.github.io/Logging_2184/klagomålsmail/A 42606-2025 FSC-klagomål mail.docx", "A 42606-2025")</f>
        <v/>
      </c>
      <c r="AC281">
        <f>HYPERLINK("https://klasma.github.io/Logging_2184/tillsyn/A 42606-2025 tillsynsbegäran.docx", "A 42606-2025")</f>
        <v/>
      </c>
      <c r="AD281">
        <f>HYPERLINK("https://klasma.github.io/Logging_2184/tillsynsmail/A 42606-2025 tillsynsbegäran mail.docx", "A 42606-2025")</f>
        <v/>
      </c>
    </row>
    <row r="282" ht="15" customHeight="1">
      <c r="A282" t="inlineStr">
        <is>
          <t>A 31062-2025</t>
        </is>
      </c>
      <c r="B282" t="inlineStr">
        <is>
          <t>avverkningsanmälan</t>
        </is>
      </c>
      <c r="C282" t="inlineStr">
        <is>
          <t>Föryngringsavverkning</t>
        </is>
      </c>
      <c r="D282" s="1" t="n">
        <v>45832</v>
      </c>
      <c r="E282" s="1" t="n">
        <v>46326</v>
      </c>
      <c r="F282" t="inlineStr">
        <is>
          <t>GÄVLEBORGS LÄN</t>
        </is>
      </c>
      <c r="G282" t="inlineStr">
        <is>
          <t>LJUSDAL</t>
        </is>
      </c>
      <c r="H282" t="inlineStr">
        <is>
          <t>Allmännings- och besparingsskogar</t>
        </is>
      </c>
      <c r="I282" t="n">
        <v>8.4</v>
      </c>
      <c r="J282" t="n">
        <v>4</v>
      </c>
      <c r="K282" t="n">
        <v>2</v>
      </c>
      <c r="L282" t="n">
        <v>0</v>
      </c>
      <c r="M282" t="n">
        <v>0</v>
      </c>
      <c r="N282" t="n">
        <v>0</v>
      </c>
      <c r="O282" t="n">
        <v>0</v>
      </c>
      <c r="P282" t="n">
        <v>0</v>
      </c>
      <c r="Q282" t="n">
        <v>0</v>
      </c>
      <c r="R282" t="n">
        <v>0</v>
      </c>
      <c r="S282" t="n">
        <v>4</v>
      </c>
      <c r="T282" t="n">
        <v>11</v>
      </c>
      <c r="U282" t="n">
        <v>11</v>
      </c>
      <c r="V282" s="2" t="inlineStr">
        <is>
          <t>Korallrot
Spindelblomster
Fläcknycklar
Ängsnycklar</t>
        </is>
      </c>
      <c r="W282">
        <f>HYPERLINK("https://klasma.github.io/Logging_2161/artfynd/A 31062-2025 artfynd.xlsx", "A 31062-2025")</f>
        <v/>
      </c>
      <c r="X282">
        <f>HYPERLINK("https://klasma.github.io/Logging_2161/kartor/A 31062-2025 karta.png", "A 31062-2025")</f>
        <v/>
      </c>
      <c r="Y282">
        <f>HYPERLINK("https://klasma.github.io/Logging_2161/kartor_geotiff/A 31062-2025 georefererad karta.tif", "A 31062-2025")</f>
        <v/>
      </c>
      <c r="AA282">
        <f>HYPERLINK("https://klasma.github.io/Logging_2161/klagomål/A 31062-2025 FSC-klagomål.docx", "A 31062-2025")</f>
        <v/>
      </c>
      <c r="AB282">
        <f>HYPERLINK("https://klasma.github.io/Logging_2161/klagomålsmail/A 31062-2025 FSC-klagomål mail.docx", "A 31062-2025")</f>
        <v/>
      </c>
      <c r="AC282">
        <f>HYPERLINK("https://klasma.github.io/Logging_2161/tillsyn/A 31062-2025 tillsynsbegäran.docx", "A 31062-2025")</f>
        <v/>
      </c>
      <c r="AD282">
        <f>HYPERLINK("https://klasma.github.io/Logging_2161/tillsynsmail/A 31062-2025 tillsynsbegäran mail.docx", "A 31062-2025")</f>
        <v/>
      </c>
    </row>
    <row r="283" ht="15" customHeight="1">
      <c r="A283" t="inlineStr">
        <is>
          <t>A 23393-2024</t>
        </is>
      </c>
      <c r="B283" t="inlineStr">
        <is>
          <t>avverkningsanmälan</t>
        </is>
      </c>
      <c r="C283" t="inlineStr">
        <is>
          <t>Föryngringsavverkning</t>
        </is>
      </c>
      <c r="D283" s="1" t="n">
        <v>45453</v>
      </c>
      <c r="E283" s="1" t="n">
        <v>46326</v>
      </c>
      <c r="F283" t="inlineStr">
        <is>
          <t>GÄVLEBORGS LÄN</t>
        </is>
      </c>
      <c r="G283" t="inlineStr">
        <is>
          <t>LJUSDAL</t>
        </is>
      </c>
      <c r="I283" t="n">
        <v>4</v>
      </c>
      <c r="J283" t="n">
        <v>1</v>
      </c>
      <c r="K283" t="n">
        <v>0</v>
      </c>
      <c r="L283" t="n">
        <v>3</v>
      </c>
      <c r="M283" t="n">
        <v>0</v>
      </c>
      <c r="N283" t="n">
        <v>0</v>
      </c>
      <c r="O283" t="n">
        <v>0</v>
      </c>
      <c r="P283" t="n">
        <v>0</v>
      </c>
      <c r="Q283" t="n">
        <v>3</v>
      </c>
      <c r="R283" t="n">
        <v>0</v>
      </c>
      <c r="S283" t="n">
        <v>4</v>
      </c>
      <c r="T283" t="n">
        <v>4</v>
      </c>
      <c r="U283" t="n">
        <v>4</v>
      </c>
      <c r="V283" s="2" t="inlineStr">
        <is>
          <t>Kolflarnlav
Lunglav
Vedflamlav
Nattviol</t>
        </is>
      </c>
      <c r="W283">
        <f>HYPERLINK("https://klasma.github.io/Logging_2161/artfynd/A 23393-2024 artfynd.xlsx", "A 23393-2024")</f>
        <v/>
      </c>
      <c r="X283">
        <f>HYPERLINK("https://klasma.github.io/Logging_2161/kartor/A 23393-2024 karta.png", "A 23393-2024")</f>
        <v/>
      </c>
      <c r="Y283">
        <f>HYPERLINK("https://klasma.github.io/Logging_2161/kartor_geotiff/A 23393-2024 georefererad karta.tif", "A 23393-2024")</f>
        <v/>
      </c>
      <c r="AA283">
        <f>HYPERLINK("https://klasma.github.io/Logging_2161/klagomål/A 23393-2024 FSC-klagomål.docx", "A 23393-2024")</f>
        <v/>
      </c>
      <c r="AB283">
        <f>HYPERLINK("https://klasma.github.io/Logging_2161/klagomålsmail/A 23393-2024 FSC-klagomål mail.docx", "A 23393-2024")</f>
        <v/>
      </c>
      <c r="AC283">
        <f>HYPERLINK("https://klasma.github.io/Logging_2161/tillsyn/A 23393-2024 tillsynsbegäran.docx", "A 23393-2024")</f>
        <v/>
      </c>
      <c r="AD283">
        <f>HYPERLINK("https://klasma.github.io/Logging_2161/tillsynsmail/A 23393-2024 tillsynsbegäran mail.docx", "A 23393-2024")</f>
        <v/>
      </c>
    </row>
    <row r="284" ht="15" customHeight="1">
      <c r="A284" t="inlineStr">
        <is>
          <t>A 31078-2025</t>
        </is>
      </c>
      <c r="B284" t="inlineStr">
        <is>
          <t>avverkningsanmälan</t>
        </is>
      </c>
      <c r="C284" t="inlineStr">
        <is>
          <t>Föryngringsavverkning</t>
        </is>
      </c>
      <c r="D284" s="1" t="n">
        <v>45832</v>
      </c>
      <c r="E284" s="1" t="n">
        <v>46326</v>
      </c>
      <c r="F284" t="inlineStr">
        <is>
          <t>GÄVLEBORGS LÄN</t>
        </is>
      </c>
      <c r="G284" t="inlineStr">
        <is>
          <t>LJUSDAL</t>
        </is>
      </c>
      <c r="H284" t="inlineStr">
        <is>
          <t>Allmännings- och besparingsskogar</t>
        </is>
      </c>
      <c r="I284" t="n">
        <v>2.9</v>
      </c>
      <c r="J284" t="n">
        <v>3</v>
      </c>
      <c r="K284" t="n">
        <v>2</v>
      </c>
      <c r="L284" t="n">
        <v>0</v>
      </c>
      <c r="M284" t="n">
        <v>1</v>
      </c>
      <c r="N284" t="n">
        <v>0</v>
      </c>
      <c r="O284" t="n">
        <v>0</v>
      </c>
      <c r="P284" t="n">
        <v>0</v>
      </c>
      <c r="Q284" t="n">
        <v>1</v>
      </c>
      <c r="R284" t="n">
        <v>1</v>
      </c>
      <c r="S284" t="n">
        <v>4</v>
      </c>
      <c r="T284" t="n">
        <v>7</v>
      </c>
      <c r="U284" t="n">
        <v>7</v>
      </c>
      <c r="V284" s="2" t="inlineStr">
        <is>
          <t>Garnlav
Korallrot
Spindelblomster
Fläcknycklar</t>
        </is>
      </c>
      <c r="W284">
        <f>HYPERLINK("https://klasma.github.io/Logging_2161/artfynd/A 31078-2025 artfynd.xlsx", "A 31078-2025")</f>
        <v/>
      </c>
      <c r="X284">
        <f>HYPERLINK("https://klasma.github.io/Logging_2161/kartor/A 31078-2025 karta.png", "A 31078-2025")</f>
        <v/>
      </c>
      <c r="Y284">
        <f>HYPERLINK("https://klasma.github.io/Logging_2161/kartor_geotiff/A 31078-2025 georefererad karta.tif", "A 31078-2025")</f>
        <v/>
      </c>
      <c r="AA284">
        <f>HYPERLINK("https://klasma.github.io/Logging_2161/klagomål/A 31078-2025 FSC-klagomål.docx", "A 31078-2025")</f>
        <v/>
      </c>
      <c r="AB284">
        <f>HYPERLINK("https://klasma.github.io/Logging_2161/klagomålsmail/A 31078-2025 FSC-klagomål mail.docx", "A 31078-2025")</f>
        <v/>
      </c>
      <c r="AC284">
        <f>HYPERLINK("https://klasma.github.io/Logging_2161/tillsyn/A 31078-2025 tillsynsbegäran.docx", "A 31078-2025")</f>
        <v/>
      </c>
      <c r="AD284">
        <f>HYPERLINK("https://klasma.github.io/Logging_2161/tillsynsmail/A 31078-2025 tillsynsbegäran mail.docx", "A 31078-2025")</f>
        <v/>
      </c>
    </row>
    <row r="285" ht="15" customHeight="1">
      <c r="A285" t="inlineStr">
        <is>
          <t>A 32157-2025</t>
        </is>
      </c>
      <c r="B285" t="inlineStr">
        <is>
          <t>avverkningsanmälan</t>
        </is>
      </c>
      <c r="C285" t="inlineStr">
        <is>
          <t>Föryngringsavverkning</t>
        </is>
      </c>
      <c r="D285" s="1" t="n">
        <v>45835</v>
      </c>
      <c r="E285" s="1" t="n">
        <v>46326</v>
      </c>
      <c r="F285" t="inlineStr">
        <is>
          <t>GÄVLEBORGS LÄN</t>
        </is>
      </c>
      <c r="G285" t="inlineStr">
        <is>
          <t>HUDIKSVALL</t>
        </is>
      </c>
      <c r="I285" t="n">
        <v>4.5</v>
      </c>
      <c r="J285" t="n">
        <v>3</v>
      </c>
      <c r="K285" t="n">
        <v>0</v>
      </c>
      <c r="L285" t="n">
        <v>1</v>
      </c>
      <c r="M285" t="n">
        <v>1</v>
      </c>
      <c r="N285" t="n">
        <v>0</v>
      </c>
      <c r="O285" t="n">
        <v>0</v>
      </c>
      <c r="P285" t="n">
        <v>0</v>
      </c>
      <c r="Q285" t="n">
        <v>2</v>
      </c>
      <c r="R285" t="n">
        <v>1</v>
      </c>
      <c r="S285" t="n">
        <v>4</v>
      </c>
      <c r="T285" t="n">
        <v>7</v>
      </c>
      <c r="U285" t="n">
        <v>0</v>
      </c>
      <c r="V285" s="2" t="inlineStr">
        <is>
          <t>Knärot
Ullticka
Fläcknycklar
Nattviol</t>
        </is>
      </c>
      <c r="W285">
        <f>HYPERLINK("https://klasma.github.io/Logging_2184/artfynd/A 32157-2025 artfynd.xlsx", "A 32157-2025")</f>
        <v/>
      </c>
      <c r="X285">
        <f>HYPERLINK("https://klasma.github.io/Logging_2184/kartor/A 32157-2025 karta.png", "A 32157-2025")</f>
        <v/>
      </c>
      <c r="Y285">
        <f>HYPERLINK("https://klasma.github.io/Logging_2184/kartor_geotiff/A 32157-2025 georefererad karta.tif", "A 32157-2025")</f>
        <v/>
      </c>
      <c r="Z285">
        <f>HYPERLINK("https://klasma.github.io/Logging_2184/knärot/A 32157-2025 karta knärot.png", "A 32157-2025")</f>
        <v/>
      </c>
      <c r="AA285">
        <f>HYPERLINK("https://klasma.github.io/Logging_2184/klagomål/A 32157-2025 FSC-klagomål.docx", "A 32157-2025")</f>
        <v/>
      </c>
      <c r="AB285">
        <f>HYPERLINK("https://klasma.github.io/Logging_2184/klagomålsmail/A 32157-2025 FSC-klagomål mail.docx", "A 32157-2025")</f>
        <v/>
      </c>
      <c r="AC285">
        <f>HYPERLINK("https://klasma.github.io/Logging_2184/tillsyn/A 32157-2025 tillsynsbegäran.docx", "A 32157-2025")</f>
        <v/>
      </c>
      <c r="AD285">
        <f>HYPERLINK("https://klasma.github.io/Logging_2184/tillsynsmail/A 32157-2025 tillsynsbegäran mail.docx", "A 32157-2025")</f>
        <v/>
      </c>
    </row>
    <row r="286" ht="15" customHeight="1">
      <c r="A286" t="inlineStr">
        <is>
          <t>A 53571-2024</t>
        </is>
      </c>
      <c r="B286" t="inlineStr">
        <is>
          <t>avverkningsanmälan</t>
        </is>
      </c>
      <c r="C286" t="inlineStr">
        <is>
          <t>Föryngringsavverkning</t>
        </is>
      </c>
      <c r="D286" s="1" t="n">
        <v>45614</v>
      </c>
      <c r="E286" s="1" t="n">
        <v>46326</v>
      </c>
      <c r="F286" t="inlineStr">
        <is>
          <t>GÄVLEBORGS LÄN</t>
        </is>
      </c>
      <c r="G286" t="inlineStr">
        <is>
          <t>GÄVLE</t>
        </is>
      </c>
      <c r="H286" t="inlineStr">
        <is>
          <t>Bergvik skog öst AB</t>
        </is>
      </c>
      <c r="I286" t="n">
        <v>4.9</v>
      </c>
      <c r="J286" t="n">
        <v>2</v>
      </c>
      <c r="K286" t="n">
        <v>2</v>
      </c>
      <c r="L286" t="n">
        <v>0</v>
      </c>
      <c r="M286" t="n">
        <v>0</v>
      </c>
      <c r="N286" t="n">
        <v>0</v>
      </c>
      <c r="O286" t="n">
        <v>0</v>
      </c>
      <c r="P286" t="n">
        <v>0</v>
      </c>
      <c r="Q286" t="n">
        <v>0</v>
      </c>
      <c r="R286" t="n">
        <v>0</v>
      </c>
      <c r="S286" t="n">
        <v>4</v>
      </c>
      <c r="T286" t="n">
        <v>4</v>
      </c>
      <c r="U286" t="n">
        <v>0</v>
      </c>
      <c r="V286" s="2" t="inlineStr">
        <is>
          <t>Skogsbräsma
Svavelriska
Blåsippa
Vanlig padda</t>
        </is>
      </c>
      <c r="W286">
        <f>HYPERLINK("https://klasma.github.io/Logging_2180/artfynd/A 53571-2024 artfynd.xlsx", "A 53571-2024")</f>
        <v/>
      </c>
      <c r="X286">
        <f>HYPERLINK("https://klasma.github.io/Logging_2180/kartor/A 53571-2024 karta.png", "A 53571-2024")</f>
        <v/>
      </c>
      <c r="Y286">
        <f>HYPERLINK("https://klasma.github.io/Logging_2180/kartor_geotiff/A 53571-2024 georefererad karta.tif", "A 53571-2024")</f>
        <v/>
      </c>
      <c r="AA286">
        <f>HYPERLINK("https://klasma.github.io/Logging_2180/klagomål/A 53571-2024 FSC-klagomål.docx", "A 53571-2024")</f>
        <v/>
      </c>
      <c r="AB286">
        <f>HYPERLINK("https://klasma.github.io/Logging_2180/klagomålsmail/A 53571-2024 FSC-klagomål mail.docx", "A 53571-2024")</f>
        <v/>
      </c>
      <c r="AC286">
        <f>HYPERLINK("https://klasma.github.io/Logging_2180/tillsyn/A 53571-2024 tillsynsbegäran.docx", "A 53571-2024")</f>
        <v/>
      </c>
      <c r="AD286">
        <f>HYPERLINK("https://klasma.github.io/Logging_2180/tillsynsmail/A 53571-2024 tillsynsbegäran mail.docx", "A 53571-2024")</f>
        <v/>
      </c>
    </row>
    <row r="287" ht="15" customHeight="1">
      <c r="A287" t="inlineStr">
        <is>
          <t>A 36196-2023</t>
        </is>
      </c>
      <c r="B287" t="inlineStr">
        <is>
          <t>avverkningsanmälan</t>
        </is>
      </c>
      <c r="C287" t="inlineStr">
        <is>
          <t>Föryngringsavverkning</t>
        </is>
      </c>
      <c r="D287" s="1" t="n">
        <v>45149</v>
      </c>
      <c r="E287" s="1" t="n">
        <v>46326</v>
      </c>
      <c r="F287" t="inlineStr">
        <is>
          <t>GÄVLEBORGS LÄN</t>
        </is>
      </c>
      <c r="G287" t="inlineStr">
        <is>
          <t>HUDIKSVALL</t>
        </is>
      </c>
      <c r="H287" t="inlineStr">
        <is>
          <t>Holmen skog AB</t>
        </is>
      </c>
      <c r="I287" t="n">
        <v>11.8</v>
      </c>
      <c r="J287" t="n">
        <v>1</v>
      </c>
      <c r="K287" t="n">
        <v>1</v>
      </c>
      <c r="L287" t="n">
        <v>2</v>
      </c>
      <c r="M287" t="n">
        <v>1</v>
      </c>
      <c r="N287" t="n">
        <v>0</v>
      </c>
      <c r="O287" t="n">
        <v>0</v>
      </c>
      <c r="P287" t="n">
        <v>0</v>
      </c>
      <c r="Q287" t="n">
        <v>3</v>
      </c>
      <c r="R287" t="n">
        <v>1</v>
      </c>
      <c r="S287" t="n">
        <v>4</v>
      </c>
      <c r="T287" t="n">
        <v>19</v>
      </c>
      <c r="U287" t="n">
        <v>19</v>
      </c>
      <c r="V287" s="2" t="inlineStr">
        <is>
          <t>Knärot
Rosenticka
Ullticka
Stor aspticka</t>
        </is>
      </c>
      <c r="W287">
        <f>HYPERLINK("https://klasma.github.io/Logging_2184/artfynd/A 36196-2023 artfynd.xlsx", "A 36196-2023")</f>
        <v/>
      </c>
      <c r="X287">
        <f>HYPERLINK("https://klasma.github.io/Logging_2184/kartor/A 36196-2023 karta.png", "A 36196-2023")</f>
        <v/>
      </c>
      <c r="Y287">
        <f>HYPERLINK("https://klasma.github.io/Logging_2184/kartor_geotiff/A 36196-2023 georefererad karta.tif", "A 36196-2023")</f>
        <v/>
      </c>
      <c r="Z287">
        <f>HYPERLINK("https://klasma.github.io/Logging_2184/knärot/A 36196-2023 karta knärot.png", "A 36196-2023")</f>
        <v/>
      </c>
      <c r="AA287">
        <f>HYPERLINK("https://klasma.github.io/Logging_2184/klagomål/A 36196-2023 FSC-klagomål.docx", "A 36196-2023")</f>
        <v/>
      </c>
      <c r="AB287">
        <f>HYPERLINK("https://klasma.github.io/Logging_2184/klagomålsmail/A 36196-2023 FSC-klagomål mail.docx", "A 36196-2023")</f>
        <v/>
      </c>
      <c r="AC287">
        <f>HYPERLINK("https://klasma.github.io/Logging_2184/tillsyn/A 36196-2023 tillsynsbegäran.docx", "A 36196-2023")</f>
        <v/>
      </c>
      <c r="AD287">
        <f>HYPERLINK("https://klasma.github.io/Logging_2184/tillsynsmail/A 36196-2023 tillsynsbegäran mail.docx", "A 36196-2023")</f>
        <v/>
      </c>
    </row>
    <row r="288" ht="15" customHeight="1">
      <c r="A288" t="inlineStr">
        <is>
          <t>A 13025-2025</t>
        </is>
      </c>
      <c r="B288" t="inlineStr">
        <is>
          <t>avverkningsanmälan</t>
        </is>
      </c>
      <c r="C288" t="inlineStr">
        <is>
          <t>Föryngringsavverkning</t>
        </is>
      </c>
      <c r="D288" s="1" t="n">
        <v>45734</v>
      </c>
      <c r="E288" s="1" t="n">
        <v>46326</v>
      </c>
      <c r="F288" t="inlineStr">
        <is>
          <t>GÄVLEBORGS LÄN</t>
        </is>
      </c>
      <c r="G288" t="inlineStr">
        <is>
          <t>NORDANSTIG</t>
        </is>
      </c>
      <c r="I288" t="n">
        <v>9.699999999999999</v>
      </c>
      <c r="J288" t="n">
        <v>3</v>
      </c>
      <c r="K288" t="n">
        <v>0</v>
      </c>
      <c r="L288" t="n">
        <v>1</v>
      </c>
      <c r="M288" t="n">
        <v>0</v>
      </c>
      <c r="N288" t="n">
        <v>0</v>
      </c>
      <c r="O288" t="n">
        <v>0</v>
      </c>
      <c r="P288" t="n">
        <v>0</v>
      </c>
      <c r="Q288" t="n">
        <v>1</v>
      </c>
      <c r="R288" t="n">
        <v>0</v>
      </c>
      <c r="S288" t="n">
        <v>4</v>
      </c>
      <c r="T288" t="n">
        <v>4</v>
      </c>
      <c r="U288" t="n">
        <v>4</v>
      </c>
      <c r="V288" s="2" t="inlineStr">
        <is>
          <t>Älg
Spillkråka
Kråka
Kungsfågel</t>
        </is>
      </c>
      <c r="W288">
        <f>HYPERLINK("https://klasma.github.io/Logging_2132/artfynd/A 13025-2025 artfynd.xlsx", "A 13025-2025")</f>
        <v/>
      </c>
      <c r="X288">
        <f>HYPERLINK("https://klasma.github.io/Logging_2132/kartor/A 13025-2025 karta.png", "A 13025-2025")</f>
        <v/>
      </c>
      <c r="Y288">
        <f>HYPERLINK("https://klasma.github.io/Logging_2132/kartor_geotiff/A 13025-2025 georefererad karta.tif", "A 13025-2025")</f>
        <v/>
      </c>
      <c r="AA288">
        <f>HYPERLINK("https://klasma.github.io/Logging_2132/klagomål/A 13025-2025 FSC-klagomål.docx", "A 13025-2025")</f>
        <v/>
      </c>
      <c r="AB288">
        <f>HYPERLINK("https://klasma.github.io/Logging_2132/klagomålsmail/A 13025-2025 FSC-klagomål mail.docx", "A 13025-2025")</f>
        <v/>
      </c>
      <c r="AC288">
        <f>HYPERLINK("https://klasma.github.io/Logging_2132/tillsyn/A 13025-2025 tillsynsbegäran.docx", "A 13025-2025")</f>
        <v/>
      </c>
      <c r="AD288">
        <f>HYPERLINK("https://klasma.github.io/Logging_2132/tillsynsmail/A 13025-2025 tillsynsbegäran mail.docx", "A 13025-2025")</f>
        <v/>
      </c>
      <c r="AE288">
        <f>HYPERLINK("https://klasma.github.io/Logging_2132/fåglar/A 13025-2025 prioriterade fågelarter.docx", "A 13025-2025")</f>
        <v/>
      </c>
    </row>
    <row r="289" ht="15" customHeight="1">
      <c r="A289" t="inlineStr">
        <is>
          <t>A 35739-2025</t>
        </is>
      </c>
      <c r="B289" t="inlineStr">
        <is>
          <t>avverkningsanmälan</t>
        </is>
      </c>
      <c r="C289" t="inlineStr">
        <is>
          <t>Föryngringsavverkning</t>
        </is>
      </c>
      <c r="D289" s="1" t="n">
        <v>45860</v>
      </c>
      <c r="E289" s="1" t="n">
        <v>46326</v>
      </c>
      <c r="F289" t="inlineStr">
        <is>
          <t>GÄVLEBORGS LÄN</t>
        </is>
      </c>
      <c r="G289" t="inlineStr">
        <is>
          <t>LJUSDAL</t>
        </is>
      </c>
      <c r="H289" t="inlineStr">
        <is>
          <t>Bergvik skog väst AB</t>
        </is>
      </c>
      <c r="I289" t="n">
        <v>11</v>
      </c>
      <c r="J289" t="n">
        <v>1</v>
      </c>
      <c r="K289" t="n">
        <v>0</v>
      </c>
      <c r="L289" t="n">
        <v>2</v>
      </c>
      <c r="M289" t="n">
        <v>1</v>
      </c>
      <c r="N289" t="n">
        <v>0</v>
      </c>
      <c r="O289" t="n">
        <v>0</v>
      </c>
      <c r="P289" t="n">
        <v>0</v>
      </c>
      <c r="Q289" t="n">
        <v>3</v>
      </c>
      <c r="R289" t="n">
        <v>1</v>
      </c>
      <c r="S289" t="n">
        <v>4</v>
      </c>
      <c r="T289" t="n">
        <v>5</v>
      </c>
      <c r="U289" t="n">
        <v>5</v>
      </c>
      <c r="V289" s="2" t="inlineStr">
        <is>
          <t>Garnlav
Lunglav
Vedflamlav
Revlummer</t>
        </is>
      </c>
      <c r="W289">
        <f>HYPERLINK("https://klasma.github.io/Logging_2161/artfynd/A 35739-2025 artfynd.xlsx", "A 35739-2025")</f>
        <v/>
      </c>
      <c r="X289">
        <f>HYPERLINK("https://klasma.github.io/Logging_2161/kartor/A 35739-2025 karta.png", "A 35739-2025")</f>
        <v/>
      </c>
      <c r="Y289">
        <f>HYPERLINK("https://klasma.github.io/Logging_2161/kartor_geotiff/A 35739-2025 georefererad karta.tif", "A 35739-2025")</f>
        <v/>
      </c>
      <c r="AA289">
        <f>HYPERLINK("https://klasma.github.io/Logging_2161/klagomål/A 35739-2025 FSC-klagomål.docx", "A 35739-2025")</f>
        <v/>
      </c>
      <c r="AB289">
        <f>HYPERLINK("https://klasma.github.io/Logging_2161/klagomålsmail/A 35739-2025 FSC-klagomål mail.docx", "A 35739-2025")</f>
        <v/>
      </c>
      <c r="AC289">
        <f>HYPERLINK("https://klasma.github.io/Logging_2161/tillsyn/A 35739-2025 tillsynsbegäran.docx", "A 35739-2025")</f>
        <v/>
      </c>
      <c r="AD289">
        <f>HYPERLINK("https://klasma.github.io/Logging_2161/tillsynsmail/A 35739-2025 tillsynsbegäran mail.docx", "A 35739-2025")</f>
        <v/>
      </c>
    </row>
    <row r="290" ht="15" customHeight="1">
      <c r="A290" t="inlineStr">
        <is>
          <t>A 47876-2025</t>
        </is>
      </c>
      <c r="B290" t="inlineStr">
        <is>
          <t>avverkningsanmälan</t>
        </is>
      </c>
      <c r="C290" t="inlineStr">
        <is>
          <t>Föryngringsavverkning</t>
        </is>
      </c>
      <c r="D290" s="1" t="n">
        <v>45932</v>
      </c>
      <c r="E290" s="1" t="n">
        <v>46326</v>
      </c>
      <c r="F290" t="inlineStr">
        <is>
          <t>GÄVLEBORGS LÄN</t>
        </is>
      </c>
      <c r="G290" t="inlineStr">
        <is>
          <t>LJUSDAL</t>
        </is>
      </c>
      <c r="H290" t="inlineStr">
        <is>
          <t>Bergvik skog väst AB</t>
        </is>
      </c>
      <c r="I290" t="n">
        <v>0.9</v>
      </c>
      <c r="J290" t="n">
        <v>0</v>
      </c>
      <c r="K290" t="n">
        <v>0</v>
      </c>
      <c r="L290" t="n">
        <v>3</v>
      </c>
      <c r="M290" t="n">
        <v>1</v>
      </c>
      <c r="N290" t="n">
        <v>0</v>
      </c>
      <c r="O290" t="n">
        <v>0</v>
      </c>
      <c r="P290" t="n">
        <v>0</v>
      </c>
      <c r="Q290" t="n">
        <v>4</v>
      </c>
      <c r="R290" t="n">
        <v>1</v>
      </c>
      <c r="S290" t="n">
        <v>4</v>
      </c>
      <c r="T290" t="n">
        <v>7</v>
      </c>
      <c r="U290" t="n">
        <v>7</v>
      </c>
      <c r="V290" s="2" t="inlineStr">
        <is>
          <t>Garnlav
Kolflarnlav
Motaggsvamp
Mörk kolflarnlav</t>
        </is>
      </c>
      <c r="W290">
        <f>HYPERLINK("https://klasma.github.io/Logging_2161/artfynd/A 47876-2025 artfynd.xlsx", "A 47876-2025")</f>
        <v/>
      </c>
      <c r="X290">
        <f>HYPERLINK("https://klasma.github.io/Logging_2161/kartor/A 47876-2025 karta.png", "A 47876-2025")</f>
        <v/>
      </c>
      <c r="Y290">
        <f>HYPERLINK("https://klasma.github.io/Logging_2161/kartor_geotiff/A 47876-2025 georefererad karta.tif", "A 47876-2025")</f>
        <v/>
      </c>
      <c r="AA290">
        <f>HYPERLINK("https://klasma.github.io/Logging_2161/klagomål/A 47876-2025 FSC-klagomål.docx", "A 47876-2025")</f>
        <v/>
      </c>
      <c r="AB290">
        <f>HYPERLINK("https://klasma.github.io/Logging_2161/klagomålsmail/A 47876-2025 FSC-klagomål mail.docx", "A 47876-2025")</f>
        <v/>
      </c>
      <c r="AC290">
        <f>HYPERLINK("https://klasma.github.io/Logging_2161/tillsyn/A 47876-2025 tillsynsbegäran.docx", "A 47876-2025")</f>
        <v/>
      </c>
      <c r="AD290">
        <f>HYPERLINK("https://klasma.github.io/Logging_2161/tillsynsmail/A 47876-2025 tillsynsbegäran mail.docx", "A 47876-2025")</f>
        <v/>
      </c>
    </row>
    <row r="291" ht="15" customHeight="1">
      <c r="A291" t="inlineStr">
        <is>
          <t>A 48925-2025</t>
        </is>
      </c>
      <c r="B291" t="inlineStr">
        <is>
          <t>avverkningsanmälan</t>
        </is>
      </c>
      <c r="C291" t="inlineStr">
        <is>
          <t>Avverkning för att bevara och utveckla /försöksver</t>
        </is>
      </c>
      <c r="D291" s="1" t="n">
        <v>45937</v>
      </c>
      <c r="E291" s="1" t="n">
        <v>46326</v>
      </c>
      <c r="F291" t="inlineStr">
        <is>
          <t>GÄVLEBORGS LÄN</t>
        </is>
      </c>
      <c r="G291" t="inlineStr">
        <is>
          <t>LJUSDAL</t>
        </is>
      </c>
      <c r="H291" t="inlineStr">
        <is>
          <t>Sveaskog</t>
        </is>
      </c>
      <c r="I291" t="n">
        <v>4.5</v>
      </c>
      <c r="J291" t="n">
        <v>1</v>
      </c>
      <c r="K291" t="n">
        <v>0</v>
      </c>
      <c r="L291" t="n">
        <v>2</v>
      </c>
      <c r="M291" t="n">
        <v>2</v>
      </c>
      <c r="N291" t="n">
        <v>0</v>
      </c>
      <c r="O291" t="n">
        <v>0</v>
      </c>
      <c r="P291" t="n">
        <v>0</v>
      </c>
      <c r="Q291" t="n">
        <v>4</v>
      </c>
      <c r="R291" t="n">
        <v>2</v>
      </c>
      <c r="S291" t="n">
        <v>4</v>
      </c>
      <c r="T291" t="n">
        <v>10</v>
      </c>
      <c r="U291" t="n">
        <v>0</v>
      </c>
      <c r="V291" s="2" t="inlineStr">
        <is>
          <t>Garnlav
Knärot
Lunglav
Skrovellav</t>
        </is>
      </c>
      <c r="W291">
        <f>HYPERLINK("https://klasma.github.io/Logging_2161/artfynd/A 48925-2025 artfynd.xlsx", "A 48925-2025")</f>
        <v/>
      </c>
      <c r="X291">
        <f>HYPERLINK("https://klasma.github.io/Logging_2161/kartor/A 48925-2025 karta.png", "A 48925-2025")</f>
        <v/>
      </c>
      <c r="Y291">
        <f>HYPERLINK("https://klasma.github.io/Logging_2161/kartor_geotiff/A 48925-2025 georefererad karta.tif", "A 48925-2025")</f>
        <v/>
      </c>
      <c r="Z291">
        <f>HYPERLINK("https://klasma.github.io/Logging_2161/knärot/A 48925-2025 karta knärot.png", "A 48925-2025")</f>
        <v/>
      </c>
      <c r="AA291">
        <f>HYPERLINK("https://klasma.github.io/Logging_2161/klagomål/A 48925-2025 FSC-klagomål.docx", "A 48925-2025")</f>
        <v/>
      </c>
      <c r="AB291">
        <f>HYPERLINK("https://klasma.github.io/Logging_2161/klagomålsmail/A 48925-2025 FSC-klagomål mail.docx", "A 48925-2025")</f>
        <v/>
      </c>
      <c r="AC291">
        <f>HYPERLINK("https://klasma.github.io/Logging_2161/tillsyn/A 48925-2025 tillsynsbegäran.docx", "A 48925-2025")</f>
        <v/>
      </c>
      <c r="AD291">
        <f>HYPERLINK("https://klasma.github.io/Logging_2161/tillsynsmail/A 48925-2025 tillsynsbegäran mail.docx", "A 48925-2025")</f>
        <v/>
      </c>
    </row>
    <row r="292" ht="15" customHeight="1">
      <c r="A292" t="inlineStr">
        <is>
          <t>A 48823-2025</t>
        </is>
      </c>
      <c r="B292" t="inlineStr">
        <is>
          <t>avverkningsanmälan</t>
        </is>
      </c>
      <c r="C292" t="inlineStr">
        <is>
          <t>Föryngringsavverkning</t>
        </is>
      </c>
      <c r="D292" s="1" t="n">
        <v>45937</v>
      </c>
      <c r="E292" s="1" t="n">
        <v>46326</v>
      </c>
      <c r="F292" t="inlineStr">
        <is>
          <t>GÄVLEBORGS LÄN</t>
        </is>
      </c>
      <c r="G292" t="inlineStr">
        <is>
          <t>LJUSDAL</t>
        </is>
      </c>
      <c r="H292" t="inlineStr">
        <is>
          <t>Sveaskog</t>
        </is>
      </c>
      <c r="I292" t="n">
        <v>5</v>
      </c>
      <c r="J292" t="n">
        <v>2</v>
      </c>
      <c r="K292" t="n">
        <v>0</v>
      </c>
      <c r="L292" t="n">
        <v>2</v>
      </c>
      <c r="M292" t="n">
        <v>1</v>
      </c>
      <c r="N292" t="n">
        <v>0</v>
      </c>
      <c r="O292" t="n">
        <v>0</v>
      </c>
      <c r="P292" t="n">
        <v>0</v>
      </c>
      <c r="Q292" t="n">
        <v>3</v>
      </c>
      <c r="R292" t="n">
        <v>1</v>
      </c>
      <c r="S292" t="n">
        <v>4</v>
      </c>
      <c r="T292" t="n">
        <v>5</v>
      </c>
      <c r="U292" t="n">
        <v>5</v>
      </c>
      <c r="V292" s="2" t="inlineStr">
        <is>
          <t>Knärot
Kolflarnlav
Motaggsvamp
Revlummer</t>
        </is>
      </c>
      <c r="W292">
        <f>HYPERLINK("https://klasma.github.io/Logging_2161/artfynd/A 48823-2025 artfynd.xlsx", "A 48823-2025")</f>
        <v/>
      </c>
      <c r="X292">
        <f>HYPERLINK("https://klasma.github.io/Logging_2161/kartor/A 48823-2025 karta.png", "A 48823-2025")</f>
        <v/>
      </c>
      <c r="Y292">
        <f>HYPERLINK("https://klasma.github.io/Logging_2161/kartor_geotiff/A 48823-2025 georefererad karta.tif", "A 48823-2025")</f>
        <v/>
      </c>
      <c r="Z292">
        <f>HYPERLINK("https://klasma.github.io/Logging_2161/knärot/A 48823-2025 karta knärot.png", "A 48823-2025")</f>
        <v/>
      </c>
      <c r="AA292">
        <f>HYPERLINK("https://klasma.github.io/Logging_2161/klagomål/A 48823-2025 FSC-klagomål.docx", "A 48823-2025")</f>
        <v/>
      </c>
      <c r="AB292">
        <f>HYPERLINK("https://klasma.github.io/Logging_2161/klagomålsmail/A 48823-2025 FSC-klagomål mail.docx", "A 48823-2025")</f>
        <v/>
      </c>
      <c r="AC292">
        <f>HYPERLINK("https://klasma.github.io/Logging_2161/tillsyn/A 48823-2025 tillsynsbegäran.docx", "A 48823-2025")</f>
        <v/>
      </c>
      <c r="AD292">
        <f>HYPERLINK("https://klasma.github.io/Logging_2161/tillsynsmail/A 48823-2025 tillsynsbegäran mail.docx", "A 48823-2025")</f>
        <v/>
      </c>
    </row>
    <row r="293" ht="15" customHeight="1">
      <c r="A293" t="inlineStr">
        <is>
          <t>A 6080-2026</t>
        </is>
      </c>
      <c r="B293" t="inlineStr">
        <is>
          <t>avverkningsanmälan</t>
        </is>
      </c>
      <c r="C293" t="inlineStr">
        <is>
          <t>Föryngringsavverkning</t>
        </is>
      </c>
      <c r="D293" s="1" t="n">
        <v>46052</v>
      </c>
      <c r="E293" s="1" t="n">
        <v>46326</v>
      </c>
      <c r="F293" t="inlineStr">
        <is>
          <t>GÄVLEBORGS LÄN</t>
        </is>
      </c>
      <c r="G293" t="inlineStr">
        <is>
          <t>GÄVLE</t>
        </is>
      </c>
      <c r="H293" t="inlineStr">
        <is>
          <t>Bergvik skog öst AB</t>
        </is>
      </c>
      <c r="I293" t="n">
        <v>2</v>
      </c>
      <c r="J293" t="n">
        <v>0</v>
      </c>
      <c r="K293" t="n">
        <v>0</v>
      </c>
      <c r="L293" t="n">
        <v>1</v>
      </c>
      <c r="M293" t="n">
        <v>3</v>
      </c>
      <c r="N293" t="n">
        <v>0</v>
      </c>
      <c r="O293" t="n">
        <v>0</v>
      </c>
      <c r="P293" t="n">
        <v>0</v>
      </c>
      <c r="Q293" t="n">
        <v>4</v>
      </c>
      <c r="R293" t="n">
        <v>3</v>
      </c>
      <c r="S293" t="n">
        <v>4</v>
      </c>
      <c r="T293" t="n">
        <v>4</v>
      </c>
      <c r="U293" t="n">
        <v>0</v>
      </c>
      <c r="V293" s="2" t="inlineStr">
        <is>
          <t>Bredbrämad bastardsvärmare
Mindre bastardsvärmare
Ängsblåvinge
Storfläckig kungsnattslända</t>
        </is>
      </c>
      <c r="W293">
        <f>HYPERLINK("https://klasma.github.io/Logging_2180/artfynd/A 6080-2026 artfynd.xlsx", "A 6080-2026")</f>
        <v/>
      </c>
      <c r="X293">
        <f>HYPERLINK("https://klasma.github.io/Logging_2180/kartor/A 6080-2026 karta.png", "A 6080-2026")</f>
        <v/>
      </c>
      <c r="Y293">
        <f>HYPERLINK("https://klasma.github.io/Logging_2180/kartor_geotiff/A 6080-2026 georefererad karta.tif", "A 6080-2026")</f>
        <v/>
      </c>
      <c r="AA293">
        <f>HYPERLINK("https://klasma.github.io/Logging_2180/klagomål/A 6080-2026 FSC-klagomål.docx", "A 6080-2026")</f>
        <v/>
      </c>
      <c r="AB293">
        <f>HYPERLINK("https://klasma.github.io/Logging_2180/klagomålsmail/A 6080-2026 FSC-klagomål mail.docx", "A 6080-2026")</f>
        <v/>
      </c>
      <c r="AC293">
        <f>HYPERLINK("https://klasma.github.io/Logging_2180/tillsyn/A 6080-2026 tillsynsbegäran.docx", "A 6080-2026")</f>
        <v/>
      </c>
      <c r="AD293">
        <f>HYPERLINK("https://klasma.github.io/Logging_2180/tillsynsmail/A 6080-2026 tillsynsbegäran mail.docx", "A 6080-2026")</f>
        <v/>
      </c>
    </row>
    <row r="294" ht="15" customHeight="1">
      <c r="A294" t="inlineStr">
        <is>
          <t>A 21474-2023</t>
        </is>
      </c>
      <c r="B294" t="inlineStr">
        <is>
          <t>avverkningsanmälan</t>
        </is>
      </c>
      <c r="C294" t="inlineStr">
        <is>
          <t>Föryngringsavverkning</t>
        </is>
      </c>
      <c r="D294" s="1" t="n">
        <v>45063</v>
      </c>
      <c r="E294" s="1" t="n">
        <v>46326</v>
      </c>
      <c r="F294" t="inlineStr">
        <is>
          <t>GÄVLEBORGS LÄN</t>
        </is>
      </c>
      <c r="G294" t="inlineStr">
        <is>
          <t>LJUSDAL</t>
        </is>
      </c>
      <c r="H294" t="inlineStr">
        <is>
          <t>Sveaskog</t>
        </is>
      </c>
      <c r="I294" t="n">
        <v>4.3</v>
      </c>
      <c r="J294" t="n">
        <v>3</v>
      </c>
      <c r="K294" t="n">
        <v>0</v>
      </c>
      <c r="L294" t="n">
        <v>0</v>
      </c>
      <c r="M294" t="n">
        <v>2</v>
      </c>
      <c r="N294" t="n">
        <v>0</v>
      </c>
      <c r="O294" t="n">
        <v>0</v>
      </c>
      <c r="P294" t="n">
        <v>0</v>
      </c>
      <c r="Q294" t="n">
        <v>2</v>
      </c>
      <c r="R294" t="n">
        <v>2</v>
      </c>
      <c r="S294" t="n">
        <v>4</v>
      </c>
      <c r="T294" t="n">
        <v>7</v>
      </c>
      <c r="U294" t="n">
        <v>7</v>
      </c>
      <c r="V294" s="2" t="inlineStr">
        <is>
          <t>Garnlav
Knärot
Tjäder
Fläcknycklar</t>
        </is>
      </c>
      <c r="W294">
        <f>HYPERLINK("https://klasma.github.io/Logging_2161/artfynd/A 21474-2023 artfynd.xlsx", "A 21474-2023")</f>
        <v/>
      </c>
      <c r="X294">
        <f>HYPERLINK("https://klasma.github.io/Logging_2161/kartor/A 21474-2023 karta.png", "A 21474-2023")</f>
        <v/>
      </c>
      <c r="Y294">
        <f>HYPERLINK("https://klasma.github.io/Logging_2161/kartor_geotiff/A 21474-2023 georefererad karta.tif", "A 21474-2023")</f>
        <v/>
      </c>
      <c r="Z294">
        <f>HYPERLINK("https://klasma.github.io/Logging_2161/knärot/A 21474-2023 karta knärot.png", "A 21474-2023")</f>
        <v/>
      </c>
      <c r="AA294">
        <f>HYPERLINK("https://klasma.github.io/Logging_2161/klagomål/A 21474-2023 FSC-klagomål.docx", "A 21474-2023")</f>
        <v/>
      </c>
      <c r="AB294">
        <f>HYPERLINK("https://klasma.github.io/Logging_2161/klagomålsmail/A 21474-2023 FSC-klagomål mail.docx", "A 21474-2023")</f>
        <v/>
      </c>
      <c r="AC294">
        <f>HYPERLINK("https://klasma.github.io/Logging_2161/tillsyn/A 21474-2023 tillsynsbegäran.docx", "A 21474-2023")</f>
        <v/>
      </c>
      <c r="AD294">
        <f>HYPERLINK("https://klasma.github.io/Logging_2161/tillsynsmail/A 21474-2023 tillsynsbegäran mail.docx", "A 21474-2023")</f>
        <v/>
      </c>
      <c r="AE294">
        <f>HYPERLINK("https://klasma.github.io/Logging_2161/fåglar/A 21474-2023 prioriterade fågelarter.docx", "A 21474-2023")</f>
        <v/>
      </c>
    </row>
    <row r="295" ht="15" customHeight="1">
      <c r="A295" t="inlineStr">
        <is>
          <t>A 38591-2025</t>
        </is>
      </c>
      <c r="B295" t="inlineStr">
        <is>
          <t>avverkningsanmälan</t>
        </is>
      </c>
      <c r="C295" t="inlineStr">
        <is>
          <t>Föryngringsavverkning</t>
        </is>
      </c>
      <c r="D295" s="1" t="n">
        <v>45884</v>
      </c>
      <c r="E295" s="1" t="n">
        <v>46326</v>
      </c>
      <c r="F295" t="inlineStr">
        <is>
          <t>GÄVLEBORGS LÄN</t>
        </is>
      </c>
      <c r="G295" t="inlineStr">
        <is>
          <t>LJUSDAL</t>
        </is>
      </c>
      <c r="H295" t="inlineStr">
        <is>
          <t>Bergvik skog väst AB</t>
        </is>
      </c>
      <c r="I295" t="n">
        <v>0.7</v>
      </c>
      <c r="J295" t="n">
        <v>0</v>
      </c>
      <c r="K295" t="n">
        <v>2</v>
      </c>
      <c r="L295" t="n">
        <v>2</v>
      </c>
      <c r="M295" t="n">
        <v>0</v>
      </c>
      <c r="N295" t="n">
        <v>0</v>
      </c>
      <c r="O295" t="n">
        <v>0</v>
      </c>
      <c r="P295" t="n">
        <v>0</v>
      </c>
      <c r="Q295" t="n">
        <v>2</v>
      </c>
      <c r="R295" t="n">
        <v>0</v>
      </c>
      <c r="S295" t="n">
        <v>4</v>
      </c>
      <c r="T295" t="n">
        <v>4</v>
      </c>
      <c r="U295" t="n">
        <v>0</v>
      </c>
      <c r="V295" s="2" t="inlineStr">
        <is>
          <t>Lunglav
Skrovellav
Skinnlav
Stuplav</t>
        </is>
      </c>
      <c r="W295">
        <f>HYPERLINK("https://klasma.github.io/Logging_2161/artfynd/A 38591-2025 artfynd.xlsx", "A 38591-2025")</f>
        <v/>
      </c>
      <c r="X295">
        <f>HYPERLINK("https://klasma.github.io/Logging_2161/kartor/A 38591-2025 karta.png", "A 38591-2025")</f>
        <v/>
      </c>
      <c r="Y295">
        <f>HYPERLINK("https://klasma.github.io/Logging_2161/kartor_geotiff/A 38591-2025 georefererad karta.tif", "A 38591-2025")</f>
        <v/>
      </c>
      <c r="AA295">
        <f>HYPERLINK("https://klasma.github.io/Logging_2161/klagomål/A 38591-2025 FSC-klagomål.docx", "A 38591-2025")</f>
        <v/>
      </c>
      <c r="AB295">
        <f>HYPERLINK("https://klasma.github.io/Logging_2161/klagomålsmail/A 38591-2025 FSC-klagomål mail.docx", "A 38591-2025")</f>
        <v/>
      </c>
      <c r="AC295">
        <f>HYPERLINK("https://klasma.github.io/Logging_2161/tillsyn/A 38591-2025 tillsynsbegäran.docx", "A 38591-2025")</f>
        <v/>
      </c>
      <c r="AD295">
        <f>HYPERLINK("https://klasma.github.io/Logging_2161/tillsynsmail/A 38591-2025 tillsynsbegäran mail.docx", "A 38591-2025")</f>
        <v/>
      </c>
    </row>
    <row r="296" ht="15" customHeight="1">
      <c r="A296" t="inlineStr">
        <is>
          <t>A 51489-2025</t>
        </is>
      </c>
      <c r="B296" t="inlineStr">
        <is>
          <t>avverkningsanmälan</t>
        </is>
      </c>
      <c r="C296" t="inlineStr">
        <is>
          <t>Föryngringsavverkning</t>
        </is>
      </c>
      <c r="D296" s="1" t="n">
        <v>45950</v>
      </c>
      <c r="E296" s="1" t="n">
        <v>46326</v>
      </c>
      <c r="F296" t="inlineStr">
        <is>
          <t>GÄVLEBORGS LÄN</t>
        </is>
      </c>
      <c r="G296" t="inlineStr">
        <is>
          <t>NORDANSTIG</t>
        </is>
      </c>
      <c r="I296" t="n">
        <v>8.5</v>
      </c>
      <c r="J296" t="n">
        <v>1</v>
      </c>
      <c r="K296" t="n">
        <v>1</v>
      </c>
      <c r="L296" t="n">
        <v>2</v>
      </c>
      <c r="M296" t="n">
        <v>0</v>
      </c>
      <c r="N296" t="n">
        <v>0</v>
      </c>
      <c r="O296" t="n">
        <v>0</v>
      </c>
      <c r="P296" t="n">
        <v>0</v>
      </c>
      <c r="Q296" t="n">
        <v>2</v>
      </c>
      <c r="R296" t="n">
        <v>0</v>
      </c>
      <c r="S296" t="n">
        <v>4</v>
      </c>
      <c r="T296" t="n">
        <v>5</v>
      </c>
      <c r="U296" t="n">
        <v>0</v>
      </c>
      <c r="V296" s="2" t="inlineStr">
        <is>
          <t>Brunklöver
Slåtterfibbla
Tibast
Revlummer</t>
        </is>
      </c>
      <c r="W296">
        <f>HYPERLINK("https://klasma.github.io/Logging_2132/artfynd/A 51489-2025 artfynd.xlsx", "A 51489-2025")</f>
        <v/>
      </c>
      <c r="X296">
        <f>HYPERLINK("https://klasma.github.io/Logging_2132/kartor/A 51489-2025 karta.png", "A 51489-2025")</f>
        <v/>
      </c>
      <c r="Y296">
        <f>HYPERLINK("https://klasma.github.io/Logging_2132/kartor_geotiff/A 51489-2025 georefererad karta.tif", "A 51489-2025")</f>
        <v/>
      </c>
      <c r="AA296">
        <f>HYPERLINK("https://klasma.github.io/Logging_2132/klagomål/A 51489-2025 FSC-klagomål.docx", "A 51489-2025")</f>
        <v/>
      </c>
      <c r="AB296">
        <f>HYPERLINK("https://klasma.github.io/Logging_2132/klagomålsmail/A 51489-2025 FSC-klagomål mail.docx", "A 51489-2025")</f>
        <v/>
      </c>
      <c r="AC296">
        <f>HYPERLINK("https://klasma.github.io/Logging_2132/tillsyn/A 51489-2025 tillsynsbegäran.docx", "A 51489-2025")</f>
        <v/>
      </c>
      <c r="AD296">
        <f>HYPERLINK("https://klasma.github.io/Logging_2132/tillsynsmail/A 51489-2025 tillsynsbegäran mail.docx", "A 51489-2025")</f>
        <v/>
      </c>
    </row>
    <row r="297" ht="15" customHeight="1">
      <c r="A297" t="inlineStr">
        <is>
          <t>A 52782-2025</t>
        </is>
      </c>
      <c r="B297" t="inlineStr">
        <is>
          <t>avverkningsanmälan</t>
        </is>
      </c>
      <c r="C297" t="inlineStr">
        <is>
          <t>Föryngringsavverkning</t>
        </is>
      </c>
      <c r="D297" s="1" t="n">
        <v>45957</v>
      </c>
      <c r="E297" s="1" t="n">
        <v>46326</v>
      </c>
      <c r="F297" t="inlineStr">
        <is>
          <t>GÄVLEBORGS LÄN</t>
        </is>
      </c>
      <c r="G297" t="inlineStr">
        <is>
          <t>SANDVIKEN</t>
        </is>
      </c>
      <c r="H297" t="inlineStr">
        <is>
          <t>Sveaskog</t>
        </is>
      </c>
      <c r="I297" t="n">
        <v>3.6</v>
      </c>
      <c r="J297" t="n">
        <v>3</v>
      </c>
      <c r="K297" t="n">
        <v>1</v>
      </c>
      <c r="L297" t="n">
        <v>1</v>
      </c>
      <c r="M297" t="n">
        <v>1</v>
      </c>
      <c r="N297" t="n">
        <v>0</v>
      </c>
      <c r="O297" t="n">
        <v>0</v>
      </c>
      <c r="P297" t="n">
        <v>0</v>
      </c>
      <c r="Q297" t="n">
        <v>2</v>
      </c>
      <c r="R297" t="n">
        <v>1</v>
      </c>
      <c r="S297" t="n">
        <v>4</v>
      </c>
      <c r="T297" t="n">
        <v>14</v>
      </c>
      <c r="U297" t="n">
        <v>0</v>
      </c>
      <c r="V297" s="2" t="inlineStr">
        <is>
          <t>Knärot
Motaggsvamp
Tvåblad
Fläcknycklar</t>
        </is>
      </c>
      <c r="W297">
        <f>HYPERLINK("https://klasma.github.io/Logging_2181/artfynd/A 52782-2025 artfynd.xlsx", "A 52782-2025")</f>
        <v/>
      </c>
      <c r="X297">
        <f>HYPERLINK("https://klasma.github.io/Logging_2181/kartor/A 52782-2025 karta.png", "A 52782-2025")</f>
        <v/>
      </c>
      <c r="Y297">
        <f>HYPERLINK("https://klasma.github.io/Logging_2181/kartor_geotiff/A 52782-2025 georefererad karta.tif", "A 52782-2025")</f>
        <v/>
      </c>
      <c r="Z297">
        <f>HYPERLINK("https://klasma.github.io/Logging_2181/knärot/A 52782-2025 karta knärot.png", "A 52782-2025")</f>
        <v/>
      </c>
      <c r="AA297">
        <f>HYPERLINK("https://klasma.github.io/Logging_2181/klagomål/A 52782-2025 FSC-klagomål.docx", "A 52782-2025")</f>
        <v/>
      </c>
      <c r="AB297">
        <f>HYPERLINK("https://klasma.github.io/Logging_2181/klagomålsmail/A 52782-2025 FSC-klagomål mail.docx", "A 52782-2025")</f>
        <v/>
      </c>
      <c r="AC297">
        <f>HYPERLINK("https://klasma.github.io/Logging_2181/tillsyn/A 52782-2025 tillsynsbegäran.docx", "A 52782-2025")</f>
        <v/>
      </c>
      <c r="AD297">
        <f>HYPERLINK("https://klasma.github.io/Logging_2181/tillsynsmail/A 52782-2025 tillsynsbegäran mail.docx", "A 52782-2025")</f>
        <v/>
      </c>
    </row>
    <row r="298" ht="15" customHeight="1">
      <c r="A298" t="inlineStr">
        <is>
          <t>A 7943-2026</t>
        </is>
      </c>
      <c r="B298" t="inlineStr">
        <is>
          <t>avverkningsanmälan</t>
        </is>
      </c>
      <c r="C298" t="inlineStr">
        <is>
          <t>Föryngringsavverkning</t>
        </is>
      </c>
      <c r="D298" s="1" t="n">
        <v>46063</v>
      </c>
      <c r="E298" s="1" t="n">
        <v>46326</v>
      </c>
      <c r="F298" t="inlineStr">
        <is>
          <t>GÄVLEBORGS LÄN</t>
        </is>
      </c>
      <c r="G298" t="inlineStr">
        <is>
          <t>HUDIKSVALL</t>
        </is>
      </c>
      <c r="I298" t="n">
        <v>3.7</v>
      </c>
      <c r="J298" t="n">
        <v>0</v>
      </c>
      <c r="K298" t="n">
        <v>0</v>
      </c>
      <c r="L298" t="n">
        <v>3</v>
      </c>
      <c r="M298" t="n">
        <v>1</v>
      </c>
      <c r="N298" t="n">
        <v>0</v>
      </c>
      <c r="O298" t="n">
        <v>0</v>
      </c>
      <c r="P298" t="n">
        <v>0</v>
      </c>
      <c r="Q298" t="n">
        <v>4</v>
      </c>
      <c r="R298" t="n">
        <v>1</v>
      </c>
      <c r="S298" t="n">
        <v>4</v>
      </c>
      <c r="T298" t="n">
        <v>5</v>
      </c>
      <c r="U298" t="n">
        <v>0</v>
      </c>
      <c r="V298" s="2" t="inlineStr">
        <is>
          <t>Garnlav
Rosenticka
Ullticka
Vedskivlav</t>
        </is>
      </c>
      <c r="W298">
        <f>HYPERLINK("https://klasma.github.io/Logging_2184/artfynd/A 7943-2026 artfynd.xlsx", "A 7943-2026")</f>
        <v/>
      </c>
      <c r="X298">
        <f>HYPERLINK("https://klasma.github.io/Logging_2184/kartor/A 7943-2026 karta.png", "A 7943-2026")</f>
        <v/>
      </c>
      <c r="Y298">
        <f>HYPERLINK("https://klasma.github.io/Logging_2184/kartor_geotiff/A 7943-2026 georefererad karta.tif", "A 7943-2026")</f>
        <v/>
      </c>
      <c r="AA298">
        <f>HYPERLINK("https://klasma.github.io/Logging_2184/klagomål/A 7943-2026 FSC-klagomål.docx", "A 7943-2026")</f>
        <v/>
      </c>
      <c r="AB298">
        <f>HYPERLINK("https://klasma.github.io/Logging_2184/klagomålsmail/A 7943-2026 FSC-klagomål mail.docx", "A 7943-2026")</f>
        <v/>
      </c>
      <c r="AC298">
        <f>HYPERLINK("https://klasma.github.io/Logging_2184/tillsyn/A 7943-2026 tillsynsbegäran.docx", "A 7943-2026")</f>
        <v/>
      </c>
      <c r="AD298">
        <f>HYPERLINK("https://klasma.github.io/Logging_2184/tillsynsmail/A 7943-2026 tillsynsbegäran mail.docx", "A 7943-2026")</f>
        <v/>
      </c>
    </row>
    <row r="299" ht="15" customHeight="1">
      <c r="A299" t="inlineStr">
        <is>
          <t>A 52784-2025</t>
        </is>
      </c>
      <c r="B299" t="inlineStr">
        <is>
          <t>avverkningsanmälan</t>
        </is>
      </c>
      <c r="C299" t="inlineStr">
        <is>
          <t>Föryngringsavverkning</t>
        </is>
      </c>
      <c r="D299" s="1" t="n">
        <v>45957</v>
      </c>
      <c r="E299" s="1" t="n">
        <v>46326</v>
      </c>
      <c r="F299" t="inlineStr">
        <is>
          <t>GÄVLEBORGS LÄN</t>
        </is>
      </c>
      <c r="G299" t="inlineStr">
        <is>
          <t>SANDVIKEN</t>
        </is>
      </c>
      <c r="H299" t="inlineStr">
        <is>
          <t>Sveaskog</t>
        </is>
      </c>
      <c r="I299" t="n">
        <v>1.6</v>
      </c>
      <c r="J299" t="n">
        <v>1</v>
      </c>
      <c r="K299" t="n">
        <v>1</v>
      </c>
      <c r="L299" t="n">
        <v>1</v>
      </c>
      <c r="M299" t="n">
        <v>2</v>
      </c>
      <c r="N299" t="n">
        <v>0</v>
      </c>
      <c r="O299" t="n">
        <v>0</v>
      </c>
      <c r="P299" t="n">
        <v>0</v>
      </c>
      <c r="Q299" t="n">
        <v>3</v>
      </c>
      <c r="R299" t="n">
        <v>2</v>
      </c>
      <c r="S299" t="n">
        <v>4</v>
      </c>
      <c r="T299" t="n">
        <v>6</v>
      </c>
      <c r="U299" t="n">
        <v>6</v>
      </c>
      <c r="V299" s="2" t="inlineStr">
        <is>
          <t>Garnlav
Knärot
Dropptaggsvamp
Bronshjon</t>
        </is>
      </c>
      <c r="W299">
        <f>HYPERLINK("https://klasma.github.io/Logging_2181/artfynd/A 52784-2025 artfynd.xlsx", "A 52784-2025")</f>
        <v/>
      </c>
      <c r="X299">
        <f>HYPERLINK("https://klasma.github.io/Logging_2181/kartor/A 52784-2025 karta.png", "A 52784-2025")</f>
        <v/>
      </c>
      <c r="Y299">
        <f>HYPERLINK("https://klasma.github.io/Logging_2181/kartor_geotiff/A 52784-2025 georefererad karta.tif", "A 52784-2025")</f>
        <v/>
      </c>
      <c r="Z299">
        <f>HYPERLINK("https://klasma.github.io/Logging_2181/knärot/A 52784-2025 karta knärot.png", "A 52784-2025")</f>
        <v/>
      </c>
      <c r="AA299">
        <f>HYPERLINK("https://klasma.github.io/Logging_2181/klagomål/A 52784-2025 FSC-klagomål.docx", "A 52784-2025")</f>
        <v/>
      </c>
      <c r="AB299">
        <f>HYPERLINK("https://klasma.github.io/Logging_2181/klagomålsmail/A 52784-2025 FSC-klagomål mail.docx", "A 52784-2025")</f>
        <v/>
      </c>
      <c r="AC299">
        <f>HYPERLINK("https://klasma.github.io/Logging_2181/tillsyn/A 52784-2025 tillsynsbegäran.docx", "A 52784-2025")</f>
        <v/>
      </c>
      <c r="AD299">
        <f>HYPERLINK("https://klasma.github.io/Logging_2181/tillsynsmail/A 52784-2025 tillsynsbegäran mail.docx", "A 52784-2025")</f>
        <v/>
      </c>
    </row>
    <row r="300" ht="15" customHeight="1">
      <c r="A300" t="inlineStr">
        <is>
          <t>A 52785-2025</t>
        </is>
      </c>
      <c r="B300" t="inlineStr">
        <is>
          <t>avverkningsanmälan</t>
        </is>
      </c>
      <c r="C300" t="inlineStr">
        <is>
          <t>Föryngringsavverkning</t>
        </is>
      </c>
      <c r="D300" s="1" t="n">
        <v>45957</v>
      </c>
      <c r="E300" s="1" t="n">
        <v>46326</v>
      </c>
      <c r="F300" t="inlineStr">
        <is>
          <t>GÄVLEBORGS LÄN</t>
        </is>
      </c>
      <c r="G300" t="inlineStr">
        <is>
          <t>SANDVIKEN</t>
        </is>
      </c>
      <c r="H300" t="inlineStr">
        <is>
          <t>Sveaskog</t>
        </is>
      </c>
      <c r="I300" t="n">
        <v>1.6</v>
      </c>
      <c r="J300" t="n">
        <v>1</v>
      </c>
      <c r="K300" t="n">
        <v>1</v>
      </c>
      <c r="L300" t="n">
        <v>1</v>
      </c>
      <c r="M300" t="n">
        <v>2</v>
      </c>
      <c r="N300" t="n">
        <v>0</v>
      </c>
      <c r="O300" t="n">
        <v>0</v>
      </c>
      <c r="P300" t="n">
        <v>0</v>
      </c>
      <c r="Q300" t="n">
        <v>3</v>
      </c>
      <c r="R300" t="n">
        <v>2</v>
      </c>
      <c r="S300" t="n">
        <v>4</v>
      </c>
      <c r="T300" t="n">
        <v>6</v>
      </c>
      <c r="U300" t="n">
        <v>6</v>
      </c>
      <c r="V300" s="2" t="inlineStr">
        <is>
          <t>Garnlav
Knärot
Dropptaggsvamp
Bronshjon</t>
        </is>
      </c>
      <c r="W300">
        <f>HYPERLINK("https://klasma.github.io/Logging_2181/artfynd/A 52785-2025 artfynd.xlsx", "A 52785-2025")</f>
        <v/>
      </c>
      <c r="X300">
        <f>HYPERLINK("https://klasma.github.io/Logging_2181/kartor/A 52785-2025 karta.png", "A 52785-2025")</f>
        <v/>
      </c>
      <c r="Y300">
        <f>HYPERLINK("https://klasma.github.io/Logging_2181/kartor_geotiff/A 52785-2025 georefererad karta.tif", "A 52785-2025")</f>
        <v/>
      </c>
      <c r="Z300">
        <f>HYPERLINK("https://klasma.github.io/Logging_2181/knärot/A 52785-2025 karta knärot.png", "A 52785-2025")</f>
        <v/>
      </c>
      <c r="AA300">
        <f>HYPERLINK("https://klasma.github.io/Logging_2181/klagomål/A 52785-2025 FSC-klagomål.docx", "A 52785-2025")</f>
        <v/>
      </c>
      <c r="AB300">
        <f>HYPERLINK("https://klasma.github.io/Logging_2181/klagomålsmail/A 52785-2025 FSC-klagomål mail.docx", "A 52785-2025")</f>
        <v/>
      </c>
      <c r="AC300">
        <f>HYPERLINK("https://klasma.github.io/Logging_2181/tillsyn/A 52785-2025 tillsynsbegäran.docx", "A 52785-2025")</f>
        <v/>
      </c>
      <c r="AD300">
        <f>HYPERLINK("https://klasma.github.io/Logging_2181/tillsynsmail/A 52785-2025 tillsynsbegäran mail.docx", "A 52785-2025")</f>
        <v/>
      </c>
    </row>
    <row r="301" ht="15" customHeight="1">
      <c r="A301" t="inlineStr">
        <is>
          <t>A 30608-2023</t>
        </is>
      </c>
      <c r="B301" t="inlineStr">
        <is>
          <t>avverkningsanmälan</t>
        </is>
      </c>
      <c r="C301" t="inlineStr">
        <is>
          <t>Föryngringsavverkning</t>
        </is>
      </c>
      <c r="D301" s="1" t="n">
        <v>45112</v>
      </c>
      <c r="E301" s="1" t="n">
        <v>46326</v>
      </c>
      <c r="F301" t="inlineStr">
        <is>
          <t>GÄVLEBORGS LÄN</t>
        </is>
      </c>
      <c r="G301" t="inlineStr">
        <is>
          <t>LJUSDAL</t>
        </is>
      </c>
      <c r="H301" t="inlineStr">
        <is>
          <t>Sveaskog</t>
        </is>
      </c>
      <c r="I301" t="n">
        <v>11.6</v>
      </c>
      <c r="J301" t="n">
        <v>2</v>
      </c>
      <c r="K301" t="n">
        <v>0</v>
      </c>
      <c r="L301" t="n">
        <v>3</v>
      </c>
      <c r="M301" t="n">
        <v>1</v>
      </c>
      <c r="N301" t="n">
        <v>0</v>
      </c>
      <c r="O301" t="n">
        <v>0</v>
      </c>
      <c r="P301" t="n">
        <v>0</v>
      </c>
      <c r="Q301" t="n">
        <v>4</v>
      </c>
      <c r="R301" t="n">
        <v>1</v>
      </c>
      <c r="S301" t="n">
        <v>4</v>
      </c>
      <c r="T301" t="n">
        <v>27</v>
      </c>
      <c r="U301" t="n">
        <v>27</v>
      </c>
      <c r="V301" s="2" t="inlineStr">
        <is>
          <t>Knärot
Kolflarnlav
Skogshare
Tretåig hackspett</t>
        </is>
      </c>
      <c r="W301">
        <f>HYPERLINK("https://klasma.github.io/Logging_2161/artfynd/A 30608-2023 artfynd.xlsx", "A 30608-2023")</f>
        <v/>
      </c>
      <c r="X301">
        <f>HYPERLINK("https://klasma.github.io/Logging_2161/kartor/A 30608-2023 karta.png", "A 30608-2023")</f>
        <v/>
      </c>
      <c r="Y301">
        <f>HYPERLINK("https://klasma.github.io/Logging_2161/kartor_geotiff/A 30608-2023 georefererad karta.tif", "A 30608-2023")</f>
        <v/>
      </c>
      <c r="Z301">
        <f>HYPERLINK("https://klasma.github.io/Logging_2161/knärot/A 30608-2023 karta knärot.png", "A 30608-2023")</f>
        <v/>
      </c>
      <c r="AA301">
        <f>HYPERLINK("https://klasma.github.io/Logging_2161/klagomål/A 30608-2023 FSC-klagomål.docx", "A 30608-2023")</f>
        <v/>
      </c>
      <c r="AB301">
        <f>HYPERLINK("https://klasma.github.io/Logging_2161/klagomålsmail/A 30608-2023 FSC-klagomål mail.docx", "A 30608-2023")</f>
        <v/>
      </c>
      <c r="AC301">
        <f>HYPERLINK("https://klasma.github.io/Logging_2161/tillsyn/A 30608-2023 tillsynsbegäran.docx", "A 30608-2023")</f>
        <v/>
      </c>
      <c r="AD301">
        <f>HYPERLINK("https://klasma.github.io/Logging_2161/tillsynsmail/A 30608-2023 tillsynsbegäran mail.docx", "A 30608-2023")</f>
        <v/>
      </c>
      <c r="AE301">
        <f>HYPERLINK("https://klasma.github.io/Logging_2161/fåglar/A 30608-2023 prioriterade fågelarter.docx", "A 30608-2023")</f>
        <v/>
      </c>
    </row>
    <row r="302" ht="15" customHeight="1">
      <c r="A302" t="inlineStr">
        <is>
          <t>A 49982-2025</t>
        </is>
      </c>
      <c r="B302" t="inlineStr">
        <is>
          <t>avverkningsanmälan</t>
        </is>
      </c>
      <c r="C302" t="inlineStr">
        <is>
          <t>Föryngringsavverkning</t>
        </is>
      </c>
      <c r="D302" s="1" t="n">
        <v>45942</v>
      </c>
      <c r="E302" s="1" t="n">
        <v>46326</v>
      </c>
      <c r="F302" t="inlineStr">
        <is>
          <t>GÄVLEBORGS LÄN</t>
        </is>
      </c>
      <c r="G302" t="inlineStr">
        <is>
          <t>LJUSDAL</t>
        </is>
      </c>
      <c r="I302" t="n">
        <v>3.6</v>
      </c>
      <c r="J302" t="n">
        <v>1</v>
      </c>
      <c r="K302" t="n">
        <v>1</v>
      </c>
      <c r="L302" t="n">
        <v>2</v>
      </c>
      <c r="M302" t="n">
        <v>1</v>
      </c>
      <c r="N302" t="n">
        <v>0</v>
      </c>
      <c r="O302" t="n">
        <v>0</v>
      </c>
      <c r="P302" t="n">
        <v>0</v>
      </c>
      <c r="Q302" t="n">
        <v>3</v>
      </c>
      <c r="R302" t="n">
        <v>1</v>
      </c>
      <c r="S302" t="n">
        <v>4</v>
      </c>
      <c r="T302" t="n">
        <v>13</v>
      </c>
      <c r="U302" t="n">
        <v>2</v>
      </c>
      <c r="V302" s="2" t="inlineStr">
        <is>
          <t>Knärot
Dropptaggsvamp
Vedtrappmossa
Rödgul trumpetsvamp</t>
        </is>
      </c>
      <c r="W302">
        <f>HYPERLINK("https://klasma.github.io/Logging_2161/artfynd/A 49982-2025 artfynd.xlsx", "A 49982-2025")</f>
        <v/>
      </c>
      <c r="X302">
        <f>HYPERLINK("https://klasma.github.io/Logging_2161/kartor/A 49982-2025 karta.png", "A 49982-2025")</f>
        <v/>
      </c>
      <c r="Y302">
        <f>HYPERLINK("https://klasma.github.io/Logging_2161/kartor_geotiff/A 49982-2025 georefererad karta.tif", "A 49982-2025")</f>
        <v/>
      </c>
      <c r="Z302">
        <f>HYPERLINK("https://klasma.github.io/Logging_2161/knärot/A 49982-2025 karta knärot.png", "A 49982-2025")</f>
        <v/>
      </c>
      <c r="AA302">
        <f>HYPERLINK("https://klasma.github.io/Logging_2161/klagomål/A 49982-2025 FSC-klagomål.docx", "A 49982-2025")</f>
        <v/>
      </c>
      <c r="AB302">
        <f>HYPERLINK("https://klasma.github.io/Logging_2161/klagomålsmail/A 49982-2025 FSC-klagomål mail.docx", "A 49982-2025")</f>
        <v/>
      </c>
      <c r="AC302">
        <f>HYPERLINK("https://klasma.github.io/Logging_2161/tillsyn/A 49982-2025 tillsynsbegäran.docx", "A 49982-2025")</f>
        <v/>
      </c>
      <c r="AD302">
        <f>HYPERLINK("https://klasma.github.io/Logging_2161/tillsynsmail/A 49982-2025 tillsynsbegäran mail.docx", "A 49982-2025")</f>
        <v/>
      </c>
    </row>
    <row r="303" ht="15" customHeight="1">
      <c r="A303" t="inlineStr">
        <is>
          <t>A 9973-2026</t>
        </is>
      </c>
      <c r="B303" t="inlineStr">
        <is>
          <t>avverkningsanmälan</t>
        </is>
      </c>
      <c r="C303" t="inlineStr">
        <is>
          <t>Föryngringsavverkning</t>
        </is>
      </c>
      <c r="D303" s="1" t="n">
        <v>46073</v>
      </c>
      <c r="E303" s="1" t="n">
        <v>46326</v>
      </c>
      <c r="F303" t="inlineStr">
        <is>
          <t>GÄVLEBORGS LÄN</t>
        </is>
      </c>
      <c r="G303" t="inlineStr">
        <is>
          <t>NORDANSTIG</t>
        </is>
      </c>
      <c r="I303" t="n">
        <v>17.9</v>
      </c>
      <c r="J303" t="n">
        <v>1</v>
      </c>
      <c r="K303" t="n">
        <v>2</v>
      </c>
      <c r="L303" t="n">
        <v>1</v>
      </c>
      <c r="M303" t="n">
        <v>0</v>
      </c>
      <c r="N303" t="n">
        <v>0</v>
      </c>
      <c r="O303" t="n">
        <v>0</v>
      </c>
      <c r="P303" t="n">
        <v>0</v>
      </c>
      <c r="Q303" t="n">
        <v>1</v>
      </c>
      <c r="R303" t="n">
        <v>0</v>
      </c>
      <c r="S303" t="n">
        <v>4</v>
      </c>
      <c r="T303" t="n">
        <v>4</v>
      </c>
      <c r="U303" t="n">
        <v>0</v>
      </c>
      <c r="V303" s="2" t="inlineStr">
        <is>
          <t>Lunglav
Skinnlav
Zontaggsvamp
Blåsippa</t>
        </is>
      </c>
      <c r="W303">
        <f>HYPERLINK("https://klasma.github.io/Logging_2132/artfynd/A 9973-2026 artfynd.xlsx", "A 9973-2026")</f>
        <v/>
      </c>
      <c r="X303">
        <f>HYPERLINK("https://klasma.github.io/Logging_2132/kartor/A 9973-2026 karta.png", "A 9973-2026")</f>
        <v/>
      </c>
      <c r="Y303">
        <f>HYPERLINK("https://klasma.github.io/Logging_2132/kartor_geotiff/A 9973-2026 georefererad karta.tif", "A 9973-2026")</f>
        <v/>
      </c>
      <c r="AA303">
        <f>HYPERLINK("https://klasma.github.io/Logging_2132/klagomål/A 9973-2026 FSC-klagomål.docx", "A 9973-2026")</f>
        <v/>
      </c>
      <c r="AB303">
        <f>HYPERLINK("https://klasma.github.io/Logging_2132/klagomålsmail/A 9973-2026 FSC-klagomål mail.docx", "A 9973-2026")</f>
        <v/>
      </c>
      <c r="AC303">
        <f>HYPERLINK("https://klasma.github.io/Logging_2132/tillsyn/A 9973-2026 tillsynsbegäran.docx", "A 9973-2026")</f>
        <v/>
      </c>
      <c r="AD303">
        <f>HYPERLINK("https://klasma.github.io/Logging_2132/tillsynsmail/A 9973-2026 tillsynsbegäran mail.docx", "A 9973-2026")</f>
        <v/>
      </c>
    </row>
    <row r="304" ht="15" customHeight="1">
      <c r="A304" t="inlineStr">
        <is>
          <t>A 26325-2023</t>
        </is>
      </c>
      <c r="B304" t="inlineStr">
        <is>
          <t>avverkningsanmälan</t>
        </is>
      </c>
      <c r="C304" t="inlineStr">
        <is>
          <t>Föryngringsavverkning</t>
        </is>
      </c>
      <c r="D304" s="1" t="n">
        <v>45091</v>
      </c>
      <c r="E304" s="1" t="n">
        <v>46326</v>
      </c>
      <c r="F304" t="inlineStr">
        <is>
          <t>GÄVLEBORGS LÄN</t>
        </is>
      </c>
      <c r="G304" t="inlineStr">
        <is>
          <t>NORDANSTIG</t>
        </is>
      </c>
      <c r="H304" t="inlineStr">
        <is>
          <t>Holmen skog AB</t>
        </is>
      </c>
      <c r="I304" t="n">
        <v>9.9</v>
      </c>
      <c r="J304" t="n">
        <v>0</v>
      </c>
      <c r="K304" t="n">
        <v>0</v>
      </c>
      <c r="L304" t="n">
        <v>2</v>
      </c>
      <c r="M304" t="n">
        <v>2</v>
      </c>
      <c r="N304" t="n">
        <v>0</v>
      </c>
      <c r="O304" t="n">
        <v>0</v>
      </c>
      <c r="P304" t="n">
        <v>0</v>
      </c>
      <c r="Q304" t="n">
        <v>4</v>
      </c>
      <c r="R304" t="n">
        <v>2</v>
      </c>
      <c r="S304" t="n">
        <v>4</v>
      </c>
      <c r="T304" t="n">
        <v>13</v>
      </c>
      <c r="U304" t="n">
        <v>12</v>
      </c>
      <c r="V304" s="2" t="inlineStr">
        <is>
          <t>Garnlav
Ringlav
Lunglav
Rosenticka</t>
        </is>
      </c>
      <c r="W304">
        <f>HYPERLINK("https://klasma.github.io/Logging_2132/artfynd/A 26325-2023 artfynd.xlsx", "A 26325-2023")</f>
        <v/>
      </c>
      <c r="X304">
        <f>HYPERLINK("https://klasma.github.io/Logging_2132/kartor/A 26325-2023 karta.png", "A 26325-2023")</f>
        <v/>
      </c>
      <c r="Y304">
        <f>HYPERLINK("https://klasma.github.io/Logging_2132/kartor_geotiff/A 26325-2023 georefererad karta.tif", "A 26325-2023")</f>
        <v/>
      </c>
      <c r="AA304">
        <f>HYPERLINK("https://klasma.github.io/Logging_2132/klagomål/A 26325-2023 FSC-klagomål.docx", "A 26325-2023")</f>
        <v/>
      </c>
      <c r="AB304">
        <f>HYPERLINK("https://klasma.github.io/Logging_2132/klagomålsmail/A 26325-2023 FSC-klagomål mail.docx", "A 26325-2023")</f>
        <v/>
      </c>
      <c r="AC304">
        <f>HYPERLINK("https://klasma.github.io/Logging_2132/tillsyn/A 26325-2023 tillsynsbegäran.docx", "A 26325-2023")</f>
        <v/>
      </c>
      <c r="AD304">
        <f>HYPERLINK("https://klasma.github.io/Logging_2132/tillsynsmail/A 26325-2023 tillsynsbegäran mail.docx", "A 26325-2023")</f>
        <v/>
      </c>
    </row>
    <row r="305" ht="15" customHeight="1">
      <c r="A305" t="inlineStr">
        <is>
          <t>A 57831-2025</t>
        </is>
      </c>
      <c r="B305" t="inlineStr">
        <is>
          <t>avverkningsanmälan</t>
        </is>
      </c>
      <c r="C305" t="inlineStr">
        <is>
          <t>Föryngringsavverkning</t>
        </is>
      </c>
      <c r="D305" s="1" t="n">
        <v>45981</v>
      </c>
      <c r="E305" s="1" t="n">
        <v>46326</v>
      </c>
      <c r="F305" t="inlineStr">
        <is>
          <t>GÄVLEBORGS LÄN</t>
        </is>
      </c>
      <c r="G305" t="inlineStr">
        <is>
          <t>NORDANSTIG</t>
        </is>
      </c>
      <c r="I305" t="n">
        <v>3.3</v>
      </c>
      <c r="J305" t="n">
        <v>4</v>
      </c>
      <c r="K305" t="n">
        <v>1</v>
      </c>
      <c r="L305" t="n">
        <v>0</v>
      </c>
      <c r="M305" t="n">
        <v>0</v>
      </c>
      <c r="N305" t="n">
        <v>0</v>
      </c>
      <c r="O305" t="n">
        <v>0</v>
      </c>
      <c r="P305" t="n">
        <v>0</v>
      </c>
      <c r="Q305" t="n">
        <v>0</v>
      </c>
      <c r="R305" t="n">
        <v>0</v>
      </c>
      <c r="S305" t="n">
        <v>4</v>
      </c>
      <c r="T305" t="n">
        <v>11</v>
      </c>
      <c r="U305" t="n">
        <v>11</v>
      </c>
      <c r="V305" s="2" t="inlineStr">
        <is>
          <t>Plattlummer
Mattlummer
Fläcknycklar
Revlummer</t>
        </is>
      </c>
      <c r="W305">
        <f>HYPERLINK("https://klasma.github.io/Logging_2132/artfynd/A 57831-2025 artfynd.xlsx", "A 57831-2025")</f>
        <v/>
      </c>
      <c r="X305">
        <f>HYPERLINK("https://klasma.github.io/Logging_2132/kartor/A 57831-2025 karta.png", "A 57831-2025")</f>
        <v/>
      </c>
      <c r="Y305">
        <f>HYPERLINK("https://klasma.github.io/Logging_2132/kartor_geotiff/A 57831-2025 georefererad karta.tif", "A 57831-2025")</f>
        <v/>
      </c>
      <c r="AA305">
        <f>HYPERLINK("https://klasma.github.io/Logging_2132/klagomål/A 57831-2025 FSC-klagomål.docx", "A 57831-2025")</f>
        <v/>
      </c>
      <c r="AB305">
        <f>HYPERLINK("https://klasma.github.io/Logging_2132/klagomålsmail/A 57831-2025 FSC-klagomål mail.docx", "A 57831-2025")</f>
        <v/>
      </c>
      <c r="AC305">
        <f>HYPERLINK("https://klasma.github.io/Logging_2132/tillsyn/A 57831-2025 tillsynsbegäran.docx", "A 57831-2025")</f>
        <v/>
      </c>
      <c r="AD305">
        <f>HYPERLINK("https://klasma.github.io/Logging_2132/tillsynsmail/A 57831-2025 tillsynsbegäran mail.docx", "A 57831-2025")</f>
        <v/>
      </c>
    </row>
    <row r="306" ht="15" customHeight="1">
      <c r="A306" t="inlineStr">
        <is>
          <t>A 12192-2026</t>
        </is>
      </c>
      <c r="B306" t="inlineStr">
        <is>
          <t>avverkningsanmälan</t>
        </is>
      </c>
      <c r="C306" t="inlineStr">
        <is>
          <t>Föryngringsavverkning</t>
        </is>
      </c>
      <c r="D306" s="1" t="n">
        <v>46086</v>
      </c>
      <c r="E306" s="1" t="n">
        <v>46326</v>
      </c>
      <c r="F306" t="inlineStr">
        <is>
          <t>GÄVLEBORGS LÄN</t>
        </is>
      </c>
      <c r="G306" t="inlineStr">
        <is>
          <t>SANDVIKEN</t>
        </is>
      </c>
      <c r="I306" t="n">
        <v>0.6</v>
      </c>
      <c r="J306" t="n">
        <v>3</v>
      </c>
      <c r="K306" t="n">
        <v>0</v>
      </c>
      <c r="L306" t="n">
        <v>2</v>
      </c>
      <c r="M306" t="n">
        <v>1</v>
      </c>
      <c r="N306" t="n">
        <v>0</v>
      </c>
      <c r="O306" t="n">
        <v>0</v>
      </c>
      <c r="P306" t="n">
        <v>0</v>
      </c>
      <c r="Q306" t="n">
        <v>3</v>
      </c>
      <c r="R306" t="n">
        <v>1</v>
      </c>
      <c r="S306" t="n">
        <v>4</v>
      </c>
      <c r="T306" t="n">
        <v>9</v>
      </c>
      <c r="U306" t="n">
        <v>9</v>
      </c>
      <c r="V306" s="2" t="inlineStr">
        <is>
          <t>Knärot
Kattfotslav
Tretåig hackspett
Spillkråka</t>
        </is>
      </c>
      <c r="W306">
        <f>HYPERLINK("https://klasma.github.io/Logging_2181/artfynd/A 12192-2026 artfynd.xlsx", "A 12192-2026")</f>
        <v/>
      </c>
      <c r="X306">
        <f>HYPERLINK("https://klasma.github.io/Logging_2181/kartor/A 12192-2026 karta.png", "A 12192-2026")</f>
        <v/>
      </c>
      <c r="Y306">
        <f>HYPERLINK("https://klasma.github.io/Logging_2181/kartor_geotiff/A 12192-2026 georefererad karta.tif", "A 12192-2026")</f>
        <v/>
      </c>
      <c r="Z306">
        <f>HYPERLINK("https://klasma.github.io/Logging_2181/knärot/A 12192-2026 karta knärot.png", "A 12192-2026")</f>
        <v/>
      </c>
      <c r="AA306">
        <f>HYPERLINK("https://klasma.github.io/Logging_2181/klagomål/A 12192-2026 FSC-klagomål.docx", "A 12192-2026")</f>
        <v/>
      </c>
      <c r="AB306">
        <f>HYPERLINK("https://klasma.github.io/Logging_2181/klagomålsmail/A 12192-2026 FSC-klagomål mail.docx", "A 12192-2026")</f>
        <v/>
      </c>
      <c r="AC306">
        <f>HYPERLINK("https://klasma.github.io/Logging_2181/tillsyn/A 12192-2026 tillsynsbegäran.docx", "A 12192-2026")</f>
        <v/>
      </c>
      <c r="AD306">
        <f>HYPERLINK("https://klasma.github.io/Logging_2181/tillsynsmail/A 12192-2026 tillsynsbegäran mail.docx", "A 12192-2026")</f>
        <v/>
      </c>
      <c r="AE306">
        <f>HYPERLINK("https://klasma.github.io/Logging_2181/fåglar/A 12192-2026 prioriterade fågelarter.docx", "A 12192-2026")</f>
        <v/>
      </c>
    </row>
    <row r="307" ht="15" customHeight="1">
      <c r="A307" t="inlineStr">
        <is>
          <t>A 2857-2025</t>
        </is>
      </c>
      <c r="B307" t="inlineStr">
        <is>
          <t>avverkningsanmälan</t>
        </is>
      </c>
      <c r="C307" t="inlineStr">
        <is>
          <t>Föryngringsavverkning</t>
        </is>
      </c>
      <c r="D307" s="1" t="n">
        <v>45677</v>
      </c>
      <c r="E307" s="1" t="n">
        <v>46326</v>
      </c>
      <c r="F307" t="inlineStr">
        <is>
          <t>GÄVLEBORGS LÄN</t>
        </is>
      </c>
      <c r="G307" t="inlineStr">
        <is>
          <t>SANDVIKEN</t>
        </is>
      </c>
      <c r="I307" t="n">
        <v>1.3</v>
      </c>
      <c r="J307" t="n">
        <v>0</v>
      </c>
      <c r="K307" t="n">
        <v>2</v>
      </c>
      <c r="L307" t="n">
        <v>2</v>
      </c>
      <c r="M307" t="n">
        <v>0</v>
      </c>
      <c r="N307" t="n">
        <v>0</v>
      </c>
      <c r="O307" t="n">
        <v>0</v>
      </c>
      <c r="P307" t="n">
        <v>0</v>
      </c>
      <c r="Q307" t="n">
        <v>2</v>
      </c>
      <c r="R307" t="n">
        <v>0</v>
      </c>
      <c r="S307" t="n">
        <v>4</v>
      </c>
      <c r="T307" t="n">
        <v>6</v>
      </c>
      <c r="U307" t="n">
        <v>0</v>
      </c>
      <c r="V307" s="2" t="inlineStr">
        <is>
          <t>Större flatbagge
Tallticka
Bronshjon
Thomsons trägnagare</t>
        </is>
      </c>
      <c r="W307">
        <f>HYPERLINK("https://klasma.github.io/Logging_2181/artfynd/A 2857-2025 artfynd.xlsx", "A 2857-2025")</f>
        <v/>
      </c>
      <c r="X307">
        <f>HYPERLINK("https://klasma.github.io/Logging_2181/kartor/A 2857-2025 karta.png", "A 2857-2025")</f>
        <v/>
      </c>
      <c r="Y307">
        <f>HYPERLINK("https://klasma.github.io/Logging_2181/kartor_geotiff/A 2857-2025 georefererad karta.tif", "A 2857-2025")</f>
        <v/>
      </c>
      <c r="AA307">
        <f>HYPERLINK("https://klasma.github.io/Logging_2181/klagomål/A 2857-2025 FSC-klagomål.docx", "A 2857-2025")</f>
        <v/>
      </c>
      <c r="AB307">
        <f>HYPERLINK("https://klasma.github.io/Logging_2181/klagomålsmail/A 2857-2025 FSC-klagomål mail.docx", "A 2857-2025")</f>
        <v/>
      </c>
      <c r="AC307">
        <f>HYPERLINK("https://klasma.github.io/Logging_2181/tillsyn/A 2857-2025 tillsynsbegäran.docx", "A 2857-2025")</f>
        <v/>
      </c>
      <c r="AD307">
        <f>HYPERLINK("https://klasma.github.io/Logging_2181/tillsynsmail/A 2857-2025 tillsynsbegäran mail.docx", "A 2857-2025")</f>
        <v/>
      </c>
    </row>
    <row r="308" ht="15" customHeight="1">
      <c r="A308" t="inlineStr">
        <is>
          <t>A 14115-2026</t>
        </is>
      </c>
      <c r="B308" t="inlineStr">
        <is>
          <t>avverkningsanmälan</t>
        </is>
      </c>
      <c r="C308" t="inlineStr">
        <is>
          <t>Föryngringsavverkning</t>
        </is>
      </c>
      <c r="D308" s="1" t="n">
        <v>46099</v>
      </c>
      <c r="E308" s="1" t="n">
        <v>46326</v>
      </c>
      <c r="F308" t="inlineStr">
        <is>
          <t>GÄVLEBORGS LÄN</t>
        </is>
      </c>
      <c r="G308" t="inlineStr">
        <is>
          <t>OCKELBO</t>
        </is>
      </c>
      <c r="H308" t="inlineStr">
        <is>
          <t>Bergvik skog väst AB</t>
        </is>
      </c>
      <c r="I308" t="n">
        <v>10.7</v>
      </c>
      <c r="J308" t="n">
        <v>0</v>
      </c>
      <c r="K308" t="n">
        <v>2</v>
      </c>
      <c r="L308" t="n">
        <v>2</v>
      </c>
      <c r="M308" t="n">
        <v>0</v>
      </c>
      <c r="N308" t="n">
        <v>0</v>
      </c>
      <c r="O308" t="n">
        <v>0</v>
      </c>
      <c r="P308" t="n">
        <v>0</v>
      </c>
      <c r="Q308" t="n">
        <v>2</v>
      </c>
      <c r="R308" t="n">
        <v>0</v>
      </c>
      <c r="S308" t="n">
        <v>4</v>
      </c>
      <c r="T308" t="n">
        <v>6</v>
      </c>
      <c r="U308" t="n">
        <v>0</v>
      </c>
      <c r="V308" s="2" t="inlineStr">
        <is>
          <t>Lunglav
Vedskivlav
Bårdlav
Stuplav</t>
        </is>
      </c>
      <c r="W308">
        <f>HYPERLINK("https://klasma.github.io/Logging_2101/artfynd/A 14115-2026 artfynd.xlsx", "A 14115-2026")</f>
        <v/>
      </c>
      <c r="X308">
        <f>HYPERLINK("https://klasma.github.io/Logging_2101/kartor/A 14115-2026 karta.png", "A 14115-2026")</f>
        <v/>
      </c>
      <c r="Y308">
        <f>HYPERLINK("https://klasma.github.io/Logging_2101/kartor_geotiff/A 14115-2026 georefererad karta.tif", "A 14115-2026")</f>
        <v/>
      </c>
      <c r="AA308">
        <f>HYPERLINK("https://klasma.github.io/Logging_2101/klagomål/A 14115-2026 FSC-klagomål.docx", "A 14115-2026")</f>
        <v/>
      </c>
      <c r="AB308">
        <f>HYPERLINK("https://klasma.github.io/Logging_2101/klagomålsmail/A 14115-2026 FSC-klagomål mail.docx", "A 14115-2026")</f>
        <v/>
      </c>
      <c r="AC308">
        <f>HYPERLINK("https://klasma.github.io/Logging_2101/tillsyn/A 14115-2026 tillsynsbegäran.docx", "A 14115-2026")</f>
        <v/>
      </c>
      <c r="AD308">
        <f>HYPERLINK("https://klasma.github.io/Logging_2101/tillsynsmail/A 14115-2026 tillsynsbegäran mail.docx", "A 14115-2026")</f>
        <v/>
      </c>
    </row>
    <row r="309" ht="15" customHeight="1">
      <c r="A309" t="inlineStr">
        <is>
          <t>A 5487-2025</t>
        </is>
      </c>
      <c r="B309" t="inlineStr">
        <is>
          <t>avverkningsanmälan</t>
        </is>
      </c>
      <c r="C309" t="inlineStr">
        <is>
          <t>Föryngringsavverkning</t>
        </is>
      </c>
      <c r="D309" s="1" t="n">
        <v>45693</v>
      </c>
      <c r="E309" s="1" t="n">
        <v>46326</v>
      </c>
      <c r="F309" t="inlineStr">
        <is>
          <t>GÄVLEBORGS LÄN</t>
        </is>
      </c>
      <c r="G309" t="inlineStr">
        <is>
          <t>GÄVLE</t>
        </is>
      </c>
      <c r="H309" t="inlineStr">
        <is>
          <t>Kyrkan</t>
        </is>
      </c>
      <c r="I309" t="n">
        <v>4.7</v>
      </c>
      <c r="J309" t="n">
        <v>4</v>
      </c>
      <c r="K309" t="n">
        <v>0</v>
      </c>
      <c r="L309" t="n">
        <v>2</v>
      </c>
      <c r="M309" t="n">
        <v>0</v>
      </c>
      <c r="N309" t="n">
        <v>1</v>
      </c>
      <c r="O309" t="n">
        <v>0</v>
      </c>
      <c r="P309" t="n">
        <v>0</v>
      </c>
      <c r="Q309" t="n">
        <v>3</v>
      </c>
      <c r="R309" t="n">
        <v>1</v>
      </c>
      <c r="S309" t="n">
        <v>4</v>
      </c>
      <c r="T309" t="n">
        <v>4</v>
      </c>
      <c r="U309" t="n">
        <v>1</v>
      </c>
      <c r="V309" s="2" t="inlineStr">
        <is>
          <t>Pärluggla
Enkelbeckasin
Rödvingetrast
Nattskärra</t>
        </is>
      </c>
      <c r="W309">
        <f>HYPERLINK("https://klasma.github.io/Logging_2180/artfynd/A 5487-2025 artfynd.xlsx", "A 5487-2025")</f>
        <v/>
      </c>
      <c r="X309">
        <f>HYPERLINK("https://klasma.github.io/Logging_2180/kartor/A 5487-2025 karta.png", "A 5487-2025")</f>
        <v/>
      </c>
      <c r="Y309">
        <f>HYPERLINK("https://klasma.github.io/Logging_2180/kartor_geotiff/A 5487-2025 georefererad karta.tif", "A 5487-2025")</f>
        <v/>
      </c>
      <c r="AA309">
        <f>HYPERLINK("https://klasma.github.io/Logging_2180/klagomål/A 5487-2025 FSC-klagomål.docx", "A 5487-2025")</f>
        <v/>
      </c>
      <c r="AB309">
        <f>HYPERLINK("https://klasma.github.io/Logging_2180/klagomålsmail/A 5487-2025 FSC-klagomål mail.docx", "A 5487-2025")</f>
        <v/>
      </c>
      <c r="AC309">
        <f>HYPERLINK("https://klasma.github.io/Logging_2180/tillsyn/A 5487-2025 tillsynsbegäran.docx", "A 5487-2025")</f>
        <v/>
      </c>
      <c r="AD309">
        <f>HYPERLINK("https://klasma.github.io/Logging_2180/tillsynsmail/A 5487-2025 tillsynsbegäran mail.docx", "A 5487-2025")</f>
        <v/>
      </c>
      <c r="AE309">
        <f>HYPERLINK("https://klasma.github.io/Logging_2180/fåglar/A 5487-2025 prioriterade fågelarter.docx", "A 5487-2025")</f>
        <v/>
      </c>
    </row>
    <row r="310" ht="15" customHeight="1">
      <c r="A310" t="inlineStr">
        <is>
          <t>A 14696-2026</t>
        </is>
      </c>
      <c r="B310" t="inlineStr">
        <is>
          <t>avverkningsanmälan</t>
        </is>
      </c>
      <c r="C310" t="inlineStr">
        <is>
          <t>Föryngringsavverkning</t>
        </is>
      </c>
      <c r="D310" s="1" t="n">
        <v>46101</v>
      </c>
      <c r="E310" s="1" t="n">
        <v>46326</v>
      </c>
      <c r="F310" t="inlineStr">
        <is>
          <t>GÄVLEBORGS LÄN</t>
        </is>
      </c>
      <c r="G310" t="inlineStr">
        <is>
          <t>SANDVIKEN</t>
        </is>
      </c>
      <c r="H310" t="inlineStr">
        <is>
          <t>Sveaskog</t>
        </is>
      </c>
      <c r="I310" t="n">
        <v>3.1</v>
      </c>
      <c r="J310" t="n">
        <v>1</v>
      </c>
      <c r="K310" t="n">
        <v>0</v>
      </c>
      <c r="L310" t="n">
        <v>2</v>
      </c>
      <c r="M310" t="n">
        <v>2</v>
      </c>
      <c r="N310" t="n">
        <v>0</v>
      </c>
      <c r="O310" t="n">
        <v>0</v>
      </c>
      <c r="P310" t="n">
        <v>0</v>
      </c>
      <c r="Q310" t="n">
        <v>4</v>
      </c>
      <c r="R310" t="n">
        <v>2</v>
      </c>
      <c r="S310" t="n">
        <v>4</v>
      </c>
      <c r="T310" t="n">
        <v>12</v>
      </c>
      <c r="U310" t="n">
        <v>0</v>
      </c>
      <c r="V310" s="2" t="inlineStr">
        <is>
          <t>Garnlav
Knärot
Dropptaggsvamp
Motaggsvamp</t>
        </is>
      </c>
      <c r="W310">
        <f>HYPERLINK("https://klasma.github.io/Logging_2181/artfynd/A 14696-2026 artfynd.xlsx", "A 14696-2026")</f>
        <v/>
      </c>
      <c r="X310">
        <f>HYPERLINK("https://klasma.github.io/Logging_2181/kartor/A 14696-2026 karta.png", "A 14696-2026")</f>
        <v/>
      </c>
      <c r="Y310">
        <f>HYPERLINK("https://klasma.github.io/Logging_2181/kartor_geotiff/A 14696-2026 georefererad karta.tif", "A 14696-2026")</f>
        <v/>
      </c>
      <c r="Z310">
        <f>HYPERLINK("https://klasma.github.io/Logging_2181/knärot/A 14696-2026 karta knärot.png", "A 14696-2026")</f>
        <v/>
      </c>
      <c r="AA310">
        <f>HYPERLINK("https://klasma.github.io/Logging_2181/klagomål/A 14696-2026 FSC-klagomål.docx", "A 14696-2026")</f>
        <v/>
      </c>
      <c r="AB310">
        <f>HYPERLINK("https://klasma.github.io/Logging_2181/klagomålsmail/A 14696-2026 FSC-klagomål mail.docx", "A 14696-2026")</f>
        <v/>
      </c>
      <c r="AC310">
        <f>HYPERLINK("https://klasma.github.io/Logging_2181/tillsyn/A 14696-2026 tillsynsbegäran.docx", "A 14696-2026")</f>
        <v/>
      </c>
      <c r="AD310">
        <f>HYPERLINK("https://klasma.github.io/Logging_2181/tillsynsmail/A 14696-2026 tillsynsbegäran mail.docx", "A 14696-2026")</f>
        <v/>
      </c>
    </row>
    <row r="311" ht="15" customHeight="1">
      <c r="A311" t="inlineStr">
        <is>
          <t>A 16182-2026</t>
        </is>
      </c>
      <c r="B311" t="inlineStr">
        <is>
          <t>avverkningsanmälan</t>
        </is>
      </c>
      <c r="C311" t="inlineStr">
        <is>
          <t>Föryngringsavverkning</t>
        </is>
      </c>
      <c r="D311" s="1" t="n">
        <v>46111</v>
      </c>
      <c r="E311" s="1" t="n">
        <v>46326</v>
      </c>
      <c r="F311" t="inlineStr">
        <is>
          <t>GÄVLEBORGS LÄN</t>
        </is>
      </c>
      <c r="G311" t="inlineStr">
        <is>
          <t>SÖDERHAMN</t>
        </is>
      </c>
      <c r="H311" t="inlineStr">
        <is>
          <t>Bergvik skog väst AB</t>
        </is>
      </c>
      <c r="I311" t="n">
        <v>3.7</v>
      </c>
      <c r="J311" t="n">
        <v>1</v>
      </c>
      <c r="K311" t="n">
        <v>1</v>
      </c>
      <c r="L311" t="n">
        <v>0</v>
      </c>
      <c r="M311" t="n">
        <v>2</v>
      </c>
      <c r="N311" t="n">
        <v>0</v>
      </c>
      <c r="O311" t="n">
        <v>0</v>
      </c>
      <c r="P311" t="n">
        <v>0</v>
      </c>
      <c r="Q311" t="n">
        <v>2</v>
      </c>
      <c r="R311" t="n">
        <v>2</v>
      </c>
      <c r="S311" t="n">
        <v>4</v>
      </c>
      <c r="T311" t="n">
        <v>4</v>
      </c>
      <c r="U311" t="n">
        <v>0</v>
      </c>
      <c r="V311" s="2" t="inlineStr">
        <is>
          <t>Gyllenspindling
Svartfjällig musseron
Strimspindling
Utter</t>
        </is>
      </c>
      <c r="W311">
        <f>HYPERLINK("https://klasma.github.io/Logging_2182/artfynd/A 16182-2026 artfynd.xlsx", "A 16182-2026")</f>
        <v/>
      </c>
      <c r="X311">
        <f>HYPERLINK("https://klasma.github.io/Logging_2182/kartor/A 16182-2026 karta.png", "A 16182-2026")</f>
        <v/>
      </c>
      <c r="Y311">
        <f>HYPERLINK("https://klasma.github.io/Logging_2182/kartor_geotiff/A 16182-2026 georefererad karta.tif", "A 16182-2026")</f>
        <v/>
      </c>
      <c r="AA311">
        <f>HYPERLINK("https://klasma.github.io/Logging_2182/klagomål/A 16182-2026 FSC-klagomål.docx", "A 16182-2026")</f>
        <v/>
      </c>
      <c r="AB311">
        <f>HYPERLINK("https://klasma.github.io/Logging_2182/klagomålsmail/A 16182-2026 FSC-klagomål mail.docx", "A 16182-2026")</f>
        <v/>
      </c>
      <c r="AC311">
        <f>HYPERLINK("https://klasma.github.io/Logging_2182/tillsyn/A 16182-2026 tillsynsbegäran.docx", "A 16182-2026")</f>
        <v/>
      </c>
      <c r="AD311">
        <f>HYPERLINK("https://klasma.github.io/Logging_2182/tillsynsmail/A 16182-2026 tillsynsbegäran mail.docx", "A 16182-2026")</f>
        <v/>
      </c>
    </row>
    <row r="312" ht="15" customHeight="1">
      <c r="A312" t="inlineStr">
        <is>
          <t>A 12920-2026</t>
        </is>
      </c>
      <c r="B312" t="inlineStr">
        <is>
          <t>avverkningsanmälan</t>
        </is>
      </c>
      <c r="C312" t="inlineStr">
        <is>
          <t>Föryngringsavverkning</t>
        </is>
      </c>
      <c r="D312" s="1" t="n">
        <v>46092</v>
      </c>
      <c r="E312" s="1" t="n">
        <v>46326</v>
      </c>
      <c r="F312" t="inlineStr">
        <is>
          <t>GÄVLEBORGS LÄN</t>
        </is>
      </c>
      <c r="G312" t="inlineStr">
        <is>
          <t>HUDIKSVALL</t>
        </is>
      </c>
      <c r="I312" t="n">
        <v>18.1</v>
      </c>
      <c r="J312" t="n">
        <v>0</v>
      </c>
      <c r="K312" t="n">
        <v>2</v>
      </c>
      <c r="L312" t="n">
        <v>2</v>
      </c>
      <c r="M312" t="n">
        <v>0</v>
      </c>
      <c r="N312" t="n">
        <v>0</v>
      </c>
      <c r="O312" t="n">
        <v>0</v>
      </c>
      <c r="P312" t="n">
        <v>0</v>
      </c>
      <c r="Q312" t="n">
        <v>2</v>
      </c>
      <c r="R312" t="n">
        <v>0</v>
      </c>
      <c r="S312" t="n">
        <v>4</v>
      </c>
      <c r="T312" t="n">
        <v>5</v>
      </c>
      <c r="U312" t="n">
        <v>0</v>
      </c>
      <c r="V312" s="2" t="inlineStr">
        <is>
          <t>Lunglav
Ullticka
Korallblylav
Vedticka</t>
        </is>
      </c>
      <c r="W312">
        <f>HYPERLINK("https://klasma.github.io/Logging_2184/artfynd/A 12920-2026 artfynd.xlsx", "A 12920-2026")</f>
        <v/>
      </c>
      <c r="X312">
        <f>HYPERLINK("https://klasma.github.io/Logging_2184/kartor/A 12920-2026 karta.png", "A 12920-2026")</f>
        <v/>
      </c>
      <c r="Y312">
        <f>HYPERLINK("https://klasma.github.io/Logging_2184/kartor_geotiff/A 12920-2026 georefererad karta.tif", "A 12920-2026")</f>
        <v/>
      </c>
      <c r="AA312">
        <f>HYPERLINK("https://klasma.github.io/Logging_2184/klagomål/A 12920-2026 FSC-klagomål.docx", "A 12920-2026")</f>
        <v/>
      </c>
      <c r="AB312">
        <f>HYPERLINK("https://klasma.github.io/Logging_2184/klagomålsmail/A 12920-2026 FSC-klagomål mail.docx", "A 12920-2026")</f>
        <v/>
      </c>
      <c r="AC312">
        <f>HYPERLINK("https://klasma.github.io/Logging_2184/tillsyn/A 12920-2026 tillsynsbegäran.docx", "A 12920-2026")</f>
        <v/>
      </c>
      <c r="AD312">
        <f>HYPERLINK("https://klasma.github.io/Logging_2184/tillsynsmail/A 12920-2026 tillsynsbegäran mail.docx", "A 12920-2026")</f>
        <v/>
      </c>
    </row>
    <row r="313" ht="15" customHeight="1">
      <c r="A313" t="inlineStr">
        <is>
          <t>A 53249-2023</t>
        </is>
      </c>
      <c r="B313" t="inlineStr">
        <is>
          <t>avverkningsanmälan</t>
        </is>
      </c>
      <c r="C313" t="inlineStr">
        <is>
          <t>Föryngringsavverkning</t>
        </is>
      </c>
      <c r="D313" s="1" t="n">
        <v>45229</v>
      </c>
      <c r="E313" s="1" t="n">
        <v>46326</v>
      </c>
      <c r="F313" t="inlineStr">
        <is>
          <t>GÄVLEBORGS LÄN</t>
        </is>
      </c>
      <c r="G313" t="inlineStr">
        <is>
          <t>LJUSDAL</t>
        </is>
      </c>
      <c r="H313" t="inlineStr">
        <is>
          <t>Sveaskog</t>
        </is>
      </c>
      <c r="I313" t="n">
        <v>3.2</v>
      </c>
      <c r="J313" t="n">
        <v>0</v>
      </c>
      <c r="K313" t="n">
        <v>0</v>
      </c>
      <c r="L313" t="n">
        <v>4</v>
      </c>
      <c r="M313" t="n">
        <v>0</v>
      </c>
      <c r="N313" t="n">
        <v>0</v>
      </c>
      <c r="O313" t="n">
        <v>0</v>
      </c>
      <c r="P313" t="n">
        <v>0</v>
      </c>
      <c r="Q313" t="n">
        <v>4</v>
      </c>
      <c r="R313" t="n">
        <v>0</v>
      </c>
      <c r="S313" t="n">
        <v>4</v>
      </c>
      <c r="T313" t="n">
        <v>4</v>
      </c>
      <c r="U313" t="n">
        <v>4</v>
      </c>
      <c r="V313" s="2" t="inlineStr">
        <is>
          <t>Kolflarnlav
Motaggsvamp
Orange taggsvamp
Vedflamlav</t>
        </is>
      </c>
      <c r="W313">
        <f>HYPERLINK("https://klasma.github.io/Logging_2161/artfynd/A 53249-2023 artfynd.xlsx", "A 53249-2023")</f>
        <v/>
      </c>
      <c r="X313">
        <f>HYPERLINK("https://klasma.github.io/Logging_2161/kartor/A 53249-2023 karta.png", "A 53249-2023")</f>
        <v/>
      </c>
      <c r="Y313">
        <f>HYPERLINK("https://klasma.github.io/Logging_2161/kartor_geotiff/A 53249-2023 georefererad karta.tif", "A 53249-2023")</f>
        <v/>
      </c>
      <c r="AA313">
        <f>HYPERLINK("https://klasma.github.io/Logging_2161/klagomål/A 53249-2023 FSC-klagomål.docx", "A 53249-2023")</f>
        <v/>
      </c>
      <c r="AB313">
        <f>HYPERLINK("https://klasma.github.io/Logging_2161/klagomålsmail/A 53249-2023 FSC-klagomål mail.docx", "A 53249-2023")</f>
        <v/>
      </c>
      <c r="AC313">
        <f>HYPERLINK("https://klasma.github.io/Logging_2161/tillsyn/A 53249-2023 tillsynsbegäran.docx", "A 53249-2023")</f>
        <v/>
      </c>
      <c r="AD313">
        <f>HYPERLINK("https://klasma.github.io/Logging_2161/tillsynsmail/A 53249-2023 tillsynsbegäran mail.docx", "A 53249-2023")</f>
        <v/>
      </c>
    </row>
    <row r="314" ht="15" customHeight="1">
      <c r="A314" t="inlineStr">
        <is>
          <t>A 51227-2023</t>
        </is>
      </c>
      <c r="B314" t="inlineStr">
        <is>
          <t>avverkningsanmälan</t>
        </is>
      </c>
      <c r="C314" t="inlineStr">
        <is>
          <t>Föryngringsavverkning</t>
        </is>
      </c>
      <c r="D314" s="1" t="n">
        <v>45219</v>
      </c>
      <c r="E314" s="1" t="n">
        <v>46326</v>
      </c>
      <c r="F314" t="inlineStr">
        <is>
          <t>GÄVLEBORGS LÄN</t>
        </is>
      </c>
      <c r="G314" t="inlineStr">
        <is>
          <t>NORDANSTIG</t>
        </is>
      </c>
      <c r="I314" t="n">
        <v>10.2</v>
      </c>
      <c r="J314" t="n">
        <v>0</v>
      </c>
      <c r="K314" t="n">
        <v>2</v>
      </c>
      <c r="L314" t="n">
        <v>2</v>
      </c>
      <c r="M314" t="n">
        <v>0</v>
      </c>
      <c r="N314" t="n">
        <v>0</v>
      </c>
      <c r="O314" t="n">
        <v>0</v>
      </c>
      <c r="P314" t="n">
        <v>0</v>
      </c>
      <c r="Q314" t="n">
        <v>2</v>
      </c>
      <c r="R314" t="n">
        <v>0</v>
      </c>
      <c r="S314" t="n">
        <v>4</v>
      </c>
      <c r="T314" t="n">
        <v>6</v>
      </c>
      <c r="U314" t="n">
        <v>6</v>
      </c>
      <c r="V314" s="2" t="inlineStr">
        <is>
          <t>Kattfotslav
Violettgrå tagellav
Granbarkgnagare
Vedticka</t>
        </is>
      </c>
      <c r="W314">
        <f>HYPERLINK("https://klasma.github.io/Logging_2132/artfynd/A 51227-2023 artfynd.xlsx", "A 51227-2023")</f>
        <v/>
      </c>
      <c r="X314">
        <f>HYPERLINK("https://klasma.github.io/Logging_2132/kartor/A 51227-2023 karta.png", "A 51227-2023")</f>
        <v/>
      </c>
      <c r="Y314">
        <f>HYPERLINK("https://klasma.github.io/Logging_2132/kartor_geotiff/A 51227-2023 georefererad karta.tif", "A 51227-2023")</f>
        <v/>
      </c>
      <c r="AA314">
        <f>HYPERLINK("https://klasma.github.io/Logging_2132/klagomål/A 51227-2023 FSC-klagomål.docx", "A 51227-2023")</f>
        <v/>
      </c>
      <c r="AB314">
        <f>HYPERLINK("https://klasma.github.io/Logging_2132/klagomålsmail/A 51227-2023 FSC-klagomål mail.docx", "A 51227-2023")</f>
        <v/>
      </c>
      <c r="AC314">
        <f>HYPERLINK("https://klasma.github.io/Logging_2132/tillsyn/A 51227-2023 tillsynsbegäran.docx", "A 51227-2023")</f>
        <v/>
      </c>
      <c r="AD314">
        <f>HYPERLINK("https://klasma.github.io/Logging_2132/tillsynsmail/A 51227-2023 tillsynsbegäran mail.docx", "A 51227-2023")</f>
        <v/>
      </c>
    </row>
    <row r="315" ht="15" customHeight="1">
      <c r="A315" t="inlineStr">
        <is>
          <t>A 19975-2026</t>
        </is>
      </c>
      <c r="B315" t="inlineStr">
        <is>
          <t>avverkningsanmälan</t>
        </is>
      </c>
      <c r="C315" t="inlineStr">
        <is>
          <t>Föryngringsavverkning</t>
        </is>
      </c>
      <c r="D315" s="1" t="n">
        <v>46136</v>
      </c>
      <c r="E315" s="1" t="n">
        <v>46326</v>
      </c>
      <c r="F315" t="inlineStr">
        <is>
          <t>GÄVLEBORGS LÄN</t>
        </is>
      </c>
      <c r="G315" t="inlineStr">
        <is>
          <t>LJUSDAL</t>
        </is>
      </c>
      <c r="H315" t="inlineStr">
        <is>
          <t>Allmännings- och besparingsskogar</t>
        </is>
      </c>
      <c r="I315" t="n">
        <v>4.2</v>
      </c>
      <c r="J315" t="n">
        <v>2</v>
      </c>
      <c r="K315" t="n">
        <v>1</v>
      </c>
      <c r="L315" t="n">
        <v>0</v>
      </c>
      <c r="M315" t="n">
        <v>1</v>
      </c>
      <c r="N315" t="n">
        <v>0</v>
      </c>
      <c r="O315" t="n">
        <v>0</v>
      </c>
      <c r="P315" t="n">
        <v>0</v>
      </c>
      <c r="Q315" t="n">
        <v>1</v>
      </c>
      <c r="R315" t="n">
        <v>1</v>
      </c>
      <c r="S315" t="n">
        <v>4</v>
      </c>
      <c r="T315" t="n">
        <v>7</v>
      </c>
      <c r="U315" t="n">
        <v>7</v>
      </c>
      <c r="V315" s="2" t="inlineStr">
        <is>
          <t>Garnlav
Mindre märgborre
Spillkråka
Tjäder</t>
        </is>
      </c>
      <c r="W315">
        <f>HYPERLINK("https://klasma.github.io/Logging_2161/artfynd/A 19975-2026 artfynd.xlsx", "A 19975-2026")</f>
        <v/>
      </c>
      <c r="X315">
        <f>HYPERLINK("https://klasma.github.io/Logging_2161/kartor/A 19975-2026 karta.png", "A 19975-2026")</f>
        <v/>
      </c>
      <c r="Y315">
        <f>HYPERLINK("https://klasma.github.io/Logging_2161/kartor_geotiff/A 19975-2026 georefererad karta.tif", "A 19975-2026")</f>
        <v/>
      </c>
      <c r="AA315">
        <f>HYPERLINK("https://klasma.github.io/Logging_2161/klagomål/A 19975-2026 FSC-klagomål.docx", "A 19975-2026")</f>
        <v/>
      </c>
      <c r="AB315">
        <f>HYPERLINK("https://klasma.github.io/Logging_2161/klagomålsmail/A 19975-2026 FSC-klagomål mail.docx", "A 19975-2026")</f>
        <v/>
      </c>
      <c r="AC315">
        <f>HYPERLINK("https://klasma.github.io/Logging_2161/tillsyn/A 19975-2026 tillsynsbegäran.docx", "A 19975-2026")</f>
        <v/>
      </c>
      <c r="AD315">
        <f>HYPERLINK("https://klasma.github.io/Logging_2161/tillsynsmail/A 19975-2026 tillsynsbegäran mail.docx", "A 19975-2026")</f>
        <v/>
      </c>
      <c r="AE315">
        <f>HYPERLINK("https://klasma.github.io/Logging_2161/fåglar/A 19975-2026 prioriterade fågelarter.docx", "A 19975-2026")</f>
        <v/>
      </c>
    </row>
    <row r="316" ht="15" customHeight="1">
      <c r="A316" t="inlineStr">
        <is>
          <t>A 6798-2026</t>
        </is>
      </c>
      <c r="B316" t="inlineStr">
        <is>
          <t>avverkningsanmälan</t>
        </is>
      </c>
      <c r="C316" t="inlineStr">
        <is>
          <t>Föryngringsavverkning</t>
        </is>
      </c>
      <c r="D316" s="1" t="n">
        <v>46057</v>
      </c>
      <c r="E316" s="1" t="n">
        <v>46326</v>
      </c>
      <c r="F316" t="inlineStr">
        <is>
          <t>GÄVLEBORGS LÄN</t>
        </is>
      </c>
      <c r="G316" t="inlineStr">
        <is>
          <t>NORDANSTIG</t>
        </is>
      </c>
      <c r="I316" t="n">
        <v>5.6</v>
      </c>
      <c r="J316" t="n">
        <v>3</v>
      </c>
      <c r="K316" t="n">
        <v>1</v>
      </c>
      <c r="L316" t="n">
        <v>0</v>
      </c>
      <c r="M316" t="n">
        <v>1</v>
      </c>
      <c r="N316" t="n">
        <v>0</v>
      </c>
      <c r="O316" t="n">
        <v>0</v>
      </c>
      <c r="P316" t="n">
        <v>0</v>
      </c>
      <c r="Q316" t="n">
        <v>1</v>
      </c>
      <c r="R316" t="n">
        <v>1</v>
      </c>
      <c r="S316" t="n">
        <v>4</v>
      </c>
      <c r="T316" t="n">
        <v>4</v>
      </c>
      <c r="U316" t="n">
        <v>0</v>
      </c>
      <c r="V316" s="2" t="inlineStr">
        <is>
          <t>Knärot
Ögonpyrola
Blåsippa
Spillkråka</t>
        </is>
      </c>
      <c r="W316">
        <f>HYPERLINK("https://klasma.github.io/Logging_2132/artfynd/A 6798-2026 artfynd.xlsx", "A 6798-2026")</f>
        <v/>
      </c>
      <c r="X316">
        <f>HYPERLINK("https://klasma.github.io/Logging_2132/kartor/A 6798-2026 karta.png", "A 6798-2026")</f>
        <v/>
      </c>
      <c r="Y316">
        <f>HYPERLINK("https://klasma.github.io/Logging_2132/kartor_geotiff/A 6798-2026 georefererad karta.tif", "A 6798-2026")</f>
        <v/>
      </c>
      <c r="Z316">
        <f>HYPERLINK("https://klasma.github.io/Logging_2132/knärot/A 6798-2026 karta knärot.png", "A 6798-2026")</f>
        <v/>
      </c>
      <c r="AA316">
        <f>HYPERLINK("https://klasma.github.io/Logging_2132/klagomål/A 6798-2026 FSC-klagomål.docx", "A 6798-2026")</f>
        <v/>
      </c>
      <c r="AB316">
        <f>HYPERLINK("https://klasma.github.io/Logging_2132/klagomålsmail/A 6798-2026 FSC-klagomål mail.docx", "A 6798-2026")</f>
        <v/>
      </c>
      <c r="AC316">
        <f>HYPERLINK("https://klasma.github.io/Logging_2132/tillsyn/A 6798-2026 tillsynsbegäran.docx", "A 6798-2026")</f>
        <v/>
      </c>
      <c r="AD316">
        <f>HYPERLINK("https://klasma.github.io/Logging_2132/tillsynsmail/A 6798-2026 tillsynsbegäran mail.docx", "A 6798-2026")</f>
        <v/>
      </c>
      <c r="AE316">
        <f>HYPERLINK("https://klasma.github.io/Logging_2132/fåglar/A 6798-2026 prioriterade fågelarter.docx", "A 6798-2026")</f>
        <v/>
      </c>
    </row>
    <row r="317" ht="15" customHeight="1">
      <c r="A317" t="inlineStr">
        <is>
          <t>A 8376-2026</t>
        </is>
      </c>
      <c r="B317" t="inlineStr">
        <is>
          <t>avverkningsanmälan</t>
        </is>
      </c>
      <c r="C317" t="inlineStr">
        <is>
          <t>Föryngringsavverkning</t>
        </is>
      </c>
      <c r="D317" s="1" t="n">
        <v>46064</v>
      </c>
      <c r="E317" s="1" t="n">
        <v>46326</v>
      </c>
      <c r="F317" t="inlineStr">
        <is>
          <t>GÄVLEBORGS LÄN</t>
        </is>
      </c>
      <c r="G317" t="inlineStr">
        <is>
          <t>HUDIKSVALL</t>
        </is>
      </c>
      <c r="I317" t="n">
        <v>32.4</v>
      </c>
      <c r="J317" t="n">
        <v>2</v>
      </c>
      <c r="K317" t="n">
        <v>2</v>
      </c>
      <c r="L317" t="n">
        <v>1</v>
      </c>
      <c r="M317" t="n">
        <v>0</v>
      </c>
      <c r="N317" t="n">
        <v>0</v>
      </c>
      <c r="O317" t="n">
        <v>0</v>
      </c>
      <c r="P317" t="n">
        <v>0</v>
      </c>
      <c r="Q317" t="n">
        <v>1</v>
      </c>
      <c r="R317" t="n">
        <v>0</v>
      </c>
      <c r="S317" t="n">
        <v>4</v>
      </c>
      <c r="T317" t="n">
        <v>4</v>
      </c>
      <c r="U317" t="n">
        <v>0</v>
      </c>
      <c r="V317" s="2" t="inlineStr">
        <is>
          <t>Ullticka
Skogsknipprot
Stor aspticka
Fläcknycklar</t>
        </is>
      </c>
      <c r="W317">
        <f>HYPERLINK("https://klasma.github.io/Logging_2184/artfynd/A 8376-2026 artfynd.xlsx", "A 8376-2026")</f>
        <v/>
      </c>
      <c r="X317">
        <f>HYPERLINK("https://klasma.github.io/Logging_2184/kartor/A 8376-2026 karta.png", "A 8376-2026")</f>
        <v/>
      </c>
      <c r="Y317">
        <f>HYPERLINK("https://klasma.github.io/Logging_2184/kartor_geotiff/A 8376-2026 georefererad karta.tif", "A 8376-2026")</f>
        <v/>
      </c>
      <c r="AA317">
        <f>HYPERLINK("https://klasma.github.io/Logging_2184/klagomål/A 8376-2026 FSC-klagomål.docx", "A 8376-2026")</f>
        <v/>
      </c>
      <c r="AB317">
        <f>HYPERLINK("https://klasma.github.io/Logging_2184/klagomålsmail/A 8376-2026 FSC-klagomål mail.docx", "A 8376-2026")</f>
        <v/>
      </c>
      <c r="AC317">
        <f>HYPERLINK("https://klasma.github.io/Logging_2184/tillsyn/A 8376-2026 tillsynsbegäran.docx", "A 8376-2026")</f>
        <v/>
      </c>
      <c r="AD317">
        <f>HYPERLINK("https://klasma.github.io/Logging_2184/tillsynsmail/A 8376-2026 tillsynsbegäran mail.docx", "A 8376-2026")</f>
        <v/>
      </c>
    </row>
    <row r="318" ht="15" customHeight="1">
      <c r="A318" t="inlineStr">
        <is>
          <t>A 34757-2024</t>
        </is>
      </c>
      <c r="B318" t="inlineStr">
        <is>
          <t>avverkningsanmälan</t>
        </is>
      </c>
      <c r="C318" t="inlineStr">
        <is>
          <t>Föryngringsavverkning</t>
        </is>
      </c>
      <c r="D318" s="1" t="n">
        <v>45526</v>
      </c>
      <c r="E318" s="1" t="n">
        <v>46326</v>
      </c>
      <c r="F318" t="inlineStr">
        <is>
          <t>GÄVLEBORGS LÄN</t>
        </is>
      </c>
      <c r="G318" t="inlineStr">
        <is>
          <t>LJUSDAL</t>
        </is>
      </c>
      <c r="H318" t="inlineStr">
        <is>
          <t>Sveaskog</t>
        </is>
      </c>
      <c r="I318" t="n">
        <v>8.300000000000001</v>
      </c>
      <c r="J318" t="n">
        <v>0</v>
      </c>
      <c r="K318" t="n">
        <v>0</v>
      </c>
      <c r="L318" t="n">
        <v>3</v>
      </c>
      <c r="M318" t="n">
        <v>1</v>
      </c>
      <c r="N318" t="n">
        <v>0</v>
      </c>
      <c r="O318" t="n">
        <v>0</v>
      </c>
      <c r="P318" t="n">
        <v>0</v>
      </c>
      <c r="Q318" t="n">
        <v>4</v>
      </c>
      <c r="R318" t="n">
        <v>1</v>
      </c>
      <c r="S318" t="n">
        <v>4</v>
      </c>
      <c r="T318" t="n">
        <v>4</v>
      </c>
      <c r="U318" t="n">
        <v>4</v>
      </c>
      <c r="V318" s="2" t="inlineStr">
        <is>
          <t>Garnlav
Blå taggsvamp
Kolflarnlav
Lunglav</t>
        </is>
      </c>
      <c r="W318">
        <f>HYPERLINK("https://klasma.github.io/Logging_2161/artfynd/A 34757-2024 artfynd.xlsx", "A 34757-2024")</f>
        <v/>
      </c>
      <c r="X318">
        <f>HYPERLINK("https://klasma.github.io/Logging_2161/kartor/A 34757-2024 karta.png", "A 34757-2024")</f>
        <v/>
      </c>
      <c r="Y318">
        <f>HYPERLINK("https://klasma.github.io/Logging_2161/kartor_geotiff/A 34757-2024 georefererad karta.tif", "A 34757-2024")</f>
        <v/>
      </c>
      <c r="AA318">
        <f>HYPERLINK("https://klasma.github.io/Logging_2161/klagomål/A 34757-2024 FSC-klagomål.docx", "A 34757-2024")</f>
        <v/>
      </c>
      <c r="AB318">
        <f>HYPERLINK("https://klasma.github.io/Logging_2161/klagomålsmail/A 34757-2024 FSC-klagomål mail.docx", "A 34757-2024")</f>
        <v/>
      </c>
      <c r="AC318">
        <f>HYPERLINK("https://klasma.github.io/Logging_2161/tillsyn/A 34757-2024 tillsynsbegäran.docx", "A 34757-2024")</f>
        <v/>
      </c>
      <c r="AD318">
        <f>HYPERLINK("https://klasma.github.io/Logging_2161/tillsynsmail/A 34757-2024 tillsynsbegäran mail.docx", "A 34757-2024")</f>
        <v/>
      </c>
    </row>
    <row r="319" ht="15" customHeight="1">
      <c r="A319" t="inlineStr">
        <is>
          <t>A 36672-2023</t>
        </is>
      </c>
      <c r="B319" t="inlineStr">
        <is>
          <t>avverkningsanmälan</t>
        </is>
      </c>
      <c r="C319" t="inlineStr">
        <is>
          <t>Föryngringsavverkning</t>
        </is>
      </c>
      <c r="D319" s="1" t="n">
        <v>45153</v>
      </c>
      <c r="E319" s="1" t="n">
        <v>46326</v>
      </c>
      <c r="F319" t="inlineStr">
        <is>
          <t>GÄVLEBORGS LÄN</t>
        </is>
      </c>
      <c r="G319" t="inlineStr">
        <is>
          <t>SANDVIKEN</t>
        </is>
      </c>
      <c r="I319" t="n">
        <v>6.4</v>
      </c>
      <c r="J319" t="n">
        <v>4</v>
      </c>
      <c r="K319" t="n">
        <v>0</v>
      </c>
      <c r="L319" t="n">
        <v>0</v>
      </c>
      <c r="M319" t="n">
        <v>0</v>
      </c>
      <c r="N319" t="n">
        <v>0</v>
      </c>
      <c r="O319" t="n">
        <v>0</v>
      </c>
      <c r="P319" t="n">
        <v>0</v>
      </c>
      <c r="Q319" t="n">
        <v>0</v>
      </c>
      <c r="R319" t="n">
        <v>0</v>
      </c>
      <c r="S319" t="n">
        <v>4</v>
      </c>
      <c r="T319" t="n">
        <v>10</v>
      </c>
      <c r="U319" t="n">
        <v>0</v>
      </c>
      <c r="V319" s="2" t="inlineStr">
        <is>
          <t>Större vattensalamander
Åkergroda
Mindre vattensalamander
Vanlig groda</t>
        </is>
      </c>
      <c r="W319">
        <f>HYPERLINK("https://klasma.github.io/Logging_2181/artfynd/A 36672-2023 artfynd.xlsx", "A 36672-2023")</f>
        <v/>
      </c>
      <c r="X319">
        <f>HYPERLINK("https://klasma.github.io/Logging_2181/kartor/A 36672-2023 karta.png", "A 36672-2023")</f>
        <v/>
      </c>
      <c r="Y319">
        <f>HYPERLINK("https://klasma.github.io/Logging_2181/kartor_geotiff/A 36672-2023 georefererad karta.tif", "A 36672-2023")</f>
        <v/>
      </c>
      <c r="AA319">
        <f>HYPERLINK("https://klasma.github.io/Logging_2181/klagomål/A 36672-2023 FSC-klagomål.docx", "A 36672-2023")</f>
        <v/>
      </c>
      <c r="AB319">
        <f>HYPERLINK("https://klasma.github.io/Logging_2181/klagomålsmail/A 36672-2023 FSC-klagomål mail.docx", "A 36672-2023")</f>
        <v/>
      </c>
      <c r="AC319">
        <f>HYPERLINK("https://klasma.github.io/Logging_2181/tillsyn/A 36672-2023 tillsynsbegäran.docx", "A 36672-2023")</f>
        <v/>
      </c>
      <c r="AD319">
        <f>HYPERLINK("https://klasma.github.io/Logging_2181/tillsynsmail/A 36672-2023 tillsynsbegäran mail.docx", "A 36672-2023")</f>
        <v/>
      </c>
    </row>
    <row r="320" ht="15" customHeight="1">
      <c r="A320" t="inlineStr">
        <is>
          <t>A 37635-2024</t>
        </is>
      </c>
      <c r="B320" t="inlineStr">
        <is>
          <t>avverkningsanmälan</t>
        </is>
      </c>
      <c r="C320" t="inlineStr">
        <is>
          <t>Föryngringsavverkning</t>
        </is>
      </c>
      <c r="D320" s="1" t="n">
        <v>45541</v>
      </c>
      <c r="E320" s="1" t="n">
        <v>46326</v>
      </c>
      <c r="F320" t="inlineStr">
        <is>
          <t>GÄVLEBORGS LÄN</t>
        </is>
      </c>
      <c r="G320" t="inlineStr">
        <is>
          <t>SANDVIKEN</t>
        </is>
      </c>
      <c r="H320" t="inlineStr">
        <is>
          <t>Sveaskog</t>
        </is>
      </c>
      <c r="I320" t="n">
        <v>25</v>
      </c>
      <c r="J320" t="n">
        <v>4</v>
      </c>
      <c r="K320" t="n">
        <v>0</v>
      </c>
      <c r="L320" t="n">
        <v>1</v>
      </c>
      <c r="M320" t="n">
        <v>0</v>
      </c>
      <c r="N320" t="n">
        <v>0</v>
      </c>
      <c r="O320" t="n">
        <v>0</v>
      </c>
      <c r="P320" t="n">
        <v>0</v>
      </c>
      <c r="Q320" t="n">
        <v>1</v>
      </c>
      <c r="R320" t="n">
        <v>0</v>
      </c>
      <c r="S320" t="n">
        <v>4</v>
      </c>
      <c r="T320" t="n">
        <v>7</v>
      </c>
      <c r="U320" t="n">
        <v>0</v>
      </c>
      <c r="V320" s="2" t="inlineStr">
        <is>
          <t>Talltita
Tjäder
Kungsfågel
Revlummer</t>
        </is>
      </c>
      <c r="W320">
        <f>HYPERLINK("https://klasma.github.io/Logging_2181/artfynd/A 37635-2024 artfynd.xlsx", "A 37635-2024")</f>
        <v/>
      </c>
      <c r="X320">
        <f>HYPERLINK("https://klasma.github.io/Logging_2181/kartor/A 37635-2024 karta.png", "A 37635-2024")</f>
        <v/>
      </c>
      <c r="Y320">
        <f>HYPERLINK("https://klasma.github.io/Logging_2181/kartor_geotiff/A 37635-2024 georefererad karta.tif", "A 37635-2024")</f>
        <v/>
      </c>
      <c r="AA320">
        <f>HYPERLINK("https://klasma.github.io/Logging_2181/klagomål/A 37635-2024 FSC-klagomål.docx", "A 37635-2024")</f>
        <v/>
      </c>
      <c r="AB320">
        <f>HYPERLINK("https://klasma.github.io/Logging_2181/klagomålsmail/A 37635-2024 FSC-klagomål mail.docx", "A 37635-2024")</f>
        <v/>
      </c>
      <c r="AC320">
        <f>HYPERLINK("https://klasma.github.io/Logging_2181/tillsyn/A 37635-2024 tillsynsbegäran.docx", "A 37635-2024")</f>
        <v/>
      </c>
      <c r="AD320">
        <f>HYPERLINK("https://klasma.github.io/Logging_2181/tillsynsmail/A 37635-2024 tillsynsbegäran mail.docx", "A 37635-2024")</f>
        <v/>
      </c>
      <c r="AE320">
        <f>HYPERLINK("https://klasma.github.io/Logging_2181/fåglar/A 37635-2024 prioriterade fågelarter.docx", "A 37635-2024")</f>
        <v/>
      </c>
    </row>
    <row r="321" ht="15" customHeight="1">
      <c r="A321" t="inlineStr">
        <is>
          <t>A 51118-2024</t>
        </is>
      </c>
      <c r="B321" t="inlineStr">
        <is>
          <t>avverkningsanmälan</t>
        </is>
      </c>
      <c r="C321" t="inlineStr">
        <is>
          <t>Avverkning för att bevara och utveckla /försöksver</t>
        </is>
      </c>
      <c r="D321" s="1" t="n">
        <v>45603</v>
      </c>
      <c r="E321" s="1" t="n">
        <v>46326</v>
      </c>
      <c r="F321" t="inlineStr">
        <is>
          <t>GÄVLEBORGS LÄN</t>
        </is>
      </c>
      <c r="G321" t="inlineStr">
        <is>
          <t>LJUSDAL</t>
        </is>
      </c>
      <c r="H321" t="inlineStr">
        <is>
          <t>Sveaskog</t>
        </is>
      </c>
      <c r="I321" t="n">
        <v>1.3</v>
      </c>
      <c r="J321" t="n">
        <v>1</v>
      </c>
      <c r="K321" t="n">
        <v>0</v>
      </c>
      <c r="L321" t="n">
        <v>2</v>
      </c>
      <c r="M321" t="n">
        <v>1</v>
      </c>
      <c r="N321" t="n">
        <v>0</v>
      </c>
      <c r="O321" t="n">
        <v>0</v>
      </c>
      <c r="P321" t="n">
        <v>0</v>
      </c>
      <c r="Q321" t="n">
        <v>3</v>
      </c>
      <c r="R321" t="n">
        <v>1</v>
      </c>
      <c r="S321" t="n">
        <v>4</v>
      </c>
      <c r="T321" t="n">
        <v>6</v>
      </c>
      <c r="U321" t="n">
        <v>4</v>
      </c>
      <c r="V321" s="2" t="inlineStr">
        <is>
          <t>Garnlav
Motaggsvamp
Tallticka
Fläcknycklar</t>
        </is>
      </c>
      <c r="W321">
        <f>HYPERLINK("https://klasma.github.io/Logging_2161/artfynd/A 51118-2024 artfynd.xlsx", "A 51118-2024")</f>
        <v/>
      </c>
      <c r="X321">
        <f>HYPERLINK("https://klasma.github.io/Logging_2161/kartor/A 51118-2024 karta.png", "A 51118-2024")</f>
        <v/>
      </c>
      <c r="Y321">
        <f>HYPERLINK("https://klasma.github.io/Logging_2161/kartor_geotiff/A 51118-2024 georefererad karta.tif", "A 51118-2024")</f>
        <v/>
      </c>
      <c r="AA321">
        <f>HYPERLINK("https://klasma.github.io/Logging_2161/klagomål/A 51118-2024 FSC-klagomål.docx", "A 51118-2024")</f>
        <v/>
      </c>
      <c r="AB321">
        <f>HYPERLINK("https://klasma.github.io/Logging_2161/klagomålsmail/A 51118-2024 FSC-klagomål mail.docx", "A 51118-2024")</f>
        <v/>
      </c>
      <c r="AC321">
        <f>HYPERLINK("https://klasma.github.io/Logging_2161/tillsyn/A 51118-2024 tillsynsbegäran.docx", "A 51118-2024")</f>
        <v/>
      </c>
      <c r="AD321">
        <f>HYPERLINK("https://klasma.github.io/Logging_2161/tillsynsmail/A 51118-2024 tillsynsbegäran mail.docx", "A 51118-2024")</f>
        <v/>
      </c>
    </row>
    <row r="322" ht="15" customHeight="1">
      <c r="A322" t="inlineStr">
        <is>
          <t>A 49419-2024</t>
        </is>
      </c>
      <c r="B322" t="inlineStr">
        <is>
          <t>avverkningsanmälan</t>
        </is>
      </c>
      <c r="C322" t="inlineStr">
        <is>
          <t>Föryngringsavverkning</t>
        </is>
      </c>
      <c r="D322" s="1" t="n">
        <v>45595</v>
      </c>
      <c r="E322" s="1" t="n">
        <v>46326</v>
      </c>
      <c r="F322" t="inlineStr">
        <is>
          <t>GÄVLEBORGS LÄN</t>
        </is>
      </c>
      <c r="G322" t="inlineStr">
        <is>
          <t>NORDANSTIG</t>
        </is>
      </c>
      <c r="I322" t="n">
        <v>1.3</v>
      </c>
      <c r="J322" t="n">
        <v>0</v>
      </c>
      <c r="K322" t="n">
        <v>0</v>
      </c>
      <c r="L322" t="n">
        <v>2</v>
      </c>
      <c r="M322" t="n">
        <v>2</v>
      </c>
      <c r="N322" t="n">
        <v>0</v>
      </c>
      <c r="O322" t="n">
        <v>0</v>
      </c>
      <c r="P322" t="n">
        <v>0</v>
      </c>
      <c r="Q322" t="n">
        <v>4</v>
      </c>
      <c r="R322" t="n">
        <v>2</v>
      </c>
      <c r="S322" t="n">
        <v>4</v>
      </c>
      <c r="T322" t="n">
        <v>9</v>
      </c>
      <c r="U322" t="n">
        <v>0</v>
      </c>
      <c r="V322" s="2" t="inlineStr">
        <is>
          <t>Goliatmusseron
Skrovlig taggsvamp
Dropptaggsvamp
Skarp dropptaggsvamp</t>
        </is>
      </c>
      <c r="W322">
        <f>HYPERLINK("https://klasma.github.io/Logging_2132/artfynd/A 49419-2024 artfynd.xlsx", "A 49419-2024")</f>
        <v/>
      </c>
      <c r="X322">
        <f>HYPERLINK("https://klasma.github.io/Logging_2132/kartor/A 49419-2024 karta.png", "A 49419-2024")</f>
        <v/>
      </c>
      <c r="Y322">
        <f>HYPERLINK("https://klasma.github.io/Logging_2132/kartor_geotiff/A 49419-2024 georefererad karta.tif", "A 49419-2024")</f>
        <v/>
      </c>
      <c r="AA322">
        <f>HYPERLINK("https://klasma.github.io/Logging_2132/klagomål/A 49419-2024 FSC-klagomål.docx", "A 49419-2024")</f>
        <v/>
      </c>
      <c r="AB322">
        <f>HYPERLINK("https://klasma.github.io/Logging_2132/klagomålsmail/A 49419-2024 FSC-klagomål mail.docx", "A 49419-2024")</f>
        <v/>
      </c>
      <c r="AC322">
        <f>HYPERLINK("https://klasma.github.io/Logging_2132/tillsyn/A 49419-2024 tillsynsbegäran.docx", "A 49419-2024")</f>
        <v/>
      </c>
      <c r="AD322">
        <f>HYPERLINK("https://klasma.github.io/Logging_2132/tillsynsmail/A 49419-2024 tillsynsbegäran mail.docx", "A 49419-2024")</f>
        <v/>
      </c>
    </row>
    <row r="323" ht="15" customHeight="1">
      <c r="A323" t="inlineStr">
        <is>
          <t>A 22399-2026</t>
        </is>
      </c>
      <c r="B323" t="inlineStr">
        <is>
          <t>avverkningsanmälan</t>
        </is>
      </c>
      <c r="C323" t="inlineStr">
        <is>
          <t>Föryngringsavverkning</t>
        </is>
      </c>
      <c r="D323" s="1" t="n">
        <v>46154</v>
      </c>
      <c r="E323" s="1" t="n">
        <v>46326</v>
      </c>
      <c r="F323" t="inlineStr">
        <is>
          <t>GÄVLEBORGS LÄN</t>
        </is>
      </c>
      <c r="G323" t="inlineStr">
        <is>
          <t>LJUSDAL</t>
        </is>
      </c>
      <c r="I323" t="n">
        <v>6.2</v>
      </c>
      <c r="J323" t="n">
        <v>3</v>
      </c>
      <c r="K323" t="n">
        <v>1</v>
      </c>
      <c r="L323" t="n">
        <v>0</v>
      </c>
      <c r="M323" t="n">
        <v>2</v>
      </c>
      <c r="N323" t="n">
        <v>0</v>
      </c>
      <c r="O323" t="n">
        <v>0</v>
      </c>
      <c r="P323" t="n">
        <v>0</v>
      </c>
      <c r="Q323" t="n">
        <v>2</v>
      </c>
      <c r="R323" t="n">
        <v>2</v>
      </c>
      <c r="S323" t="n">
        <v>4</v>
      </c>
      <c r="T323" t="n">
        <v>5</v>
      </c>
      <c r="U323" t="n">
        <v>0</v>
      </c>
      <c r="V323" s="2" t="inlineStr">
        <is>
          <t>Garnlav
Knärot
Plattlummer
Nattviol</t>
        </is>
      </c>
      <c r="W323">
        <f>HYPERLINK("https://klasma.github.io/Logging_2161/artfynd/A 22399-2026 artfynd.xlsx", "A 22399-2026")</f>
        <v/>
      </c>
      <c r="X323">
        <f>HYPERLINK("https://klasma.github.io/Logging_2161/kartor/A 22399-2026 karta.png", "A 22399-2026")</f>
        <v/>
      </c>
      <c r="Y323">
        <f>HYPERLINK("https://klasma.github.io/Logging_2161/kartor_geotiff/A 22399-2026 georefererad karta.tif", "A 22399-2026")</f>
        <v/>
      </c>
      <c r="Z323">
        <f>HYPERLINK("https://klasma.github.io/Logging_2161/knärot/A 22399-2026 karta knärot.png", "A 22399-2026")</f>
        <v/>
      </c>
      <c r="AA323">
        <f>HYPERLINK("https://klasma.github.io/Logging_2161/klagomål/A 22399-2026 FSC-klagomål.docx", "A 22399-2026")</f>
        <v/>
      </c>
      <c r="AB323">
        <f>HYPERLINK("https://klasma.github.io/Logging_2161/klagomålsmail/A 22399-2026 FSC-klagomål mail.docx", "A 22399-2026")</f>
        <v/>
      </c>
      <c r="AC323">
        <f>HYPERLINK("https://klasma.github.io/Logging_2161/tillsyn/A 22399-2026 tillsynsbegäran.docx", "A 22399-2026")</f>
        <v/>
      </c>
      <c r="AD323">
        <f>HYPERLINK("https://klasma.github.io/Logging_2161/tillsynsmail/A 22399-2026 tillsynsbegäran mail.docx", "A 22399-2026")</f>
        <v/>
      </c>
    </row>
    <row r="324" ht="15" customHeight="1">
      <c r="A324" t="inlineStr">
        <is>
          <t>A 31473-2023</t>
        </is>
      </c>
      <c r="B324" t="inlineStr">
        <is>
          <t>avverkningsanmälan</t>
        </is>
      </c>
      <c r="C324" t="inlineStr">
        <is>
          <t>Föryngringsavverkning</t>
        </is>
      </c>
      <c r="D324" s="1" t="n">
        <v>45114</v>
      </c>
      <c r="E324" s="1" t="n">
        <v>46326</v>
      </c>
      <c r="F324" t="inlineStr">
        <is>
          <t>GÄVLEBORGS LÄN</t>
        </is>
      </c>
      <c r="G324" t="inlineStr">
        <is>
          <t>LJUSDAL</t>
        </is>
      </c>
      <c r="H324" t="inlineStr">
        <is>
          <t>Sveaskog</t>
        </is>
      </c>
      <c r="I324" t="n">
        <v>15.5</v>
      </c>
      <c r="J324" t="n">
        <v>1</v>
      </c>
      <c r="K324" t="n">
        <v>1</v>
      </c>
      <c r="L324" t="n">
        <v>3</v>
      </c>
      <c r="M324" t="n">
        <v>0</v>
      </c>
      <c r="N324" t="n">
        <v>0</v>
      </c>
      <c r="O324" t="n">
        <v>0</v>
      </c>
      <c r="P324" t="n">
        <v>0</v>
      </c>
      <c r="Q324" t="n">
        <v>3</v>
      </c>
      <c r="R324" t="n">
        <v>0</v>
      </c>
      <c r="S324" t="n">
        <v>4</v>
      </c>
      <c r="T324" t="n">
        <v>6</v>
      </c>
      <c r="U324" t="n">
        <v>5</v>
      </c>
      <c r="V324" s="2" t="inlineStr">
        <is>
          <t>Kolflarnlav
Lunglav
Violettgrå tagellav
Plattlummer</t>
        </is>
      </c>
      <c r="W324">
        <f>HYPERLINK("https://klasma.github.io/Logging_2161/artfynd/A 31473-2023 artfynd.xlsx", "A 31473-2023")</f>
        <v/>
      </c>
      <c r="X324">
        <f>HYPERLINK("https://klasma.github.io/Logging_2161/kartor/A 31473-2023 karta.png", "A 31473-2023")</f>
        <v/>
      </c>
      <c r="Y324">
        <f>HYPERLINK("https://klasma.github.io/Logging_2161/kartor_geotiff/A 31473-2023 georefererad karta.tif", "A 31473-2023")</f>
        <v/>
      </c>
      <c r="AA324">
        <f>HYPERLINK("https://klasma.github.io/Logging_2161/klagomål/A 31473-2023 FSC-klagomål.docx", "A 31473-2023")</f>
        <v/>
      </c>
      <c r="AB324">
        <f>HYPERLINK("https://klasma.github.io/Logging_2161/klagomålsmail/A 31473-2023 FSC-klagomål mail.docx", "A 31473-2023")</f>
        <v/>
      </c>
      <c r="AC324">
        <f>HYPERLINK("https://klasma.github.io/Logging_2161/tillsyn/A 31473-2023 tillsynsbegäran.docx", "A 31473-2023")</f>
        <v/>
      </c>
      <c r="AD324">
        <f>HYPERLINK("https://klasma.github.io/Logging_2161/tillsynsmail/A 31473-2023 tillsynsbegäran mail.docx", "A 31473-2023")</f>
        <v/>
      </c>
    </row>
    <row r="325" ht="15" customHeight="1">
      <c r="A325" t="inlineStr">
        <is>
          <t>A 6239-2026</t>
        </is>
      </c>
      <c r="B325" t="inlineStr">
        <is>
          <t>avverkningsanmälan</t>
        </is>
      </c>
      <c r="C325" t="inlineStr">
        <is>
          <t>Föryngringsavverkning</t>
        </is>
      </c>
      <c r="D325" s="1" t="n">
        <v>46055</v>
      </c>
      <c r="E325" s="1" t="n">
        <v>46326</v>
      </c>
      <c r="F325" t="inlineStr">
        <is>
          <t>GÄVLEBORGS LÄN</t>
        </is>
      </c>
      <c r="G325" t="inlineStr">
        <is>
          <t>HUDIKSVALL</t>
        </is>
      </c>
      <c r="I325" t="n">
        <v>1.5</v>
      </c>
      <c r="J325" t="n">
        <v>2</v>
      </c>
      <c r="K325" t="n">
        <v>1</v>
      </c>
      <c r="L325" t="n">
        <v>1</v>
      </c>
      <c r="M325" t="n">
        <v>1</v>
      </c>
      <c r="N325" t="n">
        <v>0</v>
      </c>
      <c r="O325" t="n">
        <v>0</v>
      </c>
      <c r="P325" t="n">
        <v>0</v>
      </c>
      <c r="Q325" t="n">
        <v>2</v>
      </c>
      <c r="R325" t="n">
        <v>1</v>
      </c>
      <c r="S325" t="n">
        <v>4</v>
      </c>
      <c r="T325" t="n">
        <v>4</v>
      </c>
      <c r="U325" t="n">
        <v>0</v>
      </c>
      <c r="V325" s="2" t="inlineStr">
        <is>
          <t>Garnlav
Talltita
Tibast
Revlummer</t>
        </is>
      </c>
      <c r="W325">
        <f>HYPERLINK("https://klasma.github.io/Logging_2184/artfynd/A 6239-2026 artfynd.xlsx", "A 6239-2026")</f>
        <v/>
      </c>
      <c r="X325">
        <f>HYPERLINK("https://klasma.github.io/Logging_2184/kartor/A 6239-2026 karta.png", "A 6239-2026")</f>
        <v/>
      </c>
      <c r="Y325">
        <f>HYPERLINK("https://klasma.github.io/Logging_2184/kartor_geotiff/A 6239-2026 georefererad karta.tif", "A 6239-2026")</f>
        <v/>
      </c>
      <c r="AA325">
        <f>HYPERLINK("https://klasma.github.io/Logging_2184/klagomål/A 6239-2026 FSC-klagomål.docx", "A 6239-2026")</f>
        <v/>
      </c>
      <c r="AB325">
        <f>HYPERLINK("https://klasma.github.io/Logging_2184/klagomålsmail/A 6239-2026 FSC-klagomål mail.docx", "A 6239-2026")</f>
        <v/>
      </c>
      <c r="AC325">
        <f>HYPERLINK("https://klasma.github.io/Logging_2184/tillsyn/A 6239-2026 tillsynsbegäran.docx", "A 6239-2026")</f>
        <v/>
      </c>
      <c r="AD325">
        <f>HYPERLINK("https://klasma.github.io/Logging_2184/tillsynsmail/A 6239-2026 tillsynsbegäran mail.docx", "A 6239-2026")</f>
        <v/>
      </c>
      <c r="AE325">
        <f>HYPERLINK("https://klasma.github.io/Logging_2184/fåglar/A 6239-2026 prioriterade fågelarter.docx", "A 6239-2026")</f>
        <v/>
      </c>
    </row>
    <row r="326" ht="15" customHeight="1">
      <c r="A326" t="inlineStr">
        <is>
          <t>A 24596-2026</t>
        </is>
      </c>
      <c r="B326" t="inlineStr">
        <is>
          <t>avverkningsanmälan</t>
        </is>
      </c>
      <c r="C326" t="inlineStr">
        <is>
          <t>Föryngringsavverkning</t>
        </is>
      </c>
      <c r="D326" s="1" t="n">
        <v>46170</v>
      </c>
      <c r="E326" s="1" t="n">
        <v>46326</v>
      </c>
      <c r="F326" t="inlineStr">
        <is>
          <t>GÄVLEBORGS LÄN</t>
        </is>
      </c>
      <c r="G326" t="inlineStr">
        <is>
          <t>OCKELBO</t>
        </is>
      </c>
      <c r="H326" t="inlineStr">
        <is>
          <t>Bergvik skog väst AB</t>
        </is>
      </c>
      <c r="I326" t="n">
        <v>3.1</v>
      </c>
      <c r="J326" t="n">
        <v>1</v>
      </c>
      <c r="K326" t="n">
        <v>1</v>
      </c>
      <c r="L326" t="n">
        <v>2</v>
      </c>
      <c r="M326" t="n">
        <v>0</v>
      </c>
      <c r="N326" t="n">
        <v>0</v>
      </c>
      <c r="O326" t="n">
        <v>0</v>
      </c>
      <c r="P326" t="n">
        <v>0</v>
      </c>
      <c r="Q326" t="n">
        <v>2</v>
      </c>
      <c r="R326" t="n">
        <v>0</v>
      </c>
      <c r="S326" t="n">
        <v>4</v>
      </c>
      <c r="T326" t="n">
        <v>4</v>
      </c>
      <c r="U326" t="n">
        <v>0</v>
      </c>
      <c r="V326" s="2" t="inlineStr">
        <is>
          <t>Dropptaggsvamp
Violettgrå tagellav
Vågbandad barkbock
Tjäder</t>
        </is>
      </c>
      <c r="W326">
        <f>HYPERLINK("https://klasma.github.io/Logging_2101/artfynd/A 24596-2026 artfynd.xlsx", "A 24596-2026")</f>
        <v/>
      </c>
      <c r="X326">
        <f>HYPERLINK("https://klasma.github.io/Logging_2101/kartor/A 24596-2026 karta.png", "A 24596-2026")</f>
        <v/>
      </c>
      <c r="Y326">
        <f>HYPERLINK("https://klasma.github.io/Logging_2101/kartor_geotiff/A 24596-2026 georefererad karta.tif", "A 24596-2026")</f>
        <v/>
      </c>
      <c r="AA326">
        <f>HYPERLINK("https://klasma.github.io/Logging_2101/klagomål/A 24596-2026 FSC-klagomål.docx", "A 24596-2026")</f>
        <v/>
      </c>
      <c r="AB326">
        <f>HYPERLINK("https://klasma.github.io/Logging_2101/klagomålsmail/A 24596-2026 FSC-klagomål mail.docx", "A 24596-2026")</f>
        <v/>
      </c>
      <c r="AC326">
        <f>HYPERLINK("https://klasma.github.io/Logging_2101/tillsyn/A 24596-2026 tillsynsbegäran.docx", "A 24596-2026")</f>
        <v/>
      </c>
      <c r="AD326">
        <f>HYPERLINK("https://klasma.github.io/Logging_2101/tillsynsmail/A 24596-2026 tillsynsbegäran mail.docx", "A 24596-2026")</f>
        <v/>
      </c>
      <c r="AE326">
        <f>HYPERLINK("https://klasma.github.io/Logging_2101/fåglar/A 24596-2026 prioriterade fågelarter.docx", "A 24596-2026")</f>
        <v/>
      </c>
    </row>
    <row r="327" ht="15" customHeight="1">
      <c r="A327" t="inlineStr">
        <is>
          <t>A 36627-2024</t>
        </is>
      </c>
      <c r="B327" t="inlineStr">
        <is>
          <t>avverkningsanmälan</t>
        </is>
      </c>
      <c r="C327" t="inlineStr">
        <is>
          <t>Föryngringsavverkning</t>
        </is>
      </c>
      <c r="D327" s="1" t="n">
        <v>45537</v>
      </c>
      <c r="E327" s="1" t="n">
        <v>46326</v>
      </c>
      <c r="F327" t="inlineStr">
        <is>
          <t>GÄVLEBORGS LÄN</t>
        </is>
      </c>
      <c r="G327" t="inlineStr">
        <is>
          <t>LJUSDAL</t>
        </is>
      </c>
      <c r="H327" t="inlineStr">
        <is>
          <t>Sveaskog</t>
        </is>
      </c>
      <c r="I327" t="n">
        <v>11.8</v>
      </c>
      <c r="J327" t="n">
        <v>0</v>
      </c>
      <c r="K327" t="n">
        <v>0</v>
      </c>
      <c r="L327" t="n">
        <v>3</v>
      </c>
      <c r="M327" t="n">
        <v>1</v>
      </c>
      <c r="N327" t="n">
        <v>0</v>
      </c>
      <c r="O327" t="n">
        <v>0</v>
      </c>
      <c r="P327" t="n">
        <v>0</v>
      </c>
      <c r="Q327" t="n">
        <v>4</v>
      </c>
      <c r="R327" t="n">
        <v>1</v>
      </c>
      <c r="S327" t="n">
        <v>4</v>
      </c>
      <c r="T327" t="n">
        <v>7</v>
      </c>
      <c r="U327" t="n">
        <v>7</v>
      </c>
      <c r="V327" s="2" t="inlineStr">
        <is>
          <t>Garnlav
Kolflarnlav
Mörk kolflarnlav
Orange taggsvamp</t>
        </is>
      </c>
      <c r="W327">
        <f>HYPERLINK("https://klasma.github.io/Logging_2161/artfynd/A 36627-2024 artfynd.xlsx", "A 36627-2024")</f>
        <v/>
      </c>
      <c r="X327">
        <f>HYPERLINK("https://klasma.github.io/Logging_2161/kartor/A 36627-2024 karta.png", "A 36627-2024")</f>
        <v/>
      </c>
      <c r="Y327">
        <f>HYPERLINK("https://klasma.github.io/Logging_2161/kartor_geotiff/A 36627-2024 georefererad karta.tif", "A 36627-2024")</f>
        <v/>
      </c>
      <c r="AA327">
        <f>HYPERLINK("https://klasma.github.io/Logging_2161/klagomål/A 36627-2024 FSC-klagomål.docx", "A 36627-2024")</f>
        <v/>
      </c>
      <c r="AB327">
        <f>HYPERLINK("https://klasma.github.io/Logging_2161/klagomålsmail/A 36627-2024 FSC-klagomål mail.docx", "A 36627-2024")</f>
        <v/>
      </c>
      <c r="AC327">
        <f>HYPERLINK("https://klasma.github.io/Logging_2161/tillsyn/A 36627-2024 tillsynsbegäran.docx", "A 36627-2024")</f>
        <v/>
      </c>
      <c r="AD327">
        <f>HYPERLINK("https://klasma.github.io/Logging_2161/tillsynsmail/A 36627-2024 tillsynsbegäran mail.docx", "A 36627-2024")</f>
        <v/>
      </c>
    </row>
    <row r="328" ht="15" customHeight="1">
      <c r="A328" t="inlineStr">
        <is>
          <t>A 5500-2024</t>
        </is>
      </c>
      <c r="B328" t="inlineStr">
        <is>
          <t>avverkningsanmälan</t>
        </is>
      </c>
      <c r="C328" t="inlineStr">
        <is>
          <t>Föryngringsavverkning</t>
        </is>
      </c>
      <c r="D328" s="1" t="n">
        <v>45334</v>
      </c>
      <c r="E328" s="1" t="n">
        <v>46326</v>
      </c>
      <c r="F328" t="inlineStr">
        <is>
          <t>GÄVLEBORGS LÄN</t>
        </is>
      </c>
      <c r="G328" t="inlineStr">
        <is>
          <t>HUDIKSVALL</t>
        </is>
      </c>
      <c r="H328" t="inlineStr">
        <is>
          <t>Holmen skog AB</t>
        </is>
      </c>
      <c r="I328" t="n">
        <v>5</v>
      </c>
      <c r="J328" t="n">
        <v>0</v>
      </c>
      <c r="K328" t="n">
        <v>0</v>
      </c>
      <c r="L328" t="n">
        <v>3</v>
      </c>
      <c r="M328" t="n">
        <v>1</v>
      </c>
      <c r="N328" t="n">
        <v>0</v>
      </c>
      <c r="O328" t="n">
        <v>0</v>
      </c>
      <c r="P328" t="n">
        <v>0</v>
      </c>
      <c r="Q328" t="n">
        <v>4</v>
      </c>
      <c r="R328" t="n">
        <v>1</v>
      </c>
      <c r="S328" t="n">
        <v>4</v>
      </c>
      <c r="T328" t="n">
        <v>4</v>
      </c>
      <c r="U328" t="n">
        <v>4</v>
      </c>
      <c r="V328" s="2" t="inlineStr">
        <is>
          <t>Garnlav
Dropptaggsvamp
Mörk kolflarnlav
Rosenticka</t>
        </is>
      </c>
      <c r="W328">
        <f>HYPERLINK("https://klasma.github.io/Logging_2184/artfynd/A 5500-2024 artfynd.xlsx", "A 5500-2024")</f>
        <v/>
      </c>
      <c r="X328">
        <f>HYPERLINK("https://klasma.github.io/Logging_2184/kartor/A 5500-2024 karta.png", "A 5500-2024")</f>
        <v/>
      </c>
      <c r="Y328">
        <f>HYPERLINK("https://klasma.github.io/Logging_2184/kartor_geotiff/A 5500-2024 georefererad karta.tif", "A 5500-2024")</f>
        <v/>
      </c>
      <c r="AA328">
        <f>HYPERLINK("https://klasma.github.io/Logging_2184/klagomål/A 5500-2024 FSC-klagomål.docx", "A 5500-2024")</f>
        <v/>
      </c>
      <c r="AB328">
        <f>HYPERLINK("https://klasma.github.io/Logging_2184/klagomålsmail/A 5500-2024 FSC-klagomål mail.docx", "A 5500-2024")</f>
        <v/>
      </c>
      <c r="AC328">
        <f>HYPERLINK("https://klasma.github.io/Logging_2184/tillsyn/A 5500-2024 tillsynsbegäran.docx", "A 5500-2024")</f>
        <v/>
      </c>
      <c r="AD328">
        <f>HYPERLINK("https://klasma.github.io/Logging_2184/tillsynsmail/A 5500-2024 tillsynsbegäran mail.docx", "A 5500-2024")</f>
        <v/>
      </c>
    </row>
    <row r="329" ht="15" customHeight="1">
      <c r="A329" t="inlineStr">
        <is>
          <t>A 26047-2026</t>
        </is>
      </c>
      <c r="B329" t="inlineStr">
        <is>
          <t>avverkningsanmälan</t>
        </is>
      </c>
      <c r="C329" t="inlineStr">
        <is>
          <t>Föryngringsavverkning</t>
        </is>
      </c>
      <c r="D329" s="1" t="n">
        <v>46181</v>
      </c>
      <c r="E329" s="1" t="n">
        <v>46326</v>
      </c>
      <c r="F329" t="inlineStr">
        <is>
          <t>GÄVLEBORGS LÄN</t>
        </is>
      </c>
      <c r="G329" t="inlineStr">
        <is>
          <t>SANDVIKEN</t>
        </is>
      </c>
      <c r="H329" t="inlineStr">
        <is>
          <t>Kommuner</t>
        </is>
      </c>
      <c r="I329" t="n">
        <v>8.199999999999999</v>
      </c>
      <c r="J329" t="n">
        <v>3</v>
      </c>
      <c r="K329" t="n">
        <v>0</v>
      </c>
      <c r="L329" t="n">
        <v>3</v>
      </c>
      <c r="M329" t="n">
        <v>0</v>
      </c>
      <c r="N329" t="n">
        <v>0</v>
      </c>
      <c r="O329" t="n">
        <v>0</v>
      </c>
      <c r="P329" t="n">
        <v>0</v>
      </c>
      <c r="Q329" t="n">
        <v>3</v>
      </c>
      <c r="R329" t="n">
        <v>0</v>
      </c>
      <c r="S329" t="n">
        <v>4</v>
      </c>
      <c r="T329" t="n">
        <v>5</v>
      </c>
      <c r="U329" t="n">
        <v>1</v>
      </c>
      <c r="V329" s="2" t="inlineStr">
        <is>
          <t>Blå taggsvamp
Nordfladdermus
Talltita
Kungsfågel</t>
        </is>
      </c>
      <c r="W329">
        <f>HYPERLINK("https://klasma.github.io/Logging_2181/artfynd/A 26047-2026 artfynd.xlsx", "A 26047-2026")</f>
        <v/>
      </c>
      <c r="X329">
        <f>HYPERLINK("https://klasma.github.io/Logging_2181/kartor/A 26047-2026 karta.png", "A 26047-2026")</f>
        <v/>
      </c>
      <c r="Y329">
        <f>HYPERLINK("https://klasma.github.io/Logging_2181/kartor_geotiff/A 26047-2026 georefererad karta.tif", "A 26047-2026")</f>
        <v/>
      </c>
      <c r="AA329">
        <f>HYPERLINK("https://klasma.github.io/Logging_2181/klagomål/A 26047-2026 FSC-klagomål.docx", "A 26047-2026")</f>
        <v/>
      </c>
      <c r="AB329">
        <f>HYPERLINK("https://klasma.github.io/Logging_2181/klagomålsmail/A 26047-2026 FSC-klagomål mail.docx", "A 26047-2026")</f>
        <v/>
      </c>
      <c r="AC329">
        <f>HYPERLINK("https://klasma.github.io/Logging_2181/tillsyn/A 26047-2026 tillsynsbegäran.docx", "A 26047-2026")</f>
        <v/>
      </c>
      <c r="AD329">
        <f>HYPERLINK("https://klasma.github.io/Logging_2181/tillsynsmail/A 26047-2026 tillsynsbegäran mail.docx", "A 26047-2026")</f>
        <v/>
      </c>
      <c r="AE329">
        <f>HYPERLINK("https://klasma.github.io/Logging_2181/fåglar/A 26047-2026 prioriterade fågelarter.docx", "A 26047-2026")</f>
        <v/>
      </c>
    </row>
    <row r="330" ht="15" customHeight="1">
      <c r="A330" t="inlineStr">
        <is>
          <t>A 26271-2026</t>
        </is>
      </c>
      <c r="B330" t="inlineStr">
        <is>
          <t>avverkningsanmälan</t>
        </is>
      </c>
      <c r="C330" t="inlineStr">
        <is>
          <t>Föryngringsavverkning</t>
        </is>
      </c>
      <c r="D330" s="1" t="n">
        <v>46182</v>
      </c>
      <c r="E330" s="1" t="n">
        <v>46326</v>
      </c>
      <c r="F330" t="inlineStr">
        <is>
          <t>GÄVLEBORGS LÄN</t>
        </is>
      </c>
      <c r="G330" t="inlineStr">
        <is>
          <t>SANDVIKEN</t>
        </is>
      </c>
      <c r="H330" t="inlineStr">
        <is>
          <t>Kommuner</t>
        </is>
      </c>
      <c r="I330" t="n">
        <v>3.8</v>
      </c>
      <c r="J330" t="n">
        <v>4</v>
      </c>
      <c r="K330" t="n">
        <v>0</v>
      </c>
      <c r="L330" t="n">
        <v>2</v>
      </c>
      <c r="M330" t="n">
        <v>0</v>
      </c>
      <c r="N330" t="n">
        <v>0</v>
      </c>
      <c r="O330" t="n">
        <v>0</v>
      </c>
      <c r="P330" t="n">
        <v>0</v>
      </c>
      <c r="Q330" t="n">
        <v>2</v>
      </c>
      <c r="R330" t="n">
        <v>0</v>
      </c>
      <c r="S330" t="n">
        <v>4</v>
      </c>
      <c r="T330" t="n">
        <v>5</v>
      </c>
      <c r="U330" t="n">
        <v>5</v>
      </c>
      <c r="V330" s="2" t="inlineStr">
        <is>
          <t>Brunlångöra
Nordfladdermus
Vattenfladdermus
Fläcknycklar</t>
        </is>
      </c>
      <c r="W330">
        <f>HYPERLINK("https://klasma.github.io/Logging_2181/artfynd/A 26271-2026 artfynd.xlsx", "A 26271-2026")</f>
        <v/>
      </c>
      <c r="X330">
        <f>HYPERLINK("https://klasma.github.io/Logging_2181/kartor/A 26271-2026 karta.png", "A 26271-2026")</f>
        <v/>
      </c>
      <c r="Y330">
        <f>HYPERLINK("https://klasma.github.io/Logging_2181/kartor_geotiff/A 26271-2026 georefererad karta.tif", "A 26271-2026")</f>
        <v/>
      </c>
      <c r="AA330">
        <f>HYPERLINK("https://klasma.github.io/Logging_2181/klagomål/A 26271-2026 FSC-klagomål.docx", "A 26271-2026")</f>
        <v/>
      </c>
      <c r="AB330">
        <f>HYPERLINK("https://klasma.github.io/Logging_2181/klagomålsmail/A 26271-2026 FSC-klagomål mail.docx", "A 26271-2026")</f>
        <v/>
      </c>
      <c r="AC330">
        <f>HYPERLINK("https://klasma.github.io/Logging_2181/tillsyn/A 26271-2026 tillsynsbegäran.docx", "A 26271-2026")</f>
        <v/>
      </c>
      <c r="AD330">
        <f>HYPERLINK("https://klasma.github.io/Logging_2181/tillsynsmail/A 26271-2026 tillsynsbegäran mail.docx", "A 26271-2026")</f>
        <v/>
      </c>
    </row>
    <row r="331" ht="15" customHeight="1">
      <c r="A331" t="inlineStr">
        <is>
          <t>A 26749-2026</t>
        </is>
      </c>
      <c r="B331" t="inlineStr">
        <is>
          <t>avverkningsanmälan</t>
        </is>
      </c>
      <c r="C331" t="inlineStr">
        <is>
          <t>Föryngringsavverkning</t>
        </is>
      </c>
      <c r="D331" s="1" t="n">
        <v>46184</v>
      </c>
      <c r="E331" s="1" t="n">
        <v>46326</v>
      </c>
      <c r="F331" t="inlineStr">
        <is>
          <t>GÄVLEBORGS LÄN</t>
        </is>
      </c>
      <c r="G331" t="inlineStr">
        <is>
          <t>LJUSDAL</t>
        </is>
      </c>
      <c r="H331" t="inlineStr">
        <is>
          <t>Sveaskog</t>
        </is>
      </c>
      <c r="I331" t="n">
        <v>13.5</v>
      </c>
      <c r="J331" t="n">
        <v>3</v>
      </c>
      <c r="K331" t="n">
        <v>1</v>
      </c>
      <c r="L331" t="n">
        <v>1</v>
      </c>
      <c r="M331" t="n">
        <v>1</v>
      </c>
      <c r="N331" t="n">
        <v>0</v>
      </c>
      <c r="O331" t="n">
        <v>0</v>
      </c>
      <c r="P331" t="n">
        <v>0</v>
      </c>
      <c r="Q331" t="n">
        <v>2</v>
      </c>
      <c r="R331" t="n">
        <v>1</v>
      </c>
      <c r="S331" t="n">
        <v>4</v>
      </c>
      <c r="T331" t="n">
        <v>10</v>
      </c>
      <c r="U331" t="n">
        <v>0</v>
      </c>
      <c r="V331" s="2" t="inlineStr">
        <is>
          <t>Knärot
Kolflarnlav
Tvåblad
Fläcknycklar</t>
        </is>
      </c>
      <c r="W331">
        <f>HYPERLINK("https://klasma.github.io/Logging_2161/artfynd/A 26749-2026 artfynd.xlsx", "A 26749-2026")</f>
        <v/>
      </c>
      <c r="X331">
        <f>HYPERLINK("https://klasma.github.io/Logging_2161/kartor/A 26749-2026 karta.png", "A 26749-2026")</f>
        <v/>
      </c>
      <c r="Y331">
        <f>HYPERLINK("https://klasma.github.io/Logging_2161/kartor_geotiff/A 26749-2026 georefererad karta.tif", "A 26749-2026")</f>
        <v/>
      </c>
      <c r="Z331">
        <f>HYPERLINK("https://klasma.github.io/Logging_2161/knärot/A 26749-2026 karta knärot.png", "A 26749-2026")</f>
        <v/>
      </c>
      <c r="AA331">
        <f>HYPERLINK("https://klasma.github.io/Logging_2161/klagomål/A 26749-2026 FSC-klagomål.docx", "A 26749-2026")</f>
        <v/>
      </c>
      <c r="AB331">
        <f>HYPERLINK("https://klasma.github.io/Logging_2161/klagomålsmail/A 26749-2026 FSC-klagomål mail.docx", "A 26749-2026")</f>
        <v/>
      </c>
      <c r="AC331">
        <f>HYPERLINK("https://klasma.github.io/Logging_2161/tillsyn/A 26749-2026 tillsynsbegäran.docx", "A 26749-2026")</f>
        <v/>
      </c>
      <c r="AD331">
        <f>HYPERLINK("https://klasma.github.io/Logging_2161/tillsynsmail/A 26749-2026 tillsynsbegäran mail.docx", "A 26749-2026")</f>
        <v/>
      </c>
    </row>
    <row r="332" ht="15" customHeight="1">
      <c r="A332" t="inlineStr">
        <is>
          <t>A 10436-2022</t>
        </is>
      </c>
      <c r="B332" t="inlineStr">
        <is>
          <t>avverkningsanmälan</t>
        </is>
      </c>
      <c r="C332" t="inlineStr">
        <is>
          <t>Föryngringsavverkning</t>
        </is>
      </c>
      <c r="D332" s="1" t="n">
        <v>44623</v>
      </c>
      <c r="E332" s="1" t="n">
        <v>46326</v>
      </c>
      <c r="F332" t="inlineStr">
        <is>
          <t>GÄVLEBORGS LÄN</t>
        </is>
      </c>
      <c r="G332" t="inlineStr">
        <is>
          <t>HOFORS</t>
        </is>
      </c>
      <c r="I332" t="n">
        <v>6.3</v>
      </c>
      <c r="J332" t="n">
        <v>2</v>
      </c>
      <c r="K332" t="n">
        <v>2</v>
      </c>
      <c r="L332" t="n">
        <v>0</v>
      </c>
      <c r="M332" t="n">
        <v>1</v>
      </c>
      <c r="N332" t="n">
        <v>0</v>
      </c>
      <c r="O332" t="n">
        <v>0</v>
      </c>
      <c r="P332" t="n">
        <v>0</v>
      </c>
      <c r="Q332" t="n">
        <v>1</v>
      </c>
      <c r="R332" t="n">
        <v>1</v>
      </c>
      <c r="S332" t="n">
        <v>4</v>
      </c>
      <c r="T332" t="n">
        <v>8</v>
      </c>
      <c r="U332" t="n">
        <v>8</v>
      </c>
      <c r="V332" s="2" t="inlineStr">
        <is>
          <t>Knärot
Björksplintborre
Vedticka
Tjäder</t>
        </is>
      </c>
      <c r="W332">
        <f>HYPERLINK("https://klasma.github.io/Logging_2104/artfynd/A 10436-2022 artfynd.xlsx", "A 10436-2022")</f>
        <v/>
      </c>
      <c r="X332">
        <f>HYPERLINK("https://klasma.github.io/Logging_2104/kartor/A 10436-2022 karta.png", "A 10436-2022")</f>
        <v/>
      </c>
      <c r="Y332">
        <f>HYPERLINK("https://klasma.github.io/Logging_2104/kartor_geotiff/A 10436-2022 georefererad karta.tif", "A 10436-2022")</f>
        <v/>
      </c>
      <c r="Z332">
        <f>HYPERLINK("https://klasma.github.io/Logging_2104/knärot/A 10436-2022 karta knärot.png", "A 10436-2022")</f>
        <v/>
      </c>
      <c r="AA332">
        <f>HYPERLINK("https://klasma.github.io/Logging_2104/klagomål/A 10436-2022 FSC-klagomål.docx", "A 10436-2022")</f>
        <v/>
      </c>
      <c r="AB332">
        <f>HYPERLINK("https://klasma.github.io/Logging_2104/klagomålsmail/A 10436-2022 FSC-klagomål mail.docx", "A 10436-2022")</f>
        <v/>
      </c>
      <c r="AC332">
        <f>HYPERLINK("https://klasma.github.io/Logging_2104/tillsyn/A 10436-2022 tillsynsbegäran.docx", "A 10436-2022")</f>
        <v/>
      </c>
      <c r="AD332">
        <f>HYPERLINK("https://klasma.github.io/Logging_2104/tillsynsmail/A 10436-2022 tillsynsbegäran mail.docx", "A 10436-2022")</f>
        <v/>
      </c>
      <c r="AE332">
        <f>HYPERLINK("https://klasma.github.io/Logging_2104/fåglar/A 10436-2022 prioriterade fågelarter.docx", "A 10436-2022")</f>
        <v/>
      </c>
    </row>
    <row r="333" ht="15" customHeight="1">
      <c r="A333" t="inlineStr">
        <is>
          <t>A 1100-2024</t>
        </is>
      </c>
      <c r="B333" t="inlineStr">
        <is>
          <t>avverkningsanmälan</t>
        </is>
      </c>
      <c r="C333" t="inlineStr">
        <is>
          <t>Föryngringsavverkning</t>
        </is>
      </c>
      <c r="D333" s="1" t="n">
        <v>45302</v>
      </c>
      <c r="E333" s="1" t="n">
        <v>46326</v>
      </c>
      <c r="F333" t="inlineStr">
        <is>
          <t>GÄVLEBORGS LÄN</t>
        </is>
      </c>
      <c r="G333" t="inlineStr">
        <is>
          <t>GÄVLE</t>
        </is>
      </c>
      <c r="H333" t="inlineStr">
        <is>
          <t>Bergvik skog väst AB</t>
        </is>
      </c>
      <c r="I333" t="n">
        <v>3.9</v>
      </c>
      <c r="J333" t="n">
        <v>0</v>
      </c>
      <c r="K333" t="n">
        <v>1</v>
      </c>
      <c r="L333" t="n">
        <v>3</v>
      </c>
      <c r="M333" t="n">
        <v>0</v>
      </c>
      <c r="N333" t="n">
        <v>0</v>
      </c>
      <c r="O333" t="n">
        <v>0</v>
      </c>
      <c r="P333" t="n">
        <v>0</v>
      </c>
      <c r="Q333" t="n">
        <v>3</v>
      </c>
      <c r="R333" t="n">
        <v>0</v>
      </c>
      <c r="S333" t="n">
        <v>4</v>
      </c>
      <c r="T333" t="n">
        <v>5</v>
      </c>
      <c r="U333" t="n">
        <v>1</v>
      </c>
      <c r="V333" s="2" t="inlineStr">
        <is>
          <t>Dropptaggsvamp
Tallticka
Vedskivlav
Vågbandad barkbock</t>
        </is>
      </c>
      <c r="W333">
        <f>HYPERLINK("https://klasma.github.io/Logging_2180/artfynd/A 1100-2024 artfynd.xlsx", "A 1100-2024")</f>
        <v/>
      </c>
      <c r="X333">
        <f>HYPERLINK("https://klasma.github.io/Logging_2180/kartor/A 1100-2024 karta.png", "A 1100-2024")</f>
        <v/>
      </c>
      <c r="Y333">
        <f>HYPERLINK("https://klasma.github.io/Logging_2180/kartor_geotiff/A 1100-2024 georefererad karta.tif", "A 1100-2024")</f>
        <v/>
      </c>
      <c r="AA333">
        <f>HYPERLINK("https://klasma.github.io/Logging_2180/klagomål/A 1100-2024 FSC-klagomål.docx", "A 1100-2024")</f>
        <v/>
      </c>
      <c r="AB333">
        <f>HYPERLINK("https://klasma.github.io/Logging_2180/klagomålsmail/A 1100-2024 FSC-klagomål mail.docx", "A 1100-2024")</f>
        <v/>
      </c>
      <c r="AC333">
        <f>HYPERLINK("https://klasma.github.io/Logging_2180/tillsyn/A 1100-2024 tillsynsbegäran.docx", "A 1100-2024")</f>
        <v/>
      </c>
      <c r="AD333">
        <f>HYPERLINK("https://klasma.github.io/Logging_2180/tillsynsmail/A 1100-2024 tillsynsbegäran mail.docx", "A 1100-2024")</f>
        <v/>
      </c>
    </row>
    <row r="334" ht="15" customHeight="1">
      <c r="A334" t="inlineStr">
        <is>
          <t>A 22978-2023</t>
        </is>
      </c>
      <c r="B334" t="inlineStr">
        <is>
          <t>avverkningsanmälan</t>
        </is>
      </c>
      <c r="C334" t="inlineStr">
        <is>
          <t>Föryngringsavverkning</t>
        </is>
      </c>
      <c r="D334" s="1" t="n">
        <v>45072</v>
      </c>
      <c r="E334" s="1" t="n">
        <v>46326</v>
      </c>
      <c r="F334" t="inlineStr">
        <is>
          <t>GÄVLEBORGS LÄN</t>
        </is>
      </c>
      <c r="G334" t="inlineStr">
        <is>
          <t>LJUSDAL</t>
        </is>
      </c>
      <c r="I334" t="n">
        <v>1.8</v>
      </c>
      <c r="J334" t="n">
        <v>2</v>
      </c>
      <c r="K334" t="n">
        <v>0</v>
      </c>
      <c r="L334" t="n">
        <v>2</v>
      </c>
      <c r="M334" t="n">
        <v>1</v>
      </c>
      <c r="N334" t="n">
        <v>0</v>
      </c>
      <c r="O334" t="n">
        <v>0</v>
      </c>
      <c r="P334" t="n">
        <v>0</v>
      </c>
      <c r="Q334" t="n">
        <v>3</v>
      </c>
      <c r="R334" t="n">
        <v>1</v>
      </c>
      <c r="S334" t="n">
        <v>4</v>
      </c>
      <c r="T334" t="n">
        <v>14</v>
      </c>
      <c r="U334" t="n">
        <v>0</v>
      </c>
      <c r="V334" s="2" t="inlineStr">
        <is>
          <t>Knärot
Rosenticka
Ullticka
Revlummer</t>
        </is>
      </c>
      <c r="W334">
        <f>HYPERLINK("https://klasma.github.io/Logging_2161/artfynd/A 22978-2023 artfynd.xlsx", "A 22978-2023")</f>
        <v/>
      </c>
      <c r="X334">
        <f>HYPERLINK("https://klasma.github.io/Logging_2161/kartor/A 22978-2023 karta.png", "A 22978-2023")</f>
        <v/>
      </c>
      <c r="Y334">
        <f>HYPERLINK("https://klasma.github.io/Logging_2161/kartor_geotiff/A 22978-2023 georefererad karta.tif", "A 22978-2023")</f>
        <v/>
      </c>
      <c r="Z334">
        <f>HYPERLINK("https://klasma.github.io/Logging_2161/knärot/A 22978-2023 karta knärot.png", "A 22978-2023")</f>
        <v/>
      </c>
      <c r="AA334">
        <f>HYPERLINK("https://klasma.github.io/Logging_2161/klagomål/A 22978-2023 FSC-klagomål.docx", "A 22978-2023")</f>
        <v/>
      </c>
      <c r="AB334">
        <f>HYPERLINK("https://klasma.github.io/Logging_2161/klagomålsmail/A 22978-2023 FSC-klagomål mail.docx", "A 22978-2023")</f>
        <v/>
      </c>
      <c r="AC334">
        <f>HYPERLINK("https://klasma.github.io/Logging_2161/tillsyn/A 22978-2023 tillsynsbegäran.docx", "A 22978-2023")</f>
        <v/>
      </c>
      <c r="AD334">
        <f>HYPERLINK("https://klasma.github.io/Logging_2161/tillsynsmail/A 22978-2023 tillsynsbegäran mail.docx", "A 22978-2023")</f>
        <v/>
      </c>
    </row>
    <row r="335" ht="15" customHeight="1">
      <c r="A335" t="inlineStr">
        <is>
          <t>A 30490-2026</t>
        </is>
      </c>
      <c r="B335" t="inlineStr">
        <is>
          <t>avverkningsanmälan</t>
        </is>
      </c>
      <c r="C335" t="inlineStr">
        <is>
          <t>Föryngringsavverkning</t>
        </is>
      </c>
      <c r="D335" s="1" t="n">
        <v>46210</v>
      </c>
      <c r="E335" s="1" t="n">
        <v>46326</v>
      </c>
      <c r="F335" t="inlineStr">
        <is>
          <t>GÄVLEBORGS LÄN</t>
        </is>
      </c>
      <c r="G335" t="inlineStr">
        <is>
          <t>NORDANSTIG</t>
        </is>
      </c>
      <c r="I335" t="n">
        <v>2.9</v>
      </c>
      <c r="J335" t="n">
        <v>0</v>
      </c>
      <c r="K335" t="n">
        <v>3</v>
      </c>
      <c r="L335" t="n">
        <v>1</v>
      </c>
      <c r="M335" t="n">
        <v>0</v>
      </c>
      <c r="N335" t="n">
        <v>0</v>
      </c>
      <c r="O335" t="n">
        <v>0</v>
      </c>
      <c r="P335" t="n">
        <v>0</v>
      </c>
      <c r="Q335" t="n">
        <v>1</v>
      </c>
      <c r="R335" t="n">
        <v>0</v>
      </c>
      <c r="S335" t="n">
        <v>4</v>
      </c>
      <c r="T335" t="n">
        <v>7</v>
      </c>
      <c r="U335" t="n">
        <v>0</v>
      </c>
      <c r="V335" s="2" t="inlineStr">
        <is>
          <t>Lunglav
Korallblylav
Luddlav
Ögonpyrola</t>
        </is>
      </c>
      <c r="W335">
        <f>HYPERLINK("https://klasma.github.io/Logging_2132/artfynd/A 30490-2026 artfynd.xlsx", "A 30490-2026")</f>
        <v/>
      </c>
      <c r="X335">
        <f>HYPERLINK("https://klasma.github.io/Logging_2132/kartor/A 30490-2026 karta.png", "A 30490-2026")</f>
        <v/>
      </c>
      <c r="Y335">
        <f>HYPERLINK("https://klasma.github.io/Logging_2132/kartor_geotiff/A 30490-2026 georefererad karta.tif", "A 30490-2026")</f>
        <v/>
      </c>
      <c r="AA335">
        <f>HYPERLINK("https://klasma.github.io/Logging_2132/klagomål/A 30490-2026 FSC-klagomål.docx", "A 30490-2026")</f>
        <v/>
      </c>
      <c r="AB335">
        <f>HYPERLINK("https://klasma.github.io/Logging_2132/klagomålsmail/A 30490-2026 FSC-klagomål mail.docx", "A 30490-2026")</f>
        <v/>
      </c>
      <c r="AC335">
        <f>HYPERLINK("https://klasma.github.io/Logging_2132/tillsyn/A 30490-2026 tillsynsbegäran.docx", "A 30490-2026")</f>
        <v/>
      </c>
      <c r="AD335">
        <f>HYPERLINK("https://klasma.github.io/Logging_2132/tillsynsmail/A 30490-2026 tillsynsbegäran mail.docx", "A 30490-2026")</f>
        <v/>
      </c>
    </row>
    <row r="336" ht="15" customHeight="1">
      <c r="A336" t="inlineStr">
        <is>
          <t>A 64567-2023</t>
        </is>
      </c>
      <c r="B336" t="inlineStr">
        <is>
          <t>avverkningsanmälan</t>
        </is>
      </c>
      <c r="C336" t="inlineStr">
        <is>
          <t>Föryngringsavverkning</t>
        </is>
      </c>
      <c r="D336" s="1" t="n">
        <v>45281</v>
      </c>
      <c r="E336" s="1" t="n">
        <v>46326</v>
      </c>
      <c r="F336" t="inlineStr">
        <is>
          <t>GÄVLEBORGS LÄN</t>
        </is>
      </c>
      <c r="G336" t="inlineStr">
        <is>
          <t>GÄVLE</t>
        </is>
      </c>
      <c r="I336" t="n">
        <v>2.6</v>
      </c>
      <c r="J336" t="n">
        <v>0</v>
      </c>
      <c r="K336" t="n">
        <v>2</v>
      </c>
      <c r="L336" t="n">
        <v>0</v>
      </c>
      <c r="M336" t="n">
        <v>1</v>
      </c>
      <c r="N336" t="n">
        <v>1</v>
      </c>
      <c r="O336" t="n">
        <v>0</v>
      </c>
      <c r="P336" t="n">
        <v>0</v>
      </c>
      <c r="Q336" t="n">
        <v>2</v>
      </c>
      <c r="R336" t="n">
        <v>2</v>
      </c>
      <c r="S336" t="n">
        <v>4</v>
      </c>
      <c r="T336" t="n">
        <v>4</v>
      </c>
      <c r="U336" t="n">
        <v>1</v>
      </c>
      <c r="V336" s="2" t="inlineStr">
        <is>
          <t>Ask
Brunfläckig pärlemorfjäril
Jättesvampmal
Strimspindling</t>
        </is>
      </c>
      <c r="W336">
        <f>HYPERLINK("https://klasma.github.io/Logging_2180/artfynd/A 64567-2023 artfynd.xlsx", "A 64567-2023")</f>
        <v/>
      </c>
      <c r="X336">
        <f>HYPERLINK("https://klasma.github.io/Logging_2180/kartor/A 64567-2023 karta.png", "A 64567-2023")</f>
        <v/>
      </c>
      <c r="Y336">
        <f>HYPERLINK("https://klasma.github.io/Logging_2180/kartor_geotiff/A 64567-2023 georefererad karta.tif", "A 64567-2023")</f>
        <v/>
      </c>
      <c r="AA336">
        <f>HYPERLINK("https://klasma.github.io/Logging_2180/klagomål/A 64567-2023 FSC-klagomål.docx", "A 64567-2023")</f>
        <v/>
      </c>
      <c r="AB336">
        <f>HYPERLINK("https://klasma.github.io/Logging_2180/klagomålsmail/A 64567-2023 FSC-klagomål mail.docx", "A 64567-2023")</f>
        <v/>
      </c>
      <c r="AC336">
        <f>HYPERLINK("https://klasma.github.io/Logging_2180/tillsyn/A 64567-2023 tillsynsbegäran.docx", "A 64567-2023")</f>
        <v/>
      </c>
      <c r="AD336">
        <f>HYPERLINK("https://klasma.github.io/Logging_2180/tillsynsmail/A 64567-2023 tillsynsbegäran mail.docx", "A 64567-2023")</f>
        <v/>
      </c>
    </row>
    <row r="337" ht="15" customHeight="1">
      <c r="A337" t="inlineStr">
        <is>
          <t>A 15650-2024</t>
        </is>
      </c>
      <c r="B337" t="inlineStr">
        <is>
          <t>avverkningsanmälan</t>
        </is>
      </c>
      <c r="C337" t="inlineStr">
        <is>
          <t>Föryngringsavverkning</t>
        </is>
      </c>
      <c r="D337" s="1" t="n">
        <v>45404</v>
      </c>
      <c r="E337" s="1" t="n">
        <v>46326</v>
      </c>
      <c r="F337" t="inlineStr">
        <is>
          <t>GÄVLEBORGS LÄN</t>
        </is>
      </c>
      <c r="G337" t="inlineStr">
        <is>
          <t>SANDVIKEN</t>
        </is>
      </c>
      <c r="H337" t="inlineStr">
        <is>
          <t>Bergvik skog öst AB</t>
        </is>
      </c>
      <c r="I337" t="n">
        <v>9.300000000000001</v>
      </c>
      <c r="J337" t="n">
        <v>1</v>
      </c>
      <c r="K337" t="n">
        <v>1</v>
      </c>
      <c r="L337" t="n">
        <v>2</v>
      </c>
      <c r="M337" t="n">
        <v>1</v>
      </c>
      <c r="N337" t="n">
        <v>0</v>
      </c>
      <c r="O337" t="n">
        <v>0</v>
      </c>
      <c r="P337" t="n">
        <v>0</v>
      </c>
      <c r="Q337" t="n">
        <v>3</v>
      </c>
      <c r="R337" t="n">
        <v>1</v>
      </c>
      <c r="S337" t="n">
        <v>4</v>
      </c>
      <c r="T337" t="n">
        <v>20</v>
      </c>
      <c r="U337" t="n">
        <v>20</v>
      </c>
      <c r="V337" s="2" t="inlineStr">
        <is>
          <t>Knärot
Dropptaggsvamp
Fjällig taggsvamp s.str.
Grönpyrola</t>
        </is>
      </c>
      <c r="W337">
        <f>HYPERLINK("https://klasma.github.io/Logging_2181/artfynd/A 15650-2024 artfynd.xlsx", "A 15650-2024")</f>
        <v/>
      </c>
      <c r="X337">
        <f>HYPERLINK("https://klasma.github.io/Logging_2181/kartor/A 15650-2024 karta.png", "A 15650-2024")</f>
        <v/>
      </c>
      <c r="Y337">
        <f>HYPERLINK("https://klasma.github.io/Logging_2181/kartor_geotiff/A 15650-2024 georefererad karta.tif", "A 15650-2024")</f>
        <v/>
      </c>
      <c r="Z337">
        <f>HYPERLINK("https://klasma.github.io/Logging_2181/knärot/A 15650-2024 karta knärot.png", "A 15650-2024")</f>
        <v/>
      </c>
      <c r="AA337">
        <f>HYPERLINK("https://klasma.github.io/Logging_2181/klagomål/A 15650-2024 FSC-klagomål.docx", "A 15650-2024")</f>
        <v/>
      </c>
      <c r="AB337">
        <f>HYPERLINK("https://klasma.github.io/Logging_2181/klagomålsmail/A 15650-2024 FSC-klagomål mail.docx", "A 15650-2024")</f>
        <v/>
      </c>
      <c r="AC337">
        <f>HYPERLINK("https://klasma.github.io/Logging_2181/tillsyn/A 15650-2024 tillsynsbegäran.docx", "A 15650-2024")</f>
        <v/>
      </c>
      <c r="AD337">
        <f>HYPERLINK("https://klasma.github.io/Logging_2181/tillsynsmail/A 15650-2024 tillsynsbegäran mail.docx", "A 15650-2024")</f>
        <v/>
      </c>
    </row>
    <row r="338" ht="15" customHeight="1">
      <c r="A338" t="inlineStr">
        <is>
          <t>A 60449-2022</t>
        </is>
      </c>
      <c r="B338" t="inlineStr">
        <is>
          <t>avverkningsanmälan</t>
        </is>
      </c>
      <c r="C338" t="inlineStr">
        <is>
          <t>Avverkning för att bevara och utveckla /försöksver</t>
        </is>
      </c>
      <c r="D338" s="1" t="n">
        <v>44911</v>
      </c>
      <c r="E338" s="1" t="n">
        <v>46326</v>
      </c>
      <c r="F338" t="inlineStr">
        <is>
          <t>GÄVLEBORGS LÄN</t>
        </is>
      </c>
      <c r="G338" t="inlineStr">
        <is>
          <t>OVANÅKER</t>
        </is>
      </c>
      <c r="H338" t="inlineStr">
        <is>
          <t>Sveaskog</t>
        </is>
      </c>
      <c r="I338" t="n">
        <v>2.7</v>
      </c>
      <c r="J338" t="n">
        <v>2</v>
      </c>
      <c r="K338" t="n">
        <v>0</v>
      </c>
      <c r="L338" t="n">
        <v>2</v>
      </c>
      <c r="M338" t="n">
        <v>0</v>
      </c>
      <c r="N338" t="n">
        <v>0</v>
      </c>
      <c r="O338" t="n">
        <v>0</v>
      </c>
      <c r="P338" t="n">
        <v>0</v>
      </c>
      <c r="Q338" t="n">
        <v>2</v>
      </c>
      <c r="R338" t="n">
        <v>0</v>
      </c>
      <c r="S338" t="n">
        <v>4</v>
      </c>
      <c r="T338" t="n">
        <v>5</v>
      </c>
      <c r="U338" t="n">
        <v>5</v>
      </c>
      <c r="V338" s="2" t="inlineStr">
        <is>
          <t>Dropptaggsvamp
Rosenticka
Fläcknycklar
Nattviol</t>
        </is>
      </c>
      <c r="W338">
        <f>HYPERLINK("https://klasma.github.io/Logging_2121/artfynd/A 60449-2022 artfynd.xlsx", "A 60449-2022")</f>
        <v/>
      </c>
      <c r="X338">
        <f>HYPERLINK("https://klasma.github.io/Logging_2121/kartor/A 60449-2022 karta.png", "A 60449-2022")</f>
        <v/>
      </c>
      <c r="Y338">
        <f>HYPERLINK("https://klasma.github.io/Logging_2121/kartor_geotiff/A 60449-2022 georefererad karta.tif", "A 60449-2022")</f>
        <v/>
      </c>
      <c r="AA338">
        <f>HYPERLINK("https://klasma.github.io/Logging_2121/klagomål/A 60449-2022 FSC-klagomål.docx", "A 60449-2022")</f>
        <v/>
      </c>
      <c r="AB338">
        <f>HYPERLINK("https://klasma.github.io/Logging_2121/klagomålsmail/A 60449-2022 FSC-klagomål mail.docx", "A 60449-2022")</f>
        <v/>
      </c>
      <c r="AC338">
        <f>HYPERLINK("https://klasma.github.io/Logging_2121/tillsyn/A 60449-2022 tillsynsbegäran.docx", "A 60449-2022")</f>
        <v/>
      </c>
      <c r="AD338">
        <f>HYPERLINK("https://klasma.github.io/Logging_2121/tillsynsmail/A 60449-2022 tillsynsbegäran mail.docx", "A 60449-2022")</f>
        <v/>
      </c>
    </row>
    <row r="339" ht="15" customHeight="1">
      <c r="A339" t="inlineStr">
        <is>
          <t>A 28422-2024</t>
        </is>
      </c>
      <c r="B339" t="inlineStr">
        <is>
          <t>avverkningsanmälan</t>
        </is>
      </c>
      <c r="C339" t="inlineStr">
        <is>
          <t>Föryngringsavverkning</t>
        </is>
      </c>
      <c r="D339" s="1" t="n">
        <v>45477</v>
      </c>
      <c r="E339" s="1" t="n">
        <v>46326</v>
      </c>
      <c r="F339" t="inlineStr">
        <is>
          <t>GÄVLEBORGS LÄN</t>
        </is>
      </c>
      <c r="G339" t="inlineStr">
        <is>
          <t>LJUSDAL</t>
        </is>
      </c>
      <c r="H339" t="inlineStr">
        <is>
          <t>Allmännings- och besparingsskogar</t>
        </is>
      </c>
      <c r="I339" t="n">
        <v>11.9</v>
      </c>
      <c r="J339" t="n">
        <v>0</v>
      </c>
      <c r="K339" t="n">
        <v>1</v>
      </c>
      <c r="L339" t="n">
        <v>2</v>
      </c>
      <c r="M339" t="n">
        <v>1</v>
      </c>
      <c r="N339" t="n">
        <v>0</v>
      </c>
      <c r="O339" t="n">
        <v>0</v>
      </c>
      <c r="P339" t="n">
        <v>0</v>
      </c>
      <c r="Q339" t="n">
        <v>3</v>
      </c>
      <c r="R339" t="n">
        <v>1</v>
      </c>
      <c r="S339" t="n">
        <v>4</v>
      </c>
      <c r="T339" t="n">
        <v>9</v>
      </c>
      <c r="U339" t="n">
        <v>9</v>
      </c>
      <c r="V339" s="2" t="inlineStr">
        <is>
          <t>Garnlav
Lunglav
Mörk kolflarnlav
Skinnlav</t>
        </is>
      </c>
      <c r="W339">
        <f>HYPERLINK("https://klasma.github.io/Logging_2161/artfynd/A 28422-2024 artfynd.xlsx", "A 28422-2024")</f>
        <v/>
      </c>
      <c r="X339">
        <f>HYPERLINK("https://klasma.github.io/Logging_2161/kartor/A 28422-2024 karta.png", "A 28422-2024")</f>
        <v/>
      </c>
      <c r="Y339">
        <f>HYPERLINK("https://klasma.github.io/Logging_2161/kartor_geotiff/A 28422-2024 georefererad karta.tif", "A 28422-2024")</f>
        <v/>
      </c>
      <c r="AA339">
        <f>HYPERLINK("https://klasma.github.io/Logging_2161/klagomål/A 28422-2024 FSC-klagomål.docx", "A 28422-2024")</f>
        <v/>
      </c>
      <c r="AB339">
        <f>HYPERLINK("https://klasma.github.io/Logging_2161/klagomålsmail/A 28422-2024 FSC-klagomål mail.docx", "A 28422-2024")</f>
        <v/>
      </c>
      <c r="AC339">
        <f>HYPERLINK("https://klasma.github.io/Logging_2161/tillsyn/A 28422-2024 tillsynsbegäran.docx", "A 28422-2024")</f>
        <v/>
      </c>
      <c r="AD339">
        <f>HYPERLINK("https://klasma.github.io/Logging_2161/tillsynsmail/A 28422-2024 tillsynsbegäran mail.docx", "A 28422-2024")</f>
        <v/>
      </c>
    </row>
    <row r="340" ht="15" customHeight="1">
      <c r="A340" t="inlineStr">
        <is>
          <t>A 39990-2026</t>
        </is>
      </c>
      <c r="B340" t="inlineStr">
        <is>
          <t>avverkningsanmälan</t>
        </is>
      </c>
      <c r="C340" t="inlineStr">
        <is>
          <t>Föryngringsavverkning</t>
        </is>
      </c>
      <c r="D340" s="1" t="n">
        <v>46293</v>
      </c>
      <c r="E340" s="1" t="n">
        <v>46326</v>
      </c>
      <c r="F340" t="inlineStr">
        <is>
          <t>GÄVLEBORGS LÄN</t>
        </is>
      </c>
      <c r="G340" t="inlineStr">
        <is>
          <t>LJUSDAL</t>
        </is>
      </c>
      <c r="H340" t="inlineStr">
        <is>
          <t>Allmännings- och besparingsskogar</t>
        </is>
      </c>
      <c r="I340" t="n">
        <v>4</v>
      </c>
      <c r="J340" t="n">
        <v>2</v>
      </c>
      <c r="K340" t="n">
        <v>0</v>
      </c>
      <c r="L340" t="n">
        <v>3</v>
      </c>
      <c r="M340" t="n">
        <v>1</v>
      </c>
      <c r="N340" t="n">
        <v>0</v>
      </c>
      <c r="O340" t="n">
        <v>0</v>
      </c>
      <c r="P340" t="n">
        <v>0</v>
      </c>
      <c r="Q340" t="n">
        <v>4</v>
      </c>
      <c r="R340" t="n">
        <v>1</v>
      </c>
      <c r="S340" t="n">
        <v>4</v>
      </c>
      <c r="T340" t="n">
        <v>9</v>
      </c>
      <c r="U340" t="n">
        <v>9</v>
      </c>
      <c r="V340" s="2" t="inlineStr">
        <is>
          <t>Garnlav
Kolflarnlav
Talltita
Tretåig hackspett</t>
        </is>
      </c>
      <c r="W340">
        <f>HYPERLINK("https://klasma.github.io/Logging_2161/artfynd/A 39990-2026 artfynd.xlsx", "A 39990-2026")</f>
        <v/>
      </c>
      <c r="X340">
        <f>HYPERLINK("https://klasma.github.io/Logging_2161/kartor/A 39990-2026 karta.png", "A 39990-2026")</f>
        <v/>
      </c>
      <c r="Y340">
        <f>HYPERLINK("https://klasma.github.io/Logging_2161/kartor_geotiff/A 39990-2026 georefererad karta.tif", "A 39990-2026")</f>
        <v/>
      </c>
      <c r="AA340">
        <f>HYPERLINK("https://klasma.github.io/Logging_2161/klagomål/A 39990-2026 FSC-klagomål.docx", "A 39990-2026")</f>
        <v/>
      </c>
      <c r="AB340">
        <f>HYPERLINK("https://klasma.github.io/Logging_2161/klagomålsmail/A 39990-2026 FSC-klagomål mail.docx", "A 39990-2026")</f>
        <v/>
      </c>
      <c r="AC340">
        <f>HYPERLINK("https://klasma.github.io/Logging_2161/tillsyn/A 39990-2026 tillsynsbegäran.docx", "A 39990-2026")</f>
        <v/>
      </c>
      <c r="AD340">
        <f>HYPERLINK("https://klasma.github.io/Logging_2161/tillsynsmail/A 39990-2026 tillsynsbegäran mail.docx", "A 39990-2026")</f>
        <v/>
      </c>
      <c r="AE340">
        <f>HYPERLINK("https://klasma.github.io/Logging_2161/fåglar/A 39990-2026 prioriterade fågelarter.docx", "A 39990-2026")</f>
        <v/>
      </c>
    </row>
    <row r="341" ht="15" customHeight="1">
      <c r="A341" t="inlineStr">
        <is>
          <t>A 20006-2026</t>
        </is>
      </c>
      <c r="B341" t="inlineStr">
        <is>
          <t>avverkningsanmälan</t>
        </is>
      </c>
      <c r="C341" t="inlineStr">
        <is>
          <t>Föryngringsavverkning</t>
        </is>
      </c>
      <c r="D341" s="1" t="n">
        <v>46136</v>
      </c>
      <c r="E341" s="1" t="n">
        <v>46326</v>
      </c>
      <c r="F341" t="inlineStr">
        <is>
          <t>GÄVLEBORGS LÄN</t>
        </is>
      </c>
      <c r="G341" t="inlineStr">
        <is>
          <t>GÄVLE</t>
        </is>
      </c>
      <c r="I341" t="n">
        <v>1.2</v>
      </c>
      <c r="J341" t="n">
        <v>0</v>
      </c>
      <c r="K341" t="n">
        <v>2</v>
      </c>
      <c r="L341" t="n">
        <v>1</v>
      </c>
      <c r="M341" t="n">
        <v>0</v>
      </c>
      <c r="N341" t="n">
        <v>1</v>
      </c>
      <c r="O341" t="n">
        <v>0</v>
      </c>
      <c r="P341" t="n">
        <v>0</v>
      </c>
      <c r="Q341" t="n">
        <v>2</v>
      </c>
      <c r="R341" t="n">
        <v>1</v>
      </c>
      <c r="S341" t="n">
        <v>4</v>
      </c>
      <c r="T341" t="n">
        <v>5</v>
      </c>
      <c r="U341" t="n">
        <v>0</v>
      </c>
      <c r="V341" s="2" t="inlineStr">
        <is>
          <t>Ask
Sårläka
Myskmadra
Mörk husmossa</t>
        </is>
      </c>
      <c r="W341">
        <f>HYPERLINK("https://klasma.github.io/Logging_2180/artfynd/A 20006-2026 artfynd.xlsx", "A 20006-2026")</f>
        <v/>
      </c>
      <c r="X341">
        <f>HYPERLINK("https://klasma.github.io/Logging_2180/kartor/A 20006-2026 karta.png", "A 20006-2026")</f>
        <v/>
      </c>
      <c r="Y341">
        <f>HYPERLINK("https://klasma.github.io/Logging_2180/kartor_geotiff/A 20006-2026 georefererad karta.tif", "A 20006-2026")</f>
        <v/>
      </c>
      <c r="AA341">
        <f>HYPERLINK("https://klasma.github.io/Logging_2180/klagomål/A 20006-2026 FSC-klagomål.docx", "A 20006-2026")</f>
        <v/>
      </c>
      <c r="AB341">
        <f>HYPERLINK("https://klasma.github.io/Logging_2180/klagomålsmail/A 20006-2026 FSC-klagomål mail.docx", "A 20006-2026")</f>
        <v/>
      </c>
      <c r="AC341">
        <f>HYPERLINK("https://klasma.github.io/Logging_2180/tillsyn/A 20006-2026 tillsynsbegäran.docx", "A 20006-2026")</f>
        <v/>
      </c>
      <c r="AD341">
        <f>HYPERLINK("https://klasma.github.io/Logging_2180/tillsynsmail/A 20006-2026 tillsynsbegäran mail.docx", "A 20006-2026")</f>
        <v/>
      </c>
    </row>
    <row r="342" ht="15" customHeight="1">
      <c r="A342" t="inlineStr">
        <is>
          <t>A 24904-2026</t>
        </is>
      </c>
      <c r="B342" t="inlineStr">
        <is>
          <t>avverkningsanmälan</t>
        </is>
      </c>
      <c r="C342" t="inlineStr">
        <is>
          <t>Föryngringsavverkning</t>
        </is>
      </c>
      <c r="D342" s="1" t="n">
        <v>46174</v>
      </c>
      <c r="E342" s="1" t="n">
        <v>46326</v>
      </c>
      <c r="F342" t="inlineStr">
        <is>
          <t>GÄVLEBORGS LÄN</t>
        </is>
      </c>
      <c r="G342" t="inlineStr">
        <is>
          <t>GÄVLE</t>
        </is>
      </c>
      <c r="H342" t="inlineStr">
        <is>
          <t>Bergvik skog öst AB</t>
        </is>
      </c>
      <c r="I342" t="n">
        <v>2</v>
      </c>
      <c r="J342" t="n">
        <v>3</v>
      </c>
      <c r="K342" t="n">
        <v>0</v>
      </c>
      <c r="L342" t="n">
        <v>2</v>
      </c>
      <c r="M342" t="n">
        <v>1</v>
      </c>
      <c r="N342" t="n">
        <v>0</v>
      </c>
      <c r="O342" t="n">
        <v>0</v>
      </c>
      <c r="P342" t="n">
        <v>0</v>
      </c>
      <c r="Q342" t="n">
        <v>3</v>
      </c>
      <c r="R342" t="n">
        <v>1</v>
      </c>
      <c r="S342" t="n">
        <v>4</v>
      </c>
      <c r="T342" t="n">
        <v>6</v>
      </c>
      <c r="U342" t="n">
        <v>0</v>
      </c>
      <c r="V342" s="2" t="inlineStr">
        <is>
          <t>Topplåsbräken
Höstlåsbräken
Månlåsbräken
Mattlummer</t>
        </is>
      </c>
      <c r="W342">
        <f>HYPERLINK("https://klasma.github.io/Logging_2180/artfynd/A 24904-2026 artfynd.xlsx", "A 24904-2026")</f>
        <v/>
      </c>
      <c r="X342">
        <f>HYPERLINK("https://klasma.github.io/Logging_2180/kartor/A 24904-2026 karta.png", "A 24904-2026")</f>
        <v/>
      </c>
      <c r="Y342">
        <f>HYPERLINK("https://klasma.github.io/Logging_2180/kartor_geotiff/A 24904-2026 georefererad karta.tif", "A 24904-2026")</f>
        <v/>
      </c>
      <c r="AA342">
        <f>HYPERLINK("https://klasma.github.io/Logging_2180/klagomål/A 24904-2026 FSC-klagomål.docx", "A 24904-2026")</f>
        <v/>
      </c>
      <c r="AB342">
        <f>HYPERLINK("https://klasma.github.io/Logging_2180/klagomålsmail/A 24904-2026 FSC-klagomål mail.docx", "A 24904-2026")</f>
        <v/>
      </c>
      <c r="AC342">
        <f>HYPERLINK("https://klasma.github.io/Logging_2180/tillsyn/A 24904-2026 tillsynsbegäran.docx", "A 24904-2026")</f>
        <v/>
      </c>
      <c r="AD342">
        <f>HYPERLINK("https://klasma.github.io/Logging_2180/tillsynsmail/A 24904-2026 tillsynsbegäran mail.docx", "A 24904-2026")</f>
        <v/>
      </c>
    </row>
    <row r="343" ht="15" customHeight="1">
      <c r="A343" t="inlineStr">
        <is>
          <t>A 40120-2025</t>
        </is>
      </c>
      <c r="B343" t="inlineStr">
        <is>
          <t>avverkningsanmälan</t>
        </is>
      </c>
      <c r="C343" t="inlineStr">
        <is>
          <t>Föryngringsavverkning</t>
        </is>
      </c>
      <c r="D343" s="1" t="n">
        <v>45894</v>
      </c>
      <c r="E343" s="1" t="n">
        <v>46326</v>
      </c>
      <c r="F343" t="inlineStr">
        <is>
          <t>GÄVLEBORGS LÄN</t>
        </is>
      </c>
      <c r="G343" t="inlineStr">
        <is>
          <t>HUDIKSVALL</t>
        </is>
      </c>
      <c r="I343" t="n">
        <v>3.6</v>
      </c>
      <c r="J343" t="n">
        <v>1</v>
      </c>
      <c r="K343" t="n">
        <v>0</v>
      </c>
      <c r="L343" t="n">
        <v>3</v>
      </c>
      <c r="M343" t="n">
        <v>1</v>
      </c>
      <c r="N343" t="n">
        <v>0</v>
      </c>
      <c r="O343" t="n">
        <v>0</v>
      </c>
      <c r="P343" t="n">
        <v>0</v>
      </c>
      <c r="Q343" t="n">
        <v>4</v>
      </c>
      <c r="R343" t="n">
        <v>1</v>
      </c>
      <c r="S343" t="n">
        <v>4</v>
      </c>
      <c r="T343" t="n">
        <v>5</v>
      </c>
      <c r="U343" t="n">
        <v>5</v>
      </c>
      <c r="V343" s="2" t="inlineStr">
        <is>
          <t>Knärot
Kattfotslav
Motaggsvamp
Rynkskinn</t>
        </is>
      </c>
      <c r="W343">
        <f>HYPERLINK("https://klasma.github.io/Logging_2184/artfynd/A 40120-2025 artfynd.xlsx", "A 40120-2025")</f>
        <v/>
      </c>
      <c r="X343">
        <f>HYPERLINK("https://klasma.github.io/Logging_2184/kartor/A 40120-2025 karta.png", "A 40120-2025")</f>
        <v/>
      </c>
      <c r="Y343">
        <f>HYPERLINK("https://klasma.github.io/Logging_2184/kartor_geotiff/A 40120-2025 georefererad karta.tif", "A 40120-2025")</f>
        <v/>
      </c>
      <c r="Z343">
        <f>HYPERLINK("https://klasma.github.io/Logging_2184/knärot/A 40120-2025 karta knärot.png", "A 40120-2025")</f>
        <v/>
      </c>
      <c r="AA343">
        <f>HYPERLINK("https://klasma.github.io/Logging_2184/klagomål/A 40120-2025 FSC-klagomål.docx", "A 40120-2025")</f>
        <v/>
      </c>
      <c r="AB343">
        <f>HYPERLINK("https://klasma.github.io/Logging_2184/klagomålsmail/A 40120-2025 FSC-klagomål mail.docx", "A 40120-2025")</f>
        <v/>
      </c>
      <c r="AC343">
        <f>HYPERLINK("https://klasma.github.io/Logging_2184/tillsyn/A 40120-2025 tillsynsbegäran.docx", "A 40120-2025")</f>
        <v/>
      </c>
      <c r="AD343">
        <f>HYPERLINK("https://klasma.github.io/Logging_2184/tillsynsmail/A 40120-2025 tillsynsbegäran mail.docx", "A 40120-2025")</f>
        <v/>
      </c>
    </row>
    <row r="344" ht="15" customHeight="1">
      <c r="A344" t="inlineStr">
        <is>
          <t>A 41898-2026</t>
        </is>
      </c>
      <c r="B344" t="inlineStr">
        <is>
          <t>avverkningsanmälan</t>
        </is>
      </c>
      <c r="C344" t="inlineStr">
        <is>
          <t>Föryngringsavverkning</t>
        </is>
      </c>
      <c r="D344" s="1" t="n">
        <v>46303</v>
      </c>
      <c r="E344" s="1" t="n">
        <v>46326</v>
      </c>
      <c r="F344" t="inlineStr">
        <is>
          <t>GÄVLEBORGS LÄN</t>
        </is>
      </c>
      <c r="G344" t="inlineStr">
        <is>
          <t>LJUSDAL</t>
        </is>
      </c>
      <c r="H344" t="inlineStr">
        <is>
          <t>Allmännings- och besparingsskogar</t>
        </is>
      </c>
      <c r="I344" t="n">
        <v>2.1</v>
      </c>
      <c r="J344" t="n">
        <v>2</v>
      </c>
      <c r="K344" t="n">
        <v>0</v>
      </c>
      <c r="L344" t="n">
        <v>3</v>
      </c>
      <c r="M344" t="n">
        <v>0</v>
      </c>
      <c r="N344" t="n">
        <v>0</v>
      </c>
      <c r="O344" t="n">
        <v>0</v>
      </c>
      <c r="P344" t="n">
        <v>0</v>
      </c>
      <c r="Q344" t="n">
        <v>3</v>
      </c>
      <c r="R344" t="n">
        <v>0</v>
      </c>
      <c r="S344" t="n">
        <v>4</v>
      </c>
      <c r="T344" t="n">
        <v>14</v>
      </c>
      <c r="U344" t="n">
        <v>14</v>
      </c>
      <c r="V344" s="2" t="inlineStr">
        <is>
          <t>Lunglav
Skrovellav
Talltita
Tjäder</t>
        </is>
      </c>
      <c r="W344">
        <f>HYPERLINK("https://klasma.github.io/Logging_2161/artfynd/A 41898-2026 artfynd.xlsx", "A 41898-2026")</f>
        <v/>
      </c>
      <c r="X344">
        <f>HYPERLINK("https://klasma.github.io/Logging_2161/kartor/A 41898-2026 karta.png", "A 41898-2026")</f>
        <v/>
      </c>
      <c r="Y344">
        <f>HYPERLINK("https://klasma.github.io/Logging_2161/kartor_geotiff/A 41898-2026 georefererad karta.tif", "A 41898-2026")</f>
        <v/>
      </c>
      <c r="AA344">
        <f>HYPERLINK("https://klasma.github.io/Logging_2161/klagomål/A 41898-2026 FSC-klagomål.docx", "A 41898-2026")</f>
        <v/>
      </c>
      <c r="AB344">
        <f>HYPERLINK("https://klasma.github.io/Logging_2161/klagomålsmail/A 41898-2026 FSC-klagomål mail.docx", "A 41898-2026")</f>
        <v/>
      </c>
      <c r="AC344">
        <f>HYPERLINK("https://klasma.github.io/Logging_2161/tillsyn/A 41898-2026 tillsynsbegäran.docx", "A 41898-2026")</f>
        <v/>
      </c>
      <c r="AD344">
        <f>HYPERLINK("https://klasma.github.io/Logging_2161/tillsynsmail/A 41898-2026 tillsynsbegäran mail.docx", "A 41898-2026")</f>
        <v/>
      </c>
      <c r="AE344">
        <f>HYPERLINK("https://klasma.github.io/Logging_2161/fåglar/A 41898-2026 prioriterade fågelarter.docx", "A 41898-2026")</f>
        <v/>
      </c>
    </row>
    <row r="345" ht="15" customHeight="1">
      <c r="A345" t="inlineStr">
        <is>
          <t>A 36150-2025</t>
        </is>
      </c>
      <c r="B345" t="inlineStr">
        <is>
          <t>avverkningsanmälan</t>
        </is>
      </c>
      <c r="C345" t="inlineStr">
        <is>
          <t>Föryngringsavverkning</t>
        </is>
      </c>
      <c r="D345" s="1" t="n">
        <v>45867</v>
      </c>
      <c r="E345" s="1" t="n">
        <v>46326</v>
      </c>
      <c r="F345" t="inlineStr">
        <is>
          <t>GÄVLEBORGS LÄN</t>
        </is>
      </c>
      <c r="G345" t="inlineStr">
        <is>
          <t>LJUSDAL</t>
        </is>
      </c>
      <c r="H345" t="inlineStr">
        <is>
          <t>Bergvik skog väst AB</t>
        </is>
      </c>
      <c r="I345" t="n">
        <v>6.5</v>
      </c>
      <c r="J345" t="n">
        <v>1</v>
      </c>
      <c r="K345" t="n">
        <v>0</v>
      </c>
      <c r="L345" t="n">
        <v>3</v>
      </c>
      <c r="M345" t="n">
        <v>1</v>
      </c>
      <c r="N345" t="n">
        <v>0</v>
      </c>
      <c r="O345" t="n">
        <v>0</v>
      </c>
      <c r="P345" t="n">
        <v>0</v>
      </c>
      <c r="Q345" t="n">
        <v>4</v>
      </c>
      <c r="R345" t="n">
        <v>1</v>
      </c>
      <c r="S345" t="n">
        <v>4</v>
      </c>
      <c r="T345" t="n">
        <v>7</v>
      </c>
      <c r="U345" t="n">
        <v>7</v>
      </c>
      <c r="V345" s="2" t="inlineStr">
        <is>
          <t>Garnlav
Lunglav
Skrovellav
Tretåig hackspett</t>
        </is>
      </c>
      <c r="W345">
        <f>HYPERLINK("https://klasma.github.io/Logging_2161/artfynd/A 36150-2025 artfynd.xlsx", "A 36150-2025")</f>
        <v/>
      </c>
      <c r="X345">
        <f>HYPERLINK("https://klasma.github.io/Logging_2161/kartor/A 36150-2025 karta.png", "A 36150-2025")</f>
        <v/>
      </c>
      <c r="Y345">
        <f>HYPERLINK("https://klasma.github.io/Logging_2161/kartor_geotiff/A 36150-2025 georefererad karta.tif", "A 36150-2025")</f>
        <v/>
      </c>
      <c r="AA345">
        <f>HYPERLINK("https://klasma.github.io/Logging_2161/klagomål/A 36150-2025 FSC-klagomål.docx", "A 36150-2025")</f>
        <v/>
      </c>
      <c r="AB345">
        <f>HYPERLINK("https://klasma.github.io/Logging_2161/klagomålsmail/A 36150-2025 FSC-klagomål mail.docx", "A 36150-2025")</f>
        <v/>
      </c>
      <c r="AC345">
        <f>HYPERLINK("https://klasma.github.io/Logging_2161/tillsyn/A 36150-2025 tillsynsbegäran.docx", "A 36150-2025")</f>
        <v/>
      </c>
      <c r="AD345">
        <f>HYPERLINK("https://klasma.github.io/Logging_2161/tillsynsmail/A 36150-2025 tillsynsbegäran mail.docx", "A 36150-2025")</f>
        <v/>
      </c>
      <c r="AE345">
        <f>HYPERLINK("https://klasma.github.io/Logging_2161/fåglar/A 36150-2025 prioriterade fågelarter.docx", "A 36150-2025")</f>
        <v/>
      </c>
    </row>
    <row r="346" ht="15" customHeight="1">
      <c r="A346" t="inlineStr">
        <is>
          <t>A 42114-2026</t>
        </is>
      </c>
      <c r="B346" t="inlineStr">
        <is>
          <t>avverkningsanmälan</t>
        </is>
      </c>
      <c r="C346" t="inlineStr">
        <is>
          <t>Föryngringsavverkning</t>
        </is>
      </c>
      <c r="D346" s="1" t="n">
        <v>46304</v>
      </c>
      <c r="E346" s="1" t="n">
        <v>46326</v>
      </c>
      <c r="F346" t="inlineStr">
        <is>
          <t>GÄVLEBORGS LÄN</t>
        </is>
      </c>
      <c r="G346" t="inlineStr">
        <is>
          <t>GÄVLE</t>
        </is>
      </c>
      <c r="H346" t="inlineStr">
        <is>
          <t>Bergvik skog öst AB</t>
        </is>
      </c>
      <c r="I346" t="n">
        <v>13</v>
      </c>
      <c r="J346" t="n">
        <v>1</v>
      </c>
      <c r="K346" t="n">
        <v>1</v>
      </c>
      <c r="L346" t="n">
        <v>1</v>
      </c>
      <c r="M346" t="n">
        <v>0</v>
      </c>
      <c r="N346" t="n">
        <v>1</v>
      </c>
      <c r="O346" t="n">
        <v>0</v>
      </c>
      <c r="P346" t="n">
        <v>0</v>
      </c>
      <c r="Q346" t="n">
        <v>2</v>
      </c>
      <c r="R346" t="n">
        <v>1</v>
      </c>
      <c r="S346" t="n">
        <v>4</v>
      </c>
      <c r="T346" t="n">
        <v>4</v>
      </c>
      <c r="U346" t="n">
        <v>0</v>
      </c>
      <c r="V346" s="2" t="inlineStr">
        <is>
          <t>Ask
Gullpudra
Svart trolldruva
Blåsippa</t>
        </is>
      </c>
      <c r="W346">
        <f>HYPERLINK("https://klasma.github.io/Logging_2180/artfynd/A 42114-2026 artfynd.xlsx", "A 42114-2026")</f>
        <v/>
      </c>
      <c r="X346">
        <f>HYPERLINK("https://klasma.github.io/Logging_2180/kartor/A 42114-2026 karta.png", "A 42114-2026")</f>
        <v/>
      </c>
      <c r="Y346">
        <f>HYPERLINK("https://klasma.github.io/Logging_2180/kartor_geotiff/A 42114-2026 georefererad karta.tif", "A 42114-2026")</f>
        <v/>
      </c>
      <c r="AA346">
        <f>HYPERLINK("https://klasma.github.io/Logging_2180/klagomål/A 42114-2026 FSC-klagomål.docx", "A 42114-2026")</f>
        <v/>
      </c>
      <c r="AB346">
        <f>HYPERLINK("https://klasma.github.io/Logging_2180/klagomålsmail/A 42114-2026 FSC-klagomål mail.docx", "A 42114-2026")</f>
        <v/>
      </c>
      <c r="AC346">
        <f>HYPERLINK("https://klasma.github.io/Logging_2180/tillsyn/A 42114-2026 tillsynsbegäran.docx", "A 42114-2026")</f>
        <v/>
      </c>
      <c r="AD346">
        <f>HYPERLINK("https://klasma.github.io/Logging_2180/tillsynsmail/A 42114-2026 tillsynsbegäran mail.docx", "A 42114-2026")</f>
        <v/>
      </c>
    </row>
    <row r="347" ht="15" customHeight="1">
      <c r="A347" t="inlineStr">
        <is>
          <t>A 18222-2026</t>
        </is>
      </c>
      <c r="B347" t="inlineStr">
        <is>
          <t>avverkningsanmälan</t>
        </is>
      </c>
      <c r="C347" t="inlineStr">
        <is>
          <t>Föryngringsavverkning</t>
        </is>
      </c>
      <c r="D347" s="1" t="n">
        <v>46126</v>
      </c>
      <c r="E347" s="1" t="n">
        <v>46326</v>
      </c>
      <c r="F347" t="inlineStr">
        <is>
          <t>GÄVLEBORGS LÄN</t>
        </is>
      </c>
      <c r="G347" t="inlineStr">
        <is>
          <t>HUDIKSVALL</t>
        </is>
      </c>
      <c r="I347" t="n">
        <v>3</v>
      </c>
      <c r="J347" t="n">
        <v>3</v>
      </c>
      <c r="K347" t="n">
        <v>0</v>
      </c>
      <c r="L347" t="n">
        <v>0</v>
      </c>
      <c r="M347" t="n">
        <v>1</v>
      </c>
      <c r="N347" t="n">
        <v>0</v>
      </c>
      <c r="O347" t="n">
        <v>0</v>
      </c>
      <c r="P347" t="n">
        <v>0</v>
      </c>
      <c r="Q347" t="n">
        <v>1</v>
      </c>
      <c r="R347" t="n">
        <v>1</v>
      </c>
      <c r="S347" t="n">
        <v>4</v>
      </c>
      <c r="T347" t="n">
        <v>6</v>
      </c>
      <c r="U347" t="n">
        <v>0</v>
      </c>
      <c r="V347" s="2" t="inlineStr">
        <is>
          <t>Ringlav
Mattlummer
Fläcknycklar
Revlummer</t>
        </is>
      </c>
      <c r="W347">
        <f>HYPERLINK("https://klasma.github.io/Logging_2184/artfynd/A 18222-2026 artfynd.xlsx", "A 18222-2026")</f>
        <v/>
      </c>
      <c r="X347">
        <f>HYPERLINK("https://klasma.github.io/Logging_2184/kartor/A 18222-2026 karta.png", "A 18222-2026")</f>
        <v/>
      </c>
      <c r="Y347">
        <f>HYPERLINK("https://klasma.github.io/Logging_2184/kartor_geotiff/A 18222-2026 georefererad karta.tif", "A 18222-2026")</f>
        <v/>
      </c>
      <c r="AA347">
        <f>HYPERLINK("https://klasma.github.io/Logging_2184/klagomål/A 18222-2026 FSC-klagomål.docx", "A 18222-2026")</f>
        <v/>
      </c>
      <c r="AB347">
        <f>HYPERLINK("https://klasma.github.io/Logging_2184/klagomålsmail/A 18222-2026 FSC-klagomål mail.docx", "A 18222-2026")</f>
        <v/>
      </c>
      <c r="AC347">
        <f>HYPERLINK("https://klasma.github.io/Logging_2184/tillsyn/A 18222-2026 tillsynsbegäran.docx", "A 18222-2026")</f>
        <v/>
      </c>
      <c r="AD347">
        <f>HYPERLINK("https://klasma.github.io/Logging_2184/tillsynsmail/A 18222-2026 tillsynsbegäran mail.docx", "A 18222-2026")</f>
        <v/>
      </c>
    </row>
    <row r="348" ht="15" customHeight="1">
      <c r="A348" t="inlineStr">
        <is>
          <t>A 9570-2025</t>
        </is>
      </c>
      <c r="B348" t="inlineStr">
        <is>
          <t>avverkningsanmälan</t>
        </is>
      </c>
      <c r="C348" t="inlineStr">
        <is>
          <t>Föryngringsavverkning</t>
        </is>
      </c>
      <c r="D348" s="1" t="n">
        <v>45715</v>
      </c>
      <c r="E348" s="1" t="n">
        <v>46326</v>
      </c>
      <c r="F348" t="inlineStr">
        <is>
          <t>GÄVLEBORGS LÄN</t>
        </is>
      </c>
      <c r="G348" t="inlineStr">
        <is>
          <t>GÄVLE</t>
        </is>
      </c>
      <c r="I348" t="n">
        <v>3.8</v>
      </c>
      <c r="J348" t="n">
        <v>2</v>
      </c>
      <c r="K348" t="n">
        <v>0</v>
      </c>
      <c r="L348" t="n">
        <v>3</v>
      </c>
      <c r="M348" t="n">
        <v>1</v>
      </c>
      <c r="N348" t="n">
        <v>0</v>
      </c>
      <c r="O348" t="n">
        <v>0</v>
      </c>
      <c r="P348" t="n">
        <v>0</v>
      </c>
      <c r="Q348" t="n">
        <v>4</v>
      </c>
      <c r="R348" t="n">
        <v>1</v>
      </c>
      <c r="S348" t="n">
        <v>4</v>
      </c>
      <c r="T348" t="n">
        <v>22</v>
      </c>
      <c r="U348" t="n">
        <v>22</v>
      </c>
      <c r="V348" s="2" t="inlineStr">
        <is>
          <t>Knärot
Lunglav
Tallticka
Tretåig hackspett</t>
        </is>
      </c>
      <c r="W348">
        <f>HYPERLINK("https://klasma.github.io/Logging_2180/artfynd/A 9570-2025 artfynd.xlsx", "A 9570-2025")</f>
        <v/>
      </c>
      <c r="X348">
        <f>HYPERLINK("https://klasma.github.io/Logging_2180/kartor/A 9570-2025 karta.png", "A 9570-2025")</f>
        <v/>
      </c>
      <c r="Y348">
        <f>HYPERLINK("https://klasma.github.io/Logging_2180/kartor_geotiff/A 9570-2025 georefererad karta.tif", "A 9570-2025")</f>
        <v/>
      </c>
      <c r="Z348">
        <f>HYPERLINK("https://klasma.github.io/Logging_2180/knärot/A 9570-2025 karta knärot.png", "A 9570-2025")</f>
        <v/>
      </c>
      <c r="AA348">
        <f>HYPERLINK("https://klasma.github.io/Logging_2180/klagomål/A 9570-2025 FSC-klagomål.docx", "A 9570-2025")</f>
        <v/>
      </c>
      <c r="AB348">
        <f>HYPERLINK("https://klasma.github.io/Logging_2180/klagomålsmail/A 9570-2025 FSC-klagomål mail.docx", "A 9570-2025")</f>
        <v/>
      </c>
      <c r="AC348">
        <f>HYPERLINK("https://klasma.github.io/Logging_2180/tillsyn/A 9570-2025 tillsynsbegäran.docx", "A 9570-2025")</f>
        <v/>
      </c>
      <c r="AD348">
        <f>HYPERLINK("https://klasma.github.io/Logging_2180/tillsynsmail/A 9570-2025 tillsynsbegäran mail.docx", "A 9570-2025")</f>
        <v/>
      </c>
      <c r="AE348">
        <f>HYPERLINK("https://klasma.github.io/Logging_2180/fåglar/A 9570-2025 prioriterade fågelarter.docx", "A 9570-2025")</f>
        <v/>
      </c>
    </row>
    <row r="349" ht="15" customHeight="1">
      <c r="A349" t="inlineStr">
        <is>
          <t>A 37183-2026</t>
        </is>
      </c>
      <c r="B349" t="inlineStr">
        <is>
          <t>avverkningsanmälan</t>
        </is>
      </c>
      <c r="C349" t="inlineStr">
        <is>
          <t>Föryngringsavverkning</t>
        </is>
      </c>
      <c r="D349" s="1" t="n">
        <v>46274</v>
      </c>
      <c r="E349" s="1" t="n">
        <v>46326</v>
      </c>
      <c r="F349" t="inlineStr">
        <is>
          <t>GÄVLEBORGS LÄN</t>
        </is>
      </c>
      <c r="G349" t="inlineStr">
        <is>
          <t>LJUSDAL</t>
        </is>
      </c>
      <c r="H349" t="inlineStr">
        <is>
          <t>Sveaskog</t>
        </is>
      </c>
      <c r="I349" t="n">
        <v>9.199999999999999</v>
      </c>
      <c r="J349" t="n">
        <v>0</v>
      </c>
      <c r="K349" t="n">
        <v>0</v>
      </c>
      <c r="L349" t="n">
        <v>3</v>
      </c>
      <c r="M349" t="n">
        <v>1</v>
      </c>
      <c r="N349" t="n">
        <v>0</v>
      </c>
      <c r="O349" t="n">
        <v>0</v>
      </c>
      <c r="P349" t="n">
        <v>0</v>
      </c>
      <c r="Q349" t="n">
        <v>4</v>
      </c>
      <c r="R349" t="n">
        <v>1</v>
      </c>
      <c r="S349" t="n">
        <v>4</v>
      </c>
      <c r="T349" t="n">
        <v>4</v>
      </c>
      <c r="U349" t="n">
        <v>0</v>
      </c>
      <c r="V349" s="2" t="inlineStr">
        <is>
          <t>Garnlav
Kolflarnlav
Orange taggsvamp
Vedflamlav</t>
        </is>
      </c>
      <c r="W349">
        <f>HYPERLINK("https://klasma.github.io/Logging_2161/artfynd/A 37183-2026 artfynd.xlsx", "A 37183-2026")</f>
        <v/>
      </c>
      <c r="X349">
        <f>HYPERLINK("https://klasma.github.io/Logging_2161/kartor/A 37183-2026 karta.png", "A 37183-2026")</f>
        <v/>
      </c>
      <c r="Y349">
        <f>HYPERLINK("https://klasma.github.io/Logging_2161/kartor_geotiff/A 37183-2026 georefererad karta.tif", "A 37183-2026")</f>
        <v/>
      </c>
      <c r="AA349">
        <f>HYPERLINK("https://klasma.github.io/Logging_2161/klagomål/A 37183-2026 FSC-klagomål.docx", "A 37183-2026")</f>
        <v/>
      </c>
      <c r="AB349">
        <f>HYPERLINK("https://klasma.github.io/Logging_2161/klagomålsmail/A 37183-2026 FSC-klagomål mail.docx", "A 37183-2026")</f>
        <v/>
      </c>
      <c r="AC349">
        <f>HYPERLINK("https://klasma.github.io/Logging_2161/tillsyn/A 37183-2026 tillsynsbegäran.docx", "A 37183-2026")</f>
        <v/>
      </c>
      <c r="AD349">
        <f>HYPERLINK("https://klasma.github.io/Logging_2161/tillsynsmail/A 37183-2026 tillsynsbegäran mail.docx", "A 37183-2026")</f>
        <v/>
      </c>
    </row>
    <row r="350" ht="15" customHeight="1">
      <c r="A350" t="inlineStr">
        <is>
          <t>A 31805-2024</t>
        </is>
      </c>
      <c r="B350" t="inlineStr">
        <is>
          <t>avverkningsanmälan</t>
        </is>
      </c>
      <c r="C350" t="inlineStr">
        <is>
          <t>Föryngringsavverkning</t>
        </is>
      </c>
      <c r="D350" s="1" t="n">
        <v>45509</v>
      </c>
      <c r="E350" s="1" t="n">
        <v>46326</v>
      </c>
      <c r="F350" t="inlineStr">
        <is>
          <t>GÄVLEBORGS LÄN</t>
        </is>
      </c>
      <c r="G350" t="inlineStr">
        <is>
          <t>SÖDERHAMN</t>
        </is>
      </c>
      <c r="I350" t="n">
        <v>7.3</v>
      </c>
      <c r="J350" t="n">
        <v>4</v>
      </c>
      <c r="K350" t="n">
        <v>0</v>
      </c>
      <c r="L350" t="n">
        <v>1</v>
      </c>
      <c r="M350" t="n">
        <v>1</v>
      </c>
      <c r="N350" t="n">
        <v>0</v>
      </c>
      <c r="O350" t="n">
        <v>0</v>
      </c>
      <c r="P350" t="n">
        <v>0</v>
      </c>
      <c r="Q350" t="n">
        <v>2</v>
      </c>
      <c r="R350" t="n">
        <v>1</v>
      </c>
      <c r="S350" t="n">
        <v>4</v>
      </c>
      <c r="T350" t="n">
        <v>5</v>
      </c>
      <c r="U350" t="n">
        <v>5</v>
      </c>
      <c r="V350" s="2" t="inlineStr">
        <is>
          <t>Knärot
Duvhök
Havsörn
Kungsfågel</t>
        </is>
      </c>
      <c r="W350">
        <f>HYPERLINK("https://klasma.github.io/Logging_2182/artfynd/A 31805-2024 artfynd.xlsx", "A 31805-2024")</f>
        <v/>
      </c>
      <c r="X350">
        <f>HYPERLINK("https://klasma.github.io/Logging_2182/kartor/A 31805-2024 karta.png", "A 31805-2024")</f>
        <v/>
      </c>
      <c r="Y350">
        <f>HYPERLINK("https://klasma.github.io/Logging_2182/kartor_geotiff/A 31805-2024 georefererad karta.tif", "A 31805-2024")</f>
        <v/>
      </c>
      <c r="Z350">
        <f>HYPERLINK("https://klasma.github.io/Logging_2182/knärot/A 31805-2024 karta knärot.png", "A 31805-2024")</f>
        <v/>
      </c>
      <c r="AA350">
        <f>HYPERLINK("https://klasma.github.io/Logging_2182/klagomål/A 31805-2024 FSC-klagomål.docx", "A 31805-2024")</f>
        <v/>
      </c>
      <c r="AB350">
        <f>HYPERLINK("https://klasma.github.io/Logging_2182/klagomålsmail/A 31805-2024 FSC-klagomål mail.docx", "A 31805-2024")</f>
        <v/>
      </c>
      <c r="AC350">
        <f>HYPERLINK("https://klasma.github.io/Logging_2182/tillsyn/A 31805-2024 tillsynsbegäran.docx", "A 31805-2024")</f>
        <v/>
      </c>
      <c r="AD350">
        <f>HYPERLINK("https://klasma.github.io/Logging_2182/tillsynsmail/A 31805-2024 tillsynsbegäran mail.docx", "A 31805-2024")</f>
        <v/>
      </c>
      <c r="AE350">
        <f>HYPERLINK("https://klasma.github.io/Logging_2182/fåglar/A 31805-2024 prioriterade fågelarter.docx", "A 31805-2024")</f>
        <v/>
      </c>
    </row>
    <row r="351" ht="15" customHeight="1">
      <c r="A351" t="inlineStr">
        <is>
          <t>A 38344-2026</t>
        </is>
      </c>
      <c r="B351" t="inlineStr">
        <is>
          <t>avverkningsanmälan</t>
        </is>
      </c>
      <c r="C351" t="inlineStr">
        <is>
          <t>Föryngringsavverkning</t>
        </is>
      </c>
      <c r="D351" s="1" t="n">
        <v>46282</v>
      </c>
      <c r="E351" s="1" t="n">
        <v>46326</v>
      </c>
      <c r="F351" t="inlineStr">
        <is>
          <t>GÄVLEBORGS LÄN</t>
        </is>
      </c>
      <c r="G351" t="inlineStr">
        <is>
          <t>GÄVLE</t>
        </is>
      </c>
      <c r="H351" t="inlineStr">
        <is>
          <t>Bergvik skog öst AB</t>
        </is>
      </c>
      <c r="I351" t="n">
        <v>3.9</v>
      </c>
      <c r="J351" t="n">
        <v>3</v>
      </c>
      <c r="K351" t="n">
        <v>0</v>
      </c>
      <c r="L351" t="n">
        <v>2</v>
      </c>
      <c r="M351" t="n">
        <v>1</v>
      </c>
      <c r="N351" t="n">
        <v>0</v>
      </c>
      <c r="O351" t="n">
        <v>0</v>
      </c>
      <c r="P351" t="n">
        <v>0</v>
      </c>
      <c r="Q351" t="n">
        <v>3</v>
      </c>
      <c r="R351" t="n">
        <v>1</v>
      </c>
      <c r="S351" t="n">
        <v>4</v>
      </c>
      <c r="T351" t="n">
        <v>6</v>
      </c>
      <c r="U351" t="n">
        <v>0</v>
      </c>
      <c r="V351" s="2" t="inlineStr">
        <is>
          <t>Topplåsbräken
Höstlåsbräken
Månlåsbräken
Mattlummer</t>
        </is>
      </c>
      <c r="W351">
        <f>HYPERLINK("https://klasma.github.io/Logging_2180/artfynd/A 38344-2026 artfynd.xlsx", "A 38344-2026")</f>
        <v/>
      </c>
      <c r="X351">
        <f>HYPERLINK("https://klasma.github.io/Logging_2180/kartor/A 38344-2026 karta.png", "A 38344-2026")</f>
        <v/>
      </c>
      <c r="Y351">
        <f>HYPERLINK("https://klasma.github.io/Logging_2180/kartor_geotiff/A 38344-2026 georefererad karta.tif", "A 38344-2026")</f>
        <v/>
      </c>
      <c r="AA351">
        <f>HYPERLINK("https://klasma.github.io/Logging_2180/klagomål/A 38344-2026 FSC-klagomål.docx", "A 38344-2026")</f>
        <v/>
      </c>
      <c r="AB351">
        <f>HYPERLINK("https://klasma.github.io/Logging_2180/klagomålsmail/A 38344-2026 FSC-klagomål mail.docx", "A 38344-2026")</f>
        <v/>
      </c>
      <c r="AC351">
        <f>HYPERLINK("https://klasma.github.io/Logging_2180/tillsyn/A 38344-2026 tillsynsbegäran.docx", "A 38344-2026")</f>
        <v/>
      </c>
      <c r="AD351">
        <f>HYPERLINK("https://klasma.github.io/Logging_2180/tillsynsmail/A 38344-2026 tillsynsbegäran mail.docx", "A 38344-2026")</f>
        <v/>
      </c>
    </row>
    <row r="352" ht="15" customHeight="1">
      <c r="A352" t="inlineStr">
        <is>
          <t>S 2083-2020</t>
        </is>
      </c>
      <c r="B352" t="inlineStr">
        <is>
          <t>samrådsanmälan</t>
        </is>
      </c>
      <c r="C352" t="inlineStr">
        <is>
          <t>Askåterföring</t>
        </is>
      </c>
      <c r="D352" s="1" t="n">
        <v>44103</v>
      </c>
      <c r="E352" s="1" t="n">
        <v>46326</v>
      </c>
      <c r="F352" t="inlineStr">
        <is>
          <t>GÄVLEBORGS LÄN</t>
        </is>
      </c>
      <c r="G352" t="inlineStr">
        <is>
          <t>SANDVIKEN</t>
        </is>
      </c>
      <c r="H352" t="inlineStr">
        <is>
          <t>Sveaskog</t>
        </is>
      </c>
      <c r="I352" t="n">
        <v>48.1</v>
      </c>
      <c r="J352" t="n">
        <v>2</v>
      </c>
      <c r="K352" t="n">
        <v>1</v>
      </c>
      <c r="L352" t="n">
        <v>0</v>
      </c>
      <c r="M352" t="n">
        <v>1</v>
      </c>
      <c r="N352" t="n">
        <v>0</v>
      </c>
      <c r="O352" t="n">
        <v>0</v>
      </c>
      <c r="P352" t="n">
        <v>0</v>
      </c>
      <c r="Q352" t="n">
        <v>1</v>
      </c>
      <c r="R352" t="n">
        <v>1</v>
      </c>
      <c r="S352" t="n">
        <v>4</v>
      </c>
      <c r="T352" t="n">
        <v>4</v>
      </c>
      <c r="U352" t="n">
        <v>4</v>
      </c>
      <c r="V352" s="2" t="inlineStr">
        <is>
          <t>Garnlav
Jättesvampmal
Tjäder
Revlummer</t>
        </is>
      </c>
      <c r="W352">
        <f>HYPERLINK("https://klasma.github.io/Logging_2181/artfynd/S 2083-2020 artfynd.xlsx", "S 2083-2020")</f>
        <v/>
      </c>
      <c r="X352">
        <f>HYPERLINK("https://klasma.github.io/Logging_2181/kartor/S 2083-2020 karta.png", "S 2083-2020")</f>
        <v/>
      </c>
      <c r="Y352">
        <f>HYPERLINK("https://klasma.github.io/Logging_2181/kartor_geotiff/S 2083-2020 georefererad karta.tif", "S 2083-2020")</f>
        <v/>
      </c>
      <c r="AA352">
        <f>HYPERLINK("https://klasma.github.io/Logging_2181/klagomål/S 2083-2020 FSC-klagomål.docx", "S 2083-2020")</f>
        <v/>
      </c>
      <c r="AB352">
        <f>HYPERLINK("https://klasma.github.io/Logging_2181/klagomålsmail/S 2083-2020 FSC-klagomål mail.docx", "S 2083-2020")</f>
        <v/>
      </c>
      <c r="AC352">
        <f>HYPERLINK("https://klasma.github.io/Logging_2181/tillsyn/S 2083-2020 tillsynsbegäran.docx", "S 2083-2020")</f>
        <v/>
      </c>
      <c r="AD352">
        <f>HYPERLINK("https://klasma.github.io/Logging_2181/tillsynsmail/S 2083-2020 tillsynsbegäran mail.docx", "S 2083-2020")</f>
        <v/>
      </c>
      <c r="AE352">
        <f>HYPERLINK("https://klasma.github.io/Logging_2181/fåglar/S 2083-2020 prioriterade fågelarter.docx", "S 2083-2020")</f>
        <v/>
      </c>
    </row>
    <row r="353" ht="15" customHeight="1">
      <c r="A353" t="inlineStr">
        <is>
          <t>S 84-2025</t>
        </is>
      </c>
      <c r="B353" t="inlineStr">
        <is>
          <t>samrådsanmälan</t>
        </is>
      </c>
      <c r="C353" t="inlineStr">
        <is>
          <t>Skogsgödsling</t>
        </is>
      </c>
      <c r="D353" s="1" t="n">
        <v>45670</v>
      </c>
      <c r="E353" s="1" t="n">
        <v>46326</v>
      </c>
      <c r="F353" t="inlineStr">
        <is>
          <t>GÄVLEBORGS LÄN</t>
        </is>
      </c>
      <c r="G353" t="inlineStr">
        <is>
          <t>HUDIKSVALL</t>
        </is>
      </c>
      <c r="H353" t="inlineStr">
        <is>
          <t>Holmen skog AB</t>
        </is>
      </c>
      <c r="I353" t="n">
        <v>110.4</v>
      </c>
      <c r="J353" t="n">
        <v>3</v>
      </c>
      <c r="K353" t="n">
        <v>1</v>
      </c>
      <c r="L353" t="n">
        <v>0</v>
      </c>
      <c r="M353" t="n">
        <v>0</v>
      </c>
      <c r="N353" t="n">
        <v>0</v>
      </c>
      <c r="O353" t="n">
        <v>0</v>
      </c>
      <c r="P353" t="n">
        <v>0</v>
      </c>
      <c r="Q353" t="n">
        <v>0</v>
      </c>
      <c r="R353" t="n">
        <v>0</v>
      </c>
      <c r="S353" t="n">
        <v>4</v>
      </c>
      <c r="T353" t="n">
        <v>5</v>
      </c>
      <c r="U353" t="n">
        <v>4</v>
      </c>
      <c r="V353" s="2" t="inlineStr">
        <is>
          <t>Ögonpyrola
Blåsippa
Nattviol
Revlummer</t>
        </is>
      </c>
      <c r="W353">
        <f>HYPERLINK("https://klasma.github.io/Logging_2184/artfynd/S 84-2025 artfynd.xlsx", "S 84-2025")</f>
        <v/>
      </c>
      <c r="X353">
        <f>HYPERLINK("https://klasma.github.io/Logging_2184/kartor/S 84-2025 karta.png", "S 84-2025")</f>
        <v/>
      </c>
      <c r="Y353">
        <f>HYPERLINK("https://klasma.github.io/Logging_2184/kartor_geotiff/S 84-2025 georefererad karta.tif", "S 84-2025")</f>
        <v/>
      </c>
      <c r="AA353">
        <f>HYPERLINK("https://klasma.github.io/Logging_2184/klagomål/S 84-2025 FSC-klagomål.docx", "S 84-2025")</f>
        <v/>
      </c>
      <c r="AB353">
        <f>HYPERLINK("https://klasma.github.io/Logging_2184/klagomålsmail/S 84-2025 FSC-klagomål mail.docx", "S 84-2025")</f>
        <v/>
      </c>
      <c r="AC353">
        <f>HYPERLINK("https://klasma.github.io/Logging_2184/tillsyn/S 84-2025 tillsynsbegäran.docx", "S 84-2025")</f>
        <v/>
      </c>
      <c r="AD353">
        <f>HYPERLINK("https://klasma.github.io/Logging_2184/tillsynsmail/S 84-2025 tillsynsbegäran mail.docx", "S 84-2025")</f>
        <v/>
      </c>
    </row>
    <row r="354" ht="15" customHeight="1">
      <c r="A354" t="inlineStr">
        <is>
          <t>S 533-2025</t>
        </is>
      </c>
      <c r="B354" t="inlineStr">
        <is>
          <t>samrådsanmälan</t>
        </is>
      </c>
      <c r="C354" t="inlineStr">
        <is>
          <t>Skogsgödsling</t>
        </is>
      </c>
      <c r="D354" s="1" t="n">
        <v>45707</v>
      </c>
      <c r="E354" s="1" t="n">
        <v>46326</v>
      </c>
      <c r="F354" t="inlineStr">
        <is>
          <t>GÄVLEBORGS LÄN</t>
        </is>
      </c>
      <c r="G354" t="inlineStr">
        <is>
          <t>LJUSDAL</t>
        </is>
      </c>
      <c r="H354" t="inlineStr">
        <is>
          <t>Allmännings- och besparingsskogar</t>
        </is>
      </c>
      <c r="I354" t="n">
        <v>375.9</v>
      </c>
      <c r="J354" t="n">
        <v>2</v>
      </c>
      <c r="K354" t="n">
        <v>1</v>
      </c>
      <c r="L354" t="n">
        <v>1</v>
      </c>
      <c r="M354" t="n">
        <v>1</v>
      </c>
      <c r="N354" t="n">
        <v>0</v>
      </c>
      <c r="O354" t="n">
        <v>0</v>
      </c>
      <c r="P354" t="n">
        <v>0</v>
      </c>
      <c r="Q354" t="n">
        <v>2</v>
      </c>
      <c r="R354" t="n">
        <v>1</v>
      </c>
      <c r="S354" t="n">
        <v>4</v>
      </c>
      <c r="T354" t="n">
        <v>8</v>
      </c>
      <c r="U354" t="n">
        <v>3</v>
      </c>
      <c r="V354" s="2" t="inlineStr">
        <is>
          <t>Garnlav
Kungsörn
Mindre märgborre
Havsörn</t>
        </is>
      </c>
      <c r="W354">
        <f>HYPERLINK("https://klasma.github.io/Logging_2161/artfynd/S 533-2025 artfynd.xlsx", "S 533-2025")</f>
        <v/>
      </c>
      <c r="X354">
        <f>HYPERLINK("https://klasma.github.io/Logging_2161/kartor/S 533-2025 karta.png", "S 533-2025")</f>
        <v/>
      </c>
      <c r="Y354">
        <f>HYPERLINK("https://klasma.github.io/Logging_2161/kartor_geotiff/S 533-2025 georefererad karta.tif", "S 533-2025")</f>
        <v/>
      </c>
      <c r="AA354">
        <f>HYPERLINK("https://klasma.github.io/Logging_2161/klagomål/S 533-2025 FSC-klagomål.docx", "S 533-2025")</f>
        <v/>
      </c>
      <c r="AB354">
        <f>HYPERLINK("https://klasma.github.io/Logging_2161/klagomålsmail/S 533-2025 FSC-klagomål mail.docx", "S 533-2025")</f>
        <v/>
      </c>
      <c r="AC354">
        <f>HYPERLINK("https://klasma.github.io/Logging_2161/tillsyn/S 533-2025 tillsynsbegäran.docx", "S 533-2025")</f>
        <v/>
      </c>
      <c r="AD354">
        <f>HYPERLINK("https://klasma.github.io/Logging_2161/tillsynsmail/S 533-2025 tillsynsbegäran mail.docx", "S 533-2025")</f>
        <v/>
      </c>
      <c r="AE354">
        <f>HYPERLINK("https://klasma.github.io/Logging_2161/fåglar/S 533-2025 prioriterade fågelarter.docx", "S 533-2025")</f>
        <v/>
      </c>
    </row>
    <row r="355" ht="15" customHeight="1">
      <c r="A355" t="inlineStr">
        <is>
          <t>S 2775-2025</t>
        </is>
      </c>
      <c r="B355" t="inlineStr">
        <is>
          <t>samrådsanmälan</t>
        </is>
      </c>
      <c r="C355" t="inlineStr">
        <is>
          <t>Annan skogsbruksåtgärd</t>
        </is>
      </c>
      <c r="D355" s="1" t="n">
        <v>45937</v>
      </c>
      <c r="E355" s="1" t="n">
        <v>46326</v>
      </c>
      <c r="F355" t="inlineStr">
        <is>
          <t>GÄVLEBORGS LÄN</t>
        </is>
      </c>
      <c r="G355" t="inlineStr">
        <is>
          <t>LJUSDAL</t>
        </is>
      </c>
      <c r="H355" t="inlineStr">
        <is>
          <t>Sveaskog</t>
        </is>
      </c>
      <c r="I355" t="n">
        <v>4.5</v>
      </c>
      <c r="J355" t="n">
        <v>1</v>
      </c>
      <c r="K355" t="n">
        <v>0</v>
      </c>
      <c r="L355" t="n">
        <v>2</v>
      </c>
      <c r="M355" t="n">
        <v>2</v>
      </c>
      <c r="N355" t="n">
        <v>0</v>
      </c>
      <c r="O355" t="n">
        <v>0</v>
      </c>
      <c r="P355" t="n">
        <v>0</v>
      </c>
      <c r="Q355" t="n">
        <v>4</v>
      </c>
      <c r="R355" t="n">
        <v>2</v>
      </c>
      <c r="S355" t="n">
        <v>4</v>
      </c>
      <c r="T355" t="n">
        <v>10</v>
      </c>
      <c r="U355" t="n">
        <v>0</v>
      </c>
      <c r="V355" s="2" t="inlineStr">
        <is>
          <t>Garnlav
Knärot
Lunglav
Skrovellav</t>
        </is>
      </c>
      <c r="W355">
        <f>HYPERLINK("https://klasma.github.io/Logging_2161/artfynd/S 2775-2025 artfynd.xlsx", "S 2775-2025")</f>
        <v/>
      </c>
      <c r="X355">
        <f>HYPERLINK("https://klasma.github.io/Logging_2161/kartor/S 2775-2025 karta.png", "S 2775-2025")</f>
        <v/>
      </c>
      <c r="Y355">
        <f>HYPERLINK("https://klasma.github.io/Logging_2161/kartor_geotiff/S 2775-2025 georefererad karta.tif", "S 2775-2025")</f>
        <v/>
      </c>
      <c r="Z355">
        <f>HYPERLINK("https://klasma.github.io/Logging_2161/knärot/S 2775-2025 karta knärot.png", "S 2775-2025")</f>
        <v/>
      </c>
      <c r="AA355">
        <f>HYPERLINK("https://klasma.github.io/Logging_2161/klagomål/S 2775-2025 FSC-klagomål.docx", "S 2775-2025")</f>
        <v/>
      </c>
      <c r="AB355">
        <f>HYPERLINK("https://klasma.github.io/Logging_2161/klagomålsmail/S 2775-2025 FSC-klagomål mail.docx", "S 2775-2025")</f>
        <v/>
      </c>
      <c r="AC355">
        <f>HYPERLINK("https://klasma.github.io/Logging_2161/tillsyn/S 2775-2025 tillsynsbegäran.docx", "S 2775-2025")</f>
        <v/>
      </c>
      <c r="AD355">
        <f>HYPERLINK("https://klasma.github.io/Logging_2161/tillsynsmail/S 2775-2025 tillsynsbegäran mail.docx", "S 2775-2025")</f>
        <v/>
      </c>
    </row>
    <row r="356" ht="15" customHeight="1">
      <c r="A356" t="inlineStr">
        <is>
          <t>S 1038-2026</t>
        </is>
      </c>
      <c r="B356" t="inlineStr">
        <is>
          <t>samrådsanmälan</t>
        </is>
      </c>
      <c r="C356" t="inlineStr">
        <is>
          <t>Askåterföring</t>
        </is>
      </c>
      <c r="D356" s="1" t="n">
        <v>46125</v>
      </c>
      <c r="E356" s="1" t="n">
        <v>46326</v>
      </c>
      <c r="F356" t="inlineStr">
        <is>
          <t>GÄVLEBORGS LÄN</t>
        </is>
      </c>
      <c r="G356" t="inlineStr">
        <is>
          <t>SANDVIKEN</t>
        </is>
      </c>
      <c r="H356" t="inlineStr">
        <is>
          <t>Sveaskog</t>
        </is>
      </c>
      <c r="I356" t="n">
        <v>110</v>
      </c>
      <c r="J356" t="n">
        <v>1</v>
      </c>
      <c r="K356" t="n">
        <v>1</v>
      </c>
      <c r="L356" t="n">
        <v>1</v>
      </c>
      <c r="M356" t="n">
        <v>1</v>
      </c>
      <c r="N356" t="n">
        <v>0</v>
      </c>
      <c r="O356" t="n">
        <v>0</v>
      </c>
      <c r="P356" t="n">
        <v>0</v>
      </c>
      <c r="Q356" t="n">
        <v>2</v>
      </c>
      <c r="R356" t="n">
        <v>1</v>
      </c>
      <c r="S356" t="n">
        <v>4</v>
      </c>
      <c r="T356" t="n">
        <v>4</v>
      </c>
      <c r="U356" t="n">
        <v>0</v>
      </c>
      <c r="V356" s="2" t="inlineStr">
        <is>
          <t>Garnlav
Ullticka
Vedticka
Revlummer</t>
        </is>
      </c>
      <c r="W356">
        <f>HYPERLINK("https://klasma.github.io/Logging_2181/artfynd/S 1038-2026 artfynd.xlsx", "S 1038-2026")</f>
        <v/>
      </c>
      <c r="X356">
        <f>HYPERLINK("https://klasma.github.io/Logging_2181/kartor/S 1038-2026 karta.png", "S 1038-2026")</f>
        <v/>
      </c>
      <c r="Y356">
        <f>HYPERLINK("https://klasma.github.io/Logging_2181/kartor_geotiff/S 1038-2026 georefererad karta.tif", "S 1038-2026")</f>
        <v/>
      </c>
      <c r="AA356">
        <f>HYPERLINK("https://klasma.github.io/Logging_2181/klagomål/S 1038-2026 FSC-klagomål.docx", "S 1038-2026")</f>
        <v/>
      </c>
      <c r="AB356">
        <f>HYPERLINK("https://klasma.github.io/Logging_2181/klagomålsmail/S 1038-2026 FSC-klagomål mail.docx", "S 1038-2026")</f>
        <v/>
      </c>
      <c r="AC356">
        <f>HYPERLINK("https://klasma.github.io/Logging_2181/tillsyn/S 1038-2026 tillsynsbegäran.docx", "S 1038-2026")</f>
        <v/>
      </c>
      <c r="AD356">
        <f>HYPERLINK("https://klasma.github.io/Logging_2181/tillsynsmail/S 1038-2026 tillsynsbegäran mail.docx", "S 1038-2026")</f>
        <v/>
      </c>
    </row>
    <row r="357" ht="15" customHeight="1">
      <c r="A357" t="inlineStr">
        <is>
          <t>A 67716-2021</t>
        </is>
      </c>
      <c r="B357" t="inlineStr">
        <is>
          <t>avverkningsanmälan</t>
        </is>
      </c>
      <c r="C357" t="inlineStr">
        <is>
          <t>Föryngringsavverkning</t>
        </is>
      </c>
      <c r="D357" s="1" t="n">
        <v>44525</v>
      </c>
      <c r="E357" s="1" t="n">
        <v>46326</v>
      </c>
      <c r="F357" t="inlineStr">
        <is>
          <t>GÄVLEBORGS LÄN</t>
        </is>
      </c>
      <c r="G357" t="inlineStr">
        <is>
          <t>NORDANSTIG</t>
        </is>
      </c>
      <c r="H357" t="inlineStr">
        <is>
          <t>Holmen skog AB</t>
        </is>
      </c>
      <c r="I357" t="n">
        <v>7.4</v>
      </c>
      <c r="J357" t="n">
        <v>0</v>
      </c>
      <c r="K357" t="n">
        <v>1</v>
      </c>
      <c r="L357" t="n">
        <v>1</v>
      </c>
      <c r="M357" t="n">
        <v>1</v>
      </c>
      <c r="N357" t="n">
        <v>0</v>
      </c>
      <c r="O357" t="n">
        <v>0</v>
      </c>
      <c r="P357" t="n">
        <v>0</v>
      </c>
      <c r="Q357" t="n">
        <v>2</v>
      </c>
      <c r="R357" t="n">
        <v>1</v>
      </c>
      <c r="S357" t="n">
        <v>3</v>
      </c>
      <c r="T357" t="n">
        <v>3</v>
      </c>
      <c r="U357" t="n">
        <v>2</v>
      </c>
      <c r="V357" s="2" t="inlineStr">
        <is>
          <t>Glesgröe
Lunglav
Strutbräken</t>
        </is>
      </c>
      <c r="W357">
        <f>HYPERLINK("https://klasma.github.io/Logging_2132/artfynd/A 67716-2021 artfynd.xlsx", "A 67716-2021")</f>
        <v/>
      </c>
      <c r="X357">
        <f>HYPERLINK("https://klasma.github.io/Logging_2132/kartor/A 67716-2021 karta.png", "A 67716-2021")</f>
        <v/>
      </c>
      <c r="Y357">
        <f>HYPERLINK("https://klasma.github.io/Logging_2132/kartor_geotiff/A 67716-2021 georefererad karta.tif", "A 67716-2021")</f>
        <v/>
      </c>
      <c r="AA357">
        <f>HYPERLINK("https://klasma.github.io/Logging_2132/klagomål/A 67716-2021 FSC-klagomål.docx", "A 67716-2021")</f>
        <v/>
      </c>
      <c r="AB357">
        <f>HYPERLINK("https://klasma.github.io/Logging_2132/klagomålsmail/A 67716-2021 FSC-klagomål mail.docx", "A 67716-2021")</f>
        <v/>
      </c>
      <c r="AC357">
        <f>HYPERLINK("https://klasma.github.io/Logging_2132/tillsyn/A 67716-2021 tillsynsbegäran.docx", "A 67716-2021")</f>
        <v/>
      </c>
      <c r="AD357">
        <f>HYPERLINK("https://klasma.github.io/Logging_2132/tillsynsmail/A 67716-2021 tillsynsbegäran mail.docx", "A 67716-2021")</f>
        <v/>
      </c>
    </row>
    <row r="358" ht="15" customHeight="1">
      <c r="A358" t="inlineStr">
        <is>
          <t>A 42203-2022</t>
        </is>
      </c>
      <c r="B358" t="inlineStr">
        <is>
          <t>avverkningsanmälan</t>
        </is>
      </c>
      <c r="C358" t="inlineStr">
        <is>
          <t>Föryngringsavverkning</t>
        </is>
      </c>
      <c r="D358" s="1" t="n">
        <v>44830</v>
      </c>
      <c r="E358" s="1" t="n">
        <v>46326</v>
      </c>
      <c r="F358" t="inlineStr">
        <is>
          <t>GÄVLEBORGS LÄN</t>
        </is>
      </c>
      <c r="G358" t="inlineStr">
        <is>
          <t>HUDIKSVALL</t>
        </is>
      </c>
      <c r="I358" t="n">
        <v>2.3</v>
      </c>
      <c r="J358" t="n">
        <v>2</v>
      </c>
      <c r="K358" t="n">
        <v>0</v>
      </c>
      <c r="L358" t="n">
        <v>1</v>
      </c>
      <c r="M358" t="n">
        <v>0</v>
      </c>
      <c r="N358" t="n">
        <v>0</v>
      </c>
      <c r="O358" t="n">
        <v>0</v>
      </c>
      <c r="P358" t="n">
        <v>0</v>
      </c>
      <c r="Q358" t="n">
        <v>1</v>
      </c>
      <c r="R358" t="n">
        <v>0</v>
      </c>
      <c r="S358" t="n">
        <v>3</v>
      </c>
      <c r="T358" t="n">
        <v>6</v>
      </c>
      <c r="U358" t="n">
        <v>6</v>
      </c>
      <c r="V358" s="2" t="inlineStr">
        <is>
          <t>Blanksvart spiklav
Fläcknycklar
Revlummer</t>
        </is>
      </c>
      <c r="W358">
        <f>HYPERLINK("https://klasma.github.io/Logging_2184/artfynd/A 42203-2022 artfynd.xlsx", "A 42203-2022")</f>
        <v/>
      </c>
      <c r="X358">
        <f>HYPERLINK("https://klasma.github.io/Logging_2184/kartor/A 42203-2022 karta.png", "A 42203-2022")</f>
        <v/>
      </c>
      <c r="Y358">
        <f>HYPERLINK("https://klasma.github.io/Logging_2184/kartor_geotiff/A 42203-2022 georefererad karta.tif", "A 42203-2022")</f>
        <v/>
      </c>
      <c r="AA358">
        <f>HYPERLINK("https://klasma.github.io/Logging_2184/klagomål/A 42203-2022 FSC-klagomål.docx", "A 42203-2022")</f>
        <v/>
      </c>
      <c r="AB358">
        <f>HYPERLINK("https://klasma.github.io/Logging_2184/klagomålsmail/A 42203-2022 FSC-klagomål mail.docx", "A 42203-2022")</f>
        <v/>
      </c>
      <c r="AC358">
        <f>HYPERLINK("https://klasma.github.io/Logging_2184/tillsyn/A 42203-2022 tillsynsbegäran.docx", "A 42203-2022")</f>
        <v/>
      </c>
      <c r="AD358">
        <f>HYPERLINK("https://klasma.github.io/Logging_2184/tillsynsmail/A 42203-2022 tillsynsbegäran mail.docx", "A 42203-2022")</f>
        <v/>
      </c>
    </row>
    <row r="359" ht="15" customHeight="1">
      <c r="A359" t="inlineStr">
        <is>
          <t>A 63033-2021</t>
        </is>
      </c>
      <c r="B359" t="inlineStr">
        <is>
          <t>avverkningsanmälan</t>
        </is>
      </c>
      <c r="C359" t="inlineStr">
        <is>
          <t>Föryngringsavverkning</t>
        </is>
      </c>
      <c r="D359" s="1" t="n">
        <v>44505</v>
      </c>
      <c r="E359" s="1" t="n">
        <v>46326</v>
      </c>
      <c r="F359" t="inlineStr">
        <is>
          <t>GÄVLEBORGS LÄN</t>
        </is>
      </c>
      <c r="G359" t="inlineStr">
        <is>
          <t>SANDVIKEN</t>
        </is>
      </c>
      <c r="I359" t="n">
        <v>0.5</v>
      </c>
      <c r="J359" t="n">
        <v>3</v>
      </c>
      <c r="K359" t="n">
        <v>0</v>
      </c>
      <c r="L359" t="n">
        <v>2</v>
      </c>
      <c r="M359" t="n">
        <v>0</v>
      </c>
      <c r="N359" t="n">
        <v>0</v>
      </c>
      <c r="O359" t="n">
        <v>0</v>
      </c>
      <c r="P359" t="n">
        <v>0</v>
      </c>
      <c r="Q359" t="n">
        <v>2</v>
      </c>
      <c r="R359" t="n">
        <v>0</v>
      </c>
      <c r="S359" t="n">
        <v>3</v>
      </c>
      <c r="T359" t="n">
        <v>5</v>
      </c>
      <c r="U359" t="n">
        <v>5</v>
      </c>
      <c r="V359" s="2" t="inlineStr">
        <is>
          <t>Järnsparv
Talltita
Kungsfågel</t>
        </is>
      </c>
      <c r="W359">
        <f>HYPERLINK("https://klasma.github.io/Logging_2181/artfynd/A 63033-2021 artfynd.xlsx", "A 63033-2021")</f>
        <v/>
      </c>
      <c r="X359">
        <f>HYPERLINK("https://klasma.github.io/Logging_2181/kartor/A 63033-2021 karta.png", "A 63033-2021")</f>
        <v/>
      </c>
      <c r="Y359">
        <f>HYPERLINK("https://klasma.github.io/Logging_2181/kartor_geotiff/A 63033-2021 georefererad karta.tif", "A 63033-2021")</f>
        <v/>
      </c>
      <c r="AA359">
        <f>HYPERLINK("https://klasma.github.io/Logging_2181/klagomål/A 63033-2021 FSC-klagomål.docx", "A 63033-2021")</f>
        <v/>
      </c>
      <c r="AB359">
        <f>HYPERLINK("https://klasma.github.io/Logging_2181/klagomålsmail/A 63033-2021 FSC-klagomål mail.docx", "A 63033-2021")</f>
        <v/>
      </c>
      <c r="AC359">
        <f>HYPERLINK("https://klasma.github.io/Logging_2181/tillsyn/A 63033-2021 tillsynsbegäran.docx", "A 63033-2021")</f>
        <v/>
      </c>
      <c r="AD359">
        <f>HYPERLINK("https://klasma.github.io/Logging_2181/tillsynsmail/A 63033-2021 tillsynsbegäran mail.docx", "A 63033-2021")</f>
        <v/>
      </c>
      <c r="AE359">
        <f>HYPERLINK("https://klasma.github.io/Logging_2181/fåglar/A 63033-2021 prioriterade fågelarter.docx", "A 63033-2021")</f>
        <v/>
      </c>
    </row>
    <row r="360" ht="15" customHeight="1">
      <c r="A360" t="inlineStr">
        <is>
          <t>A 8446-2022</t>
        </is>
      </c>
      <c r="B360" t="inlineStr">
        <is>
          <t>avverkningsanmälan</t>
        </is>
      </c>
      <c r="C360" t="inlineStr">
        <is>
          <t>Föryngringsavverkning</t>
        </is>
      </c>
      <c r="D360" s="1" t="n">
        <v>44612</v>
      </c>
      <c r="E360" s="1" t="n">
        <v>46326</v>
      </c>
      <c r="F360" t="inlineStr">
        <is>
          <t>GÄVLEBORGS LÄN</t>
        </is>
      </c>
      <c r="G360" t="inlineStr">
        <is>
          <t>HUDIKSVALL</t>
        </is>
      </c>
      <c r="I360" t="n">
        <v>5.4</v>
      </c>
      <c r="J360" t="n">
        <v>3</v>
      </c>
      <c r="K360" t="n">
        <v>0</v>
      </c>
      <c r="L360" t="n">
        <v>0</v>
      </c>
      <c r="M360" t="n">
        <v>0</v>
      </c>
      <c r="N360" t="n">
        <v>0</v>
      </c>
      <c r="O360" t="n">
        <v>0</v>
      </c>
      <c r="P360" t="n">
        <v>0</v>
      </c>
      <c r="Q360" t="n">
        <v>0</v>
      </c>
      <c r="R360" t="n">
        <v>0</v>
      </c>
      <c r="S360" t="n">
        <v>3</v>
      </c>
      <c r="T360" t="n">
        <v>3</v>
      </c>
      <c r="U360" t="n">
        <v>3</v>
      </c>
      <c r="V360" s="2" t="inlineStr">
        <is>
          <t>Blåsippa
Fläcknycklar
Nattviol</t>
        </is>
      </c>
      <c r="W360">
        <f>HYPERLINK("https://klasma.github.io/Logging_2184/artfynd/A 8446-2022 artfynd.xlsx", "A 8446-2022")</f>
        <v/>
      </c>
      <c r="X360">
        <f>HYPERLINK("https://klasma.github.io/Logging_2184/kartor/A 8446-2022 karta.png", "A 8446-2022")</f>
        <v/>
      </c>
      <c r="Y360">
        <f>HYPERLINK("https://klasma.github.io/Logging_2184/kartor_geotiff/A 8446-2022 georefererad karta.tif", "A 8446-2022")</f>
        <v/>
      </c>
      <c r="AA360">
        <f>HYPERLINK("https://klasma.github.io/Logging_2184/klagomål/A 8446-2022 FSC-klagomål.docx", "A 8446-2022")</f>
        <v/>
      </c>
      <c r="AB360">
        <f>HYPERLINK("https://klasma.github.io/Logging_2184/klagomålsmail/A 8446-2022 FSC-klagomål mail.docx", "A 8446-2022")</f>
        <v/>
      </c>
      <c r="AC360">
        <f>HYPERLINK("https://klasma.github.io/Logging_2184/tillsyn/A 8446-2022 tillsynsbegäran.docx", "A 8446-2022")</f>
        <v/>
      </c>
      <c r="AD360">
        <f>HYPERLINK("https://klasma.github.io/Logging_2184/tillsynsmail/A 8446-2022 tillsynsbegäran mail.docx", "A 8446-2022")</f>
        <v/>
      </c>
    </row>
    <row r="361" ht="15" customHeight="1">
      <c r="A361" t="inlineStr">
        <is>
          <t>A 24949-2025</t>
        </is>
      </c>
      <c r="B361" t="inlineStr">
        <is>
          <t>avverkningsanmälan</t>
        </is>
      </c>
      <c r="C361" t="inlineStr">
        <is>
          <t>Föryngringsavverkning</t>
        </is>
      </c>
      <c r="D361" s="1" t="n">
        <v>45799</v>
      </c>
      <c r="E361" s="1" t="n">
        <v>46326</v>
      </c>
      <c r="F361" t="inlineStr">
        <is>
          <t>GÄVLEBORGS LÄN</t>
        </is>
      </c>
      <c r="G361" t="inlineStr">
        <is>
          <t>LJUSDAL</t>
        </is>
      </c>
      <c r="H361" t="inlineStr">
        <is>
          <t>Sveaskog</t>
        </is>
      </c>
      <c r="I361" t="n">
        <v>3</v>
      </c>
      <c r="J361" t="n">
        <v>0</v>
      </c>
      <c r="K361" t="n">
        <v>0</v>
      </c>
      <c r="L361" t="n">
        <v>3</v>
      </c>
      <c r="M361" t="n">
        <v>0</v>
      </c>
      <c r="N361" t="n">
        <v>0</v>
      </c>
      <c r="O361" t="n">
        <v>0</v>
      </c>
      <c r="P361" t="n">
        <v>0</v>
      </c>
      <c r="Q361" t="n">
        <v>3</v>
      </c>
      <c r="R361" t="n">
        <v>0</v>
      </c>
      <c r="S361" t="n">
        <v>3</v>
      </c>
      <c r="T361" t="n">
        <v>4</v>
      </c>
      <c r="U361" t="n">
        <v>4</v>
      </c>
      <c r="V361" s="2" t="inlineStr">
        <is>
          <t>Kolflarnlav
Lunglav
Vedflamlav</t>
        </is>
      </c>
      <c r="W361">
        <f>HYPERLINK("https://klasma.github.io/Logging_2161/artfynd/A 24949-2025 artfynd.xlsx", "A 24949-2025")</f>
        <v/>
      </c>
      <c r="X361">
        <f>HYPERLINK("https://klasma.github.io/Logging_2161/kartor/A 24949-2025 karta.png", "A 24949-2025")</f>
        <v/>
      </c>
      <c r="Y361">
        <f>HYPERLINK("https://klasma.github.io/Logging_2161/kartor_geotiff/A 24949-2025 georefererad karta.tif", "A 24949-2025")</f>
        <v/>
      </c>
      <c r="AA361">
        <f>HYPERLINK("https://klasma.github.io/Logging_2161/klagomål/A 24949-2025 FSC-klagomål.docx", "A 24949-2025")</f>
        <v/>
      </c>
      <c r="AB361">
        <f>HYPERLINK("https://klasma.github.io/Logging_2161/klagomålsmail/A 24949-2025 FSC-klagomål mail.docx", "A 24949-2025")</f>
        <v/>
      </c>
      <c r="AC361">
        <f>HYPERLINK("https://klasma.github.io/Logging_2161/tillsyn/A 24949-2025 tillsynsbegäran.docx", "A 24949-2025")</f>
        <v/>
      </c>
      <c r="AD361">
        <f>HYPERLINK("https://klasma.github.io/Logging_2161/tillsynsmail/A 24949-2025 tillsynsbegäran mail.docx", "A 24949-2025")</f>
        <v/>
      </c>
    </row>
    <row r="362" ht="15" customHeight="1">
      <c r="A362" t="inlineStr">
        <is>
          <t>A 24606-2025</t>
        </is>
      </c>
      <c r="B362" t="inlineStr">
        <is>
          <t>avverkningsanmälan</t>
        </is>
      </c>
      <c r="C362" t="inlineStr">
        <is>
          <t>Föryngringsavverkning</t>
        </is>
      </c>
      <c r="D362" s="1" t="n">
        <v>45798</v>
      </c>
      <c r="E362" s="1" t="n">
        <v>46326</v>
      </c>
      <c r="F362" t="inlineStr">
        <is>
          <t>GÄVLEBORGS LÄN</t>
        </is>
      </c>
      <c r="G362" t="inlineStr">
        <is>
          <t>SÖDERHAMN</t>
        </is>
      </c>
      <c r="I362" t="n">
        <v>2.2</v>
      </c>
      <c r="J362" t="n">
        <v>1</v>
      </c>
      <c r="K362" t="n">
        <v>0</v>
      </c>
      <c r="L362" t="n">
        <v>2</v>
      </c>
      <c r="M362" t="n">
        <v>1</v>
      </c>
      <c r="N362" t="n">
        <v>0</v>
      </c>
      <c r="O362" t="n">
        <v>0</v>
      </c>
      <c r="P362" t="n">
        <v>0</v>
      </c>
      <c r="Q362" t="n">
        <v>3</v>
      </c>
      <c r="R362" t="n">
        <v>1</v>
      </c>
      <c r="S362" t="n">
        <v>3</v>
      </c>
      <c r="T362" t="n">
        <v>8</v>
      </c>
      <c r="U362" t="n">
        <v>0</v>
      </c>
      <c r="V362" s="2" t="inlineStr">
        <is>
          <t>Knärot
Rosenticka
Ullticka</t>
        </is>
      </c>
      <c r="W362">
        <f>HYPERLINK("https://klasma.github.io/Logging_2182/artfynd/A 24606-2025 artfynd.xlsx", "A 24606-2025")</f>
        <v/>
      </c>
      <c r="X362">
        <f>HYPERLINK("https://klasma.github.io/Logging_2182/kartor/A 24606-2025 karta.png", "A 24606-2025")</f>
        <v/>
      </c>
      <c r="Y362">
        <f>HYPERLINK("https://klasma.github.io/Logging_2182/kartor_geotiff/A 24606-2025 georefererad karta.tif", "A 24606-2025")</f>
        <v/>
      </c>
      <c r="Z362">
        <f>HYPERLINK("https://klasma.github.io/Logging_2182/knärot/A 24606-2025 karta knärot.png", "A 24606-2025")</f>
        <v/>
      </c>
      <c r="AA362">
        <f>HYPERLINK("https://klasma.github.io/Logging_2182/klagomål/A 24606-2025 FSC-klagomål.docx", "A 24606-2025")</f>
        <v/>
      </c>
      <c r="AB362">
        <f>HYPERLINK("https://klasma.github.io/Logging_2182/klagomålsmail/A 24606-2025 FSC-klagomål mail.docx", "A 24606-2025")</f>
        <v/>
      </c>
      <c r="AC362">
        <f>HYPERLINK("https://klasma.github.io/Logging_2182/tillsyn/A 24606-2025 tillsynsbegäran.docx", "A 24606-2025")</f>
        <v/>
      </c>
      <c r="AD362">
        <f>HYPERLINK("https://klasma.github.io/Logging_2182/tillsynsmail/A 24606-2025 tillsynsbegäran mail.docx", "A 24606-2025")</f>
        <v/>
      </c>
    </row>
    <row r="363" ht="15" customHeight="1">
      <c r="A363" t="inlineStr">
        <is>
          <t>A 24608-2025</t>
        </is>
      </c>
      <c r="B363" t="inlineStr">
        <is>
          <t>avverkningsanmälan</t>
        </is>
      </c>
      <c r="C363" t="inlineStr">
        <is>
          <t>Föryngringsavverkning</t>
        </is>
      </c>
      <c r="D363" s="1" t="n">
        <v>45798</v>
      </c>
      <c r="E363" s="1" t="n">
        <v>46326</v>
      </c>
      <c r="F363" t="inlineStr">
        <is>
          <t>GÄVLEBORGS LÄN</t>
        </is>
      </c>
      <c r="G363" t="inlineStr">
        <is>
          <t>SÖDERHAMN</t>
        </is>
      </c>
      <c r="I363" t="n">
        <v>1</v>
      </c>
      <c r="J363" t="n">
        <v>1</v>
      </c>
      <c r="K363" t="n">
        <v>0</v>
      </c>
      <c r="L363" t="n">
        <v>2</v>
      </c>
      <c r="M363" t="n">
        <v>1</v>
      </c>
      <c r="N363" t="n">
        <v>0</v>
      </c>
      <c r="O363" t="n">
        <v>0</v>
      </c>
      <c r="P363" t="n">
        <v>0</v>
      </c>
      <c r="Q363" t="n">
        <v>3</v>
      </c>
      <c r="R363" t="n">
        <v>1</v>
      </c>
      <c r="S363" t="n">
        <v>3</v>
      </c>
      <c r="T363" t="n">
        <v>3</v>
      </c>
      <c r="U363" t="n">
        <v>0</v>
      </c>
      <c r="V363" s="2" t="inlineStr">
        <is>
          <t>Knärot
Rosenticka
Ullticka</t>
        </is>
      </c>
      <c r="W363">
        <f>HYPERLINK("https://klasma.github.io/Logging_2182/artfynd/A 24608-2025 artfynd.xlsx", "A 24608-2025")</f>
        <v/>
      </c>
      <c r="X363">
        <f>HYPERLINK("https://klasma.github.io/Logging_2182/kartor/A 24608-2025 karta.png", "A 24608-2025")</f>
        <v/>
      </c>
      <c r="Y363">
        <f>HYPERLINK("https://klasma.github.io/Logging_2182/kartor_geotiff/A 24608-2025 georefererad karta.tif", "A 24608-2025")</f>
        <v/>
      </c>
      <c r="Z363">
        <f>HYPERLINK("https://klasma.github.io/Logging_2182/knärot/A 24608-2025 karta knärot.png", "A 24608-2025")</f>
        <v/>
      </c>
      <c r="AA363">
        <f>HYPERLINK("https://klasma.github.io/Logging_2182/klagomål/A 24608-2025 FSC-klagomål.docx", "A 24608-2025")</f>
        <v/>
      </c>
      <c r="AB363">
        <f>HYPERLINK("https://klasma.github.io/Logging_2182/klagomålsmail/A 24608-2025 FSC-klagomål mail.docx", "A 24608-2025")</f>
        <v/>
      </c>
      <c r="AC363">
        <f>HYPERLINK("https://klasma.github.io/Logging_2182/tillsyn/A 24608-2025 tillsynsbegäran.docx", "A 24608-2025")</f>
        <v/>
      </c>
      <c r="AD363">
        <f>HYPERLINK("https://klasma.github.io/Logging_2182/tillsynsmail/A 24608-2025 tillsynsbegäran mail.docx", "A 24608-2025")</f>
        <v/>
      </c>
    </row>
    <row r="364" ht="15" customHeight="1">
      <c r="A364" t="inlineStr">
        <is>
          <t>A 12843-2024</t>
        </is>
      </c>
      <c r="B364" t="inlineStr">
        <is>
          <t>avverkningsanmälan</t>
        </is>
      </c>
      <c r="C364" t="inlineStr">
        <is>
          <t>Föryngringsavverkning</t>
        </is>
      </c>
      <c r="D364" s="1" t="n">
        <v>45384</v>
      </c>
      <c r="E364" s="1" t="n">
        <v>46326</v>
      </c>
      <c r="F364" t="inlineStr">
        <is>
          <t>GÄVLEBORGS LÄN</t>
        </is>
      </c>
      <c r="G364" t="inlineStr">
        <is>
          <t>HUDIKSVALL</t>
        </is>
      </c>
      <c r="H364" t="inlineStr">
        <is>
          <t>Holmen skog AB</t>
        </is>
      </c>
      <c r="I364" t="n">
        <v>23.4</v>
      </c>
      <c r="J364" t="n">
        <v>3</v>
      </c>
      <c r="K364" t="n">
        <v>1</v>
      </c>
      <c r="L364" t="n">
        <v>0</v>
      </c>
      <c r="M364" t="n">
        <v>0</v>
      </c>
      <c r="N364" t="n">
        <v>0</v>
      </c>
      <c r="O364" t="n">
        <v>0</v>
      </c>
      <c r="P364" t="n">
        <v>0</v>
      </c>
      <c r="Q364" t="n">
        <v>0</v>
      </c>
      <c r="R364" t="n">
        <v>0</v>
      </c>
      <c r="S364" t="n">
        <v>3</v>
      </c>
      <c r="T364" t="n">
        <v>3</v>
      </c>
      <c r="U364" t="n">
        <v>3</v>
      </c>
      <c r="V364" s="2" t="inlineStr">
        <is>
          <t>Spindelblomster
Fläcknycklar
Revlummer</t>
        </is>
      </c>
      <c r="W364">
        <f>HYPERLINK("https://klasma.github.io/Logging_2184/artfynd/A 12843-2024 artfynd.xlsx", "A 12843-2024")</f>
        <v/>
      </c>
      <c r="X364">
        <f>HYPERLINK("https://klasma.github.io/Logging_2184/kartor/A 12843-2024 karta.png", "A 12843-2024")</f>
        <v/>
      </c>
      <c r="Y364">
        <f>HYPERLINK("https://klasma.github.io/Logging_2184/kartor_geotiff/A 12843-2024 georefererad karta.tif", "A 12843-2024")</f>
        <v/>
      </c>
      <c r="AA364">
        <f>HYPERLINK("https://klasma.github.io/Logging_2184/klagomål/A 12843-2024 FSC-klagomål.docx", "A 12843-2024")</f>
        <v/>
      </c>
      <c r="AB364">
        <f>HYPERLINK("https://klasma.github.io/Logging_2184/klagomålsmail/A 12843-2024 FSC-klagomål mail.docx", "A 12843-2024")</f>
        <v/>
      </c>
      <c r="AC364">
        <f>HYPERLINK("https://klasma.github.io/Logging_2184/tillsyn/A 12843-2024 tillsynsbegäran.docx", "A 12843-2024")</f>
        <v/>
      </c>
      <c r="AD364">
        <f>HYPERLINK("https://klasma.github.io/Logging_2184/tillsynsmail/A 12843-2024 tillsynsbegäran mail.docx", "A 12843-2024")</f>
        <v/>
      </c>
    </row>
    <row r="365" ht="15" customHeight="1">
      <c r="A365" t="inlineStr">
        <is>
          <t>A 59253-2023</t>
        </is>
      </c>
      <c r="B365" t="inlineStr">
        <is>
          <t>avverkningsanmälan</t>
        </is>
      </c>
      <c r="C365" t="inlineStr">
        <is>
          <t>Föryngringsavverkning</t>
        </is>
      </c>
      <c r="D365" s="1" t="n">
        <v>45253</v>
      </c>
      <c r="E365" s="1" t="n">
        <v>46326</v>
      </c>
      <c r="F365" t="inlineStr">
        <is>
          <t>GÄVLEBORGS LÄN</t>
        </is>
      </c>
      <c r="G365" t="inlineStr">
        <is>
          <t>OVANÅKER</t>
        </is>
      </c>
      <c r="I365" t="n">
        <v>1.7</v>
      </c>
      <c r="J365" t="n">
        <v>0</v>
      </c>
      <c r="K365" t="n">
        <v>0</v>
      </c>
      <c r="L365" t="n">
        <v>3</v>
      </c>
      <c r="M365" t="n">
        <v>0</v>
      </c>
      <c r="N365" t="n">
        <v>0</v>
      </c>
      <c r="O365" t="n">
        <v>0</v>
      </c>
      <c r="P365" t="n">
        <v>0</v>
      </c>
      <c r="Q365" t="n">
        <v>3</v>
      </c>
      <c r="R365" t="n">
        <v>0</v>
      </c>
      <c r="S365" t="n">
        <v>3</v>
      </c>
      <c r="T365" t="n">
        <v>3</v>
      </c>
      <c r="U365" t="n">
        <v>3</v>
      </c>
      <c r="V365" s="2" t="inlineStr">
        <is>
          <t>Balclutha boica
Månlåsbräken
Vårstarr</t>
        </is>
      </c>
      <c r="W365">
        <f>HYPERLINK("https://klasma.github.io/Logging_2121/artfynd/A 59253-2023 artfynd.xlsx", "A 59253-2023")</f>
        <v/>
      </c>
      <c r="X365">
        <f>HYPERLINK("https://klasma.github.io/Logging_2121/kartor/A 59253-2023 karta.png", "A 59253-2023")</f>
        <v/>
      </c>
      <c r="Y365">
        <f>HYPERLINK("https://klasma.github.io/Logging_2121/kartor_geotiff/A 59253-2023 georefererad karta.tif", "A 59253-2023")</f>
        <v/>
      </c>
      <c r="AA365">
        <f>HYPERLINK("https://klasma.github.io/Logging_2121/klagomål/A 59253-2023 FSC-klagomål.docx", "A 59253-2023")</f>
        <v/>
      </c>
      <c r="AB365">
        <f>HYPERLINK("https://klasma.github.io/Logging_2121/klagomålsmail/A 59253-2023 FSC-klagomål mail.docx", "A 59253-2023")</f>
        <v/>
      </c>
      <c r="AC365">
        <f>HYPERLINK("https://klasma.github.io/Logging_2121/tillsyn/A 59253-2023 tillsynsbegäran.docx", "A 59253-2023")</f>
        <v/>
      </c>
      <c r="AD365">
        <f>HYPERLINK("https://klasma.github.io/Logging_2121/tillsynsmail/A 59253-2023 tillsynsbegäran mail.docx", "A 59253-2023")</f>
        <v/>
      </c>
    </row>
    <row r="366" ht="15" customHeight="1">
      <c r="A366" t="inlineStr">
        <is>
          <t>A 27884-2025</t>
        </is>
      </c>
      <c r="B366" t="inlineStr">
        <is>
          <t>avverkningsanmälan</t>
        </is>
      </c>
      <c r="C366" t="inlineStr">
        <is>
          <t>Föryngringsavverkning</t>
        </is>
      </c>
      <c r="D366" s="1" t="n">
        <v>45817</v>
      </c>
      <c r="E366" s="1" t="n">
        <v>46326</v>
      </c>
      <c r="F366" t="inlineStr">
        <is>
          <t>GÄVLEBORGS LÄN</t>
        </is>
      </c>
      <c r="G366" t="inlineStr">
        <is>
          <t>LJUSDAL</t>
        </is>
      </c>
      <c r="H366" t="inlineStr">
        <is>
          <t>Sveaskog</t>
        </is>
      </c>
      <c r="I366" t="n">
        <v>5.8</v>
      </c>
      <c r="J366" t="n">
        <v>1</v>
      </c>
      <c r="K366" t="n">
        <v>0</v>
      </c>
      <c r="L366" t="n">
        <v>1</v>
      </c>
      <c r="M366" t="n">
        <v>1</v>
      </c>
      <c r="N366" t="n">
        <v>0</v>
      </c>
      <c r="O366" t="n">
        <v>0</v>
      </c>
      <c r="P366" t="n">
        <v>0</v>
      </c>
      <c r="Q366" t="n">
        <v>2</v>
      </c>
      <c r="R366" t="n">
        <v>1</v>
      </c>
      <c r="S366" t="n">
        <v>3</v>
      </c>
      <c r="T366" t="n">
        <v>6</v>
      </c>
      <c r="U366" t="n">
        <v>4</v>
      </c>
      <c r="V366" s="2" t="inlineStr">
        <is>
          <t>Garnlav
Lunglav
Fläcknycklar</t>
        </is>
      </c>
      <c r="W366">
        <f>HYPERLINK("https://klasma.github.io/Logging_2161/artfynd/A 27884-2025 artfynd.xlsx", "A 27884-2025")</f>
        <v/>
      </c>
      <c r="X366">
        <f>HYPERLINK("https://klasma.github.io/Logging_2161/kartor/A 27884-2025 karta.png", "A 27884-2025")</f>
        <v/>
      </c>
      <c r="Y366">
        <f>HYPERLINK("https://klasma.github.io/Logging_2161/kartor_geotiff/A 27884-2025 georefererad karta.tif", "A 27884-2025")</f>
        <v/>
      </c>
      <c r="AA366">
        <f>HYPERLINK("https://klasma.github.io/Logging_2161/klagomål/A 27884-2025 FSC-klagomål.docx", "A 27884-2025")</f>
        <v/>
      </c>
      <c r="AB366">
        <f>HYPERLINK("https://klasma.github.io/Logging_2161/klagomålsmail/A 27884-2025 FSC-klagomål mail.docx", "A 27884-2025")</f>
        <v/>
      </c>
      <c r="AC366">
        <f>HYPERLINK("https://klasma.github.io/Logging_2161/tillsyn/A 27884-2025 tillsynsbegäran.docx", "A 27884-2025")</f>
        <v/>
      </c>
      <c r="AD366">
        <f>HYPERLINK("https://klasma.github.io/Logging_2161/tillsynsmail/A 27884-2025 tillsynsbegäran mail.docx", "A 27884-2025")</f>
        <v/>
      </c>
    </row>
    <row r="367" ht="15" customHeight="1">
      <c r="A367" t="inlineStr">
        <is>
          <t>A 42056-2023</t>
        </is>
      </c>
      <c r="B367" t="inlineStr">
        <is>
          <t>avverkningsanmälan</t>
        </is>
      </c>
      <c r="C367" t="inlineStr">
        <is>
          <t>Föryngringsavverkning</t>
        </is>
      </c>
      <c r="D367" s="1" t="n">
        <v>45177</v>
      </c>
      <c r="E367" s="1" t="n">
        <v>46326</v>
      </c>
      <c r="F367" t="inlineStr">
        <is>
          <t>GÄVLEBORGS LÄN</t>
        </is>
      </c>
      <c r="G367" t="inlineStr">
        <is>
          <t>OVANÅKER</t>
        </is>
      </c>
      <c r="I367" t="n">
        <v>14.7</v>
      </c>
      <c r="J367" t="n">
        <v>1</v>
      </c>
      <c r="K367" t="n">
        <v>1</v>
      </c>
      <c r="L367" t="n">
        <v>1</v>
      </c>
      <c r="M367" t="n">
        <v>0</v>
      </c>
      <c r="N367" t="n">
        <v>0</v>
      </c>
      <c r="O367" t="n">
        <v>0</v>
      </c>
      <c r="P367" t="n">
        <v>0</v>
      </c>
      <c r="Q367" t="n">
        <v>1</v>
      </c>
      <c r="R367" t="n">
        <v>0</v>
      </c>
      <c r="S367" t="n">
        <v>3</v>
      </c>
      <c r="T367" t="n">
        <v>3</v>
      </c>
      <c r="U367" t="n">
        <v>0</v>
      </c>
      <c r="V367" s="2" t="inlineStr">
        <is>
          <t>Lunglav
Korallblylav
Vanlig groda</t>
        </is>
      </c>
      <c r="W367">
        <f>HYPERLINK("https://klasma.github.io/Logging_2121/artfynd/A 42056-2023 artfynd.xlsx", "A 42056-2023")</f>
        <v/>
      </c>
      <c r="X367">
        <f>HYPERLINK("https://klasma.github.io/Logging_2121/kartor/A 42056-2023 karta.png", "A 42056-2023")</f>
        <v/>
      </c>
      <c r="Y367">
        <f>HYPERLINK("https://klasma.github.io/Logging_2121/kartor_geotiff/A 42056-2023 georefererad karta.tif", "A 42056-2023")</f>
        <v/>
      </c>
      <c r="AA367">
        <f>HYPERLINK("https://klasma.github.io/Logging_2121/klagomål/A 42056-2023 FSC-klagomål.docx", "A 42056-2023")</f>
        <v/>
      </c>
      <c r="AB367">
        <f>HYPERLINK("https://klasma.github.io/Logging_2121/klagomålsmail/A 42056-2023 FSC-klagomål mail.docx", "A 42056-2023")</f>
        <v/>
      </c>
      <c r="AC367">
        <f>HYPERLINK("https://klasma.github.io/Logging_2121/tillsyn/A 42056-2023 tillsynsbegäran.docx", "A 42056-2023")</f>
        <v/>
      </c>
      <c r="AD367">
        <f>HYPERLINK("https://klasma.github.io/Logging_2121/tillsynsmail/A 42056-2023 tillsynsbegäran mail.docx", "A 42056-2023")</f>
        <v/>
      </c>
    </row>
    <row r="368" ht="15" customHeight="1">
      <c r="A368" t="inlineStr">
        <is>
          <t>A 33783-2023</t>
        </is>
      </c>
      <c r="B368" t="inlineStr">
        <is>
          <t>avverkningsanmälan</t>
        </is>
      </c>
      <c r="C368" t="inlineStr">
        <is>
          <t>Föryngringsavverkning</t>
        </is>
      </c>
      <c r="D368" s="1" t="n">
        <v>45133</v>
      </c>
      <c r="E368" s="1" t="n">
        <v>46326</v>
      </c>
      <c r="F368" t="inlineStr">
        <is>
          <t>GÄVLEBORGS LÄN</t>
        </is>
      </c>
      <c r="G368" t="inlineStr">
        <is>
          <t>HUDIKSVALL</t>
        </is>
      </c>
      <c r="H368" t="inlineStr">
        <is>
          <t>Holmen skog AB</t>
        </is>
      </c>
      <c r="I368" t="n">
        <v>2.6</v>
      </c>
      <c r="J368" t="n">
        <v>0</v>
      </c>
      <c r="K368" t="n">
        <v>1</v>
      </c>
      <c r="L368" t="n">
        <v>1</v>
      </c>
      <c r="M368" t="n">
        <v>1</v>
      </c>
      <c r="N368" t="n">
        <v>0</v>
      </c>
      <c r="O368" t="n">
        <v>0</v>
      </c>
      <c r="P368" t="n">
        <v>0</v>
      </c>
      <c r="Q368" t="n">
        <v>2</v>
      </c>
      <c r="R368" t="n">
        <v>1</v>
      </c>
      <c r="S368" t="n">
        <v>3</v>
      </c>
      <c r="T368" t="n">
        <v>3</v>
      </c>
      <c r="U368" t="n">
        <v>3</v>
      </c>
      <c r="V368" s="2" t="inlineStr">
        <is>
          <t>Garnlav
Lunglav
Stuplav</t>
        </is>
      </c>
      <c r="W368">
        <f>HYPERLINK("https://klasma.github.io/Logging_2184/artfynd/A 33783-2023 artfynd.xlsx", "A 33783-2023")</f>
        <v/>
      </c>
      <c r="X368">
        <f>HYPERLINK("https://klasma.github.io/Logging_2184/kartor/A 33783-2023 karta.png", "A 33783-2023")</f>
        <v/>
      </c>
      <c r="Y368">
        <f>HYPERLINK("https://klasma.github.io/Logging_2184/kartor_geotiff/A 33783-2023 georefererad karta.tif", "A 33783-2023")</f>
        <v/>
      </c>
      <c r="AA368">
        <f>HYPERLINK("https://klasma.github.io/Logging_2184/klagomål/A 33783-2023 FSC-klagomål.docx", "A 33783-2023")</f>
        <v/>
      </c>
      <c r="AB368">
        <f>HYPERLINK("https://klasma.github.io/Logging_2184/klagomålsmail/A 33783-2023 FSC-klagomål mail.docx", "A 33783-2023")</f>
        <v/>
      </c>
      <c r="AC368">
        <f>HYPERLINK("https://klasma.github.io/Logging_2184/tillsyn/A 33783-2023 tillsynsbegäran.docx", "A 33783-2023")</f>
        <v/>
      </c>
      <c r="AD368">
        <f>HYPERLINK("https://klasma.github.io/Logging_2184/tillsynsmail/A 33783-2023 tillsynsbegäran mail.docx", "A 33783-2023")</f>
        <v/>
      </c>
    </row>
    <row r="369" ht="15" customHeight="1">
      <c r="A369" t="inlineStr">
        <is>
          <t>A 29626-2025</t>
        </is>
      </c>
      <c r="B369" t="inlineStr">
        <is>
          <t>avverkningsanmälan</t>
        </is>
      </c>
      <c r="C369" t="inlineStr">
        <is>
          <t>Föryngringsavverkning</t>
        </is>
      </c>
      <c r="D369" s="1" t="n">
        <v>45825</v>
      </c>
      <c r="E369" s="1" t="n">
        <v>46326</v>
      </c>
      <c r="F369" t="inlineStr">
        <is>
          <t>GÄVLEBORGS LÄN</t>
        </is>
      </c>
      <c r="G369" t="inlineStr">
        <is>
          <t>GÄVLE</t>
        </is>
      </c>
      <c r="H369" t="inlineStr">
        <is>
          <t>Bergvik skog väst AB</t>
        </is>
      </c>
      <c r="I369" t="n">
        <v>22.2</v>
      </c>
      <c r="J369" t="n">
        <v>2</v>
      </c>
      <c r="K369" t="n">
        <v>0</v>
      </c>
      <c r="L369" t="n">
        <v>2</v>
      </c>
      <c r="M369" t="n">
        <v>0</v>
      </c>
      <c r="N369" t="n">
        <v>0</v>
      </c>
      <c r="O369" t="n">
        <v>0</v>
      </c>
      <c r="P369" t="n">
        <v>0</v>
      </c>
      <c r="Q369" t="n">
        <v>2</v>
      </c>
      <c r="R369" t="n">
        <v>0</v>
      </c>
      <c r="S369" t="n">
        <v>3</v>
      </c>
      <c r="T369" t="n">
        <v>3</v>
      </c>
      <c r="U369" t="n">
        <v>2</v>
      </c>
      <c r="V369" s="2" t="inlineStr">
        <is>
          <t>Brunklöver
Höstlåsbräken
Mattlummer</t>
        </is>
      </c>
      <c r="W369">
        <f>HYPERLINK("https://klasma.github.io/Logging_2180/artfynd/A 29626-2025 artfynd.xlsx", "A 29626-2025")</f>
        <v/>
      </c>
      <c r="X369">
        <f>HYPERLINK("https://klasma.github.io/Logging_2180/kartor/A 29626-2025 karta.png", "A 29626-2025")</f>
        <v/>
      </c>
      <c r="Y369">
        <f>HYPERLINK("https://klasma.github.io/Logging_2180/kartor_geotiff/A 29626-2025 georefererad karta.tif", "A 29626-2025")</f>
        <v/>
      </c>
      <c r="AA369">
        <f>HYPERLINK("https://klasma.github.io/Logging_2180/klagomål/A 29626-2025 FSC-klagomål.docx", "A 29626-2025")</f>
        <v/>
      </c>
      <c r="AB369">
        <f>HYPERLINK("https://klasma.github.io/Logging_2180/klagomålsmail/A 29626-2025 FSC-klagomål mail.docx", "A 29626-2025")</f>
        <v/>
      </c>
      <c r="AC369">
        <f>HYPERLINK("https://klasma.github.io/Logging_2180/tillsyn/A 29626-2025 tillsynsbegäran.docx", "A 29626-2025")</f>
        <v/>
      </c>
      <c r="AD369">
        <f>HYPERLINK("https://klasma.github.io/Logging_2180/tillsynsmail/A 29626-2025 tillsynsbegäran mail.docx", "A 29626-2025")</f>
        <v/>
      </c>
    </row>
    <row r="370" ht="15" customHeight="1">
      <c r="A370" t="inlineStr">
        <is>
          <t>A 41242-2025</t>
        </is>
      </c>
      <c r="B370" t="inlineStr">
        <is>
          <t>avverkningsanmälan</t>
        </is>
      </c>
      <c r="C370" t="inlineStr">
        <is>
          <t>Föryngringsavverkning</t>
        </is>
      </c>
      <c r="D370" s="1" t="n">
        <v>45898</v>
      </c>
      <c r="E370" s="1" t="n">
        <v>46326</v>
      </c>
      <c r="F370" t="inlineStr">
        <is>
          <t>GÄVLEBORGS LÄN</t>
        </is>
      </c>
      <c r="G370" t="inlineStr">
        <is>
          <t>GÄVLE</t>
        </is>
      </c>
      <c r="H370" t="inlineStr">
        <is>
          <t>Bergvik skog väst AB</t>
        </is>
      </c>
      <c r="I370" t="n">
        <v>1.6</v>
      </c>
      <c r="J370" t="n">
        <v>1</v>
      </c>
      <c r="K370" t="n">
        <v>0</v>
      </c>
      <c r="L370" t="n">
        <v>1</v>
      </c>
      <c r="M370" t="n">
        <v>1</v>
      </c>
      <c r="N370" t="n">
        <v>0</v>
      </c>
      <c r="O370" t="n">
        <v>0</v>
      </c>
      <c r="P370" t="n">
        <v>0</v>
      </c>
      <c r="Q370" t="n">
        <v>2</v>
      </c>
      <c r="R370" t="n">
        <v>1</v>
      </c>
      <c r="S370" t="n">
        <v>3</v>
      </c>
      <c r="T370" t="n">
        <v>4</v>
      </c>
      <c r="U370" t="n">
        <v>0</v>
      </c>
      <c r="V370" s="2" t="inlineStr">
        <is>
          <t>Skrovlig taggsvamp
Kolflarnlav
Tjäder</t>
        </is>
      </c>
      <c r="W370">
        <f>HYPERLINK("https://klasma.github.io/Logging_2180/artfynd/A 41242-2025 artfynd.xlsx", "A 41242-2025")</f>
        <v/>
      </c>
      <c r="X370">
        <f>HYPERLINK("https://klasma.github.io/Logging_2180/kartor/A 41242-2025 karta.png", "A 41242-2025")</f>
        <v/>
      </c>
      <c r="Y370">
        <f>HYPERLINK("https://klasma.github.io/Logging_2180/kartor_geotiff/A 41242-2025 georefererad karta.tif", "A 41242-2025")</f>
        <v/>
      </c>
      <c r="AA370">
        <f>HYPERLINK("https://klasma.github.io/Logging_2180/klagomål/A 41242-2025 FSC-klagomål.docx", "A 41242-2025")</f>
        <v/>
      </c>
      <c r="AB370">
        <f>HYPERLINK("https://klasma.github.io/Logging_2180/klagomålsmail/A 41242-2025 FSC-klagomål mail.docx", "A 41242-2025")</f>
        <v/>
      </c>
      <c r="AC370">
        <f>HYPERLINK("https://klasma.github.io/Logging_2180/tillsyn/A 41242-2025 tillsynsbegäran.docx", "A 41242-2025")</f>
        <v/>
      </c>
      <c r="AD370">
        <f>HYPERLINK("https://klasma.github.io/Logging_2180/tillsynsmail/A 41242-2025 tillsynsbegäran mail.docx", "A 41242-2025")</f>
        <v/>
      </c>
      <c r="AE370">
        <f>HYPERLINK("https://klasma.github.io/Logging_2180/fåglar/A 41242-2025 prioriterade fågelarter.docx", "A 41242-2025")</f>
        <v/>
      </c>
    </row>
    <row r="371" ht="15" customHeight="1">
      <c r="A371" t="inlineStr">
        <is>
          <t>A 30295-2025</t>
        </is>
      </c>
      <c r="B371" t="inlineStr">
        <is>
          <t>avverkningsanmälan</t>
        </is>
      </c>
      <c r="C371" t="inlineStr">
        <is>
          <t>Föryngringsavverkning</t>
        </is>
      </c>
      <c r="D371" s="1" t="n">
        <v>45827</v>
      </c>
      <c r="E371" s="1" t="n">
        <v>46326</v>
      </c>
      <c r="F371" t="inlineStr">
        <is>
          <t>GÄVLEBORGS LÄN</t>
        </is>
      </c>
      <c r="G371" t="inlineStr">
        <is>
          <t>LJUSDAL</t>
        </is>
      </c>
      <c r="H371" t="inlineStr">
        <is>
          <t>Sveaskog</t>
        </is>
      </c>
      <c r="I371" t="n">
        <v>9.1</v>
      </c>
      <c r="J371" t="n">
        <v>0</v>
      </c>
      <c r="K371" t="n">
        <v>0</v>
      </c>
      <c r="L371" t="n">
        <v>2</v>
      </c>
      <c r="M371" t="n">
        <v>1</v>
      </c>
      <c r="N371" t="n">
        <v>0</v>
      </c>
      <c r="O371" t="n">
        <v>0</v>
      </c>
      <c r="P371" t="n">
        <v>0</v>
      </c>
      <c r="Q371" t="n">
        <v>3</v>
      </c>
      <c r="R371" t="n">
        <v>1</v>
      </c>
      <c r="S371" t="n">
        <v>3</v>
      </c>
      <c r="T371" t="n">
        <v>3</v>
      </c>
      <c r="U371" t="n">
        <v>0</v>
      </c>
      <c r="V371" s="2" t="inlineStr">
        <is>
          <t>Garnlav
Kolflarnlav
Lunglav</t>
        </is>
      </c>
      <c r="W371">
        <f>HYPERLINK("https://klasma.github.io/Logging_2161/artfynd/A 30295-2025 artfynd.xlsx", "A 30295-2025")</f>
        <v/>
      </c>
      <c r="X371">
        <f>HYPERLINK("https://klasma.github.io/Logging_2161/kartor/A 30295-2025 karta.png", "A 30295-2025")</f>
        <v/>
      </c>
      <c r="Y371">
        <f>HYPERLINK("https://klasma.github.io/Logging_2161/kartor_geotiff/A 30295-2025 georefererad karta.tif", "A 30295-2025")</f>
        <v/>
      </c>
      <c r="AA371">
        <f>HYPERLINK("https://klasma.github.io/Logging_2161/klagomål/A 30295-2025 FSC-klagomål.docx", "A 30295-2025")</f>
        <v/>
      </c>
      <c r="AB371">
        <f>HYPERLINK("https://klasma.github.io/Logging_2161/klagomålsmail/A 30295-2025 FSC-klagomål mail.docx", "A 30295-2025")</f>
        <v/>
      </c>
      <c r="AC371">
        <f>HYPERLINK("https://klasma.github.io/Logging_2161/tillsyn/A 30295-2025 tillsynsbegäran.docx", "A 30295-2025")</f>
        <v/>
      </c>
      <c r="AD371">
        <f>HYPERLINK("https://klasma.github.io/Logging_2161/tillsynsmail/A 30295-2025 tillsynsbegäran mail.docx", "A 30295-2025")</f>
        <v/>
      </c>
    </row>
    <row r="372" ht="15" customHeight="1">
      <c r="A372" t="inlineStr">
        <is>
          <t>A 32818-2025</t>
        </is>
      </c>
      <c r="B372" t="inlineStr">
        <is>
          <t>avverkningsanmälan</t>
        </is>
      </c>
      <c r="C372" t="inlineStr">
        <is>
          <t>Föryngringsavverkning</t>
        </is>
      </c>
      <c r="D372" s="1" t="n">
        <v>45839</v>
      </c>
      <c r="E372" s="1" t="n">
        <v>46326</v>
      </c>
      <c r="F372" t="inlineStr">
        <is>
          <t>GÄVLEBORGS LÄN</t>
        </is>
      </c>
      <c r="G372" t="inlineStr">
        <is>
          <t>LJUSDAL</t>
        </is>
      </c>
      <c r="H372" t="inlineStr">
        <is>
          <t>Sveaskog</t>
        </is>
      </c>
      <c r="I372" t="n">
        <v>2.8</v>
      </c>
      <c r="J372" t="n">
        <v>1</v>
      </c>
      <c r="K372" t="n">
        <v>0</v>
      </c>
      <c r="L372" t="n">
        <v>2</v>
      </c>
      <c r="M372" t="n">
        <v>0</v>
      </c>
      <c r="N372" t="n">
        <v>0</v>
      </c>
      <c r="O372" t="n">
        <v>0</v>
      </c>
      <c r="P372" t="n">
        <v>0</v>
      </c>
      <c r="Q372" t="n">
        <v>2</v>
      </c>
      <c r="R372" t="n">
        <v>0</v>
      </c>
      <c r="S372" t="n">
        <v>3</v>
      </c>
      <c r="T372" t="n">
        <v>3</v>
      </c>
      <c r="U372" t="n">
        <v>3</v>
      </c>
      <c r="V372" s="2" t="inlineStr">
        <is>
          <t>Kolflarnlav
Lunglav
Fläcknycklar</t>
        </is>
      </c>
      <c r="W372">
        <f>HYPERLINK("https://klasma.github.io/Logging_2161/artfynd/A 32818-2025 artfynd.xlsx", "A 32818-2025")</f>
        <v/>
      </c>
      <c r="X372">
        <f>HYPERLINK("https://klasma.github.io/Logging_2161/kartor/A 32818-2025 karta.png", "A 32818-2025")</f>
        <v/>
      </c>
      <c r="Y372">
        <f>HYPERLINK("https://klasma.github.io/Logging_2161/kartor_geotiff/A 32818-2025 georefererad karta.tif", "A 32818-2025")</f>
        <v/>
      </c>
      <c r="AA372">
        <f>HYPERLINK("https://klasma.github.io/Logging_2161/klagomål/A 32818-2025 FSC-klagomål.docx", "A 32818-2025")</f>
        <v/>
      </c>
      <c r="AB372">
        <f>HYPERLINK("https://klasma.github.io/Logging_2161/klagomålsmail/A 32818-2025 FSC-klagomål mail.docx", "A 32818-2025")</f>
        <v/>
      </c>
      <c r="AC372">
        <f>HYPERLINK("https://klasma.github.io/Logging_2161/tillsyn/A 32818-2025 tillsynsbegäran.docx", "A 32818-2025")</f>
        <v/>
      </c>
      <c r="AD372">
        <f>HYPERLINK("https://klasma.github.io/Logging_2161/tillsynsmail/A 32818-2025 tillsynsbegäran mail.docx", "A 32818-2025")</f>
        <v/>
      </c>
    </row>
    <row r="373" ht="15" customHeight="1">
      <c r="A373" t="inlineStr">
        <is>
          <t>A 45895-2025</t>
        </is>
      </c>
      <c r="B373" t="inlineStr">
        <is>
          <t>avverkningsanmälan</t>
        </is>
      </c>
      <c r="C373" t="inlineStr">
        <is>
          <t>Föryngringsavverkning</t>
        </is>
      </c>
      <c r="D373" s="1" t="n">
        <v>45923</v>
      </c>
      <c r="E373" s="1" t="n">
        <v>46326</v>
      </c>
      <c r="F373" t="inlineStr">
        <is>
          <t>GÄVLEBORGS LÄN</t>
        </is>
      </c>
      <c r="G373" t="inlineStr">
        <is>
          <t>LJUSDAL</t>
        </is>
      </c>
      <c r="H373" t="inlineStr">
        <is>
          <t>Sveaskog</t>
        </is>
      </c>
      <c r="I373" t="n">
        <v>8.199999999999999</v>
      </c>
      <c r="J373" t="n">
        <v>2</v>
      </c>
      <c r="K373" t="n">
        <v>1</v>
      </c>
      <c r="L373" t="n">
        <v>1</v>
      </c>
      <c r="M373" t="n">
        <v>1</v>
      </c>
      <c r="N373" t="n">
        <v>0</v>
      </c>
      <c r="O373" t="n">
        <v>0</v>
      </c>
      <c r="P373" t="n">
        <v>0</v>
      </c>
      <c r="Q373" t="n">
        <v>2</v>
      </c>
      <c r="R373" t="n">
        <v>1</v>
      </c>
      <c r="S373" t="n">
        <v>3</v>
      </c>
      <c r="T373" t="n">
        <v>4</v>
      </c>
      <c r="U373" t="n">
        <v>4</v>
      </c>
      <c r="V373" s="2" t="inlineStr">
        <is>
          <t>Knärot
Lunglav
Plattlummer</t>
        </is>
      </c>
      <c r="W373">
        <f>HYPERLINK("https://klasma.github.io/Logging_2161/artfynd/A 45895-2025 artfynd.xlsx", "A 45895-2025")</f>
        <v/>
      </c>
      <c r="X373">
        <f>HYPERLINK("https://klasma.github.io/Logging_2161/kartor/A 45895-2025 karta.png", "A 45895-2025")</f>
        <v/>
      </c>
      <c r="Y373">
        <f>HYPERLINK("https://klasma.github.io/Logging_2161/kartor_geotiff/A 45895-2025 georefererad karta.tif", "A 45895-2025")</f>
        <v/>
      </c>
      <c r="Z373">
        <f>HYPERLINK("https://klasma.github.io/Logging_2161/knärot/A 45895-2025 karta knärot.png", "A 45895-2025")</f>
        <v/>
      </c>
      <c r="AA373">
        <f>HYPERLINK("https://klasma.github.io/Logging_2161/klagomål/A 45895-2025 FSC-klagomål.docx", "A 45895-2025")</f>
        <v/>
      </c>
      <c r="AB373">
        <f>HYPERLINK("https://klasma.github.io/Logging_2161/klagomålsmail/A 45895-2025 FSC-klagomål mail.docx", "A 45895-2025")</f>
        <v/>
      </c>
      <c r="AC373">
        <f>HYPERLINK("https://klasma.github.io/Logging_2161/tillsyn/A 45895-2025 tillsynsbegäran.docx", "A 45895-2025")</f>
        <v/>
      </c>
      <c r="AD373">
        <f>HYPERLINK("https://klasma.github.io/Logging_2161/tillsynsmail/A 45895-2025 tillsynsbegäran mail.docx", "A 45895-2025")</f>
        <v/>
      </c>
    </row>
    <row r="374" ht="15" customHeight="1">
      <c r="A374" t="inlineStr">
        <is>
          <t>A 45450-2025</t>
        </is>
      </c>
      <c r="B374" t="inlineStr">
        <is>
          <t>avverkningsanmälan</t>
        </is>
      </c>
      <c r="C374" t="inlineStr">
        <is>
          <t>Avverkning för annat ändamål</t>
        </is>
      </c>
      <c r="D374" s="1" t="n">
        <v>45922</v>
      </c>
      <c r="E374" s="1" t="n">
        <v>46326</v>
      </c>
      <c r="F374" t="inlineStr">
        <is>
          <t>GÄVLEBORGS LÄN</t>
        </is>
      </c>
      <c r="G374" t="inlineStr">
        <is>
          <t>LJUSDAL</t>
        </is>
      </c>
      <c r="H374" t="inlineStr">
        <is>
          <t>Sveaskog</t>
        </is>
      </c>
      <c r="I374" t="n">
        <v>0.7</v>
      </c>
      <c r="J374" t="n">
        <v>0</v>
      </c>
      <c r="K374" t="n">
        <v>0</v>
      </c>
      <c r="L374" t="n">
        <v>2</v>
      </c>
      <c r="M374" t="n">
        <v>1</v>
      </c>
      <c r="N374" t="n">
        <v>0</v>
      </c>
      <c r="O374" t="n">
        <v>0</v>
      </c>
      <c r="P374" t="n">
        <v>0</v>
      </c>
      <c r="Q374" t="n">
        <v>3</v>
      </c>
      <c r="R374" t="n">
        <v>1</v>
      </c>
      <c r="S374" t="n">
        <v>3</v>
      </c>
      <c r="T374" t="n">
        <v>5</v>
      </c>
      <c r="U374" t="n">
        <v>5</v>
      </c>
      <c r="V374" s="2" t="inlineStr">
        <is>
          <t>Garnlav
Dvärgbägarlav
Lunglav</t>
        </is>
      </c>
      <c r="W374">
        <f>HYPERLINK("https://klasma.github.io/Logging_2161/artfynd/A 45450-2025 artfynd.xlsx", "A 45450-2025")</f>
        <v/>
      </c>
      <c r="X374">
        <f>HYPERLINK("https://klasma.github.io/Logging_2161/kartor/A 45450-2025 karta.png", "A 45450-2025")</f>
        <v/>
      </c>
      <c r="Y374">
        <f>HYPERLINK("https://klasma.github.io/Logging_2161/kartor_geotiff/A 45450-2025 georefererad karta.tif", "A 45450-2025")</f>
        <v/>
      </c>
      <c r="AA374">
        <f>HYPERLINK("https://klasma.github.io/Logging_2161/klagomål/A 45450-2025 FSC-klagomål.docx", "A 45450-2025")</f>
        <v/>
      </c>
      <c r="AB374">
        <f>HYPERLINK("https://klasma.github.io/Logging_2161/klagomålsmail/A 45450-2025 FSC-klagomål mail.docx", "A 45450-2025")</f>
        <v/>
      </c>
      <c r="AC374">
        <f>HYPERLINK("https://klasma.github.io/Logging_2161/tillsyn/A 45450-2025 tillsynsbegäran.docx", "A 45450-2025")</f>
        <v/>
      </c>
      <c r="AD374">
        <f>HYPERLINK("https://klasma.github.io/Logging_2161/tillsynsmail/A 45450-2025 tillsynsbegäran mail.docx", "A 45450-2025")</f>
        <v/>
      </c>
    </row>
    <row r="375" ht="15" customHeight="1">
      <c r="A375" t="inlineStr">
        <is>
          <t>A 25093-2024</t>
        </is>
      </c>
      <c r="B375" t="inlineStr">
        <is>
          <t>avverkningsanmälan</t>
        </is>
      </c>
      <c r="C375" t="inlineStr">
        <is>
          <t>Föryngringsavverkning</t>
        </is>
      </c>
      <c r="D375" s="1" t="n">
        <v>45462</v>
      </c>
      <c r="E375" s="1" t="n">
        <v>46326</v>
      </c>
      <c r="F375" t="inlineStr">
        <is>
          <t>GÄVLEBORGS LÄN</t>
        </is>
      </c>
      <c r="G375" t="inlineStr">
        <is>
          <t>LJUSDAL</t>
        </is>
      </c>
      <c r="H375" t="inlineStr">
        <is>
          <t>Bergvik skog väst AB</t>
        </is>
      </c>
      <c r="I375" t="n">
        <v>10.6</v>
      </c>
      <c r="J375" t="n">
        <v>1</v>
      </c>
      <c r="K375" t="n">
        <v>0</v>
      </c>
      <c r="L375" t="n">
        <v>0</v>
      </c>
      <c r="M375" t="n">
        <v>0</v>
      </c>
      <c r="N375" t="n">
        <v>0</v>
      </c>
      <c r="O375" t="n">
        <v>0</v>
      </c>
      <c r="P375" t="n">
        <v>0</v>
      </c>
      <c r="Q375" t="n">
        <v>0</v>
      </c>
      <c r="R375" t="n">
        <v>0</v>
      </c>
      <c r="S375" t="n">
        <v>3</v>
      </c>
      <c r="T375" t="n">
        <v>5</v>
      </c>
      <c r="U375" t="n">
        <v>5</v>
      </c>
      <c r="V375" s="2" t="inlineStr">
        <is>
          <t>Linnea
Stjärnstarr
Fläcknycklar</t>
        </is>
      </c>
      <c r="W375">
        <f>HYPERLINK("https://klasma.github.io/Logging_2161/artfynd/A 25093-2024 artfynd.xlsx", "A 25093-2024")</f>
        <v/>
      </c>
      <c r="X375">
        <f>HYPERLINK("https://klasma.github.io/Logging_2161/kartor/A 25093-2024 karta.png", "A 25093-2024")</f>
        <v/>
      </c>
      <c r="Y375">
        <f>HYPERLINK("https://klasma.github.io/Logging_2161/kartor_geotiff/A 25093-2024 georefererad karta.tif", "A 25093-2024")</f>
        <v/>
      </c>
      <c r="AA375">
        <f>HYPERLINK("https://klasma.github.io/Logging_2161/klagomål/A 25093-2024 FSC-klagomål.docx", "A 25093-2024")</f>
        <v/>
      </c>
      <c r="AB375">
        <f>HYPERLINK("https://klasma.github.io/Logging_2161/klagomålsmail/A 25093-2024 FSC-klagomål mail.docx", "A 25093-2024")</f>
        <v/>
      </c>
      <c r="AC375">
        <f>HYPERLINK("https://klasma.github.io/Logging_2161/tillsyn/A 25093-2024 tillsynsbegäran.docx", "A 25093-2024")</f>
        <v/>
      </c>
      <c r="AD375">
        <f>HYPERLINK("https://klasma.github.io/Logging_2161/tillsynsmail/A 25093-2024 tillsynsbegäran mail.docx", "A 25093-2024")</f>
        <v/>
      </c>
    </row>
    <row r="376" ht="15" customHeight="1">
      <c r="A376" t="inlineStr">
        <is>
          <t>A 26463-2024</t>
        </is>
      </c>
      <c r="B376" t="inlineStr">
        <is>
          <t>avverkningsanmälan</t>
        </is>
      </c>
      <c r="C376" t="inlineStr">
        <is>
          <t>Föryngringsavverkning</t>
        </is>
      </c>
      <c r="D376" s="1" t="n">
        <v>45469</v>
      </c>
      <c r="E376" s="1" t="n">
        <v>46326</v>
      </c>
      <c r="F376" t="inlineStr">
        <is>
          <t>GÄVLEBORGS LÄN</t>
        </is>
      </c>
      <c r="G376" t="inlineStr">
        <is>
          <t>OCKELBO</t>
        </is>
      </c>
      <c r="H376" t="inlineStr">
        <is>
          <t>Bergvik skog väst AB</t>
        </is>
      </c>
      <c r="I376" t="n">
        <v>3.6</v>
      </c>
      <c r="J376" t="n">
        <v>3</v>
      </c>
      <c r="K376" t="n">
        <v>1</v>
      </c>
      <c r="L376" t="n">
        <v>0</v>
      </c>
      <c r="M376" t="n">
        <v>0</v>
      </c>
      <c r="N376" t="n">
        <v>0</v>
      </c>
      <c r="O376" t="n">
        <v>0</v>
      </c>
      <c r="P376" t="n">
        <v>0</v>
      </c>
      <c r="Q376" t="n">
        <v>0</v>
      </c>
      <c r="R376" t="n">
        <v>0</v>
      </c>
      <c r="S376" t="n">
        <v>3</v>
      </c>
      <c r="T376" t="n">
        <v>8</v>
      </c>
      <c r="U376" t="n">
        <v>0</v>
      </c>
      <c r="V376" s="2" t="inlineStr">
        <is>
          <t>Tvåblad
Fläcknycklar
Revlummer</t>
        </is>
      </c>
      <c r="W376">
        <f>HYPERLINK("https://klasma.github.io/Logging_2101/artfynd/A 26463-2024 artfynd.xlsx", "A 26463-2024")</f>
        <v/>
      </c>
      <c r="X376">
        <f>HYPERLINK("https://klasma.github.io/Logging_2101/kartor/A 26463-2024 karta.png", "A 26463-2024")</f>
        <v/>
      </c>
      <c r="Y376">
        <f>HYPERLINK("https://klasma.github.io/Logging_2101/kartor_geotiff/A 26463-2024 georefererad karta.tif", "A 26463-2024")</f>
        <v/>
      </c>
      <c r="AA376">
        <f>HYPERLINK("https://klasma.github.io/Logging_2101/klagomål/A 26463-2024 FSC-klagomål.docx", "A 26463-2024")</f>
        <v/>
      </c>
      <c r="AB376">
        <f>HYPERLINK("https://klasma.github.io/Logging_2101/klagomålsmail/A 26463-2024 FSC-klagomål mail.docx", "A 26463-2024")</f>
        <v/>
      </c>
      <c r="AC376">
        <f>HYPERLINK("https://klasma.github.io/Logging_2101/tillsyn/A 26463-2024 tillsynsbegäran.docx", "A 26463-2024")</f>
        <v/>
      </c>
      <c r="AD376">
        <f>HYPERLINK("https://klasma.github.io/Logging_2101/tillsynsmail/A 26463-2024 tillsynsbegäran mail.docx", "A 26463-2024")</f>
        <v/>
      </c>
    </row>
    <row r="377" ht="15" customHeight="1">
      <c r="A377" t="inlineStr">
        <is>
          <t>A 50654-2025</t>
        </is>
      </c>
      <c r="B377" t="inlineStr">
        <is>
          <t>avverkningsanmälan</t>
        </is>
      </c>
      <c r="C377" t="inlineStr">
        <is>
          <t>Föryngringsavverkning</t>
        </is>
      </c>
      <c r="D377" s="1" t="n">
        <v>45945</v>
      </c>
      <c r="E377" s="1" t="n">
        <v>46326</v>
      </c>
      <c r="F377" t="inlineStr">
        <is>
          <t>GÄVLEBORGS LÄN</t>
        </is>
      </c>
      <c r="G377" t="inlineStr">
        <is>
          <t>LJUSDAL</t>
        </is>
      </c>
      <c r="H377" t="inlineStr">
        <is>
          <t>Sveaskog</t>
        </is>
      </c>
      <c r="I377" t="n">
        <v>6.3</v>
      </c>
      <c r="J377" t="n">
        <v>0</v>
      </c>
      <c r="K377" t="n">
        <v>0</v>
      </c>
      <c r="L377" t="n">
        <v>2</v>
      </c>
      <c r="M377" t="n">
        <v>1</v>
      </c>
      <c r="N377" t="n">
        <v>0</v>
      </c>
      <c r="O377" t="n">
        <v>0</v>
      </c>
      <c r="P377" t="n">
        <v>0</v>
      </c>
      <c r="Q377" t="n">
        <v>3</v>
      </c>
      <c r="R377" t="n">
        <v>1</v>
      </c>
      <c r="S377" t="n">
        <v>3</v>
      </c>
      <c r="T377" t="n">
        <v>4</v>
      </c>
      <c r="U377" t="n">
        <v>4</v>
      </c>
      <c r="V377" s="2" t="inlineStr">
        <is>
          <t>Garnlav
Lunglav
Skrovellav</t>
        </is>
      </c>
      <c r="W377">
        <f>HYPERLINK("https://klasma.github.io/Logging_2161/artfynd/A 50654-2025 artfynd.xlsx", "A 50654-2025")</f>
        <v/>
      </c>
      <c r="X377">
        <f>HYPERLINK("https://klasma.github.io/Logging_2161/kartor/A 50654-2025 karta.png", "A 50654-2025")</f>
        <v/>
      </c>
      <c r="Y377">
        <f>HYPERLINK("https://klasma.github.io/Logging_2161/kartor_geotiff/A 50654-2025 georefererad karta.tif", "A 50654-2025")</f>
        <v/>
      </c>
      <c r="AA377">
        <f>HYPERLINK("https://klasma.github.io/Logging_2161/klagomål/A 50654-2025 FSC-klagomål.docx", "A 50654-2025")</f>
        <v/>
      </c>
      <c r="AB377">
        <f>HYPERLINK("https://klasma.github.io/Logging_2161/klagomålsmail/A 50654-2025 FSC-klagomål mail.docx", "A 50654-2025")</f>
        <v/>
      </c>
      <c r="AC377">
        <f>HYPERLINK("https://klasma.github.io/Logging_2161/tillsyn/A 50654-2025 tillsynsbegäran.docx", "A 50654-2025")</f>
        <v/>
      </c>
      <c r="AD377">
        <f>HYPERLINK("https://klasma.github.io/Logging_2161/tillsynsmail/A 50654-2025 tillsynsbegäran mail.docx", "A 50654-2025")</f>
        <v/>
      </c>
    </row>
    <row r="378" ht="15" customHeight="1">
      <c r="A378" t="inlineStr">
        <is>
          <t>A 37786-2025</t>
        </is>
      </c>
      <c r="B378" t="inlineStr">
        <is>
          <t>avverkningsanmälan</t>
        </is>
      </c>
      <c r="C378" t="inlineStr">
        <is>
          <t>Föryngringsavverkning</t>
        </is>
      </c>
      <c r="D378" s="1" t="n">
        <v>45881</v>
      </c>
      <c r="E378" s="1" t="n">
        <v>46326</v>
      </c>
      <c r="F378" t="inlineStr">
        <is>
          <t>GÄVLEBORGS LÄN</t>
        </is>
      </c>
      <c r="G378" t="inlineStr">
        <is>
          <t>LJUSDAL</t>
        </is>
      </c>
      <c r="H378" t="inlineStr">
        <is>
          <t>Bergvik skog väst AB</t>
        </is>
      </c>
      <c r="I378" t="n">
        <v>7.9</v>
      </c>
      <c r="J378" t="n">
        <v>0</v>
      </c>
      <c r="K378" t="n">
        <v>2</v>
      </c>
      <c r="L378" t="n">
        <v>1</v>
      </c>
      <c r="M378" t="n">
        <v>0</v>
      </c>
      <c r="N378" t="n">
        <v>0</v>
      </c>
      <c r="O378" t="n">
        <v>0</v>
      </c>
      <c r="P378" t="n">
        <v>0</v>
      </c>
      <c r="Q378" t="n">
        <v>1</v>
      </c>
      <c r="R378" t="n">
        <v>0</v>
      </c>
      <c r="S378" t="n">
        <v>3</v>
      </c>
      <c r="T378" t="n">
        <v>3</v>
      </c>
      <c r="U378" t="n">
        <v>0</v>
      </c>
      <c r="V378" s="2" t="inlineStr">
        <is>
          <t>Lunglav
Kransrams
Tibast</t>
        </is>
      </c>
      <c r="W378">
        <f>HYPERLINK("https://klasma.github.io/Logging_2161/artfynd/A 37786-2025 artfynd.xlsx", "A 37786-2025")</f>
        <v/>
      </c>
      <c r="X378">
        <f>HYPERLINK("https://klasma.github.io/Logging_2161/kartor/A 37786-2025 karta.png", "A 37786-2025")</f>
        <v/>
      </c>
      <c r="Y378">
        <f>HYPERLINK("https://klasma.github.io/Logging_2161/kartor_geotiff/A 37786-2025 georefererad karta.tif", "A 37786-2025")</f>
        <v/>
      </c>
      <c r="AA378">
        <f>HYPERLINK("https://klasma.github.io/Logging_2161/klagomål/A 37786-2025 FSC-klagomål.docx", "A 37786-2025")</f>
        <v/>
      </c>
      <c r="AB378">
        <f>HYPERLINK("https://klasma.github.io/Logging_2161/klagomålsmail/A 37786-2025 FSC-klagomål mail.docx", "A 37786-2025")</f>
        <v/>
      </c>
      <c r="AC378">
        <f>HYPERLINK("https://klasma.github.io/Logging_2161/tillsyn/A 37786-2025 tillsynsbegäran.docx", "A 37786-2025")</f>
        <v/>
      </c>
      <c r="AD378">
        <f>HYPERLINK("https://klasma.github.io/Logging_2161/tillsynsmail/A 37786-2025 tillsynsbegäran mail.docx", "A 37786-2025")</f>
        <v/>
      </c>
    </row>
    <row r="379" ht="15" customHeight="1">
      <c r="A379" t="inlineStr">
        <is>
          <t>A 7064-2026</t>
        </is>
      </c>
      <c r="B379" t="inlineStr">
        <is>
          <t>avverkningsanmälan</t>
        </is>
      </c>
      <c r="C379" t="inlineStr">
        <is>
          <t>Föryngringsavverkning</t>
        </is>
      </c>
      <c r="D379" s="1" t="n">
        <v>46058</v>
      </c>
      <c r="E379" s="1" t="n">
        <v>46326</v>
      </c>
      <c r="F379" t="inlineStr">
        <is>
          <t>GÄVLEBORGS LÄN</t>
        </is>
      </c>
      <c r="G379" t="inlineStr">
        <is>
          <t>OVANÅKER</t>
        </is>
      </c>
      <c r="I379" t="n">
        <v>3.3</v>
      </c>
      <c r="J379" t="n">
        <v>0</v>
      </c>
      <c r="K379" t="n">
        <v>1</v>
      </c>
      <c r="L379" t="n">
        <v>2</v>
      </c>
      <c r="M379" t="n">
        <v>0</v>
      </c>
      <c r="N379" t="n">
        <v>0</v>
      </c>
      <c r="O379" t="n">
        <v>0</v>
      </c>
      <c r="P379" t="n">
        <v>0</v>
      </c>
      <c r="Q379" t="n">
        <v>2</v>
      </c>
      <c r="R379" t="n">
        <v>0</v>
      </c>
      <c r="S379" t="n">
        <v>3</v>
      </c>
      <c r="T379" t="n">
        <v>3</v>
      </c>
      <c r="U379" t="n">
        <v>0</v>
      </c>
      <c r="V379" s="2" t="inlineStr">
        <is>
          <t>Ljus ängsfingersvamp
Rökfingersvamp
Opalfingersvamp</t>
        </is>
      </c>
      <c r="W379">
        <f>HYPERLINK("https://klasma.github.io/Logging_2121/artfynd/A 7064-2026 artfynd.xlsx", "A 7064-2026")</f>
        <v/>
      </c>
      <c r="X379">
        <f>HYPERLINK("https://klasma.github.io/Logging_2121/kartor/A 7064-2026 karta.png", "A 7064-2026")</f>
        <v/>
      </c>
      <c r="Y379">
        <f>HYPERLINK("https://klasma.github.io/Logging_2121/kartor_geotiff/A 7064-2026 georefererad karta.tif", "A 7064-2026")</f>
        <v/>
      </c>
      <c r="AA379">
        <f>HYPERLINK("https://klasma.github.io/Logging_2121/klagomål/A 7064-2026 FSC-klagomål.docx", "A 7064-2026")</f>
        <v/>
      </c>
      <c r="AB379">
        <f>HYPERLINK("https://klasma.github.io/Logging_2121/klagomålsmail/A 7064-2026 FSC-klagomål mail.docx", "A 7064-2026")</f>
        <v/>
      </c>
      <c r="AC379">
        <f>HYPERLINK("https://klasma.github.io/Logging_2121/tillsyn/A 7064-2026 tillsynsbegäran.docx", "A 7064-2026")</f>
        <v/>
      </c>
      <c r="AD379">
        <f>HYPERLINK("https://klasma.github.io/Logging_2121/tillsynsmail/A 7064-2026 tillsynsbegäran mail.docx", "A 7064-2026")</f>
        <v/>
      </c>
    </row>
    <row r="380" ht="15" customHeight="1">
      <c r="A380" t="inlineStr">
        <is>
          <t>A 8049-2026</t>
        </is>
      </c>
      <c r="B380" t="inlineStr">
        <is>
          <t>avverkningsanmälan</t>
        </is>
      </c>
      <c r="C380" t="inlineStr">
        <is>
          <t>Föryngringsavverkning</t>
        </is>
      </c>
      <c r="D380" s="1" t="n">
        <v>46063</v>
      </c>
      <c r="E380" s="1" t="n">
        <v>46326</v>
      </c>
      <c r="F380" t="inlineStr">
        <is>
          <t>GÄVLEBORGS LÄN</t>
        </is>
      </c>
      <c r="G380" t="inlineStr">
        <is>
          <t>HUDIKSVALL</t>
        </is>
      </c>
      <c r="I380" t="n">
        <v>4</v>
      </c>
      <c r="J380" t="n">
        <v>1</v>
      </c>
      <c r="K380" t="n">
        <v>1</v>
      </c>
      <c r="L380" t="n">
        <v>1</v>
      </c>
      <c r="M380" t="n">
        <v>1</v>
      </c>
      <c r="N380" t="n">
        <v>0</v>
      </c>
      <c r="O380" t="n">
        <v>0</v>
      </c>
      <c r="P380" t="n">
        <v>0</v>
      </c>
      <c r="Q380" t="n">
        <v>2</v>
      </c>
      <c r="R380" t="n">
        <v>1</v>
      </c>
      <c r="S380" t="n">
        <v>3</v>
      </c>
      <c r="T380" t="n">
        <v>3</v>
      </c>
      <c r="U380" t="n">
        <v>0</v>
      </c>
      <c r="V380" s="2" t="inlineStr">
        <is>
          <t>Knärot
Blå taggsvamp
Kamjordstjärna</t>
        </is>
      </c>
      <c r="W380">
        <f>HYPERLINK("https://klasma.github.io/Logging_2184/artfynd/A 8049-2026 artfynd.xlsx", "A 8049-2026")</f>
        <v/>
      </c>
      <c r="X380">
        <f>HYPERLINK("https://klasma.github.io/Logging_2184/kartor/A 8049-2026 karta.png", "A 8049-2026")</f>
        <v/>
      </c>
      <c r="Y380">
        <f>HYPERLINK("https://klasma.github.io/Logging_2184/kartor_geotiff/A 8049-2026 georefererad karta.tif", "A 8049-2026")</f>
        <v/>
      </c>
      <c r="Z380">
        <f>HYPERLINK("https://klasma.github.io/Logging_2184/knärot/A 8049-2026 karta knärot.png", "A 8049-2026")</f>
        <v/>
      </c>
      <c r="AA380">
        <f>HYPERLINK("https://klasma.github.io/Logging_2184/klagomål/A 8049-2026 FSC-klagomål.docx", "A 8049-2026")</f>
        <v/>
      </c>
      <c r="AB380">
        <f>HYPERLINK("https://klasma.github.io/Logging_2184/klagomålsmail/A 8049-2026 FSC-klagomål mail.docx", "A 8049-2026")</f>
        <v/>
      </c>
      <c r="AC380">
        <f>HYPERLINK("https://klasma.github.io/Logging_2184/tillsyn/A 8049-2026 tillsynsbegäran.docx", "A 8049-2026")</f>
        <v/>
      </c>
      <c r="AD380">
        <f>HYPERLINK("https://klasma.github.io/Logging_2184/tillsynsmail/A 8049-2026 tillsynsbegäran mail.docx", "A 8049-2026")</f>
        <v/>
      </c>
    </row>
    <row r="381" ht="15" customHeight="1">
      <c r="A381" t="inlineStr">
        <is>
          <t>A 17707-2025</t>
        </is>
      </c>
      <c r="B381" t="inlineStr">
        <is>
          <t>avverkningsanmälan</t>
        </is>
      </c>
      <c r="C381" t="inlineStr">
        <is>
          <t>Föryngringsavverkning</t>
        </is>
      </c>
      <c r="D381" s="1" t="n">
        <v>45758</v>
      </c>
      <c r="E381" s="1" t="n">
        <v>46326</v>
      </c>
      <c r="F381" t="inlineStr">
        <is>
          <t>GÄVLEBORGS LÄN</t>
        </is>
      </c>
      <c r="G381" t="inlineStr">
        <is>
          <t>LJUSDAL</t>
        </is>
      </c>
      <c r="H381" t="inlineStr">
        <is>
          <t>Kyrkan</t>
        </is>
      </c>
      <c r="I381" t="n">
        <v>7.2</v>
      </c>
      <c r="J381" t="n">
        <v>2</v>
      </c>
      <c r="K381" t="n">
        <v>2</v>
      </c>
      <c r="L381" t="n">
        <v>0</v>
      </c>
      <c r="M381" t="n">
        <v>1</v>
      </c>
      <c r="N381" t="n">
        <v>0</v>
      </c>
      <c r="O381" t="n">
        <v>0</v>
      </c>
      <c r="P381" t="n">
        <v>0</v>
      </c>
      <c r="Q381" t="n">
        <v>1</v>
      </c>
      <c r="R381" t="n">
        <v>1</v>
      </c>
      <c r="S381" t="n">
        <v>3</v>
      </c>
      <c r="T381" t="n">
        <v>4</v>
      </c>
      <c r="U381" t="n">
        <v>4</v>
      </c>
      <c r="V381" s="2" t="inlineStr">
        <is>
          <t>Knärot
Grönpyrola
Plattlummer</t>
        </is>
      </c>
      <c r="W381">
        <f>HYPERLINK("https://klasma.github.io/Logging_2161/artfynd/A 17707-2025 artfynd.xlsx", "A 17707-2025")</f>
        <v/>
      </c>
      <c r="X381">
        <f>HYPERLINK("https://klasma.github.io/Logging_2161/kartor/A 17707-2025 karta.png", "A 17707-2025")</f>
        <v/>
      </c>
      <c r="Y381">
        <f>HYPERLINK("https://klasma.github.io/Logging_2161/kartor_geotiff/A 17707-2025 georefererad karta.tif", "A 17707-2025")</f>
        <v/>
      </c>
      <c r="Z381">
        <f>HYPERLINK("https://klasma.github.io/Logging_2161/knärot/A 17707-2025 karta knärot.png", "A 17707-2025")</f>
        <v/>
      </c>
      <c r="AA381">
        <f>HYPERLINK("https://klasma.github.io/Logging_2161/klagomål/A 17707-2025 FSC-klagomål.docx", "A 17707-2025")</f>
        <v/>
      </c>
      <c r="AB381">
        <f>HYPERLINK("https://klasma.github.io/Logging_2161/klagomålsmail/A 17707-2025 FSC-klagomål mail.docx", "A 17707-2025")</f>
        <v/>
      </c>
      <c r="AC381">
        <f>HYPERLINK("https://klasma.github.io/Logging_2161/tillsyn/A 17707-2025 tillsynsbegäran.docx", "A 17707-2025")</f>
        <v/>
      </c>
      <c r="AD381">
        <f>HYPERLINK("https://klasma.github.io/Logging_2161/tillsynsmail/A 17707-2025 tillsynsbegäran mail.docx", "A 17707-2025")</f>
        <v/>
      </c>
    </row>
    <row r="382" ht="15" customHeight="1">
      <c r="A382" t="inlineStr">
        <is>
          <t>A 30610-2023</t>
        </is>
      </c>
      <c r="B382" t="inlineStr">
        <is>
          <t>avverkningsanmälan</t>
        </is>
      </c>
      <c r="C382" t="inlineStr">
        <is>
          <t>Föryngringsavverkning</t>
        </is>
      </c>
      <c r="D382" s="1" t="n">
        <v>45112</v>
      </c>
      <c r="E382" s="1" t="n">
        <v>46326</v>
      </c>
      <c r="F382" t="inlineStr">
        <is>
          <t>GÄVLEBORGS LÄN</t>
        </is>
      </c>
      <c r="G382" t="inlineStr">
        <is>
          <t>LJUSDAL</t>
        </is>
      </c>
      <c r="H382" t="inlineStr">
        <is>
          <t>Sveaskog</t>
        </is>
      </c>
      <c r="I382" t="n">
        <v>3.2</v>
      </c>
      <c r="J382" t="n">
        <v>2</v>
      </c>
      <c r="K382" t="n">
        <v>0</v>
      </c>
      <c r="L382" t="n">
        <v>2</v>
      </c>
      <c r="M382" t="n">
        <v>1</v>
      </c>
      <c r="N382" t="n">
        <v>0</v>
      </c>
      <c r="O382" t="n">
        <v>0</v>
      </c>
      <c r="P382" t="n">
        <v>0</v>
      </c>
      <c r="Q382" t="n">
        <v>3</v>
      </c>
      <c r="R382" t="n">
        <v>1</v>
      </c>
      <c r="S382" t="n">
        <v>3</v>
      </c>
      <c r="T382" t="n">
        <v>5</v>
      </c>
      <c r="U382" t="n">
        <v>5</v>
      </c>
      <c r="V382" s="2" t="inlineStr">
        <is>
          <t>Knärot
Knottrig blåslav
Talltita</t>
        </is>
      </c>
      <c r="W382">
        <f>HYPERLINK("https://klasma.github.io/Logging_2161/artfynd/A 30610-2023 artfynd.xlsx", "A 30610-2023")</f>
        <v/>
      </c>
      <c r="X382">
        <f>HYPERLINK("https://klasma.github.io/Logging_2161/kartor/A 30610-2023 karta.png", "A 30610-2023")</f>
        <v/>
      </c>
      <c r="Y382">
        <f>HYPERLINK("https://klasma.github.io/Logging_2161/kartor_geotiff/A 30610-2023 georefererad karta.tif", "A 30610-2023")</f>
        <v/>
      </c>
      <c r="Z382">
        <f>HYPERLINK("https://klasma.github.io/Logging_2161/knärot/A 30610-2023 karta knärot.png", "A 30610-2023")</f>
        <v/>
      </c>
      <c r="AA382">
        <f>HYPERLINK("https://klasma.github.io/Logging_2161/klagomål/A 30610-2023 FSC-klagomål.docx", "A 30610-2023")</f>
        <v/>
      </c>
      <c r="AB382">
        <f>HYPERLINK("https://klasma.github.io/Logging_2161/klagomålsmail/A 30610-2023 FSC-klagomål mail.docx", "A 30610-2023")</f>
        <v/>
      </c>
      <c r="AC382">
        <f>HYPERLINK("https://klasma.github.io/Logging_2161/tillsyn/A 30610-2023 tillsynsbegäran.docx", "A 30610-2023")</f>
        <v/>
      </c>
      <c r="AD382">
        <f>HYPERLINK("https://klasma.github.io/Logging_2161/tillsynsmail/A 30610-2023 tillsynsbegäran mail.docx", "A 30610-2023")</f>
        <v/>
      </c>
      <c r="AE382">
        <f>HYPERLINK("https://klasma.github.io/Logging_2161/fåglar/A 30610-2023 prioriterade fågelarter.docx", "A 30610-2023")</f>
        <v/>
      </c>
    </row>
    <row r="383" ht="15" customHeight="1">
      <c r="A383" t="inlineStr">
        <is>
          <t>A 33608-2024</t>
        </is>
      </c>
      <c r="B383" t="inlineStr">
        <is>
          <t>avverkningsanmälan</t>
        </is>
      </c>
      <c r="C383" t="inlineStr">
        <is>
          <t>Föryngringsavverkning</t>
        </is>
      </c>
      <c r="D383" s="1" t="n">
        <v>45520</v>
      </c>
      <c r="E383" s="1" t="n">
        <v>46326</v>
      </c>
      <c r="F383" t="inlineStr">
        <is>
          <t>GÄVLEBORGS LÄN</t>
        </is>
      </c>
      <c r="G383" t="inlineStr">
        <is>
          <t>HUDIKSVALL</t>
        </is>
      </c>
      <c r="H383" t="inlineStr">
        <is>
          <t>Holmen skog AB</t>
        </is>
      </c>
      <c r="I383" t="n">
        <v>19.7</v>
      </c>
      <c r="J383" t="n">
        <v>1</v>
      </c>
      <c r="K383" t="n">
        <v>0</v>
      </c>
      <c r="L383" t="n">
        <v>1</v>
      </c>
      <c r="M383" t="n">
        <v>2</v>
      </c>
      <c r="N383" t="n">
        <v>0</v>
      </c>
      <c r="O383" t="n">
        <v>0</v>
      </c>
      <c r="P383" t="n">
        <v>0</v>
      </c>
      <c r="Q383" t="n">
        <v>3</v>
      </c>
      <c r="R383" t="n">
        <v>2</v>
      </c>
      <c r="S383" t="n">
        <v>3</v>
      </c>
      <c r="T383" t="n">
        <v>4</v>
      </c>
      <c r="U383" t="n">
        <v>4</v>
      </c>
      <c r="V383" s="2" t="inlineStr">
        <is>
          <t>Garnlav
Knärot
Ullticka</t>
        </is>
      </c>
      <c r="W383">
        <f>HYPERLINK("https://klasma.github.io/Logging_2184/artfynd/A 33608-2024 artfynd.xlsx", "A 33608-2024")</f>
        <v/>
      </c>
      <c r="X383">
        <f>HYPERLINK("https://klasma.github.io/Logging_2184/kartor/A 33608-2024 karta.png", "A 33608-2024")</f>
        <v/>
      </c>
      <c r="Y383">
        <f>HYPERLINK("https://klasma.github.io/Logging_2184/kartor_geotiff/A 33608-2024 georefererad karta.tif", "A 33608-2024")</f>
        <v/>
      </c>
      <c r="Z383">
        <f>HYPERLINK("https://klasma.github.io/Logging_2184/knärot/A 33608-2024 karta knärot.png", "A 33608-2024")</f>
        <v/>
      </c>
      <c r="AA383">
        <f>HYPERLINK("https://klasma.github.io/Logging_2184/klagomål/A 33608-2024 FSC-klagomål.docx", "A 33608-2024")</f>
        <v/>
      </c>
      <c r="AB383">
        <f>HYPERLINK("https://klasma.github.io/Logging_2184/klagomålsmail/A 33608-2024 FSC-klagomål mail.docx", "A 33608-2024")</f>
        <v/>
      </c>
      <c r="AC383">
        <f>HYPERLINK("https://klasma.github.io/Logging_2184/tillsyn/A 33608-2024 tillsynsbegäran.docx", "A 33608-2024")</f>
        <v/>
      </c>
      <c r="AD383">
        <f>HYPERLINK("https://klasma.github.io/Logging_2184/tillsynsmail/A 33608-2024 tillsynsbegäran mail.docx", "A 33608-2024")</f>
        <v/>
      </c>
    </row>
    <row r="384" ht="15" customHeight="1">
      <c r="A384" t="inlineStr">
        <is>
          <t>A 55108-2025</t>
        </is>
      </c>
      <c r="B384" t="inlineStr">
        <is>
          <t>avverkningsanmälan</t>
        </is>
      </c>
      <c r="C384" t="inlineStr">
        <is>
          <t>Avverkning för att bevara och utveckla /försöksver</t>
        </is>
      </c>
      <c r="D384" s="1" t="n">
        <v>45968</v>
      </c>
      <c r="E384" s="1" t="n">
        <v>46326</v>
      </c>
      <c r="F384" t="inlineStr">
        <is>
          <t>GÄVLEBORGS LÄN</t>
        </is>
      </c>
      <c r="G384" t="inlineStr">
        <is>
          <t>LJUSDAL</t>
        </is>
      </c>
      <c r="H384" t="inlineStr">
        <is>
          <t>Sveaskog</t>
        </is>
      </c>
      <c r="I384" t="n">
        <v>3.2</v>
      </c>
      <c r="J384" t="n">
        <v>0</v>
      </c>
      <c r="K384" t="n">
        <v>0</v>
      </c>
      <c r="L384" t="n">
        <v>2</v>
      </c>
      <c r="M384" t="n">
        <v>1</v>
      </c>
      <c r="N384" t="n">
        <v>0</v>
      </c>
      <c r="O384" t="n">
        <v>0</v>
      </c>
      <c r="P384" t="n">
        <v>0</v>
      </c>
      <c r="Q384" t="n">
        <v>3</v>
      </c>
      <c r="R384" t="n">
        <v>1</v>
      </c>
      <c r="S384" t="n">
        <v>3</v>
      </c>
      <c r="T384" t="n">
        <v>5</v>
      </c>
      <c r="U384" t="n">
        <v>4</v>
      </c>
      <c r="V384" s="2" t="inlineStr">
        <is>
          <t>Garnlav
Lunglav
Tallticka</t>
        </is>
      </c>
      <c r="W384">
        <f>HYPERLINK("https://klasma.github.io/Logging_2161/artfynd/A 55108-2025 artfynd.xlsx", "A 55108-2025")</f>
        <v/>
      </c>
      <c r="X384">
        <f>HYPERLINK("https://klasma.github.io/Logging_2161/kartor/A 55108-2025 karta.png", "A 55108-2025")</f>
        <v/>
      </c>
      <c r="Y384">
        <f>HYPERLINK("https://klasma.github.io/Logging_2161/kartor_geotiff/A 55108-2025 georefererad karta.tif", "A 55108-2025")</f>
        <v/>
      </c>
      <c r="AA384">
        <f>HYPERLINK("https://klasma.github.io/Logging_2161/klagomål/A 55108-2025 FSC-klagomål.docx", "A 55108-2025")</f>
        <v/>
      </c>
      <c r="AB384">
        <f>HYPERLINK("https://klasma.github.io/Logging_2161/klagomålsmail/A 55108-2025 FSC-klagomål mail.docx", "A 55108-2025")</f>
        <v/>
      </c>
      <c r="AC384">
        <f>HYPERLINK("https://klasma.github.io/Logging_2161/tillsyn/A 55108-2025 tillsynsbegäran.docx", "A 55108-2025")</f>
        <v/>
      </c>
      <c r="AD384">
        <f>HYPERLINK("https://klasma.github.io/Logging_2161/tillsynsmail/A 55108-2025 tillsynsbegäran mail.docx", "A 55108-2025")</f>
        <v/>
      </c>
    </row>
    <row r="385" ht="15" customHeight="1">
      <c r="A385" t="inlineStr">
        <is>
          <t>A 10169-2026</t>
        </is>
      </c>
      <c r="B385" t="inlineStr">
        <is>
          <t>avverkningsanmälan</t>
        </is>
      </c>
      <c r="C385" t="inlineStr">
        <is>
          <t>Föryngringsavverkning</t>
        </is>
      </c>
      <c r="D385" s="1" t="n">
        <v>46076</v>
      </c>
      <c r="E385" s="1" t="n">
        <v>46326</v>
      </c>
      <c r="F385" t="inlineStr">
        <is>
          <t>GÄVLEBORGS LÄN</t>
        </is>
      </c>
      <c r="G385" t="inlineStr">
        <is>
          <t>GÄVLE</t>
        </is>
      </c>
      <c r="I385" t="n">
        <v>2.1</v>
      </c>
      <c r="J385" t="n">
        <v>3</v>
      </c>
      <c r="K385" t="n">
        <v>0</v>
      </c>
      <c r="L385" t="n">
        <v>1</v>
      </c>
      <c r="M385" t="n">
        <v>0</v>
      </c>
      <c r="N385" t="n">
        <v>0</v>
      </c>
      <c r="O385" t="n">
        <v>0</v>
      </c>
      <c r="P385" t="n">
        <v>0</v>
      </c>
      <c r="Q385" t="n">
        <v>1</v>
      </c>
      <c r="R385" t="n">
        <v>0</v>
      </c>
      <c r="S385" t="n">
        <v>3</v>
      </c>
      <c r="T385" t="n">
        <v>3</v>
      </c>
      <c r="U385" t="n">
        <v>0</v>
      </c>
      <c r="V385" s="2" t="inlineStr">
        <is>
          <t>Nordfladdermus
Blåsippa
Vattenfladdermus</t>
        </is>
      </c>
      <c r="W385">
        <f>HYPERLINK("https://klasma.github.io/Logging_2180/artfynd/A 10169-2026 artfynd.xlsx", "A 10169-2026")</f>
        <v/>
      </c>
      <c r="X385">
        <f>HYPERLINK("https://klasma.github.io/Logging_2180/kartor/A 10169-2026 karta.png", "A 10169-2026")</f>
        <v/>
      </c>
      <c r="Y385">
        <f>HYPERLINK("https://klasma.github.io/Logging_2180/kartor_geotiff/A 10169-2026 georefererad karta.tif", "A 10169-2026")</f>
        <v/>
      </c>
      <c r="AA385">
        <f>HYPERLINK("https://klasma.github.io/Logging_2180/klagomål/A 10169-2026 FSC-klagomål.docx", "A 10169-2026")</f>
        <v/>
      </c>
      <c r="AB385">
        <f>HYPERLINK("https://klasma.github.io/Logging_2180/klagomålsmail/A 10169-2026 FSC-klagomål mail.docx", "A 10169-2026")</f>
        <v/>
      </c>
      <c r="AC385">
        <f>HYPERLINK("https://klasma.github.io/Logging_2180/tillsyn/A 10169-2026 tillsynsbegäran.docx", "A 10169-2026")</f>
        <v/>
      </c>
      <c r="AD385">
        <f>HYPERLINK("https://klasma.github.io/Logging_2180/tillsynsmail/A 10169-2026 tillsynsbegäran mail.docx", "A 10169-2026")</f>
        <v/>
      </c>
    </row>
    <row r="386" ht="15" customHeight="1">
      <c r="A386" t="inlineStr">
        <is>
          <t>A 36621-2024</t>
        </is>
      </c>
      <c r="B386" t="inlineStr">
        <is>
          <t>avverkningsanmälan</t>
        </is>
      </c>
      <c r="C386" t="inlineStr">
        <is>
          <t>Föryngringsavverkning</t>
        </is>
      </c>
      <c r="D386" s="1" t="n">
        <v>45537</v>
      </c>
      <c r="E386" s="1" t="n">
        <v>46326</v>
      </c>
      <c r="F386" t="inlineStr">
        <is>
          <t>GÄVLEBORGS LÄN</t>
        </is>
      </c>
      <c r="G386" t="inlineStr">
        <is>
          <t>LJUSDAL</t>
        </is>
      </c>
      <c r="H386" t="inlineStr">
        <is>
          <t>Sveaskog</t>
        </is>
      </c>
      <c r="I386" t="n">
        <v>2.9</v>
      </c>
      <c r="J386" t="n">
        <v>0</v>
      </c>
      <c r="K386" t="n">
        <v>0</v>
      </c>
      <c r="L386" t="n">
        <v>3</v>
      </c>
      <c r="M386" t="n">
        <v>0</v>
      </c>
      <c r="N386" t="n">
        <v>0</v>
      </c>
      <c r="O386" t="n">
        <v>0</v>
      </c>
      <c r="P386" t="n">
        <v>0</v>
      </c>
      <c r="Q386" t="n">
        <v>3</v>
      </c>
      <c r="R386" t="n">
        <v>0</v>
      </c>
      <c r="S386" t="n">
        <v>3</v>
      </c>
      <c r="T386" t="n">
        <v>3</v>
      </c>
      <c r="U386" t="n">
        <v>3</v>
      </c>
      <c r="V386" s="2" t="inlineStr">
        <is>
          <t>Kolflarnlav
Lunglav
Mörk kolflarnlav</t>
        </is>
      </c>
      <c r="W386">
        <f>HYPERLINK("https://klasma.github.io/Logging_2161/artfynd/A 36621-2024 artfynd.xlsx", "A 36621-2024")</f>
        <v/>
      </c>
      <c r="X386">
        <f>HYPERLINK("https://klasma.github.io/Logging_2161/kartor/A 36621-2024 karta.png", "A 36621-2024")</f>
        <v/>
      </c>
      <c r="Y386">
        <f>HYPERLINK("https://klasma.github.io/Logging_2161/kartor_geotiff/A 36621-2024 georefererad karta.tif", "A 36621-2024")</f>
        <v/>
      </c>
      <c r="AA386">
        <f>HYPERLINK("https://klasma.github.io/Logging_2161/klagomål/A 36621-2024 FSC-klagomål.docx", "A 36621-2024")</f>
        <v/>
      </c>
      <c r="AB386">
        <f>HYPERLINK("https://klasma.github.io/Logging_2161/klagomålsmail/A 36621-2024 FSC-klagomål mail.docx", "A 36621-2024")</f>
        <v/>
      </c>
      <c r="AC386">
        <f>HYPERLINK("https://klasma.github.io/Logging_2161/tillsyn/A 36621-2024 tillsynsbegäran.docx", "A 36621-2024")</f>
        <v/>
      </c>
      <c r="AD386">
        <f>HYPERLINK("https://klasma.github.io/Logging_2161/tillsynsmail/A 36621-2024 tillsynsbegäran mail.docx", "A 36621-2024")</f>
        <v/>
      </c>
    </row>
    <row r="387" ht="15" customHeight="1">
      <c r="A387" t="inlineStr">
        <is>
          <t>A 36629-2024</t>
        </is>
      </c>
      <c r="B387" t="inlineStr">
        <is>
          <t>avverkningsanmälan</t>
        </is>
      </c>
      <c r="C387" t="inlineStr">
        <is>
          <t>Föryngringsavverkning</t>
        </is>
      </c>
      <c r="D387" s="1" t="n">
        <v>45537</v>
      </c>
      <c r="E387" s="1" t="n">
        <v>46326</v>
      </c>
      <c r="F387" t="inlineStr">
        <is>
          <t>GÄVLEBORGS LÄN</t>
        </is>
      </c>
      <c r="G387" t="inlineStr">
        <is>
          <t>LJUSDAL</t>
        </is>
      </c>
      <c r="H387" t="inlineStr">
        <is>
          <t>Sveaskog</t>
        </is>
      </c>
      <c r="I387" t="n">
        <v>1.1</v>
      </c>
      <c r="J387" t="n">
        <v>0</v>
      </c>
      <c r="K387" t="n">
        <v>0</v>
      </c>
      <c r="L387" t="n">
        <v>2</v>
      </c>
      <c r="M387" t="n">
        <v>1</v>
      </c>
      <c r="N387" t="n">
        <v>0</v>
      </c>
      <c r="O387" t="n">
        <v>0</v>
      </c>
      <c r="P387" t="n">
        <v>0</v>
      </c>
      <c r="Q387" t="n">
        <v>3</v>
      </c>
      <c r="R387" t="n">
        <v>1</v>
      </c>
      <c r="S387" t="n">
        <v>3</v>
      </c>
      <c r="T387" t="n">
        <v>3</v>
      </c>
      <c r="U387" t="n">
        <v>3</v>
      </c>
      <c r="V387" s="2" t="inlineStr">
        <is>
          <t>Garnlav
Kolflarnlav
Mörk kolflarnlav</t>
        </is>
      </c>
      <c r="W387">
        <f>HYPERLINK("https://klasma.github.io/Logging_2161/artfynd/A 36629-2024 artfynd.xlsx", "A 36629-2024")</f>
        <v/>
      </c>
      <c r="X387">
        <f>HYPERLINK("https://klasma.github.io/Logging_2161/kartor/A 36629-2024 karta.png", "A 36629-2024")</f>
        <v/>
      </c>
      <c r="Y387">
        <f>HYPERLINK("https://klasma.github.io/Logging_2161/kartor_geotiff/A 36629-2024 georefererad karta.tif", "A 36629-2024")</f>
        <v/>
      </c>
      <c r="AA387">
        <f>HYPERLINK("https://klasma.github.io/Logging_2161/klagomål/A 36629-2024 FSC-klagomål.docx", "A 36629-2024")</f>
        <v/>
      </c>
      <c r="AB387">
        <f>HYPERLINK("https://klasma.github.io/Logging_2161/klagomålsmail/A 36629-2024 FSC-klagomål mail.docx", "A 36629-2024")</f>
        <v/>
      </c>
      <c r="AC387">
        <f>HYPERLINK("https://klasma.github.io/Logging_2161/tillsyn/A 36629-2024 tillsynsbegäran.docx", "A 36629-2024")</f>
        <v/>
      </c>
      <c r="AD387">
        <f>HYPERLINK("https://klasma.github.io/Logging_2161/tillsynsmail/A 36629-2024 tillsynsbegäran mail.docx", "A 36629-2024")</f>
        <v/>
      </c>
    </row>
    <row r="388" ht="15" customHeight="1">
      <c r="A388" t="inlineStr">
        <is>
          <t>A 38050-2024</t>
        </is>
      </c>
      <c r="B388" t="inlineStr">
        <is>
          <t>avverkningsanmälan</t>
        </is>
      </c>
      <c r="C388" t="inlineStr">
        <is>
          <t>Avverkning för att bevara och utveckla /försöksver</t>
        </is>
      </c>
      <c r="D388" s="1" t="n">
        <v>45544</v>
      </c>
      <c r="E388" s="1" t="n">
        <v>46326</v>
      </c>
      <c r="F388" t="inlineStr">
        <is>
          <t>GÄVLEBORGS LÄN</t>
        </is>
      </c>
      <c r="G388" t="inlineStr">
        <is>
          <t>NORDANSTIG</t>
        </is>
      </c>
      <c r="H388" t="inlineStr">
        <is>
          <t>Holmen skog AB</t>
        </is>
      </c>
      <c r="I388" t="n">
        <v>3.1</v>
      </c>
      <c r="J388" t="n">
        <v>2</v>
      </c>
      <c r="K388" t="n">
        <v>1</v>
      </c>
      <c r="L388" t="n">
        <v>1</v>
      </c>
      <c r="M388" t="n">
        <v>1</v>
      </c>
      <c r="N388" t="n">
        <v>0</v>
      </c>
      <c r="O388" t="n">
        <v>0</v>
      </c>
      <c r="P388" t="n">
        <v>0</v>
      </c>
      <c r="Q388" t="n">
        <v>2</v>
      </c>
      <c r="R388" t="n">
        <v>1</v>
      </c>
      <c r="S388" t="n">
        <v>3</v>
      </c>
      <c r="T388" t="n">
        <v>6</v>
      </c>
      <c r="U388" t="n">
        <v>6</v>
      </c>
      <c r="V388" s="2" t="inlineStr">
        <is>
          <t>Knärot
Tallticka
Plattlummer</t>
        </is>
      </c>
      <c r="W388">
        <f>HYPERLINK("https://klasma.github.io/Logging_2132/artfynd/A 38050-2024 artfynd.xlsx", "A 38050-2024")</f>
        <v/>
      </c>
      <c r="X388">
        <f>HYPERLINK("https://klasma.github.io/Logging_2132/kartor/A 38050-2024 karta.png", "A 38050-2024")</f>
        <v/>
      </c>
      <c r="Y388">
        <f>HYPERLINK("https://klasma.github.io/Logging_2132/kartor_geotiff/A 38050-2024 georefererad karta.tif", "A 38050-2024")</f>
        <v/>
      </c>
      <c r="Z388">
        <f>HYPERLINK("https://klasma.github.io/Logging_2132/knärot/A 38050-2024 karta knärot.png", "A 38050-2024")</f>
        <v/>
      </c>
      <c r="AA388">
        <f>HYPERLINK("https://klasma.github.io/Logging_2132/klagomål/A 38050-2024 FSC-klagomål.docx", "A 38050-2024")</f>
        <v/>
      </c>
      <c r="AB388">
        <f>HYPERLINK("https://klasma.github.io/Logging_2132/klagomålsmail/A 38050-2024 FSC-klagomål mail.docx", "A 38050-2024")</f>
        <v/>
      </c>
      <c r="AC388">
        <f>HYPERLINK("https://klasma.github.io/Logging_2132/tillsyn/A 38050-2024 tillsynsbegäran.docx", "A 38050-2024")</f>
        <v/>
      </c>
      <c r="AD388">
        <f>HYPERLINK("https://klasma.github.io/Logging_2132/tillsynsmail/A 38050-2024 tillsynsbegäran mail.docx", "A 38050-2024")</f>
        <v/>
      </c>
    </row>
    <row r="389" ht="15" customHeight="1">
      <c r="A389" t="inlineStr">
        <is>
          <t>A 59078-2025</t>
        </is>
      </c>
      <c r="B389" t="inlineStr">
        <is>
          <t>avverkningsanmälan</t>
        </is>
      </c>
      <c r="C389" t="inlineStr">
        <is>
          <t>Föryngringsavverkning</t>
        </is>
      </c>
      <c r="D389" s="1" t="n">
        <v>45988</v>
      </c>
      <c r="E389" s="1" t="n">
        <v>46326</v>
      </c>
      <c r="F389" t="inlineStr">
        <is>
          <t>GÄVLEBORGS LÄN</t>
        </is>
      </c>
      <c r="G389" t="inlineStr">
        <is>
          <t>LJUSDAL</t>
        </is>
      </c>
      <c r="I389" t="n">
        <v>16.4</v>
      </c>
      <c r="J389" t="n">
        <v>1</v>
      </c>
      <c r="K389" t="n">
        <v>0</v>
      </c>
      <c r="L389" t="n">
        <v>1</v>
      </c>
      <c r="M389" t="n">
        <v>0</v>
      </c>
      <c r="N389" t="n">
        <v>0</v>
      </c>
      <c r="O389" t="n">
        <v>0</v>
      </c>
      <c r="P389" t="n">
        <v>0</v>
      </c>
      <c r="Q389" t="n">
        <v>1</v>
      </c>
      <c r="R389" t="n">
        <v>0</v>
      </c>
      <c r="S389" t="n">
        <v>3</v>
      </c>
      <c r="T389" t="n">
        <v>3</v>
      </c>
      <c r="U389" t="n">
        <v>3</v>
      </c>
      <c r="V389" s="2" t="inlineStr">
        <is>
          <t>Kolflarnlav
Linnea
Tjäder</t>
        </is>
      </c>
      <c r="W389">
        <f>HYPERLINK("https://klasma.github.io/Logging_2161/artfynd/A 59078-2025 artfynd.xlsx", "A 59078-2025")</f>
        <v/>
      </c>
      <c r="X389">
        <f>HYPERLINK("https://klasma.github.io/Logging_2161/kartor/A 59078-2025 karta.png", "A 59078-2025")</f>
        <v/>
      </c>
      <c r="Y389">
        <f>HYPERLINK("https://klasma.github.io/Logging_2161/kartor_geotiff/A 59078-2025 georefererad karta.tif", "A 59078-2025")</f>
        <v/>
      </c>
      <c r="AA389">
        <f>HYPERLINK("https://klasma.github.io/Logging_2161/klagomål/A 59078-2025 FSC-klagomål.docx", "A 59078-2025")</f>
        <v/>
      </c>
      <c r="AB389">
        <f>HYPERLINK("https://klasma.github.io/Logging_2161/klagomålsmail/A 59078-2025 FSC-klagomål mail.docx", "A 59078-2025")</f>
        <v/>
      </c>
      <c r="AC389">
        <f>HYPERLINK("https://klasma.github.io/Logging_2161/tillsyn/A 59078-2025 tillsynsbegäran.docx", "A 59078-2025")</f>
        <v/>
      </c>
      <c r="AD389">
        <f>HYPERLINK("https://klasma.github.io/Logging_2161/tillsynsmail/A 59078-2025 tillsynsbegäran mail.docx", "A 59078-2025")</f>
        <v/>
      </c>
      <c r="AE389">
        <f>HYPERLINK("https://klasma.github.io/Logging_2161/fåglar/A 59078-2025 prioriterade fågelarter.docx", "A 59078-2025")</f>
        <v/>
      </c>
    </row>
    <row r="390" ht="15" customHeight="1">
      <c r="A390" t="inlineStr">
        <is>
          <t>A 59431-2025</t>
        </is>
      </c>
      <c r="B390" t="inlineStr">
        <is>
          <t>avverkningsanmälan</t>
        </is>
      </c>
      <c r="C390" t="inlineStr">
        <is>
          <t>Föryngringsavverkning</t>
        </is>
      </c>
      <c r="D390" s="1" t="n">
        <v>45989</v>
      </c>
      <c r="E390" s="1" t="n">
        <v>46326</v>
      </c>
      <c r="F390" t="inlineStr">
        <is>
          <t>GÄVLEBORGS LÄN</t>
        </is>
      </c>
      <c r="G390" t="inlineStr">
        <is>
          <t>BOLLNÄS</t>
        </is>
      </c>
      <c r="I390" t="n">
        <v>5.4</v>
      </c>
      <c r="J390" t="n">
        <v>0</v>
      </c>
      <c r="K390" t="n">
        <v>1</v>
      </c>
      <c r="L390" t="n">
        <v>1</v>
      </c>
      <c r="M390" t="n">
        <v>1</v>
      </c>
      <c r="N390" t="n">
        <v>0</v>
      </c>
      <c r="O390" t="n">
        <v>0</v>
      </c>
      <c r="P390" t="n">
        <v>0</v>
      </c>
      <c r="Q390" t="n">
        <v>2</v>
      </c>
      <c r="R390" t="n">
        <v>1</v>
      </c>
      <c r="S390" t="n">
        <v>3</v>
      </c>
      <c r="T390" t="n">
        <v>3</v>
      </c>
      <c r="U390" t="n">
        <v>3</v>
      </c>
      <c r="V390" s="2" t="inlineStr">
        <is>
          <t>Garnlav
Kolflarnlav
Bollvitmossa</t>
        </is>
      </c>
      <c r="W390">
        <f>HYPERLINK("https://klasma.github.io/Logging_2183/artfynd/A 59431-2025 artfynd.xlsx", "A 59431-2025")</f>
        <v/>
      </c>
      <c r="X390">
        <f>HYPERLINK("https://klasma.github.io/Logging_2183/kartor/A 59431-2025 karta.png", "A 59431-2025")</f>
        <v/>
      </c>
      <c r="Y390">
        <f>HYPERLINK("https://klasma.github.io/Logging_2183/kartor_geotiff/A 59431-2025 georefererad karta.tif", "A 59431-2025")</f>
        <v/>
      </c>
      <c r="AA390">
        <f>HYPERLINK("https://klasma.github.io/Logging_2183/klagomål/A 59431-2025 FSC-klagomål.docx", "A 59431-2025")</f>
        <v/>
      </c>
      <c r="AB390">
        <f>HYPERLINK("https://klasma.github.io/Logging_2183/klagomålsmail/A 59431-2025 FSC-klagomål mail.docx", "A 59431-2025")</f>
        <v/>
      </c>
      <c r="AC390">
        <f>HYPERLINK("https://klasma.github.io/Logging_2183/tillsyn/A 59431-2025 tillsynsbegäran.docx", "A 59431-2025")</f>
        <v/>
      </c>
      <c r="AD390">
        <f>HYPERLINK("https://klasma.github.io/Logging_2183/tillsynsmail/A 59431-2025 tillsynsbegäran mail.docx", "A 59431-2025")</f>
        <v/>
      </c>
    </row>
    <row r="391" ht="15" customHeight="1">
      <c r="A391" t="inlineStr">
        <is>
          <t>A 60322-2025</t>
        </is>
      </c>
      <c r="B391" t="inlineStr">
        <is>
          <t>avverkningsanmälan</t>
        </is>
      </c>
      <c r="C391" t="inlineStr">
        <is>
          <t>Föryngringsavverkning</t>
        </is>
      </c>
      <c r="D391" s="1" t="n">
        <v>45994</v>
      </c>
      <c r="E391" s="1" t="n">
        <v>46326</v>
      </c>
      <c r="F391" t="inlineStr">
        <is>
          <t>GÄVLEBORGS LÄN</t>
        </is>
      </c>
      <c r="G391" t="inlineStr">
        <is>
          <t>SÖDERHAMN</t>
        </is>
      </c>
      <c r="I391" t="n">
        <v>2.8</v>
      </c>
      <c r="J391" t="n">
        <v>2</v>
      </c>
      <c r="K391" t="n">
        <v>1</v>
      </c>
      <c r="L391" t="n">
        <v>0</v>
      </c>
      <c r="M391" t="n">
        <v>0</v>
      </c>
      <c r="N391" t="n">
        <v>0</v>
      </c>
      <c r="O391" t="n">
        <v>0</v>
      </c>
      <c r="P391" t="n">
        <v>0</v>
      </c>
      <c r="Q391" t="n">
        <v>0</v>
      </c>
      <c r="R391" t="n">
        <v>0</v>
      </c>
      <c r="S391" t="n">
        <v>3</v>
      </c>
      <c r="T391" t="n">
        <v>3</v>
      </c>
      <c r="U391" t="n">
        <v>2</v>
      </c>
      <c r="V391" s="2" t="inlineStr">
        <is>
          <t>Björksplintborre
Spillkråka
Kungsfågel</t>
        </is>
      </c>
      <c r="W391">
        <f>HYPERLINK("https://klasma.github.io/Logging_2182/artfynd/A 60322-2025 artfynd.xlsx", "A 60322-2025")</f>
        <v/>
      </c>
      <c r="X391">
        <f>HYPERLINK("https://klasma.github.io/Logging_2182/kartor/A 60322-2025 karta.png", "A 60322-2025")</f>
        <v/>
      </c>
      <c r="Y391">
        <f>HYPERLINK("https://klasma.github.io/Logging_2182/kartor_geotiff/A 60322-2025 georefererad karta.tif", "A 60322-2025")</f>
        <v/>
      </c>
      <c r="AA391">
        <f>HYPERLINK("https://klasma.github.io/Logging_2182/klagomål/A 60322-2025 FSC-klagomål.docx", "A 60322-2025")</f>
        <v/>
      </c>
      <c r="AB391">
        <f>HYPERLINK("https://klasma.github.io/Logging_2182/klagomålsmail/A 60322-2025 FSC-klagomål mail.docx", "A 60322-2025")</f>
        <v/>
      </c>
      <c r="AC391">
        <f>HYPERLINK("https://klasma.github.io/Logging_2182/tillsyn/A 60322-2025 tillsynsbegäran.docx", "A 60322-2025")</f>
        <v/>
      </c>
      <c r="AD391">
        <f>HYPERLINK("https://klasma.github.io/Logging_2182/tillsynsmail/A 60322-2025 tillsynsbegäran mail.docx", "A 60322-2025")</f>
        <v/>
      </c>
      <c r="AE391">
        <f>HYPERLINK("https://klasma.github.io/Logging_2182/fåglar/A 60322-2025 prioriterade fågelarter.docx", "A 60322-2025")</f>
        <v/>
      </c>
    </row>
    <row r="392" ht="15" customHeight="1">
      <c r="A392" t="inlineStr">
        <is>
          <t>A 35741-2025</t>
        </is>
      </c>
      <c r="B392" t="inlineStr">
        <is>
          <t>avverkningsanmälan</t>
        </is>
      </c>
      <c r="C392" t="inlineStr">
        <is>
          <t>Föryngringsavverkning</t>
        </is>
      </c>
      <c r="D392" s="1" t="n">
        <v>45860</v>
      </c>
      <c r="E392" s="1" t="n">
        <v>46326</v>
      </c>
      <c r="F392" t="inlineStr">
        <is>
          <t>GÄVLEBORGS LÄN</t>
        </is>
      </c>
      <c r="G392" t="inlineStr">
        <is>
          <t>HOFORS</t>
        </is>
      </c>
      <c r="H392" t="inlineStr">
        <is>
          <t>Sveaskog</t>
        </is>
      </c>
      <c r="I392" t="n">
        <v>3.9</v>
      </c>
      <c r="J392" t="n">
        <v>2</v>
      </c>
      <c r="K392" t="n">
        <v>0</v>
      </c>
      <c r="L392" t="n">
        <v>1</v>
      </c>
      <c r="M392" t="n">
        <v>1</v>
      </c>
      <c r="N392" t="n">
        <v>0</v>
      </c>
      <c r="O392" t="n">
        <v>0</v>
      </c>
      <c r="P392" t="n">
        <v>0</v>
      </c>
      <c r="Q392" t="n">
        <v>2</v>
      </c>
      <c r="R392" t="n">
        <v>1</v>
      </c>
      <c r="S392" t="n">
        <v>3</v>
      </c>
      <c r="T392" t="n">
        <v>4</v>
      </c>
      <c r="U392" t="n">
        <v>4</v>
      </c>
      <c r="V392" s="2" t="inlineStr">
        <is>
          <t>Knärot
Vedskivlav
Revlummer</t>
        </is>
      </c>
      <c r="W392">
        <f>HYPERLINK("https://klasma.github.io/Logging_2104/artfynd/A 35741-2025 artfynd.xlsx", "A 35741-2025")</f>
        <v/>
      </c>
      <c r="X392">
        <f>HYPERLINK("https://klasma.github.io/Logging_2104/kartor/A 35741-2025 karta.png", "A 35741-2025")</f>
        <v/>
      </c>
      <c r="Y392">
        <f>HYPERLINK("https://klasma.github.io/Logging_2104/kartor_geotiff/A 35741-2025 georefererad karta.tif", "A 35741-2025")</f>
        <v/>
      </c>
      <c r="Z392">
        <f>HYPERLINK("https://klasma.github.io/Logging_2104/knärot/A 35741-2025 karta knärot.png", "A 35741-2025")</f>
        <v/>
      </c>
      <c r="AA392">
        <f>HYPERLINK("https://klasma.github.io/Logging_2104/klagomål/A 35741-2025 FSC-klagomål.docx", "A 35741-2025")</f>
        <v/>
      </c>
      <c r="AB392">
        <f>HYPERLINK("https://klasma.github.io/Logging_2104/klagomålsmail/A 35741-2025 FSC-klagomål mail.docx", "A 35741-2025")</f>
        <v/>
      </c>
      <c r="AC392">
        <f>HYPERLINK("https://klasma.github.io/Logging_2104/tillsyn/A 35741-2025 tillsynsbegäran.docx", "A 35741-2025")</f>
        <v/>
      </c>
      <c r="AD392">
        <f>HYPERLINK("https://klasma.github.io/Logging_2104/tillsynsmail/A 35741-2025 tillsynsbegäran mail.docx", "A 35741-2025")</f>
        <v/>
      </c>
    </row>
    <row r="393" ht="15" customHeight="1">
      <c r="A393" t="inlineStr">
        <is>
          <t>A 12696-2026</t>
        </is>
      </c>
      <c r="B393" t="inlineStr">
        <is>
          <t>avverkningsanmälan</t>
        </is>
      </c>
      <c r="C393" t="inlineStr">
        <is>
          <t>Föryngringsavverkning</t>
        </is>
      </c>
      <c r="D393" s="1" t="n">
        <v>46091</v>
      </c>
      <c r="E393" s="1" t="n">
        <v>46326</v>
      </c>
      <c r="F393" t="inlineStr">
        <is>
          <t>GÄVLEBORGS LÄN</t>
        </is>
      </c>
      <c r="G393" t="inlineStr">
        <is>
          <t>SANDVIKEN</t>
        </is>
      </c>
      <c r="H393" t="inlineStr">
        <is>
          <t>Sveaskog</t>
        </is>
      </c>
      <c r="I393" t="n">
        <v>1.3</v>
      </c>
      <c r="J393" t="n">
        <v>3</v>
      </c>
      <c r="K393" t="n">
        <v>0</v>
      </c>
      <c r="L393" t="n">
        <v>0</v>
      </c>
      <c r="M393" t="n">
        <v>0</v>
      </c>
      <c r="N393" t="n">
        <v>0</v>
      </c>
      <c r="O393" t="n">
        <v>0</v>
      </c>
      <c r="P393" t="n">
        <v>0</v>
      </c>
      <c r="Q393" t="n">
        <v>0</v>
      </c>
      <c r="R393" t="n">
        <v>0</v>
      </c>
      <c r="S393" t="n">
        <v>3</v>
      </c>
      <c r="T393" t="n">
        <v>3</v>
      </c>
      <c r="U393" t="n">
        <v>0</v>
      </c>
      <c r="V393" s="2" t="inlineStr">
        <is>
          <t>Blåsippa
Fläcknycklar
Äkta lopplummer</t>
        </is>
      </c>
      <c r="W393">
        <f>HYPERLINK("https://klasma.github.io/Logging_2181/artfynd/A 12696-2026 artfynd.xlsx", "A 12696-2026")</f>
        <v/>
      </c>
      <c r="X393">
        <f>HYPERLINK("https://klasma.github.io/Logging_2181/kartor/A 12696-2026 karta.png", "A 12696-2026")</f>
        <v/>
      </c>
      <c r="Y393">
        <f>HYPERLINK("https://klasma.github.io/Logging_2181/kartor_geotiff/A 12696-2026 georefererad karta.tif", "A 12696-2026")</f>
        <v/>
      </c>
      <c r="AA393">
        <f>HYPERLINK("https://klasma.github.io/Logging_2181/klagomål/A 12696-2026 FSC-klagomål.docx", "A 12696-2026")</f>
        <v/>
      </c>
      <c r="AB393">
        <f>HYPERLINK("https://klasma.github.io/Logging_2181/klagomålsmail/A 12696-2026 FSC-klagomål mail.docx", "A 12696-2026")</f>
        <v/>
      </c>
      <c r="AC393">
        <f>HYPERLINK("https://klasma.github.io/Logging_2181/tillsyn/A 12696-2026 tillsynsbegäran.docx", "A 12696-2026")</f>
        <v/>
      </c>
      <c r="AD393">
        <f>HYPERLINK("https://klasma.github.io/Logging_2181/tillsynsmail/A 12696-2026 tillsynsbegäran mail.docx", "A 12696-2026")</f>
        <v/>
      </c>
    </row>
    <row r="394" ht="15" customHeight="1">
      <c r="A394" t="inlineStr">
        <is>
          <t>A 39889-2024</t>
        </is>
      </c>
      <c r="B394" t="inlineStr">
        <is>
          <t>avverkningsanmälan</t>
        </is>
      </c>
      <c r="C394" t="inlineStr">
        <is>
          <t>Avverkning för att bevara och utveckla /försöksver</t>
        </is>
      </c>
      <c r="D394" s="1" t="n">
        <v>45553</v>
      </c>
      <c r="E394" s="1" t="n">
        <v>46326</v>
      </c>
      <c r="F394" t="inlineStr">
        <is>
          <t>GÄVLEBORGS LÄN</t>
        </is>
      </c>
      <c r="G394" t="inlineStr">
        <is>
          <t>LJUSDAL</t>
        </is>
      </c>
      <c r="H394" t="inlineStr">
        <is>
          <t>Sveaskog</t>
        </is>
      </c>
      <c r="I394" t="n">
        <v>1.5</v>
      </c>
      <c r="J394" t="n">
        <v>1</v>
      </c>
      <c r="K394" t="n">
        <v>0</v>
      </c>
      <c r="L394" t="n">
        <v>2</v>
      </c>
      <c r="M394" t="n">
        <v>1</v>
      </c>
      <c r="N394" t="n">
        <v>0</v>
      </c>
      <c r="O394" t="n">
        <v>0</v>
      </c>
      <c r="P394" t="n">
        <v>0</v>
      </c>
      <c r="Q394" t="n">
        <v>3</v>
      </c>
      <c r="R394" t="n">
        <v>1</v>
      </c>
      <c r="S394" t="n">
        <v>3</v>
      </c>
      <c r="T394" t="n">
        <v>5</v>
      </c>
      <c r="U394" t="n">
        <v>0</v>
      </c>
      <c r="V394" s="2" t="inlineStr">
        <is>
          <t>Knärot
Lunglav
Ullticka</t>
        </is>
      </c>
      <c r="W394">
        <f>HYPERLINK("https://klasma.github.io/Logging_2161/artfynd/A 39889-2024 artfynd.xlsx", "A 39889-2024")</f>
        <v/>
      </c>
      <c r="X394">
        <f>HYPERLINK("https://klasma.github.io/Logging_2161/kartor/A 39889-2024 karta.png", "A 39889-2024")</f>
        <v/>
      </c>
      <c r="Y394">
        <f>HYPERLINK("https://klasma.github.io/Logging_2161/kartor_geotiff/A 39889-2024 georefererad karta.tif", "A 39889-2024")</f>
        <v/>
      </c>
      <c r="Z394">
        <f>HYPERLINK("https://klasma.github.io/Logging_2161/knärot/A 39889-2024 karta knärot.png", "A 39889-2024")</f>
        <v/>
      </c>
      <c r="AA394">
        <f>HYPERLINK("https://klasma.github.io/Logging_2161/klagomål/A 39889-2024 FSC-klagomål.docx", "A 39889-2024")</f>
        <v/>
      </c>
      <c r="AB394">
        <f>HYPERLINK("https://klasma.github.io/Logging_2161/klagomålsmail/A 39889-2024 FSC-klagomål mail.docx", "A 39889-2024")</f>
        <v/>
      </c>
      <c r="AC394">
        <f>HYPERLINK("https://klasma.github.io/Logging_2161/tillsyn/A 39889-2024 tillsynsbegäran.docx", "A 39889-2024")</f>
        <v/>
      </c>
      <c r="AD394">
        <f>HYPERLINK("https://klasma.github.io/Logging_2161/tillsynsmail/A 39889-2024 tillsynsbegäran mail.docx", "A 39889-2024")</f>
        <v/>
      </c>
    </row>
    <row r="395" ht="15" customHeight="1">
      <c r="A395" t="inlineStr">
        <is>
          <t>A 12028-2026</t>
        </is>
      </c>
      <c r="B395" t="inlineStr">
        <is>
          <t>avverkningsanmälan</t>
        </is>
      </c>
      <c r="C395" t="inlineStr">
        <is>
          <t>Föryngringsavverkning</t>
        </is>
      </c>
      <c r="D395" s="1" t="n">
        <v>46085</v>
      </c>
      <c r="E395" s="1" t="n">
        <v>46326</v>
      </c>
      <c r="F395" t="inlineStr">
        <is>
          <t>GÄVLEBORGS LÄN</t>
        </is>
      </c>
      <c r="G395" t="inlineStr">
        <is>
          <t>HUDIKSVALL</t>
        </is>
      </c>
      <c r="I395" t="n">
        <v>6.6</v>
      </c>
      <c r="J395" t="n">
        <v>3</v>
      </c>
      <c r="K395" t="n">
        <v>0</v>
      </c>
      <c r="L395" t="n">
        <v>0</v>
      </c>
      <c r="M395" t="n">
        <v>0</v>
      </c>
      <c r="N395" t="n">
        <v>0</v>
      </c>
      <c r="O395" t="n">
        <v>0</v>
      </c>
      <c r="P395" t="n">
        <v>0</v>
      </c>
      <c r="Q395" t="n">
        <v>0</v>
      </c>
      <c r="R395" t="n">
        <v>0</v>
      </c>
      <c r="S395" t="n">
        <v>3</v>
      </c>
      <c r="T395" t="n">
        <v>3</v>
      </c>
      <c r="U395" t="n">
        <v>0</v>
      </c>
      <c r="V395" s="2" t="inlineStr">
        <is>
          <t>Mattlummer
Brudsporre
Fläcknycklar</t>
        </is>
      </c>
      <c r="W395">
        <f>HYPERLINK("https://klasma.github.io/Logging_2184/artfynd/A 12028-2026 artfynd.xlsx", "A 12028-2026")</f>
        <v/>
      </c>
      <c r="X395">
        <f>HYPERLINK("https://klasma.github.io/Logging_2184/kartor/A 12028-2026 karta.png", "A 12028-2026")</f>
        <v/>
      </c>
      <c r="Y395">
        <f>HYPERLINK("https://klasma.github.io/Logging_2184/kartor_geotiff/A 12028-2026 georefererad karta.tif", "A 12028-2026")</f>
        <v/>
      </c>
      <c r="AA395">
        <f>HYPERLINK("https://klasma.github.io/Logging_2184/klagomål/A 12028-2026 FSC-klagomål.docx", "A 12028-2026")</f>
        <v/>
      </c>
      <c r="AB395">
        <f>HYPERLINK("https://klasma.github.io/Logging_2184/klagomålsmail/A 12028-2026 FSC-klagomål mail.docx", "A 12028-2026")</f>
        <v/>
      </c>
      <c r="AC395">
        <f>HYPERLINK("https://klasma.github.io/Logging_2184/tillsyn/A 12028-2026 tillsynsbegäran.docx", "A 12028-2026")</f>
        <v/>
      </c>
      <c r="AD395">
        <f>HYPERLINK("https://klasma.github.io/Logging_2184/tillsynsmail/A 12028-2026 tillsynsbegäran mail.docx", "A 12028-2026")</f>
        <v/>
      </c>
    </row>
    <row r="396" ht="15" customHeight="1">
      <c r="A396" t="inlineStr">
        <is>
          <t>A 61618-2025</t>
        </is>
      </c>
      <c r="B396" t="inlineStr">
        <is>
          <t>avverkningsanmälan</t>
        </is>
      </c>
      <c r="C396" t="inlineStr">
        <is>
          <t>Föryngringsavverkning</t>
        </is>
      </c>
      <c r="D396" s="1" t="n">
        <v>46002</v>
      </c>
      <c r="E396" s="1" t="n">
        <v>46326</v>
      </c>
      <c r="F396" t="inlineStr">
        <is>
          <t>GÄVLEBORGS LÄN</t>
        </is>
      </c>
      <c r="G396" t="inlineStr">
        <is>
          <t>LJUSDAL</t>
        </is>
      </c>
      <c r="I396" t="n">
        <v>0.8</v>
      </c>
      <c r="J396" t="n">
        <v>0</v>
      </c>
      <c r="K396" t="n">
        <v>1</v>
      </c>
      <c r="L396" t="n">
        <v>2</v>
      </c>
      <c r="M396" t="n">
        <v>0</v>
      </c>
      <c r="N396" t="n">
        <v>0</v>
      </c>
      <c r="O396" t="n">
        <v>0</v>
      </c>
      <c r="P396" t="n">
        <v>0</v>
      </c>
      <c r="Q396" t="n">
        <v>2</v>
      </c>
      <c r="R396" t="n">
        <v>0</v>
      </c>
      <c r="S396" t="n">
        <v>3</v>
      </c>
      <c r="T396" t="n">
        <v>8</v>
      </c>
      <c r="U396" t="n">
        <v>0</v>
      </c>
      <c r="V396" s="2" t="inlineStr">
        <is>
          <t>Rosenticka
Rynkskinn
Zontaggsvamp</t>
        </is>
      </c>
      <c r="W396">
        <f>HYPERLINK("https://klasma.github.io/Logging_2161/artfynd/A 61618-2025 artfynd.xlsx", "A 61618-2025")</f>
        <v/>
      </c>
      <c r="X396">
        <f>HYPERLINK("https://klasma.github.io/Logging_2161/kartor/A 61618-2025 karta.png", "A 61618-2025")</f>
        <v/>
      </c>
      <c r="Y396">
        <f>HYPERLINK("https://klasma.github.io/Logging_2161/kartor_geotiff/A 61618-2025 georefererad karta.tif", "A 61618-2025")</f>
        <v/>
      </c>
      <c r="Z396">
        <f>HYPERLINK("https://klasma.github.io/Logging_2161/knärot/A 61618-2025 karta knärot.png", "A 61618-2025")</f>
        <v/>
      </c>
      <c r="AA396">
        <f>HYPERLINK("https://klasma.github.io/Logging_2161/klagomål/A 61618-2025 FSC-klagomål.docx", "A 61618-2025")</f>
        <v/>
      </c>
      <c r="AB396">
        <f>HYPERLINK("https://klasma.github.io/Logging_2161/klagomålsmail/A 61618-2025 FSC-klagomål mail.docx", "A 61618-2025")</f>
        <v/>
      </c>
      <c r="AC396">
        <f>HYPERLINK("https://klasma.github.io/Logging_2161/tillsyn/A 61618-2025 tillsynsbegäran.docx", "A 61618-2025")</f>
        <v/>
      </c>
      <c r="AD396">
        <f>HYPERLINK("https://klasma.github.io/Logging_2161/tillsynsmail/A 61618-2025 tillsynsbegäran mail.docx", "A 61618-2025")</f>
        <v/>
      </c>
    </row>
    <row r="397" ht="15" customHeight="1">
      <c r="A397" t="inlineStr">
        <is>
          <t>A 6378-2023</t>
        </is>
      </c>
      <c r="B397" t="inlineStr">
        <is>
          <t>avverkningsanmälan</t>
        </is>
      </c>
      <c r="C397" t="inlineStr">
        <is>
          <t>Avverkning för annat ändamål</t>
        </is>
      </c>
      <c r="D397" s="1" t="n">
        <v>44965</v>
      </c>
      <c r="E397" s="1" t="n">
        <v>46326</v>
      </c>
      <c r="F397" t="inlineStr">
        <is>
          <t>GÄVLEBORGS LÄN</t>
        </is>
      </c>
      <c r="G397" t="inlineStr">
        <is>
          <t>SANDVIKEN</t>
        </is>
      </c>
      <c r="I397" t="n">
        <v>4</v>
      </c>
      <c r="J397" t="n">
        <v>3</v>
      </c>
      <c r="K397" t="n">
        <v>0</v>
      </c>
      <c r="L397" t="n">
        <v>1</v>
      </c>
      <c r="M397" t="n">
        <v>0</v>
      </c>
      <c r="N397" t="n">
        <v>0</v>
      </c>
      <c r="O397" t="n">
        <v>0</v>
      </c>
      <c r="P397" t="n">
        <v>0</v>
      </c>
      <c r="Q397" t="n">
        <v>1</v>
      </c>
      <c r="R397" t="n">
        <v>0</v>
      </c>
      <c r="S397" t="n">
        <v>3</v>
      </c>
      <c r="T397" t="n">
        <v>3</v>
      </c>
      <c r="U397" t="n">
        <v>2</v>
      </c>
      <c r="V397" s="2" t="inlineStr">
        <is>
          <t>Rödvingetrast
Törnskata
Vanlig groda</t>
        </is>
      </c>
      <c r="W397">
        <f>HYPERLINK("https://klasma.github.io/Logging_2181/artfynd/A 6378-2023 artfynd.xlsx", "A 6378-2023")</f>
        <v/>
      </c>
      <c r="X397">
        <f>HYPERLINK("https://klasma.github.io/Logging_2181/kartor/A 6378-2023 karta.png", "A 6378-2023")</f>
        <v/>
      </c>
      <c r="Y397">
        <f>HYPERLINK("https://klasma.github.io/Logging_2181/kartor_geotiff/A 6378-2023 georefererad karta.tif", "A 6378-2023")</f>
        <v/>
      </c>
      <c r="AA397">
        <f>HYPERLINK("https://klasma.github.io/Logging_2181/klagomål/A 6378-2023 FSC-klagomål.docx", "A 6378-2023")</f>
        <v/>
      </c>
      <c r="AB397">
        <f>HYPERLINK("https://klasma.github.io/Logging_2181/klagomålsmail/A 6378-2023 FSC-klagomål mail.docx", "A 6378-2023")</f>
        <v/>
      </c>
      <c r="AC397">
        <f>HYPERLINK("https://klasma.github.io/Logging_2181/tillsyn/A 6378-2023 tillsynsbegäran.docx", "A 6378-2023")</f>
        <v/>
      </c>
      <c r="AD397">
        <f>HYPERLINK("https://klasma.github.io/Logging_2181/tillsynsmail/A 6378-2023 tillsynsbegäran mail.docx", "A 6378-2023")</f>
        <v/>
      </c>
      <c r="AE397">
        <f>HYPERLINK("https://klasma.github.io/Logging_2181/fåglar/A 6378-2023 prioriterade fågelarter.docx", "A 6378-2023")</f>
        <v/>
      </c>
    </row>
    <row r="398" ht="15" customHeight="1">
      <c r="A398" t="inlineStr">
        <is>
          <t>A 16804-2026</t>
        </is>
      </c>
      <c r="B398" t="inlineStr">
        <is>
          <t>avverkningsanmälan</t>
        </is>
      </c>
      <c r="C398" t="inlineStr">
        <is>
          <t>Föryngringsavverkning</t>
        </is>
      </c>
      <c r="D398" s="1" t="n">
        <v>46113</v>
      </c>
      <c r="E398" s="1" t="n">
        <v>46326</v>
      </c>
      <c r="F398" t="inlineStr">
        <is>
          <t>GÄVLEBORGS LÄN</t>
        </is>
      </c>
      <c r="G398" t="inlineStr">
        <is>
          <t>OVANÅKER</t>
        </is>
      </c>
      <c r="I398" t="n">
        <v>12.6</v>
      </c>
      <c r="J398" t="n">
        <v>2</v>
      </c>
      <c r="K398" t="n">
        <v>1</v>
      </c>
      <c r="L398" t="n">
        <v>1</v>
      </c>
      <c r="M398" t="n">
        <v>0</v>
      </c>
      <c r="N398" t="n">
        <v>0</v>
      </c>
      <c r="O398" t="n">
        <v>0</v>
      </c>
      <c r="P398" t="n">
        <v>0</v>
      </c>
      <c r="Q398" t="n">
        <v>1</v>
      </c>
      <c r="R398" t="n">
        <v>0</v>
      </c>
      <c r="S398" t="n">
        <v>3</v>
      </c>
      <c r="T398" t="n">
        <v>3</v>
      </c>
      <c r="U398" t="n">
        <v>0</v>
      </c>
      <c r="V398" s="2" t="inlineStr">
        <is>
          <t>Balclutha boica
Spindelblomster
Revlummer</t>
        </is>
      </c>
      <c r="W398">
        <f>HYPERLINK("https://klasma.github.io/Logging_2121/artfynd/A 16804-2026 artfynd.xlsx", "A 16804-2026")</f>
        <v/>
      </c>
      <c r="X398">
        <f>HYPERLINK("https://klasma.github.io/Logging_2121/kartor/A 16804-2026 karta.png", "A 16804-2026")</f>
        <v/>
      </c>
      <c r="Y398">
        <f>HYPERLINK("https://klasma.github.io/Logging_2121/kartor_geotiff/A 16804-2026 georefererad karta.tif", "A 16804-2026")</f>
        <v/>
      </c>
      <c r="AA398">
        <f>HYPERLINK("https://klasma.github.io/Logging_2121/klagomål/A 16804-2026 FSC-klagomål.docx", "A 16804-2026")</f>
        <v/>
      </c>
      <c r="AB398">
        <f>HYPERLINK("https://klasma.github.io/Logging_2121/klagomålsmail/A 16804-2026 FSC-klagomål mail.docx", "A 16804-2026")</f>
        <v/>
      </c>
      <c r="AC398">
        <f>HYPERLINK("https://klasma.github.io/Logging_2121/tillsyn/A 16804-2026 tillsynsbegäran.docx", "A 16804-2026")</f>
        <v/>
      </c>
      <c r="AD398">
        <f>HYPERLINK("https://klasma.github.io/Logging_2121/tillsynsmail/A 16804-2026 tillsynsbegäran mail.docx", "A 16804-2026")</f>
        <v/>
      </c>
    </row>
    <row r="399" ht="15" customHeight="1">
      <c r="A399" t="inlineStr">
        <is>
          <t>A 18253-2026</t>
        </is>
      </c>
      <c r="B399" t="inlineStr">
        <is>
          <t>avverkningsanmälan</t>
        </is>
      </c>
      <c r="C399" t="inlineStr">
        <is>
          <t>Föryngringsavverkning</t>
        </is>
      </c>
      <c r="D399" s="1" t="n">
        <v>46126</v>
      </c>
      <c r="E399" s="1" t="n">
        <v>46326</v>
      </c>
      <c r="F399" t="inlineStr">
        <is>
          <t>GÄVLEBORGS LÄN</t>
        </is>
      </c>
      <c r="G399" t="inlineStr">
        <is>
          <t>OCKELBO</t>
        </is>
      </c>
      <c r="H399" t="inlineStr">
        <is>
          <t>Bergvik skog väst AB</t>
        </is>
      </c>
      <c r="I399" t="n">
        <v>14.5</v>
      </c>
      <c r="J399" t="n">
        <v>2</v>
      </c>
      <c r="K399" t="n">
        <v>0</v>
      </c>
      <c r="L399" t="n">
        <v>1</v>
      </c>
      <c r="M399" t="n">
        <v>0</v>
      </c>
      <c r="N399" t="n">
        <v>0</v>
      </c>
      <c r="O399" t="n">
        <v>0</v>
      </c>
      <c r="P399" t="n">
        <v>0</v>
      </c>
      <c r="Q399" t="n">
        <v>1</v>
      </c>
      <c r="R399" t="n">
        <v>0</v>
      </c>
      <c r="S399" t="n">
        <v>3</v>
      </c>
      <c r="T399" t="n">
        <v>3</v>
      </c>
      <c r="U399" t="n">
        <v>0</v>
      </c>
      <c r="V399" s="2" t="inlineStr">
        <is>
          <t>Vårärt
Blåsippa
Nattviol</t>
        </is>
      </c>
      <c r="W399">
        <f>HYPERLINK("https://klasma.github.io/Logging_2101/artfynd/A 18253-2026 artfynd.xlsx", "A 18253-2026")</f>
        <v/>
      </c>
      <c r="X399">
        <f>HYPERLINK("https://klasma.github.io/Logging_2101/kartor/A 18253-2026 karta.png", "A 18253-2026")</f>
        <v/>
      </c>
      <c r="Y399">
        <f>HYPERLINK("https://klasma.github.io/Logging_2101/kartor_geotiff/A 18253-2026 georefererad karta.tif", "A 18253-2026")</f>
        <v/>
      </c>
      <c r="AA399">
        <f>HYPERLINK("https://klasma.github.io/Logging_2101/klagomål/A 18253-2026 FSC-klagomål.docx", "A 18253-2026")</f>
        <v/>
      </c>
      <c r="AB399">
        <f>HYPERLINK("https://klasma.github.io/Logging_2101/klagomålsmail/A 18253-2026 FSC-klagomål mail.docx", "A 18253-2026")</f>
        <v/>
      </c>
      <c r="AC399">
        <f>HYPERLINK("https://klasma.github.io/Logging_2101/tillsyn/A 18253-2026 tillsynsbegäran.docx", "A 18253-2026")</f>
        <v/>
      </c>
      <c r="AD399">
        <f>HYPERLINK("https://klasma.github.io/Logging_2101/tillsynsmail/A 18253-2026 tillsynsbegäran mail.docx", "A 18253-2026")</f>
        <v/>
      </c>
    </row>
    <row r="400" ht="15" customHeight="1">
      <c r="A400" t="inlineStr">
        <is>
          <t>A 17330-2026</t>
        </is>
      </c>
      <c r="B400" t="inlineStr">
        <is>
          <t>avverkningsanmälan</t>
        </is>
      </c>
      <c r="C400" t="inlineStr">
        <is>
          <t>Föryngringsavverkning</t>
        </is>
      </c>
      <c r="D400" s="1" t="n">
        <v>46119</v>
      </c>
      <c r="E400" s="1" t="n">
        <v>46326</v>
      </c>
      <c r="F400" t="inlineStr">
        <is>
          <t>GÄVLEBORGS LÄN</t>
        </is>
      </c>
      <c r="G400" t="inlineStr">
        <is>
          <t>LJUSDAL</t>
        </is>
      </c>
      <c r="H400" t="inlineStr">
        <is>
          <t>SCA</t>
        </is>
      </c>
      <c r="I400" t="n">
        <v>6.1</v>
      </c>
      <c r="J400" t="n">
        <v>2</v>
      </c>
      <c r="K400" t="n">
        <v>0</v>
      </c>
      <c r="L400" t="n">
        <v>1</v>
      </c>
      <c r="M400" t="n">
        <v>1</v>
      </c>
      <c r="N400" t="n">
        <v>0</v>
      </c>
      <c r="O400" t="n">
        <v>0</v>
      </c>
      <c r="P400" t="n">
        <v>0</v>
      </c>
      <c r="Q400" t="n">
        <v>2</v>
      </c>
      <c r="R400" t="n">
        <v>1</v>
      </c>
      <c r="S400" t="n">
        <v>3</v>
      </c>
      <c r="T400" t="n">
        <v>3</v>
      </c>
      <c r="U400" t="n">
        <v>2</v>
      </c>
      <c r="V400" s="2" t="inlineStr">
        <is>
          <t>Violett guldvinge
Ullticka
Spillkråka</t>
        </is>
      </c>
      <c r="W400">
        <f>HYPERLINK("https://klasma.github.io/Logging_2161/artfynd/A 17330-2026 artfynd.xlsx", "A 17330-2026")</f>
        <v/>
      </c>
      <c r="X400">
        <f>HYPERLINK("https://klasma.github.io/Logging_2161/kartor/A 17330-2026 karta.png", "A 17330-2026")</f>
        <v/>
      </c>
      <c r="Y400">
        <f>HYPERLINK("https://klasma.github.io/Logging_2161/kartor_geotiff/A 17330-2026 georefererad karta.tif", "A 17330-2026")</f>
        <v/>
      </c>
      <c r="AA400">
        <f>HYPERLINK("https://klasma.github.io/Logging_2161/klagomål/A 17330-2026 FSC-klagomål.docx", "A 17330-2026")</f>
        <v/>
      </c>
      <c r="AB400">
        <f>HYPERLINK("https://klasma.github.io/Logging_2161/klagomålsmail/A 17330-2026 FSC-klagomål mail.docx", "A 17330-2026")</f>
        <v/>
      </c>
      <c r="AC400">
        <f>HYPERLINK("https://klasma.github.io/Logging_2161/tillsyn/A 17330-2026 tillsynsbegäran.docx", "A 17330-2026")</f>
        <v/>
      </c>
      <c r="AD400">
        <f>HYPERLINK("https://klasma.github.io/Logging_2161/tillsynsmail/A 17330-2026 tillsynsbegäran mail.docx", "A 17330-2026")</f>
        <v/>
      </c>
      <c r="AE400">
        <f>HYPERLINK("https://klasma.github.io/Logging_2161/fåglar/A 17330-2026 prioriterade fågelarter.docx", "A 17330-2026")</f>
        <v/>
      </c>
    </row>
    <row r="401" ht="15" customHeight="1">
      <c r="A401" t="inlineStr">
        <is>
          <t>A 57905-2022</t>
        </is>
      </c>
      <c r="B401" t="inlineStr">
        <is>
          <t>avverkningsanmälan</t>
        </is>
      </c>
      <c r="C401" t="inlineStr">
        <is>
          <t>Föryngringsavverkning</t>
        </is>
      </c>
      <c r="D401" s="1" t="n">
        <v>44900</v>
      </c>
      <c r="E401" s="1" t="n">
        <v>46326</v>
      </c>
      <c r="F401" t="inlineStr">
        <is>
          <t>GÄVLEBORGS LÄN</t>
        </is>
      </c>
      <c r="G401" t="inlineStr">
        <is>
          <t>LJUSDAL</t>
        </is>
      </c>
      <c r="H401" t="inlineStr">
        <is>
          <t>Allmännings- och besparingsskogar</t>
        </is>
      </c>
      <c r="I401" t="n">
        <v>11.5</v>
      </c>
      <c r="J401" t="n">
        <v>0</v>
      </c>
      <c r="K401" t="n">
        <v>0</v>
      </c>
      <c r="L401" t="n">
        <v>2</v>
      </c>
      <c r="M401" t="n">
        <v>1</v>
      </c>
      <c r="N401" t="n">
        <v>0</v>
      </c>
      <c r="O401" t="n">
        <v>0</v>
      </c>
      <c r="P401" t="n">
        <v>0</v>
      </c>
      <c r="Q401" t="n">
        <v>3</v>
      </c>
      <c r="R401" t="n">
        <v>1</v>
      </c>
      <c r="S401" t="n">
        <v>3</v>
      </c>
      <c r="T401" t="n">
        <v>3</v>
      </c>
      <c r="U401" t="n">
        <v>0</v>
      </c>
      <c r="V401" s="2" t="inlineStr">
        <is>
          <t>Garnlav
Kolflarnlav
Mörk kolflarnlav</t>
        </is>
      </c>
      <c r="W401">
        <f>HYPERLINK("https://klasma.github.io/Logging_2161/artfynd/A 57905-2022 artfynd.xlsx", "A 57905-2022")</f>
        <v/>
      </c>
      <c r="X401">
        <f>HYPERLINK("https://klasma.github.io/Logging_2161/kartor/A 57905-2022 karta.png", "A 57905-2022")</f>
        <v/>
      </c>
      <c r="Y401">
        <f>HYPERLINK("https://klasma.github.io/Logging_2161/kartor_geotiff/A 57905-2022 georefererad karta.tif", "A 57905-2022")</f>
        <v/>
      </c>
      <c r="AA401">
        <f>HYPERLINK("https://klasma.github.io/Logging_2161/klagomål/A 57905-2022 FSC-klagomål.docx", "A 57905-2022")</f>
        <v/>
      </c>
      <c r="AB401">
        <f>HYPERLINK("https://klasma.github.io/Logging_2161/klagomålsmail/A 57905-2022 FSC-klagomål mail.docx", "A 57905-2022")</f>
        <v/>
      </c>
      <c r="AC401">
        <f>HYPERLINK("https://klasma.github.io/Logging_2161/tillsyn/A 57905-2022 tillsynsbegäran.docx", "A 57905-2022")</f>
        <v/>
      </c>
      <c r="AD401">
        <f>HYPERLINK("https://klasma.github.io/Logging_2161/tillsynsmail/A 57905-2022 tillsynsbegäran mail.docx", "A 57905-2022")</f>
        <v/>
      </c>
    </row>
    <row r="402" ht="15" customHeight="1">
      <c r="A402" t="inlineStr">
        <is>
          <t>A 27199-2025</t>
        </is>
      </c>
      <c r="B402" t="inlineStr">
        <is>
          <t>avverkningsanmälan</t>
        </is>
      </c>
      <c r="C402" t="inlineStr">
        <is>
          <t>Föryngringsavverkning</t>
        </is>
      </c>
      <c r="D402" s="1" t="n">
        <v>45812</v>
      </c>
      <c r="E402" s="1" t="n">
        <v>46326</v>
      </c>
      <c r="F402" t="inlineStr">
        <is>
          <t>GÄVLEBORGS LÄN</t>
        </is>
      </c>
      <c r="G402" t="inlineStr">
        <is>
          <t>OCKELBO</t>
        </is>
      </c>
      <c r="I402" t="n">
        <v>1.6</v>
      </c>
      <c r="J402" t="n">
        <v>2</v>
      </c>
      <c r="K402" t="n">
        <v>0</v>
      </c>
      <c r="L402" t="n">
        <v>1</v>
      </c>
      <c r="M402" t="n">
        <v>1</v>
      </c>
      <c r="N402" t="n">
        <v>0</v>
      </c>
      <c r="O402" t="n">
        <v>0</v>
      </c>
      <c r="P402" t="n">
        <v>0</v>
      </c>
      <c r="Q402" t="n">
        <v>2</v>
      </c>
      <c r="R402" t="n">
        <v>1</v>
      </c>
      <c r="S402" t="n">
        <v>3</v>
      </c>
      <c r="T402" t="n">
        <v>4</v>
      </c>
      <c r="U402" t="n">
        <v>4</v>
      </c>
      <c r="V402" s="2" t="inlineStr">
        <is>
          <t>Knärot
Dropptaggsvamp
Mattlummer</t>
        </is>
      </c>
      <c r="W402">
        <f>HYPERLINK("https://klasma.github.io/Logging_2101/artfynd/A 27199-2025 artfynd.xlsx", "A 27199-2025")</f>
        <v/>
      </c>
      <c r="X402">
        <f>HYPERLINK("https://klasma.github.io/Logging_2101/kartor/A 27199-2025 karta.png", "A 27199-2025")</f>
        <v/>
      </c>
      <c r="Y402">
        <f>HYPERLINK("https://klasma.github.io/Logging_2101/kartor_geotiff/A 27199-2025 georefererad karta.tif", "A 27199-2025")</f>
        <v/>
      </c>
      <c r="Z402">
        <f>HYPERLINK("https://klasma.github.io/Logging_2101/knärot/A 27199-2025 karta knärot.png", "A 27199-2025")</f>
        <v/>
      </c>
      <c r="AA402">
        <f>HYPERLINK("https://klasma.github.io/Logging_2101/klagomål/A 27199-2025 FSC-klagomål.docx", "A 27199-2025")</f>
        <v/>
      </c>
      <c r="AB402">
        <f>HYPERLINK("https://klasma.github.io/Logging_2101/klagomålsmail/A 27199-2025 FSC-klagomål mail.docx", "A 27199-2025")</f>
        <v/>
      </c>
      <c r="AC402">
        <f>HYPERLINK("https://klasma.github.io/Logging_2101/tillsyn/A 27199-2025 tillsynsbegäran.docx", "A 27199-2025")</f>
        <v/>
      </c>
      <c r="AD402">
        <f>HYPERLINK("https://klasma.github.io/Logging_2101/tillsynsmail/A 27199-2025 tillsynsbegäran mail.docx", "A 27199-2025")</f>
        <v/>
      </c>
    </row>
    <row r="403" ht="15" customHeight="1">
      <c r="A403" t="inlineStr">
        <is>
          <t>A 12105-2023</t>
        </is>
      </c>
      <c r="B403" t="inlineStr">
        <is>
          <t>avverkningsanmälan</t>
        </is>
      </c>
      <c r="C403" t="inlineStr">
        <is>
          <t>Föryngringsavverkning</t>
        </is>
      </c>
      <c r="D403" s="1" t="n">
        <v>44998</v>
      </c>
      <c r="E403" s="1" t="n">
        <v>46326</v>
      </c>
      <c r="F403" t="inlineStr">
        <is>
          <t>GÄVLEBORGS LÄN</t>
        </is>
      </c>
      <c r="G403" t="inlineStr">
        <is>
          <t>LJUSDAL</t>
        </is>
      </c>
      <c r="I403" t="n">
        <v>11.7</v>
      </c>
      <c r="J403" t="n">
        <v>1</v>
      </c>
      <c r="K403" t="n">
        <v>2</v>
      </c>
      <c r="L403" t="n">
        <v>0</v>
      </c>
      <c r="M403" t="n">
        <v>1</v>
      </c>
      <c r="N403" t="n">
        <v>0</v>
      </c>
      <c r="O403" t="n">
        <v>0</v>
      </c>
      <c r="P403" t="n">
        <v>0</v>
      </c>
      <c r="Q403" t="n">
        <v>1</v>
      </c>
      <c r="R403" t="n">
        <v>1</v>
      </c>
      <c r="S403" t="n">
        <v>3</v>
      </c>
      <c r="T403" t="n">
        <v>30</v>
      </c>
      <c r="U403" t="n">
        <v>0</v>
      </c>
      <c r="V403" s="2" t="inlineStr">
        <is>
          <t>Knärot
Korallblylav
Mörk husmossa</t>
        </is>
      </c>
      <c r="W403">
        <f>HYPERLINK("https://klasma.github.io/Logging_2161/artfynd/A 12105-2023 artfynd.xlsx", "A 12105-2023")</f>
        <v/>
      </c>
      <c r="X403">
        <f>HYPERLINK("https://klasma.github.io/Logging_2161/kartor/A 12105-2023 karta.png", "A 12105-2023")</f>
        <v/>
      </c>
      <c r="Y403">
        <f>HYPERLINK("https://klasma.github.io/Logging_2161/kartor_geotiff/A 12105-2023 georefererad karta.tif", "A 12105-2023")</f>
        <v/>
      </c>
      <c r="Z403">
        <f>HYPERLINK("https://klasma.github.io/Logging_2161/knärot/A 12105-2023 karta knärot.png", "A 12105-2023")</f>
        <v/>
      </c>
      <c r="AA403">
        <f>HYPERLINK("https://klasma.github.io/Logging_2161/klagomål/A 12105-2023 FSC-klagomål.docx", "A 12105-2023")</f>
        <v/>
      </c>
      <c r="AB403">
        <f>HYPERLINK("https://klasma.github.io/Logging_2161/klagomålsmail/A 12105-2023 FSC-klagomål mail.docx", "A 12105-2023")</f>
        <v/>
      </c>
      <c r="AC403">
        <f>HYPERLINK("https://klasma.github.io/Logging_2161/tillsyn/A 12105-2023 tillsynsbegäran.docx", "A 12105-2023")</f>
        <v/>
      </c>
      <c r="AD403">
        <f>HYPERLINK("https://klasma.github.io/Logging_2161/tillsynsmail/A 12105-2023 tillsynsbegäran mail.docx", "A 12105-2023")</f>
        <v/>
      </c>
    </row>
    <row r="404" ht="15" customHeight="1">
      <c r="A404" t="inlineStr">
        <is>
          <t>A 15757-2026</t>
        </is>
      </c>
      <c r="B404" t="inlineStr">
        <is>
          <t>avverkningsanmälan</t>
        </is>
      </c>
      <c r="C404" t="inlineStr">
        <is>
          <t>Föryngringsavverkning</t>
        </is>
      </c>
      <c r="D404" s="1" t="n">
        <v>46107</v>
      </c>
      <c r="E404" s="1" t="n">
        <v>46326</v>
      </c>
      <c r="F404" t="inlineStr">
        <is>
          <t>GÄVLEBORGS LÄN</t>
        </is>
      </c>
      <c r="G404" t="inlineStr">
        <is>
          <t>GÄVLE</t>
        </is>
      </c>
      <c r="H404" t="inlineStr">
        <is>
          <t>Bergvik skog öst AB</t>
        </is>
      </c>
      <c r="I404" t="n">
        <v>5.8</v>
      </c>
      <c r="J404" t="n">
        <v>2</v>
      </c>
      <c r="K404" t="n">
        <v>0</v>
      </c>
      <c r="L404" t="n">
        <v>1</v>
      </c>
      <c r="M404" t="n">
        <v>0</v>
      </c>
      <c r="N404" t="n">
        <v>0</v>
      </c>
      <c r="O404" t="n">
        <v>0</v>
      </c>
      <c r="P404" t="n">
        <v>0</v>
      </c>
      <c r="Q404" t="n">
        <v>1</v>
      </c>
      <c r="R404" t="n">
        <v>0</v>
      </c>
      <c r="S404" t="n">
        <v>3</v>
      </c>
      <c r="T404" t="n">
        <v>3</v>
      </c>
      <c r="U404" t="n">
        <v>0</v>
      </c>
      <c r="V404" s="2" t="inlineStr">
        <is>
          <t>Älg
Spillkråka
Tjäder</t>
        </is>
      </c>
      <c r="W404">
        <f>HYPERLINK("https://klasma.github.io/Logging_2180/artfynd/A 15757-2026 artfynd.xlsx", "A 15757-2026")</f>
        <v/>
      </c>
      <c r="X404">
        <f>HYPERLINK("https://klasma.github.io/Logging_2180/kartor/A 15757-2026 karta.png", "A 15757-2026")</f>
        <v/>
      </c>
      <c r="Y404">
        <f>HYPERLINK("https://klasma.github.io/Logging_2180/kartor_geotiff/A 15757-2026 georefererad karta.tif", "A 15757-2026")</f>
        <v/>
      </c>
      <c r="AA404">
        <f>HYPERLINK("https://klasma.github.io/Logging_2180/klagomål/A 15757-2026 FSC-klagomål.docx", "A 15757-2026")</f>
        <v/>
      </c>
      <c r="AB404">
        <f>HYPERLINK("https://klasma.github.io/Logging_2180/klagomålsmail/A 15757-2026 FSC-klagomål mail.docx", "A 15757-2026")</f>
        <v/>
      </c>
      <c r="AC404">
        <f>HYPERLINK("https://klasma.github.io/Logging_2180/tillsyn/A 15757-2026 tillsynsbegäran.docx", "A 15757-2026")</f>
        <v/>
      </c>
      <c r="AD404">
        <f>HYPERLINK("https://klasma.github.io/Logging_2180/tillsynsmail/A 15757-2026 tillsynsbegäran mail.docx", "A 15757-2026")</f>
        <v/>
      </c>
      <c r="AE404">
        <f>HYPERLINK("https://klasma.github.io/Logging_2180/fåglar/A 15757-2026 prioriterade fågelarter.docx", "A 15757-2026")</f>
        <v/>
      </c>
    </row>
    <row r="405" ht="15" customHeight="1">
      <c r="A405" t="inlineStr">
        <is>
          <t>A 20244-2026</t>
        </is>
      </c>
      <c r="B405" t="inlineStr">
        <is>
          <t>avverkningsanmälan</t>
        </is>
      </c>
      <c r="C405" t="inlineStr">
        <is>
          <t>Föryngringsavverkning</t>
        </is>
      </c>
      <c r="D405" s="1" t="n">
        <v>46139</v>
      </c>
      <c r="E405" s="1" t="n">
        <v>46326</v>
      </c>
      <c r="F405" t="inlineStr">
        <is>
          <t>GÄVLEBORGS LÄN</t>
        </is>
      </c>
      <c r="G405" t="inlineStr">
        <is>
          <t>BOLLNÄS</t>
        </is>
      </c>
      <c r="I405" t="n">
        <v>43.3</v>
      </c>
      <c r="J405" t="n">
        <v>3</v>
      </c>
      <c r="K405" t="n">
        <v>1</v>
      </c>
      <c r="L405" t="n">
        <v>0</v>
      </c>
      <c r="M405" t="n">
        <v>0</v>
      </c>
      <c r="N405" t="n">
        <v>0</v>
      </c>
      <c r="O405" t="n">
        <v>0</v>
      </c>
      <c r="P405" t="n">
        <v>0</v>
      </c>
      <c r="Q405" t="n">
        <v>0</v>
      </c>
      <c r="R405" t="n">
        <v>0</v>
      </c>
      <c r="S405" t="n">
        <v>3</v>
      </c>
      <c r="T405" t="n">
        <v>3</v>
      </c>
      <c r="U405" t="n">
        <v>0</v>
      </c>
      <c r="V405" s="2" t="inlineStr">
        <is>
          <t>Grönkulla
Blåsippa
Nattviol</t>
        </is>
      </c>
      <c r="W405">
        <f>HYPERLINK("https://klasma.github.io/Logging_2183/artfynd/A 20244-2026 artfynd.xlsx", "A 20244-2026")</f>
        <v/>
      </c>
      <c r="X405">
        <f>HYPERLINK("https://klasma.github.io/Logging_2183/kartor/A 20244-2026 karta.png", "A 20244-2026")</f>
        <v/>
      </c>
      <c r="Y405">
        <f>HYPERLINK("https://klasma.github.io/Logging_2183/kartor_geotiff/A 20244-2026 georefererad karta.tif", "A 20244-2026")</f>
        <v/>
      </c>
      <c r="AA405">
        <f>HYPERLINK("https://klasma.github.io/Logging_2183/klagomål/A 20244-2026 FSC-klagomål.docx", "A 20244-2026")</f>
        <v/>
      </c>
      <c r="AB405">
        <f>HYPERLINK("https://klasma.github.io/Logging_2183/klagomålsmail/A 20244-2026 FSC-klagomål mail.docx", "A 20244-2026")</f>
        <v/>
      </c>
      <c r="AC405">
        <f>HYPERLINK("https://klasma.github.io/Logging_2183/tillsyn/A 20244-2026 tillsynsbegäran.docx", "A 20244-2026")</f>
        <v/>
      </c>
      <c r="AD405">
        <f>HYPERLINK("https://klasma.github.io/Logging_2183/tillsynsmail/A 20244-2026 tillsynsbegäran mail.docx", "A 20244-2026")</f>
        <v/>
      </c>
    </row>
    <row r="406" ht="15" customHeight="1">
      <c r="A406" t="inlineStr">
        <is>
          <t>A 6311-2026</t>
        </is>
      </c>
      <c r="B406" t="inlineStr">
        <is>
          <t>avverkningsanmälan</t>
        </is>
      </c>
      <c r="C406" t="inlineStr">
        <is>
          <t>Föryngringsavverkning</t>
        </is>
      </c>
      <c r="D406" s="1" t="n">
        <v>46055</v>
      </c>
      <c r="E406" s="1" t="n">
        <v>46326</v>
      </c>
      <c r="F406" t="inlineStr">
        <is>
          <t>GÄVLEBORGS LÄN</t>
        </is>
      </c>
      <c r="G406" t="inlineStr">
        <is>
          <t>SANDVIKEN</t>
        </is>
      </c>
      <c r="I406" t="n">
        <v>1.3</v>
      </c>
      <c r="J406" t="n">
        <v>3</v>
      </c>
      <c r="K406" t="n">
        <v>0</v>
      </c>
      <c r="L406" t="n">
        <v>0</v>
      </c>
      <c r="M406" t="n">
        <v>0</v>
      </c>
      <c r="N406" t="n">
        <v>0</v>
      </c>
      <c r="O406" t="n">
        <v>0</v>
      </c>
      <c r="P406" t="n">
        <v>0</v>
      </c>
      <c r="Q406" t="n">
        <v>0</v>
      </c>
      <c r="R406" t="n">
        <v>0</v>
      </c>
      <c r="S406" t="n">
        <v>3</v>
      </c>
      <c r="T406" t="n">
        <v>3</v>
      </c>
      <c r="U406" t="n">
        <v>0</v>
      </c>
      <c r="V406" s="2" t="inlineStr">
        <is>
          <t>Tjäder
Vanlig groda
Vanlig padda</t>
        </is>
      </c>
      <c r="W406">
        <f>HYPERLINK("https://klasma.github.io/Logging_2181/artfynd/A 6311-2026 artfynd.xlsx", "A 6311-2026")</f>
        <v/>
      </c>
      <c r="X406">
        <f>HYPERLINK("https://klasma.github.io/Logging_2181/kartor/A 6311-2026 karta.png", "A 6311-2026")</f>
        <v/>
      </c>
      <c r="Y406">
        <f>HYPERLINK("https://klasma.github.io/Logging_2181/kartor_geotiff/A 6311-2026 georefererad karta.tif", "A 6311-2026")</f>
        <v/>
      </c>
      <c r="AA406">
        <f>HYPERLINK("https://klasma.github.io/Logging_2181/klagomål/A 6311-2026 FSC-klagomål.docx", "A 6311-2026")</f>
        <v/>
      </c>
      <c r="AB406">
        <f>HYPERLINK("https://klasma.github.io/Logging_2181/klagomålsmail/A 6311-2026 FSC-klagomål mail.docx", "A 6311-2026")</f>
        <v/>
      </c>
      <c r="AC406">
        <f>HYPERLINK("https://klasma.github.io/Logging_2181/tillsyn/A 6311-2026 tillsynsbegäran.docx", "A 6311-2026")</f>
        <v/>
      </c>
      <c r="AD406">
        <f>HYPERLINK("https://klasma.github.io/Logging_2181/tillsynsmail/A 6311-2026 tillsynsbegäran mail.docx", "A 6311-2026")</f>
        <v/>
      </c>
      <c r="AE406">
        <f>HYPERLINK("https://klasma.github.io/Logging_2181/fåglar/A 6311-2026 prioriterade fågelarter.docx", "A 6311-2026")</f>
        <v/>
      </c>
    </row>
    <row r="407" ht="15" customHeight="1">
      <c r="A407" t="inlineStr">
        <is>
          <t>A 20000-2026</t>
        </is>
      </c>
      <c r="B407" t="inlineStr">
        <is>
          <t>avverkningsanmälan</t>
        </is>
      </c>
      <c r="C407" t="inlineStr">
        <is>
          <t>Föryngringsavverkning</t>
        </is>
      </c>
      <c r="D407" s="1" t="n">
        <v>46136</v>
      </c>
      <c r="E407" s="1" t="n">
        <v>46326</v>
      </c>
      <c r="F407" t="inlineStr">
        <is>
          <t>GÄVLEBORGS LÄN</t>
        </is>
      </c>
      <c r="G407" t="inlineStr">
        <is>
          <t>LJUSDAL</t>
        </is>
      </c>
      <c r="H407" t="inlineStr">
        <is>
          <t>Sveaskog</t>
        </is>
      </c>
      <c r="I407" t="n">
        <v>4.8</v>
      </c>
      <c r="J407" t="n">
        <v>0</v>
      </c>
      <c r="K407" t="n">
        <v>0</v>
      </c>
      <c r="L407" t="n">
        <v>3</v>
      </c>
      <c r="M407" t="n">
        <v>0</v>
      </c>
      <c r="N407" t="n">
        <v>0</v>
      </c>
      <c r="O407" t="n">
        <v>0</v>
      </c>
      <c r="P407" t="n">
        <v>0</v>
      </c>
      <c r="Q407" t="n">
        <v>3</v>
      </c>
      <c r="R407" t="n">
        <v>0</v>
      </c>
      <c r="S407" t="n">
        <v>3</v>
      </c>
      <c r="T407" t="n">
        <v>3</v>
      </c>
      <c r="U407" t="n">
        <v>3</v>
      </c>
      <c r="V407" s="2" t="inlineStr">
        <is>
          <t>Kolflarnlav
Lunglav
Mörk kolflarnlav</t>
        </is>
      </c>
      <c r="W407">
        <f>HYPERLINK("https://klasma.github.io/Logging_2161/artfynd/A 20000-2026 artfynd.xlsx", "A 20000-2026")</f>
        <v/>
      </c>
      <c r="X407">
        <f>HYPERLINK("https://klasma.github.io/Logging_2161/kartor/A 20000-2026 karta.png", "A 20000-2026")</f>
        <v/>
      </c>
      <c r="Y407">
        <f>HYPERLINK("https://klasma.github.io/Logging_2161/kartor_geotiff/A 20000-2026 georefererad karta.tif", "A 20000-2026")</f>
        <v/>
      </c>
      <c r="AA407">
        <f>HYPERLINK("https://klasma.github.io/Logging_2161/klagomål/A 20000-2026 FSC-klagomål.docx", "A 20000-2026")</f>
        <v/>
      </c>
      <c r="AB407">
        <f>HYPERLINK("https://klasma.github.io/Logging_2161/klagomålsmail/A 20000-2026 FSC-klagomål mail.docx", "A 20000-2026")</f>
        <v/>
      </c>
      <c r="AC407">
        <f>HYPERLINK("https://klasma.github.io/Logging_2161/tillsyn/A 20000-2026 tillsynsbegäran.docx", "A 20000-2026")</f>
        <v/>
      </c>
      <c r="AD407">
        <f>HYPERLINK("https://klasma.github.io/Logging_2161/tillsynsmail/A 20000-2026 tillsynsbegäran mail.docx", "A 20000-2026")</f>
        <v/>
      </c>
    </row>
    <row r="408" ht="15" customHeight="1">
      <c r="A408" t="inlineStr">
        <is>
          <t>A 34324-2025</t>
        </is>
      </c>
      <c r="B408" t="inlineStr">
        <is>
          <t>avverkningsanmälan</t>
        </is>
      </c>
      <c r="C408" t="inlineStr">
        <is>
          <t>Föryngringsavverkning</t>
        </is>
      </c>
      <c r="D408" s="1" t="n">
        <v>45846</v>
      </c>
      <c r="E408" s="1" t="n">
        <v>46326</v>
      </c>
      <c r="F408" t="inlineStr">
        <is>
          <t>GÄVLEBORGS LÄN</t>
        </is>
      </c>
      <c r="G408" t="inlineStr">
        <is>
          <t>LJUSDAL</t>
        </is>
      </c>
      <c r="H408" t="inlineStr">
        <is>
          <t>Bergvik skog väst AB</t>
        </is>
      </c>
      <c r="I408" t="n">
        <v>1.7</v>
      </c>
      <c r="J408" t="n">
        <v>0</v>
      </c>
      <c r="K408" t="n">
        <v>0</v>
      </c>
      <c r="L408" t="n">
        <v>3</v>
      </c>
      <c r="M408" t="n">
        <v>0</v>
      </c>
      <c r="N408" t="n">
        <v>0</v>
      </c>
      <c r="O408" t="n">
        <v>0</v>
      </c>
      <c r="P408" t="n">
        <v>0</v>
      </c>
      <c r="Q408" t="n">
        <v>3</v>
      </c>
      <c r="R408" t="n">
        <v>0</v>
      </c>
      <c r="S408" t="n">
        <v>3</v>
      </c>
      <c r="T408" t="n">
        <v>3</v>
      </c>
      <c r="U408" t="n">
        <v>0</v>
      </c>
      <c r="V408" s="2" t="inlineStr">
        <is>
          <t>Blanksvart spiklav
Kolflarnlav
Nordtagging</t>
        </is>
      </c>
      <c r="W408">
        <f>HYPERLINK("https://klasma.github.io/Logging_2161/artfynd/A 34324-2025 artfynd.xlsx", "A 34324-2025")</f>
        <v/>
      </c>
      <c r="X408">
        <f>HYPERLINK("https://klasma.github.io/Logging_2161/kartor/A 34324-2025 karta.png", "A 34324-2025")</f>
        <v/>
      </c>
      <c r="Y408">
        <f>HYPERLINK("https://klasma.github.io/Logging_2161/kartor_geotiff/A 34324-2025 georefererad karta.tif", "A 34324-2025")</f>
        <v/>
      </c>
      <c r="AA408">
        <f>HYPERLINK("https://klasma.github.io/Logging_2161/klagomål/A 34324-2025 FSC-klagomål.docx", "A 34324-2025")</f>
        <v/>
      </c>
      <c r="AB408">
        <f>HYPERLINK("https://klasma.github.io/Logging_2161/klagomålsmail/A 34324-2025 FSC-klagomål mail.docx", "A 34324-2025")</f>
        <v/>
      </c>
      <c r="AC408">
        <f>HYPERLINK("https://klasma.github.io/Logging_2161/tillsyn/A 34324-2025 tillsynsbegäran.docx", "A 34324-2025")</f>
        <v/>
      </c>
      <c r="AD408">
        <f>HYPERLINK("https://klasma.github.io/Logging_2161/tillsynsmail/A 34324-2025 tillsynsbegäran mail.docx", "A 34324-2025")</f>
        <v/>
      </c>
    </row>
    <row r="409" ht="15" customHeight="1">
      <c r="A409" t="inlineStr">
        <is>
          <t>A 42624-2024</t>
        </is>
      </c>
      <c r="B409" t="inlineStr">
        <is>
          <t>avverkningsanmälan</t>
        </is>
      </c>
      <c r="C409" t="inlineStr">
        <is>
          <t>Föryngringsavverkning</t>
        </is>
      </c>
      <c r="D409" s="1" t="n">
        <v>45565</v>
      </c>
      <c r="E409" s="1" t="n">
        <v>46326</v>
      </c>
      <c r="F409" t="inlineStr">
        <is>
          <t>GÄVLEBORGS LÄN</t>
        </is>
      </c>
      <c r="G409" t="inlineStr">
        <is>
          <t>HUDIKSVALL</t>
        </is>
      </c>
      <c r="I409" t="n">
        <v>1.5</v>
      </c>
      <c r="J409" t="n">
        <v>1</v>
      </c>
      <c r="K409" t="n">
        <v>0</v>
      </c>
      <c r="L409" t="n">
        <v>2</v>
      </c>
      <c r="M409" t="n">
        <v>0</v>
      </c>
      <c r="N409" t="n">
        <v>0</v>
      </c>
      <c r="O409" t="n">
        <v>0</v>
      </c>
      <c r="P409" t="n">
        <v>0</v>
      </c>
      <c r="Q409" t="n">
        <v>2</v>
      </c>
      <c r="R409" t="n">
        <v>0</v>
      </c>
      <c r="S409" t="n">
        <v>3</v>
      </c>
      <c r="T409" t="n">
        <v>3</v>
      </c>
      <c r="U409" t="n">
        <v>0</v>
      </c>
      <c r="V409" s="2" t="inlineStr">
        <is>
          <t>Vedflikmossa
Violettgrå tagellav
Revlummer</t>
        </is>
      </c>
      <c r="W409">
        <f>HYPERLINK("https://klasma.github.io/Logging_2184/artfynd/A 42624-2024 artfynd.xlsx", "A 42624-2024")</f>
        <v/>
      </c>
      <c r="X409">
        <f>HYPERLINK("https://klasma.github.io/Logging_2184/kartor/A 42624-2024 karta.png", "A 42624-2024")</f>
        <v/>
      </c>
      <c r="Y409">
        <f>HYPERLINK("https://klasma.github.io/Logging_2184/kartor_geotiff/A 42624-2024 georefererad karta.tif", "A 42624-2024")</f>
        <v/>
      </c>
      <c r="AA409">
        <f>HYPERLINK("https://klasma.github.io/Logging_2184/klagomål/A 42624-2024 FSC-klagomål.docx", "A 42624-2024")</f>
        <v/>
      </c>
      <c r="AB409">
        <f>HYPERLINK("https://klasma.github.io/Logging_2184/klagomålsmail/A 42624-2024 FSC-klagomål mail.docx", "A 42624-2024")</f>
        <v/>
      </c>
      <c r="AC409">
        <f>HYPERLINK("https://klasma.github.io/Logging_2184/tillsyn/A 42624-2024 tillsynsbegäran.docx", "A 42624-2024")</f>
        <v/>
      </c>
      <c r="AD409">
        <f>HYPERLINK("https://klasma.github.io/Logging_2184/tillsynsmail/A 42624-2024 tillsynsbegäran mail.docx", "A 42624-2024")</f>
        <v/>
      </c>
    </row>
    <row r="410" ht="15" customHeight="1">
      <c r="A410" t="inlineStr">
        <is>
          <t>A 42180-2025</t>
        </is>
      </c>
      <c r="B410" t="inlineStr">
        <is>
          <t>avverkningsanmälan</t>
        </is>
      </c>
      <c r="C410" t="inlineStr">
        <is>
          <t>Föryngringsavverkning</t>
        </is>
      </c>
      <c r="D410" s="1" t="n">
        <v>45904</v>
      </c>
      <c r="E410" s="1" t="n">
        <v>46326</v>
      </c>
      <c r="F410" t="inlineStr">
        <is>
          <t>GÄVLEBORGS LÄN</t>
        </is>
      </c>
      <c r="G410" t="inlineStr">
        <is>
          <t>LJUSDAL</t>
        </is>
      </c>
      <c r="H410" t="inlineStr">
        <is>
          <t>Allmännings- och besparingsskogar</t>
        </is>
      </c>
      <c r="I410" t="n">
        <v>5.8</v>
      </c>
      <c r="J410" t="n">
        <v>1</v>
      </c>
      <c r="K410" t="n">
        <v>0</v>
      </c>
      <c r="L410" t="n">
        <v>1</v>
      </c>
      <c r="M410" t="n">
        <v>1</v>
      </c>
      <c r="N410" t="n">
        <v>0</v>
      </c>
      <c r="O410" t="n">
        <v>0</v>
      </c>
      <c r="P410" t="n">
        <v>0</v>
      </c>
      <c r="Q410" t="n">
        <v>2</v>
      </c>
      <c r="R410" t="n">
        <v>1</v>
      </c>
      <c r="S410" t="n">
        <v>3</v>
      </c>
      <c r="T410" t="n">
        <v>17</v>
      </c>
      <c r="U410" t="n">
        <v>17</v>
      </c>
      <c r="V410" s="2" t="inlineStr">
        <is>
          <t>Garnlav
Dvärgbägarlav
Revlummer</t>
        </is>
      </c>
      <c r="W410">
        <f>HYPERLINK("https://klasma.github.io/Logging_2161/artfynd/A 42180-2025 artfynd.xlsx", "A 42180-2025")</f>
        <v/>
      </c>
      <c r="X410">
        <f>HYPERLINK("https://klasma.github.io/Logging_2161/kartor/A 42180-2025 karta.png", "A 42180-2025")</f>
        <v/>
      </c>
      <c r="Y410">
        <f>HYPERLINK("https://klasma.github.io/Logging_2161/kartor_geotiff/A 42180-2025 georefererad karta.tif", "A 42180-2025")</f>
        <v/>
      </c>
      <c r="AA410">
        <f>HYPERLINK("https://klasma.github.io/Logging_2161/klagomål/A 42180-2025 FSC-klagomål.docx", "A 42180-2025")</f>
        <v/>
      </c>
      <c r="AB410">
        <f>HYPERLINK("https://klasma.github.io/Logging_2161/klagomålsmail/A 42180-2025 FSC-klagomål mail.docx", "A 42180-2025")</f>
        <v/>
      </c>
      <c r="AC410">
        <f>HYPERLINK("https://klasma.github.io/Logging_2161/tillsyn/A 42180-2025 tillsynsbegäran.docx", "A 42180-2025")</f>
        <v/>
      </c>
      <c r="AD410">
        <f>HYPERLINK("https://klasma.github.io/Logging_2161/tillsynsmail/A 42180-2025 tillsynsbegäran mail.docx", "A 42180-2025")</f>
        <v/>
      </c>
    </row>
    <row r="411" ht="15" customHeight="1">
      <c r="A411" t="inlineStr">
        <is>
          <t>A 22239-2024</t>
        </is>
      </c>
      <c r="B411" t="inlineStr">
        <is>
          <t>avverkningsanmälan</t>
        </is>
      </c>
      <c r="C411" t="inlineStr">
        <is>
          <t>Föryngringsavverkning</t>
        </is>
      </c>
      <c r="D411" s="1" t="n">
        <v>45446</v>
      </c>
      <c r="E411" s="1" t="n">
        <v>46326</v>
      </c>
      <c r="F411" t="inlineStr">
        <is>
          <t>GÄVLEBORGS LÄN</t>
        </is>
      </c>
      <c r="G411" t="inlineStr">
        <is>
          <t>LJUSDAL</t>
        </is>
      </c>
      <c r="H411" t="inlineStr">
        <is>
          <t>Sveaskog</t>
        </is>
      </c>
      <c r="I411" t="n">
        <v>4.4</v>
      </c>
      <c r="J411" t="n">
        <v>0</v>
      </c>
      <c r="K411" t="n">
        <v>0</v>
      </c>
      <c r="L411" t="n">
        <v>3</v>
      </c>
      <c r="M411" t="n">
        <v>0</v>
      </c>
      <c r="N411" t="n">
        <v>0</v>
      </c>
      <c r="O411" t="n">
        <v>0</v>
      </c>
      <c r="P411" t="n">
        <v>0</v>
      </c>
      <c r="Q411" t="n">
        <v>3</v>
      </c>
      <c r="R411" t="n">
        <v>0</v>
      </c>
      <c r="S411" t="n">
        <v>3</v>
      </c>
      <c r="T411" t="n">
        <v>4</v>
      </c>
      <c r="U411" t="n">
        <v>1</v>
      </c>
      <c r="V411" s="2" t="inlineStr">
        <is>
          <t>Kolflarnlav
Vedflamlav
Vedskivlav</t>
        </is>
      </c>
      <c r="W411">
        <f>HYPERLINK("https://klasma.github.io/Logging_2161/artfynd/A 22239-2024 artfynd.xlsx", "A 22239-2024")</f>
        <v/>
      </c>
      <c r="X411">
        <f>HYPERLINK("https://klasma.github.io/Logging_2161/kartor/A 22239-2024 karta.png", "A 22239-2024")</f>
        <v/>
      </c>
      <c r="Y411">
        <f>HYPERLINK("https://klasma.github.io/Logging_2161/kartor_geotiff/A 22239-2024 georefererad karta.tif", "A 22239-2024")</f>
        <v/>
      </c>
      <c r="AA411">
        <f>HYPERLINK("https://klasma.github.io/Logging_2161/klagomål/A 22239-2024 FSC-klagomål.docx", "A 22239-2024")</f>
        <v/>
      </c>
      <c r="AB411">
        <f>HYPERLINK("https://klasma.github.io/Logging_2161/klagomålsmail/A 22239-2024 FSC-klagomål mail.docx", "A 22239-2024")</f>
        <v/>
      </c>
      <c r="AC411">
        <f>HYPERLINK("https://klasma.github.io/Logging_2161/tillsyn/A 22239-2024 tillsynsbegäran.docx", "A 22239-2024")</f>
        <v/>
      </c>
      <c r="AD411">
        <f>HYPERLINK("https://klasma.github.io/Logging_2161/tillsynsmail/A 22239-2024 tillsynsbegäran mail.docx", "A 22239-2024")</f>
        <v/>
      </c>
    </row>
    <row r="412" ht="15" customHeight="1">
      <c r="A412" t="inlineStr">
        <is>
          <t>A 13474-2026</t>
        </is>
      </c>
      <c r="B412" t="inlineStr">
        <is>
          <t>avverkningsanmälan</t>
        </is>
      </c>
      <c r="C412" t="inlineStr">
        <is>
          <t>Föryngringsavverkning</t>
        </is>
      </c>
      <c r="D412" s="1" t="n">
        <v>46094</v>
      </c>
      <c r="E412" s="1" t="n">
        <v>46326</v>
      </c>
      <c r="F412" t="inlineStr">
        <is>
          <t>GÄVLEBORGS LÄN</t>
        </is>
      </c>
      <c r="G412" t="inlineStr">
        <is>
          <t>OCKELBO</t>
        </is>
      </c>
      <c r="H412" t="inlineStr">
        <is>
          <t>Naturvårdsverket</t>
        </is>
      </c>
      <c r="I412" t="n">
        <v>3</v>
      </c>
      <c r="J412" t="n">
        <v>0</v>
      </c>
      <c r="K412" t="n">
        <v>0</v>
      </c>
      <c r="L412" t="n">
        <v>3</v>
      </c>
      <c r="M412" t="n">
        <v>0</v>
      </c>
      <c r="N412" t="n">
        <v>0</v>
      </c>
      <c r="O412" t="n">
        <v>0</v>
      </c>
      <c r="P412" t="n">
        <v>0</v>
      </c>
      <c r="Q412" t="n">
        <v>3</v>
      </c>
      <c r="R412" t="n">
        <v>0</v>
      </c>
      <c r="S412" t="n">
        <v>3</v>
      </c>
      <c r="T412" t="n">
        <v>3</v>
      </c>
      <c r="U412" t="n">
        <v>0</v>
      </c>
      <c r="V412" s="2" t="inlineStr">
        <is>
          <t>Orange taggsvamp
Ullticka
Vedtrappmossa</t>
        </is>
      </c>
      <c r="W412">
        <f>HYPERLINK("https://klasma.github.io/Logging_2101/artfynd/A 13474-2026 artfynd.xlsx", "A 13474-2026")</f>
        <v/>
      </c>
      <c r="X412">
        <f>HYPERLINK("https://klasma.github.io/Logging_2101/kartor/A 13474-2026 karta.png", "A 13474-2026")</f>
        <v/>
      </c>
      <c r="Y412">
        <f>HYPERLINK("https://klasma.github.io/Logging_2101/kartor_geotiff/A 13474-2026 georefererad karta.tif", "A 13474-2026")</f>
        <v/>
      </c>
      <c r="AA412">
        <f>HYPERLINK("https://klasma.github.io/Logging_2101/klagomål/A 13474-2026 FSC-klagomål.docx", "A 13474-2026")</f>
        <v/>
      </c>
      <c r="AB412">
        <f>HYPERLINK("https://klasma.github.io/Logging_2101/klagomålsmail/A 13474-2026 FSC-klagomål mail.docx", "A 13474-2026")</f>
        <v/>
      </c>
      <c r="AC412">
        <f>HYPERLINK("https://klasma.github.io/Logging_2101/tillsyn/A 13474-2026 tillsynsbegäran.docx", "A 13474-2026")</f>
        <v/>
      </c>
      <c r="AD412">
        <f>HYPERLINK("https://klasma.github.io/Logging_2101/tillsynsmail/A 13474-2026 tillsynsbegäran mail.docx", "A 13474-2026")</f>
        <v/>
      </c>
    </row>
    <row r="413" ht="15" customHeight="1">
      <c r="A413" t="inlineStr">
        <is>
          <t>A 19780-2026</t>
        </is>
      </c>
      <c r="B413" t="inlineStr">
        <is>
          <t>avverkningsanmälan</t>
        </is>
      </c>
      <c r="C413" t="inlineStr">
        <is>
          <t>Föryngringsavverkning</t>
        </is>
      </c>
      <c r="D413" s="1" t="n">
        <v>46135</v>
      </c>
      <c r="E413" s="1" t="n">
        <v>46326</v>
      </c>
      <c r="F413" t="inlineStr">
        <is>
          <t>GÄVLEBORGS LÄN</t>
        </is>
      </c>
      <c r="G413" t="inlineStr">
        <is>
          <t>OVANÅKER</t>
        </is>
      </c>
      <c r="H413" t="inlineStr">
        <is>
          <t>Bergvik skog öst AB</t>
        </is>
      </c>
      <c r="I413" t="n">
        <v>3.8</v>
      </c>
      <c r="J413" t="n">
        <v>2</v>
      </c>
      <c r="K413" t="n">
        <v>0</v>
      </c>
      <c r="L413" t="n">
        <v>1</v>
      </c>
      <c r="M413" t="n">
        <v>1</v>
      </c>
      <c r="N413" t="n">
        <v>0</v>
      </c>
      <c r="O413" t="n">
        <v>0</v>
      </c>
      <c r="P413" t="n">
        <v>0</v>
      </c>
      <c r="Q413" t="n">
        <v>2</v>
      </c>
      <c r="R413" t="n">
        <v>1</v>
      </c>
      <c r="S413" t="n">
        <v>3</v>
      </c>
      <c r="T413" t="n">
        <v>3</v>
      </c>
      <c r="U413" t="n">
        <v>0</v>
      </c>
      <c r="V413" s="2" t="inlineStr">
        <is>
          <t>Garnlav
Varglav
Spillkråka</t>
        </is>
      </c>
      <c r="W413">
        <f>HYPERLINK("https://klasma.github.io/Logging_2121/artfynd/A 19780-2026 artfynd.xlsx", "A 19780-2026")</f>
        <v/>
      </c>
      <c r="X413">
        <f>HYPERLINK("https://klasma.github.io/Logging_2121/kartor/A 19780-2026 karta.png", "A 19780-2026")</f>
        <v/>
      </c>
      <c r="Y413">
        <f>HYPERLINK("https://klasma.github.io/Logging_2121/kartor_geotiff/A 19780-2026 georefererad karta.tif", "A 19780-2026")</f>
        <v/>
      </c>
      <c r="AA413">
        <f>HYPERLINK("https://klasma.github.io/Logging_2121/klagomål/A 19780-2026 FSC-klagomål.docx", "A 19780-2026")</f>
        <v/>
      </c>
      <c r="AB413">
        <f>HYPERLINK("https://klasma.github.io/Logging_2121/klagomålsmail/A 19780-2026 FSC-klagomål mail.docx", "A 19780-2026")</f>
        <v/>
      </c>
      <c r="AC413">
        <f>HYPERLINK("https://klasma.github.io/Logging_2121/tillsyn/A 19780-2026 tillsynsbegäran.docx", "A 19780-2026")</f>
        <v/>
      </c>
      <c r="AD413">
        <f>HYPERLINK("https://klasma.github.io/Logging_2121/tillsynsmail/A 19780-2026 tillsynsbegäran mail.docx", "A 19780-2026")</f>
        <v/>
      </c>
      <c r="AE413">
        <f>HYPERLINK("https://klasma.github.io/Logging_2121/fåglar/A 19780-2026 prioriterade fågelarter.docx", "A 19780-2026")</f>
        <v/>
      </c>
    </row>
    <row r="414" ht="15" customHeight="1">
      <c r="A414" t="inlineStr">
        <is>
          <t>A 14891-2024</t>
        </is>
      </c>
      <c r="B414" t="inlineStr">
        <is>
          <t>avverkningsanmälan</t>
        </is>
      </c>
      <c r="C414" t="inlineStr">
        <is>
          <t>Föryngringsavverkning</t>
        </is>
      </c>
      <c r="D414" s="1" t="n">
        <v>45398</v>
      </c>
      <c r="E414" s="1" t="n">
        <v>46326</v>
      </c>
      <c r="F414" t="inlineStr">
        <is>
          <t>GÄVLEBORGS LÄN</t>
        </is>
      </c>
      <c r="G414" t="inlineStr">
        <is>
          <t>GÄVLE</t>
        </is>
      </c>
      <c r="H414" t="inlineStr">
        <is>
          <t>Bergvik skog öst AB</t>
        </is>
      </c>
      <c r="I414" t="n">
        <v>10.8</v>
      </c>
      <c r="J414" t="n">
        <v>0</v>
      </c>
      <c r="K414" t="n">
        <v>1</v>
      </c>
      <c r="L414" t="n">
        <v>1</v>
      </c>
      <c r="M414" t="n">
        <v>0</v>
      </c>
      <c r="N414" t="n">
        <v>1</v>
      </c>
      <c r="O414" t="n">
        <v>0</v>
      </c>
      <c r="P414" t="n">
        <v>0</v>
      </c>
      <c r="Q414" t="n">
        <v>2</v>
      </c>
      <c r="R414" t="n">
        <v>1</v>
      </c>
      <c r="S414" t="n">
        <v>3</v>
      </c>
      <c r="T414" t="n">
        <v>3</v>
      </c>
      <c r="U414" t="n">
        <v>0</v>
      </c>
      <c r="V414" s="2" t="inlineStr">
        <is>
          <t>Ask
Kattfotslav
Svavelriska</t>
        </is>
      </c>
      <c r="W414">
        <f>HYPERLINK("https://klasma.github.io/Logging_2180/artfynd/A 14891-2024 artfynd.xlsx", "A 14891-2024")</f>
        <v/>
      </c>
      <c r="X414">
        <f>HYPERLINK("https://klasma.github.io/Logging_2180/kartor/A 14891-2024 karta.png", "A 14891-2024")</f>
        <v/>
      </c>
      <c r="Y414">
        <f>HYPERLINK("https://klasma.github.io/Logging_2180/kartor_geotiff/A 14891-2024 georefererad karta.tif", "A 14891-2024")</f>
        <v/>
      </c>
      <c r="AA414">
        <f>HYPERLINK("https://klasma.github.io/Logging_2180/klagomål/A 14891-2024 FSC-klagomål.docx", "A 14891-2024")</f>
        <v/>
      </c>
      <c r="AB414">
        <f>HYPERLINK("https://klasma.github.io/Logging_2180/klagomålsmail/A 14891-2024 FSC-klagomål mail.docx", "A 14891-2024")</f>
        <v/>
      </c>
      <c r="AC414">
        <f>HYPERLINK("https://klasma.github.io/Logging_2180/tillsyn/A 14891-2024 tillsynsbegäran.docx", "A 14891-2024")</f>
        <v/>
      </c>
      <c r="AD414">
        <f>HYPERLINK("https://klasma.github.io/Logging_2180/tillsynsmail/A 14891-2024 tillsynsbegäran mail.docx", "A 14891-2024")</f>
        <v/>
      </c>
    </row>
    <row r="415" ht="15" customHeight="1">
      <c r="A415" t="inlineStr">
        <is>
          <t>A 18215-2024</t>
        </is>
      </c>
      <c r="B415" t="inlineStr">
        <is>
          <t>avverkningsanmälan</t>
        </is>
      </c>
      <c r="C415" t="inlineStr">
        <is>
          <t>Föryngringsavverkning</t>
        </is>
      </c>
      <c r="D415" s="1" t="n">
        <v>45420</v>
      </c>
      <c r="E415" s="1" t="n">
        <v>46326</v>
      </c>
      <c r="F415" t="inlineStr">
        <is>
          <t>GÄVLEBORGS LÄN</t>
        </is>
      </c>
      <c r="G415" t="inlineStr">
        <is>
          <t>GÄVLE</t>
        </is>
      </c>
      <c r="H415" t="inlineStr">
        <is>
          <t>Bergvik skog väst AB</t>
        </is>
      </c>
      <c r="I415" t="n">
        <v>68.59999999999999</v>
      </c>
      <c r="J415" t="n">
        <v>2</v>
      </c>
      <c r="K415" t="n">
        <v>0</v>
      </c>
      <c r="L415" t="n">
        <v>1</v>
      </c>
      <c r="M415" t="n">
        <v>0</v>
      </c>
      <c r="N415" t="n">
        <v>0</v>
      </c>
      <c r="O415" t="n">
        <v>0</v>
      </c>
      <c r="P415" t="n">
        <v>0</v>
      </c>
      <c r="Q415" t="n">
        <v>1</v>
      </c>
      <c r="R415" t="n">
        <v>0</v>
      </c>
      <c r="S415" t="n">
        <v>3</v>
      </c>
      <c r="T415" t="n">
        <v>3</v>
      </c>
      <c r="U415" t="n">
        <v>0</v>
      </c>
      <c r="V415" s="2" t="inlineStr">
        <is>
          <t>Brunklöver
Tjäder
Huggorm</t>
        </is>
      </c>
      <c r="W415">
        <f>HYPERLINK("https://klasma.github.io/Logging_2180/artfynd/A 18215-2024 artfynd.xlsx", "A 18215-2024")</f>
        <v/>
      </c>
      <c r="X415">
        <f>HYPERLINK("https://klasma.github.io/Logging_2180/kartor/A 18215-2024 karta.png", "A 18215-2024")</f>
        <v/>
      </c>
      <c r="Y415">
        <f>HYPERLINK("https://klasma.github.io/Logging_2180/kartor_geotiff/A 18215-2024 georefererad karta.tif", "A 18215-2024")</f>
        <v/>
      </c>
      <c r="AA415">
        <f>HYPERLINK("https://klasma.github.io/Logging_2180/klagomål/A 18215-2024 FSC-klagomål.docx", "A 18215-2024")</f>
        <v/>
      </c>
      <c r="AB415">
        <f>HYPERLINK("https://klasma.github.io/Logging_2180/klagomålsmail/A 18215-2024 FSC-klagomål mail.docx", "A 18215-2024")</f>
        <v/>
      </c>
      <c r="AC415">
        <f>HYPERLINK("https://klasma.github.io/Logging_2180/tillsyn/A 18215-2024 tillsynsbegäran.docx", "A 18215-2024")</f>
        <v/>
      </c>
      <c r="AD415">
        <f>HYPERLINK("https://klasma.github.io/Logging_2180/tillsynsmail/A 18215-2024 tillsynsbegäran mail.docx", "A 18215-2024")</f>
        <v/>
      </c>
      <c r="AE415">
        <f>HYPERLINK("https://klasma.github.io/Logging_2180/fåglar/A 18215-2024 prioriterade fågelarter.docx", "A 18215-2024")</f>
        <v/>
      </c>
    </row>
    <row r="416" ht="15" customHeight="1">
      <c r="A416" t="inlineStr">
        <is>
          <t>A 46244-2024</t>
        </is>
      </c>
      <c r="B416" t="inlineStr">
        <is>
          <t>avverkningsanmälan</t>
        </is>
      </c>
      <c r="C416" t="inlineStr">
        <is>
          <t>Föryngringsavverkning</t>
        </is>
      </c>
      <c r="D416" s="1" t="n">
        <v>45581</v>
      </c>
      <c r="E416" s="1" t="n">
        <v>46326</v>
      </c>
      <c r="F416" t="inlineStr">
        <is>
          <t>GÄVLEBORGS LÄN</t>
        </is>
      </c>
      <c r="G416" t="inlineStr">
        <is>
          <t>LJUSDAL</t>
        </is>
      </c>
      <c r="H416" t="inlineStr">
        <is>
          <t>Sveaskog</t>
        </is>
      </c>
      <c r="I416" t="n">
        <v>5.8</v>
      </c>
      <c r="J416" t="n">
        <v>0</v>
      </c>
      <c r="K416" t="n">
        <v>0</v>
      </c>
      <c r="L416" t="n">
        <v>2</v>
      </c>
      <c r="M416" t="n">
        <v>1</v>
      </c>
      <c r="N416" t="n">
        <v>0</v>
      </c>
      <c r="O416" t="n">
        <v>0</v>
      </c>
      <c r="P416" t="n">
        <v>0</v>
      </c>
      <c r="Q416" t="n">
        <v>3</v>
      </c>
      <c r="R416" t="n">
        <v>1</v>
      </c>
      <c r="S416" t="n">
        <v>3</v>
      </c>
      <c r="T416" t="n">
        <v>6</v>
      </c>
      <c r="U416" t="n">
        <v>6</v>
      </c>
      <c r="V416" s="2" t="inlineStr">
        <is>
          <t>Skrovlig taggsvamp
Dropptaggsvamp
Motaggsvamp</t>
        </is>
      </c>
      <c r="W416">
        <f>HYPERLINK("https://klasma.github.io/Logging_2161/artfynd/A 46244-2024 artfynd.xlsx", "A 46244-2024")</f>
        <v/>
      </c>
      <c r="X416">
        <f>HYPERLINK("https://klasma.github.io/Logging_2161/kartor/A 46244-2024 karta.png", "A 46244-2024")</f>
        <v/>
      </c>
      <c r="Y416">
        <f>HYPERLINK("https://klasma.github.io/Logging_2161/kartor_geotiff/A 46244-2024 georefererad karta.tif", "A 46244-2024")</f>
        <v/>
      </c>
      <c r="AA416">
        <f>HYPERLINK("https://klasma.github.io/Logging_2161/klagomål/A 46244-2024 FSC-klagomål.docx", "A 46244-2024")</f>
        <v/>
      </c>
      <c r="AB416">
        <f>HYPERLINK("https://klasma.github.io/Logging_2161/klagomålsmail/A 46244-2024 FSC-klagomål mail.docx", "A 46244-2024")</f>
        <v/>
      </c>
      <c r="AC416">
        <f>HYPERLINK("https://klasma.github.io/Logging_2161/tillsyn/A 46244-2024 tillsynsbegäran.docx", "A 46244-2024")</f>
        <v/>
      </c>
      <c r="AD416">
        <f>HYPERLINK("https://klasma.github.io/Logging_2161/tillsynsmail/A 46244-2024 tillsynsbegäran mail.docx", "A 46244-2024")</f>
        <v/>
      </c>
    </row>
    <row r="417" ht="15" customHeight="1">
      <c r="A417" t="inlineStr">
        <is>
          <t>A 25357-2026</t>
        </is>
      </c>
      <c r="B417" t="inlineStr">
        <is>
          <t>avverkningsanmälan</t>
        </is>
      </c>
      <c r="C417" t="inlineStr">
        <is>
          <t>Föryngringsavverkning</t>
        </is>
      </c>
      <c r="D417" s="1" t="n">
        <v>46176</v>
      </c>
      <c r="E417" s="1" t="n">
        <v>46326</v>
      </c>
      <c r="F417" t="inlineStr">
        <is>
          <t>GÄVLEBORGS LÄN</t>
        </is>
      </c>
      <c r="G417" t="inlineStr">
        <is>
          <t>GÄVLE</t>
        </is>
      </c>
      <c r="I417" t="n">
        <v>2</v>
      </c>
      <c r="J417" t="n">
        <v>3</v>
      </c>
      <c r="K417" t="n">
        <v>0</v>
      </c>
      <c r="L417" t="n">
        <v>0</v>
      </c>
      <c r="M417" t="n">
        <v>0</v>
      </c>
      <c r="N417" t="n">
        <v>2</v>
      </c>
      <c r="O417" t="n">
        <v>0</v>
      </c>
      <c r="P417" t="n">
        <v>0</v>
      </c>
      <c r="Q417" t="n">
        <v>2</v>
      </c>
      <c r="R417" t="n">
        <v>2</v>
      </c>
      <c r="S417" t="n">
        <v>3</v>
      </c>
      <c r="T417" t="n">
        <v>3</v>
      </c>
      <c r="U417" t="n">
        <v>0</v>
      </c>
      <c r="V417" s="2" t="inlineStr">
        <is>
          <t>Pärluggla
Storspov
Sångsvan</t>
        </is>
      </c>
      <c r="W417">
        <f>HYPERLINK("https://klasma.github.io/Logging_2180/artfynd/A 25357-2026 artfynd.xlsx", "A 25357-2026")</f>
        <v/>
      </c>
      <c r="X417">
        <f>HYPERLINK("https://klasma.github.io/Logging_2180/kartor/A 25357-2026 karta.png", "A 25357-2026")</f>
        <v/>
      </c>
      <c r="Y417">
        <f>HYPERLINK("https://klasma.github.io/Logging_2180/kartor_geotiff/A 25357-2026 georefererad karta.tif", "A 25357-2026")</f>
        <v/>
      </c>
      <c r="AA417">
        <f>HYPERLINK("https://klasma.github.io/Logging_2180/klagomål/A 25357-2026 FSC-klagomål.docx", "A 25357-2026")</f>
        <v/>
      </c>
      <c r="AB417">
        <f>HYPERLINK("https://klasma.github.io/Logging_2180/klagomålsmail/A 25357-2026 FSC-klagomål mail.docx", "A 25357-2026")</f>
        <v/>
      </c>
      <c r="AC417">
        <f>HYPERLINK("https://klasma.github.io/Logging_2180/tillsyn/A 25357-2026 tillsynsbegäran.docx", "A 25357-2026")</f>
        <v/>
      </c>
      <c r="AD417">
        <f>HYPERLINK("https://klasma.github.io/Logging_2180/tillsynsmail/A 25357-2026 tillsynsbegäran mail.docx", "A 25357-2026")</f>
        <v/>
      </c>
      <c r="AE417">
        <f>HYPERLINK("https://klasma.github.io/Logging_2180/fåglar/A 25357-2026 prioriterade fågelarter.docx", "A 25357-2026")</f>
        <v/>
      </c>
    </row>
    <row r="418" ht="15" customHeight="1">
      <c r="A418" t="inlineStr">
        <is>
          <t>A 18091-2026</t>
        </is>
      </c>
      <c r="B418" t="inlineStr">
        <is>
          <t>avverkningsanmälan</t>
        </is>
      </c>
      <c r="C418" t="inlineStr">
        <is>
          <t>Avverkning för annat ändamål</t>
        </is>
      </c>
      <c r="D418" s="1" t="n">
        <v>46125</v>
      </c>
      <c r="E418" s="1" t="n">
        <v>46326</v>
      </c>
      <c r="F418" t="inlineStr">
        <is>
          <t>GÄVLEBORGS LÄN</t>
        </is>
      </c>
      <c r="G418" t="inlineStr">
        <is>
          <t>OCKELBO</t>
        </is>
      </c>
      <c r="H418" t="inlineStr">
        <is>
          <t>Bergvik skog väst AB</t>
        </is>
      </c>
      <c r="I418" t="n">
        <v>21.6</v>
      </c>
      <c r="J418" t="n">
        <v>3</v>
      </c>
      <c r="K418" t="n">
        <v>0</v>
      </c>
      <c r="L418" t="n">
        <v>0</v>
      </c>
      <c r="M418" t="n">
        <v>0</v>
      </c>
      <c r="N418" t="n">
        <v>0</v>
      </c>
      <c r="O418" t="n">
        <v>0</v>
      </c>
      <c r="P418" t="n">
        <v>0</v>
      </c>
      <c r="Q418" t="n">
        <v>0</v>
      </c>
      <c r="R418" t="n">
        <v>0</v>
      </c>
      <c r="S418" t="n">
        <v>3</v>
      </c>
      <c r="T418" t="n">
        <v>9</v>
      </c>
      <c r="U418" t="n">
        <v>0</v>
      </c>
      <c r="V418" s="2" t="inlineStr">
        <is>
          <t>Vanlig groda
Vanlig padda
Fläcknycklar</t>
        </is>
      </c>
      <c r="W418">
        <f>HYPERLINK("https://klasma.github.io/Logging_2101/artfynd/A 18091-2026 artfynd.xlsx", "A 18091-2026")</f>
        <v/>
      </c>
      <c r="X418">
        <f>HYPERLINK("https://klasma.github.io/Logging_2101/kartor/A 18091-2026 karta.png", "A 18091-2026")</f>
        <v/>
      </c>
      <c r="Y418">
        <f>HYPERLINK("https://klasma.github.io/Logging_2101/kartor_geotiff/A 18091-2026 georefererad karta.tif", "A 18091-2026")</f>
        <v/>
      </c>
      <c r="AA418">
        <f>HYPERLINK("https://klasma.github.io/Logging_2101/klagomål/A 18091-2026 FSC-klagomål.docx", "A 18091-2026")</f>
        <v/>
      </c>
      <c r="AB418">
        <f>HYPERLINK("https://klasma.github.io/Logging_2101/klagomålsmail/A 18091-2026 FSC-klagomål mail.docx", "A 18091-2026")</f>
        <v/>
      </c>
      <c r="AC418">
        <f>HYPERLINK("https://klasma.github.io/Logging_2101/tillsyn/A 18091-2026 tillsynsbegäran.docx", "A 18091-2026")</f>
        <v/>
      </c>
      <c r="AD418">
        <f>HYPERLINK("https://klasma.github.io/Logging_2101/tillsynsmail/A 18091-2026 tillsynsbegäran mail.docx", "A 18091-2026")</f>
        <v/>
      </c>
    </row>
    <row r="419" ht="15" customHeight="1">
      <c r="A419" t="inlineStr">
        <is>
          <t>A 26870-2026</t>
        </is>
      </c>
      <c r="B419" t="inlineStr">
        <is>
          <t>avverkningsanmälan</t>
        </is>
      </c>
      <c r="C419" t="inlineStr">
        <is>
          <t>Föryngringsavverkning</t>
        </is>
      </c>
      <c r="D419" s="1" t="n">
        <v>46185</v>
      </c>
      <c r="E419" s="1" t="n">
        <v>46326</v>
      </c>
      <c r="F419" t="inlineStr">
        <is>
          <t>GÄVLEBORGS LÄN</t>
        </is>
      </c>
      <c r="G419" t="inlineStr">
        <is>
          <t>OCKELBO</t>
        </is>
      </c>
      <c r="I419" t="n">
        <v>1.7</v>
      </c>
      <c r="J419" t="n">
        <v>3</v>
      </c>
      <c r="K419" t="n">
        <v>2</v>
      </c>
      <c r="L419" t="n">
        <v>0</v>
      </c>
      <c r="M419" t="n">
        <v>0</v>
      </c>
      <c r="N419" t="n">
        <v>0</v>
      </c>
      <c r="O419" t="n">
        <v>0</v>
      </c>
      <c r="P419" t="n">
        <v>0</v>
      </c>
      <c r="Q419" t="n">
        <v>0</v>
      </c>
      <c r="R419" t="n">
        <v>0</v>
      </c>
      <c r="S419" t="n">
        <v>3</v>
      </c>
      <c r="T419" t="n">
        <v>4</v>
      </c>
      <c r="U419" t="n">
        <v>0</v>
      </c>
      <c r="V419" s="2" t="inlineStr">
        <is>
          <t>Korallrot
Spindelblomster
Fläcknycklar</t>
        </is>
      </c>
      <c r="W419">
        <f>HYPERLINK("https://klasma.github.io/Logging_2101/artfynd/A 26870-2026 artfynd.xlsx", "A 26870-2026")</f>
        <v/>
      </c>
      <c r="X419">
        <f>HYPERLINK("https://klasma.github.io/Logging_2101/kartor/A 26870-2026 karta.png", "A 26870-2026")</f>
        <v/>
      </c>
      <c r="Y419">
        <f>HYPERLINK("https://klasma.github.io/Logging_2101/kartor_geotiff/A 26870-2026 georefererad karta.tif", "A 26870-2026")</f>
        <v/>
      </c>
      <c r="AA419">
        <f>HYPERLINK("https://klasma.github.io/Logging_2101/klagomål/A 26870-2026 FSC-klagomål.docx", "A 26870-2026")</f>
        <v/>
      </c>
      <c r="AB419">
        <f>HYPERLINK("https://klasma.github.io/Logging_2101/klagomålsmail/A 26870-2026 FSC-klagomål mail.docx", "A 26870-2026")</f>
        <v/>
      </c>
      <c r="AC419">
        <f>HYPERLINK("https://klasma.github.io/Logging_2101/tillsyn/A 26870-2026 tillsynsbegäran.docx", "A 26870-2026")</f>
        <v/>
      </c>
      <c r="AD419">
        <f>HYPERLINK("https://klasma.github.io/Logging_2101/tillsynsmail/A 26870-2026 tillsynsbegäran mail.docx", "A 26870-2026")</f>
        <v/>
      </c>
    </row>
    <row r="420" ht="15" customHeight="1">
      <c r="A420" t="inlineStr">
        <is>
          <t>A 28066-2026</t>
        </is>
      </c>
      <c r="B420" t="inlineStr">
        <is>
          <t>avverkningsanmälan</t>
        </is>
      </c>
      <c r="C420" t="inlineStr">
        <is>
          <t>Föryngringsavverkning</t>
        </is>
      </c>
      <c r="D420" s="1" t="n">
        <v>46195</v>
      </c>
      <c r="E420" s="1" t="n">
        <v>46326</v>
      </c>
      <c r="F420" t="inlineStr">
        <is>
          <t>GÄVLEBORGS LÄN</t>
        </is>
      </c>
      <c r="G420" t="inlineStr">
        <is>
          <t>HUDIKSVALL</t>
        </is>
      </c>
      <c r="H420" t="inlineStr">
        <is>
          <t>Kommuner</t>
        </is>
      </c>
      <c r="I420" t="n">
        <v>4.4</v>
      </c>
      <c r="J420" t="n">
        <v>3</v>
      </c>
      <c r="K420" t="n">
        <v>0</v>
      </c>
      <c r="L420" t="n">
        <v>2</v>
      </c>
      <c r="M420" t="n">
        <v>0</v>
      </c>
      <c r="N420" t="n">
        <v>0</v>
      </c>
      <c r="O420" t="n">
        <v>0</v>
      </c>
      <c r="P420" t="n">
        <v>0</v>
      </c>
      <c r="Q420" t="n">
        <v>2</v>
      </c>
      <c r="R420" t="n">
        <v>0</v>
      </c>
      <c r="S420" t="n">
        <v>3</v>
      </c>
      <c r="T420" t="n">
        <v>4</v>
      </c>
      <c r="U420" t="n">
        <v>1</v>
      </c>
      <c r="V420" s="2" t="inlineStr">
        <is>
          <t>Gulsparv
Mindre hackspett
Grönsiska</t>
        </is>
      </c>
      <c r="W420">
        <f>HYPERLINK("https://klasma.github.io/Logging_2184/artfynd/A 28066-2026 artfynd.xlsx", "A 28066-2026")</f>
        <v/>
      </c>
      <c r="X420">
        <f>HYPERLINK("https://klasma.github.io/Logging_2184/kartor/A 28066-2026 karta.png", "A 28066-2026")</f>
        <v/>
      </c>
      <c r="Y420">
        <f>HYPERLINK("https://klasma.github.io/Logging_2184/kartor_geotiff/A 28066-2026 georefererad karta.tif", "A 28066-2026")</f>
        <v/>
      </c>
      <c r="AA420">
        <f>HYPERLINK("https://klasma.github.io/Logging_2184/klagomål/A 28066-2026 FSC-klagomål.docx", "A 28066-2026")</f>
        <v/>
      </c>
      <c r="AB420">
        <f>HYPERLINK("https://klasma.github.io/Logging_2184/klagomålsmail/A 28066-2026 FSC-klagomål mail.docx", "A 28066-2026")</f>
        <v/>
      </c>
      <c r="AC420">
        <f>HYPERLINK("https://klasma.github.io/Logging_2184/tillsyn/A 28066-2026 tillsynsbegäran.docx", "A 28066-2026")</f>
        <v/>
      </c>
      <c r="AD420">
        <f>HYPERLINK("https://klasma.github.io/Logging_2184/tillsynsmail/A 28066-2026 tillsynsbegäran mail.docx", "A 28066-2026")</f>
        <v/>
      </c>
      <c r="AE420">
        <f>HYPERLINK("https://klasma.github.io/Logging_2184/fåglar/A 28066-2026 prioriterade fågelarter.docx", "A 28066-2026")</f>
        <v/>
      </c>
    </row>
    <row r="421" ht="15" customHeight="1">
      <c r="A421" t="inlineStr">
        <is>
          <t>A 29506-2026</t>
        </is>
      </c>
      <c r="B421" t="inlineStr">
        <is>
          <t>avverkningsanmälan</t>
        </is>
      </c>
      <c r="C421" t="inlineStr">
        <is>
          <t>Föryngringsavverkning</t>
        </is>
      </c>
      <c r="D421" s="1" t="n">
        <v>46198</v>
      </c>
      <c r="E421" s="1" t="n">
        <v>46326</v>
      </c>
      <c r="F421" t="inlineStr">
        <is>
          <t>GÄVLEBORGS LÄN</t>
        </is>
      </c>
      <c r="G421" t="inlineStr">
        <is>
          <t>GÄVLE</t>
        </is>
      </c>
      <c r="H421" t="inlineStr">
        <is>
          <t>Bergvik skog väst AB</t>
        </is>
      </c>
      <c r="I421" t="n">
        <v>52.7</v>
      </c>
      <c r="J421" t="n">
        <v>1</v>
      </c>
      <c r="K421" t="n">
        <v>0</v>
      </c>
      <c r="L421" t="n">
        <v>2</v>
      </c>
      <c r="M421" t="n">
        <v>1</v>
      </c>
      <c r="N421" t="n">
        <v>0</v>
      </c>
      <c r="O421" t="n">
        <v>0</v>
      </c>
      <c r="P421" t="n">
        <v>0</v>
      </c>
      <c r="Q421" t="n">
        <v>3</v>
      </c>
      <c r="R421" t="n">
        <v>1</v>
      </c>
      <c r="S421" t="n">
        <v>3</v>
      </c>
      <c r="T421" t="n">
        <v>6</v>
      </c>
      <c r="U421" t="n">
        <v>6</v>
      </c>
      <c r="V421" s="2" t="inlineStr">
        <is>
          <t>Knärot
Ullticka
Vedtrappmossa</t>
        </is>
      </c>
      <c r="W421">
        <f>HYPERLINK("https://klasma.github.io/Logging_2180/artfynd/A 29506-2026 artfynd.xlsx", "A 29506-2026")</f>
        <v/>
      </c>
      <c r="X421">
        <f>HYPERLINK("https://klasma.github.io/Logging_2180/kartor/A 29506-2026 karta.png", "A 29506-2026")</f>
        <v/>
      </c>
      <c r="Y421">
        <f>HYPERLINK("https://klasma.github.io/Logging_2180/kartor_geotiff/A 29506-2026 georefererad karta.tif", "A 29506-2026")</f>
        <v/>
      </c>
      <c r="Z421">
        <f>HYPERLINK("https://klasma.github.io/Logging_2180/knärot/A 29506-2026 karta knärot.png", "A 29506-2026")</f>
        <v/>
      </c>
      <c r="AA421">
        <f>HYPERLINK("https://klasma.github.io/Logging_2180/klagomål/A 29506-2026 FSC-klagomål.docx", "A 29506-2026")</f>
        <v/>
      </c>
      <c r="AB421">
        <f>HYPERLINK("https://klasma.github.io/Logging_2180/klagomålsmail/A 29506-2026 FSC-klagomål mail.docx", "A 29506-2026")</f>
        <v/>
      </c>
      <c r="AC421">
        <f>HYPERLINK("https://klasma.github.io/Logging_2180/tillsyn/A 29506-2026 tillsynsbegäran.docx", "A 29506-2026")</f>
        <v/>
      </c>
      <c r="AD421">
        <f>HYPERLINK("https://klasma.github.io/Logging_2180/tillsynsmail/A 29506-2026 tillsynsbegäran mail.docx", "A 29506-2026")</f>
        <v/>
      </c>
    </row>
    <row r="422" ht="15" customHeight="1">
      <c r="A422" t="inlineStr">
        <is>
          <t>A 28636-2026</t>
        </is>
      </c>
      <c r="B422" t="inlineStr">
        <is>
          <t>avverkningsanmälan</t>
        </is>
      </c>
      <c r="C422" t="inlineStr">
        <is>
          <t>Föryngringsavverkning</t>
        </is>
      </c>
      <c r="D422" s="1" t="n">
        <v>46198</v>
      </c>
      <c r="E422" s="1" t="n">
        <v>46326</v>
      </c>
      <c r="F422" t="inlineStr">
        <is>
          <t>GÄVLEBORGS LÄN</t>
        </is>
      </c>
      <c r="G422" t="inlineStr">
        <is>
          <t>LJUSDAL</t>
        </is>
      </c>
      <c r="H422" t="inlineStr">
        <is>
          <t>Sveaskog</t>
        </is>
      </c>
      <c r="I422" t="n">
        <v>2.5</v>
      </c>
      <c r="J422" t="n">
        <v>0</v>
      </c>
      <c r="K422" t="n">
        <v>1</v>
      </c>
      <c r="L422" t="n">
        <v>2</v>
      </c>
      <c r="M422" t="n">
        <v>0</v>
      </c>
      <c r="N422" t="n">
        <v>0</v>
      </c>
      <c r="O422" t="n">
        <v>0</v>
      </c>
      <c r="P422" t="n">
        <v>0</v>
      </c>
      <c r="Q422" t="n">
        <v>2</v>
      </c>
      <c r="R422" t="n">
        <v>0</v>
      </c>
      <c r="S422" t="n">
        <v>3</v>
      </c>
      <c r="T422" t="n">
        <v>3</v>
      </c>
      <c r="U422" t="n">
        <v>2</v>
      </c>
      <c r="V422" s="2" t="inlineStr">
        <is>
          <t>Kolflarnlav
Vedflamlav
Kransrams</t>
        </is>
      </c>
      <c r="W422">
        <f>HYPERLINK("https://klasma.github.io/Logging_2161/artfynd/A 28636-2026 artfynd.xlsx", "A 28636-2026")</f>
        <v/>
      </c>
      <c r="X422">
        <f>HYPERLINK("https://klasma.github.io/Logging_2161/kartor/A 28636-2026 karta.png", "A 28636-2026")</f>
        <v/>
      </c>
      <c r="Y422">
        <f>HYPERLINK("https://klasma.github.io/Logging_2161/kartor_geotiff/A 28636-2026 georefererad karta.tif", "A 28636-2026")</f>
        <v/>
      </c>
      <c r="AA422">
        <f>HYPERLINK("https://klasma.github.io/Logging_2161/klagomål/A 28636-2026 FSC-klagomål.docx", "A 28636-2026")</f>
        <v/>
      </c>
      <c r="AB422">
        <f>HYPERLINK("https://klasma.github.io/Logging_2161/klagomålsmail/A 28636-2026 FSC-klagomål mail.docx", "A 28636-2026")</f>
        <v/>
      </c>
      <c r="AC422">
        <f>HYPERLINK("https://klasma.github.io/Logging_2161/tillsyn/A 28636-2026 tillsynsbegäran.docx", "A 28636-2026")</f>
        <v/>
      </c>
      <c r="AD422">
        <f>HYPERLINK("https://klasma.github.io/Logging_2161/tillsynsmail/A 28636-2026 tillsynsbegäran mail.docx", "A 28636-2026")</f>
        <v/>
      </c>
    </row>
    <row r="423" ht="15" customHeight="1">
      <c r="A423" t="inlineStr">
        <is>
          <t>A 29114-2026</t>
        </is>
      </c>
      <c r="B423" t="inlineStr">
        <is>
          <t>avverkningsanmälan</t>
        </is>
      </c>
      <c r="C423" t="inlineStr">
        <is>
          <t>Föryngringsavverkning</t>
        </is>
      </c>
      <c r="D423" s="1" t="n">
        <v>46201</v>
      </c>
      <c r="E423" s="1" t="n">
        <v>46326</v>
      </c>
      <c r="F423" t="inlineStr">
        <is>
          <t>GÄVLEBORGS LÄN</t>
        </is>
      </c>
      <c r="G423" t="inlineStr">
        <is>
          <t>SANDVIKEN</t>
        </is>
      </c>
      <c r="H423" t="inlineStr">
        <is>
          <t>Kommuner</t>
        </is>
      </c>
      <c r="I423" t="n">
        <v>10</v>
      </c>
      <c r="J423" t="n">
        <v>2</v>
      </c>
      <c r="K423" t="n">
        <v>1</v>
      </c>
      <c r="L423" t="n">
        <v>0</v>
      </c>
      <c r="M423" t="n">
        <v>0</v>
      </c>
      <c r="N423" t="n">
        <v>0</v>
      </c>
      <c r="O423" t="n">
        <v>0</v>
      </c>
      <c r="P423" t="n">
        <v>0</v>
      </c>
      <c r="Q423" t="n">
        <v>0</v>
      </c>
      <c r="R423" t="n">
        <v>0</v>
      </c>
      <c r="S423" t="n">
        <v>3</v>
      </c>
      <c r="T423" t="n">
        <v>3</v>
      </c>
      <c r="U423" t="n">
        <v>0</v>
      </c>
      <c r="V423" s="2" t="inlineStr">
        <is>
          <t>Tibast
Grönsiska
Kungsfågel</t>
        </is>
      </c>
      <c r="W423">
        <f>HYPERLINK("https://klasma.github.io/Logging_2181/artfynd/A 29114-2026 artfynd.xlsx", "A 29114-2026")</f>
        <v/>
      </c>
      <c r="X423">
        <f>HYPERLINK("https://klasma.github.io/Logging_2181/kartor/A 29114-2026 karta.png", "A 29114-2026")</f>
        <v/>
      </c>
      <c r="Y423">
        <f>HYPERLINK("https://klasma.github.io/Logging_2181/kartor_geotiff/A 29114-2026 georefererad karta.tif", "A 29114-2026")</f>
        <v/>
      </c>
      <c r="AA423">
        <f>HYPERLINK("https://klasma.github.io/Logging_2181/klagomål/A 29114-2026 FSC-klagomål.docx", "A 29114-2026")</f>
        <v/>
      </c>
      <c r="AB423">
        <f>HYPERLINK("https://klasma.github.io/Logging_2181/klagomålsmail/A 29114-2026 FSC-klagomål mail.docx", "A 29114-2026")</f>
        <v/>
      </c>
      <c r="AC423">
        <f>HYPERLINK("https://klasma.github.io/Logging_2181/tillsyn/A 29114-2026 tillsynsbegäran.docx", "A 29114-2026")</f>
        <v/>
      </c>
      <c r="AD423">
        <f>HYPERLINK("https://klasma.github.io/Logging_2181/tillsynsmail/A 29114-2026 tillsynsbegäran mail.docx", "A 29114-2026")</f>
        <v/>
      </c>
    </row>
    <row r="424" ht="15" customHeight="1">
      <c r="A424" t="inlineStr">
        <is>
          <t>A 30150-2026</t>
        </is>
      </c>
      <c r="B424" t="inlineStr">
        <is>
          <t>avverkningsanmälan</t>
        </is>
      </c>
      <c r="C424" t="inlineStr">
        <is>
          <t>Föryngringsavverkning</t>
        </is>
      </c>
      <c r="D424" s="1" t="n">
        <v>46206</v>
      </c>
      <c r="E424" s="1" t="n">
        <v>46326</v>
      </c>
      <c r="F424" t="inlineStr">
        <is>
          <t>GÄVLEBORGS LÄN</t>
        </is>
      </c>
      <c r="G424" t="inlineStr">
        <is>
          <t>LJUSDAL</t>
        </is>
      </c>
      <c r="H424" t="inlineStr">
        <is>
          <t>Sveaskog</t>
        </is>
      </c>
      <c r="I424" t="n">
        <v>23.7</v>
      </c>
      <c r="J424" t="n">
        <v>2</v>
      </c>
      <c r="K424" t="n">
        <v>1</v>
      </c>
      <c r="L424" t="n">
        <v>1</v>
      </c>
      <c r="M424" t="n">
        <v>0</v>
      </c>
      <c r="N424" t="n">
        <v>0</v>
      </c>
      <c r="O424" t="n">
        <v>0</v>
      </c>
      <c r="P424" t="n">
        <v>0</v>
      </c>
      <c r="Q424" t="n">
        <v>1</v>
      </c>
      <c r="R424" t="n">
        <v>0</v>
      </c>
      <c r="S424" t="n">
        <v>3</v>
      </c>
      <c r="T424" t="n">
        <v>3</v>
      </c>
      <c r="U424" t="n">
        <v>1</v>
      </c>
      <c r="V424" s="2" t="inlineStr">
        <is>
          <t>Kolflarnlav
Plattlummer
Fläcknycklar</t>
        </is>
      </c>
      <c r="W424">
        <f>HYPERLINK("https://klasma.github.io/Logging_2161/artfynd/A 30150-2026 artfynd.xlsx", "A 30150-2026")</f>
        <v/>
      </c>
      <c r="X424">
        <f>HYPERLINK("https://klasma.github.io/Logging_2161/kartor/A 30150-2026 karta.png", "A 30150-2026")</f>
        <v/>
      </c>
      <c r="Y424">
        <f>HYPERLINK("https://klasma.github.io/Logging_2161/kartor_geotiff/A 30150-2026 georefererad karta.tif", "A 30150-2026")</f>
        <v/>
      </c>
      <c r="AA424">
        <f>HYPERLINK("https://klasma.github.io/Logging_2161/klagomål/A 30150-2026 FSC-klagomål.docx", "A 30150-2026")</f>
        <v/>
      </c>
      <c r="AB424">
        <f>HYPERLINK("https://klasma.github.io/Logging_2161/klagomålsmail/A 30150-2026 FSC-klagomål mail.docx", "A 30150-2026")</f>
        <v/>
      </c>
      <c r="AC424">
        <f>HYPERLINK("https://klasma.github.io/Logging_2161/tillsyn/A 30150-2026 tillsynsbegäran.docx", "A 30150-2026")</f>
        <v/>
      </c>
      <c r="AD424">
        <f>HYPERLINK("https://klasma.github.io/Logging_2161/tillsynsmail/A 30150-2026 tillsynsbegäran mail.docx", "A 30150-2026")</f>
        <v/>
      </c>
    </row>
    <row r="425" ht="15" customHeight="1">
      <c r="A425" t="inlineStr">
        <is>
          <t>A 30228-2026</t>
        </is>
      </c>
      <c r="B425" t="inlineStr">
        <is>
          <t>avverkningsanmälan</t>
        </is>
      </c>
      <c r="C425" t="inlineStr">
        <is>
          <t>Föryngringsavverkning</t>
        </is>
      </c>
      <c r="D425" s="1" t="n">
        <v>46206</v>
      </c>
      <c r="E425" s="1" t="n">
        <v>46326</v>
      </c>
      <c r="F425" t="inlineStr">
        <is>
          <t>GÄVLEBORGS LÄN</t>
        </is>
      </c>
      <c r="G425" t="inlineStr">
        <is>
          <t>LJUSDAL</t>
        </is>
      </c>
      <c r="H425" t="inlineStr">
        <is>
          <t>Sveaskog</t>
        </is>
      </c>
      <c r="I425" t="n">
        <v>23.7</v>
      </c>
      <c r="J425" t="n">
        <v>2</v>
      </c>
      <c r="K425" t="n">
        <v>1</v>
      </c>
      <c r="L425" t="n">
        <v>1</v>
      </c>
      <c r="M425" t="n">
        <v>0</v>
      </c>
      <c r="N425" t="n">
        <v>0</v>
      </c>
      <c r="O425" t="n">
        <v>0</v>
      </c>
      <c r="P425" t="n">
        <v>0</v>
      </c>
      <c r="Q425" t="n">
        <v>1</v>
      </c>
      <c r="R425" t="n">
        <v>0</v>
      </c>
      <c r="S425" t="n">
        <v>3</v>
      </c>
      <c r="T425" t="n">
        <v>3</v>
      </c>
      <c r="U425" t="n">
        <v>1</v>
      </c>
      <c r="V425" s="2" t="inlineStr">
        <is>
          <t>Kolflarnlav
Plattlummer
Fläcknycklar</t>
        </is>
      </c>
      <c r="W425">
        <f>HYPERLINK("https://klasma.github.io/Logging_2161/artfynd/A 30228-2026 artfynd.xlsx", "A 30228-2026")</f>
        <v/>
      </c>
      <c r="X425">
        <f>HYPERLINK("https://klasma.github.io/Logging_2161/kartor/A 30228-2026 karta.png", "A 30228-2026")</f>
        <v/>
      </c>
      <c r="Y425">
        <f>HYPERLINK("https://klasma.github.io/Logging_2161/kartor_geotiff/A 30228-2026 georefererad karta.tif", "A 30228-2026")</f>
        <v/>
      </c>
      <c r="AA425">
        <f>HYPERLINK("https://klasma.github.io/Logging_2161/klagomål/A 30228-2026 FSC-klagomål.docx", "A 30228-2026")</f>
        <v/>
      </c>
      <c r="AB425">
        <f>HYPERLINK("https://klasma.github.io/Logging_2161/klagomålsmail/A 30228-2026 FSC-klagomål mail.docx", "A 30228-2026")</f>
        <v/>
      </c>
      <c r="AC425">
        <f>HYPERLINK("https://klasma.github.io/Logging_2161/tillsyn/A 30228-2026 tillsynsbegäran.docx", "A 30228-2026")</f>
        <v/>
      </c>
      <c r="AD425">
        <f>HYPERLINK("https://klasma.github.io/Logging_2161/tillsynsmail/A 30228-2026 tillsynsbegäran mail.docx", "A 30228-2026")</f>
        <v/>
      </c>
    </row>
    <row r="426" ht="15" customHeight="1">
      <c r="A426" t="inlineStr">
        <is>
          <t>A 31123-2026</t>
        </is>
      </c>
      <c r="B426" t="inlineStr">
        <is>
          <t>avverkningsanmälan</t>
        </is>
      </c>
      <c r="C426" t="inlineStr">
        <is>
          <t>Föryngringsavverkning</t>
        </is>
      </c>
      <c r="D426" s="1" t="n">
        <v>46216</v>
      </c>
      <c r="E426" s="1" t="n">
        <v>46326</v>
      </c>
      <c r="F426" t="inlineStr">
        <is>
          <t>GÄVLEBORGS LÄN</t>
        </is>
      </c>
      <c r="G426" t="inlineStr">
        <is>
          <t>SANDVIKEN</t>
        </is>
      </c>
      <c r="I426" t="n">
        <v>3.3</v>
      </c>
      <c r="J426" t="n">
        <v>2</v>
      </c>
      <c r="K426" t="n">
        <v>0</v>
      </c>
      <c r="L426" t="n">
        <v>1</v>
      </c>
      <c r="M426" t="n">
        <v>1</v>
      </c>
      <c r="N426" t="n">
        <v>0</v>
      </c>
      <c r="O426" t="n">
        <v>0</v>
      </c>
      <c r="P426" t="n">
        <v>0</v>
      </c>
      <c r="Q426" t="n">
        <v>2</v>
      </c>
      <c r="R426" t="n">
        <v>1</v>
      </c>
      <c r="S426" t="n">
        <v>3</v>
      </c>
      <c r="T426" t="n">
        <v>3</v>
      </c>
      <c r="U426" t="n">
        <v>0</v>
      </c>
      <c r="V426" s="2" t="inlineStr">
        <is>
          <t>Garnlav
Mindre hackspett
Spillkråka</t>
        </is>
      </c>
      <c r="W426">
        <f>HYPERLINK("https://klasma.github.io/Logging_2181/artfynd/A 31123-2026 artfynd.xlsx", "A 31123-2026")</f>
        <v/>
      </c>
      <c r="X426">
        <f>HYPERLINK("https://klasma.github.io/Logging_2181/kartor/A 31123-2026 karta.png", "A 31123-2026")</f>
        <v/>
      </c>
      <c r="Y426">
        <f>HYPERLINK("https://klasma.github.io/Logging_2181/kartor_geotiff/A 31123-2026 georefererad karta.tif", "A 31123-2026")</f>
        <v/>
      </c>
      <c r="AA426">
        <f>HYPERLINK("https://klasma.github.io/Logging_2181/klagomål/A 31123-2026 FSC-klagomål.docx", "A 31123-2026")</f>
        <v/>
      </c>
      <c r="AB426">
        <f>HYPERLINK("https://klasma.github.io/Logging_2181/klagomålsmail/A 31123-2026 FSC-klagomål mail.docx", "A 31123-2026")</f>
        <v/>
      </c>
      <c r="AC426">
        <f>HYPERLINK("https://klasma.github.io/Logging_2181/tillsyn/A 31123-2026 tillsynsbegäran.docx", "A 31123-2026")</f>
        <v/>
      </c>
      <c r="AD426">
        <f>HYPERLINK("https://klasma.github.io/Logging_2181/tillsynsmail/A 31123-2026 tillsynsbegäran mail.docx", "A 31123-2026")</f>
        <v/>
      </c>
      <c r="AE426">
        <f>HYPERLINK("https://klasma.github.io/Logging_2181/fåglar/A 31123-2026 prioriterade fågelarter.docx", "A 31123-2026")</f>
        <v/>
      </c>
    </row>
    <row r="427" ht="15" customHeight="1">
      <c r="A427" t="inlineStr">
        <is>
          <t>A 7608-2023</t>
        </is>
      </c>
      <c r="B427" t="inlineStr">
        <is>
          <t>avverkningsanmälan</t>
        </is>
      </c>
      <c r="C427" t="inlineStr">
        <is>
          <t>Avverkning för att bevara och utveckla /försöksver</t>
        </is>
      </c>
      <c r="D427" s="1" t="n">
        <v>44972</v>
      </c>
      <c r="E427" s="1" t="n">
        <v>46326</v>
      </c>
      <c r="F427" t="inlineStr">
        <is>
          <t>GÄVLEBORGS LÄN</t>
        </is>
      </c>
      <c r="G427" t="inlineStr">
        <is>
          <t>NORDANSTIG</t>
        </is>
      </c>
      <c r="H427" t="inlineStr">
        <is>
          <t>Holmen skog AB</t>
        </is>
      </c>
      <c r="I427" t="n">
        <v>13</v>
      </c>
      <c r="J427" t="n">
        <v>1</v>
      </c>
      <c r="K427" t="n">
        <v>1</v>
      </c>
      <c r="L427" t="n">
        <v>2</v>
      </c>
      <c r="M427" t="n">
        <v>0</v>
      </c>
      <c r="N427" t="n">
        <v>0</v>
      </c>
      <c r="O427" t="n">
        <v>0</v>
      </c>
      <c r="P427" t="n">
        <v>0</v>
      </c>
      <c r="Q427" t="n">
        <v>2</v>
      </c>
      <c r="R427" t="n">
        <v>0</v>
      </c>
      <c r="S427" t="n">
        <v>3</v>
      </c>
      <c r="T427" t="n">
        <v>10</v>
      </c>
      <c r="U427" t="n">
        <v>1</v>
      </c>
      <c r="V427" s="2" t="inlineStr">
        <is>
          <t>Sädesärla
Tallticka
Mindre märgborre</t>
        </is>
      </c>
      <c r="W427">
        <f>HYPERLINK("https://klasma.github.io/Logging_2132/artfynd/A 7608-2023 artfynd.xlsx", "A 7608-2023")</f>
        <v/>
      </c>
      <c r="X427">
        <f>HYPERLINK("https://klasma.github.io/Logging_2132/kartor/A 7608-2023 karta.png", "A 7608-2023")</f>
        <v/>
      </c>
      <c r="Y427">
        <f>HYPERLINK("https://klasma.github.io/Logging_2132/kartor_geotiff/A 7608-2023 georefererad karta.tif", "A 7608-2023")</f>
        <v/>
      </c>
      <c r="AA427">
        <f>HYPERLINK("https://klasma.github.io/Logging_2132/klagomål/A 7608-2023 FSC-klagomål.docx", "A 7608-2023")</f>
        <v/>
      </c>
      <c r="AB427">
        <f>HYPERLINK("https://klasma.github.io/Logging_2132/klagomålsmail/A 7608-2023 FSC-klagomål mail.docx", "A 7608-2023")</f>
        <v/>
      </c>
      <c r="AC427">
        <f>HYPERLINK("https://klasma.github.io/Logging_2132/tillsyn/A 7608-2023 tillsynsbegäran.docx", "A 7608-2023")</f>
        <v/>
      </c>
      <c r="AD427">
        <f>HYPERLINK("https://klasma.github.io/Logging_2132/tillsynsmail/A 7608-2023 tillsynsbegäran mail.docx", "A 7608-2023")</f>
        <v/>
      </c>
      <c r="AE427">
        <f>HYPERLINK("https://klasma.github.io/Logging_2132/fåglar/A 7608-2023 prioriterade fågelarter.docx", "A 7608-2023")</f>
        <v/>
      </c>
    </row>
    <row r="428" ht="15" customHeight="1">
      <c r="A428" t="inlineStr">
        <is>
          <t>A 31312-2026</t>
        </is>
      </c>
      <c r="B428" t="inlineStr">
        <is>
          <t>avverkningsanmälan</t>
        </is>
      </c>
      <c r="C428" t="inlineStr">
        <is>
          <t>Föryngringsavverkning</t>
        </is>
      </c>
      <c r="D428" s="1" t="n">
        <v>46219</v>
      </c>
      <c r="E428" s="1" t="n">
        <v>46326</v>
      </c>
      <c r="F428" t="inlineStr">
        <is>
          <t>GÄVLEBORGS LÄN</t>
        </is>
      </c>
      <c r="G428" t="inlineStr">
        <is>
          <t>SANDVIKEN</t>
        </is>
      </c>
      <c r="I428" t="n">
        <v>1.3</v>
      </c>
      <c r="J428" t="n">
        <v>0</v>
      </c>
      <c r="K428" t="n">
        <v>1</v>
      </c>
      <c r="L428" t="n">
        <v>2</v>
      </c>
      <c r="M428" t="n">
        <v>0</v>
      </c>
      <c r="N428" t="n">
        <v>0</v>
      </c>
      <c r="O428" t="n">
        <v>0</v>
      </c>
      <c r="P428" t="n">
        <v>0</v>
      </c>
      <c r="Q428" t="n">
        <v>2</v>
      </c>
      <c r="R428" t="n">
        <v>0</v>
      </c>
      <c r="S428" t="n">
        <v>3</v>
      </c>
      <c r="T428" t="n">
        <v>3</v>
      </c>
      <c r="U428" t="n">
        <v>0</v>
      </c>
      <c r="V428" s="2" t="inlineStr">
        <is>
          <t>Dropptaggsvamp
Tallticka
Nästlav</t>
        </is>
      </c>
      <c r="W428">
        <f>HYPERLINK("https://klasma.github.io/Logging_2181/artfynd/A 31312-2026 artfynd.xlsx", "A 31312-2026")</f>
        <v/>
      </c>
      <c r="X428">
        <f>HYPERLINK("https://klasma.github.io/Logging_2181/kartor/A 31312-2026 karta.png", "A 31312-2026")</f>
        <v/>
      </c>
      <c r="Y428">
        <f>HYPERLINK("https://klasma.github.io/Logging_2181/kartor_geotiff/A 31312-2026 georefererad karta.tif", "A 31312-2026")</f>
        <v/>
      </c>
      <c r="AA428">
        <f>HYPERLINK("https://klasma.github.io/Logging_2181/klagomål/A 31312-2026 FSC-klagomål.docx", "A 31312-2026")</f>
        <v/>
      </c>
      <c r="AB428">
        <f>HYPERLINK("https://klasma.github.io/Logging_2181/klagomålsmail/A 31312-2026 FSC-klagomål mail.docx", "A 31312-2026")</f>
        <v/>
      </c>
      <c r="AC428">
        <f>HYPERLINK("https://klasma.github.io/Logging_2181/tillsyn/A 31312-2026 tillsynsbegäran.docx", "A 31312-2026")</f>
        <v/>
      </c>
      <c r="AD428">
        <f>HYPERLINK("https://klasma.github.io/Logging_2181/tillsynsmail/A 31312-2026 tillsynsbegäran mail.docx", "A 31312-2026")</f>
        <v/>
      </c>
    </row>
    <row r="429" ht="15" customHeight="1">
      <c r="A429" t="inlineStr">
        <is>
          <t>A 31310-2026</t>
        </is>
      </c>
      <c r="B429" t="inlineStr">
        <is>
          <t>avverkningsanmälan</t>
        </is>
      </c>
      <c r="C429" t="inlineStr">
        <is>
          <t>Föryngringsavverkning</t>
        </is>
      </c>
      <c r="D429" s="1" t="n">
        <v>46219</v>
      </c>
      <c r="E429" s="1" t="n">
        <v>46326</v>
      </c>
      <c r="F429" t="inlineStr">
        <is>
          <t>GÄVLEBORGS LÄN</t>
        </is>
      </c>
      <c r="G429" t="inlineStr">
        <is>
          <t>SANDVIKEN</t>
        </is>
      </c>
      <c r="I429" t="n">
        <v>0.7</v>
      </c>
      <c r="J429" t="n">
        <v>2</v>
      </c>
      <c r="K429" t="n">
        <v>1</v>
      </c>
      <c r="L429" t="n">
        <v>0</v>
      </c>
      <c r="M429" t="n">
        <v>0</v>
      </c>
      <c r="N429" t="n">
        <v>0</v>
      </c>
      <c r="O429" t="n">
        <v>0</v>
      </c>
      <c r="P429" t="n">
        <v>0</v>
      </c>
      <c r="Q429" t="n">
        <v>0</v>
      </c>
      <c r="R429" t="n">
        <v>0</v>
      </c>
      <c r="S429" t="n">
        <v>3</v>
      </c>
      <c r="T429" t="n">
        <v>3</v>
      </c>
      <c r="U429" t="n">
        <v>0</v>
      </c>
      <c r="V429" s="2" t="inlineStr">
        <is>
          <t>Vågbandad barkbock
Åkergroda
Vanlig padda</t>
        </is>
      </c>
      <c r="W429">
        <f>HYPERLINK("https://klasma.github.io/Logging_2181/artfynd/A 31310-2026 artfynd.xlsx", "A 31310-2026")</f>
        <v/>
      </c>
      <c r="X429">
        <f>HYPERLINK("https://klasma.github.io/Logging_2181/kartor/A 31310-2026 karta.png", "A 31310-2026")</f>
        <v/>
      </c>
      <c r="Y429">
        <f>HYPERLINK("https://klasma.github.io/Logging_2181/kartor_geotiff/A 31310-2026 georefererad karta.tif", "A 31310-2026")</f>
        <v/>
      </c>
      <c r="AA429">
        <f>HYPERLINK("https://klasma.github.io/Logging_2181/klagomål/A 31310-2026 FSC-klagomål.docx", "A 31310-2026")</f>
        <v/>
      </c>
      <c r="AB429">
        <f>HYPERLINK("https://klasma.github.io/Logging_2181/klagomålsmail/A 31310-2026 FSC-klagomål mail.docx", "A 31310-2026")</f>
        <v/>
      </c>
      <c r="AC429">
        <f>HYPERLINK("https://klasma.github.io/Logging_2181/tillsyn/A 31310-2026 tillsynsbegäran.docx", "A 31310-2026")</f>
        <v/>
      </c>
      <c r="AD429">
        <f>HYPERLINK("https://klasma.github.io/Logging_2181/tillsynsmail/A 31310-2026 tillsynsbegäran mail.docx", "A 31310-2026")</f>
        <v/>
      </c>
    </row>
    <row r="430" ht="15" customHeight="1">
      <c r="A430" t="inlineStr">
        <is>
          <t>A 22425-2026</t>
        </is>
      </c>
      <c r="B430" t="inlineStr">
        <is>
          <t>avverkningsanmälan</t>
        </is>
      </c>
      <c r="C430" t="inlineStr">
        <is>
          <t>Föryngringsavverkning</t>
        </is>
      </c>
      <c r="D430" s="1" t="n">
        <v>46153</v>
      </c>
      <c r="E430" s="1" t="n">
        <v>46326</v>
      </c>
      <c r="F430" t="inlineStr">
        <is>
          <t>GÄVLEBORGS LÄN</t>
        </is>
      </c>
      <c r="G430" t="inlineStr">
        <is>
          <t>OCKELBO</t>
        </is>
      </c>
      <c r="I430" t="n">
        <v>0.9</v>
      </c>
      <c r="J430" t="n">
        <v>1</v>
      </c>
      <c r="K430" t="n">
        <v>2</v>
      </c>
      <c r="L430" t="n">
        <v>0</v>
      </c>
      <c r="M430" t="n">
        <v>0</v>
      </c>
      <c r="N430" t="n">
        <v>0</v>
      </c>
      <c r="O430" t="n">
        <v>0</v>
      </c>
      <c r="P430" t="n">
        <v>0</v>
      </c>
      <c r="Q430" t="n">
        <v>0</v>
      </c>
      <c r="R430" t="n">
        <v>0</v>
      </c>
      <c r="S430" t="n">
        <v>3</v>
      </c>
      <c r="T430" t="n">
        <v>3</v>
      </c>
      <c r="U430" t="n">
        <v>0</v>
      </c>
      <c r="V430" s="2" t="inlineStr">
        <is>
          <t>Svart trolldruva
Ögonpyrola
Blåsippa</t>
        </is>
      </c>
      <c r="W430">
        <f>HYPERLINK("https://klasma.github.io/Logging_2101/artfynd/A 22425-2026 artfynd.xlsx", "A 22425-2026")</f>
        <v/>
      </c>
      <c r="X430">
        <f>HYPERLINK("https://klasma.github.io/Logging_2101/kartor/A 22425-2026 karta.png", "A 22425-2026")</f>
        <v/>
      </c>
      <c r="Y430">
        <f>HYPERLINK("https://klasma.github.io/Logging_2101/kartor_geotiff/A 22425-2026 georefererad karta.tif", "A 22425-2026")</f>
        <v/>
      </c>
      <c r="AA430">
        <f>HYPERLINK("https://klasma.github.io/Logging_2101/klagomål/A 22425-2026 FSC-klagomål.docx", "A 22425-2026")</f>
        <v/>
      </c>
      <c r="AB430">
        <f>HYPERLINK("https://klasma.github.io/Logging_2101/klagomålsmail/A 22425-2026 FSC-klagomål mail.docx", "A 22425-2026")</f>
        <v/>
      </c>
      <c r="AC430">
        <f>HYPERLINK("https://klasma.github.io/Logging_2101/tillsyn/A 22425-2026 tillsynsbegäran.docx", "A 22425-2026")</f>
        <v/>
      </c>
      <c r="AD430">
        <f>HYPERLINK("https://klasma.github.io/Logging_2101/tillsynsmail/A 22425-2026 tillsynsbegäran mail.docx", "A 22425-2026")</f>
        <v/>
      </c>
    </row>
    <row r="431" ht="15" customHeight="1">
      <c r="A431" t="inlineStr">
        <is>
          <t>A 31921-2026</t>
        </is>
      </c>
      <c r="B431" t="inlineStr">
        <is>
          <t>avverkningsanmälan</t>
        </is>
      </c>
      <c r="C431" t="inlineStr">
        <is>
          <t>Föryngringsavverkning</t>
        </is>
      </c>
      <c r="D431" s="1" t="n">
        <v>46231</v>
      </c>
      <c r="E431" s="1" t="n">
        <v>46326</v>
      </c>
      <c r="F431" t="inlineStr">
        <is>
          <t>GÄVLEBORGS LÄN</t>
        </is>
      </c>
      <c r="G431" t="inlineStr">
        <is>
          <t>LJUSDAL</t>
        </is>
      </c>
      <c r="H431" t="inlineStr">
        <is>
          <t>Allmännings- och besparingsskogar</t>
        </is>
      </c>
      <c r="I431" t="n">
        <v>6.9</v>
      </c>
      <c r="J431" t="n">
        <v>1</v>
      </c>
      <c r="K431" t="n">
        <v>0</v>
      </c>
      <c r="L431" t="n">
        <v>1</v>
      </c>
      <c r="M431" t="n">
        <v>2</v>
      </c>
      <c r="N431" t="n">
        <v>0</v>
      </c>
      <c r="O431" t="n">
        <v>0</v>
      </c>
      <c r="P431" t="n">
        <v>0</v>
      </c>
      <c r="Q431" t="n">
        <v>3</v>
      </c>
      <c r="R431" t="n">
        <v>2</v>
      </c>
      <c r="S431" t="n">
        <v>3</v>
      </c>
      <c r="T431" t="n">
        <v>4</v>
      </c>
      <c r="U431" t="n">
        <v>4</v>
      </c>
      <c r="V431" s="2" t="inlineStr">
        <is>
          <t>Garnlav
Knärot
Violettgrå tagellav</t>
        </is>
      </c>
      <c r="W431">
        <f>HYPERLINK("https://klasma.github.io/Logging_2161/artfynd/A 31921-2026 artfynd.xlsx", "A 31921-2026")</f>
        <v/>
      </c>
      <c r="X431">
        <f>HYPERLINK("https://klasma.github.io/Logging_2161/kartor/A 31921-2026 karta.png", "A 31921-2026")</f>
        <v/>
      </c>
      <c r="Y431">
        <f>HYPERLINK("https://klasma.github.io/Logging_2161/kartor_geotiff/A 31921-2026 georefererad karta.tif", "A 31921-2026")</f>
        <v/>
      </c>
      <c r="Z431">
        <f>HYPERLINK("https://klasma.github.io/Logging_2161/knärot/A 31921-2026 karta knärot.png", "A 31921-2026")</f>
        <v/>
      </c>
      <c r="AA431">
        <f>HYPERLINK("https://klasma.github.io/Logging_2161/klagomål/A 31921-2026 FSC-klagomål.docx", "A 31921-2026")</f>
        <v/>
      </c>
      <c r="AB431">
        <f>HYPERLINK("https://klasma.github.io/Logging_2161/klagomålsmail/A 31921-2026 FSC-klagomål mail.docx", "A 31921-2026")</f>
        <v/>
      </c>
      <c r="AC431">
        <f>HYPERLINK("https://klasma.github.io/Logging_2161/tillsyn/A 31921-2026 tillsynsbegäran.docx", "A 31921-2026")</f>
        <v/>
      </c>
      <c r="AD431">
        <f>HYPERLINK("https://klasma.github.io/Logging_2161/tillsynsmail/A 31921-2026 tillsynsbegäran mail.docx", "A 31921-2026")</f>
        <v/>
      </c>
    </row>
    <row r="432" ht="15" customHeight="1">
      <c r="A432" t="inlineStr">
        <is>
          <t>A 32502-2023</t>
        </is>
      </c>
      <c r="B432" t="inlineStr">
        <is>
          <t>avverkningsanmälan</t>
        </is>
      </c>
      <c r="C432" t="inlineStr">
        <is>
          <t>Föryngringsavverkning</t>
        </is>
      </c>
      <c r="D432" s="1" t="n">
        <v>45121</v>
      </c>
      <c r="E432" s="1" t="n">
        <v>46326</v>
      </c>
      <c r="F432" t="inlineStr">
        <is>
          <t>GÄVLEBORGS LÄN</t>
        </is>
      </c>
      <c r="G432" t="inlineStr">
        <is>
          <t>LJUSDAL</t>
        </is>
      </c>
      <c r="H432" t="inlineStr">
        <is>
          <t>Sveaskog</t>
        </is>
      </c>
      <c r="I432" t="n">
        <v>9.199999999999999</v>
      </c>
      <c r="J432" t="n">
        <v>0</v>
      </c>
      <c r="K432" t="n">
        <v>0</v>
      </c>
      <c r="L432" t="n">
        <v>2</v>
      </c>
      <c r="M432" t="n">
        <v>1</v>
      </c>
      <c r="N432" t="n">
        <v>0</v>
      </c>
      <c r="O432" t="n">
        <v>0</v>
      </c>
      <c r="P432" t="n">
        <v>0</v>
      </c>
      <c r="Q432" t="n">
        <v>3</v>
      </c>
      <c r="R432" t="n">
        <v>1</v>
      </c>
      <c r="S432" t="n">
        <v>3</v>
      </c>
      <c r="T432" t="n">
        <v>3</v>
      </c>
      <c r="U432" t="n">
        <v>3</v>
      </c>
      <c r="V432" s="2" t="inlineStr">
        <is>
          <t>Garnlav
Dropptaggsvamp
Mörk kolflarnlav</t>
        </is>
      </c>
      <c r="W432">
        <f>HYPERLINK("https://klasma.github.io/Logging_2161/artfynd/A 32502-2023 artfynd.xlsx", "A 32502-2023")</f>
        <v/>
      </c>
      <c r="X432">
        <f>HYPERLINK("https://klasma.github.io/Logging_2161/kartor/A 32502-2023 karta.png", "A 32502-2023")</f>
        <v/>
      </c>
      <c r="Y432">
        <f>HYPERLINK("https://klasma.github.io/Logging_2161/kartor_geotiff/A 32502-2023 georefererad karta.tif", "A 32502-2023")</f>
        <v/>
      </c>
      <c r="AA432">
        <f>HYPERLINK("https://klasma.github.io/Logging_2161/klagomål/A 32502-2023 FSC-klagomål.docx", "A 32502-2023")</f>
        <v/>
      </c>
      <c r="AB432">
        <f>HYPERLINK("https://klasma.github.io/Logging_2161/klagomålsmail/A 32502-2023 FSC-klagomål mail.docx", "A 32502-2023")</f>
        <v/>
      </c>
      <c r="AC432">
        <f>HYPERLINK("https://klasma.github.io/Logging_2161/tillsyn/A 32502-2023 tillsynsbegäran.docx", "A 32502-2023")</f>
        <v/>
      </c>
      <c r="AD432">
        <f>HYPERLINK("https://klasma.github.io/Logging_2161/tillsynsmail/A 32502-2023 tillsynsbegäran mail.docx", "A 32502-2023")</f>
        <v/>
      </c>
    </row>
    <row r="433" ht="15" customHeight="1">
      <c r="A433" t="inlineStr">
        <is>
          <t>A 20931-2025</t>
        </is>
      </c>
      <c r="B433" t="inlineStr">
        <is>
          <t>avverkningsanmälan</t>
        </is>
      </c>
      <c r="C433" t="inlineStr">
        <is>
          <t>Föryngringsavverkning</t>
        </is>
      </c>
      <c r="D433" s="1" t="n">
        <v>45777</v>
      </c>
      <c r="E433" s="1" t="n">
        <v>46326</v>
      </c>
      <c r="F433" t="inlineStr">
        <is>
          <t>GÄVLEBORGS LÄN</t>
        </is>
      </c>
      <c r="G433" t="inlineStr">
        <is>
          <t>OVANÅKER</t>
        </is>
      </c>
      <c r="H433" t="inlineStr">
        <is>
          <t>Sveaskog</t>
        </is>
      </c>
      <c r="I433" t="n">
        <v>17.4</v>
      </c>
      <c r="J433" t="n">
        <v>1</v>
      </c>
      <c r="K433" t="n">
        <v>0</v>
      </c>
      <c r="L433" t="n">
        <v>1</v>
      </c>
      <c r="M433" t="n">
        <v>1</v>
      </c>
      <c r="N433" t="n">
        <v>0</v>
      </c>
      <c r="O433" t="n">
        <v>0</v>
      </c>
      <c r="P433" t="n">
        <v>0</v>
      </c>
      <c r="Q433" t="n">
        <v>2</v>
      </c>
      <c r="R433" t="n">
        <v>1</v>
      </c>
      <c r="S433" t="n">
        <v>3</v>
      </c>
      <c r="T433" t="n">
        <v>4</v>
      </c>
      <c r="U433" t="n">
        <v>4</v>
      </c>
      <c r="V433" s="2" t="inlineStr">
        <is>
          <t>Garnlav
Lunglav
Nattviol</t>
        </is>
      </c>
      <c r="W433">
        <f>HYPERLINK("https://klasma.github.io/Logging_2121/artfynd/A 20931-2025 artfynd.xlsx", "A 20931-2025")</f>
        <v/>
      </c>
      <c r="X433">
        <f>HYPERLINK("https://klasma.github.io/Logging_2121/kartor/A 20931-2025 karta.png", "A 20931-2025")</f>
        <v/>
      </c>
      <c r="Y433">
        <f>HYPERLINK("https://klasma.github.io/Logging_2121/kartor_geotiff/A 20931-2025 georefererad karta.tif", "A 20931-2025")</f>
        <v/>
      </c>
      <c r="AA433">
        <f>HYPERLINK("https://klasma.github.io/Logging_2121/klagomål/A 20931-2025 FSC-klagomål.docx", "A 20931-2025")</f>
        <v/>
      </c>
      <c r="AB433">
        <f>HYPERLINK("https://klasma.github.io/Logging_2121/klagomålsmail/A 20931-2025 FSC-klagomål mail.docx", "A 20931-2025")</f>
        <v/>
      </c>
      <c r="AC433">
        <f>HYPERLINK("https://klasma.github.io/Logging_2121/tillsyn/A 20931-2025 tillsynsbegäran.docx", "A 20931-2025")</f>
        <v/>
      </c>
      <c r="AD433">
        <f>HYPERLINK("https://klasma.github.io/Logging_2121/tillsynsmail/A 20931-2025 tillsynsbegäran mail.docx", "A 20931-2025")</f>
        <v/>
      </c>
    </row>
    <row r="434" ht="15" customHeight="1">
      <c r="A434" t="inlineStr">
        <is>
          <t>A 33466-2026</t>
        </is>
      </c>
      <c r="B434" t="inlineStr">
        <is>
          <t>avverkningsanmälan</t>
        </is>
      </c>
      <c r="C434" t="inlineStr">
        <is>
          <t>Föryngringsavverkning</t>
        </is>
      </c>
      <c r="D434" s="1" t="n">
        <v>46247</v>
      </c>
      <c r="E434" s="1" t="n">
        <v>46326</v>
      </c>
      <c r="F434" t="inlineStr">
        <is>
          <t>GÄVLEBORGS LÄN</t>
        </is>
      </c>
      <c r="G434" t="inlineStr">
        <is>
          <t>LJUSDAL</t>
        </is>
      </c>
      <c r="H434" t="inlineStr">
        <is>
          <t>Sveaskog</t>
        </is>
      </c>
      <c r="I434" t="n">
        <v>8.1</v>
      </c>
      <c r="J434" t="n">
        <v>0</v>
      </c>
      <c r="K434" t="n">
        <v>0</v>
      </c>
      <c r="L434" t="n">
        <v>3</v>
      </c>
      <c r="M434" t="n">
        <v>0</v>
      </c>
      <c r="N434" t="n">
        <v>0</v>
      </c>
      <c r="O434" t="n">
        <v>0</v>
      </c>
      <c r="P434" t="n">
        <v>0</v>
      </c>
      <c r="Q434" t="n">
        <v>3</v>
      </c>
      <c r="R434" t="n">
        <v>0</v>
      </c>
      <c r="S434" t="n">
        <v>3</v>
      </c>
      <c r="T434" t="n">
        <v>4</v>
      </c>
      <c r="U434" t="n">
        <v>0</v>
      </c>
      <c r="V434" s="2" t="inlineStr">
        <is>
          <t>Kolflarnlav
Lunglav
Vedflamlav</t>
        </is>
      </c>
      <c r="W434">
        <f>HYPERLINK("https://klasma.github.io/Logging_2161/artfynd/A 33466-2026 artfynd.xlsx", "A 33466-2026")</f>
        <v/>
      </c>
      <c r="X434">
        <f>HYPERLINK("https://klasma.github.io/Logging_2161/kartor/A 33466-2026 karta.png", "A 33466-2026")</f>
        <v/>
      </c>
      <c r="Y434">
        <f>HYPERLINK("https://klasma.github.io/Logging_2161/kartor_geotiff/A 33466-2026 georefererad karta.tif", "A 33466-2026")</f>
        <v/>
      </c>
      <c r="AA434">
        <f>HYPERLINK("https://klasma.github.io/Logging_2161/klagomål/A 33466-2026 FSC-klagomål.docx", "A 33466-2026")</f>
        <v/>
      </c>
      <c r="AB434">
        <f>HYPERLINK("https://klasma.github.io/Logging_2161/klagomålsmail/A 33466-2026 FSC-klagomål mail.docx", "A 33466-2026")</f>
        <v/>
      </c>
      <c r="AC434">
        <f>HYPERLINK("https://klasma.github.io/Logging_2161/tillsyn/A 33466-2026 tillsynsbegäran.docx", "A 33466-2026")</f>
        <v/>
      </c>
      <c r="AD434">
        <f>HYPERLINK("https://klasma.github.io/Logging_2161/tillsynsmail/A 33466-2026 tillsynsbegäran mail.docx", "A 33466-2026")</f>
        <v/>
      </c>
    </row>
    <row r="435" ht="15" customHeight="1">
      <c r="A435" t="inlineStr">
        <is>
          <t>A 39997-2026</t>
        </is>
      </c>
      <c r="B435" t="inlineStr">
        <is>
          <t>avverkningsanmälan</t>
        </is>
      </c>
      <c r="C435" t="inlineStr">
        <is>
          <t>Föryngringsavverkning</t>
        </is>
      </c>
      <c r="D435" s="1" t="n">
        <v>46293</v>
      </c>
      <c r="E435" s="1" t="n">
        <v>46326</v>
      </c>
      <c r="F435" t="inlineStr">
        <is>
          <t>GÄVLEBORGS LÄN</t>
        </is>
      </c>
      <c r="G435" t="inlineStr">
        <is>
          <t>LJUSDAL</t>
        </is>
      </c>
      <c r="H435" t="inlineStr">
        <is>
          <t>Allmännings- och besparingsskogar</t>
        </is>
      </c>
      <c r="I435" t="n">
        <v>4.4</v>
      </c>
      <c r="J435" t="n">
        <v>1</v>
      </c>
      <c r="K435" t="n">
        <v>0</v>
      </c>
      <c r="L435" t="n">
        <v>2</v>
      </c>
      <c r="M435" t="n">
        <v>1</v>
      </c>
      <c r="N435" t="n">
        <v>0</v>
      </c>
      <c r="O435" t="n">
        <v>0</v>
      </c>
      <c r="P435" t="n">
        <v>0</v>
      </c>
      <c r="Q435" t="n">
        <v>3</v>
      </c>
      <c r="R435" t="n">
        <v>1</v>
      </c>
      <c r="S435" t="n">
        <v>3</v>
      </c>
      <c r="T435" t="n">
        <v>9</v>
      </c>
      <c r="U435" t="n">
        <v>9</v>
      </c>
      <c r="V435" s="2" t="inlineStr">
        <is>
          <t>Garnlav
Kolflarnlav
Tretåig hackspett</t>
        </is>
      </c>
      <c r="W435">
        <f>HYPERLINK("https://klasma.github.io/Logging_2161/artfynd/A 39997-2026 artfynd.xlsx", "A 39997-2026")</f>
        <v/>
      </c>
      <c r="X435">
        <f>HYPERLINK("https://klasma.github.io/Logging_2161/kartor/A 39997-2026 karta.png", "A 39997-2026")</f>
        <v/>
      </c>
      <c r="Y435">
        <f>HYPERLINK("https://klasma.github.io/Logging_2161/kartor_geotiff/A 39997-2026 georefererad karta.tif", "A 39997-2026")</f>
        <v/>
      </c>
      <c r="AA435">
        <f>HYPERLINK("https://klasma.github.io/Logging_2161/klagomål/A 39997-2026 FSC-klagomål.docx", "A 39997-2026")</f>
        <v/>
      </c>
      <c r="AB435">
        <f>HYPERLINK("https://klasma.github.io/Logging_2161/klagomålsmail/A 39997-2026 FSC-klagomål mail.docx", "A 39997-2026")</f>
        <v/>
      </c>
      <c r="AC435">
        <f>HYPERLINK("https://klasma.github.io/Logging_2161/tillsyn/A 39997-2026 tillsynsbegäran.docx", "A 39997-2026")</f>
        <v/>
      </c>
      <c r="AD435">
        <f>HYPERLINK("https://klasma.github.io/Logging_2161/tillsynsmail/A 39997-2026 tillsynsbegäran mail.docx", "A 39997-2026")</f>
        <v/>
      </c>
      <c r="AE435">
        <f>HYPERLINK("https://klasma.github.io/Logging_2161/fåglar/A 39997-2026 prioriterade fågelarter.docx", "A 39997-2026")</f>
        <v/>
      </c>
    </row>
    <row r="436" ht="15" customHeight="1">
      <c r="A436" t="inlineStr">
        <is>
          <t>A 22786-2024</t>
        </is>
      </c>
      <c r="B436" t="inlineStr">
        <is>
          <t>avverkningsanmälan</t>
        </is>
      </c>
      <c r="C436" t="inlineStr">
        <is>
          <t>Föryngringsavverkning</t>
        </is>
      </c>
      <c r="D436" s="1" t="n">
        <v>45448</v>
      </c>
      <c r="E436" s="1" t="n">
        <v>46326</v>
      </c>
      <c r="F436" t="inlineStr">
        <is>
          <t>GÄVLEBORGS LÄN</t>
        </is>
      </c>
      <c r="G436" t="inlineStr">
        <is>
          <t>LJUSDAL</t>
        </is>
      </c>
      <c r="H436" t="inlineStr">
        <is>
          <t>Sveaskog</t>
        </is>
      </c>
      <c r="I436" t="n">
        <v>4.2</v>
      </c>
      <c r="J436" t="n">
        <v>0</v>
      </c>
      <c r="K436" t="n">
        <v>0</v>
      </c>
      <c r="L436" t="n">
        <v>2</v>
      </c>
      <c r="M436" t="n">
        <v>1</v>
      </c>
      <c r="N436" t="n">
        <v>0</v>
      </c>
      <c r="O436" t="n">
        <v>0</v>
      </c>
      <c r="P436" t="n">
        <v>0</v>
      </c>
      <c r="Q436" t="n">
        <v>3</v>
      </c>
      <c r="R436" t="n">
        <v>1</v>
      </c>
      <c r="S436" t="n">
        <v>3</v>
      </c>
      <c r="T436" t="n">
        <v>3</v>
      </c>
      <c r="U436" t="n">
        <v>3</v>
      </c>
      <c r="V436" s="2" t="inlineStr">
        <is>
          <t>Vedspik
Kolflarnlav
Mörk kolflarnlav</t>
        </is>
      </c>
      <c r="W436">
        <f>HYPERLINK("https://klasma.github.io/Logging_2161/artfynd/A 22786-2024 artfynd.xlsx", "A 22786-2024")</f>
        <v/>
      </c>
      <c r="X436">
        <f>HYPERLINK("https://klasma.github.io/Logging_2161/kartor/A 22786-2024 karta.png", "A 22786-2024")</f>
        <v/>
      </c>
      <c r="Y436">
        <f>HYPERLINK("https://klasma.github.io/Logging_2161/kartor_geotiff/A 22786-2024 georefererad karta.tif", "A 22786-2024")</f>
        <v/>
      </c>
      <c r="AA436">
        <f>HYPERLINK("https://klasma.github.io/Logging_2161/klagomål/A 22786-2024 FSC-klagomål.docx", "A 22786-2024")</f>
        <v/>
      </c>
      <c r="AB436">
        <f>HYPERLINK("https://klasma.github.io/Logging_2161/klagomålsmail/A 22786-2024 FSC-klagomål mail.docx", "A 22786-2024")</f>
        <v/>
      </c>
      <c r="AC436">
        <f>HYPERLINK("https://klasma.github.io/Logging_2161/tillsyn/A 22786-2024 tillsynsbegäran.docx", "A 22786-2024")</f>
        <v/>
      </c>
      <c r="AD436">
        <f>HYPERLINK("https://klasma.github.io/Logging_2161/tillsynsmail/A 22786-2024 tillsynsbegäran mail.docx", "A 22786-2024")</f>
        <v/>
      </c>
    </row>
    <row r="437" ht="15" customHeight="1">
      <c r="A437" t="inlineStr">
        <is>
          <t>A 40158-2026</t>
        </is>
      </c>
      <c r="B437" t="inlineStr">
        <is>
          <t>avverkningsanmälan</t>
        </is>
      </c>
      <c r="C437" t="inlineStr">
        <is>
          <t>Föryngringsavverkning</t>
        </is>
      </c>
      <c r="D437" s="1" t="n">
        <v>46293</v>
      </c>
      <c r="E437" s="1" t="n">
        <v>46326</v>
      </c>
      <c r="F437" t="inlineStr">
        <is>
          <t>GÄVLEBORGS LÄN</t>
        </is>
      </c>
      <c r="G437" t="inlineStr">
        <is>
          <t>GÄVLE</t>
        </is>
      </c>
      <c r="H437" t="inlineStr">
        <is>
          <t>Bergvik skog öst AB</t>
        </is>
      </c>
      <c r="I437" t="n">
        <v>1.6</v>
      </c>
      <c r="J437" t="n">
        <v>0</v>
      </c>
      <c r="K437" t="n">
        <v>1</v>
      </c>
      <c r="L437" t="n">
        <v>1</v>
      </c>
      <c r="M437" t="n">
        <v>0</v>
      </c>
      <c r="N437" t="n">
        <v>1</v>
      </c>
      <c r="O437" t="n">
        <v>0</v>
      </c>
      <c r="P437" t="n">
        <v>0</v>
      </c>
      <c r="Q437" t="n">
        <v>2</v>
      </c>
      <c r="R437" t="n">
        <v>1</v>
      </c>
      <c r="S437" t="n">
        <v>3</v>
      </c>
      <c r="T437" t="n">
        <v>3</v>
      </c>
      <c r="U437" t="n">
        <v>0</v>
      </c>
      <c r="V437" s="2" t="inlineStr">
        <is>
          <t>Ask
Lunglav
Bårdlav</t>
        </is>
      </c>
      <c r="W437">
        <f>HYPERLINK("https://klasma.github.io/Logging_2180/artfynd/A 40158-2026 artfynd.xlsx", "A 40158-2026")</f>
        <v/>
      </c>
      <c r="X437">
        <f>HYPERLINK("https://klasma.github.io/Logging_2180/kartor/A 40158-2026 karta.png", "A 40158-2026")</f>
        <v/>
      </c>
      <c r="Y437">
        <f>HYPERLINK("https://klasma.github.io/Logging_2180/kartor_geotiff/A 40158-2026 georefererad karta.tif", "A 40158-2026")</f>
        <v/>
      </c>
      <c r="AA437">
        <f>HYPERLINK("https://klasma.github.io/Logging_2180/klagomål/A 40158-2026 FSC-klagomål.docx", "A 40158-2026")</f>
        <v/>
      </c>
      <c r="AB437">
        <f>HYPERLINK("https://klasma.github.io/Logging_2180/klagomålsmail/A 40158-2026 FSC-klagomål mail.docx", "A 40158-2026")</f>
        <v/>
      </c>
      <c r="AC437">
        <f>HYPERLINK("https://klasma.github.io/Logging_2180/tillsyn/A 40158-2026 tillsynsbegäran.docx", "A 40158-2026")</f>
        <v/>
      </c>
      <c r="AD437">
        <f>HYPERLINK("https://klasma.github.io/Logging_2180/tillsynsmail/A 40158-2026 tillsynsbegäran mail.docx", "A 40158-2026")</f>
        <v/>
      </c>
    </row>
    <row r="438" ht="15" customHeight="1">
      <c r="A438" t="inlineStr">
        <is>
          <t>A 72433-2021</t>
        </is>
      </c>
      <c r="B438" t="inlineStr">
        <is>
          <t>avverkningsanmälan</t>
        </is>
      </c>
      <c r="C438" t="inlineStr">
        <is>
          <t>Föryngringsavverkning</t>
        </is>
      </c>
      <c r="D438" s="1" t="n">
        <v>44545</v>
      </c>
      <c r="E438" s="1" t="n">
        <v>46326</v>
      </c>
      <c r="F438" t="inlineStr">
        <is>
          <t>GÄVLEBORGS LÄN</t>
        </is>
      </c>
      <c r="G438" t="inlineStr">
        <is>
          <t>NORDANSTIG</t>
        </is>
      </c>
      <c r="I438" t="n">
        <v>6.1</v>
      </c>
      <c r="J438" t="n">
        <v>3</v>
      </c>
      <c r="K438" t="n">
        <v>0</v>
      </c>
      <c r="L438" t="n">
        <v>0</v>
      </c>
      <c r="M438" t="n">
        <v>0</v>
      </c>
      <c r="N438" t="n">
        <v>0</v>
      </c>
      <c r="O438" t="n">
        <v>0</v>
      </c>
      <c r="P438" t="n">
        <v>0</v>
      </c>
      <c r="Q438" t="n">
        <v>0</v>
      </c>
      <c r="R438" t="n">
        <v>0</v>
      </c>
      <c r="S438" t="n">
        <v>3</v>
      </c>
      <c r="T438" t="n">
        <v>3</v>
      </c>
      <c r="U438" t="n">
        <v>3</v>
      </c>
      <c r="V438" s="2" t="inlineStr">
        <is>
          <t>Järpe
Tjäder
Grönsiska</t>
        </is>
      </c>
      <c r="W438">
        <f>HYPERLINK("https://klasma.github.io/Logging_2132/artfynd/A 72433-2021 artfynd.xlsx", "A 72433-2021")</f>
        <v/>
      </c>
      <c r="X438">
        <f>HYPERLINK("https://klasma.github.io/Logging_2132/kartor/A 72433-2021 karta.png", "A 72433-2021")</f>
        <v/>
      </c>
      <c r="Y438">
        <f>HYPERLINK("https://klasma.github.io/Logging_2132/kartor_geotiff/A 72433-2021 georefererad karta.tif", "A 72433-2021")</f>
        <v/>
      </c>
      <c r="AA438">
        <f>HYPERLINK("https://klasma.github.io/Logging_2132/klagomål/A 72433-2021 FSC-klagomål.docx", "A 72433-2021")</f>
        <v/>
      </c>
      <c r="AB438">
        <f>HYPERLINK("https://klasma.github.io/Logging_2132/klagomålsmail/A 72433-2021 FSC-klagomål mail.docx", "A 72433-2021")</f>
        <v/>
      </c>
      <c r="AC438">
        <f>HYPERLINK("https://klasma.github.io/Logging_2132/tillsyn/A 72433-2021 tillsynsbegäran.docx", "A 72433-2021")</f>
        <v/>
      </c>
      <c r="AD438">
        <f>HYPERLINK("https://klasma.github.io/Logging_2132/tillsynsmail/A 72433-2021 tillsynsbegäran mail.docx", "A 72433-2021")</f>
        <v/>
      </c>
      <c r="AE438">
        <f>HYPERLINK("https://klasma.github.io/Logging_2132/fåglar/A 72433-2021 prioriterade fågelarter.docx", "A 72433-2021")</f>
        <v/>
      </c>
    </row>
    <row r="439" ht="15" customHeight="1">
      <c r="A439" t="inlineStr">
        <is>
          <t>A 6108-2026</t>
        </is>
      </c>
      <c r="B439" t="inlineStr">
        <is>
          <t>avverkningsanmälan</t>
        </is>
      </c>
      <c r="C439" t="inlineStr">
        <is>
          <t>Avverkning för annat ändamål</t>
        </is>
      </c>
      <c r="D439" s="1" t="n">
        <v>46053</v>
      </c>
      <c r="E439" s="1" t="n">
        <v>46326</v>
      </c>
      <c r="F439" t="inlineStr">
        <is>
          <t>GÄVLEBORGS LÄN</t>
        </is>
      </c>
      <c r="G439" t="inlineStr">
        <is>
          <t>SANDVIKEN</t>
        </is>
      </c>
      <c r="I439" t="n">
        <v>3.9</v>
      </c>
      <c r="J439" t="n">
        <v>1</v>
      </c>
      <c r="K439" t="n">
        <v>0</v>
      </c>
      <c r="L439" t="n">
        <v>1</v>
      </c>
      <c r="M439" t="n">
        <v>1</v>
      </c>
      <c r="N439" t="n">
        <v>0</v>
      </c>
      <c r="O439" t="n">
        <v>0</v>
      </c>
      <c r="P439" t="n">
        <v>0</v>
      </c>
      <c r="Q439" t="n">
        <v>2</v>
      </c>
      <c r="R439" t="n">
        <v>1</v>
      </c>
      <c r="S439" t="n">
        <v>3</v>
      </c>
      <c r="T439" t="n">
        <v>3</v>
      </c>
      <c r="U439" t="n">
        <v>3</v>
      </c>
      <c r="V439" s="2" t="inlineStr">
        <is>
          <t>Knärot
Granvivel
Linnea</t>
        </is>
      </c>
      <c r="W439">
        <f>HYPERLINK("https://klasma.github.io/Logging_2181/artfynd/A 6108-2026 artfynd.xlsx", "A 6108-2026")</f>
        <v/>
      </c>
      <c r="X439">
        <f>HYPERLINK("https://klasma.github.io/Logging_2181/kartor/A 6108-2026 karta.png", "A 6108-2026")</f>
        <v/>
      </c>
      <c r="Y439">
        <f>HYPERLINK("https://klasma.github.io/Logging_2181/kartor_geotiff/A 6108-2026 georefererad karta.tif", "A 6108-2026")</f>
        <v/>
      </c>
      <c r="Z439">
        <f>HYPERLINK("https://klasma.github.io/Logging_2181/knärot/A 6108-2026 karta knärot.png", "A 6108-2026")</f>
        <v/>
      </c>
      <c r="AA439">
        <f>HYPERLINK("https://klasma.github.io/Logging_2181/klagomål/A 6108-2026 FSC-klagomål.docx", "A 6108-2026")</f>
        <v/>
      </c>
      <c r="AB439">
        <f>HYPERLINK("https://klasma.github.io/Logging_2181/klagomålsmail/A 6108-2026 FSC-klagomål mail.docx", "A 6108-2026")</f>
        <v/>
      </c>
      <c r="AC439">
        <f>HYPERLINK("https://klasma.github.io/Logging_2181/tillsyn/A 6108-2026 tillsynsbegäran.docx", "A 6108-2026")</f>
        <v/>
      </c>
      <c r="AD439">
        <f>HYPERLINK("https://klasma.github.io/Logging_2181/tillsynsmail/A 6108-2026 tillsynsbegäran mail.docx", "A 6108-2026")</f>
        <v/>
      </c>
    </row>
    <row r="440" ht="15" customHeight="1">
      <c r="A440" t="inlineStr">
        <is>
          <t>A 23643-2025</t>
        </is>
      </c>
      <c r="B440" t="inlineStr">
        <is>
          <t>avverkningsanmälan</t>
        </is>
      </c>
      <c r="C440" t="inlineStr">
        <is>
          <t>Föryngringsavverkning</t>
        </is>
      </c>
      <c r="D440" s="1" t="n">
        <v>45792</v>
      </c>
      <c r="E440" s="1" t="n">
        <v>46326</v>
      </c>
      <c r="F440" t="inlineStr">
        <is>
          <t>GÄVLEBORGS LÄN</t>
        </is>
      </c>
      <c r="G440" t="inlineStr">
        <is>
          <t>LJUSDAL</t>
        </is>
      </c>
      <c r="H440" t="inlineStr">
        <is>
          <t>Sveaskog</t>
        </is>
      </c>
      <c r="I440" t="n">
        <v>23.8</v>
      </c>
      <c r="J440" t="n">
        <v>0</v>
      </c>
      <c r="K440" t="n">
        <v>0</v>
      </c>
      <c r="L440" t="n">
        <v>3</v>
      </c>
      <c r="M440" t="n">
        <v>0</v>
      </c>
      <c r="N440" t="n">
        <v>0</v>
      </c>
      <c r="O440" t="n">
        <v>0</v>
      </c>
      <c r="P440" t="n">
        <v>0</v>
      </c>
      <c r="Q440" t="n">
        <v>3</v>
      </c>
      <c r="R440" t="n">
        <v>0</v>
      </c>
      <c r="S440" t="n">
        <v>3</v>
      </c>
      <c r="T440" t="n">
        <v>5</v>
      </c>
      <c r="U440" t="n">
        <v>5</v>
      </c>
      <c r="V440" s="2" t="inlineStr">
        <is>
          <t>Kolflarnlav
Lunglav
Vedflamlav</t>
        </is>
      </c>
      <c r="W440">
        <f>HYPERLINK("https://klasma.github.io/Logging_2161/artfynd/A 23643-2025 artfynd.xlsx", "A 23643-2025")</f>
        <v/>
      </c>
      <c r="X440">
        <f>HYPERLINK("https://klasma.github.io/Logging_2161/kartor/A 23643-2025 karta.png", "A 23643-2025")</f>
        <v/>
      </c>
      <c r="Y440">
        <f>HYPERLINK("https://klasma.github.io/Logging_2161/kartor_geotiff/A 23643-2025 georefererad karta.tif", "A 23643-2025")</f>
        <v/>
      </c>
      <c r="AA440">
        <f>HYPERLINK("https://klasma.github.io/Logging_2161/klagomål/A 23643-2025 FSC-klagomål.docx", "A 23643-2025")</f>
        <v/>
      </c>
      <c r="AB440">
        <f>HYPERLINK("https://klasma.github.io/Logging_2161/klagomålsmail/A 23643-2025 FSC-klagomål mail.docx", "A 23643-2025")</f>
        <v/>
      </c>
      <c r="AC440">
        <f>HYPERLINK("https://klasma.github.io/Logging_2161/tillsyn/A 23643-2025 tillsynsbegäran.docx", "A 23643-2025")</f>
        <v/>
      </c>
      <c r="AD440">
        <f>HYPERLINK("https://klasma.github.io/Logging_2161/tillsynsmail/A 23643-2025 tillsynsbegäran mail.docx", "A 23643-2025")</f>
        <v/>
      </c>
    </row>
    <row r="441" ht="15" customHeight="1">
      <c r="A441" t="inlineStr">
        <is>
          <t>A 34433-2026</t>
        </is>
      </c>
      <c r="B441" t="inlineStr">
        <is>
          <t>avverkningsanmälan</t>
        </is>
      </c>
      <c r="C441" t="inlineStr">
        <is>
          <t>Föryngringsavverkning</t>
        </is>
      </c>
      <c r="D441" s="1" t="n">
        <v>46254</v>
      </c>
      <c r="E441" s="1" t="n">
        <v>46326</v>
      </c>
      <c r="F441" t="inlineStr">
        <is>
          <t>GÄVLEBORGS LÄN</t>
        </is>
      </c>
      <c r="G441" t="inlineStr">
        <is>
          <t>GÄVLE</t>
        </is>
      </c>
      <c r="H441" t="inlineStr">
        <is>
          <t>Bergvik skog öst AB</t>
        </is>
      </c>
      <c r="I441" t="n">
        <v>4.2</v>
      </c>
      <c r="J441" t="n">
        <v>1</v>
      </c>
      <c r="K441" t="n">
        <v>1</v>
      </c>
      <c r="L441" t="n">
        <v>1</v>
      </c>
      <c r="M441" t="n">
        <v>0</v>
      </c>
      <c r="N441" t="n">
        <v>0</v>
      </c>
      <c r="O441" t="n">
        <v>0</v>
      </c>
      <c r="P441" t="n">
        <v>0</v>
      </c>
      <c r="Q441" t="n">
        <v>1</v>
      </c>
      <c r="R441" t="n">
        <v>0</v>
      </c>
      <c r="S441" t="n">
        <v>3</v>
      </c>
      <c r="T441" t="n">
        <v>3</v>
      </c>
      <c r="U441" t="n">
        <v>0</v>
      </c>
      <c r="V441" s="2" t="inlineStr">
        <is>
          <t>Majviva
Vätteros
Blåsippa</t>
        </is>
      </c>
      <c r="W441">
        <f>HYPERLINK("https://klasma.github.io/Logging_2180/artfynd/A 34433-2026 artfynd.xlsx", "A 34433-2026")</f>
        <v/>
      </c>
      <c r="X441">
        <f>HYPERLINK("https://klasma.github.io/Logging_2180/kartor/A 34433-2026 karta.png", "A 34433-2026")</f>
        <v/>
      </c>
      <c r="Y441">
        <f>HYPERLINK("https://klasma.github.io/Logging_2180/kartor_geotiff/A 34433-2026 georefererad karta.tif", "A 34433-2026")</f>
        <v/>
      </c>
      <c r="AA441">
        <f>HYPERLINK("https://klasma.github.io/Logging_2180/klagomål/A 34433-2026 FSC-klagomål.docx", "A 34433-2026")</f>
        <v/>
      </c>
      <c r="AB441">
        <f>HYPERLINK("https://klasma.github.io/Logging_2180/klagomålsmail/A 34433-2026 FSC-klagomål mail.docx", "A 34433-2026")</f>
        <v/>
      </c>
      <c r="AC441">
        <f>HYPERLINK("https://klasma.github.io/Logging_2180/tillsyn/A 34433-2026 tillsynsbegäran.docx", "A 34433-2026")</f>
        <v/>
      </c>
      <c r="AD441">
        <f>HYPERLINK("https://klasma.github.io/Logging_2180/tillsynsmail/A 34433-2026 tillsynsbegäran mail.docx", "A 34433-2026")</f>
        <v/>
      </c>
    </row>
    <row r="442" ht="15" customHeight="1">
      <c r="A442" t="inlineStr">
        <is>
          <t>A 44451-2024</t>
        </is>
      </c>
      <c r="B442" t="inlineStr">
        <is>
          <t>avverkningsanmälan</t>
        </is>
      </c>
      <c r="C442" t="inlineStr">
        <is>
          <t>Föryngringsavverkning</t>
        </is>
      </c>
      <c r="D442" s="1" t="n">
        <v>45574</v>
      </c>
      <c r="E442" s="1" t="n">
        <v>46326</v>
      </c>
      <c r="F442" t="inlineStr">
        <is>
          <t>GÄVLEBORGS LÄN</t>
        </is>
      </c>
      <c r="G442" t="inlineStr">
        <is>
          <t>LJUSDAL</t>
        </is>
      </c>
      <c r="I442" t="n">
        <v>1.4</v>
      </c>
      <c r="J442" t="n">
        <v>1</v>
      </c>
      <c r="K442" t="n">
        <v>1</v>
      </c>
      <c r="L442" t="n">
        <v>2</v>
      </c>
      <c r="M442" t="n">
        <v>0</v>
      </c>
      <c r="N442" t="n">
        <v>0</v>
      </c>
      <c r="O442" t="n">
        <v>0</v>
      </c>
      <c r="P442" t="n">
        <v>0</v>
      </c>
      <c r="Q442" t="n">
        <v>2</v>
      </c>
      <c r="R442" t="n">
        <v>0</v>
      </c>
      <c r="S442" t="n">
        <v>3</v>
      </c>
      <c r="T442" t="n">
        <v>3</v>
      </c>
      <c r="U442" t="n">
        <v>3</v>
      </c>
      <c r="V442" s="2" t="inlineStr">
        <is>
          <t>Kolflarnlav
Vedflamlav
Plattlummer</t>
        </is>
      </c>
      <c r="W442">
        <f>HYPERLINK("https://klasma.github.io/Logging_2161/artfynd/A 44451-2024 artfynd.xlsx", "A 44451-2024")</f>
        <v/>
      </c>
      <c r="X442">
        <f>HYPERLINK("https://klasma.github.io/Logging_2161/kartor/A 44451-2024 karta.png", "A 44451-2024")</f>
        <v/>
      </c>
      <c r="Y442">
        <f>HYPERLINK("https://klasma.github.io/Logging_2161/kartor_geotiff/A 44451-2024 georefererad karta.tif", "A 44451-2024")</f>
        <v/>
      </c>
      <c r="AA442">
        <f>HYPERLINK("https://klasma.github.io/Logging_2161/klagomål/A 44451-2024 FSC-klagomål.docx", "A 44451-2024")</f>
        <v/>
      </c>
      <c r="AB442">
        <f>HYPERLINK("https://klasma.github.io/Logging_2161/klagomålsmail/A 44451-2024 FSC-klagomål mail.docx", "A 44451-2024")</f>
        <v/>
      </c>
      <c r="AC442">
        <f>HYPERLINK("https://klasma.github.io/Logging_2161/tillsyn/A 44451-2024 tillsynsbegäran.docx", "A 44451-2024")</f>
        <v/>
      </c>
      <c r="AD442">
        <f>HYPERLINK("https://klasma.github.io/Logging_2161/tillsynsmail/A 44451-2024 tillsynsbegäran mail.docx", "A 44451-2024")</f>
        <v/>
      </c>
    </row>
    <row r="443" ht="15" customHeight="1">
      <c r="A443" t="inlineStr">
        <is>
          <t>A 28859-2026</t>
        </is>
      </c>
      <c r="B443" t="inlineStr">
        <is>
          <t>avverkningsanmälan</t>
        </is>
      </c>
      <c r="C443" t="inlineStr">
        <is>
          <t>Avverkning för att bevara och utveckla /försöksver</t>
        </is>
      </c>
      <c r="D443" s="1" t="n">
        <v>46198</v>
      </c>
      <c r="E443" s="1" t="n">
        <v>46326</v>
      </c>
      <c r="F443" t="inlineStr">
        <is>
          <t>GÄVLEBORGS LÄN</t>
        </is>
      </c>
      <c r="G443" t="inlineStr">
        <is>
          <t>LJUSDAL</t>
        </is>
      </c>
      <c r="H443" t="inlineStr">
        <is>
          <t>Sveaskog</t>
        </is>
      </c>
      <c r="I443" t="n">
        <v>1.1</v>
      </c>
      <c r="J443" t="n">
        <v>0</v>
      </c>
      <c r="K443" t="n">
        <v>0</v>
      </c>
      <c r="L443" t="n">
        <v>3</v>
      </c>
      <c r="M443" t="n">
        <v>0</v>
      </c>
      <c r="N443" t="n">
        <v>0</v>
      </c>
      <c r="O443" t="n">
        <v>0</v>
      </c>
      <c r="P443" t="n">
        <v>0</v>
      </c>
      <c r="Q443" t="n">
        <v>3</v>
      </c>
      <c r="R443" t="n">
        <v>0</v>
      </c>
      <c r="S443" t="n">
        <v>3</v>
      </c>
      <c r="T443" t="n">
        <v>3</v>
      </c>
      <c r="U443" t="n">
        <v>3</v>
      </c>
      <c r="V443" s="2" t="inlineStr">
        <is>
          <t>Kolflarnlav
Lunglav
Mörk kolflarnlav</t>
        </is>
      </c>
      <c r="W443">
        <f>HYPERLINK("https://klasma.github.io/Logging_2161/artfynd/A 28859-2026 artfynd.xlsx", "A 28859-2026")</f>
        <v/>
      </c>
      <c r="X443">
        <f>HYPERLINK("https://klasma.github.io/Logging_2161/kartor/A 28859-2026 karta.png", "A 28859-2026")</f>
        <v/>
      </c>
      <c r="Y443">
        <f>HYPERLINK("https://klasma.github.io/Logging_2161/kartor_geotiff/A 28859-2026 georefererad karta.tif", "A 28859-2026")</f>
        <v/>
      </c>
      <c r="AA443">
        <f>HYPERLINK("https://klasma.github.io/Logging_2161/klagomål/A 28859-2026 FSC-klagomål.docx", "A 28859-2026")</f>
        <v/>
      </c>
      <c r="AB443">
        <f>HYPERLINK("https://klasma.github.io/Logging_2161/klagomålsmail/A 28859-2026 FSC-klagomål mail.docx", "A 28859-2026")</f>
        <v/>
      </c>
      <c r="AC443">
        <f>HYPERLINK("https://klasma.github.io/Logging_2161/tillsyn/A 28859-2026 tillsynsbegäran.docx", "A 28859-2026")</f>
        <v/>
      </c>
      <c r="AD443">
        <f>HYPERLINK("https://klasma.github.io/Logging_2161/tillsynsmail/A 28859-2026 tillsynsbegäran mail.docx", "A 28859-2026")</f>
        <v/>
      </c>
    </row>
    <row r="444" ht="15" customHeight="1">
      <c r="A444" t="inlineStr">
        <is>
          <t>A 29063-2026</t>
        </is>
      </c>
      <c r="B444" t="inlineStr">
        <is>
          <t>avverkningsanmälan</t>
        </is>
      </c>
      <c r="C444" t="inlineStr">
        <is>
          <t>Föryngringsavverkning</t>
        </is>
      </c>
      <c r="D444" s="1" t="n">
        <v>46199</v>
      </c>
      <c r="E444" s="1" t="n">
        <v>46326</v>
      </c>
      <c r="F444" t="inlineStr">
        <is>
          <t>GÄVLEBORGS LÄN</t>
        </is>
      </c>
      <c r="G444" t="inlineStr">
        <is>
          <t>HOFORS</t>
        </is>
      </c>
      <c r="H444" t="inlineStr">
        <is>
          <t>Sveaskog</t>
        </is>
      </c>
      <c r="I444" t="n">
        <v>4.1</v>
      </c>
      <c r="J444" t="n">
        <v>3</v>
      </c>
      <c r="K444" t="n">
        <v>0</v>
      </c>
      <c r="L444" t="n">
        <v>1</v>
      </c>
      <c r="M444" t="n">
        <v>0</v>
      </c>
      <c r="N444" t="n">
        <v>0</v>
      </c>
      <c r="O444" t="n">
        <v>0</v>
      </c>
      <c r="P444" t="n">
        <v>0</v>
      </c>
      <c r="Q444" t="n">
        <v>1</v>
      </c>
      <c r="R444" t="n">
        <v>0</v>
      </c>
      <c r="S444" t="n">
        <v>3</v>
      </c>
      <c r="T444" t="n">
        <v>3</v>
      </c>
      <c r="U444" t="n">
        <v>0</v>
      </c>
      <c r="V444" s="2" t="inlineStr">
        <is>
          <t>Talltita
Tjäder
Revlummer</t>
        </is>
      </c>
      <c r="W444">
        <f>HYPERLINK("https://klasma.github.io/Logging_2104/artfynd/A 29063-2026 artfynd.xlsx", "A 29063-2026")</f>
        <v/>
      </c>
      <c r="X444">
        <f>HYPERLINK("https://klasma.github.io/Logging_2104/kartor/A 29063-2026 karta.png", "A 29063-2026")</f>
        <v/>
      </c>
      <c r="Y444">
        <f>HYPERLINK("https://klasma.github.io/Logging_2104/kartor_geotiff/A 29063-2026 georefererad karta.tif", "A 29063-2026")</f>
        <v/>
      </c>
      <c r="AA444">
        <f>HYPERLINK("https://klasma.github.io/Logging_2104/klagomål/A 29063-2026 FSC-klagomål.docx", "A 29063-2026")</f>
        <v/>
      </c>
      <c r="AB444">
        <f>HYPERLINK("https://klasma.github.io/Logging_2104/klagomålsmail/A 29063-2026 FSC-klagomål mail.docx", "A 29063-2026")</f>
        <v/>
      </c>
      <c r="AC444">
        <f>HYPERLINK("https://klasma.github.io/Logging_2104/tillsyn/A 29063-2026 tillsynsbegäran.docx", "A 29063-2026")</f>
        <v/>
      </c>
      <c r="AD444">
        <f>HYPERLINK("https://klasma.github.io/Logging_2104/tillsynsmail/A 29063-2026 tillsynsbegäran mail.docx", "A 29063-2026")</f>
        <v/>
      </c>
      <c r="AE444">
        <f>HYPERLINK("https://klasma.github.io/Logging_2104/fåglar/A 29063-2026 prioriterade fågelarter.docx", "A 29063-2026")</f>
        <v/>
      </c>
    </row>
    <row r="445" ht="15" customHeight="1">
      <c r="A445" t="inlineStr">
        <is>
          <t>A 41560-2026</t>
        </is>
      </c>
      <c r="B445" t="inlineStr">
        <is>
          <t>avverkningsanmälan</t>
        </is>
      </c>
      <c r="C445" t="inlineStr">
        <is>
          <t>Föryngringsavverkning</t>
        </is>
      </c>
      <c r="D445" s="1" t="n">
        <v>46301</v>
      </c>
      <c r="E445" s="1" t="n">
        <v>46326</v>
      </c>
      <c r="F445" t="inlineStr">
        <is>
          <t>GÄVLEBORGS LÄN</t>
        </is>
      </c>
      <c r="G445" t="inlineStr">
        <is>
          <t>BOLLNÄS</t>
        </is>
      </c>
      <c r="I445" t="n">
        <v>2</v>
      </c>
      <c r="J445" t="n">
        <v>1</v>
      </c>
      <c r="K445" t="n">
        <v>0</v>
      </c>
      <c r="L445" t="n">
        <v>2</v>
      </c>
      <c r="M445" t="n">
        <v>1</v>
      </c>
      <c r="N445" t="n">
        <v>0</v>
      </c>
      <c r="O445" t="n">
        <v>0</v>
      </c>
      <c r="P445" t="n">
        <v>0</v>
      </c>
      <c r="Q445" t="n">
        <v>3</v>
      </c>
      <c r="R445" t="n">
        <v>1</v>
      </c>
      <c r="S445" t="n">
        <v>3</v>
      </c>
      <c r="T445" t="n">
        <v>3</v>
      </c>
      <c r="U445" t="n">
        <v>0</v>
      </c>
      <c r="V445" s="2" t="inlineStr">
        <is>
          <t>Knärot
Rosenticka
Ullticka</t>
        </is>
      </c>
      <c r="W445">
        <f>HYPERLINK("https://klasma.github.io/Logging_2183/artfynd/A 41560-2026 artfynd.xlsx", "A 41560-2026")</f>
        <v/>
      </c>
      <c r="X445">
        <f>HYPERLINK("https://klasma.github.io/Logging_2183/kartor/A 41560-2026 karta.png", "A 41560-2026")</f>
        <v/>
      </c>
      <c r="Y445">
        <f>HYPERLINK("https://klasma.github.io/Logging_2183/kartor_geotiff/A 41560-2026 georefererad karta.tif", "A 41560-2026")</f>
        <v/>
      </c>
      <c r="Z445">
        <f>HYPERLINK("https://klasma.github.io/Logging_2183/knärot/A 41560-2026 karta knärot.png", "A 41560-2026")</f>
        <v/>
      </c>
      <c r="AA445">
        <f>HYPERLINK("https://klasma.github.io/Logging_2183/klagomål/A 41560-2026 FSC-klagomål.docx", "A 41560-2026")</f>
        <v/>
      </c>
      <c r="AB445">
        <f>HYPERLINK("https://klasma.github.io/Logging_2183/klagomålsmail/A 41560-2026 FSC-klagomål mail.docx", "A 41560-2026")</f>
        <v/>
      </c>
      <c r="AC445">
        <f>HYPERLINK("https://klasma.github.io/Logging_2183/tillsyn/A 41560-2026 tillsynsbegäran.docx", "A 41560-2026")</f>
        <v/>
      </c>
      <c r="AD445">
        <f>HYPERLINK("https://klasma.github.io/Logging_2183/tillsynsmail/A 41560-2026 tillsynsbegäran mail.docx", "A 41560-2026")</f>
        <v/>
      </c>
    </row>
    <row r="446" ht="15" customHeight="1">
      <c r="A446" t="inlineStr">
        <is>
          <t>A 23504-2023</t>
        </is>
      </c>
      <c r="B446" t="inlineStr">
        <is>
          <t>avverkningsanmälan</t>
        </is>
      </c>
      <c r="C446" t="inlineStr">
        <is>
          <t>Föryngringsavverkning</t>
        </is>
      </c>
      <c r="D446" s="1" t="n">
        <v>45076</v>
      </c>
      <c r="E446" s="1" t="n">
        <v>46326</v>
      </c>
      <c r="F446" t="inlineStr">
        <is>
          <t>GÄVLEBORGS LÄN</t>
        </is>
      </c>
      <c r="G446" t="inlineStr">
        <is>
          <t>BOLLNÄS</t>
        </is>
      </c>
      <c r="H446" t="inlineStr">
        <is>
          <t>Sveaskog</t>
        </is>
      </c>
      <c r="I446" t="n">
        <v>11.6</v>
      </c>
      <c r="J446" t="n">
        <v>2</v>
      </c>
      <c r="K446" t="n">
        <v>0</v>
      </c>
      <c r="L446" t="n">
        <v>1</v>
      </c>
      <c r="M446" t="n">
        <v>1</v>
      </c>
      <c r="N446" t="n">
        <v>0</v>
      </c>
      <c r="O446" t="n">
        <v>0</v>
      </c>
      <c r="P446" t="n">
        <v>0</v>
      </c>
      <c r="Q446" t="n">
        <v>2</v>
      </c>
      <c r="R446" t="n">
        <v>1</v>
      </c>
      <c r="S446" t="n">
        <v>3</v>
      </c>
      <c r="T446" t="n">
        <v>3</v>
      </c>
      <c r="U446" t="n">
        <v>3</v>
      </c>
      <c r="V446" s="2" t="inlineStr">
        <is>
          <t>Igelkott
Lavskrika
Fläcknycklar</t>
        </is>
      </c>
      <c r="W446">
        <f>HYPERLINK("https://klasma.github.io/Logging_2183/artfynd/A 23504-2023 artfynd.xlsx", "A 23504-2023")</f>
        <v/>
      </c>
      <c r="X446">
        <f>HYPERLINK("https://klasma.github.io/Logging_2183/kartor/A 23504-2023 karta.png", "A 23504-2023")</f>
        <v/>
      </c>
      <c r="Y446">
        <f>HYPERLINK("https://klasma.github.io/Logging_2183/kartor_geotiff/A 23504-2023 georefererad karta.tif", "A 23504-2023")</f>
        <v/>
      </c>
      <c r="AA446">
        <f>HYPERLINK("https://klasma.github.io/Logging_2183/klagomål/A 23504-2023 FSC-klagomål.docx", "A 23504-2023")</f>
        <v/>
      </c>
      <c r="AB446">
        <f>HYPERLINK("https://klasma.github.io/Logging_2183/klagomålsmail/A 23504-2023 FSC-klagomål mail.docx", "A 23504-2023")</f>
        <v/>
      </c>
      <c r="AC446">
        <f>HYPERLINK("https://klasma.github.io/Logging_2183/tillsyn/A 23504-2023 tillsynsbegäran.docx", "A 23504-2023")</f>
        <v/>
      </c>
      <c r="AD446">
        <f>HYPERLINK("https://klasma.github.io/Logging_2183/tillsynsmail/A 23504-2023 tillsynsbegäran mail.docx", "A 23504-2023")</f>
        <v/>
      </c>
      <c r="AE446">
        <f>HYPERLINK("https://klasma.github.io/Logging_2183/fåglar/A 23504-2023 prioriterade fågelarter.docx", "A 23504-2023")</f>
        <v/>
      </c>
    </row>
    <row r="447" ht="15" customHeight="1">
      <c r="A447" t="inlineStr">
        <is>
          <t>A 36422-2026</t>
        </is>
      </c>
      <c r="B447" t="inlineStr">
        <is>
          <t>avverkningsanmälan</t>
        </is>
      </c>
      <c r="C447" t="inlineStr">
        <is>
          <t>Föryngringsavverkning</t>
        </is>
      </c>
      <c r="D447" s="1" t="n">
        <v>46269</v>
      </c>
      <c r="E447" s="1" t="n">
        <v>46326</v>
      </c>
      <c r="F447" t="inlineStr">
        <is>
          <t>GÄVLEBORGS LÄN</t>
        </is>
      </c>
      <c r="G447" t="inlineStr">
        <is>
          <t>LJUSDAL</t>
        </is>
      </c>
      <c r="H447" t="inlineStr">
        <is>
          <t>Bergvik skog väst AB</t>
        </is>
      </c>
      <c r="I447" t="n">
        <v>1</v>
      </c>
      <c r="J447" t="n">
        <v>0</v>
      </c>
      <c r="K447" t="n">
        <v>2</v>
      </c>
      <c r="L447" t="n">
        <v>0</v>
      </c>
      <c r="M447" t="n">
        <v>1</v>
      </c>
      <c r="N447" t="n">
        <v>0</v>
      </c>
      <c r="O447" t="n">
        <v>0</v>
      </c>
      <c r="P447" t="n">
        <v>0</v>
      </c>
      <c r="Q447" t="n">
        <v>1</v>
      </c>
      <c r="R447" t="n">
        <v>1</v>
      </c>
      <c r="S447" t="n">
        <v>3</v>
      </c>
      <c r="T447" t="n">
        <v>4</v>
      </c>
      <c r="U447" t="n">
        <v>0</v>
      </c>
      <c r="V447" s="2" t="inlineStr">
        <is>
          <t>Garnlav
Korallblylav
Skinnlav</t>
        </is>
      </c>
      <c r="W447">
        <f>HYPERLINK("https://klasma.github.io/Logging_2161/artfynd/A 36422-2026 artfynd.xlsx", "A 36422-2026")</f>
        <v/>
      </c>
      <c r="X447">
        <f>HYPERLINK("https://klasma.github.io/Logging_2161/kartor/A 36422-2026 karta.png", "A 36422-2026")</f>
        <v/>
      </c>
      <c r="Y447">
        <f>HYPERLINK("https://klasma.github.io/Logging_2161/kartor_geotiff/A 36422-2026 georefererad karta.tif", "A 36422-2026")</f>
        <v/>
      </c>
      <c r="AA447">
        <f>HYPERLINK("https://klasma.github.io/Logging_2161/klagomål/A 36422-2026 FSC-klagomål.docx", "A 36422-2026")</f>
        <v/>
      </c>
      <c r="AB447">
        <f>HYPERLINK("https://klasma.github.io/Logging_2161/klagomålsmail/A 36422-2026 FSC-klagomål mail.docx", "A 36422-2026")</f>
        <v/>
      </c>
      <c r="AC447">
        <f>HYPERLINK("https://klasma.github.io/Logging_2161/tillsyn/A 36422-2026 tillsynsbegäran.docx", "A 36422-2026")</f>
        <v/>
      </c>
      <c r="AD447">
        <f>HYPERLINK("https://klasma.github.io/Logging_2161/tillsynsmail/A 36422-2026 tillsynsbegäran mail.docx", "A 36422-2026")</f>
        <v/>
      </c>
    </row>
    <row r="448" ht="15" customHeight="1">
      <c r="A448" t="inlineStr">
        <is>
          <t>A 32283-2026</t>
        </is>
      </c>
      <c r="B448" t="inlineStr">
        <is>
          <t>avverkningsanmälan</t>
        </is>
      </c>
      <c r="C448" t="inlineStr">
        <is>
          <t>Föryngringsavverkning</t>
        </is>
      </c>
      <c r="D448" s="1" t="n">
        <v>46237</v>
      </c>
      <c r="E448" s="1" t="n">
        <v>46326</v>
      </c>
      <c r="F448" t="inlineStr">
        <is>
          <t>GÄVLEBORGS LÄN</t>
        </is>
      </c>
      <c r="G448" t="inlineStr">
        <is>
          <t>LJUSDAL</t>
        </is>
      </c>
      <c r="I448" t="n">
        <v>0.5</v>
      </c>
      <c r="J448" t="n">
        <v>0</v>
      </c>
      <c r="K448" t="n">
        <v>1</v>
      </c>
      <c r="L448" t="n">
        <v>1</v>
      </c>
      <c r="M448" t="n">
        <v>1</v>
      </c>
      <c r="N448" t="n">
        <v>0</v>
      </c>
      <c r="O448" t="n">
        <v>0</v>
      </c>
      <c r="P448" t="n">
        <v>0</v>
      </c>
      <c r="Q448" t="n">
        <v>2</v>
      </c>
      <c r="R448" t="n">
        <v>1</v>
      </c>
      <c r="S448" t="n">
        <v>3</v>
      </c>
      <c r="T448" t="n">
        <v>3</v>
      </c>
      <c r="U448" t="n">
        <v>0</v>
      </c>
      <c r="V448" s="2" t="inlineStr">
        <is>
          <t>Garnlav
Lunglav
Stuplav</t>
        </is>
      </c>
      <c r="W448">
        <f>HYPERLINK("https://klasma.github.io/Logging_2161/artfynd/A 32283-2026 artfynd.xlsx", "A 32283-2026")</f>
        <v/>
      </c>
      <c r="X448">
        <f>HYPERLINK("https://klasma.github.io/Logging_2161/kartor/A 32283-2026 karta.png", "A 32283-2026")</f>
        <v/>
      </c>
      <c r="Y448">
        <f>HYPERLINK("https://klasma.github.io/Logging_2161/kartor_geotiff/A 32283-2026 georefererad karta.tif", "A 32283-2026")</f>
        <v/>
      </c>
      <c r="AA448">
        <f>HYPERLINK("https://klasma.github.io/Logging_2161/klagomål/A 32283-2026 FSC-klagomål.docx", "A 32283-2026")</f>
        <v/>
      </c>
      <c r="AB448">
        <f>HYPERLINK("https://klasma.github.io/Logging_2161/klagomålsmail/A 32283-2026 FSC-klagomål mail.docx", "A 32283-2026")</f>
        <v/>
      </c>
      <c r="AC448">
        <f>HYPERLINK("https://klasma.github.io/Logging_2161/tillsyn/A 32283-2026 tillsynsbegäran.docx", "A 32283-2026")</f>
        <v/>
      </c>
      <c r="AD448">
        <f>HYPERLINK("https://klasma.github.io/Logging_2161/tillsynsmail/A 32283-2026 tillsynsbegäran mail.docx", "A 32283-2026")</f>
        <v/>
      </c>
    </row>
    <row r="449" ht="15" customHeight="1">
      <c r="A449" t="inlineStr">
        <is>
          <t>A 39024-2024</t>
        </is>
      </c>
      <c r="B449" t="inlineStr">
        <is>
          <t>avverkningsanmälan</t>
        </is>
      </c>
      <c r="C449" t="inlineStr">
        <is>
          <t>Föryngringsavverkning</t>
        </is>
      </c>
      <c r="D449" s="1" t="n">
        <v>45548</v>
      </c>
      <c r="E449" s="1" t="n">
        <v>46326</v>
      </c>
      <c r="F449" t="inlineStr">
        <is>
          <t>GÄVLEBORGS LÄN</t>
        </is>
      </c>
      <c r="G449" t="inlineStr">
        <is>
          <t>LJUSDAL</t>
        </is>
      </c>
      <c r="H449" t="inlineStr">
        <is>
          <t>Sveaskog</t>
        </is>
      </c>
      <c r="I449" t="n">
        <v>17</v>
      </c>
      <c r="J449" t="n">
        <v>0</v>
      </c>
      <c r="K449" t="n">
        <v>0</v>
      </c>
      <c r="L449" t="n">
        <v>2</v>
      </c>
      <c r="M449" t="n">
        <v>1</v>
      </c>
      <c r="N449" t="n">
        <v>0</v>
      </c>
      <c r="O449" t="n">
        <v>0</v>
      </c>
      <c r="P449" t="n">
        <v>0</v>
      </c>
      <c r="Q449" t="n">
        <v>3</v>
      </c>
      <c r="R449" t="n">
        <v>1</v>
      </c>
      <c r="S449" t="n">
        <v>3</v>
      </c>
      <c r="T449" t="n">
        <v>7</v>
      </c>
      <c r="U449" t="n">
        <v>7</v>
      </c>
      <c r="V449" s="2" t="inlineStr">
        <is>
          <t>Garnlav
Lunglav
Skrovellav</t>
        </is>
      </c>
      <c r="W449">
        <f>HYPERLINK("https://klasma.github.io/Logging_2161/artfynd/A 39024-2024 artfynd.xlsx", "A 39024-2024")</f>
        <v/>
      </c>
      <c r="X449">
        <f>HYPERLINK("https://klasma.github.io/Logging_2161/kartor/A 39024-2024 karta.png", "A 39024-2024")</f>
        <v/>
      </c>
      <c r="Y449">
        <f>HYPERLINK("https://klasma.github.io/Logging_2161/kartor_geotiff/A 39024-2024 georefererad karta.tif", "A 39024-2024")</f>
        <v/>
      </c>
      <c r="AA449">
        <f>HYPERLINK("https://klasma.github.io/Logging_2161/klagomål/A 39024-2024 FSC-klagomål.docx", "A 39024-2024")</f>
        <v/>
      </c>
      <c r="AB449">
        <f>HYPERLINK("https://klasma.github.io/Logging_2161/klagomålsmail/A 39024-2024 FSC-klagomål mail.docx", "A 39024-2024")</f>
        <v/>
      </c>
      <c r="AC449">
        <f>HYPERLINK("https://klasma.github.io/Logging_2161/tillsyn/A 39024-2024 tillsynsbegäran.docx", "A 39024-2024")</f>
        <v/>
      </c>
      <c r="AD449">
        <f>HYPERLINK("https://klasma.github.io/Logging_2161/tillsynsmail/A 39024-2024 tillsynsbegäran mail.docx", "A 39024-2024")</f>
        <v/>
      </c>
    </row>
    <row r="450" ht="15" customHeight="1">
      <c r="A450" t="inlineStr">
        <is>
          <t>A 37764-2026</t>
        </is>
      </c>
      <c r="B450" t="inlineStr">
        <is>
          <t>avverkningsanmälan</t>
        </is>
      </c>
      <c r="C450" t="inlineStr">
        <is>
          <t>Föryngringsavverkning</t>
        </is>
      </c>
      <c r="D450" s="1" t="n">
        <v>46279</v>
      </c>
      <c r="E450" s="1" t="n">
        <v>46326</v>
      </c>
      <c r="F450" t="inlineStr">
        <is>
          <t>GÄVLEBORGS LÄN</t>
        </is>
      </c>
      <c r="G450" t="inlineStr">
        <is>
          <t>GÄVLE</t>
        </is>
      </c>
      <c r="I450" t="n">
        <v>5.5</v>
      </c>
      <c r="J450" t="n">
        <v>2</v>
      </c>
      <c r="K450" t="n">
        <v>0</v>
      </c>
      <c r="L450" t="n">
        <v>1</v>
      </c>
      <c r="M450" t="n">
        <v>0</v>
      </c>
      <c r="N450" t="n">
        <v>0</v>
      </c>
      <c r="O450" t="n">
        <v>0</v>
      </c>
      <c r="P450" t="n">
        <v>0</v>
      </c>
      <c r="Q450" t="n">
        <v>1</v>
      </c>
      <c r="R450" t="n">
        <v>0</v>
      </c>
      <c r="S450" t="n">
        <v>3</v>
      </c>
      <c r="T450" t="n">
        <v>3</v>
      </c>
      <c r="U450" t="n">
        <v>0</v>
      </c>
      <c r="V450" s="2" t="inlineStr">
        <is>
          <t>Vårärt
Blåsippa
Gullviva</t>
        </is>
      </c>
      <c r="W450">
        <f>HYPERLINK("https://klasma.github.io/Logging_2180/artfynd/A 37764-2026 artfynd.xlsx", "A 37764-2026")</f>
        <v/>
      </c>
      <c r="X450">
        <f>HYPERLINK("https://klasma.github.io/Logging_2180/kartor/A 37764-2026 karta.png", "A 37764-2026")</f>
        <v/>
      </c>
      <c r="Y450">
        <f>HYPERLINK("https://klasma.github.io/Logging_2180/kartor_geotiff/A 37764-2026 georefererad karta.tif", "A 37764-2026")</f>
        <v/>
      </c>
      <c r="AA450">
        <f>HYPERLINK("https://klasma.github.io/Logging_2180/klagomål/A 37764-2026 FSC-klagomål.docx", "A 37764-2026")</f>
        <v/>
      </c>
      <c r="AB450">
        <f>HYPERLINK("https://klasma.github.io/Logging_2180/klagomålsmail/A 37764-2026 FSC-klagomål mail.docx", "A 37764-2026")</f>
        <v/>
      </c>
      <c r="AC450">
        <f>HYPERLINK("https://klasma.github.io/Logging_2180/tillsyn/A 37764-2026 tillsynsbegäran.docx", "A 37764-2026")</f>
        <v/>
      </c>
      <c r="AD450">
        <f>HYPERLINK("https://klasma.github.io/Logging_2180/tillsynsmail/A 37764-2026 tillsynsbegäran mail.docx", "A 37764-2026")</f>
        <v/>
      </c>
    </row>
    <row r="451" ht="15" customHeight="1">
      <c r="A451" t="inlineStr">
        <is>
          <t>S 474-2022</t>
        </is>
      </c>
      <c r="B451" t="inlineStr">
        <is>
          <t>samrådsanmälan</t>
        </is>
      </c>
      <c r="C451" t="inlineStr">
        <is>
          <t>Skogsgödsling</t>
        </is>
      </c>
      <c r="D451" s="1" t="n">
        <v>44587</v>
      </c>
      <c r="E451" s="1" t="n">
        <v>46326</v>
      </c>
      <c r="F451" t="inlineStr">
        <is>
          <t>GÄVLEBORGS LÄN</t>
        </is>
      </c>
      <c r="G451" t="inlineStr">
        <is>
          <t>GÄVLE</t>
        </is>
      </c>
      <c r="H451" t="inlineStr">
        <is>
          <t>Bergvik skog väst AB</t>
        </is>
      </c>
      <c r="I451" t="n">
        <v>313.4</v>
      </c>
      <c r="J451" t="n">
        <v>2</v>
      </c>
      <c r="K451" t="n">
        <v>0</v>
      </c>
      <c r="L451" t="n">
        <v>2</v>
      </c>
      <c r="M451" t="n">
        <v>0</v>
      </c>
      <c r="N451" t="n">
        <v>0</v>
      </c>
      <c r="O451" t="n">
        <v>0</v>
      </c>
      <c r="P451" t="n">
        <v>0</v>
      </c>
      <c r="Q451" t="n">
        <v>2</v>
      </c>
      <c r="R451" t="n">
        <v>0</v>
      </c>
      <c r="S451" t="n">
        <v>3</v>
      </c>
      <c r="T451" t="n">
        <v>3</v>
      </c>
      <c r="U451" t="n">
        <v>3</v>
      </c>
      <c r="V451" s="2" t="inlineStr">
        <is>
          <t>Järnsparv
Tallticka
Spillkråka</t>
        </is>
      </c>
      <c r="W451">
        <f>HYPERLINK("https://klasma.github.io/Logging_2180/artfynd/S 474-2022 artfynd.xlsx", "S 474-2022")</f>
        <v/>
      </c>
      <c r="X451">
        <f>HYPERLINK("https://klasma.github.io/Logging_2180/kartor/S 474-2022 karta.png", "S 474-2022")</f>
        <v/>
      </c>
      <c r="Y451">
        <f>HYPERLINK("https://klasma.github.io/Logging_2180/kartor_geotiff/S 474-2022 georefererad karta.tif", "S 474-2022")</f>
        <v/>
      </c>
      <c r="AA451">
        <f>HYPERLINK("https://klasma.github.io/Logging_2180/klagomål/S 474-2022 FSC-klagomål.docx", "S 474-2022")</f>
        <v/>
      </c>
      <c r="AB451">
        <f>HYPERLINK("https://klasma.github.io/Logging_2180/klagomålsmail/S 474-2022 FSC-klagomål mail.docx", "S 474-2022")</f>
        <v/>
      </c>
      <c r="AC451">
        <f>HYPERLINK("https://klasma.github.io/Logging_2180/tillsyn/S 474-2022 tillsynsbegäran.docx", "S 474-2022")</f>
        <v/>
      </c>
      <c r="AD451">
        <f>HYPERLINK("https://klasma.github.io/Logging_2180/tillsynsmail/S 474-2022 tillsynsbegäran mail.docx", "S 474-2022")</f>
        <v/>
      </c>
      <c r="AE451">
        <f>HYPERLINK("https://klasma.github.io/Logging_2180/fåglar/S 474-2022 prioriterade fågelarter.docx", "S 474-2022")</f>
        <v/>
      </c>
    </row>
    <row r="452" ht="15" customHeight="1">
      <c r="A452" t="inlineStr">
        <is>
          <t>S 4019-2023</t>
        </is>
      </c>
      <c r="B452" t="inlineStr">
        <is>
          <t>samrådsanmälan</t>
        </is>
      </c>
      <c r="C452" t="inlineStr">
        <is>
          <t>Skogsgödsling</t>
        </is>
      </c>
      <c r="D452" s="1" t="n">
        <v>45237</v>
      </c>
      <c r="E452" s="1" t="n">
        <v>46326</v>
      </c>
      <c r="F452" t="inlineStr">
        <is>
          <t>GÄVLEBORGS LÄN</t>
        </is>
      </c>
      <c r="G452" t="inlineStr">
        <is>
          <t>HUDIKSVALL</t>
        </is>
      </c>
      <c r="H452" t="inlineStr">
        <is>
          <t>Holmen skog AB</t>
        </is>
      </c>
      <c r="I452" t="n">
        <v>130.1</v>
      </c>
      <c r="J452" t="n">
        <v>2</v>
      </c>
      <c r="K452" t="n">
        <v>1</v>
      </c>
      <c r="L452" t="n">
        <v>0</v>
      </c>
      <c r="M452" t="n">
        <v>0</v>
      </c>
      <c r="N452" t="n">
        <v>0</v>
      </c>
      <c r="O452" t="n">
        <v>0</v>
      </c>
      <c r="P452" t="n">
        <v>0</v>
      </c>
      <c r="Q452" t="n">
        <v>0</v>
      </c>
      <c r="R452" t="n">
        <v>0</v>
      </c>
      <c r="S452" t="n">
        <v>3</v>
      </c>
      <c r="T452" t="n">
        <v>4</v>
      </c>
      <c r="U452" t="n">
        <v>2</v>
      </c>
      <c r="V452" s="2" t="inlineStr">
        <is>
          <t>Bronshjon
Fläcknycklar
Revlummer</t>
        </is>
      </c>
      <c r="W452">
        <f>HYPERLINK("https://klasma.github.io/Logging_2184/artfynd/S 4019-2023 artfynd.xlsx", "S 4019-2023")</f>
        <v/>
      </c>
      <c r="X452">
        <f>HYPERLINK("https://klasma.github.io/Logging_2184/kartor/S 4019-2023 karta.png", "S 4019-2023")</f>
        <v/>
      </c>
      <c r="Y452">
        <f>HYPERLINK("https://klasma.github.io/Logging_2184/kartor_geotiff/S 4019-2023 georefererad karta.tif", "S 4019-2023")</f>
        <v/>
      </c>
      <c r="AA452">
        <f>HYPERLINK("https://klasma.github.io/Logging_2184/klagomål/S 4019-2023 FSC-klagomål.docx", "S 4019-2023")</f>
        <v/>
      </c>
      <c r="AB452">
        <f>HYPERLINK("https://klasma.github.io/Logging_2184/klagomålsmail/S 4019-2023 FSC-klagomål mail.docx", "S 4019-2023")</f>
        <v/>
      </c>
      <c r="AC452">
        <f>HYPERLINK("https://klasma.github.io/Logging_2184/tillsyn/S 4019-2023 tillsynsbegäran.docx", "S 4019-2023")</f>
        <v/>
      </c>
      <c r="AD452">
        <f>HYPERLINK("https://klasma.github.io/Logging_2184/tillsynsmail/S 4019-2023 tillsynsbegäran mail.docx", "S 4019-2023")</f>
        <v/>
      </c>
    </row>
    <row r="453" ht="15" customHeight="1">
      <c r="A453" t="inlineStr">
        <is>
          <t>S 307-2024</t>
        </is>
      </c>
      <c r="B453" t="inlineStr">
        <is>
          <t>samrådsanmälan</t>
        </is>
      </c>
      <c r="C453" t="inlineStr">
        <is>
          <t>Skogsgödsling</t>
        </is>
      </c>
      <c r="D453" s="1" t="n">
        <v>45323</v>
      </c>
      <c r="E453" s="1" t="n">
        <v>46326</v>
      </c>
      <c r="F453" t="inlineStr">
        <is>
          <t>GÄVLEBORGS LÄN</t>
        </is>
      </c>
      <c r="G453" t="inlineStr">
        <is>
          <t>NORDANSTIG</t>
        </is>
      </c>
      <c r="H453" t="inlineStr">
        <is>
          <t>SCA</t>
        </is>
      </c>
      <c r="I453" t="n">
        <v>150.8</v>
      </c>
      <c r="J453" t="n">
        <v>3</v>
      </c>
      <c r="K453" t="n">
        <v>0</v>
      </c>
      <c r="L453" t="n">
        <v>1</v>
      </c>
      <c r="M453" t="n">
        <v>0</v>
      </c>
      <c r="N453" t="n">
        <v>0</v>
      </c>
      <c r="O453" t="n">
        <v>0</v>
      </c>
      <c r="P453" t="n">
        <v>0</v>
      </c>
      <c r="Q453" t="n">
        <v>1</v>
      </c>
      <c r="R453" t="n">
        <v>0</v>
      </c>
      <c r="S453" t="n">
        <v>3</v>
      </c>
      <c r="T453" t="n">
        <v>3</v>
      </c>
      <c r="U453" t="n">
        <v>3</v>
      </c>
      <c r="V453" s="2" t="inlineStr">
        <is>
          <t>Drillsnäppa
Grönsiska
Kungsfågel</t>
        </is>
      </c>
      <c r="W453">
        <f>HYPERLINK("https://klasma.github.io/Logging_2132/artfynd/S 307-2024 artfynd.xlsx", "S 307-2024")</f>
        <v/>
      </c>
      <c r="X453">
        <f>HYPERLINK("https://klasma.github.io/Logging_2132/kartor/S 307-2024 karta.png", "S 307-2024")</f>
        <v/>
      </c>
      <c r="Y453">
        <f>HYPERLINK("https://klasma.github.io/Logging_2132/kartor_geotiff/S 307-2024 georefererad karta.tif", "S 307-2024")</f>
        <v/>
      </c>
      <c r="AA453">
        <f>HYPERLINK("https://klasma.github.io/Logging_2132/klagomål/S 307-2024 FSC-klagomål.docx", "S 307-2024")</f>
        <v/>
      </c>
      <c r="AB453">
        <f>HYPERLINK("https://klasma.github.io/Logging_2132/klagomålsmail/S 307-2024 FSC-klagomål mail.docx", "S 307-2024")</f>
        <v/>
      </c>
      <c r="AC453">
        <f>HYPERLINK("https://klasma.github.io/Logging_2132/tillsyn/S 307-2024 tillsynsbegäran.docx", "S 307-2024")</f>
        <v/>
      </c>
      <c r="AD453">
        <f>HYPERLINK("https://klasma.github.io/Logging_2132/tillsynsmail/S 307-2024 tillsynsbegäran mail.docx", "S 307-2024")</f>
        <v/>
      </c>
      <c r="AE453">
        <f>HYPERLINK("https://klasma.github.io/Logging_2132/fåglar/S 307-2024 prioriterade fågelarter.docx", "S 307-2024")</f>
        <v/>
      </c>
    </row>
    <row r="454" ht="15" customHeight="1">
      <c r="A454" t="inlineStr">
        <is>
          <t>S 143-2025</t>
        </is>
      </c>
      <c r="B454" t="inlineStr">
        <is>
          <t>samrådsanmälan</t>
        </is>
      </c>
      <c r="C454" t="inlineStr">
        <is>
          <t>Skogsgödsling</t>
        </is>
      </c>
      <c r="D454" s="1" t="n">
        <v>45670</v>
      </c>
      <c r="E454" s="1" t="n">
        <v>46326</v>
      </c>
      <c r="F454" t="inlineStr">
        <is>
          <t>GÄVLEBORGS LÄN</t>
        </is>
      </c>
      <c r="G454" t="inlineStr">
        <is>
          <t>NORDANSTIG</t>
        </is>
      </c>
      <c r="H454" t="inlineStr">
        <is>
          <t>Holmen skog AB</t>
        </is>
      </c>
      <c r="I454" t="n">
        <v>70</v>
      </c>
      <c r="J454" t="n">
        <v>2</v>
      </c>
      <c r="K454" t="n">
        <v>0</v>
      </c>
      <c r="L454" t="n">
        <v>1</v>
      </c>
      <c r="M454" t="n">
        <v>0</v>
      </c>
      <c r="N454" t="n">
        <v>0</v>
      </c>
      <c r="O454" t="n">
        <v>0</v>
      </c>
      <c r="P454" t="n">
        <v>0</v>
      </c>
      <c r="Q454" t="n">
        <v>1</v>
      </c>
      <c r="R454" t="n">
        <v>0</v>
      </c>
      <c r="S454" t="n">
        <v>3</v>
      </c>
      <c r="T454" t="n">
        <v>3</v>
      </c>
      <c r="U454" t="n">
        <v>2</v>
      </c>
      <c r="V454" s="2" t="inlineStr">
        <is>
          <t>Vitfläckig guldvinge
Tjäder
Orre</t>
        </is>
      </c>
      <c r="W454">
        <f>HYPERLINK("https://klasma.github.io/Logging_2132/artfynd/S 143-2025 artfynd.xlsx", "S 143-2025")</f>
        <v/>
      </c>
      <c r="X454">
        <f>HYPERLINK("https://klasma.github.io/Logging_2132/kartor/S 143-2025 karta.png", "S 143-2025")</f>
        <v/>
      </c>
      <c r="Y454">
        <f>HYPERLINK("https://klasma.github.io/Logging_2132/kartor_geotiff/S 143-2025 georefererad karta.tif", "S 143-2025")</f>
        <v/>
      </c>
      <c r="AA454">
        <f>HYPERLINK("https://klasma.github.io/Logging_2132/klagomål/S 143-2025 FSC-klagomål.docx", "S 143-2025")</f>
        <v/>
      </c>
      <c r="AB454">
        <f>HYPERLINK("https://klasma.github.io/Logging_2132/klagomålsmail/S 143-2025 FSC-klagomål mail.docx", "S 143-2025")</f>
        <v/>
      </c>
      <c r="AC454">
        <f>HYPERLINK("https://klasma.github.io/Logging_2132/tillsyn/S 143-2025 tillsynsbegäran.docx", "S 143-2025")</f>
        <v/>
      </c>
      <c r="AD454">
        <f>HYPERLINK("https://klasma.github.io/Logging_2132/tillsynsmail/S 143-2025 tillsynsbegäran mail.docx", "S 143-2025")</f>
        <v/>
      </c>
      <c r="AE454">
        <f>HYPERLINK("https://klasma.github.io/Logging_2132/fåglar/S 143-2025 prioriterade fågelarter.docx", "S 143-2025")</f>
        <v/>
      </c>
    </row>
    <row r="455" ht="15" customHeight="1">
      <c r="A455" t="inlineStr">
        <is>
          <t>S 10126-2021</t>
        </is>
      </c>
      <c r="B455" t="inlineStr">
        <is>
          <t>samrådsanmälan</t>
        </is>
      </c>
      <c r="C455" t="inlineStr">
        <is>
          <t>Skogsgödsling</t>
        </is>
      </c>
      <c r="D455" s="1" t="n">
        <v>44538</v>
      </c>
      <c r="E455" s="1" t="n">
        <v>46326</v>
      </c>
      <c r="F455" t="inlineStr">
        <is>
          <t>GÄVLEBORGS LÄN</t>
        </is>
      </c>
      <c r="G455" t="inlineStr">
        <is>
          <t>LJUSDAL</t>
        </is>
      </c>
      <c r="H455" t="inlineStr">
        <is>
          <t>Holmen skog AB</t>
        </is>
      </c>
      <c r="I455" t="n">
        <v>389.9</v>
      </c>
      <c r="J455" t="n">
        <v>2</v>
      </c>
      <c r="K455" t="n">
        <v>1</v>
      </c>
      <c r="L455" t="n">
        <v>0</v>
      </c>
      <c r="M455" t="n">
        <v>0</v>
      </c>
      <c r="N455" t="n">
        <v>0</v>
      </c>
      <c r="O455" t="n">
        <v>0</v>
      </c>
      <c r="P455" t="n">
        <v>0</v>
      </c>
      <c r="Q455" t="n">
        <v>0</v>
      </c>
      <c r="R455" t="n">
        <v>0</v>
      </c>
      <c r="S455" t="n">
        <v>3</v>
      </c>
      <c r="T455" t="n">
        <v>3</v>
      </c>
      <c r="U455" t="n">
        <v>1</v>
      </c>
      <c r="V455" s="2" t="inlineStr">
        <is>
          <t>Skinnlav
Fläcknycklar
Revlummer</t>
        </is>
      </c>
      <c r="W455">
        <f>HYPERLINK("https://klasma.github.io/Logging_2161/artfynd/S 10126-2021 artfynd.xlsx", "S 10126-2021")</f>
        <v/>
      </c>
      <c r="X455">
        <f>HYPERLINK("https://klasma.github.io/Logging_2161/kartor/S 10126-2021 karta.png", "S 10126-2021")</f>
        <v/>
      </c>
      <c r="Y455">
        <f>HYPERLINK("https://klasma.github.io/Logging_2161/kartor_geotiff/S 10126-2021 georefererad karta.tif", "S 10126-2021")</f>
        <v/>
      </c>
      <c r="AA455">
        <f>HYPERLINK("https://klasma.github.io/Logging_2161/klagomål/S 10126-2021 FSC-klagomål.docx", "S 10126-2021")</f>
        <v/>
      </c>
      <c r="AB455">
        <f>HYPERLINK("https://klasma.github.io/Logging_2161/klagomålsmail/S 10126-2021 FSC-klagomål mail.docx", "S 10126-2021")</f>
        <v/>
      </c>
      <c r="AC455">
        <f>HYPERLINK("https://klasma.github.io/Logging_2161/tillsyn/S 10126-2021 tillsynsbegäran.docx", "S 10126-2021")</f>
        <v/>
      </c>
      <c r="AD455">
        <f>HYPERLINK("https://klasma.github.io/Logging_2161/tillsynsmail/S 10126-2021 tillsynsbegäran mail.docx", "S 10126-2021")</f>
        <v/>
      </c>
    </row>
    <row r="456" ht="15" customHeight="1">
      <c r="A456" t="inlineStr">
        <is>
          <t>S 139-2025</t>
        </is>
      </c>
      <c r="B456" t="inlineStr">
        <is>
          <t>samrådsanmälan</t>
        </is>
      </c>
      <c r="C456" t="inlineStr">
        <is>
          <t>Skogsgödsling</t>
        </is>
      </c>
      <c r="D456" s="1" t="n">
        <v>45670</v>
      </c>
      <c r="E456" s="1" t="n">
        <v>46326</v>
      </c>
      <c r="F456" t="inlineStr">
        <is>
          <t>GÄVLEBORGS LÄN</t>
        </is>
      </c>
      <c r="G456" t="inlineStr">
        <is>
          <t>NORDANSTIG</t>
        </is>
      </c>
      <c r="H456" t="inlineStr">
        <is>
          <t>Holmen skog AB</t>
        </is>
      </c>
      <c r="I456" t="n">
        <v>63.4</v>
      </c>
      <c r="J456" t="n">
        <v>2</v>
      </c>
      <c r="K456" t="n">
        <v>2</v>
      </c>
      <c r="L456" t="n">
        <v>1</v>
      </c>
      <c r="M456" t="n">
        <v>0</v>
      </c>
      <c r="N456" t="n">
        <v>0</v>
      </c>
      <c r="O456" t="n">
        <v>0</v>
      </c>
      <c r="P456" t="n">
        <v>0</v>
      </c>
      <c r="Q456" t="n">
        <v>1</v>
      </c>
      <c r="R456" t="n">
        <v>0</v>
      </c>
      <c r="S456" t="n">
        <v>3</v>
      </c>
      <c r="T456" t="n">
        <v>3</v>
      </c>
      <c r="U456" t="n">
        <v>0</v>
      </c>
      <c r="V456" s="2" t="inlineStr">
        <is>
          <t>Tretåig hackspett
Tibast
Tvåblad</t>
        </is>
      </c>
      <c r="W456">
        <f>HYPERLINK("https://klasma.github.io/Logging_2132/artfynd/S 139-2025 artfynd.xlsx", "S 139-2025")</f>
        <v/>
      </c>
      <c r="X456">
        <f>HYPERLINK("https://klasma.github.io/Logging_2132/kartor/S 139-2025 karta.png", "S 139-2025")</f>
        <v/>
      </c>
      <c r="Y456">
        <f>HYPERLINK("https://klasma.github.io/Logging_2132/kartor_geotiff/S 139-2025 georefererad karta.tif", "S 139-2025")</f>
        <v/>
      </c>
      <c r="AA456">
        <f>HYPERLINK("https://klasma.github.io/Logging_2132/klagomål/S 139-2025 FSC-klagomål.docx", "S 139-2025")</f>
        <v/>
      </c>
      <c r="AB456">
        <f>HYPERLINK("https://klasma.github.io/Logging_2132/klagomålsmail/S 139-2025 FSC-klagomål mail.docx", "S 139-2025")</f>
        <v/>
      </c>
      <c r="AC456">
        <f>HYPERLINK("https://klasma.github.io/Logging_2132/tillsyn/S 139-2025 tillsynsbegäran.docx", "S 139-2025")</f>
        <v/>
      </c>
      <c r="AD456">
        <f>HYPERLINK("https://klasma.github.io/Logging_2132/tillsynsmail/S 139-2025 tillsynsbegäran mail.docx", "S 139-2025")</f>
        <v/>
      </c>
      <c r="AE456">
        <f>HYPERLINK("https://klasma.github.io/Logging_2132/fåglar/S 139-2025 prioriterade fågelarter.docx", "S 139-2025")</f>
        <v/>
      </c>
    </row>
    <row r="457" ht="15" customHeight="1">
      <c r="A457" t="inlineStr">
        <is>
          <t>S 241-2024</t>
        </is>
      </c>
      <c r="B457" t="inlineStr">
        <is>
          <t>samrådsanmälan</t>
        </is>
      </c>
      <c r="C457" t="inlineStr">
        <is>
          <t>Skogsgödsling</t>
        </is>
      </c>
      <c r="D457" s="1" t="n">
        <v>45319</v>
      </c>
      <c r="E457" s="1" t="n">
        <v>46326</v>
      </c>
      <c r="F457" t="inlineStr">
        <is>
          <t>GÄVLEBORGS LÄN</t>
        </is>
      </c>
      <c r="G457" t="inlineStr">
        <is>
          <t>SANDVIKEN</t>
        </is>
      </c>
      <c r="H457" t="inlineStr">
        <is>
          <t>Sveaskog</t>
        </is>
      </c>
      <c r="I457" t="n">
        <v>49.6</v>
      </c>
      <c r="J457" t="n">
        <v>1</v>
      </c>
      <c r="K457" t="n">
        <v>1</v>
      </c>
      <c r="L457" t="n">
        <v>0</v>
      </c>
      <c r="M457" t="n">
        <v>1</v>
      </c>
      <c r="N457" t="n">
        <v>0</v>
      </c>
      <c r="O457" t="n">
        <v>0</v>
      </c>
      <c r="P457" t="n">
        <v>0</v>
      </c>
      <c r="Q457" t="n">
        <v>1</v>
      </c>
      <c r="R457" t="n">
        <v>1</v>
      </c>
      <c r="S457" t="n">
        <v>3</v>
      </c>
      <c r="T457" t="n">
        <v>3</v>
      </c>
      <c r="U457" t="n">
        <v>3</v>
      </c>
      <c r="V457" s="2" t="inlineStr">
        <is>
          <t>Garnlav
Vedticka
Revlummer</t>
        </is>
      </c>
      <c r="W457">
        <f>HYPERLINK("https://klasma.github.io/Logging_2181/artfynd/S 241-2024 artfynd.xlsx", "S 241-2024")</f>
        <v/>
      </c>
      <c r="X457">
        <f>HYPERLINK("https://klasma.github.io/Logging_2181/kartor/S 241-2024 karta.png", "S 241-2024")</f>
        <v/>
      </c>
      <c r="Y457">
        <f>HYPERLINK("https://klasma.github.io/Logging_2181/kartor_geotiff/S 241-2024 georefererad karta.tif", "S 241-2024")</f>
        <v/>
      </c>
      <c r="AA457">
        <f>HYPERLINK("https://klasma.github.io/Logging_2181/klagomål/S 241-2024 FSC-klagomål.docx", "S 241-2024")</f>
        <v/>
      </c>
      <c r="AB457">
        <f>HYPERLINK("https://klasma.github.io/Logging_2181/klagomålsmail/S 241-2024 FSC-klagomål mail.docx", "S 241-2024")</f>
        <v/>
      </c>
      <c r="AC457">
        <f>HYPERLINK("https://klasma.github.io/Logging_2181/tillsyn/S 241-2024 tillsynsbegäran.docx", "S 241-2024")</f>
        <v/>
      </c>
      <c r="AD457">
        <f>HYPERLINK("https://klasma.github.io/Logging_2181/tillsynsmail/S 241-2024 tillsynsbegäran mail.docx", "S 241-2024")</f>
        <v/>
      </c>
    </row>
    <row r="458" ht="15" customHeight="1">
      <c r="A458" t="inlineStr">
        <is>
          <t>S 494-2025</t>
        </is>
      </c>
      <c r="B458" t="inlineStr">
        <is>
          <t>samrådsanmälan</t>
        </is>
      </c>
      <c r="C458" t="inlineStr">
        <is>
          <t>Skogsgödsling</t>
        </is>
      </c>
      <c r="D458" s="1" t="n">
        <v>45705</v>
      </c>
      <c r="E458" s="1" t="n">
        <v>46326</v>
      </c>
      <c r="F458" t="inlineStr">
        <is>
          <t>GÄVLEBORGS LÄN</t>
        </is>
      </c>
      <c r="G458" t="inlineStr">
        <is>
          <t>LJUSDAL</t>
        </is>
      </c>
      <c r="H458" t="inlineStr">
        <is>
          <t>Bergvik skog väst AB</t>
        </is>
      </c>
      <c r="I458" t="n">
        <v>647.8</v>
      </c>
      <c r="J458" t="n">
        <v>1</v>
      </c>
      <c r="K458" t="n">
        <v>0</v>
      </c>
      <c r="L458" t="n">
        <v>1</v>
      </c>
      <c r="M458" t="n">
        <v>1</v>
      </c>
      <c r="N458" t="n">
        <v>0</v>
      </c>
      <c r="O458" t="n">
        <v>0</v>
      </c>
      <c r="P458" t="n">
        <v>0</v>
      </c>
      <c r="Q458" t="n">
        <v>2</v>
      </c>
      <c r="R458" t="n">
        <v>1</v>
      </c>
      <c r="S458" t="n">
        <v>3</v>
      </c>
      <c r="T458" t="n">
        <v>3</v>
      </c>
      <c r="U458" t="n">
        <v>2</v>
      </c>
      <c r="V458" s="2" t="inlineStr">
        <is>
          <t>Garnlav
Blågrå svartspik
Orre</t>
        </is>
      </c>
      <c r="W458">
        <f>HYPERLINK("https://klasma.github.io/Logging_2161/artfynd/S 494-2025 artfynd.xlsx", "S 494-2025")</f>
        <v/>
      </c>
      <c r="X458">
        <f>HYPERLINK("https://klasma.github.io/Logging_2161/kartor/S 494-2025 karta.png", "S 494-2025")</f>
        <v/>
      </c>
      <c r="Y458">
        <f>HYPERLINK("https://klasma.github.io/Logging_2161/kartor_geotiff/S 494-2025 georefererad karta.tif", "S 494-2025")</f>
        <v/>
      </c>
      <c r="AA458">
        <f>HYPERLINK("https://klasma.github.io/Logging_2161/klagomål/S 494-2025 FSC-klagomål.docx", "S 494-2025")</f>
        <v/>
      </c>
      <c r="AB458">
        <f>HYPERLINK("https://klasma.github.io/Logging_2161/klagomålsmail/S 494-2025 FSC-klagomål mail.docx", "S 494-2025")</f>
        <v/>
      </c>
      <c r="AC458">
        <f>HYPERLINK("https://klasma.github.io/Logging_2161/tillsyn/S 494-2025 tillsynsbegäran.docx", "S 494-2025")</f>
        <v/>
      </c>
      <c r="AD458">
        <f>HYPERLINK("https://klasma.github.io/Logging_2161/tillsynsmail/S 494-2025 tillsynsbegäran mail.docx", "S 494-2025")</f>
        <v/>
      </c>
      <c r="AE458">
        <f>HYPERLINK("https://klasma.github.io/Logging_2161/fåglar/S 494-2025 prioriterade fågelarter.docx", "S 494-2025")</f>
        <v/>
      </c>
    </row>
    <row r="459" ht="15" customHeight="1">
      <c r="A459" t="inlineStr">
        <is>
          <t>S 3114-2025</t>
        </is>
      </c>
      <c r="B459" t="inlineStr">
        <is>
          <t>samrådsanmälan</t>
        </is>
      </c>
      <c r="C459" t="inlineStr">
        <is>
          <t>Annan skogsbruksåtgärd</t>
        </is>
      </c>
      <c r="D459" s="1" t="n">
        <v>45968</v>
      </c>
      <c r="E459" s="1" t="n">
        <v>46326</v>
      </c>
      <c r="F459" t="inlineStr">
        <is>
          <t>GÄVLEBORGS LÄN</t>
        </is>
      </c>
      <c r="G459" t="inlineStr">
        <is>
          <t>LJUSDAL</t>
        </is>
      </c>
      <c r="H459" t="inlineStr">
        <is>
          <t>Sveaskog</t>
        </is>
      </c>
      <c r="I459" t="n">
        <v>3.2</v>
      </c>
      <c r="J459" t="n">
        <v>0</v>
      </c>
      <c r="K459" t="n">
        <v>0</v>
      </c>
      <c r="L459" t="n">
        <v>2</v>
      </c>
      <c r="M459" t="n">
        <v>1</v>
      </c>
      <c r="N459" t="n">
        <v>0</v>
      </c>
      <c r="O459" t="n">
        <v>0</v>
      </c>
      <c r="P459" t="n">
        <v>0</v>
      </c>
      <c r="Q459" t="n">
        <v>3</v>
      </c>
      <c r="R459" t="n">
        <v>1</v>
      </c>
      <c r="S459" t="n">
        <v>3</v>
      </c>
      <c r="T459" t="n">
        <v>5</v>
      </c>
      <c r="U459" t="n">
        <v>4</v>
      </c>
      <c r="V459" s="2" t="inlineStr">
        <is>
          <t>Garnlav
Lunglav
Tallticka</t>
        </is>
      </c>
      <c r="W459">
        <f>HYPERLINK("https://klasma.github.io/Logging_2161/artfynd/S 3114-2025 artfynd.xlsx", "S 3114-2025")</f>
        <v/>
      </c>
      <c r="X459">
        <f>HYPERLINK("https://klasma.github.io/Logging_2161/kartor/S 3114-2025 karta.png", "S 3114-2025")</f>
        <v/>
      </c>
      <c r="Y459">
        <f>HYPERLINK("https://klasma.github.io/Logging_2161/kartor_geotiff/S 3114-2025 georefererad karta.tif", "S 3114-2025")</f>
        <v/>
      </c>
      <c r="AA459">
        <f>HYPERLINK("https://klasma.github.io/Logging_2161/klagomål/S 3114-2025 FSC-klagomål.docx", "S 3114-2025")</f>
        <v/>
      </c>
      <c r="AB459">
        <f>HYPERLINK("https://klasma.github.io/Logging_2161/klagomålsmail/S 3114-2025 FSC-klagomål mail.docx", "S 3114-2025")</f>
        <v/>
      </c>
      <c r="AC459">
        <f>HYPERLINK("https://klasma.github.io/Logging_2161/tillsyn/S 3114-2025 tillsynsbegäran.docx", "S 3114-2025")</f>
        <v/>
      </c>
      <c r="AD459">
        <f>HYPERLINK("https://klasma.github.io/Logging_2161/tillsynsmail/S 3114-2025 tillsynsbegäran mail.docx", "S 3114-2025")</f>
        <v/>
      </c>
    </row>
    <row r="460" ht="15" customHeight="1">
      <c r="A460" t="inlineStr">
        <is>
          <t>S 3408-2025</t>
        </is>
      </c>
      <c r="B460" t="inlineStr">
        <is>
          <t>samrådsanmälan</t>
        </is>
      </c>
      <c r="C460" t="inlineStr">
        <is>
          <t>Skogsgödsling</t>
        </is>
      </c>
      <c r="D460" s="1" t="n">
        <v>45994</v>
      </c>
      <c r="E460" s="1" t="n">
        <v>46326</v>
      </c>
      <c r="F460" t="inlineStr">
        <is>
          <t>GÄVLEBORGS LÄN</t>
        </is>
      </c>
      <c r="G460" t="inlineStr">
        <is>
          <t>OVANÅKER</t>
        </is>
      </c>
      <c r="H460" t="inlineStr">
        <is>
          <t>Holmen skog AB</t>
        </is>
      </c>
      <c r="I460" t="n">
        <v>131</v>
      </c>
      <c r="J460" t="n">
        <v>1</v>
      </c>
      <c r="K460" t="n">
        <v>1</v>
      </c>
      <c r="L460" t="n">
        <v>0</v>
      </c>
      <c r="M460" t="n">
        <v>2</v>
      </c>
      <c r="N460" t="n">
        <v>0</v>
      </c>
      <c r="O460" t="n">
        <v>0</v>
      </c>
      <c r="P460" t="n">
        <v>0</v>
      </c>
      <c r="Q460" t="n">
        <v>2</v>
      </c>
      <c r="R460" t="n">
        <v>2</v>
      </c>
      <c r="S460" t="n">
        <v>3</v>
      </c>
      <c r="T460" t="n">
        <v>5</v>
      </c>
      <c r="U460" t="n">
        <v>5</v>
      </c>
      <c r="V460" s="2" t="inlineStr">
        <is>
          <t>Garnlav
Knärot
Vedticka</t>
        </is>
      </c>
      <c r="W460">
        <f>HYPERLINK("https://klasma.github.io/Logging_2121/artfynd/S 3408-2025 artfynd.xlsx", "S 3408-2025")</f>
        <v/>
      </c>
      <c r="X460">
        <f>HYPERLINK("https://klasma.github.io/Logging_2121/kartor/S 3408-2025 karta.png", "S 3408-2025")</f>
        <v/>
      </c>
      <c r="Y460">
        <f>HYPERLINK("https://klasma.github.io/Logging_2121/kartor_geotiff/S 3408-2025 georefererad karta.tif", "S 3408-2025")</f>
        <v/>
      </c>
      <c r="Z460">
        <f>HYPERLINK("https://klasma.github.io/Logging_2121/knärot/S 3408-2025 karta knärot.png", "S 3408-2025")</f>
        <v/>
      </c>
      <c r="AA460">
        <f>HYPERLINK("https://klasma.github.io/Logging_2121/klagomål/S 3408-2025 FSC-klagomål.docx", "S 3408-2025")</f>
        <v/>
      </c>
      <c r="AB460">
        <f>HYPERLINK("https://klasma.github.io/Logging_2121/klagomålsmail/S 3408-2025 FSC-klagomål mail.docx", "S 3408-2025")</f>
        <v/>
      </c>
      <c r="AC460">
        <f>HYPERLINK("https://klasma.github.io/Logging_2121/tillsyn/S 3408-2025 tillsynsbegäran.docx", "S 3408-2025")</f>
        <v/>
      </c>
      <c r="AD460">
        <f>HYPERLINK("https://klasma.github.io/Logging_2121/tillsynsmail/S 3408-2025 tillsynsbegäran mail.docx", "S 3408-2025")</f>
        <v/>
      </c>
    </row>
    <row r="461" ht="15" customHeight="1">
      <c r="A461" t="inlineStr">
        <is>
          <t>S 572-2026</t>
        </is>
      </c>
      <c r="B461" t="inlineStr">
        <is>
          <t>samrådsanmälan</t>
        </is>
      </c>
      <c r="C461" t="inlineStr">
        <is>
          <t>Skogsgödsling</t>
        </is>
      </c>
      <c r="D461" s="1" t="n">
        <v>46083</v>
      </c>
      <c r="E461" s="1" t="n">
        <v>46326</v>
      </c>
      <c r="F461" t="inlineStr">
        <is>
          <t>GÄVLEBORGS LÄN</t>
        </is>
      </c>
      <c r="G461" t="inlineStr">
        <is>
          <t>LJUSDAL</t>
        </is>
      </c>
      <c r="H461" t="inlineStr">
        <is>
          <t>SCA</t>
        </is>
      </c>
      <c r="I461" t="n">
        <v>245.8</v>
      </c>
      <c r="J461" t="n">
        <v>2</v>
      </c>
      <c r="K461" t="n">
        <v>0</v>
      </c>
      <c r="L461" t="n">
        <v>1</v>
      </c>
      <c r="M461" t="n">
        <v>0</v>
      </c>
      <c r="N461" t="n">
        <v>0</v>
      </c>
      <c r="O461" t="n">
        <v>0</v>
      </c>
      <c r="P461" t="n">
        <v>0</v>
      </c>
      <c r="Q461" t="n">
        <v>1</v>
      </c>
      <c r="R461" t="n">
        <v>0</v>
      </c>
      <c r="S461" t="n">
        <v>3</v>
      </c>
      <c r="T461" t="n">
        <v>3</v>
      </c>
      <c r="U461" t="n">
        <v>0</v>
      </c>
      <c r="V461" s="2" t="inlineStr">
        <is>
          <t>Lunglav
Tjäder
Revlummer</t>
        </is>
      </c>
      <c r="W461">
        <f>HYPERLINK("https://klasma.github.io/Logging_2161/artfynd/S 572-2026 artfynd.xlsx", "S 572-2026")</f>
        <v/>
      </c>
      <c r="X461">
        <f>HYPERLINK("https://klasma.github.io/Logging_2161/kartor/S 572-2026 karta.png", "S 572-2026")</f>
        <v/>
      </c>
      <c r="Y461">
        <f>HYPERLINK("https://klasma.github.io/Logging_2161/kartor_geotiff/S 572-2026 georefererad karta.tif", "S 572-2026")</f>
        <v/>
      </c>
      <c r="AA461">
        <f>HYPERLINK("https://klasma.github.io/Logging_2161/klagomål/S 572-2026 FSC-klagomål.docx", "S 572-2026")</f>
        <v/>
      </c>
      <c r="AB461">
        <f>HYPERLINK("https://klasma.github.io/Logging_2161/klagomålsmail/S 572-2026 FSC-klagomål mail.docx", "S 572-2026")</f>
        <v/>
      </c>
      <c r="AC461">
        <f>HYPERLINK("https://klasma.github.io/Logging_2161/tillsyn/S 572-2026 tillsynsbegäran.docx", "S 572-2026")</f>
        <v/>
      </c>
      <c r="AD461">
        <f>HYPERLINK("https://klasma.github.io/Logging_2161/tillsynsmail/S 572-2026 tillsynsbegäran mail.docx", "S 572-2026")</f>
        <v/>
      </c>
      <c r="AE461">
        <f>HYPERLINK("https://klasma.github.io/Logging_2161/fåglar/S 572-2026 prioriterade fågelarter.docx", "S 572-2026")</f>
        <v/>
      </c>
    </row>
    <row r="462" ht="15" customHeight="1">
      <c r="A462" t="inlineStr">
        <is>
          <t>S 1863-2026</t>
        </is>
      </c>
      <c r="B462" t="inlineStr">
        <is>
          <t>samrådsanmälan</t>
        </is>
      </c>
      <c r="C462" t="inlineStr">
        <is>
          <t>Annan skogsbruksåtgärd</t>
        </is>
      </c>
      <c r="D462" s="1" t="n">
        <v>46198</v>
      </c>
      <c r="E462" s="1" t="n">
        <v>46326</v>
      </c>
      <c r="F462" t="inlineStr">
        <is>
          <t>GÄVLEBORGS LÄN</t>
        </is>
      </c>
      <c r="G462" t="inlineStr">
        <is>
          <t>LJUSDAL</t>
        </is>
      </c>
      <c r="H462" t="inlineStr">
        <is>
          <t>Sveaskog</t>
        </is>
      </c>
      <c r="I462" t="n">
        <v>1.1</v>
      </c>
      <c r="J462" t="n">
        <v>0</v>
      </c>
      <c r="K462" t="n">
        <v>0</v>
      </c>
      <c r="L462" t="n">
        <v>3</v>
      </c>
      <c r="M462" t="n">
        <v>0</v>
      </c>
      <c r="N462" t="n">
        <v>0</v>
      </c>
      <c r="O462" t="n">
        <v>0</v>
      </c>
      <c r="P462" t="n">
        <v>0</v>
      </c>
      <c r="Q462" t="n">
        <v>3</v>
      </c>
      <c r="R462" t="n">
        <v>0</v>
      </c>
      <c r="S462" t="n">
        <v>3</v>
      </c>
      <c r="T462" t="n">
        <v>3</v>
      </c>
      <c r="U462" t="n">
        <v>3</v>
      </c>
      <c r="V462" s="2" t="inlineStr">
        <is>
          <t>Kolflarnlav
Lunglav
Mörk kolflarnlav</t>
        </is>
      </c>
      <c r="W462">
        <f>HYPERLINK("https://klasma.github.io/Logging_2161/artfynd/S 1863-2026 artfynd.xlsx", "S 1863-2026")</f>
        <v/>
      </c>
      <c r="X462">
        <f>HYPERLINK("https://klasma.github.io/Logging_2161/kartor/S 1863-2026 karta.png", "S 1863-2026")</f>
        <v/>
      </c>
      <c r="Y462">
        <f>HYPERLINK("https://klasma.github.io/Logging_2161/kartor_geotiff/S 1863-2026 georefererad karta.tif", "S 1863-2026")</f>
        <v/>
      </c>
      <c r="AA462">
        <f>HYPERLINK("https://klasma.github.io/Logging_2161/klagomål/S 1863-2026 FSC-klagomål.docx", "S 1863-2026")</f>
        <v/>
      </c>
      <c r="AB462">
        <f>HYPERLINK("https://klasma.github.io/Logging_2161/klagomålsmail/S 1863-2026 FSC-klagomål mail.docx", "S 1863-2026")</f>
        <v/>
      </c>
      <c r="AC462">
        <f>HYPERLINK("https://klasma.github.io/Logging_2161/tillsyn/S 1863-2026 tillsynsbegäran.docx", "S 1863-2026")</f>
        <v/>
      </c>
      <c r="AD462">
        <f>HYPERLINK("https://klasma.github.io/Logging_2161/tillsynsmail/S 1863-2026 tillsynsbegäran mail.docx", "S 1863-2026")</f>
        <v/>
      </c>
    </row>
    <row r="463" ht="15" customHeight="1">
      <c r="A463" t="inlineStr">
        <is>
          <t>A 53049-2022</t>
        </is>
      </c>
      <c r="B463" t="inlineStr">
        <is>
          <t>avverkningsanmälan</t>
        </is>
      </c>
      <c r="C463" t="inlineStr">
        <is>
          <t>Föryngringsavverkning</t>
        </is>
      </c>
      <c r="D463" s="1" t="n">
        <v>44876</v>
      </c>
      <c r="E463" s="1" t="n">
        <v>46326</v>
      </c>
      <c r="F463" t="inlineStr">
        <is>
          <t>GÄVLEBORGS LÄN</t>
        </is>
      </c>
      <c r="G463" t="inlineStr">
        <is>
          <t>GÄVLE</t>
        </is>
      </c>
      <c r="H463" t="inlineStr">
        <is>
          <t>Kommuner</t>
        </is>
      </c>
      <c r="I463" t="n">
        <v>1.2</v>
      </c>
      <c r="J463" t="n">
        <v>1</v>
      </c>
      <c r="K463" t="n">
        <v>0</v>
      </c>
      <c r="L463" t="n">
        <v>1</v>
      </c>
      <c r="M463" t="n">
        <v>0</v>
      </c>
      <c r="N463" t="n">
        <v>0</v>
      </c>
      <c r="O463" t="n">
        <v>0</v>
      </c>
      <c r="P463" t="n">
        <v>0</v>
      </c>
      <c r="Q463" t="n">
        <v>1</v>
      </c>
      <c r="R463" t="n">
        <v>0</v>
      </c>
      <c r="S463" t="n">
        <v>2</v>
      </c>
      <c r="T463" t="n">
        <v>2</v>
      </c>
      <c r="U463" t="n">
        <v>2</v>
      </c>
      <c r="V463" s="2" t="inlineStr">
        <is>
          <t>Brunklöver
Fläcknycklar</t>
        </is>
      </c>
      <c r="W463">
        <f>HYPERLINK("https://klasma.github.io/Logging_2180/artfynd/A 53049-2022 artfynd.xlsx", "A 53049-2022")</f>
        <v/>
      </c>
      <c r="X463">
        <f>HYPERLINK("https://klasma.github.io/Logging_2180/kartor/A 53049-2022 karta.png", "A 53049-2022")</f>
        <v/>
      </c>
      <c r="Y463">
        <f>HYPERLINK("https://klasma.github.io/Logging_2180/kartor_geotiff/A 53049-2022 georefererad karta.tif", "A 53049-2022")</f>
        <v/>
      </c>
      <c r="AA463">
        <f>HYPERLINK("https://klasma.github.io/Logging_2180/klagomål/A 53049-2022 FSC-klagomål.docx", "A 53049-2022")</f>
        <v/>
      </c>
      <c r="AB463">
        <f>HYPERLINK("https://klasma.github.io/Logging_2180/klagomålsmail/A 53049-2022 FSC-klagomål mail.docx", "A 53049-2022")</f>
        <v/>
      </c>
      <c r="AC463">
        <f>HYPERLINK("https://klasma.github.io/Logging_2180/tillsyn/A 53049-2022 tillsynsbegäran.docx", "A 53049-2022")</f>
        <v/>
      </c>
      <c r="AD463">
        <f>HYPERLINK("https://klasma.github.io/Logging_2180/tillsynsmail/A 53049-2022 tillsynsbegäran mail.docx", "A 53049-2022")</f>
        <v/>
      </c>
    </row>
    <row r="464" ht="15" customHeight="1">
      <c r="A464" t="inlineStr">
        <is>
          <t>A 21297-2022</t>
        </is>
      </c>
      <c r="B464" t="inlineStr">
        <is>
          <t>avverkningsanmälan</t>
        </is>
      </c>
      <c r="C464" t="inlineStr">
        <is>
          <t>Avverkning för att bevara och utveckla /försöksver</t>
        </is>
      </c>
      <c r="D464" s="1" t="n">
        <v>44705</v>
      </c>
      <c r="E464" s="1" t="n">
        <v>46326</v>
      </c>
      <c r="F464" t="inlineStr">
        <is>
          <t>GÄVLEBORGS LÄN</t>
        </is>
      </c>
      <c r="G464" t="inlineStr">
        <is>
          <t>SANDVIKEN</t>
        </is>
      </c>
      <c r="I464" t="n">
        <v>1.5</v>
      </c>
      <c r="J464" t="n">
        <v>0</v>
      </c>
      <c r="K464" t="n">
        <v>1</v>
      </c>
      <c r="L464" t="n">
        <v>1</v>
      </c>
      <c r="M464" t="n">
        <v>0</v>
      </c>
      <c r="N464" t="n">
        <v>0</v>
      </c>
      <c r="O464" t="n">
        <v>0</v>
      </c>
      <c r="P464" t="n">
        <v>0</v>
      </c>
      <c r="Q464" t="n">
        <v>1</v>
      </c>
      <c r="R464" t="n">
        <v>0</v>
      </c>
      <c r="S464" t="n">
        <v>2</v>
      </c>
      <c r="T464" t="n">
        <v>2</v>
      </c>
      <c r="U464" t="n">
        <v>0</v>
      </c>
      <c r="V464" s="2" t="inlineStr">
        <is>
          <t>Ullticka
Skinnlav</t>
        </is>
      </c>
      <c r="W464">
        <f>HYPERLINK("https://klasma.github.io/Logging_2181/artfynd/A 21297-2022 artfynd.xlsx", "A 21297-2022")</f>
        <v/>
      </c>
      <c r="X464">
        <f>HYPERLINK("https://klasma.github.io/Logging_2181/kartor/A 21297-2022 karta.png", "A 21297-2022")</f>
        <v/>
      </c>
      <c r="Y464">
        <f>HYPERLINK("https://klasma.github.io/Logging_2181/kartor_geotiff/A 21297-2022 georefererad karta.tif", "A 21297-2022")</f>
        <v/>
      </c>
      <c r="AA464">
        <f>HYPERLINK("https://klasma.github.io/Logging_2181/klagomål/A 21297-2022 FSC-klagomål.docx", "A 21297-2022")</f>
        <v/>
      </c>
      <c r="AB464">
        <f>HYPERLINK("https://klasma.github.io/Logging_2181/klagomålsmail/A 21297-2022 FSC-klagomål mail.docx", "A 21297-2022")</f>
        <v/>
      </c>
      <c r="AC464">
        <f>HYPERLINK("https://klasma.github.io/Logging_2181/tillsyn/A 21297-2022 tillsynsbegäran.docx", "A 21297-2022")</f>
        <v/>
      </c>
      <c r="AD464">
        <f>HYPERLINK("https://klasma.github.io/Logging_2181/tillsynsmail/A 21297-2022 tillsynsbegäran mail.docx", "A 21297-2022")</f>
        <v/>
      </c>
    </row>
    <row r="465" ht="15" customHeight="1">
      <c r="A465" t="inlineStr">
        <is>
          <t>A 35588-2022</t>
        </is>
      </c>
      <c r="B465" t="inlineStr">
        <is>
          <t>avverkningsanmälan</t>
        </is>
      </c>
      <c r="C465" t="inlineStr">
        <is>
          <t>Föryngringsavverkning</t>
        </is>
      </c>
      <c r="D465" s="1" t="n">
        <v>44799</v>
      </c>
      <c r="E465" s="1" t="n">
        <v>46326</v>
      </c>
      <c r="F465" t="inlineStr">
        <is>
          <t>GÄVLEBORGS LÄN</t>
        </is>
      </c>
      <c r="G465" t="inlineStr">
        <is>
          <t>LJUSDAL</t>
        </is>
      </c>
      <c r="H465" t="inlineStr">
        <is>
          <t>Sveaskog</t>
        </is>
      </c>
      <c r="I465" t="n">
        <v>3.4</v>
      </c>
      <c r="J465" t="n">
        <v>0</v>
      </c>
      <c r="K465" t="n">
        <v>0</v>
      </c>
      <c r="L465" t="n">
        <v>1</v>
      </c>
      <c r="M465" t="n">
        <v>1</v>
      </c>
      <c r="N465" t="n">
        <v>0</v>
      </c>
      <c r="O465" t="n">
        <v>0</v>
      </c>
      <c r="P465" t="n">
        <v>0</v>
      </c>
      <c r="Q465" t="n">
        <v>2</v>
      </c>
      <c r="R465" t="n">
        <v>1</v>
      </c>
      <c r="S465" t="n">
        <v>2</v>
      </c>
      <c r="T465" t="n">
        <v>2</v>
      </c>
      <c r="U465" t="n">
        <v>2</v>
      </c>
      <c r="V465" s="2" t="inlineStr">
        <is>
          <t>Garnlav
Lunglav</t>
        </is>
      </c>
      <c r="W465">
        <f>HYPERLINK("https://klasma.github.io/Logging_2161/artfynd/A 35588-2022 artfynd.xlsx", "A 35588-2022")</f>
        <v/>
      </c>
      <c r="X465">
        <f>HYPERLINK("https://klasma.github.io/Logging_2161/kartor/A 35588-2022 karta.png", "A 35588-2022")</f>
        <v/>
      </c>
      <c r="Y465">
        <f>HYPERLINK("https://klasma.github.io/Logging_2161/kartor_geotiff/A 35588-2022 georefererad karta.tif", "A 35588-2022")</f>
        <v/>
      </c>
      <c r="AA465">
        <f>HYPERLINK("https://klasma.github.io/Logging_2161/klagomål/A 35588-2022 FSC-klagomål.docx", "A 35588-2022")</f>
        <v/>
      </c>
      <c r="AB465">
        <f>HYPERLINK("https://klasma.github.io/Logging_2161/klagomålsmail/A 35588-2022 FSC-klagomål mail.docx", "A 35588-2022")</f>
        <v/>
      </c>
      <c r="AC465">
        <f>HYPERLINK("https://klasma.github.io/Logging_2161/tillsyn/A 35588-2022 tillsynsbegäran.docx", "A 35588-2022")</f>
        <v/>
      </c>
      <c r="AD465">
        <f>HYPERLINK("https://klasma.github.io/Logging_2161/tillsynsmail/A 35588-2022 tillsynsbegäran mail.docx", "A 35588-2022")</f>
        <v/>
      </c>
    </row>
    <row r="466" ht="15" customHeight="1">
      <c r="A466" t="inlineStr">
        <is>
          <t>A 23866-2022</t>
        </is>
      </c>
      <c r="B466" t="inlineStr">
        <is>
          <t>avverkningsanmälan</t>
        </is>
      </c>
      <c r="C466" t="inlineStr">
        <is>
          <t>Föryngringsavverkning</t>
        </is>
      </c>
      <c r="D466" s="1" t="n">
        <v>44722</v>
      </c>
      <c r="E466" s="1" t="n">
        <v>46326</v>
      </c>
      <c r="F466" t="inlineStr">
        <is>
          <t>GÄVLEBORGS LÄN</t>
        </is>
      </c>
      <c r="G466" t="inlineStr">
        <is>
          <t>LJUSDAL</t>
        </is>
      </c>
      <c r="H466" t="inlineStr">
        <is>
          <t>Sveaskog</t>
        </is>
      </c>
      <c r="I466" t="n">
        <v>2.5</v>
      </c>
      <c r="J466" t="n">
        <v>1</v>
      </c>
      <c r="K466" t="n">
        <v>0</v>
      </c>
      <c r="L466" t="n">
        <v>1</v>
      </c>
      <c r="M466" t="n">
        <v>1</v>
      </c>
      <c r="N466" t="n">
        <v>0</v>
      </c>
      <c r="O466" t="n">
        <v>0</v>
      </c>
      <c r="P466" t="n">
        <v>0</v>
      </c>
      <c r="Q466" t="n">
        <v>2</v>
      </c>
      <c r="R466" t="n">
        <v>1</v>
      </c>
      <c r="S466" t="n">
        <v>2</v>
      </c>
      <c r="T466" t="n">
        <v>9</v>
      </c>
      <c r="U466" t="n">
        <v>8</v>
      </c>
      <c r="V466" s="2" t="inlineStr">
        <is>
          <t>Knärot
Lunglav</t>
        </is>
      </c>
      <c r="W466">
        <f>HYPERLINK("https://klasma.github.io/Logging_2161/artfynd/A 23866-2022 artfynd.xlsx", "A 23866-2022")</f>
        <v/>
      </c>
      <c r="X466">
        <f>HYPERLINK("https://klasma.github.io/Logging_2161/kartor/A 23866-2022 karta.png", "A 23866-2022")</f>
        <v/>
      </c>
      <c r="Y466">
        <f>HYPERLINK("https://klasma.github.io/Logging_2161/kartor_geotiff/A 23866-2022 georefererad karta.tif", "A 23866-2022")</f>
        <v/>
      </c>
      <c r="Z466">
        <f>HYPERLINK("https://klasma.github.io/Logging_2161/knärot/A 23866-2022 karta knärot.png", "A 23866-2022")</f>
        <v/>
      </c>
      <c r="AA466">
        <f>HYPERLINK("https://klasma.github.io/Logging_2161/klagomål/A 23866-2022 FSC-klagomål.docx", "A 23866-2022")</f>
        <v/>
      </c>
      <c r="AB466">
        <f>HYPERLINK("https://klasma.github.io/Logging_2161/klagomålsmail/A 23866-2022 FSC-klagomål mail.docx", "A 23866-2022")</f>
        <v/>
      </c>
      <c r="AC466">
        <f>HYPERLINK("https://klasma.github.io/Logging_2161/tillsyn/A 23866-2022 tillsynsbegäran.docx", "A 23866-2022")</f>
        <v/>
      </c>
      <c r="AD466">
        <f>HYPERLINK("https://klasma.github.io/Logging_2161/tillsynsmail/A 23866-2022 tillsynsbegäran mail.docx", "A 23866-2022")</f>
        <v/>
      </c>
    </row>
    <row r="467" ht="15" customHeight="1">
      <c r="A467" t="inlineStr">
        <is>
          <t>A 4433-2022</t>
        </is>
      </c>
      <c r="B467" t="inlineStr">
        <is>
          <t>avverkningsanmälan</t>
        </is>
      </c>
      <c r="C467" t="inlineStr">
        <is>
          <t>Föryngringsavverkning</t>
        </is>
      </c>
      <c r="D467" s="1" t="n">
        <v>44589</v>
      </c>
      <c r="E467" s="1" t="n">
        <v>46326</v>
      </c>
      <c r="F467" t="inlineStr">
        <is>
          <t>GÄVLEBORGS LÄN</t>
        </is>
      </c>
      <c r="G467" t="inlineStr">
        <is>
          <t>LJUSDAL</t>
        </is>
      </c>
      <c r="I467" t="n">
        <v>10.3</v>
      </c>
      <c r="J467" t="n">
        <v>0</v>
      </c>
      <c r="K467" t="n">
        <v>1</v>
      </c>
      <c r="L467" t="n">
        <v>1</v>
      </c>
      <c r="M467" t="n">
        <v>0</v>
      </c>
      <c r="N467" t="n">
        <v>0</v>
      </c>
      <c r="O467" t="n">
        <v>0</v>
      </c>
      <c r="P467" t="n">
        <v>0</v>
      </c>
      <c r="Q467" t="n">
        <v>1</v>
      </c>
      <c r="R467" t="n">
        <v>0</v>
      </c>
      <c r="S467" t="n">
        <v>2</v>
      </c>
      <c r="T467" t="n">
        <v>2</v>
      </c>
      <c r="U467" t="n">
        <v>0</v>
      </c>
      <c r="V467" s="2" t="inlineStr">
        <is>
          <t>Lunglav
Bårdlav</t>
        </is>
      </c>
      <c r="W467">
        <f>HYPERLINK("https://klasma.github.io/Logging_2161/artfynd/A 4433-2022 artfynd.xlsx", "A 4433-2022")</f>
        <v/>
      </c>
      <c r="X467">
        <f>HYPERLINK("https://klasma.github.io/Logging_2161/kartor/A 4433-2022 karta.png", "A 4433-2022")</f>
        <v/>
      </c>
      <c r="Y467">
        <f>HYPERLINK("https://klasma.github.io/Logging_2161/kartor_geotiff/A 4433-2022 georefererad karta.tif", "A 4433-2022")</f>
        <v/>
      </c>
      <c r="AA467">
        <f>HYPERLINK("https://klasma.github.io/Logging_2161/klagomål/A 4433-2022 FSC-klagomål.docx", "A 4433-2022")</f>
        <v/>
      </c>
      <c r="AB467">
        <f>HYPERLINK("https://klasma.github.io/Logging_2161/klagomålsmail/A 4433-2022 FSC-klagomål mail.docx", "A 4433-2022")</f>
        <v/>
      </c>
      <c r="AC467">
        <f>HYPERLINK("https://klasma.github.io/Logging_2161/tillsyn/A 4433-2022 tillsynsbegäran.docx", "A 4433-2022")</f>
        <v/>
      </c>
      <c r="AD467">
        <f>HYPERLINK("https://klasma.github.io/Logging_2161/tillsynsmail/A 4433-2022 tillsynsbegäran mail.docx", "A 4433-2022")</f>
        <v/>
      </c>
    </row>
    <row r="468" ht="15" customHeight="1">
      <c r="A468" t="inlineStr">
        <is>
          <t>A 20593-2022</t>
        </is>
      </c>
      <c r="B468" t="inlineStr">
        <is>
          <t>avverkningsanmälan</t>
        </is>
      </c>
      <c r="C468" t="inlineStr">
        <is>
          <t>Föryngringsavverkning</t>
        </is>
      </c>
      <c r="D468" s="1" t="n">
        <v>44700</v>
      </c>
      <c r="E468" s="1" t="n">
        <v>46326</v>
      </c>
      <c r="F468" t="inlineStr">
        <is>
          <t>GÄVLEBORGS LÄN</t>
        </is>
      </c>
      <c r="G468" t="inlineStr">
        <is>
          <t>LJUSDAL</t>
        </is>
      </c>
      <c r="H468" t="inlineStr">
        <is>
          <t>Holmen skog AB</t>
        </is>
      </c>
      <c r="I468" t="n">
        <v>6.3</v>
      </c>
      <c r="J468" t="n">
        <v>0</v>
      </c>
      <c r="K468" t="n">
        <v>0</v>
      </c>
      <c r="L468" t="n">
        <v>1</v>
      </c>
      <c r="M468" t="n">
        <v>1</v>
      </c>
      <c r="N468" t="n">
        <v>0</v>
      </c>
      <c r="O468" t="n">
        <v>0</v>
      </c>
      <c r="P468" t="n">
        <v>0</v>
      </c>
      <c r="Q468" t="n">
        <v>2</v>
      </c>
      <c r="R468" t="n">
        <v>1</v>
      </c>
      <c r="S468" t="n">
        <v>2</v>
      </c>
      <c r="T468" t="n">
        <v>2</v>
      </c>
      <c r="U468" t="n">
        <v>2</v>
      </c>
      <c r="V468" s="2" t="inlineStr">
        <is>
          <t>Garnlav
Vitgrynig nållav</t>
        </is>
      </c>
      <c r="W468">
        <f>HYPERLINK("https://klasma.github.io/Logging_2161/artfynd/A 20593-2022 artfynd.xlsx", "A 20593-2022")</f>
        <v/>
      </c>
      <c r="X468">
        <f>HYPERLINK("https://klasma.github.io/Logging_2161/kartor/A 20593-2022 karta.png", "A 20593-2022")</f>
        <v/>
      </c>
      <c r="Y468">
        <f>HYPERLINK("https://klasma.github.io/Logging_2161/kartor_geotiff/A 20593-2022 georefererad karta.tif", "A 20593-2022")</f>
        <v/>
      </c>
      <c r="AA468">
        <f>HYPERLINK("https://klasma.github.io/Logging_2161/klagomål/A 20593-2022 FSC-klagomål.docx", "A 20593-2022")</f>
        <v/>
      </c>
      <c r="AB468">
        <f>HYPERLINK("https://klasma.github.io/Logging_2161/klagomålsmail/A 20593-2022 FSC-klagomål mail.docx", "A 20593-2022")</f>
        <v/>
      </c>
      <c r="AC468">
        <f>HYPERLINK("https://klasma.github.io/Logging_2161/tillsyn/A 20593-2022 tillsynsbegäran.docx", "A 20593-2022")</f>
        <v/>
      </c>
      <c r="AD468">
        <f>HYPERLINK("https://klasma.github.io/Logging_2161/tillsynsmail/A 20593-2022 tillsynsbegäran mail.docx", "A 20593-2022")</f>
        <v/>
      </c>
    </row>
    <row r="469" ht="15" customHeight="1">
      <c r="A469" t="inlineStr">
        <is>
          <t>A 51330-2022</t>
        </is>
      </c>
      <c r="B469" t="inlineStr">
        <is>
          <t>avverkningsanmälan</t>
        </is>
      </c>
      <c r="C469" t="inlineStr">
        <is>
          <t>Föryngringsavverkning</t>
        </is>
      </c>
      <c r="D469" s="1" t="n">
        <v>44869</v>
      </c>
      <c r="E469" s="1" t="n">
        <v>46326</v>
      </c>
      <c r="F469" t="inlineStr">
        <is>
          <t>GÄVLEBORGS LÄN</t>
        </is>
      </c>
      <c r="G469" t="inlineStr">
        <is>
          <t>LJUSDAL</t>
        </is>
      </c>
      <c r="H469" t="inlineStr">
        <is>
          <t>Bergvik skog väst AB</t>
        </is>
      </c>
      <c r="I469" t="n">
        <v>9.199999999999999</v>
      </c>
      <c r="J469" t="n">
        <v>2</v>
      </c>
      <c r="K469" t="n">
        <v>0</v>
      </c>
      <c r="L469" t="n">
        <v>0</v>
      </c>
      <c r="M469" t="n">
        <v>0</v>
      </c>
      <c r="N469" t="n">
        <v>0</v>
      </c>
      <c r="O469" t="n">
        <v>0</v>
      </c>
      <c r="P469" t="n">
        <v>0</v>
      </c>
      <c r="Q469" t="n">
        <v>0</v>
      </c>
      <c r="R469" t="n">
        <v>0</v>
      </c>
      <c r="S469" t="n">
        <v>2</v>
      </c>
      <c r="T469" t="n">
        <v>5</v>
      </c>
      <c r="U469" t="n">
        <v>5</v>
      </c>
      <c r="V469" s="2" t="inlineStr">
        <is>
          <t>Järpe
Orre</t>
        </is>
      </c>
      <c r="W469">
        <f>HYPERLINK("https://klasma.github.io/Logging_2161/artfynd/A 51330-2022 artfynd.xlsx", "A 51330-2022")</f>
        <v/>
      </c>
      <c r="X469">
        <f>HYPERLINK("https://klasma.github.io/Logging_2161/kartor/A 51330-2022 karta.png", "A 51330-2022")</f>
        <v/>
      </c>
      <c r="Y469">
        <f>HYPERLINK("https://klasma.github.io/Logging_2161/kartor_geotiff/A 51330-2022 georefererad karta.tif", "A 51330-2022")</f>
        <v/>
      </c>
      <c r="AA469">
        <f>HYPERLINK("https://klasma.github.io/Logging_2161/klagomål/A 51330-2022 FSC-klagomål.docx", "A 51330-2022")</f>
        <v/>
      </c>
      <c r="AB469">
        <f>HYPERLINK("https://klasma.github.io/Logging_2161/klagomålsmail/A 51330-2022 FSC-klagomål mail.docx", "A 51330-2022")</f>
        <v/>
      </c>
      <c r="AC469">
        <f>HYPERLINK("https://klasma.github.io/Logging_2161/tillsyn/A 51330-2022 tillsynsbegäran.docx", "A 51330-2022")</f>
        <v/>
      </c>
      <c r="AD469">
        <f>HYPERLINK("https://klasma.github.io/Logging_2161/tillsynsmail/A 51330-2022 tillsynsbegäran mail.docx", "A 51330-2022")</f>
        <v/>
      </c>
      <c r="AE469">
        <f>HYPERLINK("https://klasma.github.io/Logging_2161/fåglar/A 51330-2022 prioriterade fågelarter.docx", "A 51330-2022")</f>
        <v/>
      </c>
    </row>
    <row r="470" ht="15" customHeight="1">
      <c r="A470" t="inlineStr">
        <is>
          <t>A 38855-2022</t>
        </is>
      </c>
      <c r="B470" t="inlineStr">
        <is>
          <t>avverkningsanmälan</t>
        </is>
      </c>
      <c r="C470" t="inlineStr">
        <is>
          <t>Föryngringsavverkning</t>
        </is>
      </c>
      <c r="D470" s="1" t="n">
        <v>44816</v>
      </c>
      <c r="E470" s="1" t="n">
        <v>46326</v>
      </c>
      <c r="F470" t="inlineStr">
        <is>
          <t>GÄVLEBORGS LÄN</t>
        </is>
      </c>
      <c r="G470" t="inlineStr">
        <is>
          <t>HOFORS</t>
        </is>
      </c>
      <c r="I470" t="n">
        <v>7.1</v>
      </c>
      <c r="J470" t="n">
        <v>2</v>
      </c>
      <c r="K470" t="n">
        <v>0</v>
      </c>
      <c r="L470" t="n">
        <v>0</v>
      </c>
      <c r="M470" t="n">
        <v>1</v>
      </c>
      <c r="N470" t="n">
        <v>0</v>
      </c>
      <c r="O470" t="n">
        <v>0</v>
      </c>
      <c r="P470" t="n">
        <v>0</v>
      </c>
      <c r="Q470" t="n">
        <v>1</v>
      </c>
      <c r="R470" t="n">
        <v>1</v>
      </c>
      <c r="S470" t="n">
        <v>2</v>
      </c>
      <c r="T470" t="n">
        <v>8</v>
      </c>
      <c r="U470" t="n">
        <v>8</v>
      </c>
      <c r="V470" s="2" t="inlineStr">
        <is>
          <t>Knärot
Blåsippa</t>
        </is>
      </c>
      <c r="W470">
        <f>HYPERLINK("https://klasma.github.io/Logging_2104/artfynd/A 38855-2022 artfynd.xlsx", "A 38855-2022")</f>
        <v/>
      </c>
      <c r="X470">
        <f>HYPERLINK("https://klasma.github.io/Logging_2104/kartor/A 38855-2022 karta.png", "A 38855-2022")</f>
        <v/>
      </c>
      <c r="Y470">
        <f>HYPERLINK("https://klasma.github.io/Logging_2104/kartor_geotiff/A 38855-2022 georefererad karta.tif", "A 38855-2022")</f>
        <v/>
      </c>
      <c r="Z470">
        <f>HYPERLINK("https://klasma.github.io/Logging_2104/knärot/A 38855-2022 karta knärot.png", "A 38855-2022")</f>
        <v/>
      </c>
      <c r="AA470">
        <f>HYPERLINK("https://klasma.github.io/Logging_2104/klagomål/A 38855-2022 FSC-klagomål.docx", "A 38855-2022")</f>
        <v/>
      </c>
      <c r="AB470">
        <f>HYPERLINK("https://klasma.github.io/Logging_2104/klagomålsmail/A 38855-2022 FSC-klagomål mail.docx", "A 38855-2022")</f>
        <v/>
      </c>
      <c r="AC470">
        <f>HYPERLINK("https://klasma.github.io/Logging_2104/tillsyn/A 38855-2022 tillsynsbegäran.docx", "A 38855-2022")</f>
        <v/>
      </c>
      <c r="AD470">
        <f>HYPERLINK("https://klasma.github.io/Logging_2104/tillsynsmail/A 38855-2022 tillsynsbegäran mail.docx", "A 38855-2022")</f>
        <v/>
      </c>
    </row>
    <row r="471" ht="15" customHeight="1">
      <c r="A471" t="inlineStr">
        <is>
          <t>A 29821-2023</t>
        </is>
      </c>
      <c r="B471" t="inlineStr">
        <is>
          <t>avverkningsanmälan</t>
        </is>
      </c>
      <c r="C471" t="inlineStr">
        <is>
          <t>Föryngringsavverkning</t>
        </is>
      </c>
      <c r="D471" s="1" t="n">
        <v>45107</v>
      </c>
      <c r="E471" s="1" t="n">
        <v>46326</v>
      </c>
      <c r="F471" t="inlineStr">
        <is>
          <t>GÄVLEBORGS LÄN</t>
        </is>
      </c>
      <c r="G471" t="inlineStr">
        <is>
          <t>GÄVLE</t>
        </is>
      </c>
      <c r="I471" t="n">
        <v>5.3</v>
      </c>
      <c r="J471" t="n">
        <v>2</v>
      </c>
      <c r="K471" t="n">
        <v>0</v>
      </c>
      <c r="L471" t="n">
        <v>1</v>
      </c>
      <c r="M471" t="n">
        <v>0</v>
      </c>
      <c r="N471" t="n">
        <v>0</v>
      </c>
      <c r="O471" t="n">
        <v>0</v>
      </c>
      <c r="P471" t="n">
        <v>0</v>
      </c>
      <c r="Q471" t="n">
        <v>1</v>
      </c>
      <c r="R471" t="n">
        <v>0</v>
      </c>
      <c r="S471" t="n">
        <v>2</v>
      </c>
      <c r="T471" t="n">
        <v>2</v>
      </c>
      <c r="U471" t="n">
        <v>2</v>
      </c>
      <c r="V471" s="2" t="inlineStr">
        <is>
          <t>Järnsparv
Svartvit flugsnappare</t>
        </is>
      </c>
      <c r="W471">
        <f>HYPERLINK("https://klasma.github.io/Logging_2180/artfynd/A 29821-2023 artfynd.xlsx", "A 29821-2023")</f>
        <v/>
      </c>
      <c r="X471">
        <f>HYPERLINK("https://klasma.github.io/Logging_2180/kartor/A 29821-2023 karta.png", "A 29821-2023")</f>
        <v/>
      </c>
      <c r="Y471">
        <f>HYPERLINK("https://klasma.github.io/Logging_2180/kartor_geotiff/A 29821-2023 georefererad karta.tif", "A 29821-2023")</f>
        <v/>
      </c>
      <c r="AA471">
        <f>HYPERLINK("https://klasma.github.io/Logging_2180/klagomål/A 29821-2023 FSC-klagomål.docx", "A 29821-2023")</f>
        <v/>
      </c>
      <c r="AB471">
        <f>HYPERLINK("https://klasma.github.io/Logging_2180/klagomålsmail/A 29821-2023 FSC-klagomål mail.docx", "A 29821-2023")</f>
        <v/>
      </c>
      <c r="AC471">
        <f>HYPERLINK("https://klasma.github.io/Logging_2180/tillsyn/A 29821-2023 tillsynsbegäran.docx", "A 29821-2023")</f>
        <v/>
      </c>
      <c r="AD471">
        <f>HYPERLINK("https://klasma.github.io/Logging_2180/tillsynsmail/A 29821-2023 tillsynsbegäran mail.docx", "A 29821-2023")</f>
        <v/>
      </c>
      <c r="AE471">
        <f>HYPERLINK("https://klasma.github.io/Logging_2180/fåglar/A 29821-2023 prioriterade fågelarter.docx", "A 29821-2023")</f>
        <v/>
      </c>
    </row>
    <row r="472" ht="15" customHeight="1">
      <c r="A472" t="inlineStr">
        <is>
          <t>A 49956-2024</t>
        </is>
      </c>
      <c r="B472" t="inlineStr">
        <is>
          <t>avverkningsanmälan</t>
        </is>
      </c>
      <c r="C472" t="inlineStr">
        <is>
          <t>Föryngringsavverkning</t>
        </is>
      </c>
      <c r="D472" s="1" t="n">
        <v>45597</v>
      </c>
      <c r="E472" s="1" t="n">
        <v>46326</v>
      </c>
      <c r="F472" t="inlineStr">
        <is>
          <t>GÄVLEBORGS LÄN</t>
        </is>
      </c>
      <c r="G472" t="inlineStr">
        <is>
          <t>LJUSDAL</t>
        </is>
      </c>
      <c r="I472" t="n">
        <v>1.3</v>
      </c>
      <c r="J472" t="n">
        <v>1</v>
      </c>
      <c r="K472" t="n">
        <v>0</v>
      </c>
      <c r="L472" t="n">
        <v>0</v>
      </c>
      <c r="M472" t="n">
        <v>1</v>
      </c>
      <c r="N472" t="n">
        <v>0</v>
      </c>
      <c r="O472" t="n">
        <v>0</v>
      </c>
      <c r="P472" t="n">
        <v>0</v>
      </c>
      <c r="Q472" t="n">
        <v>1</v>
      </c>
      <c r="R472" t="n">
        <v>1</v>
      </c>
      <c r="S472" t="n">
        <v>2</v>
      </c>
      <c r="T472" t="n">
        <v>6</v>
      </c>
      <c r="U472" t="n">
        <v>6</v>
      </c>
      <c r="V472" s="2" t="inlineStr">
        <is>
          <t>Garnlav
Kungsfågel</t>
        </is>
      </c>
      <c r="W472">
        <f>HYPERLINK("https://klasma.github.io/Logging_2161/artfynd/A 49956-2024 artfynd.xlsx", "A 49956-2024")</f>
        <v/>
      </c>
      <c r="X472">
        <f>HYPERLINK("https://klasma.github.io/Logging_2161/kartor/A 49956-2024 karta.png", "A 49956-2024")</f>
        <v/>
      </c>
      <c r="Y472">
        <f>HYPERLINK("https://klasma.github.io/Logging_2161/kartor_geotiff/A 49956-2024 georefererad karta.tif", "A 49956-2024")</f>
        <v/>
      </c>
      <c r="AA472">
        <f>HYPERLINK("https://klasma.github.io/Logging_2161/klagomål/A 49956-2024 FSC-klagomål.docx", "A 49956-2024")</f>
        <v/>
      </c>
      <c r="AB472">
        <f>HYPERLINK("https://klasma.github.io/Logging_2161/klagomålsmail/A 49956-2024 FSC-klagomål mail.docx", "A 49956-2024")</f>
        <v/>
      </c>
      <c r="AC472">
        <f>HYPERLINK("https://klasma.github.io/Logging_2161/tillsyn/A 49956-2024 tillsynsbegäran.docx", "A 49956-2024")</f>
        <v/>
      </c>
      <c r="AD472">
        <f>HYPERLINK("https://klasma.github.io/Logging_2161/tillsynsmail/A 49956-2024 tillsynsbegäran mail.docx", "A 49956-2024")</f>
        <v/>
      </c>
    </row>
    <row r="473" ht="15" customHeight="1">
      <c r="A473" t="inlineStr">
        <is>
          <t>A 13727-2025</t>
        </is>
      </c>
      <c r="B473" t="inlineStr">
        <is>
          <t>avverkningsanmälan</t>
        </is>
      </c>
      <c r="C473" t="inlineStr">
        <is>
          <t>Föryngringsavverkning</t>
        </is>
      </c>
      <c r="D473" s="1" t="n">
        <v>45737</v>
      </c>
      <c r="E473" s="1" t="n">
        <v>46326</v>
      </c>
      <c r="F473" t="inlineStr">
        <is>
          <t>GÄVLEBORGS LÄN</t>
        </is>
      </c>
      <c r="G473" t="inlineStr">
        <is>
          <t>GÄVLE</t>
        </is>
      </c>
      <c r="H473" t="inlineStr">
        <is>
          <t>Bergvik skog öst AB</t>
        </is>
      </c>
      <c r="I473" t="n">
        <v>7.6</v>
      </c>
      <c r="J473" t="n">
        <v>1</v>
      </c>
      <c r="K473" t="n">
        <v>0</v>
      </c>
      <c r="L473" t="n">
        <v>1</v>
      </c>
      <c r="M473" t="n">
        <v>0</v>
      </c>
      <c r="N473" t="n">
        <v>0</v>
      </c>
      <c r="O473" t="n">
        <v>0</v>
      </c>
      <c r="P473" t="n">
        <v>0</v>
      </c>
      <c r="Q473" t="n">
        <v>1</v>
      </c>
      <c r="R473" t="n">
        <v>0</v>
      </c>
      <c r="S473" t="n">
        <v>2</v>
      </c>
      <c r="T473" t="n">
        <v>3</v>
      </c>
      <c r="U473" t="n">
        <v>2</v>
      </c>
      <c r="V473" s="2" t="inlineStr">
        <is>
          <t>Ullticka
Järpe</t>
        </is>
      </c>
      <c r="W473">
        <f>HYPERLINK("https://klasma.github.io/Logging_2180/artfynd/A 13727-2025 artfynd.xlsx", "A 13727-2025")</f>
        <v/>
      </c>
      <c r="X473">
        <f>HYPERLINK("https://klasma.github.io/Logging_2180/kartor/A 13727-2025 karta.png", "A 13727-2025")</f>
        <v/>
      </c>
      <c r="Y473">
        <f>HYPERLINK("https://klasma.github.io/Logging_2180/kartor_geotiff/A 13727-2025 georefererad karta.tif", "A 13727-2025")</f>
        <v/>
      </c>
      <c r="AA473">
        <f>HYPERLINK("https://klasma.github.io/Logging_2180/klagomål/A 13727-2025 FSC-klagomål.docx", "A 13727-2025")</f>
        <v/>
      </c>
      <c r="AB473">
        <f>HYPERLINK("https://klasma.github.io/Logging_2180/klagomålsmail/A 13727-2025 FSC-klagomål mail.docx", "A 13727-2025")</f>
        <v/>
      </c>
      <c r="AC473">
        <f>HYPERLINK("https://klasma.github.io/Logging_2180/tillsyn/A 13727-2025 tillsynsbegäran.docx", "A 13727-2025")</f>
        <v/>
      </c>
      <c r="AD473">
        <f>HYPERLINK("https://klasma.github.io/Logging_2180/tillsynsmail/A 13727-2025 tillsynsbegäran mail.docx", "A 13727-2025")</f>
        <v/>
      </c>
      <c r="AE473">
        <f>HYPERLINK("https://klasma.github.io/Logging_2180/fåglar/A 13727-2025 prioriterade fågelarter.docx", "A 13727-2025")</f>
        <v/>
      </c>
    </row>
    <row r="474" ht="15" customHeight="1">
      <c r="A474" t="inlineStr">
        <is>
          <t>A 15825-2025</t>
        </is>
      </c>
      <c r="B474" t="inlineStr">
        <is>
          <t>avverkningsanmälan</t>
        </is>
      </c>
      <c r="C474" t="inlineStr">
        <is>
          <t>Föryngringsavverkning</t>
        </is>
      </c>
      <c r="D474" s="1" t="n">
        <v>45748</v>
      </c>
      <c r="E474" s="1" t="n">
        <v>46326</v>
      </c>
      <c r="F474" t="inlineStr">
        <is>
          <t>GÄVLEBORGS LÄN</t>
        </is>
      </c>
      <c r="G474" t="inlineStr">
        <is>
          <t>LJUSDAL</t>
        </is>
      </c>
      <c r="H474" t="inlineStr">
        <is>
          <t>SCA</t>
        </is>
      </c>
      <c r="I474" t="n">
        <v>9.9</v>
      </c>
      <c r="J474" t="n">
        <v>2</v>
      </c>
      <c r="K474" t="n">
        <v>1</v>
      </c>
      <c r="L474" t="n">
        <v>0</v>
      </c>
      <c r="M474" t="n">
        <v>1</v>
      </c>
      <c r="N474" t="n">
        <v>0</v>
      </c>
      <c r="O474" t="n">
        <v>0</v>
      </c>
      <c r="P474" t="n">
        <v>0</v>
      </c>
      <c r="Q474" t="n">
        <v>1</v>
      </c>
      <c r="R474" t="n">
        <v>1</v>
      </c>
      <c r="S474" t="n">
        <v>2</v>
      </c>
      <c r="T474" t="n">
        <v>2</v>
      </c>
      <c r="U474" t="n">
        <v>0</v>
      </c>
      <c r="V474" s="2" t="inlineStr">
        <is>
          <t>Knärot
Spindelblomster</t>
        </is>
      </c>
      <c r="W474">
        <f>HYPERLINK("https://klasma.github.io/Logging_2161/artfynd/A 15825-2025 artfynd.xlsx", "A 15825-2025")</f>
        <v/>
      </c>
      <c r="X474">
        <f>HYPERLINK("https://klasma.github.io/Logging_2161/kartor/A 15825-2025 karta.png", "A 15825-2025")</f>
        <v/>
      </c>
      <c r="Y474">
        <f>HYPERLINK("https://klasma.github.io/Logging_2161/kartor_geotiff/A 15825-2025 georefererad karta.tif", "A 15825-2025")</f>
        <v/>
      </c>
      <c r="Z474">
        <f>HYPERLINK("https://klasma.github.io/Logging_2161/knärot/A 15825-2025 karta knärot.png", "A 15825-2025")</f>
        <v/>
      </c>
      <c r="AA474">
        <f>HYPERLINK("https://klasma.github.io/Logging_2161/klagomål/A 15825-2025 FSC-klagomål.docx", "A 15825-2025")</f>
        <v/>
      </c>
      <c r="AB474">
        <f>HYPERLINK("https://klasma.github.io/Logging_2161/klagomålsmail/A 15825-2025 FSC-klagomål mail.docx", "A 15825-2025")</f>
        <v/>
      </c>
      <c r="AC474">
        <f>HYPERLINK("https://klasma.github.io/Logging_2161/tillsyn/A 15825-2025 tillsynsbegäran.docx", "A 15825-2025")</f>
        <v/>
      </c>
      <c r="AD474">
        <f>HYPERLINK("https://klasma.github.io/Logging_2161/tillsynsmail/A 15825-2025 tillsynsbegäran mail.docx", "A 15825-2025")</f>
        <v/>
      </c>
    </row>
    <row r="475" ht="15" customHeight="1">
      <c r="A475" t="inlineStr">
        <is>
          <t>A 31053-2024</t>
        </is>
      </c>
      <c r="B475" t="inlineStr">
        <is>
          <t>avverkningsanmälan</t>
        </is>
      </c>
      <c r="C475" t="inlineStr">
        <is>
          <t>Föryngringsavverkning</t>
        </is>
      </c>
      <c r="D475" s="1" t="n">
        <v>45502</v>
      </c>
      <c r="E475" s="1" t="n">
        <v>46326</v>
      </c>
      <c r="F475" t="inlineStr">
        <is>
          <t>GÄVLEBORGS LÄN</t>
        </is>
      </c>
      <c r="G475" t="inlineStr">
        <is>
          <t>NORDANSTIG</t>
        </is>
      </c>
      <c r="H475" t="inlineStr">
        <is>
          <t>Holmen skog AB</t>
        </is>
      </c>
      <c r="I475" t="n">
        <v>5.5</v>
      </c>
      <c r="J475" t="n">
        <v>1</v>
      </c>
      <c r="K475" t="n">
        <v>1</v>
      </c>
      <c r="L475" t="n">
        <v>0</v>
      </c>
      <c r="M475" t="n">
        <v>0</v>
      </c>
      <c r="N475" t="n">
        <v>0</v>
      </c>
      <c r="O475" t="n">
        <v>0</v>
      </c>
      <c r="P475" t="n">
        <v>0</v>
      </c>
      <c r="Q475" t="n">
        <v>0</v>
      </c>
      <c r="R475" t="n">
        <v>0</v>
      </c>
      <c r="S475" t="n">
        <v>2</v>
      </c>
      <c r="T475" t="n">
        <v>2</v>
      </c>
      <c r="U475" t="n">
        <v>1</v>
      </c>
      <c r="V475" s="2" t="inlineStr">
        <is>
          <t>Smal svampklubba
Fläcknycklar</t>
        </is>
      </c>
      <c r="W475">
        <f>HYPERLINK("https://klasma.github.io/Logging_2132/artfynd/A 31053-2024 artfynd.xlsx", "A 31053-2024")</f>
        <v/>
      </c>
      <c r="X475">
        <f>HYPERLINK("https://klasma.github.io/Logging_2132/kartor/A 31053-2024 karta.png", "A 31053-2024")</f>
        <v/>
      </c>
      <c r="Y475">
        <f>HYPERLINK("https://klasma.github.io/Logging_2132/kartor_geotiff/A 31053-2024 georefererad karta.tif", "A 31053-2024")</f>
        <v/>
      </c>
      <c r="AA475">
        <f>HYPERLINK("https://klasma.github.io/Logging_2132/klagomål/A 31053-2024 FSC-klagomål.docx", "A 31053-2024")</f>
        <v/>
      </c>
      <c r="AB475">
        <f>HYPERLINK("https://klasma.github.io/Logging_2132/klagomålsmail/A 31053-2024 FSC-klagomål mail.docx", "A 31053-2024")</f>
        <v/>
      </c>
      <c r="AC475">
        <f>HYPERLINK("https://klasma.github.io/Logging_2132/tillsyn/A 31053-2024 tillsynsbegäran.docx", "A 31053-2024")</f>
        <v/>
      </c>
      <c r="AD475">
        <f>HYPERLINK("https://klasma.github.io/Logging_2132/tillsynsmail/A 31053-2024 tillsynsbegäran mail.docx", "A 31053-2024")</f>
        <v/>
      </c>
    </row>
    <row r="476" ht="15" customHeight="1">
      <c r="A476" t="inlineStr">
        <is>
          <t>A 22470-2024</t>
        </is>
      </c>
      <c r="B476" t="inlineStr">
        <is>
          <t>avverkningsanmälan</t>
        </is>
      </c>
      <c r="C476" t="inlineStr">
        <is>
          <t>Föryngringsavverkning</t>
        </is>
      </c>
      <c r="D476" s="1" t="n">
        <v>45446</v>
      </c>
      <c r="E476" s="1" t="n">
        <v>46326</v>
      </c>
      <c r="F476" t="inlineStr">
        <is>
          <t>GÄVLEBORGS LÄN</t>
        </is>
      </c>
      <c r="G476" t="inlineStr">
        <is>
          <t>LJUSDAL</t>
        </is>
      </c>
      <c r="H476" t="inlineStr">
        <is>
          <t>SCA</t>
        </is>
      </c>
      <c r="I476" t="n">
        <v>5.3</v>
      </c>
      <c r="J476" t="n">
        <v>2</v>
      </c>
      <c r="K476" t="n">
        <v>0</v>
      </c>
      <c r="L476" t="n">
        <v>0</v>
      </c>
      <c r="M476" t="n">
        <v>1</v>
      </c>
      <c r="N476" t="n">
        <v>0</v>
      </c>
      <c r="O476" t="n">
        <v>0</v>
      </c>
      <c r="P476" t="n">
        <v>0</v>
      </c>
      <c r="Q476" t="n">
        <v>1</v>
      </c>
      <c r="R476" t="n">
        <v>1</v>
      </c>
      <c r="S476" t="n">
        <v>2</v>
      </c>
      <c r="T476" t="n">
        <v>2</v>
      </c>
      <c r="U476" t="n">
        <v>2</v>
      </c>
      <c r="V476" s="2" t="inlineStr">
        <is>
          <t>Knärot
Lopplummer (aggregat)</t>
        </is>
      </c>
      <c r="W476">
        <f>HYPERLINK("https://klasma.github.io/Logging_2161/artfynd/A 22470-2024 artfynd.xlsx", "A 22470-2024")</f>
        <v/>
      </c>
      <c r="X476">
        <f>HYPERLINK("https://klasma.github.io/Logging_2161/kartor/A 22470-2024 karta.png", "A 22470-2024")</f>
        <v/>
      </c>
      <c r="Y476">
        <f>HYPERLINK("https://klasma.github.io/Logging_2161/kartor_geotiff/A 22470-2024 georefererad karta.tif", "A 22470-2024")</f>
        <v/>
      </c>
      <c r="Z476">
        <f>HYPERLINK("https://klasma.github.io/Logging_2161/knärot/A 22470-2024 karta knärot.png", "A 22470-2024")</f>
        <v/>
      </c>
      <c r="AA476">
        <f>HYPERLINK("https://klasma.github.io/Logging_2161/klagomål/A 22470-2024 FSC-klagomål.docx", "A 22470-2024")</f>
        <v/>
      </c>
      <c r="AB476">
        <f>HYPERLINK("https://klasma.github.io/Logging_2161/klagomålsmail/A 22470-2024 FSC-klagomål mail.docx", "A 22470-2024")</f>
        <v/>
      </c>
      <c r="AC476">
        <f>HYPERLINK("https://klasma.github.io/Logging_2161/tillsyn/A 22470-2024 tillsynsbegäran.docx", "A 22470-2024")</f>
        <v/>
      </c>
      <c r="AD476">
        <f>HYPERLINK("https://klasma.github.io/Logging_2161/tillsynsmail/A 22470-2024 tillsynsbegäran mail.docx", "A 22470-2024")</f>
        <v/>
      </c>
    </row>
    <row r="477" ht="15" customHeight="1">
      <c r="A477" t="inlineStr">
        <is>
          <t>A 23399-2024</t>
        </is>
      </c>
      <c r="B477" t="inlineStr">
        <is>
          <t>avverkningsanmälan</t>
        </is>
      </c>
      <c r="C477" t="inlineStr">
        <is>
          <t>Föryngringsavverkning</t>
        </is>
      </c>
      <c r="D477" s="1" t="n">
        <v>45453</v>
      </c>
      <c r="E477" s="1" t="n">
        <v>46326</v>
      </c>
      <c r="F477" t="inlineStr">
        <is>
          <t>GÄVLEBORGS LÄN</t>
        </is>
      </c>
      <c r="G477" t="inlineStr">
        <is>
          <t>LJUSDAL</t>
        </is>
      </c>
      <c r="I477" t="n">
        <v>1.7</v>
      </c>
      <c r="J477" t="n">
        <v>0</v>
      </c>
      <c r="K477" t="n">
        <v>0</v>
      </c>
      <c r="L477" t="n">
        <v>2</v>
      </c>
      <c r="M477" t="n">
        <v>0</v>
      </c>
      <c r="N477" t="n">
        <v>0</v>
      </c>
      <c r="O477" t="n">
        <v>0</v>
      </c>
      <c r="P477" t="n">
        <v>0</v>
      </c>
      <c r="Q477" t="n">
        <v>2</v>
      </c>
      <c r="R477" t="n">
        <v>0</v>
      </c>
      <c r="S477" t="n">
        <v>2</v>
      </c>
      <c r="T477" t="n">
        <v>2</v>
      </c>
      <c r="U477" t="n">
        <v>0</v>
      </c>
      <c r="V477" s="2" t="inlineStr">
        <is>
          <t>Kolflarnlav
Vedflamlav</t>
        </is>
      </c>
      <c r="W477">
        <f>HYPERLINK("https://klasma.github.io/Logging_2161/artfynd/A 23399-2024 artfynd.xlsx", "A 23399-2024")</f>
        <v/>
      </c>
      <c r="X477">
        <f>HYPERLINK("https://klasma.github.io/Logging_2161/kartor/A 23399-2024 karta.png", "A 23399-2024")</f>
        <v/>
      </c>
      <c r="Y477">
        <f>HYPERLINK("https://klasma.github.io/Logging_2161/kartor_geotiff/A 23399-2024 georefererad karta.tif", "A 23399-2024")</f>
        <v/>
      </c>
      <c r="AA477">
        <f>HYPERLINK("https://klasma.github.io/Logging_2161/klagomål/A 23399-2024 FSC-klagomål.docx", "A 23399-2024")</f>
        <v/>
      </c>
      <c r="AB477">
        <f>HYPERLINK("https://klasma.github.io/Logging_2161/klagomålsmail/A 23399-2024 FSC-klagomål mail.docx", "A 23399-2024")</f>
        <v/>
      </c>
      <c r="AC477">
        <f>HYPERLINK("https://klasma.github.io/Logging_2161/tillsyn/A 23399-2024 tillsynsbegäran.docx", "A 23399-2024")</f>
        <v/>
      </c>
      <c r="AD477">
        <f>HYPERLINK("https://klasma.github.io/Logging_2161/tillsynsmail/A 23399-2024 tillsynsbegäran mail.docx", "A 23399-2024")</f>
        <v/>
      </c>
    </row>
    <row r="478" ht="15" customHeight="1">
      <c r="A478" t="inlineStr">
        <is>
          <t>A 18546-2024</t>
        </is>
      </c>
      <c r="B478" t="inlineStr">
        <is>
          <t>avverkningsanmälan</t>
        </is>
      </c>
      <c r="C478" t="inlineStr">
        <is>
          <t>Föryngringsavverkning</t>
        </is>
      </c>
      <c r="D478" s="1" t="n">
        <v>45425</v>
      </c>
      <c r="E478" s="1" t="n">
        <v>46326</v>
      </c>
      <c r="F478" t="inlineStr">
        <is>
          <t>GÄVLEBORGS LÄN</t>
        </is>
      </c>
      <c r="G478" t="inlineStr">
        <is>
          <t>SÖDERHAMN</t>
        </is>
      </c>
      <c r="H478" t="inlineStr">
        <is>
          <t>Bergvik skog väst AB</t>
        </is>
      </c>
      <c r="I478" t="n">
        <v>1.7</v>
      </c>
      <c r="J478" t="n">
        <v>2</v>
      </c>
      <c r="K478" t="n">
        <v>1</v>
      </c>
      <c r="L478" t="n">
        <v>0</v>
      </c>
      <c r="M478" t="n">
        <v>0</v>
      </c>
      <c r="N478" t="n">
        <v>0</v>
      </c>
      <c r="O478" t="n">
        <v>0</v>
      </c>
      <c r="P478" t="n">
        <v>0</v>
      </c>
      <c r="Q478" t="n">
        <v>0</v>
      </c>
      <c r="R478" t="n">
        <v>0</v>
      </c>
      <c r="S478" t="n">
        <v>2</v>
      </c>
      <c r="T478" t="n">
        <v>2</v>
      </c>
      <c r="U478" t="n">
        <v>2</v>
      </c>
      <c r="V478" s="2" t="inlineStr">
        <is>
          <t>Grön sköldmossa
Spillkråka</t>
        </is>
      </c>
      <c r="W478">
        <f>HYPERLINK("https://klasma.github.io/Logging_2182/artfynd/A 18546-2024 artfynd.xlsx", "A 18546-2024")</f>
        <v/>
      </c>
      <c r="X478">
        <f>HYPERLINK("https://klasma.github.io/Logging_2182/kartor/A 18546-2024 karta.png", "A 18546-2024")</f>
        <v/>
      </c>
      <c r="Y478">
        <f>HYPERLINK("https://klasma.github.io/Logging_2182/kartor_geotiff/A 18546-2024 georefererad karta.tif", "A 18546-2024")</f>
        <v/>
      </c>
      <c r="AA478">
        <f>HYPERLINK("https://klasma.github.io/Logging_2182/klagomål/A 18546-2024 FSC-klagomål.docx", "A 18546-2024")</f>
        <v/>
      </c>
      <c r="AB478">
        <f>HYPERLINK("https://klasma.github.io/Logging_2182/klagomålsmail/A 18546-2024 FSC-klagomål mail.docx", "A 18546-2024")</f>
        <v/>
      </c>
      <c r="AC478">
        <f>HYPERLINK("https://klasma.github.io/Logging_2182/tillsyn/A 18546-2024 tillsynsbegäran.docx", "A 18546-2024")</f>
        <v/>
      </c>
      <c r="AD478">
        <f>HYPERLINK("https://klasma.github.io/Logging_2182/tillsynsmail/A 18546-2024 tillsynsbegäran mail.docx", "A 18546-2024")</f>
        <v/>
      </c>
      <c r="AE478">
        <f>HYPERLINK("https://klasma.github.io/Logging_2182/fåglar/A 18546-2024 prioriterade fågelarter.docx", "A 18546-2024")</f>
        <v/>
      </c>
    </row>
    <row r="479" ht="15" customHeight="1">
      <c r="A479" t="inlineStr">
        <is>
          <t>A 34997-2024</t>
        </is>
      </c>
      <c r="B479" t="inlineStr">
        <is>
          <t>avverkningsanmälan</t>
        </is>
      </c>
      <c r="C479" t="inlineStr">
        <is>
          <t>Föryngringsavverkning</t>
        </is>
      </c>
      <c r="D479" s="1" t="n">
        <v>45527</v>
      </c>
      <c r="E479" s="1" t="n">
        <v>46326</v>
      </c>
      <c r="F479" t="inlineStr">
        <is>
          <t>GÄVLEBORGS LÄN</t>
        </is>
      </c>
      <c r="G479" t="inlineStr">
        <is>
          <t>LJUSDAL</t>
        </is>
      </c>
      <c r="H479" t="inlineStr">
        <is>
          <t>Sveaskog</t>
        </is>
      </c>
      <c r="I479" t="n">
        <v>5.3</v>
      </c>
      <c r="J479" t="n">
        <v>0</v>
      </c>
      <c r="K479" t="n">
        <v>0</v>
      </c>
      <c r="L479" t="n">
        <v>2</v>
      </c>
      <c r="M479" t="n">
        <v>0</v>
      </c>
      <c r="N479" t="n">
        <v>0</v>
      </c>
      <c r="O479" t="n">
        <v>0</v>
      </c>
      <c r="P479" t="n">
        <v>0</v>
      </c>
      <c r="Q479" t="n">
        <v>2</v>
      </c>
      <c r="R479" t="n">
        <v>0</v>
      </c>
      <c r="S479" t="n">
        <v>2</v>
      </c>
      <c r="T479" t="n">
        <v>2</v>
      </c>
      <c r="U479" t="n">
        <v>2</v>
      </c>
      <c r="V479" s="2" t="inlineStr">
        <is>
          <t>Kolflarnlav
Lunglav</t>
        </is>
      </c>
      <c r="W479">
        <f>HYPERLINK("https://klasma.github.io/Logging_2161/artfynd/A 34997-2024 artfynd.xlsx", "A 34997-2024")</f>
        <v/>
      </c>
      <c r="X479">
        <f>HYPERLINK("https://klasma.github.io/Logging_2161/kartor/A 34997-2024 karta.png", "A 34997-2024")</f>
        <v/>
      </c>
      <c r="Y479">
        <f>HYPERLINK("https://klasma.github.io/Logging_2161/kartor_geotiff/A 34997-2024 georefererad karta.tif", "A 34997-2024")</f>
        <v/>
      </c>
      <c r="AA479">
        <f>HYPERLINK("https://klasma.github.io/Logging_2161/klagomål/A 34997-2024 FSC-klagomål.docx", "A 34997-2024")</f>
        <v/>
      </c>
      <c r="AB479">
        <f>HYPERLINK("https://klasma.github.io/Logging_2161/klagomålsmail/A 34997-2024 FSC-klagomål mail.docx", "A 34997-2024")</f>
        <v/>
      </c>
      <c r="AC479">
        <f>HYPERLINK("https://klasma.github.io/Logging_2161/tillsyn/A 34997-2024 tillsynsbegäran.docx", "A 34997-2024")</f>
        <v/>
      </c>
      <c r="AD479">
        <f>HYPERLINK("https://klasma.github.io/Logging_2161/tillsynsmail/A 34997-2024 tillsynsbegäran mail.docx", "A 34997-2024")</f>
        <v/>
      </c>
    </row>
    <row r="480" ht="15" customHeight="1">
      <c r="A480" t="inlineStr">
        <is>
          <t>A 21196-2024</t>
        </is>
      </c>
      <c r="B480" t="inlineStr">
        <is>
          <t>avverkningsanmälan</t>
        </is>
      </c>
      <c r="C480" t="inlineStr">
        <is>
          <t>Avverkning för annat ändamål</t>
        </is>
      </c>
      <c r="D480" s="1" t="n">
        <v>45440</v>
      </c>
      <c r="E480" s="1" t="n">
        <v>46326</v>
      </c>
      <c r="F480" t="inlineStr">
        <is>
          <t>GÄVLEBORGS LÄN</t>
        </is>
      </c>
      <c r="G480" t="inlineStr">
        <is>
          <t>SANDVIKEN</t>
        </is>
      </c>
      <c r="H480" t="inlineStr">
        <is>
          <t>Kommuner</t>
        </is>
      </c>
      <c r="I480" t="n">
        <v>45.5</v>
      </c>
      <c r="J480" t="n">
        <v>1</v>
      </c>
      <c r="K480" t="n">
        <v>0</v>
      </c>
      <c r="L480" t="n">
        <v>1</v>
      </c>
      <c r="M480" t="n">
        <v>1</v>
      </c>
      <c r="N480" t="n">
        <v>0</v>
      </c>
      <c r="O480" t="n">
        <v>0</v>
      </c>
      <c r="P480" t="n">
        <v>0</v>
      </c>
      <c r="Q480" t="n">
        <v>2</v>
      </c>
      <c r="R480" t="n">
        <v>1</v>
      </c>
      <c r="S480" t="n">
        <v>2</v>
      </c>
      <c r="T480" t="n">
        <v>2</v>
      </c>
      <c r="U480" t="n">
        <v>1</v>
      </c>
      <c r="V480" s="2" t="inlineStr">
        <is>
          <t>Lappuggla
Ullticka</t>
        </is>
      </c>
      <c r="W480">
        <f>HYPERLINK("https://klasma.github.io/Logging_2181/artfynd/A 21196-2024 artfynd.xlsx", "A 21196-2024")</f>
        <v/>
      </c>
      <c r="X480">
        <f>HYPERLINK("https://klasma.github.io/Logging_2181/kartor/A 21196-2024 karta.png", "A 21196-2024")</f>
        <v/>
      </c>
      <c r="Y480">
        <f>HYPERLINK("https://klasma.github.io/Logging_2181/kartor_geotiff/A 21196-2024 georefererad karta.tif", "A 21196-2024")</f>
        <v/>
      </c>
      <c r="AA480">
        <f>HYPERLINK("https://klasma.github.io/Logging_2181/klagomål/A 21196-2024 FSC-klagomål.docx", "A 21196-2024")</f>
        <v/>
      </c>
      <c r="AB480">
        <f>HYPERLINK("https://klasma.github.io/Logging_2181/klagomålsmail/A 21196-2024 FSC-klagomål mail.docx", "A 21196-2024")</f>
        <v/>
      </c>
      <c r="AC480">
        <f>HYPERLINK("https://klasma.github.io/Logging_2181/tillsyn/A 21196-2024 tillsynsbegäran.docx", "A 21196-2024")</f>
        <v/>
      </c>
      <c r="AD480">
        <f>HYPERLINK("https://klasma.github.io/Logging_2181/tillsynsmail/A 21196-2024 tillsynsbegäran mail.docx", "A 21196-2024")</f>
        <v/>
      </c>
      <c r="AE480">
        <f>HYPERLINK("https://klasma.github.io/Logging_2181/fåglar/A 21196-2024 prioriterade fågelarter.docx", "A 21196-2024")</f>
        <v/>
      </c>
    </row>
    <row r="481" ht="15" customHeight="1">
      <c r="A481" t="inlineStr">
        <is>
          <t>A 45380-2024</t>
        </is>
      </c>
      <c r="B481" t="inlineStr">
        <is>
          <t>avverkningsanmälan</t>
        </is>
      </c>
      <c r="C481" t="inlineStr">
        <is>
          <t>Föryngringsavverkning</t>
        </is>
      </c>
      <c r="D481" s="1" t="n">
        <v>45576</v>
      </c>
      <c r="E481" s="1" t="n">
        <v>46326</v>
      </c>
      <c r="F481" t="inlineStr">
        <is>
          <t>GÄVLEBORGS LÄN</t>
        </is>
      </c>
      <c r="G481" t="inlineStr">
        <is>
          <t>HUDIKSVALL</t>
        </is>
      </c>
      <c r="I481" t="n">
        <v>3</v>
      </c>
      <c r="J481" t="n">
        <v>2</v>
      </c>
      <c r="K481" t="n">
        <v>1</v>
      </c>
      <c r="L481" t="n">
        <v>0</v>
      </c>
      <c r="M481" t="n">
        <v>0</v>
      </c>
      <c r="N481" t="n">
        <v>0</v>
      </c>
      <c r="O481" t="n">
        <v>0</v>
      </c>
      <c r="P481" t="n">
        <v>0</v>
      </c>
      <c r="Q481" t="n">
        <v>0</v>
      </c>
      <c r="R481" t="n">
        <v>0</v>
      </c>
      <c r="S481" t="n">
        <v>2</v>
      </c>
      <c r="T481" t="n">
        <v>2</v>
      </c>
      <c r="U481" t="n">
        <v>2</v>
      </c>
      <c r="V481" s="2" t="inlineStr">
        <is>
          <t>Plattlummer
Mattlummer</t>
        </is>
      </c>
      <c r="W481">
        <f>HYPERLINK("https://klasma.github.io/Logging_2184/artfynd/A 45380-2024 artfynd.xlsx", "A 45380-2024")</f>
        <v/>
      </c>
      <c r="X481">
        <f>HYPERLINK("https://klasma.github.io/Logging_2184/kartor/A 45380-2024 karta.png", "A 45380-2024")</f>
        <v/>
      </c>
      <c r="Y481">
        <f>HYPERLINK("https://klasma.github.io/Logging_2184/kartor_geotiff/A 45380-2024 georefererad karta.tif", "A 45380-2024")</f>
        <v/>
      </c>
      <c r="AA481">
        <f>HYPERLINK("https://klasma.github.io/Logging_2184/klagomål/A 45380-2024 FSC-klagomål.docx", "A 45380-2024")</f>
        <v/>
      </c>
      <c r="AB481">
        <f>HYPERLINK("https://klasma.github.io/Logging_2184/klagomålsmail/A 45380-2024 FSC-klagomål mail.docx", "A 45380-2024")</f>
        <v/>
      </c>
      <c r="AC481">
        <f>HYPERLINK("https://klasma.github.io/Logging_2184/tillsyn/A 45380-2024 tillsynsbegäran.docx", "A 45380-2024")</f>
        <v/>
      </c>
      <c r="AD481">
        <f>HYPERLINK("https://klasma.github.io/Logging_2184/tillsynsmail/A 45380-2024 tillsynsbegäran mail.docx", "A 45380-2024")</f>
        <v/>
      </c>
    </row>
    <row r="482" ht="15" customHeight="1">
      <c r="A482" t="inlineStr">
        <is>
          <t>A 27436-2025</t>
        </is>
      </c>
      <c r="B482" t="inlineStr">
        <is>
          <t>avverkningsanmälan</t>
        </is>
      </c>
      <c r="C482" t="inlineStr">
        <is>
          <t>Föryngringsavverkning</t>
        </is>
      </c>
      <c r="D482" s="1" t="n">
        <v>45813</v>
      </c>
      <c r="E482" s="1" t="n">
        <v>46326</v>
      </c>
      <c r="F482" t="inlineStr">
        <is>
          <t>GÄVLEBORGS LÄN</t>
        </is>
      </c>
      <c r="G482" t="inlineStr">
        <is>
          <t>HOFORS</t>
        </is>
      </c>
      <c r="H482" t="inlineStr">
        <is>
          <t>Sveaskog</t>
        </is>
      </c>
      <c r="I482" t="n">
        <v>5.5</v>
      </c>
      <c r="J482" t="n">
        <v>2</v>
      </c>
      <c r="K482" t="n">
        <v>0</v>
      </c>
      <c r="L482" t="n">
        <v>0</v>
      </c>
      <c r="M482" t="n">
        <v>0</v>
      </c>
      <c r="N482" t="n">
        <v>0</v>
      </c>
      <c r="O482" t="n">
        <v>0</v>
      </c>
      <c r="P482" t="n">
        <v>0</v>
      </c>
      <c r="Q482" t="n">
        <v>0</v>
      </c>
      <c r="R482" t="n">
        <v>0</v>
      </c>
      <c r="S482" t="n">
        <v>2</v>
      </c>
      <c r="T482" t="n">
        <v>2</v>
      </c>
      <c r="U482" t="n">
        <v>0</v>
      </c>
      <c r="V482" s="2" t="inlineStr">
        <is>
          <t>Mattlummer
Revlummer</t>
        </is>
      </c>
      <c r="W482">
        <f>HYPERLINK("https://klasma.github.io/Logging_2104/artfynd/A 27436-2025 artfynd.xlsx", "A 27436-2025")</f>
        <v/>
      </c>
      <c r="X482">
        <f>HYPERLINK("https://klasma.github.io/Logging_2104/kartor/A 27436-2025 karta.png", "A 27436-2025")</f>
        <v/>
      </c>
      <c r="Y482">
        <f>HYPERLINK("https://klasma.github.io/Logging_2104/kartor_geotiff/A 27436-2025 georefererad karta.tif", "A 27436-2025")</f>
        <v/>
      </c>
      <c r="AA482">
        <f>HYPERLINK("https://klasma.github.io/Logging_2104/klagomål/A 27436-2025 FSC-klagomål.docx", "A 27436-2025")</f>
        <v/>
      </c>
      <c r="AB482">
        <f>HYPERLINK("https://klasma.github.io/Logging_2104/klagomålsmail/A 27436-2025 FSC-klagomål mail.docx", "A 27436-2025")</f>
        <v/>
      </c>
      <c r="AC482">
        <f>HYPERLINK("https://klasma.github.io/Logging_2104/tillsyn/A 27436-2025 tillsynsbegäran.docx", "A 27436-2025")</f>
        <v/>
      </c>
      <c r="AD482">
        <f>HYPERLINK("https://klasma.github.io/Logging_2104/tillsynsmail/A 27436-2025 tillsynsbegäran mail.docx", "A 27436-2025")</f>
        <v/>
      </c>
    </row>
    <row r="483" ht="15" customHeight="1">
      <c r="A483" t="inlineStr">
        <is>
          <t>A 27882-2025</t>
        </is>
      </c>
      <c r="B483" t="inlineStr">
        <is>
          <t>avverkningsanmälan</t>
        </is>
      </c>
      <c r="C483" t="inlineStr">
        <is>
          <t>Föryngringsavverkning</t>
        </is>
      </c>
      <c r="D483" s="1" t="n">
        <v>45817</v>
      </c>
      <c r="E483" s="1" t="n">
        <v>46326</v>
      </c>
      <c r="F483" t="inlineStr">
        <is>
          <t>GÄVLEBORGS LÄN</t>
        </is>
      </c>
      <c r="G483" t="inlineStr">
        <is>
          <t>LJUSDAL</t>
        </is>
      </c>
      <c r="H483" t="inlineStr">
        <is>
          <t>Sveaskog</t>
        </is>
      </c>
      <c r="I483" t="n">
        <v>7.1</v>
      </c>
      <c r="J483" t="n">
        <v>1</v>
      </c>
      <c r="K483" t="n">
        <v>0</v>
      </c>
      <c r="L483" t="n">
        <v>1</v>
      </c>
      <c r="M483" t="n">
        <v>1</v>
      </c>
      <c r="N483" t="n">
        <v>0</v>
      </c>
      <c r="O483" t="n">
        <v>0</v>
      </c>
      <c r="P483" t="n">
        <v>0</v>
      </c>
      <c r="Q483" t="n">
        <v>2</v>
      </c>
      <c r="R483" t="n">
        <v>1</v>
      </c>
      <c r="S483" t="n">
        <v>2</v>
      </c>
      <c r="T483" t="n">
        <v>6</v>
      </c>
      <c r="U483" t="n">
        <v>6</v>
      </c>
      <c r="V483" s="2" t="inlineStr">
        <is>
          <t>Doftticka
Lunglav</t>
        </is>
      </c>
      <c r="W483">
        <f>HYPERLINK("https://klasma.github.io/Logging_2161/artfynd/A 27882-2025 artfynd.xlsx", "A 27882-2025")</f>
        <v/>
      </c>
      <c r="X483">
        <f>HYPERLINK("https://klasma.github.io/Logging_2161/kartor/A 27882-2025 karta.png", "A 27882-2025")</f>
        <v/>
      </c>
      <c r="Y483">
        <f>HYPERLINK("https://klasma.github.io/Logging_2161/kartor_geotiff/A 27882-2025 georefererad karta.tif", "A 27882-2025")</f>
        <v/>
      </c>
      <c r="AA483">
        <f>HYPERLINK("https://klasma.github.io/Logging_2161/klagomål/A 27882-2025 FSC-klagomål.docx", "A 27882-2025")</f>
        <v/>
      </c>
      <c r="AB483">
        <f>HYPERLINK("https://klasma.github.io/Logging_2161/klagomålsmail/A 27882-2025 FSC-klagomål mail.docx", "A 27882-2025")</f>
        <v/>
      </c>
      <c r="AC483">
        <f>HYPERLINK("https://klasma.github.io/Logging_2161/tillsyn/A 27882-2025 tillsynsbegäran.docx", "A 27882-2025")</f>
        <v/>
      </c>
      <c r="AD483">
        <f>HYPERLINK("https://klasma.github.io/Logging_2161/tillsynsmail/A 27882-2025 tillsynsbegäran mail.docx", "A 27882-2025")</f>
        <v/>
      </c>
    </row>
    <row r="484" ht="15" customHeight="1">
      <c r="A484" t="inlineStr">
        <is>
          <t>A 1708-2026</t>
        </is>
      </c>
      <c r="B484" t="inlineStr">
        <is>
          <t>avverkningsanmälan</t>
        </is>
      </c>
      <c r="C484" t="inlineStr">
        <is>
          <t>Föryngringsavverkning</t>
        </is>
      </c>
      <c r="D484" s="1" t="n">
        <v>46034</v>
      </c>
      <c r="E484" s="1" t="n">
        <v>46326</v>
      </c>
      <c r="F484" t="inlineStr">
        <is>
          <t>GÄVLEBORGS LÄN</t>
        </is>
      </c>
      <c r="G484" t="inlineStr">
        <is>
          <t>NORDANSTIG</t>
        </is>
      </c>
      <c r="I484" t="n">
        <v>8.699999999999999</v>
      </c>
      <c r="J484" t="n">
        <v>2</v>
      </c>
      <c r="K484" t="n">
        <v>0</v>
      </c>
      <c r="L484" t="n">
        <v>0</v>
      </c>
      <c r="M484" t="n">
        <v>0</v>
      </c>
      <c r="N484" t="n">
        <v>0</v>
      </c>
      <c r="O484" t="n">
        <v>0</v>
      </c>
      <c r="P484" t="n">
        <v>0</v>
      </c>
      <c r="Q484" t="n">
        <v>0</v>
      </c>
      <c r="R484" t="n">
        <v>0</v>
      </c>
      <c r="S484" t="n">
        <v>2</v>
      </c>
      <c r="T484" t="n">
        <v>12</v>
      </c>
      <c r="U484" t="n">
        <v>0</v>
      </c>
      <c r="V484" s="2" t="inlineStr">
        <is>
          <t>Tjäder
Fläcknycklar</t>
        </is>
      </c>
      <c r="W484">
        <f>HYPERLINK("https://klasma.github.io/Logging_2132/artfynd/A 1708-2026 artfynd.xlsx", "A 1708-2026")</f>
        <v/>
      </c>
      <c r="X484">
        <f>HYPERLINK("https://klasma.github.io/Logging_2132/kartor/A 1708-2026 karta.png", "A 1708-2026")</f>
        <v/>
      </c>
      <c r="Y484">
        <f>HYPERLINK("https://klasma.github.io/Logging_2132/kartor_geotiff/A 1708-2026 georefererad karta.tif", "A 1708-2026")</f>
        <v/>
      </c>
      <c r="AA484">
        <f>HYPERLINK("https://klasma.github.io/Logging_2132/klagomål/A 1708-2026 FSC-klagomål.docx", "A 1708-2026")</f>
        <v/>
      </c>
      <c r="AB484">
        <f>HYPERLINK("https://klasma.github.io/Logging_2132/klagomålsmail/A 1708-2026 FSC-klagomål mail.docx", "A 1708-2026")</f>
        <v/>
      </c>
      <c r="AC484">
        <f>HYPERLINK("https://klasma.github.io/Logging_2132/tillsyn/A 1708-2026 tillsynsbegäran.docx", "A 1708-2026")</f>
        <v/>
      </c>
      <c r="AD484">
        <f>HYPERLINK("https://klasma.github.io/Logging_2132/tillsynsmail/A 1708-2026 tillsynsbegäran mail.docx", "A 1708-2026")</f>
        <v/>
      </c>
      <c r="AE484">
        <f>HYPERLINK("https://klasma.github.io/Logging_2132/fåglar/A 1708-2026 prioriterade fågelarter.docx", "A 1708-2026")</f>
        <v/>
      </c>
    </row>
    <row r="485" ht="15" customHeight="1">
      <c r="A485" t="inlineStr">
        <is>
          <t>A 41213-2025</t>
        </is>
      </c>
      <c r="B485" t="inlineStr">
        <is>
          <t>avverkningsanmälan</t>
        </is>
      </c>
      <c r="C485" t="inlineStr">
        <is>
          <t>Föryngringsavverkning</t>
        </is>
      </c>
      <c r="D485" s="1" t="n">
        <v>45898</v>
      </c>
      <c r="E485" s="1" t="n">
        <v>46326</v>
      </c>
      <c r="F485" t="inlineStr">
        <is>
          <t>GÄVLEBORGS LÄN</t>
        </is>
      </c>
      <c r="G485" t="inlineStr">
        <is>
          <t>GÄVLE</t>
        </is>
      </c>
      <c r="H485" t="inlineStr">
        <is>
          <t>Bergvik skog väst AB</t>
        </is>
      </c>
      <c r="I485" t="n">
        <v>1</v>
      </c>
      <c r="J485" t="n">
        <v>0</v>
      </c>
      <c r="K485" t="n">
        <v>0</v>
      </c>
      <c r="L485" t="n">
        <v>2</v>
      </c>
      <c r="M485" t="n">
        <v>0</v>
      </c>
      <c r="N485" t="n">
        <v>0</v>
      </c>
      <c r="O485" t="n">
        <v>0</v>
      </c>
      <c r="P485" t="n">
        <v>0</v>
      </c>
      <c r="Q485" t="n">
        <v>2</v>
      </c>
      <c r="R485" t="n">
        <v>0</v>
      </c>
      <c r="S485" t="n">
        <v>2</v>
      </c>
      <c r="T485" t="n">
        <v>2</v>
      </c>
      <c r="U485" t="n">
        <v>0</v>
      </c>
      <c r="V485" s="2" t="inlineStr">
        <is>
          <t>Reliktbock
Vedflamlav</t>
        </is>
      </c>
      <c r="W485">
        <f>HYPERLINK("https://klasma.github.io/Logging_2180/artfynd/A 41213-2025 artfynd.xlsx", "A 41213-2025")</f>
        <v/>
      </c>
      <c r="X485">
        <f>HYPERLINK("https://klasma.github.io/Logging_2180/kartor/A 41213-2025 karta.png", "A 41213-2025")</f>
        <v/>
      </c>
      <c r="Y485">
        <f>HYPERLINK("https://klasma.github.io/Logging_2180/kartor_geotiff/A 41213-2025 georefererad karta.tif", "A 41213-2025")</f>
        <v/>
      </c>
      <c r="AA485">
        <f>HYPERLINK("https://klasma.github.io/Logging_2180/klagomål/A 41213-2025 FSC-klagomål.docx", "A 41213-2025")</f>
        <v/>
      </c>
      <c r="AB485">
        <f>HYPERLINK("https://klasma.github.io/Logging_2180/klagomålsmail/A 41213-2025 FSC-klagomål mail.docx", "A 41213-2025")</f>
        <v/>
      </c>
      <c r="AC485">
        <f>HYPERLINK("https://klasma.github.io/Logging_2180/tillsyn/A 41213-2025 tillsynsbegäran.docx", "A 41213-2025")</f>
        <v/>
      </c>
      <c r="AD485">
        <f>HYPERLINK("https://klasma.github.io/Logging_2180/tillsynsmail/A 41213-2025 tillsynsbegäran mail.docx", "A 41213-2025")</f>
        <v/>
      </c>
    </row>
    <row r="486" ht="15" customHeight="1">
      <c r="A486" t="inlineStr">
        <is>
          <t>A 2201-2026</t>
        </is>
      </c>
      <c r="B486" t="inlineStr">
        <is>
          <t>avverkningsanmälan</t>
        </is>
      </c>
      <c r="C486" t="inlineStr">
        <is>
          <t>Föryngringsavverkning</t>
        </is>
      </c>
      <c r="D486" s="1" t="n">
        <v>46036</v>
      </c>
      <c r="E486" s="1" t="n">
        <v>46326</v>
      </c>
      <c r="F486" t="inlineStr">
        <is>
          <t>GÄVLEBORGS LÄN</t>
        </is>
      </c>
      <c r="G486" t="inlineStr">
        <is>
          <t>OCKELBO</t>
        </is>
      </c>
      <c r="I486" t="n">
        <v>2.4</v>
      </c>
      <c r="J486" t="n">
        <v>2</v>
      </c>
      <c r="K486" t="n">
        <v>1</v>
      </c>
      <c r="L486" t="n">
        <v>0</v>
      </c>
      <c r="M486" t="n">
        <v>0</v>
      </c>
      <c r="N486" t="n">
        <v>0</v>
      </c>
      <c r="O486" t="n">
        <v>0</v>
      </c>
      <c r="P486" t="n">
        <v>0</v>
      </c>
      <c r="Q486" t="n">
        <v>0</v>
      </c>
      <c r="R486" t="n">
        <v>0</v>
      </c>
      <c r="S486" t="n">
        <v>2</v>
      </c>
      <c r="T486" t="n">
        <v>2</v>
      </c>
      <c r="U486" t="n">
        <v>0</v>
      </c>
      <c r="V486" s="2" t="inlineStr">
        <is>
          <t>Korallrot
Revlummer</t>
        </is>
      </c>
      <c r="W486">
        <f>HYPERLINK("https://klasma.github.io/Logging_2101/artfynd/A 2201-2026 artfynd.xlsx", "A 2201-2026")</f>
        <v/>
      </c>
      <c r="X486">
        <f>HYPERLINK("https://klasma.github.io/Logging_2101/kartor/A 2201-2026 karta.png", "A 2201-2026")</f>
        <v/>
      </c>
      <c r="Y486">
        <f>HYPERLINK("https://klasma.github.io/Logging_2101/kartor_geotiff/A 2201-2026 georefererad karta.tif", "A 2201-2026")</f>
        <v/>
      </c>
      <c r="AA486">
        <f>HYPERLINK("https://klasma.github.io/Logging_2101/klagomål/A 2201-2026 FSC-klagomål.docx", "A 2201-2026")</f>
        <v/>
      </c>
      <c r="AB486">
        <f>HYPERLINK("https://klasma.github.io/Logging_2101/klagomålsmail/A 2201-2026 FSC-klagomål mail.docx", "A 2201-2026")</f>
        <v/>
      </c>
      <c r="AC486">
        <f>HYPERLINK("https://klasma.github.io/Logging_2101/tillsyn/A 2201-2026 tillsynsbegäran.docx", "A 2201-2026")</f>
        <v/>
      </c>
      <c r="AD486">
        <f>HYPERLINK("https://klasma.github.io/Logging_2101/tillsynsmail/A 2201-2026 tillsynsbegäran mail.docx", "A 2201-2026")</f>
        <v/>
      </c>
    </row>
    <row r="487" ht="15" customHeight="1">
      <c r="A487" t="inlineStr">
        <is>
          <t>A 22261-2024</t>
        </is>
      </c>
      <c r="B487" t="inlineStr">
        <is>
          <t>avverkningsanmälan</t>
        </is>
      </c>
      <c r="C487" t="inlineStr">
        <is>
          <t>Föryngringsavverkning</t>
        </is>
      </c>
      <c r="D487" s="1" t="n">
        <v>45446</v>
      </c>
      <c r="E487" s="1" t="n">
        <v>46326</v>
      </c>
      <c r="F487" t="inlineStr">
        <is>
          <t>GÄVLEBORGS LÄN</t>
        </is>
      </c>
      <c r="G487" t="inlineStr">
        <is>
          <t>HUDIKSVALL</t>
        </is>
      </c>
      <c r="I487" t="n">
        <v>7.6</v>
      </c>
      <c r="J487" t="n">
        <v>1</v>
      </c>
      <c r="K487" t="n">
        <v>0</v>
      </c>
      <c r="L487" t="n">
        <v>1</v>
      </c>
      <c r="M487" t="n">
        <v>1</v>
      </c>
      <c r="N487" t="n">
        <v>0</v>
      </c>
      <c r="O487" t="n">
        <v>0</v>
      </c>
      <c r="P487" t="n">
        <v>0</v>
      </c>
      <c r="Q487" t="n">
        <v>2</v>
      </c>
      <c r="R487" t="n">
        <v>1</v>
      </c>
      <c r="S487" t="n">
        <v>2</v>
      </c>
      <c r="T487" t="n">
        <v>4</v>
      </c>
      <c r="U487" t="n">
        <v>4</v>
      </c>
      <c r="V487" s="2" t="inlineStr">
        <is>
          <t>Knärot
Dropptaggsvamp</t>
        </is>
      </c>
      <c r="W487">
        <f>HYPERLINK("https://klasma.github.io/Logging_2184/artfynd/A 22261-2024 artfynd.xlsx", "A 22261-2024")</f>
        <v/>
      </c>
      <c r="X487">
        <f>HYPERLINK("https://klasma.github.io/Logging_2184/kartor/A 22261-2024 karta.png", "A 22261-2024")</f>
        <v/>
      </c>
      <c r="Y487">
        <f>HYPERLINK("https://klasma.github.io/Logging_2184/kartor_geotiff/A 22261-2024 georefererad karta.tif", "A 22261-2024")</f>
        <v/>
      </c>
      <c r="Z487">
        <f>HYPERLINK("https://klasma.github.io/Logging_2184/knärot/A 22261-2024 karta knärot.png", "A 22261-2024")</f>
        <v/>
      </c>
      <c r="AA487">
        <f>HYPERLINK("https://klasma.github.io/Logging_2184/klagomål/A 22261-2024 FSC-klagomål.docx", "A 22261-2024")</f>
        <v/>
      </c>
      <c r="AB487">
        <f>HYPERLINK("https://klasma.github.io/Logging_2184/klagomålsmail/A 22261-2024 FSC-klagomål mail.docx", "A 22261-2024")</f>
        <v/>
      </c>
      <c r="AC487">
        <f>HYPERLINK("https://klasma.github.io/Logging_2184/tillsyn/A 22261-2024 tillsynsbegäran.docx", "A 22261-2024")</f>
        <v/>
      </c>
      <c r="AD487">
        <f>HYPERLINK("https://klasma.github.io/Logging_2184/tillsynsmail/A 22261-2024 tillsynsbegäran mail.docx", "A 22261-2024")</f>
        <v/>
      </c>
    </row>
    <row r="488" ht="15" customHeight="1">
      <c r="A488" t="inlineStr">
        <is>
          <t>A 42008-2025</t>
        </is>
      </c>
      <c r="B488" t="inlineStr">
        <is>
          <t>avverkningsanmälan</t>
        </is>
      </c>
      <c r="C488" t="inlineStr">
        <is>
          <t>Föryngringsavverkning</t>
        </is>
      </c>
      <c r="D488" s="1" t="n">
        <v>45903</v>
      </c>
      <c r="E488" s="1" t="n">
        <v>46326</v>
      </c>
      <c r="F488" t="inlineStr">
        <is>
          <t>GÄVLEBORGS LÄN</t>
        </is>
      </c>
      <c r="G488" t="inlineStr">
        <is>
          <t>LJUSDAL</t>
        </is>
      </c>
      <c r="H488" t="inlineStr">
        <is>
          <t>Bergvik skog väst AB</t>
        </is>
      </c>
      <c r="I488" t="n">
        <v>0.8</v>
      </c>
      <c r="J488" t="n">
        <v>1</v>
      </c>
      <c r="K488" t="n">
        <v>0</v>
      </c>
      <c r="L488" t="n">
        <v>1</v>
      </c>
      <c r="M488" t="n">
        <v>0</v>
      </c>
      <c r="N488" t="n">
        <v>0</v>
      </c>
      <c r="O488" t="n">
        <v>0</v>
      </c>
      <c r="P488" t="n">
        <v>0</v>
      </c>
      <c r="Q488" t="n">
        <v>1</v>
      </c>
      <c r="R488" t="n">
        <v>0</v>
      </c>
      <c r="S488" t="n">
        <v>2</v>
      </c>
      <c r="T488" t="n">
        <v>2</v>
      </c>
      <c r="U488" t="n">
        <v>0</v>
      </c>
      <c r="V488" s="2" t="inlineStr">
        <is>
          <t>Lunglav
Fläcknycklar</t>
        </is>
      </c>
      <c r="W488">
        <f>HYPERLINK("https://klasma.github.io/Logging_2161/artfynd/A 42008-2025 artfynd.xlsx", "A 42008-2025")</f>
        <v/>
      </c>
      <c r="X488">
        <f>HYPERLINK("https://klasma.github.io/Logging_2161/kartor/A 42008-2025 karta.png", "A 42008-2025")</f>
        <v/>
      </c>
      <c r="Y488">
        <f>HYPERLINK("https://klasma.github.io/Logging_2161/kartor_geotiff/A 42008-2025 georefererad karta.tif", "A 42008-2025")</f>
        <v/>
      </c>
      <c r="AA488">
        <f>HYPERLINK("https://klasma.github.io/Logging_2161/klagomål/A 42008-2025 FSC-klagomål.docx", "A 42008-2025")</f>
        <v/>
      </c>
      <c r="AB488">
        <f>HYPERLINK("https://klasma.github.io/Logging_2161/klagomålsmail/A 42008-2025 FSC-klagomål mail.docx", "A 42008-2025")</f>
        <v/>
      </c>
      <c r="AC488">
        <f>HYPERLINK("https://klasma.github.io/Logging_2161/tillsyn/A 42008-2025 tillsynsbegäran.docx", "A 42008-2025")</f>
        <v/>
      </c>
      <c r="AD488">
        <f>HYPERLINK("https://klasma.github.io/Logging_2161/tillsynsmail/A 42008-2025 tillsynsbegäran mail.docx", "A 42008-2025")</f>
        <v/>
      </c>
    </row>
    <row r="489" ht="15" customHeight="1">
      <c r="A489" t="inlineStr">
        <is>
          <t>A 3781-2026</t>
        </is>
      </c>
      <c r="B489" t="inlineStr">
        <is>
          <t>avverkningsanmälan</t>
        </is>
      </c>
      <c r="C489" t="inlineStr">
        <is>
          <t>Föryngringsavverkning</t>
        </is>
      </c>
      <c r="D489" s="1" t="n">
        <v>46043</v>
      </c>
      <c r="E489" s="1" t="n">
        <v>46326</v>
      </c>
      <c r="F489" t="inlineStr">
        <is>
          <t>GÄVLEBORGS LÄN</t>
        </is>
      </c>
      <c r="G489" t="inlineStr">
        <is>
          <t>NORDANSTIG</t>
        </is>
      </c>
      <c r="I489" t="n">
        <v>31</v>
      </c>
      <c r="J489" t="n">
        <v>1</v>
      </c>
      <c r="K489" t="n">
        <v>0</v>
      </c>
      <c r="L489" t="n">
        <v>0</v>
      </c>
      <c r="M489" t="n">
        <v>1</v>
      </c>
      <c r="N489" t="n">
        <v>0</v>
      </c>
      <c r="O489" t="n">
        <v>0</v>
      </c>
      <c r="P489" t="n">
        <v>0</v>
      </c>
      <c r="Q489" t="n">
        <v>1</v>
      </c>
      <c r="R489" t="n">
        <v>1</v>
      </c>
      <c r="S489" t="n">
        <v>2</v>
      </c>
      <c r="T489" t="n">
        <v>2</v>
      </c>
      <c r="U489" t="n">
        <v>0</v>
      </c>
      <c r="V489" s="2" t="inlineStr">
        <is>
          <t>Garnlav
Fläcknycklar</t>
        </is>
      </c>
      <c r="W489">
        <f>HYPERLINK("https://klasma.github.io/Logging_2132/artfynd/A 3781-2026 artfynd.xlsx", "A 3781-2026")</f>
        <v/>
      </c>
      <c r="X489">
        <f>HYPERLINK("https://klasma.github.io/Logging_2132/kartor/A 3781-2026 karta.png", "A 3781-2026")</f>
        <v/>
      </c>
      <c r="Y489">
        <f>HYPERLINK("https://klasma.github.io/Logging_2132/kartor_geotiff/A 3781-2026 georefererad karta.tif", "A 3781-2026")</f>
        <v/>
      </c>
      <c r="AA489">
        <f>HYPERLINK("https://klasma.github.io/Logging_2132/klagomål/A 3781-2026 FSC-klagomål.docx", "A 3781-2026")</f>
        <v/>
      </c>
      <c r="AB489">
        <f>HYPERLINK("https://klasma.github.io/Logging_2132/klagomålsmail/A 3781-2026 FSC-klagomål mail.docx", "A 3781-2026")</f>
        <v/>
      </c>
      <c r="AC489">
        <f>HYPERLINK("https://klasma.github.io/Logging_2132/tillsyn/A 3781-2026 tillsynsbegäran.docx", "A 3781-2026")</f>
        <v/>
      </c>
      <c r="AD489">
        <f>HYPERLINK("https://klasma.github.io/Logging_2132/tillsynsmail/A 3781-2026 tillsynsbegäran mail.docx", "A 3781-2026")</f>
        <v/>
      </c>
    </row>
    <row r="490" ht="15" customHeight="1">
      <c r="A490" t="inlineStr">
        <is>
          <t>A 3760-2026</t>
        </is>
      </c>
      <c r="B490" t="inlineStr">
        <is>
          <t>avverkningsanmälan</t>
        </is>
      </c>
      <c r="C490" t="inlineStr">
        <is>
          <t>Föryngringsavverkning</t>
        </is>
      </c>
      <c r="D490" s="1" t="n">
        <v>46043</v>
      </c>
      <c r="E490" s="1" t="n">
        <v>46326</v>
      </c>
      <c r="F490" t="inlineStr">
        <is>
          <t>GÄVLEBORGS LÄN</t>
        </is>
      </c>
      <c r="G490" t="inlineStr">
        <is>
          <t>NORDANSTIG</t>
        </is>
      </c>
      <c r="I490" t="n">
        <v>3.4</v>
      </c>
      <c r="J490" t="n">
        <v>0</v>
      </c>
      <c r="K490" t="n">
        <v>1</v>
      </c>
      <c r="L490" t="n">
        <v>0</v>
      </c>
      <c r="M490" t="n">
        <v>1</v>
      </c>
      <c r="N490" t="n">
        <v>0</v>
      </c>
      <c r="O490" t="n">
        <v>0</v>
      </c>
      <c r="P490" t="n">
        <v>0</v>
      </c>
      <c r="Q490" t="n">
        <v>1</v>
      </c>
      <c r="R490" t="n">
        <v>1</v>
      </c>
      <c r="S490" t="n">
        <v>2</v>
      </c>
      <c r="T490" t="n">
        <v>2</v>
      </c>
      <c r="U490" t="n">
        <v>0</v>
      </c>
      <c r="V490" s="2" t="inlineStr">
        <is>
          <t>Aspgelélav
Skinnlav</t>
        </is>
      </c>
      <c r="W490">
        <f>HYPERLINK("https://klasma.github.io/Logging_2132/artfynd/A 3760-2026 artfynd.xlsx", "A 3760-2026")</f>
        <v/>
      </c>
      <c r="X490">
        <f>HYPERLINK("https://klasma.github.io/Logging_2132/kartor/A 3760-2026 karta.png", "A 3760-2026")</f>
        <v/>
      </c>
      <c r="Y490">
        <f>HYPERLINK("https://klasma.github.io/Logging_2132/kartor_geotiff/A 3760-2026 georefererad karta.tif", "A 3760-2026")</f>
        <v/>
      </c>
      <c r="AA490">
        <f>HYPERLINK("https://klasma.github.io/Logging_2132/klagomål/A 3760-2026 FSC-klagomål.docx", "A 3760-2026")</f>
        <v/>
      </c>
      <c r="AB490">
        <f>HYPERLINK("https://klasma.github.io/Logging_2132/klagomålsmail/A 3760-2026 FSC-klagomål mail.docx", "A 3760-2026")</f>
        <v/>
      </c>
      <c r="AC490">
        <f>HYPERLINK("https://klasma.github.io/Logging_2132/tillsyn/A 3760-2026 tillsynsbegäran.docx", "A 3760-2026")</f>
        <v/>
      </c>
      <c r="AD490">
        <f>HYPERLINK("https://klasma.github.io/Logging_2132/tillsynsmail/A 3760-2026 tillsynsbegäran mail.docx", "A 3760-2026")</f>
        <v/>
      </c>
    </row>
    <row r="491" ht="15" customHeight="1">
      <c r="A491" t="inlineStr">
        <is>
          <t>A 42261-2025</t>
        </is>
      </c>
      <c r="B491" t="inlineStr">
        <is>
          <t>avverkningsanmälan</t>
        </is>
      </c>
      <c r="C491" t="inlineStr">
        <is>
          <t>Föryngringsavverkning</t>
        </is>
      </c>
      <c r="D491" s="1" t="n">
        <v>45903</v>
      </c>
      <c r="E491" s="1" t="n">
        <v>46326</v>
      </c>
      <c r="F491" t="inlineStr">
        <is>
          <t>GÄVLEBORGS LÄN</t>
        </is>
      </c>
      <c r="G491" t="inlineStr">
        <is>
          <t>GÄVLE</t>
        </is>
      </c>
      <c r="H491" t="inlineStr">
        <is>
          <t>Bergvik skog väst AB</t>
        </is>
      </c>
      <c r="I491" t="n">
        <v>15.6</v>
      </c>
      <c r="J491" t="n">
        <v>1</v>
      </c>
      <c r="K491" t="n">
        <v>1</v>
      </c>
      <c r="L491" t="n">
        <v>0</v>
      </c>
      <c r="M491" t="n">
        <v>0</v>
      </c>
      <c r="N491" t="n">
        <v>0</v>
      </c>
      <c r="O491" t="n">
        <v>0</v>
      </c>
      <c r="P491" t="n">
        <v>0</v>
      </c>
      <c r="Q491" t="n">
        <v>0</v>
      </c>
      <c r="R491" t="n">
        <v>0</v>
      </c>
      <c r="S491" t="n">
        <v>2</v>
      </c>
      <c r="T491" t="n">
        <v>4</v>
      </c>
      <c r="U491" t="n">
        <v>0</v>
      </c>
      <c r="V491" s="2" t="inlineStr">
        <is>
          <t>Svavelriska
Blåsippa</t>
        </is>
      </c>
      <c r="W491">
        <f>HYPERLINK("https://klasma.github.io/Logging_2180/artfynd/A 42261-2025 artfynd.xlsx", "A 42261-2025")</f>
        <v/>
      </c>
      <c r="X491">
        <f>HYPERLINK("https://klasma.github.io/Logging_2180/kartor/A 42261-2025 karta.png", "A 42261-2025")</f>
        <v/>
      </c>
      <c r="Y491">
        <f>HYPERLINK("https://klasma.github.io/Logging_2180/kartor_geotiff/A 42261-2025 georefererad karta.tif", "A 42261-2025")</f>
        <v/>
      </c>
      <c r="AA491">
        <f>HYPERLINK("https://klasma.github.io/Logging_2180/klagomål/A 42261-2025 FSC-klagomål.docx", "A 42261-2025")</f>
        <v/>
      </c>
      <c r="AB491">
        <f>HYPERLINK("https://klasma.github.io/Logging_2180/klagomålsmail/A 42261-2025 FSC-klagomål mail.docx", "A 42261-2025")</f>
        <v/>
      </c>
      <c r="AC491">
        <f>HYPERLINK("https://klasma.github.io/Logging_2180/tillsyn/A 42261-2025 tillsynsbegäran.docx", "A 42261-2025")</f>
        <v/>
      </c>
      <c r="AD491">
        <f>HYPERLINK("https://klasma.github.io/Logging_2180/tillsynsmail/A 42261-2025 tillsynsbegäran mail.docx", "A 42261-2025")</f>
        <v/>
      </c>
    </row>
    <row r="492" ht="15" customHeight="1">
      <c r="A492" t="inlineStr">
        <is>
          <t>A 3870-2026</t>
        </is>
      </c>
      <c r="B492" t="inlineStr">
        <is>
          <t>avverkningsanmälan</t>
        </is>
      </c>
      <c r="C492" t="inlineStr">
        <is>
          <t>Föryngringsavverkning</t>
        </is>
      </c>
      <c r="D492" s="1" t="n">
        <v>46043</v>
      </c>
      <c r="E492" s="1" t="n">
        <v>46326</v>
      </c>
      <c r="F492" t="inlineStr">
        <is>
          <t>GÄVLEBORGS LÄN</t>
        </is>
      </c>
      <c r="G492" t="inlineStr">
        <is>
          <t>HOFORS</t>
        </is>
      </c>
      <c r="H492" t="inlineStr">
        <is>
          <t>Sveaskog</t>
        </is>
      </c>
      <c r="I492" t="n">
        <v>0.9</v>
      </c>
      <c r="J492" t="n">
        <v>0</v>
      </c>
      <c r="K492" t="n">
        <v>1</v>
      </c>
      <c r="L492" t="n">
        <v>0</v>
      </c>
      <c r="M492" t="n">
        <v>0</v>
      </c>
      <c r="N492" t="n">
        <v>1</v>
      </c>
      <c r="O492" t="n">
        <v>0</v>
      </c>
      <c r="P492" t="n">
        <v>0</v>
      </c>
      <c r="Q492" t="n">
        <v>1</v>
      </c>
      <c r="R492" t="n">
        <v>1</v>
      </c>
      <c r="S492" t="n">
        <v>2</v>
      </c>
      <c r="T492" t="n">
        <v>2</v>
      </c>
      <c r="U492" t="n">
        <v>1</v>
      </c>
      <c r="V492" s="2" t="inlineStr">
        <is>
          <t>Skogsalm
Strutbräken</t>
        </is>
      </c>
      <c r="W492">
        <f>HYPERLINK("https://klasma.github.io/Logging_2104/artfynd/A 3870-2026 artfynd.xlsx", "A 3870-2026")</f>
        <v/>
      </c>
      <c r="X492">
        <f>HYPERLINK("https://klasma.github.io/Logging_2104/kartor/A 3870-2026 karta.png", "A 3870-2026")</f>
        <v/>
      </c>
      <c r="Y492">
        <f>HYPERLINK("https://klasma.github.io/Logging_2104/kartor_geotiff/A 3870-2026 georefererad karta.tif", "A 3870-2026")</f>
        <v/>
      </c>
      <c r="AA492">
        <f>HYPERLINK("https://klasma.github.io/Logging_2104/klagomål/A 3870-2026 FSC-klagomål.docx", "A 3870-2026")</f>
        <v/>
      </c>
      <c r="AB492">
        <f>HYPERLINK("https://klasma.github.io/Logging_2104/klagomålsmail/A 3870-2026 FSC-klagomål mail.docx", "A 3870-2026")</f>
        <v/>
      </c>
      <c r="AC492">
        <f>HYPERLINK("https://klasma.github.io/Logging_2104/tillsyn/A 3870-2026 tillsynsbegäran.docx", "A 3870-2026")</f>
        <v/>
      </c>
      <c r="AD492">
        <f>HYPERLINK("https://klasma.github.io/Logging_2104/tillsynsmail/A 3870-2026 tillsynsbegäran mail.docx", "A 3870-2026")</f>
        <v/>
      </c>
    </row>
    <row r="493" ht="15" customHeight="1">
      <c r="A493" t="inlineStr">
        <is>
          <t>A 42355-2025</t>
        </is>
      </c>
      <c r="B493" t="inlineStr">
        <is>
          <t>avverkningsanmälan</t>
        </is>
      </c>
      <c r="C493" t="inlineStr">
        <is>
          <t>Föryngringsavverkning</t>
        </is>
      </c>
      <c r="D493" s="1" t="n">
        <v>45904</v>
      </c>
      <c r="E493" s="1" t="n">
        <v>46326</v>
      </c>
      <c r="F493" t="inlineStr">
        <is>
          <t>GÄVLEBORGS LÄN</t>
        </is>
      </c>
      <c r="G493" t="inlineStr">
        <is>
          <t>HUDIKSVALL</t>
        </is>
      </c>
      <c r="I493" t="n">
        <v>1.3</v>
      </c>
      <c r="J493" t="n">
        <v>1</v>
      </c>
      <c r="K493" t="n">
        <v>0</v>
      </c>
      <c r="L493" t="n">
        <v>1</v>
      </c>
      <c r="M493" t="n">
        <v>1</v>
      </c>
      <c r="N493" t="n">
        <v>0</v>
      </c>
      <c r="O493" t="n">
        <v>0</v>
      </c>
      <c r="P493" t="n">
        <v>0</v>
      </c>
      <c r="Q493" t="n">
        <v>2</v>
      </c>
      <c r="R493" t="n">
        <v>1</v>
      </c>
      <c r="S493" t="n">
        <v>2</v>
      </c>
      <c r="T493" t="n">
        <v>2</v>
      </c>
      <c r="U493" t="n">
        <v>2</v>
      </c>
      <c r="V493" s="2" t="inlineStr">
        <is>
          <t>Knärot
Blå taggsvamp</t>
        </is>
      </c>
      <c r="W493">
        <f>HYPERLINK("https://klasma.github.io/Logging_2184/artfynd/A 42355-2025 artfynd.xlsx", "A 42355-2025")</f>
        <v/>
      </c>
      <c r="X493">
        <f>HYPERLINK("https://klasma.github.io/Logging_2184/kartor/A 42355-2025 karta.png", "A 42355-2025")</f>
        <v/>
      </c>
      <c r="Y493">
        <f>HYPERLINK("https://klasma.github.io/Logging_2184/kartor_geotiff/A 42355-2025 georefererad karta.tif", "A 42355-2025")</f>
        <v/>
      </c>
      <c r="Z493">
        <f>HYPERLINK("https://klasma.github.io/Logging_2184/knärot/A 42355-2025 karta knärot.png", "A 42355-2025")</f>
        <v/>
      </c>
      <c r="AA493">
        <f>HYPERLINK("https://klasma.github.io/Logging_2184/klagomål/A 42355-2025 FSC-klagomål.docx", "A 42355-2025")</f>
        <v/>
      </c>
      <c r="AB493">
        <f>HYPERLINK("https://klasma.github.io/Logging_2184/klagomålsmail/A 42355-2025 FSC-klagomål mail.docx", "A 42355-2025")</f>
        <v/>
      </c>
      <c r="AC493">
        <f>HYPERLINK("https://klasma.github.io/Logging_2184/tillsyn/A 42355-2025 tillsynsbegäran.docx", "A 42355-2025")</f>
        <v/>
      </c>
      <c r="AD493">
        <f>HYPERLINK("https://klasma.github.io/Logging_2184/tillsynsmail/A 42355-2025 tillsynsbegäran mail.docx", "A 42355-2025")</f>
        <v/>
      </c>
    </row>
    <row r="494" ht="15" customHeight="1">
      <c r="A494" t="inlineStr">
        <is>
          <t>A 42469-2025</t>
        </is>
      </c>
      <c r="B494" t="inlineStr">
        <is>
          <t>avverkningsanmälan</t>
        </is>
      </c>
      <c r="C494" t="inlineStr">
        <is>
          <t>Föryngringsavverkning</t>
        </is>
      </c>
      <c r="D494" s="1" t="n">
        <v>45905</v>
      </c>
      <c r="E494" s="1" t="n">
        <v>46326</v>
      </c>
      <c r="F494" t="inlineStr">
        <is>
          <t>GÄVLEBORGS LÄN</t>
        </is>
      </c>
      <c r="G494" t="inlineStr">
        <is>
          <t>SÖDERHAMN</t>
        </is>
      </c>
      <c r="I494" t="n">
        <v>3.8</v>
      </c>
      <c r="J494" t="n">
        <v>2</v>
      </c>
      <c r="K494" t="n">
        <v>0</v>
      </c>
      <c r="L494" t="n">
        <v>0</v>
      </c>
      <c r="M494" t="n">
        <v>0</v>
      </c>
      <c r="N494" t="n">
        <v>0</v>
      </c>
      <c r="O494" t="n">
        <v>0</v>
      </c>
      <c r="P494" t="n">
        <v>0</v>
      </c>
      <c r="Q494" t="n">
        <v>0</v>
      </c>
      <c r="R494" t="n">
        <v>0</v>
      </c>
      <c r="S494" t="n">
        <v>2</v>
      </c>
      <c r="T494" t="n">
        <v>2</v>
      </c>
      <c r="U494" t="n">
        <v>0</v>
      </c>
      <c r="V494" s="2" t="inlineStr">
        <is>
          <t>Spillkråka
Kungsfågel</t>
        </is>
      </c>
      <c r="W494">
        <f>HYPERLINK("https://klasma.github.io/Logging_2182/artfynd/A 42469-2025 artfynd.xlsx", "A 42469-2025")</f>
        <v/>
      </c>
      <c r="X494">
        <f>HYPERLINK("https://klasma.github.io/Logging_2182/kartor/A 42469-2025 karta.png", "A 42469-2025")</f>
        <v/>
      </c>
      <c r="Y494">
        <f>HYPERLINK("https://klasma.github.io/Logging_2182/kartor_geotiff/A 42469-2025 georefererad karta.tif", "A 42469-2025")</f>
        <v/>
      </c>
      <c r="AA494">
        <f>HYPERLINK("https://klasma.github.io/Logging_2182/klagomål/A 42469-2025 FSC-klagomål.docx", "A 42469-2025")</f>
        <v/>
      </c>
      <c r="AB494">
        <f>HYPERLINK("https://klasma.github.io/Logging_2182/klagomålsmail/A 42469-2025 FSC-klagomål mail.docx", "A 42469-2025")</f>
        <v/>
      </c>
      <c r="AC494">
        <f>HYPERLINK("https://klasma.github.io/Logging_2182/tillsyn/A 42469-2025 tillsynsbegäran.docx", "A 42469-2025")</f>
        <v/>
      </c>
      <c r="AD494">
        <f>HYPERLINK("https://klasma.github.io/Logging_2182/tillsynsmail/A 42469-2025 tillsynsbegäran mail.docx", "A 42469-2025")</f>
        <v/>
      </c>
      <c r="AE494">
        <f>HYPERLINK("https://klasma.github.io/Logging_2182/fåglar/A 42469-2025 prioriterade fågelarter.docx", "A 42469-2025")</f>
        <v/>
      </c>
    </row>
    <row r="495" ht="15" customHeight="1">
      <c r="A495" t="inlineStr">
        <is>
          <t>A 27011-2024</t>
        </is>
      </c>
      <c r="B495" t="inlineStr">
        <is>
          <t>avverkningsanmälan</t>
        </is>
      </c>
      <c r="C495" t="inlineStr">
        <is>
          <t>Föryngringsavverkning</t>
        </is>
      </c>
      <c r="D495" s="1" t="n">
        <v>45471</v>
      </c>
      <c r="E495" s="1" t="n">
        <v>46326</v>
      </c>
      <c r="F495" t="inlineStr">
        <is>
          <t>GÄVLEBORGS LÄN</t>
        </is>
      </c>
      <c r="G495" t="inlineStr">
        <is>
          <t>BOLLNÄS</t>
        </is>
      </c>
      <c r="H495" t="inlineStr">
        <is>
          <t>Sveaskog</t>
        </is>
      </c>
      <c r="I495" t="n">
        <v>4.1</v>
      </c>
      <c r="J495" t="n">
        <v>2</v>
      </c>
      <c r="K495" t="n">
        <v>1</v>
      </c>
      <c r="L495" t="n">
        <v>0</v>
      </c>
      <c r="M495" t="n">
        <v>1</v>
      </c>
      <c r="N495" t="n">
        <v>0</v>
      </c>
      <c r="O495" t="n">
        <v>0</v>
      </c>
      <c r="P495" t="n">
        <v>0</v>
      </c>
      <c r="Q495" t="n">
        <v>1</v>
      </c>
      <c r="R495" t="n">
        <v>1</v>
      </c>
      <c r="S495" t="n">
        <v>2</v>
      </c>
      <c r="T495" t="n">
        <v>2</v>
      </c>
      <c r="U495" t="n">
        <v>0</v>
      </c>
      <c r="V495" s="2" t="inlineStr">
        <is>
          <t>Knärot
Korallrot</t>
        </is>
      </c>
      <c r="W495">
        <f>HYPERLINK("https://klasma.github.io/Logging_2183/artfynd/A 27011-2024 artfynd.xlsx", "A 27011-2024")</f>
        <v/>
      </c>
      <c r="X495">
        <f>HYPERLINK("https://klasma.github.io/Logging_2183/kartor/A 27011-2024 karta.png", "A 27011-2024")</f>
        <v/>
      </c>
      <c r="Y495">
        <f>HYPERLINK("https://klasma.github.io/Logging_2183/kartor_geotiff/A 27011-2024 georefererad karta.tif", "A 27011-2024")</f>
        <v/>
      </c>
      <c r="Z495">
        <f>HYPERLINK("https://klasma.github.io/Logging_2183/knärot/A 27011-2024 karta knärot.png", "A 27011-2024")</f>
        <v/>
      </c>
      <c r="AA495">
        <f>HYPERLINK("https://klasma.github.io/Logging_2183/klagomål/A 27011-2024 FSC-klagomål.docx", "A 27011-2024")</f>
        <v/>
      </c>
      <c r="AB495">
        <f>HYPERLINK("https://klasma.github.io/Logging_2183/klagomålsmail/A 27011-2024 FSC-klagomål mail.docx", "A 27011-2024")</f>
        <v/>
      </c>
      <c r="AC495">
        <f>HYPERLINK("https://klasma.github.io/Logging_2183/tillsyn/A 27011-2024 tillsynsbegäran.docx", "A 27011-2024")</f>
        <v/>
      </c>
      <c r="AD495">
        <f>HYPERLINK("https://klasma.github.io/Logging_2183/tillsynsmail/A 27011-2024 tillsynsbegäran mail.docx", "A 27011-2024")</f>
        <v/>
      </c>
    </row>
    <row r="496" ht="15" customHeight="1">
      <c r="A496" t="inlineStr">
        <is>
          <t>A 31740-2025</t>
        </is>
      </c>
      <c r="B496" t="inlineStr">
        <is>
          <t>avverkningsanmälan</t>
        </is>
      </c>
      <c r="C496" t="inlineStr">
        <is>
          <t>Föryngringsavverkning</t>
        </is>
      </c>
      <c r="D496" s="1" t="n">
        <v>45834</v>
      </c>
      <c r="E496" s="1" t="n">
        <v>46326</v>
      </c>
      <c r="F496" t="inlineStr">
        <is>
          <t>GÄVLEBORGS LÄN</t>
        </is>
      </c>
      <c r="G496" t="inlineStr">
        <is>
          <t>LJUSDAL</t>
        </is>
      </c>
      <c r="H496" t="inlineStr">
        <is>
          <t>Allmännings- och besparingsskogar</t>
        </is>
      </c>
      <c r="I496" t="n">
        <v>7.3</v>
      </c>
      <c r="J496" t="n">
        <v>0</v>
      </c>
      <c r="K496" t="n">
        <v>0</v>
      </c>
      <c r="L496" t="n">
        <v>1</v>
      </c>
      <c r="M496" t="n">
        <v>1</v>
      </c>
      <c r="N496" t="n">
        <v>0</v>
      </c>
      <c r="O496" t="n">
        <v>0</v>
      </c>
      <c r="P496" t="n">
        <v>0</v>
      </c>
      <c r="Q496" t="n">
        <v>2</v>
      </c>
      <c r="R496" t="n">
        <v>1</v>
      </c>
      <c r="S496" t="n">
        <v>2</v>
      </c>
      <c r="T496" t="n">
        <v>3</v>
      </c>
      <c r="U496" t="n">
        <v>3</v>
      </c>
      <c r="V496" s="2" t="inlineStr">
        <is>
          <t>Garnlav
Vedskivlav</t>
        </is>
      </c>
      <c r="W496">
        <f>HYPERLINK("https://klasma.github.io/Logging_2161/artfynd/A 31740-2025 artfynd.xlsx", "A 31740-2025")</f>
        <v/>
      </c>
      <c r="X496">
        <f>HYPERLINK("https://klasma.github.io/Logging_2161/kartor/A 31740-2025 karta.png", "A 31740-2025")</f>
        <v/>
      </c>
      <c r="Y496">
        <f>HYPERLINK("https://klasma.github.io/Logging_2161/kartor_geotiff/A 31740-2025 georefererad karta.tif", "A 31740-2025")</f>
        <v/>
      </c>
      <c r="AA496">
        <f>HYPERLINK("https://klasma.github.io/Logging_2161/klagomål/A 31740-2025 FSC-klagomål.docx", "A 31740-2025")</f>
        <v/>
      </c>
      <c r="AB496">
        <f>HYPERLINK("https://klasma.github.io/Logging_2161/klagomålsmail/A 31740-2025 FSC-klagomål mail.docx", "A 31740-2025")</f>
        <v/>
      </c>
      <c r="AC496">
        <f>HYPERLINK("https://klasma.github.io/Logging_2161/tillsyn/A 31740-2025 tillsynsbegäran.docx", "A 31740-2025")</f>
        <v/>
      </c>
      <c r="AD496">
        <f>HYPERLINK("https://klasma.github.io/Logging_2161/tillsynsmail/A 31740-2025 tillsynsbegäran mail.docx", "A 31740-2025")</f>
        <v/>
      </c>
    </row>
    <row r="497" ht="15" customHeight="1">
      <c r="A497" t="inlineStr">
        <is>
          <t>A 43163-2025</t>
        </is>
      </c>
      <c r="B497" t="inlineStr">
        <is>
          <t>avverkningsanmälan</t>
        </is>
      </c>
      <c r="C497" t="inlineStr">
        <is>
          <t>Föryngringsavverkning</t>
        </is>
      </c>
      <c r="D497" s="1" t="n">
        <v>45910</v>
      </c>
      <c r="E497" s="1" t="n">
        <v>46326</v>
      </c>
      <c r="F497" t="inlineStr">
        <is>
          <t>GÄVLEBORGS LÄN</t>
        </is>
      </c>
      <c r="G497" t="inlineStr">
        <is>
          <t>HUDIKSVALL</t>
        </is>
      </c>
      <c r="H497" t="inlineStr">
        <is>
          <t>Holmen skog AB</t>
        </is>
      </c>
      <c r="I497" t="n">
        <v>2.7</v>
      </c>
      <c r="J497" t="n">
        <v>0</v>
      </c>
      <c r="K497" t="n">
        <v>1</v>
      </c>
      <c r="L497" t="n">
        <v>0</v>
      </c>
      <c r="M497" t="n">
        <v>0</v>
      </c>
      <c r="N497" t="n">
        <v>0</v>
      </c>
      <c r="O497" t="n">
        <v>0</v>
      </c>
      <c r="P497" t="n">
        <v>0</v>
      </c>
      <c r="Q497" t="n">
        <v>0</v>
      </c>
      <c r="R497" t="n">
        <v>0</v>
      </c>
      <c r="S497" t="n">
        <v>2</v>
      </c>
      <c r="T497" t="n">
        <v>3</v>
      </c>
      <c r="U497" t="n">
        <v>3</v>
      </c>
      <c r="V497" s="2" t="inlineStr">
        <is>
          <t>Skogshakmossa
Ormbär</t>
        </is>
      </c>
      <c r="W497">
        <f>HYPERLINK("https://klasma.github.io/Logging_2184/artfynd/A 43163-2025 artfynd.xlsx", "A 43163-2025")</f>
        <v/>
      </c>
      <c r="X497">
        <f>HYPERLINK("https://klasma.github.io/Logging_2184/kartor/A 43163-2025 karta.png", "A 43163-2025")</f>
        <v/>
      </c>
      <c r="Y497">
        <f>HYPERLINK("https://klasma.github.io/Logging_2184/kartor_geotiff/A 43163-2025 georefererad karta.tif", "A 43163-2025")</f>
        <v/>
      </c>
      <c r="AA497">
        <f>HYPERLINK("https://klasma.github.io/Logging_2184/klagomål/A 43163-2025 FSC-klagomål.docx", "A 43163-2025")</f>
        <v/>
      </c>
      <c r="AB497">
        <f>HYPERLINK("https://klasma.github.io/Logging_2184/klagomålsmail/A 43163-2025 FSC-klagomål mail.docx", "A 43163-2025")</f>
        <v/>
      </c>
      <c r="AC497">
        <f>HYPERLINK("https://klasma.github.io/Logging_2184/tillsyn/A 43163-2025 tillsynsbegäran.docx", "A 43163-2025")</f>
        <v/>
      </c>
      <c r="AD497">
        <f>HYPERLINK("https://klasma.github.io/Logging_2184/tillsynsmail/A 43163-2025 tillsynsbegäran mail.docx", "A 43163-2025")</f>
        <v/>
      </c>
    </row>
    <row r="498" ht="15" customHeight="1">
      <c r="A498" t="inlineStr">
        <is>
          <t>A 58239-2022</t>
        </is>
      </c>
      <c r="B498" t="inlineStr">
        <is>
          <t>avverkningsanmälan</t>
        </is>
      </c>
      <c r="C498" t="inlineStr">
        <is>
          <t>Föryngringsavverkning</t>
        </is>
      </c>
      <c r="D498" s="1" t="n">
        <v>44901</v>
      </c>
      <c r="E498" s="1" t="n">
        <v>46326</v>
      </c>
      <c r="F498" t="inlineStr">
        <is>
          <t>GÄVLEBORGS LÄN</t>
        </is>
      </c>
      <c r="G498" t="inlineStr">
        <is>
          <t>LJUSDAL</t>
        </is>
      </c>
      <c r="I498" t="n">
        <v>0.5</v>
      </c>
      <c r="J498" t="n">
        <v>1</v>
      </c>
      <c r="K498" t="n">
        <v>0</v>
      </c>
      <c r="L498" t="n">
        <v>1</v>
      </c>
      <c r="M498" t="n">
        <v>0</v>
      </c>
      <c r="N498" t="n">
        <v>0</v>
      </c>
      <c r="O498" t="n">
        <v>0</v>
      </c>
      <c r="P498" t="n">
        <v>0</v>
      </c>
      <c r="Q498" t="n">
        <v>1</v>
      </c>
      <c r="R498" t="n">
        <v>0</v>
      </c>
      <c r="S498" t="n">
        <v>2</v>
      </c>
      <c r="T498" t="n">
        <v>2</v>
      </c>
      <c r="U498" t="n">
        <v>2</v>
      </c>
      <c r="V498" s="2" t="inlineStr">
        <is>
          <t>Älg
Blåsippa</t>
        </is>
      </c>
      <c r="W498">
        <f>HYPERLINK("https://klasma.github.io/Logging_2161/artfynd/A 58239-2022 artfynd.xlsx", "A 58239-2022")</f>
        <v/>
      </c>
      <c r="X498">
        <f>HYPERLINK("https://klasma.github.io/Logging_2161/kartor/A 58239-2022 karta.png", "A 58239-2022")</f>
        <v/>
      </c>
      <c r="Y498">
        <f>HYPERLINK("https://klasma.github.io/Logging_2161/kartor_geotiff/A 58239-2022 georefererad karta.tif", "A 58239-2022")</f>
        <v/>
      </c>
      <c r="AA498">
        <f>HYPERLINK("https://klasma.github.io/Logging_2161/klagomål/A 58239-2022 FSC-klagomål.docx", "A 58239-2022")</f>
        <v/>
      </c>
      <c r="AB498">
        <f>HYPERLINK("https://klasma.github.io/Logging_2161/klagomålsmail/A 58239-2022 FSC-klagomål mail.docx", "A 58239-2022")</f>
        <v/>
      </c>
      <c r="AC498">
        <f>HYPERLINK("https://klasma.github.io/Logging_2161/tillsyn/A 58239-2022 tillsynsbegäran.docx", "A 58239-2022")</f>
        <v/>
      </c>
      <c r="AD498">
        <f>HYPERLINK("https://klasma.github.io/Logging_2161/tillsynsmail/A 58239-2022 tillsynsbegäran mail.docx", "A 58239-2022")</f>
        <v/>
      </c>
    </row>
    <row r="499" ht="15" customHeight="1">
      <c r="A499" t="inlineStr">
        <is>
          <t>A 43850-2025</t>
        </is>
      </c>
      <c r="B499" t="inlineStr">
        <is>
          <t>avverkningsanmälan</t>
        </is>
      </c>
      <c r="C499" t="inlineStr">
        <is>
          <t>Föryngringsavverkning</t>
        </is>
      </c>
      <c r="D499" s="1" t="n">
        <v>45912</v>
      </c>
      <c r="E499" s="1" t="n">
        <v>46326</v>
      </c>
      <c r="F499" t="inlineStr">
        <is>
          <t>GÄVLEBORGS LÄN</t>
        </is>
      </c>
      <c r="G499" t="inlineStr">
        <is>
          <t>LJUSDAL</t>
        </is>
      </c>
      <c r="H499" t="inlineStr">
        <is>
          <t>Sveaskog</t>
        </is>
      </c>
      <c r="I499" t="n">
        <v>1.5</v>
      </c>
      <c r="J499" t="n">
        <v>0</v>
      </c>
      <c r="K499" t="n">
        <v>0</v>
      </c>
      <c r="L499" t="n">
        <v>2</v>
      </c>
      <c r="M499" t="n">
        <v>0</v>
      </c>
      <c r="N499" t="n">
        <v>0</v>
      </c>
      <c r="O499" t="n">
        <v>0</v>
      </c>
      <c r="P499" t="n">
        <v>0</v>
      </c>
      <c r="Q499" t="n">
        <v>2</v>
      </c>
      <c r="R499" t="n">
        <v>0</v>
      </c>
      <c r="S499" t="n">
        <v>2</v>
      </c>
      <c r="T499" t="n">
        <v>2</v>
      </c>
      <c r="U499" t="n">
        <v>0</v>
      </c>
      <c r="V499" s="2" t="inlineStr">
        <is>
          <t>Dropptaggsvamp
Kolflarnlav</t>
        </is>
      </c>
      <c r="W499">
        <f>HYPERLINK("https://klasma.github.io/Logging_2161/artfynd/A 43850-2025 artfynd.xlsx", "A 43850-2025")</f>
        <v/>
      </c>
      <c r="X499">
        <f>HYPERLINK("https://klasma.github.io/Logging_2161/kartor/A 43850-2025 karta.png", "A 43850-2025")</f>
        <v/>
      </c>
      <c r="Y499">
        <f>HYPERLINK("https://klasma.github.io/Logging_2161/kartor_geotiff/A 43850-2025 georefererad karta.tif", "A 43850-2025")</f>
        <v/>
      </c>
      <c r="AA499">
        <f>HYPERLINK("https://klasma.github.io/Logging_2161/klagomål/A 43850-2025 FSC-klagomål.docx", "A 43850-2025")</f>
        <v/>
      </c>
      <c r="AB499">
        <f>HYPERLINK("https://klasma.github.io/Logging_2161/klagomålsmail/A 43850-2025 FSC-klagomål mail.docx", "A 43850-2025")</f>
        <v/>
      </c>
      <c r="AC499">
        <f>HYPERLINK("https://klasma.github.io/Logging_2161/tillsyn/A 43850-2025 tillsynsbegäran.docx", "A 43850-2025")</f>
        <v/>
      </c>
      <c r="AD499">
        <f>HYPERLINK("https://klasma.github.io/Logging_2161/tillsynsmail/A 43850-2025 tillsynsbegäran mail.docx", "A 43850-2025")</f>
        <v/>
      </c>
    </row>
    <row r="500" ht="15" customHeight="1">
      <c r="A500" t="inlineStr">
        <is>
          <t>A 54108-2022</t>
        </is>
      </c>
      <c r="B500" t="inlineStr">
        <is>
          <t>avverkningsanmälan</t>
        </is>
      </c>
      <c r="C500" t="inlineStr">
        <is>
          <t>Föryngringsavverkning</t>
        </is>
      </c>
      <c r="D500" s="1" t="n">
        <v>44881</v>
      </c>
      <c r="E500" s="1" t="n">
        <v>46326</v>
      </c>
      <c r="F500" t="inlineStr">
        <is>
          <t>GÄVLEBORGS LÄN</t>
        </is>
      </c>
      <c r="G500" t="inlineStr">
        <is>
          <t>LJUSDAL</t>
        </is>
      </c>
      <c r="H500" t="inlineStr">
        <is>
          <t>Sveaskog</t>
        </is>
      </c>
      <c r="I500" t="n">
        <v>7.9</v>
      </c>
      <c r="J500" t="n">
        <v>0</v>
      </c>
      <c r="K500" t="n">
        <v>0</v>
      </c>
      <c r="L500" t="n">
        <v>2</v>
      </c>
      <c r="M500" t="n">
        <v>0</v>
      </c>
      <c r="N500" t="n">
        <v>0</v>
      </c>
      <c r="O500" t="n">
        <v>0</v>
      </c>
      <c r="P500" t="n">
        <v>0</v>
      </c>
      <c r="Q500" t="n">
        <v>2</v>
      </c>
      <c r="R500" t="n">
        <v>0</v>
      </c>
      <c r="S500" t="n">
        <v>2</v>
      </c>
      <c r="T500" t="n">
        <v>2</v>
      </c>
      <c r="U500" t="n">
        <v>2</v>
      </c>
      <c r="V500" s="2" t="inlineStr">
        <is>
          <t>Dropptaggsvamp
Kolflarnlav</t>
        </is>
      </c>
      <c r="W500">
        <f>HYPERLINK("https://klasma.github.io/Logging_2161/artfynd/A 54108-2022 artfynd.xlsx", "A 54108-2022")</f>
        <v/>
      </c>
      <c r="X500">
        <f>HYPERLINK("https://klasma.github.io/Logging_2161/kartor/A 54108-2022 karta.png", "A 54108-2022")</f>
        <v/>
      </c>
      <c r="Y500">
        <f>HYPERLINK("https://klasma.github.io/Logging_2161/kartor_geotiff/A 54108-2022 georefererad karta.tif", "A 54108-2022")</f>
        <v/>
      </c>
      <c r="AA500">
        <f>HYPERLINK("https://klasma.github.io/Logging_2161/klagomål/A 54108-2022 FSC-klagomål.docx", "A 54108-2022")</f>
        <v/>
      </c>
      <c r="AB500">
        <f>HYPERLINK("https://klasma.github.io/Logging_2161/klagomålsmail/A 54108-2022 FSC-klagomål mail.docx", "A 54108-2022")</f>
        <v/>
      </c>
      <c r="AC500">
        <f>HYPERLINK("https://klasma.github.io/Logging_2161/tillsyn/A 54108-2022 tillsynsbegäran.docx", "A 54108-2022")</f>
        <v/>
      </c>
      <c r="AD500">
        <f>HYPERLINK("https://klasma.github.io/Logging_2161/tillsynsmail/A 54108-2022 tillsynsbegäran mail.docx", "A 54108-2022")</f>
        <v/>
      </c>
    </row>
    <row r="501" ht="15" customHeight="1">
      <c r="A501" t="inlineStr">
        <is>
          <t>A 33332-2025</t>
        </is>
      </c>
      <c r="B501" t="inlineStr">
        <is>
          <t>avverkningsanmälan</t>
        </is>
      </c>
      <c r="C501" t="inlineStr">
        <is>
          <t>Föryngringsavverkning</t>
        </is>
      </c>
      <c r="D501" s="1" t="n">
        <v>45841</v>
      </c>
      <c r="E501" s="1" t="n">
        <v>46326</v>
      </c>
      <c r="F501" t="inlineStr">
        <is>
          <t>GÄVLEBORGS LÄN</t>
        </is>
      </c>
      <c r="G501" t="inlineStr">
        <is>
          <t>LJUSDAL</t>
        </is>
      </c>
      <c r="H501" t="inlineStr">
        <is>
          <t>Sveaskog</t>
        </is>
      </c>
      <c r="I501" t="n">
        <v>22.3</v>
      </c>
      <c r="J501" t="n">
        <v>1</v>
      </c>
      <c r="K501" t="n">
        <v>0</v>
      </c>
      <c r="L501" t="n">
        <v>1</v>
      </c>
      <c r="M501" t="n">
        <v>0</v>
      </c>
      <c r="N501" t="n">
        <v>0</v>
      </c>
      <c r="O501" t="n">
        <v>0</v>
      </c>
      <c r="P501" t="n">
        <v>0</v>
      </c>
      <c r="Q501" t="n">
        <v>1</v>
      </c>
      <c r="R501" t="n">
        <v>0</v>
      </c>
      <c r="S501" t="n">
        <v>2</v>
      </c>
      <c r="T501" t="n">
        <v>3</v>
      </c>
      <c r="U501" t="n">
        <v>3</v>
      </c>
      <c r="V501" s="2" t="inlineStr">
        <is>
          <t>Lunglav
Fläcknycklar</t>
        </is>
      </c>
      <c r="W501">
        <f>HYPERLINK("https://klasma.github.io/Logging_2161/artfynd/A 33332-2025 artfynd.xlsx", "A 33332-2025")</f>
        <v/>
      </c>
      <c r="X501">
        <f>HYPERLINK("https://klasma.github.io/Logging_2161/kartor/A 33332-2025 karta.png", "A 33332-2025")</f>
        <v/>
      </c>
      <c r="Y501">
        <f>HYPERLINK("https://klasma.github.io/Logging_2161/kartor_geotiff/A 33332-2025 georefererad karta.tif", "A 33332-2025")</f>
        <v/>
      </c>
      <c r="AA501">
        <f>HYPERLINK("https://klasma.github.io/Logging_2161/klagomål/A 33332-2025 FSC-klagomål.docx", "A 33332-2025")</f>
        <v/>
      </c>
      <c r="AB501">
        <f>HYPERLINK("https://klasma.github.io/Logging_2161/klagomålsmail/A 33332-2025 FSC-klagomål mail.docx", "A 33332-2025")</f>
        <v/>
      </c>
      <c r="AC501">
        <f>HYPERLINK("https://klasma.github.io/Logging_2161/tillsyn/A 33332-2025 tillsynsbegäran.docx", "A 33332-2025")</f>
        <v/>
      </c>
      <c r="AD501">
        <f>HYPERLINK("https://klasma.github.io/Logging_2161/tillsynsmail/A 33332-2025 tillsynsbegäran mail.docx", "A 33332-2025")</f>
        <v/>
      </c>
    </row>
    <row r="502" ht="15" customHeight="1">
      <c r="A502" t="inlineStr">
        <is>
          <t>A 4180-2026</t>
        </is>
      </c>
      <c r="B502" t="inlineStr">
        <is>
          <t>avverkningsanmälan</t>
        </is>
      </c>
      <c r="C502" t="inlineStr">
        <is>
          <t>Föryngringsavverkning</t>
        </is>
      </c>
      <c r="D502" s="1" t="n">
        <v>46044</v>
      </c>
      <c r="E502" s="1" t="n">
        <v>46326</v>
      </c>
      <c r="F502" t="inlineStr">
        <is>
          <t>GÄVLEBORGS LÄN</t>
        </is>
      </c>
      <c r="G502" t="inlineStr">
        <is>
          <t>OCKELBO</t>
        </is>
      </c>
      <c r="I502" t="n">
        <v>15.9</v>
      </c>
      <c r="J502" t="n">
        <v>2</v>
      </c>
      <c r="K502" t="n">
        <v>0</v>
      </c>
      <c r="L502" t="n">
        <v>0</v>
      </c>
      <c r="M502" t="n">
        <v>0</v>
      </c>
      <c r="N502" t="n">
        <v>0</v>
      </c>
      <c r="O502" t="n">
        <v>0</v>
      </c>
      <c r="P502" t="n">
        <v>0</v>
      </c>
      <c r="Q502" t="n">
        <v>0</v>
      </c>
      <c r="R502" t="n">
        <v>0</v>
      </c>
      <c r="S502" t="n">
        <v>2</v>
      </c>
      <c r="T502" t="n">
        <v>2</v>
      </c>
      <c r="U502" t="n">
        <v>0</v>
      </c>
      <c r="V502" s="2" t="inlineStr">
        <is>
          <t>Tjäder
Revlummer</t>
        </is>
      </c>
      <c r="W502">
        <f>HYPERLINK("https://klasma.github.io/Logging_2101/artfynd/A 4180-2026 artfynd.xlsx", "A 4180-2026")</f>
        <v/>
      </c>
      <c r="X502">
        <f>HYPERLINK("https://klasma.github.io/Logging_2101/kartor/A 4180-2026 karta.png", "A 4180-2026")</f>
        <v/>
      </c>
      <c r="Y502">
        <f>HYPERLINK("https://klasma.github.io/Logging_2101/kartor_geotiff/A 4180-2026 georefererad karta.tif", "A 4180-2026")</f>
        <v/>
      </c>
      <c r="AA502">
        <f>HYPERLINK("https://klasma.github.io/Logging_2101/klagomål/A 4180-2026 FSC-klagomål.docx", "A 4180-2026")</f>
        <v/>
      </c>
      <c r="AB502">
        <f>HYPERLINK("https://klasma.github.io/Logging_2101/klagomålsmail/A 4180-2026 FSC-klagomål mail.docx", "A 4180-2026")</f>
        <v/>
      </c>
      <c r="AC502">
        <f>HYPERLINK("https://klasma.github.io/Logging_2101/tillsyn/A 4180-2026 tillsynsbegäran.docx", "A 4180-2026")</f>
        <v/>
      </c>
      <c r="AD502">
        <f>HYPERLINK("https://klasma.github.io/Logging_2101/tillsynsmail/A 4180-2026 tillsynsbegäran mail.docx", "A 4180-2026")</f>
        <v/>
      </c>
      <c r="AE502">
        <f>HYPERLINK("https://klasma.github.io/Logging_2101/fåglar/A 4180-2026 prioriterade fågelarter.docx", "A 4180-2026")</f>
        <v/>
      </c>
    </row>
    <row r="503" ht="15" customHeight="1">
      <c r="A503" t="inlineStr">
        <is>
          <t>A 46311-2025</t>
        </is>
      </c>
      <c r="B503" t="inlineStr">
        <is>
          <t>avverkningsanmälan</t>
        </is>
      </c>
      <c r="C503" t="inlineStr">
        <is>
          <t>Föryngringsavverkning</t>
        </is>
      </c>
      <c r="D503" s="1" t="n">
        <v>45925</v>
      </c>
      <c r="E503" s="1" t="n">
        <v>46326</v>
      </c>
      <c r="F503" t="inlineStr">
        <is>
          <t>GÄVLEBORGS LÄN</t>
        </is>
      </c>
      <c r="G503" t="inlineStr">
        <is>
          <t>LJUSDAL</t>
        </is>
      </c>
      <c r="H503" t="inlineStr">
        <is>
          <t>Sveaskog</t>
        </is>
      </c>
      <c r="I503" t="n">
        <v>2</v>
      </c>
      <c r="J503" t="n">
        <v>0</v>
      </c>
      <c r="K503" t="n">
        <v>0</v>
      </c>
      <c r="L503" t="n">
        <v>1</v>
      </c>
      <c r="M503" t="n">
        <v>1</v>
      </c>
      <c r="N503" t="n">
        <v>0</v>
      </c>
      <c r="O503" t="n">
        <v>0</v>
      </c>
      <c r="P503" t="n">
        <v>0</v>
      </c>
      <c r="Q503" t="n">
        <v>2</v>
      </c>
      <c r="R503" t="n">
        <v>1</v>
      </c>
      <c r="S503" t="n">
        <v>2</v>
      </c>
      <c r="T503" t="n">
        <v>3</v>
      </c>
      <c r="U503" t="n">
        <v>0</v>
      </c>
      <c r="V503" s="2" t="inlineStr">
        <is>
          <t>Garnlav
Kolflarnlav</t>
        </is>
      </c>
      <c r="W503">
        <f>HYPERLINK("https://klasma.github.io/Logging_2161/artfynd/A 46311-2025 artfynd.xlsx", "A 46311-2025")</f>
        <v/>
      </c>
      <c r="X503">
        <f>HYPERLINK("https://klasma.github.io/Logging_2161/kartor/A 46311-2025 karta.png", "A 46311-2025")</f>
        <v/>
      </c>
      <c r="Y503">
        <f>HYPERLINK("https://klasma.github.io/Logging_2161/kartor_geotiff/A 46311-2025 georefererad karta.tif", "A 46311-2025")</f>
        <v/>
      </c>
      <c r="AA503">
        <f>HYPERLINK("https://klasma.github.io/Logging_2161/klagomål/A 46311-2025 FSC-klagomål.docx", "A 46311-2025")</f>
        <v/>
      </c>
      <c r="AB503">
        <f>HYPERLINK("https://klasma.github.io/Logging_2161/klagomålsmail/A 46311-2025 FSC-klagomål mail.docx", "A 46311-2025")</f>
        <v/>
      </c>
      <c r="AC503">
        <f>HYPERLINK("https://klasma.github.io/Logging_2161/tillsyn/A 46311-2025 tillsynsbegäran.docx", "A 46311-2025")</f>
        <v/>
      </c>
      <c r="AD503">
        <f>HYPERLINK("https://klasma.github.io/Logging_2161/tillsynsmail/A 46311-2025 tillsynsbegäran mail.docx", "A 46311-2025")</f>
        <v/>
      </c>
    </row>
    <row r="504" ht="15" customHeight="1">
      <c r="A504" t="inlineStr">
        <is>
          <t>A 35523-2022</t>
        </is>
      </c>
      <c r="B504" t="inlineStr">
        <is>
          <t>avverkningsanmälan</t>
        </is>
      </c>
      <c r="C504" t="inlineStr">
        <is>
          <t>Föryngringsavverkning</t>
        </is>
      </c>
      <c r="D504" s="1" t="n">
        <v>44799</v>
      </c>
      <c r="E504" s="1" t="n">
        <v>46326</v>
      </c>
      <c r="F504" t="inlineStr">
        <is>
          <t>GÄVLEBORGS LÄN</t>
        </is>
      </c>
      <c r="G504" t="inlineStr">
        <is>
          <t>SANDVIKEN</t>
        </is>
      </c>
      <c r="I504" t="n">
        <v>2.1</v>
      </c>
      <c r="J504" t="n">
        <v>2</v>
      </c>
      <c r="K504" t="n">
        <v>0</v>
      </c>
      <c r="L504" t="n">
        <v>0</v>
      </c>
      <c r="M504" t="n">
        <v>1</v>
      </c>
      <c r="N504" t="n">
        <v>0</v>
      </c>
      <c r="O504" t="n">
        <v>0</v>
      </c>
      <c r="P504" t="n">
        <v>0</v>
      </c>
      <c r="Q504" t="n">
        <v>1</v>
      </c>
      <c r="R504" t="n">
        <v>1</v>
      </c>
      <c r="S504" t="n">
        <v>2</v>
      </c>
      <c r="T504" t="n">
        <v>2</v>
      </c>
      <c r="U504" t="n">
        <v>2</v>
      </c>
      <c r="V504" s="2" t="inlineStr">
        <is>
          <t>Knärot
Nattviol</t>
        </is>
      </c>
      <c r="W504">
        <f>HYPERLINK("https://klasma.github.io/Logging_2181/artfynd/A 35523-2022 artfynd.xlsx", "A 35523-2022")</f>
        <v/>
      </c>
      <c r="X504">
        <f>HYPERLINK("https://klasma.github.io/Logging_2181/kartor/A 35523-2022 karta.png", "A 35523-2022")</f>
        <v/>
      </c>
      <c r="Y504">
        <f>HYPERLINK("https://klasma.github.io/Logging_2181/kartor_geotiff/A 35523-2022 georefererad karta.tif", "A 35523-2022")</f>
        <v/>
      </c>
      <c r="Z504">
        <f>HYPERLINK("https://klasma.github.io/Logging_2181/knärot/A 35523-2022 karta knärot.png", "A 35523-2022")</f>
        <v/>
      </c>
      <c r="AA504">
        <f>HYPERLINK("https://klasma.github.io/Logging_2181/klagomål/A 35523-2022 FSC-klagomål.docx", "A 35523-2022")</f>
        <v/>
      </c>
      <c r="AB504">
        <f>HYPERLINK("https://klasma.github.io/Logging_2181/klagomålsmail/A 35523-2022 FSC-klagomål mail.docx", "A 35523-2022")</f>
        <v/>
      </c>
      <c r="AC504">
        <f>HYPERLINK("https://klasma.github.io/Logging_2181/tillsyn/A 35523-2022 tillsynsbegäran.docx", "A 35523-2022")</f>
        <v/>
      </c>
      <c r="AD504">
        <f>HYPERLINK("https://klasma.github.io/Logging_2181/tillsynsmail/A 35523-2022 tillsynsbegäran mail.docx", "A 35523-2022")</f>
        <v/>
      </c>
    </row>
    <row r="505" ht="15" customHeight="1">
      <c r="A505" t="inlineStr">
        <is>
          <t>A 40393-2025</t>
        </is>
      </c>
      <c r="B505" t="inlineStr">
        <is>
          <t>avverkningsanmälan</t>
        </is>
      </c>
      <c r="C505" t="inlineStr">
        <is>
          <t>Avverkning för att bevara och utveckla /försöksver</t>
        </is>
      </c>
      <c r="D505" s="1" t="n">
        <v>45895</v>
      </c>
      <c r="E505" s="1" t="n">
        <v>46326</v>
      </c>
      <c r="F505" t="inlineStr">
        <is>
          <t>GÄVLEBORGS LÄN</t>
        </is>
      </c>
      <c r="G505" t="inlineStr">
        <is>
          <t>HOFORS</t>
        </is>
      </c>
      <c r="H505" t="inlineStr">
        <is>
          <t>Sveaskog</t>
        </is>
      </c>
      <c r="I505" t="n">
        <v>2.9</v>
      </c>
      <c r="J505" t="n">
        <v>1</v>
      </c>
      <c r="K505" t="n">
        <v>0</v>
      </c>
      <c r="L505" t="n">
        <v>0</v>
      </c>
      <c r="M505" t="n">
        <v>0</v>
      </c>
      <c r="N505" t="n">
        <v>0</v>
      </c>
      <c r="O505" t="n">
        <v>0</v>
      </c>
      <c r="P505" t="n">
        <v>0</v>
      </c>
      <c r="Q505" t="n">
        <v>0</v>
      </c>
      <c r="R505" t="n">
        <v>0</v>
      </c>
      <c r="S505" t="n">
        <v>2</v>
      </c>
      <c r="T505" t="n">
        <v>2</v>
      </c>
      <c r="U505" t="n">
        <v>2</v>
      </c>
      <c r="V505" s="2" t="inlineStr">
        <is>
          <t>Svarta vinbär
Huggorm</t>
        </is>
      </c>
      <c r="W505">
        <f>HYPERLINK("https://klasma.github.io/Logging_2104/artfynd/A 40393-2025 artfynd.xlsx", "A 40393-2025")</f>
        <v/>
      </c>
      <c r="X505">
        <f>HYPERLINK("https://klasma.github.io/Logging_2104/kartor/A 40393-2025 karta.png", "A 40393-2025")</f>
        <v/>
      </c>
      <c r="Y505">
        <f>HYPERLINK("https://klasma.github.io/Logging_2104/kartor_geotiff/A 40393-2025 georefererad karta.tif", "A 40393-2025")</f>
        <v/>
      </c>
      <c r="AA505">
        <f>HYPERLINK("https://klasma.github.io/Logging_2104/klagomål/A 40393-2025 FSC-klagomål.docx", "A 40393-2025")</f>
        <v/>
      </c>
      <c r="AB505">
        <f>HYPERLINK("https://klasma.github.io/Logging_2104/klagomålsmail/A 40393-2025 FSC-klagomål mail.docx", "A 40393-2025")</f>
        <v/>
      </c>
      <c r="AC505">
        <f>HYPERLINK("https://klasma.github.io/Logging_2104/tillsyn/A 40393-2025 tillsynsbegäran.docx", "A 40393-2025")</f>
        <v/>
      </c>
      <c r="AD505">
        <f>HYPERLINK("https://klasma.github.io/Logging_2104/tillsynsmail/A 40393-2025 tillsynsbegäran mail.docx", "A 40393-2025")</f>
        <v/>
      </c>
    </row>
    <row r="506" ht="15" customHeight="1">
      <c r="A506" t="inlineStr">
        <is>
          <t>A 46651-2025</t>
        </is>
      </c>
      <c r="B506" t="inlineStr">
        <is>
          <t>avverkningsanmälan</t>
        </is>
      </c>
      <c r="C506" t="inlineStr">
        <is>
          <t>Föryngringsavverkning</t>
        </is>
      </c>
      <c r="D506" s="1" t="n">
        <v>45926</v>
      </c>
      <c r="E506" s="1" t="n">
        <v>46326</v>
      </c>
      <c r="F506" t="inlineStr">
        <is>
          <t>GÄVLEBORGS LÄN</t>
        </is>
      </c>
      <c r="G506" t="inlineStr">
        <is>
          <t>LJUSDAL</t>
        </is>
      </c>
      <c r="H506" t="inlineStr">
        <is>
          <t>Sveaskog</t>
        </is>
      </c>
      <c r="I506" t="n">
        <v>7.4</v>
      </c>
      <c r="J506" t="n">
        <v>0</v>
      </c>
      <c r="K506" t="n">
        <v>0</v>
      </c>
      <c r="L506" t="n">
        <v>1</v>
      </c>
      <c r="M506" t="n">
        <v>1</v>
      </c>
      <c r="N506" t="n">
        <v>0</v>
      </c>
      <c r="O506" t="n">
        <v>0</v>
      </c>
      <c r="P506" t="n">
        <v>0</v>
      </c>
      <c r="Q506" t="n">
        <v>2</v>
      </c>
      <c r="R506" t="n">
        <v>1</v>
      </c>
      <c r="S506" t="n">
        <v>2</v>
      </c>
      <c r="T506" t="n">
        <v>2</v>
      </c>
      <c r="U506" t="n">
        <v>2</v>
      </c>
      <c r="V506" s="2" t="inlineStr">
        <is>
          <t>Garnlav
Lunglav</t>
        </is>
      </c>
      <c r="W506">
        <f>HYPERLINK("https://klasma.github.io/Logging_2161/artfynd/A 46651-2025 artfynd.xlsx", "A 46651-2025")</f>
        <v/>
      </c>
      <c r="X506">
        <f>HYPERLINK("https://klasma.github.io/Logging_2161/kartor/A 46651-2025 karta.png", "A 46651-2025")</f>
        <v/>
      </c>
      <c r="Y506">
        <f>HYPERLINK("https://klasma.github.io/Logging_2161/kartor_geotiff/A 46651-2025 georefererad karta.tif", "A 46651-2025")</f>
        <v/>
      </c>
      <c r="AA506">
        <f>HYPERLINK("https://klasma.github.io/Logging_2161/klagomål/A 46651-2025 FSC-klagomål.docx", "A 46651-2025")</f>
        <v/>
      </c>
      <c r="AB506">
        <f>HYPERLINK("https://klasma.github.io/Logging_2161/klagomålsmail/A 46651-2025 FSC-klagomål mail.docx", "A 46651-2025")</f>
        <v/>
      </c>
      <c r="AC506">
        <f>HYPERLINK("https://klasma.github.io/Logging_2161/tillsyn/A 46651-2025 tillsynsbegäran.docx", "A 46651-2025")</f>
        <v/>
      </c>
      <c r="AD506">
        <f>HYPERLINK("https://klasma.github.io/Logging_2161/tillsynsmail/A 46651-2025 tillsynsbegäran mail.docx", "A 46651-2025")</f>
        <v/>
      </c>
    </row>
    <row r="507" ht="15" customHeight="1">
      <c r="A507" t="inlineStr">
        <is>
          <t>A 32328-2024</t>
        </is>
      </c>
      <c r="B507" t="inlineStr">
        <is>
          <t>avverkningsanmälan</t>
        </is>
      </c>
      <c r="C507" t="inlineStr">
        <is>
          <t>Föryngringsavverkning</t>
        </is>
      </c>
      <c r="D507" s="1" t="n">
        <v>45512</v>
      </c>
      <c r="E507" s="1" t="n">
        <v>46326</v>
      </c>
      <c r="F507" t="inlineStr">
        <is>
          <t>GÄVLEBORGS LÄN</t>
        </is>
      </c>
      <c r="G507" t="inlineStr">
        <is>
          <t>GÄVLE</t>
        </is>
      </c>
      <c r="I507" t="n">
        <v>3.1</v>
      </c>
      <c r="J507" t="n">
        <v>2</v>
      </c>
      <c r="K507" t="n">
        <v>0</v>
      </c>
      <c r="L507" t="n">
        <v>0</v>
      </c>
      <c r="M507" t="n">
        <v>0</v>
      </c>
      <c r="N507" t="n">
        <v>0</v>
      </c>
      <c r="O507" t="n">
        <v>0</v>
      </c>
      <c r="P507" t="n">
        <v>0</v>
      </c>
      <c r="Q507" t="n">
        <v>0</v>
      </c>
      <c r="R507" t="n">
        <v>0</v>
      </c>
      <c r="S507" t="n">
        <v>2</v>
      </c>
      <c r="T507" t="n">
        <v>3</v>
      </c>
      <c r="U507" t="n">
        <v>3</v>
      </c>
      <c r="V507" s="2" t="inlineStr">
        <is>
          <t>Spillkråka
Orre</t>
        </is>
      </c>
      <c r="W507">
        <f>HYPERLINK("https://klasma.github.io/Logging_2180/artfynd/A 32328-2024 artfynd.xlsx", "A 32328-2024")</f>
        <v/>
      </c>
      <c r="X507">
        <f>HYPERLINK("https://klasma.github.io/Logging_2180/kartor/A 32328-2024 karta.png", "A 32328-2024")</f>
        <v/>
      </c>
      <c r="Y507">
        <f>HYPERLINK("https://klasma.github.io/Logging_2180/kartor_geotiff/A 32328-2024 georefererad karta.tif", "A 32328-2024")</f>
        <v/>
      </c>
      <c r="AA507">
        <f>HYPERLINK("https://klasma.github.io/Logging_2180/klagomål/A 32328-2024 FSC-klagomål.docx", "A 32328-2024")</f>
        <v/>
      </c>
      <c r="AB507">
        <f>HYPERLINK("https://klasma.github.io/Logging_2180/klagomålsmail/A 32328-2024 FSC-klagomål mail.docx", "A 32328-2024")</f>
        <v/>
      </c>
      <c r="AC507">
        <f>HYPERLINK("https://klasma.github.io/Logging_2180/tillsyn/A 32328-2024 tillsynsbegäran.docx", "A 32328-2024")</f>
        <v/>
      </c>
      <c r="AD507">
        <f>HYPERLINK("https://klasma.github.io/Logging_2180/tillsynsmail/A 32328-2024 tillsynsbegäran mail.docx", "A 32328-2024")</f>
        <v/>
      </c>
      <c r="AE507">
        <f>HYPERLINK("https://klasma.github.io/Logging_2180/fåglar/A 32328-2024 prioriterade fågelarter.docx", "A 32328-2024")</f>
        <v/>
      </c>
    </row>
    <row r="508" ht="15" customHeight="1">
      <c r="A508" t="inlineStr">
        <is>
          <t>A 40401-2025</t>
        </is>
      </c>
      <c r="B508" t="inlineStr">
        <is>
          <t>avverkningsanmälan</t>
        </is>
      </c>
      <c r="C508" t="inlineStr">
        <is>
          <t>Avverkning för att bevara och utveckla /försöksver</t>
        </is>
      </c>
      <c r="D508" s="1" t="n">
        <v>45895</v>
      </c>
      <c r="E508" s="1" t="n">
        <v>46326</v>
      </c>
      <c r="F508" t="inlineStr">
        <is>
          <t>GÄVLEBORGS LÄN</t>
        </is>
      </c>
      <c r="G508" t="inlineStr">
        <is>
          <t>HOFORS</t>
        </is>
      </c>
      <c r="H508" t="inlineStr">
        <is>
          <t>Sveaskog</t>
        </is>
      </c>
      <c r="I508" t="n">
        <v>12.6</v>
      </c>
      <c r="J508" t="n">
        <v>1</v>
      </c>
      <c r="K508" t="n">
        <v>0</v>
      </c>
      <c r="L508" t="n">
        <v>0</v>
      </c>
      <c r="M508" t="n">
        <v>0</v>
      </c>
      <c r="N508" t="n">
        <v>0</v>
      </c>
      <c r="O508" t="n">
        <v>0</v>
      </c>
      <c r="P508" t="n">
        <v>0</v>
      </c>
      <c r="Q508" t="n">
        <v>0</v>
      </c>
      <c r="R508" t="n">
        <v>0</v>
      </c>
      <c r="S508" t="n">
        <v>2</v>
      </c>
      <c r="T508" t="n">
        <v>2</v>
      </c>
      <c r="U508" t="n">
        <v>2</v>
      </c>
      <c r="V508" s="2" t="inlineStr">
        <is>
          <t>Svarta vinbär
Gullviva</t>
        </is>
      </c>
      <c r="W508">
        <f>HYPERLINK("https://klasma.github.io/Logging_2104/artfynd/A 40401-2025 artfynd.xlsx", "A 40401-2025")</f>
        <v/>
      </c>
      <c r="X508">
        <f>HYPERLINK("https://klasma.github.io/Logging_2104/kartor/A 40401-2025 karta.png", "A 40401-2025")</f>
        <v/>
      </c>
      <c r="Y508">
        <f>HYPERLINK("https://klasma.github.io/Logging_2104/kartor_geotiff/A 40401-2025 georefererad karta.tif", "A 40401-2025")</f>
        <v/>
      </c>
      <c r="AA508">
        <f>HYPERLINK("https://klasma.github.io/Logging_2104/klagomål/A 40401-2025 FSC-klagomål.docx", "A 40401-2025")</f>
        <v/>
      </c>
      <c r="AB508">
        <f>HYPERLINK("https://klasma.github.io/Logging_2104/klagomålsmail/A 40401-2025 FSC-klagomål mail.docx", "A 40401-2025")</f>
        <v/>
      </c>
      <c r="AC508">
        <f>HYPERLINK("https://klasma.github.io/Logging_2104/tillsyn/A 40401-2025 tillsynsbegäran.docx", "A 40401-2025")</f>
        <v/>
      </c>
      <c r="AD508">
        <f>HYPERLINK("https://klasma.github.io/Logging_2104/tillsynsmail/A 40401-2025 tillsynsbegäran mail.docx", "A 40401-2025")</f>
        <v/>
      </c>
    </row>
    <row r="509" ht="15" customHeight="1">
      <c r="A509" t="inlineStr">
        <is>
          <t>A 6241-2026</t>
        </is>
      </c>
      <c r="B509" t="inlineStr">
        <is>
          <t>avverkningsanmälan</t>
        </is>
      </c>
      <c r="C509" t="inlineStr">
        <is>
          <t>Föryngringsavverkning</t>
        </is>
      </c>
      <c r="D509" s="1" t="n">
        <v>46055</v>
      </c>
      <c r="E509" s="1" t="n">
        <v>46326</v>
      </c>
      <c r="F509" t="inlineStr">
        <is>
          <t>GÄVLEBORGS LÄN</t>
        </is>
      </c>
      <c r="G509" t="inlineStr">
        <is>
          <t>HUDIKSVALL</t>
        </is>
      </c>
      <c r="I509" t="n">
        <v>3.3</v>
      </c>
      <c r="J509" t="n">
        <v>1</v>
      </c>
      <c r="K509" t="n">
        <v>0</v>
      </c>
      <c r="L509" t="n">
        <v>1</v>
      </c>
      <c r="M509" t="n">
        <v>1</v>
      </c>
      <c r="N509" t="n">
        <v>0</v>
      </c>
      <c r="O509" t="n">
        <v>0</v>
      </c>
      <c r="P509" t="n">
        <v>0</v>
      </c>
      <c r="Q509" t="n">
        <v>2</v>
      </c>
      <c r="R509" t="n">
        <v>1</v>
      </c>
      <c r="S509" t="n">
        <v>2</v>
      </c>
      <c r="T509" t="n">
        <v>2</v>
      </c>
      <c r="U509" t="n">
        <v>0</v>
      </c>
      <c r="V509" s="2" t="inlineStr">
        <is>
          <t>Knärot
Platt spretmossa</t>
        </is>
      </c>
      <c r="W509">
        <f>HYPERLINK("https://klasma.github.io/Logging_2184/artfynd/A 6241-2026 artfynd.xlsx", "A 6241-2026")</f>
        <v/>
      </c>
      <c r="X509">
        <f>HYPERLINK("https://klasma.github.io/Logging_2184/kartor/A 6241-2026 karta.png", "A 6241-2026")</f>
        <v/>
      </c>
      <c r="Y509">
        <f>HYPERLINK("https://klasma.github.io/Logging_2184/kartor_geotiff/A 6241-2026 georefererad karta.tif", "A 6241-2026")</f>
        <v/>
      </c>
      <c r="Z509">
        <f>HYPERLINK("https://klasma.github.io/Logging_2184/knärot/A 6241-2026 karta knärot.png", "A 6241-2026")</f>
        <v/>
      </c>
      <c r="AA509">
        <f>HYPERLINK("https://klasma.github.io/Logging_2184/klagomål/A 6241-2026 FSC-klagomål.docx", "A 6241-2026")</f>
        <v/>
      </c>
      <c r="AB509">
        <f>HYPERLINK("https://klasma.github.io/Logging_2184/klagomålsmail/A 6241-2026 FSC-klagomål mail.docx", "A 6241-2026")</f>
        <v/>
      </c>
      <c r="AC509">
        <f>HYPERLINK("https://klasma.github.io/Logging_2184/tillsyn/A 6241-2026 tillsynsbegäran.docx", "A 6241-2026")</f>
        <v/>
      </c>
      <c r="AD509">
        <f>HYPERLINK("https://klasma.github.io/Logging_2184/tillsynsmail/A 6241-2026 tillsynsbegäran mail.docx", "A 6241-2026")</f>
        <v/>
      </c>
    </row>
    <row r="510" ht="15" customHeight="1">
      <c r="A510" t="inlineStr">
        <is>
          <t>A 4409-2025</t>
        </is>
      </c>
      <c r="B510" t="inlineStr">
        <is>
          <t>avverkningsanmälan</t>
        </is>
      </c>
      <c r="C510" t="inlineStr">
        <is>
          <t>Föryngringsavverkning</t>
        </is>
      </c>
      <c r="D510" s="1" t="n">
        <v>45686</v>
      </c>
      <c r="E510" s="1" t="n">
        <v>46326</v>
      </c>
      <c r="F510" t="inlineStr">
        <is>
          <t>GÄVLEBORGS LÄN</t>
        </is>
      </c>
      <c r="G510" t="inlineStr">
        <is>
          <t>NORDANSTIG</t>
        </is>
      </c>
      <c r="H510" t="inlineStr">
        <is>
          <t>Holmen skog AB</t>
        </is>
      </c>
      <c r="I510" t="n">
        <v>5.4</v>
      </c>
      <c r="J510" t="n">
        <v>0</v>
      </c>
      <c r="K510" t="n">
        <v>1</v>
      </c>
      <c r="L510" t="n">
        <v>1</v>
      </c>
      <c r="M510" t="n">
        <v>0</v>
      </c>
      <c r="N510" t="n">
        <v>0</v>
      </c>
      <c r="O510" t="n">
        <v>0</v>
      </c>
      <c r="P510" t="n">
        <v>0</v>
      </c>
      <c r="Q510" t="n">
        <v>1</v>
      </c>
      <c r="R510" t="n">
        <v>0</v>
      </c>
      <c r="S510" t="n">
        <v>2</v>
      </c>
      <c r="T510" t="n">
        <v>3</v>
      </c>
      <c r="U510" t="n">
        <v>0</v>
      </c>
      <c r="V510" s="2" t="inlineStr">
        <is>
          <t>Lunglav
Luddlav</t>
        </is>
      </c>
      <c r="W510">
        <f>HYPERLINK("https://klasma.github.io/Logging_2132/artfynd/A 4409-2025 artfynd.xlsx", "A 4409-2025")</f>
        <v/>
      </c>
      <c r="X510">
        <f>HYPERLINK("https://klasma.github.io/Logging_2132/kartor/A 4409-2025 karta.png", "A 4409-2025")</f>
        <v/>
      </c>
      <c r="Y510">
        <f>HYPERLINK("https://klasma.github.io/Logging_2132/kartor_geotiff/A 4409-2025 georefererad karta.tif", "A 4409-2025")</f>
        <v/>
      </c>
      <c r="AA510">
        <f>HYPERLINK("https://klasma.github.io/Logging_2132/klagomål/A 4409-2025 FSC-klagomål.docx", "A 4409-2025")</f>
        <v/>
      </c>
      <c r="AB510">
        <f>HYPERLINK("https://klasma.github.io/Logging_2132/klagomålsmail/A 4409-2025 FSC-klagomål mail.docx", "A 4409-2025")</f>
        <v/>
      </c>
      <c r="AC510">
        <f>HYPERLINK("https://klasma.github.io/Logging_2132/tillsyn/A 4409-2025 tillsynsbegäran.docx", "A 4409-2025")</f>
        <v/>
      </c>
      <c r="AD510">
        <f>HYPERLINK("https://klasma.github.io/Logging_2132/tillsynsmail/A 4409-2025 tillsynsbegäran mail.docx", "A 4409-2025")</f>
        <v/>
      </c>
    </row>
    <row r="511" ht="15" customHeight="1">
      <c r="A511" t="inlineStr">
        <is>
          <t>A 32098-2023</t>
        </is>
      </c>
      <c r="B511" t="inlineStr">
        <is>
          <t>avverkningsanmälan</t>
        </is>
      </c>
      <c r="C511" t="inlineStr">
        <is>
          <t>Föryngringsavverkning</t>
        </is>
      </c>
      <c r="D511" s="1" t="n">
        <v>45119</v>
      </c>
      <c r="E511" s="1" t="n">
        <v>46326</v>
      </c>
      <c r="F511" t="inlineStr">
        <is>
          <t>GÄVLEBORGS LÄN</t>
        </is>
      </c>
      <c r="G511" t="inlineStr">
        <is>
          <t>LJUSDAL</t>
        </is>
      </c>
      <c r="I511" t="n">
        <v>1.5</v>
      </c>
      <c r="J511" t="n">
        <v>0</v>
      </c>
      <c r="K511" t="n">
        <v>0</v>
      </c>
      <c r="L511" t="n">
        <v>2</v>
      </c>
      <c r="M511" t="n">
        <v>0</v>
      </c>
      <c r="N511" t="n">
        <v>0</v>
      </c>
      <c r="O511" t="n">
        <v>0</v>
      </c>
      <c r="P511" t="n">
        <v>0</v>
      </c>
      <c r="Q511" t="n">
        <v>2</v>
      </c>
      <c r="R511" t="n">
        <v>0</v>
      </c>
      <c r="S511" t="n">
        <v>2</v>
      </c>
      <c r="T511" t="n">
        <v>2</v>
      </c>
      <c r="U511" t="n">
        <v>2</v>
      </c>
      <c r="V511" s="2" t="inlineStr">
        <is>
          <t>Lutvaxing
Mjölrödskivling</t>
        </is>
      </c>
      <c r="W511">
        <f>HYPERLINK("https://klasma.github.io/Logging_2161/artfynd/A 32098-2023 artfynd.xlsx", "A 32098-2023")</f>
        <v/>
      </c>
      <c r="X511">
        <f>HYPERLINK("https://klasma.github.io/Logging_2161/kartor/A 32098-2023 karta.png", "A 32098-2023")</f>
        <v/>
      </c>
      <c r="Y511">
        <f>HYPERLINK("https://klasma.github.io/Logging_2161/kartor_geotiff/A 32098-2023 georefererad karta.tif", "A 32098-2023")</f>
        <v/>
      </c>
      <c r="AA511">
        <f>HYPERLINK("https://klasma.github.io/Logging_2161/klagomål/A 32098-2023 FSC-klagomål.docx", "A 32098-2023")</f>
        <v/>
      </c>
      <c r="AB511">
        <f>HYPERLINK("https://klasma.github.io/Logging_2161/klagomålsmail/A 32098-2023 FSC-klagomål mail.docx", "A 32098-2023")</f>
        <v/>
      </c>
      <c r="AC511">
        <f>HYPERLINK("https://klasma.github.io/Logging_2161/tillsyn/A 32098-2023 tillsynsbegäran.docx", "A 32098-2023")</f>
        <v/>
      </c>
      <c r="AD511">
        <f>HYPERLINK("https://klasma.github.io/Logging_2161/tillsynsmail/A 32098-2023 tillsynsbegäran mail.docx", "A 32098-2023")</f>
        <v/>
      </c>
    </row>
    <row r="512" ht="15" customHeight="1">
      <c r="A512" t="inlineStr">
        <is>
          <t>A 47877-2025</t>
        </is>
      </c>
      <c r="B512" t="inlineStr">
        <is>
          <t>avverkningsanmälan</t>
        </is>
      </c>
      <c r="C512" t="inlineStr">
        <is>
          <t>Föryngringsavverkning</t>
        </is>
      </c>
      <c r="D512" s="1" t="n">
        <v>45932</v>
      </c>
      <c r="E512" s="1" t="n">
        <v>46326</v>
      </c>
      <c r="F512" t="inlineStr">
        <is>
          <t>GÄVLEBORGS LÄN</t>
        </is>
      </c>
      <c r="G512" t="inlineStr">
        <is>
          <t>LJUSDAL</t>
        </is>
      </c>
      <c r="H512" t="inlineStr">
        <is>
          <t>Bergvik skog väst AB</t>
        </is>
      </c>
      <c r="I512" t="n">
        <v>1.1</v>
      </c>
      <c r="J512" t="n">
        <v>1</v>
      </c>
      <c r="K512" t="n">
        <v>0</v>
      </c>
      <c r="L512" t="n">
        <v>0</v>
      </c>
      <c r="M512" t="n">
        <v>2</v>
      </c>
      <c r="N512" t="n">
        <v>0</v>
      </c>
      <c r="O512" t="n">
        <v>0</v>
      </c>
      <c r="P512" t="n">
        <v>0</v>
      </c>
      <c r="Q512" t="n">
        <v>2</v>
      </c>
      <c r="R512" t="n">
        <v>2</v>
      </c>
      <c r="S512" t="n">
        <v>2</v>
      </c>
      <c r="T512" t="n">
        <v>2</v>
      </c>
      <c r="U512" t="n">
        <v>2</v>
      </c>
      <c r="V512" s="2" t="inlineStr">
        <is>
          <t>Garnlav
Knärot</t>
        </is>
      </c>
      <c r="W512">
        <f>HYPERLINK("https://klasma.github.io/Logging_2161/artfynd/A 47877-2025 artfynd.xlsx", "A 47877-2025")</f>
        <v/>
      </c>
      <c r="X512">
        <f>HYPERLINK("https://klasma.github.io/Logging_2161/kartor/A 47877-2025 karta.png", "A 47877-2025")</f>
        <v/>
      </c>
      <c r="Y512">
        <f>HYPERLINK("https://klasma.github.io/Logging_2161/kartor_geotiff/A 47877-2025 georefererad karta.tif", "A 47877-2025")</f>
        <v/>
      </c>
      <c r="Z512">
        <f>HYPERLINK("https://klasma.github.io/Logging_2161/knärot/A 47877-2025 karta knärot.png", "A 47877-2025")</f>
        <v/>
      </c>
      <c r="AA512">
        <f>HYPERLINK("https://klasma.github.io/Logging_2161/klagomål/A 47877-2025 FSC-klagomål.docx", "A 47877-2025")</f>
        <v/>
      </c>
      <c r="AB512">
        <f>HYPERLINK("https://klasma.github.io/Logging_2161/klagomålsmail/A 47877-2025 FSC-klagomål mail.docx", "A 47877-2025")</f>
        <v/>
      </c>
      <c r="AC512">
        <f>HYPERLINK("https://klasma.github.io/Logging_2161/tillsyn/A 47877-2025 tillsynsbegäran.docx", "A 47877-2025")</f>
        <v/>
      </c>
      <c r="AD512">
        <f>HYPERLINK("https://klasma.github.io/Logging_2161/tillsynsmail/A 47877-2025 tillsynsbegäran mail.docx", "A 47877-2025")</f>
        <v/>
      </c>
    </row>
    <row r="513" ht="15" customHeight="1">
      <c r="A513" t="inlineStr">
        <is>
          <t>A 36759-2025</t>
        </is>
      </c>
      <c r="B513" t="inlineStr">
        <is>
          <t>avverkningsanmälan</t>
        </is>
      </c>
      <c r="C513" t="inlineStr">
        <is>
          <t>Föryngringsavverkning</t>
        </is>
      </c>
      <c r="D513" s="1" t="n">
        <v>45873</v>
      </c>
      <c r="E513" s="1" t="n">
        <v>46326</v>
      </c>
      <c r="F513" t="inlineStr">
        <is>
          <t>GÄVLEBORGS LÄN</t>
        </is>
      </c>
      <c r="G513" t="inlineStr">
        <is>
          <t>OVANÅKER</t>
        </is>
      </c>
      <c r="H513" t="inlineStr">
        <is>
          <t>Bergvik skog väst AB</t>
        </is>
      </c>
      <c r="I513" t="n">
        <v>20.7</v>
      </c>
      <c r="J513" t="n">
        <v>2</v>
      </c>
      <c r="K513" t="n">
        <v>0</v>
      </c>
      <c r="L513" t="n">
        <v>0</v>
      </c>
      <c r="M513" t="n">
        <v>0</v>
      </c>
      <c r="N513" t="n">
        <v>0</v>
      </c>
      <c r="O513" t="n">
        <v>0</v>
      </c>
      <c r="P513" t="n">
        <v>0</v>
      </c>
      <c r="Q513" t="n">
        <v>0</v>
      </c>
      <c r="R513" t="n">
        <v>0</v>
      </c>
      <c r="S513" t="n">
        <v>2</v>
      </c>
      <c r="T513" t="n">
        <v>2</v>
      </c>
      <c r="U513" t="n">
        <v>0</v>
      </c>
      <c r="V513" s="2" t="inlineStr">
        <is>
          <t>Spillkråka
Slaguggla</t>
        </is>
      </c>
      <c r="W513">
        <f>HYPERLINK("https://klasma.github.io/Logging_2121/artfynd/A 36759-2025 artfynd.xlsx", "A 36759-2025")</f>
        <v/>
      </c>
      <c r="X513">
        <f>HYPERLINK("https://klasma.github.io/Logging_2121/kartor/A 36759-2025 karta.png", "A 36759-2025")</f>
        <v/>
      </c>
      <c r="Y513">
        <f>HYPERLINK("https://klasma.github.io/Logging_2121/kartor_geotiff/A 36759-2025 georefererad karta.tif", "A 36759-2025")</f>
        <v/>
      </c>
      <c r="AA513">
        <f>HYPERLINK("https://klasma.github.io/Logging_2121/klagomål/A 36759-2025 FSC-klagomål.docx", "A 36759-2025")</f>
        <v/>
      </c>
      <c r="AB513">
        <f>HYPERLINK("https://klasma.github.io/Logging_2121/klagomålsmail/A 36759-2025 FSC-klagomål mail.docx", "A 36759-2025")</f>
        <v/>
      </c>
      <c r="AC513">
        <f>HYPERLINK("https://klasma.github.io/Logging_2121/tillsyn/A 36759-2025 tillsynsbegäran.docx", "A 36759-2025")</f>
        <v/>
      </c>
      <c r="AD513">
        <f>HYPERLINK("https://klasma.github.io/Logging_2121/tillsynsmail/A 36759-2025 tillsynsbegäran mail.docx", "A 36759-2025")</f>
        <v/>
      </c>
      <c r="AE513">
        <f>HYPERLINK("https://klasma.github.io/Logging_2121/fåglar/A 36759-2025 prioriterade fågelarter.docx", "A 36759-2025")</f>
        <v/>
      </c>
    </row>
    <row r="514" ht="15" customHeight="1">
      <c r="A514" t="inlineStr">
        <is>
          <t>A 37011-2025</t>
        </is>
      </c>
      <c r="B514" t="inlineStr">
        <is>
          <t>avverkningsanmälan</t>
        </is>
      </c>
      <c r="C514" t="inlineStr">
        <is>
          <t>Föryngringsavverkning</t>
        </is>
      </c>
      <c r="D514" s="1" t="n">
        <v>45874</v>
      </c>
      <c r="E514" s="1" t="n">
        <v>46326</v>
      </c>
      <c r="F514" t="inlineStr">
        <is>
          <t>GÄVLEBORGS LÄN</t>
        </is>
      </c>
      <c r="G514" t="inlineStr">
        <is>
          <t>HOFORS</t>
        </is>
      </c>
      <c r="H514" t="inlineStr">
        <is>
          <t>Sveaskog</t>
        </is>
      </c>
      <c r="I514" t="n">
        <v>3</v>
      </c>
      <c r="J514" t="n">
        <v>1</v>
      </c>
      <c r="K514" t="n">
        <v>0</v>
      </c>
      <c r="L514" t="n">
        <v>1</v>
      </c>
      <c r="M514" t="n">
        <v>1</v>
      </c>
      <c r="N514" t="n">
        <v>0</v>
      </c>
      <c r="O514" t="n">
        <v>0</v>
      </c>
      <c r="P514" t="n">
        <v>0</v>
      </c>
      <c r="Q514" t="n">
        <v>2</v>
      </c>
      <c r="R514" t="n">
        <v>1</v>
      </c>
      <c r="S514" t="n">
        <v>2</v>
      </c>
      <c r="T514" t="n">
        <v>5</v>
      </c>
      <c r="U514" t="n">
        <v>4</v>
      </c>
      <c r="V514" s="2" t="inlineStr">
        <is>
          <t>Knärot
Dropptaggsvamp</t>
        </is>
      </c>
      <c r="W514">
        <f>HYPERLINK("https://klasma.github.io/Logging_2104/artfynd/A 37011-2025 artfynd.xlsx", "A 37011-2025")</f>
        <v/>
      </c>
      <c r="X514">
        <f>HYPERLINK("https://klasma.github.io/Logging_2104/kartor/A 37011-2025 karta.png", "A 37011-2025")</f>
        <v/>
      </c>
      <c r="Y514">
        <f>HYPERLINK("https://klasma.github.io/Logging_2104/kartor_geotiff/A 37011-2025 georefererad karta.tif", "A 37011-2025")</f>
        <v/>
      </c>
      <c r="Z514">
        <f>HYPERLINK("https://klasma.github.io/Logging_2104/knärot/A 37011-2025 karta knärot.png", "A 37011-2025")</f>
        <v/>
      </c>
      <c r="AA514">
        <f>HYPERLINK("https://klasma.github.io/Logging_2104/klagomål/A 37011-2025 FSC-klagomål.docx", "A 37011-2025")</f>
        <v/>
      </c>
      <c r="AB514">
        <f>HYPERLINK("https://klasma.github.io/Logging_2104/klagomålsmail/A 37011-2025 FSC-klagomål mail.docx", "A 37011-2025")</f>
        <v/>
      </c>
      <c r="AC514">
        <f>HYPERLINK("https://klasma.github.io/Logging_2104/tillsyn/A 37011-2025 tillsynsbegäran.docx", "A 37011-2025")</f>
        <v/>
      </c>
      <c r="AD514">
        <f>HYPERLINK("https://klasma.github.io/Logging_2104/tillsynsmail/A 37011-2025 tillsynsbegäran mail.docx", "A 37011-2025")</f>
        <v/>
      </c>
    </row>
    <row r="515" ht="15" customHeight="1">
      <c r="A515" t="inlineStr">
        <is>
          <t>A 50049-2025</t>
        </is>
      </c>
      <c r="B515" t="inlineStr">
        <is>
          <t>avverkningsanmälan</t>
        </is>
      </c>
      <c r="C515" t="inlineStr">
        <is>
          <t>Föryngringsavverkning</t>
        </is>
      </c>
      <c r="D515" s="1" t="n">
        <v>45943</v>
      </c>
      <c r="E515" s="1" t="n">
        <v>46326</v>
      </c>
      <c r="F515" t="inlineStr">
        <is>
          <t>GÄVLEBORGS LÄN</t>
        </is>
      </c>
      <c r="G515" t="inlineStr">
        <is>
          <t>GÄVLE</t>
        </is>
      </c>
      <c r="H515" t="inlineStr">
        <is>
          <t>Kyrkan</t>
        </is>
      </c>
      <c r="I515" t="n">
        <v>10.3</v>
      </c>
      <c r="J515" t="n">
        <v>1</v>
      </c>
      <c r="K515" t="n">
        <v>0</v>
      </c>
      <c r="L515" t="n">
        <v>1</v>
      </c>
      <c r="M515" t="n">
        <v>0</v>
      </c>
      <c r="N515" t="n">
        <v>0</v>
      </c>
      <c r="O515" t="n">
        <v>0</v>
      </c>
      <c r="P515" t="n">
        <v>0</v>
      </c>
      <c r="Q515" t="n">
        <v>1</v>
      </c>
      <c r="R515" t="n">
        <v>0</v>
      </c>
      <c r="S515" t="n">
        <v>2</v>
      </c>
      <c r="T515" t="n">
        <v>2</v>
      </c>
      <c r="U515" t="n">
        <v>0</v>
      </c>
      <c r="V515" s="2" t="inlineStr">
        <is>
          <t>Vårärt
Blåsippa</t>
        </is>
      </c>
      <c r="W515">
        <f>HYPERLINK("https://klasma.github.io/Logging_2180/artfynd/A 50049-2025 artfynd.xlsx", "A 50049-2025")</f>
        <v/>
      </c>
      <c r="X515">
        <f>HYPERLINK("https://klasma.github.io/Logging_2180/kartor/A 50049-2025 karta.png", "A 50049-2025")</f>
        <v/>
      </c>
      <c r="Y515">
        <f>HYPERLINK("https://klasma.github.io/Logging_2180/kartor_geotiff/A 50049-2025 georefererad karta.tif", "A 50049-2025")</f>
        <v/>
      </c>
      <c r="AA515">
        <f>HYPERLINK("https://klasma.github.io/Logging_2180/klagomål/A 50049-2025 FSC-klagomål.docx", "A 50049-2025")</f>
        <v/>
      </c>
      <c r="AB515">
        <f>HYPERLINK("https://klasma.github.io/Logging_2180/klagomålsmail/A 50049-2025 FSC-klagomål mail.docx", "A 50049-2025")</f>
        <v/>
      </c>
      <c r="AC515">
        <f>HYPERLINK("https://klasma.github.io/Logging_2180/tillsyn/A 50049-2025 tillsynsbegäran.docx", "A 50049-2025")</f>
        <v/>
      </c>
      <c r="AD515">
        <f>HYPERLINK("https://klasma.github.io/Logging_2180/tillsynsmail/A 50049-2025 tillsynsbegäran mail.docx", "A 50049-2025")</f>
        <v/>
      </c>
    </row>
    <row r="516" ht="15" customHeight="1">
      <c r="A516" t="inlineStr">
        <is>
          <t>A 38084-2025</t>
        </is>
      </c>
      <c r="B516" t="inlineStr">
        <is>
          <t>avverkningsanmälan</t>
        </is>
      </c>
      <c r="C516" t="inlineStr">
        <is>
          <t>Föryngringsavverkning</t>
        </is>
      </c>
      <c r="D516" s="1" t="n">
        <v>45882</v>
      </c>
      <c r="E516" s="1" t="n">
        <v>46326</v>
      </c>
      <c r="F516" t="inlineStr">
        <is>
          <t>GÄVLEBORGS LÄN</t>
        </is>
      </c>
      <c r="G516" t="inlineStr">
        <is>
          <t>LJUSDAL</t>
        </is>
      </c>
      <c r="H516" t="inlineStr">
        <is>
          <t>Sveaskog</t>
        </is>
      </c>
      <c r="I516" t="n">
        <v>2.2</v>
      </c>
      <c r="J516" t="n">
        <v>0</v>
      </c>
      <c r="K516" t="n">
        <v>0</v>
      </c>
      <c r="L516" t="n">
        <v>2</v>
      </c>
      <c r="M516" t="n">
        <v>0</v>
      </c>
      <c r="N516" t="n">
        <v>0</v>
      </c>
      <c r="O516" t="n">
        <v>0</v>
      </c>
      <c r="P516" t="n">
        <v>0</v>
      </c>
      <c r="Q516" t="n">
        <v>2</v>
      </c>
      <c r="R516" t="n">
        <v>0</v>
      </c>
      <c r="S516" t="n">
        <v>2</v>
      </c>
      <c r="T516" t="n">
        <v>2</v>
      </c>
      <c r="U516" t="n">
        <v>2</v>
      </c>
      <c r="V516" s="2" t="inlineStr">
        <is>
          <t>Kolflarnlav
Vedflamlav</t>
        </is>
      </c>
      <c r="W516">
        <f>HYPERLINK("https://klasma.github.io/Logging_2161/artfynd/A 38084-2025 artfynd.xlsx", "A 38084-2025")</f>
        <v/>
      </c>
      <c r="X516">
        <f>HYPERLINK("https://klasma.github.io/Logging_2161/kartor/A 38084-2025 karta.png", "A 38084-2025")</f>
        <v/>
      </c>
      <c r="Y516">
        <f>HYPERLINK("https://klasma.github.io/Logging_2161/kartor_geotiff/A 38084-2025 georefererad karta.tif", "A 38084-2025")</f>
        <v/>
      </c>
      <c r="AA516">
        <f>HYPERLINK("https://klasma.github.io/Logging_2161/klagomål/A 38084-2025 FSC-klagomål.docx", "A 38084-2025")</f>
        <v/>
      </c>
      <c r="AB516">
        <f>HYPERLINK("https://klasma.github.io/Logging_2161/klagomålsmail/A 38084-2025 FSC-klagomål mail.docx", "A 38084-2025")</f>
        <v/>
      </c>
      <c r="AC516">
        <f>HYPERLINK("https://klasma.github.io/Logging_2161/tillsyn/A 38084-2025 tillsynsbegäran.docx", "A 38084-2025")</f>
        <v/>
      </c>
      <c r="AD516">
        <f>HYPERLINK("https://klasma.github.io/Logging_2161/tillsynsmail/A 38084-2025 tillsynsbegäran mail.docx", "A 38084-2025")</f>
        <v/>
      </c>
    </row>
    <row r="517" ht="15" customHeight="1">
      <c r="A517" t="inlineStr">
        <is>
          <t>A 38088-2025</t>
        </is>
      </c>
      <c r="B517" t="inlineStr">
        <is>
          <t>avverkningsanmälan</t>
        </is>
      </c>
      <c r="C517" t="inlineStr">
        <is>
          <t>Föryngringsavverkning</t>
        </is>
      </c>
      <c r="D517" s="1" t="n">
        <v>45882</v>
      </c>
      <c r="E517" s="1" t="n">
        <v>46326</v>
      </c>
      <c r="F517" t="inlineStr">
        <is>
          <t>GÄVLEBORGS LÄN</t>
        </is>
      </c>
      <c r="G517" t="inlineStr">
        <is>
          <t>LJUSDAL</t>
        </is>
      </c>
      <c r="H517" t="inlineStr">
        <is>
          <t>Sveaskog</t>
        </is>
      </c>
      <c r="I517" t="n">
        <v>3</v>
      </c>
      <c r="J517" t="n">
        <v>0</v>
      </c>
      <c r="K517" t="n">
        <v>0</v>
      </c>
      <c r="L517" t="n">
        <v>2</v>
      </c>
      <c r="M517" t="n">
        <v>0</v>
      </c>
      <c r="N517" t="n">
        <v>0</v>
      </c>
      <c r="O517" t="n">
        <v>0</v>
      </c>
      <c r="P517" t="n">
        <v>0</v>
      </c>
      <c r="Q517" t="n">
        <v>2</v>
      </c>
      <c r="R517" t="n">
        <v>0</v>
      </c>
      <c r="S517" t="n">
        <v>2</v>
      </c>
      <c r="T517" t="n">
        <v>2</v>
      </c>
      <c r="U517" t="n">
        <v>2</v>
      </c>
      <c r="V517" s="2" t="inlineStr">
        <is>
          <t>Kolflarnlav
Vedflamlav</t>
        </is>
      </c>
      <c r="W517">
        <f>HYPERLINK("https://klasma.github.io/Logging_2161/artfynd/A 38088-2025 artfynd.xlsx", "A 38088-2025")</f>
        <v/>
      </c>
      <c r="X517">
        <f>HYPERLINK("https://klasma.github.io/Logging_2161/kartor/A 38088-2025 karta.png", "A 38088-2025")</f>
        <v/>
      </c>
      <c r="Y517">
        <f>HYPERLINK("https://klasma.github.io/Logging_2161/kartor_geotiff/A 38088-2025 georefererad karta.tif", "A 38088-2025")</f>
        <v/>
      </c>
      <c r="AA517">
        <f>HYPERLINK("https://klasma.github.io/Logging_2161/klagomål/A 38088-2025 FSC-klagomål.docx", "A 38088-2025")</f>
        <v/>
      </c>
      <c r="AB517">
        <f>HYPERLINK("https://klasma.github.io/Logging_2161/klagomålsmail/A 38088-2025 FSC-klagomål mail.docx", "A 38088-2025")</f>
        <v/>
      </c>
      <c r="AC517">
        <f>HYPERLINK("https://klasma.github.io/Logging_2161/tillsyn/A 38088-2025 tillsynsbegäran.docx", "A 38088-2025")</f>
        <v/>
      </c>
      <c r="AD517">
        <f>HYPERLINK("https://klasma.github.io/Logging_2161/tillsynsmail/A 38088-2025 tillsynsbegäran mail.docx", "A 38088-2025")</f>
        <v/>
      </c>
    </row>
    <row r="518" ht="15" customHeight="1">
      <c r="A518" t="inlineStr">
        <is>
          <t>A 38105-2025</t>
        </is>
      </c>
      <c r="B518" t="inlineStr">
        <is>
          <t>avverkningsanmälan</t>
        </is>
      </c>
      <c r="C518" t="inlineStr">
        <is>
          <t>Föryngringsavverkning</t>
        </is>
      </c>
      <c r="D518" s="1" t="n">
        <v>45882</v>
      </c>
      <c r="E518" s="1" t="n">
        <v>46326</v>
      </c>
      <c r="F518" t="inlineStr">
        <is>
          <t>GÄVLEBORGS LÄN</t>
        </is>
      </c>
      <c r="G518" t="inlineStr">
        <is>
          <t>LJUSDAL</t>
        </is>
      </c>
      <c r="H518" t="inlineStr">
        <is>
          <t>Bergvik skog väst AB</t>
        </is>
      </c>
      <c r="I518" t="n">
        <v>11.7</v>
      </c>
      <c r="J518" t="n">
        <v>0</v>
      </c>
      <c r="K518" t="n">
        <v>1</v>
      </c>
      <c r="L518" t="n">
        <v>1</v>
      </c>
      <c r="M518" t="n">
        <v>0</v>
      </c>
      <c r="N518" t="n">
        <v>0</v>
      </c>
      <c r="O518" t="n">
        <v>0</v>
      </c>
      <c r="P518" t="n">
        <v>0</v>
      </c>
      <c r="Q518" t="n">
        <v>1</v>
      </c>
      <c r="R518" t="n">
        <v>0</v>
      </c>
      <c r="S518" t="n">
        <v>2</v>
      </c>
      <c r="T518" t="n">
        <v>6</v>
      </c>
      <c r="U518" t="n">
        <v>0</v>
      </c>
      <c r="V518" s="2" t="inlineStr">
        <is>
          <t>Lunglav
Kransrams</t>
        </is>
      </c>
      <c r="W518">
        <f>HYPERLINK("https://klasma.github.io/Logging_2161/artfynd/A 38105-2025 artfynd.xlsx", "A 38105-2025")</f>
        <v/>
      </c>
      <c r="X518">
        <f>HYPERLINK("https://klasma.github.io/Logging_2161/kartor/A 38105-2025 karta.png", "A 38105-2025")</f>
        <v/>
      </c>
      <c r="Y518">
        <f>HYPERLINK("https://klasma.github.io/Logging_2161/kartor_geotiff/A 38105-2025 georefererad karta.tif", "A 38105-2025")</f>
        <v/>
      </c>
      <c r="AA518">
        <f>HYPERLINK("https://klasma.github.io/Logging_2161/klagomål/A 38105-2025 FSC-klagomål.docx", "A 38105-2025")</f>
        <v/>
      </c>
      <c r="AB518">
        <f>HYPERLINK("https://klasma.github.io/Logging_2161/klagomålsmail/A 38105-2025 FSC-klagomål mail.docx", "A 38105-2025")</f>
        <v/>
      </c>
      <c r="AC518">
        <f>HYPERLINK("https://klasma.github.io/Logging_2161/tillsyn/A 38105-2025 tillsynsbegäran.docx", "A 38105-2025")</f>
        <v/>
      </c>
      <c r="AD518">
        <f>HYPERLINK("https://klasma.github.io/Logging_2161/tillsynsmail/A 38105-2025 tillsynsbegäran mail.docx", "A 38105-2025")</f>
        <v/>
      </c>
    </row>
    <row r="519" ht="15" customHeight="1">
      <c r="A519" t="inlineStr">
        <is>
          <t>A 38196-2025</t>
        </is>
      </c>
      <c r="B519" t="inlineStr">
        <is>
          <t>avverkningsanmälan</t>
        </is>
      </c>
      <c r="C519" t="inlineStr">
        <is>
          <t>Föryngringsavverkning</t>
        </is>
      </c>
      <c r="D519" s="1" t="n">
        <v>45882</v>
      </c>
      <c r="E519" s="1" t="n">
        <v>46326</v>
      </c>
      <c r="F519" t="inlineStr">
        <is>
          <t>GÄVLEBORGS LÄN</t>
        </is>
      </c>
      <c r="G519" t="inlineStr">
        <is>
          <t>LJUSDAL</t>
        </is>
      </c>
      <c r="H519" t="inlineStr">
        <is>
          <t>Sveaskog</t>
        </is>
      </c>
      <c r="I519" t="n">
        <v>19.3</v>
      </c>
      <c r="J519" t="n">
        <v>0</v>
      </c>
      <c r="K519" t="n">
        <v>0</v>
      </c>
      <c r="L519" t="n">
        <v>1</v>
      </c>
      <c r="M519" t="n">
        <v>1</v>
      </c>
      <c r="N519" t="n">
        <v>0</v>
      </c>
      <c r="O519" t="n">
        <v>0</v>
      </c>
      <c r="P519" t="n">
        <v>0</v>
      </c>
      <c r="Q519" t="n">
        <v>2</v>
      </c>
      <c r="R519" t="n">
        <v>1</v>
      </c>
      <c r="S519" t="n">
        <v>2</v>
      </c>
      <c r="T519" t="n">
        <v>6</v>
      </c>
      <c r="U519" t="n">
        <v>6</v>
      </c>
      <c r="V519" s="2" t="inlineStr">
        <is>
          <t>Garnlav
Kortskaftad ärgspik</t>
        </is>
      </c>
      <c r="W519">
        <f>HYPERLINK("https://klasma.github.io/Logging_2161/artfynd/A 38196-2025 artfynd.xlsx", "A 38196-2025")</f>
        <v/>
      </c>
      <c r="X519">
        <f>HYPERLINK("https://klasma.github.io/Logging_2161/kartor/A 38196-2025 karta.png", "A 38196-2025")</f>
        <v/>
      </c>
      <c r="Y519">
        <f>HYPERLINK("https://klasma.github.io/Logging_2161/kartor_geotiff/A 38196-2025 georefererad karta.tif", "A 38196-2025")</f>
        <v/>
      </c>
      <c r="AA519">
        <f>HYPERLINK("https://klasma.github.io/Logging_2161/klagomål/A 38196-2025 FSC-klagomål.docx", "A 38196-2025")</f>
        <v/>
      </c>
      <c r="AB519">
        <f>HYPERLINK("https://klasma.github.io/Logging_2161/klagomålsmail/A 38196-2025 FSC-klagomål mail.docx", "A 38196-2025")</f>
        <v/>
      </c>
      <c r="AC519">
        <f>HYPERLINK("https://klasma.github.io/Logging_2161/tillsyn/A 38196-2025 tillsynsbegäran.docx", "A 38196-2025")</f>
        <v/>
      </c>
      <c r="AD519">
        <f>HYPERLINK("https://klasma.github.io/Logging_2161/tillsynsmail/A 38196-2025 tillsynsbegäran mail.docx", "A 38196-2025")</f>
        <v/>
      </c>
    </row>
    <row r="520" ht="15" customHeight="1">
      <c r="A520" t="inlineStr">
        <is>
          <t>A 52568-2025</t>
        </is>
      </c>
      <c r="B520" t="inlineStr">
        <is>
          <t>avverkningsanmälan</t>
        </is>
      </c>
      <c r="C520" t="inlineStr">
        <is>
          <t>Föryngringsavverkning</t>
        </is>
      </c>
      <c r="D520" s="1" t="n">
        <v>45954</v>
      </c>
      <c r="E520" s="1" t="n">
        <v>46326</v>
      </c>
      <c r="F520" t="inlineStr">
        <is>
          <t>GÄVLEBORGS LÄN</t>
        </is>
      </c>
      <c r="G520" t="inlineStr">
        <is>
          <t>HUDIKSVALL</t>
        </is>
      </c>
      <c r="I520" t="n">
        <v>8.199999999999999</v>
      </c>
      <c r="J520" t="n">
        <v>0</v>
      </c>
      <c r="K520" t="n">
        <v>1</v>
      </c>
      <c r="L520" t="n">
        <v>1</v>
      </c>
      <c r="M520" t="n">
        <v>0</v>
      </c>
      <c r="N520" t="n">
        <v>0</v>
      </c>
      <c r="O520" t="n">
        <v>0</v>
      </c>
      <c r="P520" t="n">
        <v>0</v>
      </c>
      <c r="Q520" t="n">
        <v>1</v>
      </c>
      <c r="R520" t="n">
        <v>0</v>
      </c>
      <c r="S520" t="n">
        <v>2</v>
      </c>
      <c r="T520" t="n">
        <v>2</v>
      </c>
      <c r="U520" t="n">
        <v>2</v>
      </c>
      <c r="V520" s="2" t="inlineStr">
        <is>
          <t>Rosenticka
Vedticka</t>
        </is>
      </c>
      <c r="W520">
        <f>HYPERLINK("https://klasma.github.io/Logging_2184/artfynd/A 52568-2025 artfynd.xlsx", "A 52568-2025")</f>
        <v/>
      </c>
      <c r="X520">
        <f>HYPERLINK("https://klasma.github.io/Logging_2184/kartor/A 52568-2025 karta.png", "A 52568-2025")</f>
        <v/>
      </c>
      <c r="Y520">
        <f>HYPERLINK("https://klasma.github.io/Logging_2184/kartor_geotiff/A 52568-2025 georefererad karta.tif", "A 52568-2025")</f>
        <v/>
      </c>
      <c r="AA520">
        <f>HYPERLINK("https://klasma.github.io/Logging_2184/klagomål/A 52568-2025 FSC-klagomål.docx", "A 52568-2025")</f>
        <v/>
      </c>
      <c r="AB520">
        <f>HYPERLINK("https://klasma.github.io/Logging_2184/klagomålsmail/A 52568-2025 FSC-klagomål mail.docx", "A 52568-2025")</f>
        <v/>
      </c>
      <c r="AC520">
        <f>HYPERLINK("https://klasma.github.io/Logging_2184/tillsyn/A 52568-2025 tillsynsbegäran.docx", "A 52568-2025")</f>
        <v/>
      </c>
      <c r="AD520">
        <f>HYPERLINK("https://klasma.github.io/Logging_2184/tillsynsmail/A 52568-2025 tillsynsbegäran mail.docx", "A 52568-2025")</f>
        <v/>
      </c>
    </row>
    <row r="521" ht="15" customHeight="1">
      <c r="A521" t="inlineStr">
        <is>
          <t>A 25992-2023</t>
        </is>
      </c>
      <c r="B521" t="inlineStr">
        <is>
          <t>avverkningsanmälan</t>
        </is>
      </c>
      <c r="C521" t="inlineStr">
        <is>
          <t>Föryngringsavverkning</t>
        </is>
      </c>
      <c r="D521" s="1" t="n">
        <v>45090</v>
      </c>
      <c r="E521" s="1" t="n">
        <v>46326</v>
      </c>
      <c r="F521" t="inlineStr">
        <is>
          <t>GÄVLEBORGS LÄN</t>
        </is>
      </c>
      <c r="G521" t="inlineStr">
        <is>
          <t>LJUSDAL</t>
        </is>
      </c>
      <c r="I521" t="n">
        <v>3.8</v>
      </c>
      <c r="J521" t="n">
        <v>2</v>
      </c>
      <c r="K521" t="n">
        <v>0</v>
      </c>
      <c r="L521" t="n">
        <v>1</v>
      </c>
      <c r="M521" t="n">
        <v>0</v>
      </c>
      <c r="N521" t="n">
        <v>0</v>
      </c>
      <c r="O521" t="n">
        <v>0</v>
      </c>
      <c r="P521" t="n">
        <v>0</v>
      </c>
      <c r="Q521" t="n">
        <v>1</v>
      </c>
      <c r="R521" t="n">
        <v>0</v>
      </c>
      <c r="S521" t="n">
        <v>2</v>
      </c>
      <c r="T521" t="n">
        <v>2</v>
      </c>
      <c r="U521" t="n">
        <v>2</v>
      </c>
      <c r="V521" s="2" t="inlineStr">
        <is>
          <t>Järnsparv
Blåsippa</t>
        </is>
      </c>
      <c r="W521">
        <f>HYPERLINK("https://klasma.github.io/Logging_2161/artfynd/A 25992-2023 artfynd.xlsx", "A 25992-2023")</f>
        <v/>
      </c>
      <c r="X521">
        <f>HYPERLINK("https://klasma.github.io/Logging_2161/kartor/A 25992-2023 karta.png", "A 25992-2023")</f>
        <v/>
      </c>
      <c r="Y521">
        <f>HYPERLINK("https://klasma.github.io/Logging_2161/kartor_geotiff/A 25992-2023 georefererad karta.tif", "A 25992-2023")</f>
        <v/>
      </c>
      <c r="AA521">
        <f>HYPERLINK("https://klasma.github.io/Logging_2161/klagomål/A 25992-2023 FSC-klagomål.docx", "A 25992-2023")</f>
        <v/>
      </c>
      <c r="AB521">
        <f>HYPERLINK("https://klasma.github.io/Logging_2161/klagomålsmail/A 25992-2023 FSC-klagomål mail.docx", "A 25992-2023")</f>
        <v/>
      </c>
      <c r="AC521">
        <f>HYPERLINK("https://klasma.github.io/Logging_2161/tillsyn/A 25992-2023 tillsynsbegäran.docx", "A 25992-2023")</f>
        <v/>
      </c>
      <c r="AD521">
        <f>HYPERLINK("https://klasma.github.io/Logging_2161/tillsynsmail/A 25992-2023 tillsynsbegäran mail.docx", "A 25992-2023")</f>
        <v/>
      </c>
      <c r="AE521">
        <f>HYPERLINK("https://klasma.github.io/Logging_2161/fåglar/A 25992-2023 prioriterade fågelarter.docx", "A 25992-2023")</f>
        <v/>
      </c>
    </row>
    <row r="522" ht="15" customHeight="1">
      <c r="A522" t="inlineStr">
        <is>
          <t>A 53203-2025</t>
        </is>
      </c>
      <c r="B522" t="inlineStr">
        <is>
          <t>avverkningsanmälan</t>
        </is>
      </c>
      <c r="C522" t="inlineStr">
        <is>
          <t>Föryngringsavverkning</t>
        </is>
      </c>
      <c r="D522" s="1" t="n">
        <v>45958</v>
      </c>
      <c r="E522" s="1" t="n">
        <v>46326</v>
      </c>
      <c r="F522" t="inlineStr">
        <is>
          <t>GÄVLEBORGS LÄN</t>
        </is>
      </c>
      <c r="G522" t="inlineStr">
        <is>
          <t>BOLLNÄS</t>
        </is>
      </c>
      <c r="I522" t="n">
        <v>4.3</v>
      </c>
      <c r="J522" t="n">
        <v>2</v>
      </c>
      <c r="K522" t="n">
        <v>0</v>
      </c>
      <c r="L522" t="n">
        <v>1</v>
      </c>
      <c r="M522" t="n">
        <v>0</v>
      </c>
      <c r="N522" t="n">
        <v>0</v>
      </c>
      <c r="O522" t="n">
        <v>0</v>
      </c>
      <c r="P522" t="n">
        <v>0</v>
      </c>
      <c r="Q522" t="n">
        <v>1</v>
      </c>
      <c r="R522" t="n">
        <v>0</v>
      </c>
      <c r="S522" t="n">
        <v>2</v>
      </c>
      <c r="T522" t="n">
        <v>2</v>
      </c>
      <c r="U522" t="n">
        <v>2</v>
      </c>
      <c r="V522" s="2" t="inlineStr">
        <is>
          <t>Rosenfink
Mindre flugsnappare</t>
        </is>
      </c>
      <c r="W522">
        <f>HYPERLINK("https://klasma.github.io/Logging_2183/artfynd/A 53203-2025 artfynd.xlsx", "A 53203-2025")</f>
        <v/>
      </c>
      <c r="X522">
        <f>HYPERLINK("https://klasma.github.io/Logging_2183/kartor/A 53203-2025 karta.png", "A 53203-2025")</f>
        <v/>
      </c>
      <c r="Y522">
        <f>HYPERLINK("https://klasma.github.io/Logging_2183/kartor_geotiff/A 53203-2025 georefererad karta.tif", "A 53203-2025")</f>
        <v/>
      </c>
      <c r="AA522">
        <f>HYPERLINK("https://klasma.github.io/Logging_2183/klagomål/A 53203-2025 FSC-klagomål.docx", "A 53203-2025")</f>
        <v/>
      </c>
      <c r="AB522">
        <f>HYPERLINK("https://klasma.github.io/Logging_2183/klagomålsmail/A 53203-2025 FSC-klagomål mail.docx", "A 53203-2025")</f>
        <v/>
      </c>
      <c r="AC522">
        <f>HYPERLINK("https://klasma.github.io/Logging_2183/tillsyn/A 53203-2025 tillsynsbegäran.docx", "A 53203-2025")</f>
        <v/>
      </c>
      <c r="AD522">
        <f>HYPERLINK("https://klasma.github.io/Logging_2183/tillsynsmail/A 53203-2025 tillsynsbegäran mail.docx", "A 53203-2025")</f>
        <v/>
      </c>
      <c r="AE522">
        <f>HYPERLINK("https://klasma.github.io/Logging_2183/fåglar/A 53203-2025 prioriterade fågelarter.docx", "A 53203-2025")</f>
        <v/>
      </c>
    </row>
    <row r="523" ht="15" customHeight="1">
      <c r="A523" t="inlineStr">
        <is>
          <t>A 56538-2022</t>
        </is>
      </c>
      <c r="B523" t="inlineStr">
        <is>
          <t>avverkningsanmälan</t>
        </is>
      </c>
      <c r="C523" t="inlineStr">
        <is>
          <t>Föryngringsavverkning</t>
        </is>
      </c>
      <c r="D523" s="1" t="n">
        <v>44887</v>
      </c>
      <c r="E523" s="1" t="n">
        <v>46326</v>
      </c>
      <c r="F523" t="inlineStr">
        <is>
          <t>GÄVLEBORGS LÄN</t>
        </is>
      </c>
      <c r="G523" t="inlineStr">
        <is>
          <t>GÄVLE</t>
        </is>
      </c>
      <c r="H523" t="inlineStr">
        <is>
          <t>Bergvik skog väst AB</t>
        </is>
      </c>
      <c r="I523" t="n">
        <v>2.1</v>
      </c>
      <c r="J523" t="n">
        <v>1</v>
      </c>
      <c r="K523" t="n">
        <v>0</v>
      </c>
      <c r="L523" t="n">
        <v>1</v>
      </c>
      <c r="M523" t="n">
        <v>0</v>
      </c>
      <c r="N523" t="n">
        <v>0</v>
      </c>
      <c r="O523" t="n">
        <v>0</v>
      </c>
      <c r="P523" t="n">
        <v>0</v>
      </c>
      <c r="Q523" t="n">
        <v>1</v>
      </c>
      <c r="R523" t="n">
        <v>0</v>
      </c>
      <c r="S523" t="n">
        <v>2</v>
      </c>
      <c r="T523" t="n">
        <v>2</v>
      </c>
      <c r="U523" t="n">
        <v>2</v>
      </c>
      <c r="V523" s="2" t="inlineStr">
        <is>
          <t>Dropptaggsvamp
Blåsippa</t>
        </is>
      </c>
      <c r="W523">
        <f>HYPERLINK("https://klasma.github.io/Logging_2180/artfynd/A 56538-2022 artfynd.xlsx", "A 56538-2022")</f>
        <v/>
      </c>
      <c r="X523">
        <f>HYPERLINK("https://klasma.github.io/Logging_2180/kartor/A 56538-2022 karta.png", "A 56538-2022")</f>
        <v/>
      </c>
      <c r="Y523">
        <f>HYPERLINK("https://klasma.github.io/Logging_2180/kartor_geotiff/A 56538-2022 georefererad karta.tif", "A 56538-2022")</f>
        <v/>
      </c>
      <c r="AA523">
        <f>HYPERLINK("https://klasma.github.io/Logging_2180/klagomål/A 56538-2022 FSC-klagomål.docx", "A 56538-2022")</f>
        <v/>
      </c>
      <c r="AB523">
        <f>HYPERLINK("https://klasma.github.io/Logging_2180/klagomålsmail/A 56538-2022 FSC-klagomål mail.docx", "A 56538-2022")</f>
        <v/>
      </c>
      <c r="AC523">
        <f>HYPERLINK("https://klasma.github.io/Logging_2180/tillsyn/A 56538-2022 tillsynsbegäran.docx", "A 56538-2022")</f>
        <v/>
      </c>
      <c r="AD523">
        <f>HYPERLINK("https://klasma.github.io/Logging_2180/tillsynsmail/A 56538-2022 tillsynsbegäran mail.docx", "A 56538-2022")</f>
        <v/>
      </c>
    </row>
    <row r="524" ht="15" customHeight="1">
      <c r="A524" t="inlineStr">
        <is>
          <t>A 9190-2026</t>
        </is>
      </c>
      <c r="B524" t="inlineStr">
        <is>
          <t>avverkningsanmälan</t>
        </is>
      </c>
      <c r="C524" t="inlineStr">
        <is>
          <t>Föryngringsavverkning</t>
        </is>
      </c>
      <c r="D524" s="1" t="n">
        <v>46070</v>
      </c>
      <c r="E524" s="1" t="n">
        <v>46326</v>
      </c>
      <c r="F524" t="inlineStr">
        <is>
          <t>GÄVLEBORGS LÄN</t>
        </is>
      </c>
      <c r="G524" t="inlineStr">
        <is>
          <t>LJUSDAL</t>
        </is>
      </c>
      <c r="I524" t="n">
        <v>1.5</v>
      </c>
      <c r="J524" t="n">
        <v>2</v>
      </c>
      <c r="K524" t="n">
        <v>0</v>
      </c>
      <c r="L524" t="n">
        <v>0</v>
      </c>
      <c r="M524" t="n">
        <v>1</v>
      </c>
      <c r="N524" t="n">
        <v>0</v>
      </c>
      <c r="O524" t="n">
        <v>0</v>
      </c>
      <c r="P524" t="n">
        <v>0</v>
      </c>
      <c r="Q524" t="n">
        <v>1</v>
      </c>
      <c r="R524" t="n">
        <v>1</v>
      </c>
      <c r="S524" t="n">
        <v>2</v>
      </c>
      <c r="T524" t="n">
        <v>2</v>
      </c>
      <c r="U524" t="n">
        <v>0</v>
      </c>
      <c r="V524" s="2" t="inlineStr">
        <is>
          <t>Knärot
Nattviol</t>
        </is>
      </c>
      <c r="W524">
        <f>HYPERLINK("https://klasma.github.io/Logging_2161/artfynd/A 9190-2026 artfynd.xlsx", "A 9190-2026")</f>
        <v/>
      </c>
      <c r="X524">
        <f>HYPERLINK("https://klasma.github.io/Logging_2161/kartor/A 9190-2026 karta.png", "A 9190-2026")</f>
        <v/>
      </c>
      <c r="Y524">
        <f>HYPERLINK("https://klasma.github.io/Logging_2161/kartor_geotiff/A 9190-2026 georefererad karta.tif", "A 9190-2026")</f>
        <v/>
      </c>
      <c r="Z524">
        <f>HYPERLINK("https://klasma.github.io/Logging_2161/knärot/A 9190-2026 karta knärot.png", "A 9190-2026")</f>
        <v/>
      </c>
      <c r="AA524">
        <f>HYPERLINK("https://klasma.github.io/Logging_2161/klagomål/A 9190-2026 FSC-klagomål.docx", "A 9190-2026")</f>
        <v/>
      </c>
      <c r="AB524">
        <f>HYPERLINK("https://klasma.github.io/Logging_2161/klagomålsmail/A 9190-2026 FSC-klagomål mail.docx", "A 9190-2026")</f>
        <v/>
      </c>
      <c r="AC524">
        <f>HYPERLINK("https://klasma.github.io/Logging_2161/tillsyn/A 9190-2026 tillsynsbegäran.docx", "A 9190-2026")</f>
        <v/>
      </c>
      <c r="AD524">
        <f>HYPERLINK("https://klasma.github.io/Logging_2161/tillsynsmail/A 9190-2026 tillsynsbegäran mail.docx", "A 9190-2026")</f>
        <v/>
      </c>
    </row>
    <row r="525" ht="15" customHeight="1">
      <c r="A525" t="inlineStr">
        <is>
          <t>A 9202-2026</t>
        </is>
      </c>
      <c r="B525" t="inlineStr">
        <is>
          <t>avverkningsanmälan</t>
        </is>
      </c>
      <c r="C525" t="inlineStr">
        <is>
          <t>Föryngringsavverkning</t>
        </is>
      </c>
      <c r="D525" s="1" t="n">
        <v>46070</v>
      </c>
      <c r="E525" s="1" t="n">
        <v>46326</v>
      </c>
      <c r="F525" t="inlineStr">
        <is>
          <t>GÄVLEBORGS LÄN</t>
        </is>
      </c>
      <c r="G525" t="inlineStr">
        <is>
          <t>NORDANSTIG</t>
        </is>
      </c>
      <c r="I525" t="n">
        <v>41</v>
      </c>
      <c r="J525" t="n">
        <v>0</v>
      </c>
      <c r="K525" t="n">
        <v>1</v>
      </c>
      <c r="L525" t="n">
        <v>1</v>
      </c>
      <c r="M525" t="n">
        <v>0</v>
      </c>
      <c r="N525" t="n">
        <v>0</v>
      </c>
      <c r="O525" t="n">
        <v>0</v>
      </c>
      <c r="P525" t="n">
        <v>0</v>
      </c>
      <c r="Q525" t="n">
        <v>1</v>
      </c>
      <c r="R525" t="n">
        <v>0</v>
      </c>
      <c r="S525" t="n">
        <v>2</v>
      </c>
      <c r="T525" t="n">
        <v>2</v>
      </c>
      <c r="U525" t="n">
        <v>0</v>
      </c>
      <c r="V525" s="2" t="inlineStr">
        <is>
          <t>Vitfläckig guldvinge
Barkticka</t>
        </is>
      </c>
      <c r="W525">
        <f>HYPERLINK("https://klasma.github.io/Logging_2132/artfynd/A 9202-2026 artfynd.xlsx", "A 9202-2026")</f>
        <v/>
      </c>
      <c r="X525">
        <f>HYPERLINK("https://klasma.github.io/Logging_2132/kartor/A 9202-2026 karta.png", "A 9202-2026")</f>
        <v/>
      </c>
      <c r="Y525">
        <f>HYPERLINK("https://klasma.github.io/Logging_2132/kartor_geotiff/A 9202-2026 georefererad karta.tif", "A 9202-2026")</f>
        <v/>
      </c>
      <c r="AA525">
        <f>HYPERLINK("https://klasma.github.io/Logging_2132/klagomål/A 9202-2026 FSC-klagomål.docx", "A 9202-2026")</f>
        <v/>
      </c>
      <c r="AB525">
        <f>HYPERLINK("https://klasma.github.io/Logging_2132/klagomålsmail/A 9202-2026 FSC-klagomål mail.docx", "A 9202-2026")</f>
        <v/>
      </c>
      <c r="AC525">
        <f>HYPERLINK("https://klasma.github.io/Logging_2132/tillsyn/A 9202-2026 tillsynsbegäran.docx", "A 9202-2026")</f>
        <v/>
      </c>
      <c r="AD525">
        <f>HYPERLINK("https://klasma.github.io/Logging_2132/tillsynsmail/A 9202-2026 tillsynsbegäran mail.docx", "A 9202-2026")</f>
        <v/>
      </c>
    </row>
    <row r="526" ht="15" customHeight="1">
      <c r="A526" t="inlineStr">
        <is>
          <t>A 10368-2026</t>
        </is>
      </c>
      <c r="B526" t="inlineStr">
        <is>
          <t>avverkningsanmälan</t>
        </is>
      </c>
      <c r="C526" t="inlineStr">
        <is>
          <t>Föryngringsavverkning</t>
        </is>
      </c>
      <c r="D526" s="1" t="n">
        <v>46076</v>
      </c>
      <c r="E526" s="1" t="n">
        <v>46326</v>
      </c>
      <c r="F526" t="inlineStr">
        <is>
          <t>GÄVLEBORGS LÄN</t>
        </is>
      </c>
      <c r="G526" t="inlineStr">
        <is>
          <t>HUDIKSVALL</t>
        </is>
      </c>
      <c r="H526" t="inlineStr">
        <is>
          <t>Holmen skog AB</t>
        </is>
      </c>
      <c r="I526" t="n">
        <v>14</v>
      </c>
      <c r="J526" t="n">
        <v>2</v>
      </c>
      <c r="K526" t="n">
        <v>0</v>
      </c>
      <c r="L526" t="n">
        <v>0</v>
      </c>
      <c r="M526" t="n">
        <v>0</v>
      </c>
      <c r="N526" t="n">
        <v>0</v>
      </c>
      <c r="O526" t="n">
        <v>0</v>
      </c>
      <c r="P526" t="n">
        <v>0</v>
      </c>
      <c r="Q526" t="n">
        <v>0</v>
      </c>
      <c r="R526" t="n">
        <v>0</v>
      </c>
      <c r="S526" t="n">
        <v>2</v>
      </c>
      <c r="T526" t="n">
        <v>2</v>
      </c>
      <c r="U526" t="n">
        <v>0</v>
      </c>
      <c r="V526" s="2" t="inlineStr">
        <is>
          <t>Spillkråka
Revlummer</t>
        </is>
      </c>
      <c r="W526">
        <f>HYPERLINK("https://klasma.github.io/Logging_2184/artfynd/A 10368-2026 artfynd.xlsx", "A 10368-2026")</f>
        <v/>
      </c>
      <c r="X526">
        <f>HYPERLINK("https://klasma.github.io/Logging_2184/kartor/A 10368-2026 karta.png", "A 10368-2026")</f>
        <v/>
      </c>
      <c r="Y526">
        <f>HYPERLINK("https://klasma.github.io/Logging_2184/kartor_geotiff/A 10368-2026 georefererad karta.tif", "A 10368-2026")</f>
        <v/>
      </c>
      <c r="AA526">
        <f>HYPERLINK("https://klasma.github.io/Logging_2184/klagomål/A 10368-2026 FSC-klagomål.docx", "A 10368-2026")</f>
        <v/>
      </c>
      <c r="AB526">
        <f>HYPERLINK("https://klasma.github.io/Logging_2184/klagomålsmail/A 10368-2026 FSC-klagomål mail.docx", "A 10368-2026")</f>
        <v/>
      </c>
      <c r="AC526">
        <f>HYPERLINK("https://klasma.github.io/Logging_2184/tillsyn/A 10368-2026 tillsynsbegäran.docx", "A 10368-2026")</f>
        <v/>
      </c>
      <c r="AD526">
        <f>HYPERLINK("https://klasma.github.io/Logging_2184/tillsynsmail/A 10368-2026 tillsynsbegäran mail.docx", "A 10368-2026")</f>
        <v/>
      </c>
      <c r="AE526">
        <f>HYPERLINK("https://klasma.github.io/Logging_2184/fåglar/A 10368-2026 prioriterade fågelarter.docx", "A 10368-2026")</f>
        <v/>
      </c>
    </row>
    <row r="527" ht="15" customHeight="1">
      <c r="A527" t="inlineStr">
        <is>
          <t>A 10738-2026</t>
        </is>
      </c>
      <c r="B527" t="inlineStr">
        <is>
          <t>avverkningsanmälan</t>
        </is>
      </c>
      <c r="C527" t="inlineStr">
        <is>
          <t>Föryngringsavverkning</t>
        </is>
      </c>
      <c r="D527" s="1" t="n">
        <v>46078</v>
      </c>
      <c r="E527" s="1" t="n">
        <v>46326</v>
      </c>
      <c r="F527" t="inlineStr">
        <is>
          <t>GÄVLEBORGS LÄN</t>
        </is>
      </c>
      <c r="G527" t="inlineStr">
        <is>
          <t>LJUSDAL</t>
        </is>
      </c>
      <c r="H527" t="inlineStr">
        <is>
          <t>Bergvik skog väst AB</t>
        </is>
      </c>
      <c r="I527" t="n">
        <v>12.2</v>
      </c>
      <c r="J527" t="n">
        <v>1</v>
      </c>
      <c r="K527" t="n">
        <v>0</v>
      </c>
      <c r="L527" t="n">
        <v>1</v>
      </c>
      <c r="M527" t="n">
        <v>1</v>
      </c>
      <c r="N527" t="n">
        <v>0</v>
      </c>
      <c r="O527" t="n">
        <v>0</v>
      </c>
      <c r="P527" t="n">
        <v>0</v>
      </c>
      <c r="Q527" t="n">
        <v>2</v>
      </c>
      <c r="R527" t="n">
        <v>1</v>
      </c>
      <c r="S527" t="n">
        <v>2</v>
      </c>
      <c r="T527" t="n">
        <v>2</v>
      </c>
      <c r="U527" t="n">
        <v>0</v>
      </c>
      <c r="V527" s="2" t="inlineStr">
        <is>
          <t>Knärot
Vedtrappmossa</t>
        </is>
      </c>
      <c r="W527">
        <f>HYPERLINK("https://klasma.github.io/Logging_2161/artfynd/A 10738-2026 artfynd.xlsx", "A 10738-2026")</f>
        <v/>
      </c>
      <c r="X527">
        <f>HYPERLINK("https://klasma.github.io/Logging_2161/kartor/A 10738-2026 karta.png", "A 10738-2026")</f>
        <v/>
      </c>
      <c r="Y527">
        <f>HYPERLINK("https://klasma.github.io/Logging_2161/kartor_geotiff/A 10738-2026 georefererad karta.tif", "A 10738-2026")</f>
        <v/>
      </c>
      <c r="Z527">
        <f>HYPERLINK("https://klasma.github.io/Logging_2161/knärot/A 10738-2026 karta knärot.png", "A 10738-2026")</f>
        <v/>
      </c>
      <c r="AA527">
        <f>HYPERLINK("https://klasma.github.io/Logging_2161/klagomål/A 10738-2026 FSC-klagomål.docx", "A 10738-2026")</f>
        <v/>
      </c>
      <c r="AB527">
        <f>HYPERLINK("https://klasma.github.io/Logging_2161/klagomålsmail/A 10738-2026 FSC-klagomål mail.docx", "A 10738-2026")</f>
        <v/>
      </c>
      <c r="AC527">
        <f>HYPERLINK("https://klasma.github.io/Logging_2161/tillsyn/A 10738-2026 tillsynsbegäran.docx", "A 10738-2026")</f>
        <v/>
      </c>
      <c r="AD527">
        <f>HYPERLINK("https://klasma.github.io/Logging_2161/tillsynsmail/A 10738-2026 tillsynsbegäran mail.docx", "A 10738-2026")</f>
        <v/>
      </c>
    </row>
    <row r="528" ht="15" customHeight="1">
      <c r="A528" t="inlineStr">
        <is>
          <t>A 18218-2024</t>
        </is>
      </c>
      <c r="B528" t="inlineStr">
        <is>
          <t>avverkningsanmälan</t>
        </is>
      </c>
      <c r="C528" t="inlineStr">
        <is>
          <t>Föryngringsavverkning</t>
        </is>
      </c>
      <c r="D528" s="1" t="n">
        <v>45420</v>
      </c>
      <c r="E528" s="1" t="n">
        <v>46326</v>
      </c>
      <c r="F528" t="inlineStr">
        <is>
          <t>GÄVLEBORGS LÄN</t>
        </is>
      </c>
      <c r="G528" t="inlineStr">
        <is>
          <t>GÄVLE</t>
        </is>
      </c>
      <c r="H528" t="inlineStr">
        <is>
          <t>Bergvik skog väst AB</t>
        </is>
      </c>
      <c r="I528" t="n">
        <v>13.1</v>
      </c>
      <c r="J528" t="n">
        <v>2</v>
      </c>
      <c r="K528" t="n">
        <v>0</v>
      </c>
      <c r="L528" t="n">
        <v>0</v>
      </c>
      <c r="M528" t="n">
        <v>0</v>
      </c>
      <c r="N528" t="n">
        <v>0</v>
      </c>
      <c r="O528" t="n">
        <v>0</v>
      </c>
      <c r="P528" t="n">
        <v>0</v>
      </c>
      <c r="Q528" t="n">
        <v>0</v>
      </c>
      <c r="R528" t="n">
        <v>0</v>
      </c>
      <c r="S528" t="n">
        <v>2</v>
      </c>
      <c r="T528" t="n">
        <v>2</v>
      </c>
      <c r="U528" t="n">
        <v>2</v>
      </c>
      <c r="V528" s="2" t="inlineStr">
        <is>
          <t>Blåsippa
Havsörn</t>
        </is>
      </c>
      <c r="W528">
        <f>HYPERLINK("https://klasma.github.io/Logging_2180/artfynd/A 18218-2024 artfynd.xlsx", "A 18218-2024")</f>
        <v/>
      </c>
      <c r="X528">
        <f>HYPERLINK("https://klasma.github.io/Logging_2180/kartor/A 18218-2024 karta.png", "A 18218-2024")</f>
        <v/>
      </c>
      <c r="Y528">
        <f>HYPERLINK("https://klasma.github.io/Logging_2180/kartor_geotiff/A 18218-2024 georefererad karta.tif", "A 18218-2024")</f>
        <v/>
      </c>
      <c r="AA528">
        <f>HYPERLINK("https://klasma.github.io/Logging_2180/klagomål/A 18218-2024 FSC-klagomål.docx", "A 18218-2024")</f>
        <v/>
      </c>
      <c r="AB528">
        <f>HYPERLINK("https://klasma.github.io/Logging_2180/klagomålsmail/A 18218-2024 FSC-klagomål mail.docx", "A 18218-2024")</f>
        <v/>
      </c>
      <c r="AC528">
        <f>HYPERLINK("https://klasma.github.io/Logging_2180/tillsyn/A 18218-2024 tillsynsbegäran.docx", "A 18218-2024")</f>
        <v/>
      </c>
      <c r="AD528">
        <f>HYPERLINK("https://klasma.github.io/Logging_2180/tillsynsmail/A 18218-2024 tillsynsbegäran mail.docx", "A 18218-2024")</f>
        <v/>
      </c>
      <c r="AE528">
        <f>HYPERLINK("https://klasma.github.io/Logging_2180/fåglar/A 18218-2024 prioriterade fågelarter.docx", "A 18218-2024")</f>
        <v/>
      </c>
    </row>
    <row r="529" ht="15" customHeight="1">
      <c r="A529" t="inlineStr">
        <is>
          <t>A 64533-2023</t>
        </is>
      </c>
      <c r="B529" t="inlineStr">
        <is>
          <t>avverkningsanmälan</t>
        </is>
      </c>
      <c r="C529" t="inlineStr">
        <is>
          <t>Föryngringsavverkning</t>
        </is>
      </c>
      <c r="D529" s="1" t="n">
        <v>45281</v>
      </c>
      <c r="E529" s="1" t="n">
        <v>46326</v>
      </c>
      <c r="F529" t="inlineStr">
        <is>
          <t>GÄVLEBORGS LÄN</t>
        </is>
      </c>
      <c r="G529" t="inlineStr">
        <is>
          <t>GÄVLE</t>
        </is>
      </c>
      <c r="I529" t="n">
        <v>1.1</v>
      </c>
      <c r="J529" t="n">
        <v>0</v>
      </c>
      <c r="K529" t="n">
        <v>2</v>
      </c>
      <c r="L529" t="n">
        <v>0</v>
      </c>
      <c r="M529" t="n">
        <v>0</v>
      </c>
      <c r="N529" t="n">
        <v>0</v>
      </c>
      <c r="O529" t="n">
        <v>0</v>
      </c>
      <c r="P529" t="n">
        <v>0</v>
      </c>
      <c r="Q529" t="n">
        <v>0</v>
      </c>
      <c r="R529" t="n">
        <v>0</v>
      </c>
      <c r="S529" t="n">
        <v>2</v>
      </c>
      <c r="T529" t="n">
        <v>4</v>
      </c>
      <c r="U529" t="n">
        <v>0</v>
      </c>
      <c r="V529" s="2" t="inlineStr">
        <is>
          <t>Aspvedgnagare
Jättesvampmal</t>
        </is>
      </c>
      <c r="W529">
        <f>HYPERLINK("https://klasma.github.io/Logging_2180/artfynd/A 64533-2023 artfynd.xlsx", "A 64533-2023")</f>
        <v/>
      </c>
      <c r="X529">
        <f>HYPERLINK("https://klasma.github.io/Logging_2180/kartor/A 64533-2023 karta.png", "A 64533-2023")</f>
        <v/>
      </c>
      <c r="Y529">
        <f>HYPERLINK("https://klasma.github.io/Logging_2180/kartor_geotiff/A 64533-2023 georefererad karta.tif", "A 64533-2023")</f>
        <v/>
      </c>
      <c r="AA529">
        <f>HYPERLINK("https://klasma.github.io/Logging_2180/klagomål/A 64533-2023 FSC-klagomål.docx", "A 64533-2023")</f>
        <v/>
      </c>
      <c r="AB529">
        <f>HYPERLINK("https://klasma.github.io/Logging_2180/klagomålsmail/A 64533-2023 FSC-klagomål mail.docx", "A 64533-2023")</f>
        <v/>
      </c>
      <c r="AC529">
        <f>HYPERLINK("https://klasma.github.io/Logging_2180/tillsyn/A 64533-2023 tillsynsbegäran.docx", "A 64533-2023")</f>
        <v/>
      </c>
      <c r="AD529">
        <f>HYPERLINK("https://klasma.github.io/Logging_2180/tillsynsmail/A 64533-2023 tillsynsbegäran mail.docx", "A 64533-2023")</f>
        <v/>
      </c>
    </row>
    <row r="530" ht="15" customHeight="1">
      <c r="A530" t="inlineStr">
        <is>
          <t>A 60541-2022</t>
        </is>
      </c>
      <c r="B530" t="inlineStr">
        <is>
          <t>avverkningsanmälan</t>
        </is>
      </c>
      <c r="C530" t="inlineStr">
        <is>
          <t>Föryngringsavverkning</t>
        </is>
      </c>
      <c r="D530" s="1" t="n">
        <v>44911</v>
      </c>
      <c r="E530" s="1" t="n">
        <v>46326</v>
      </c>
      <c r="F530" t="inlineStr">
        <is>
          <t>GÄVLEBORGS LÄN</t>
        </is>
      </c>
      <c r="G530" t="inlineStr">
        <is>
          <t>LJUSDAL</t>
        </is>
      </c>
      <c r="H530" t="inlineStr">
        <is>
          <t>Bergvik skog väst AB</t>
        </is>
      </c>
      <c r="I530" t="n">
        <v>5.4</v>
      </c>
      <c r="J530" t="n">
        <v>2</v>
      </c>
      <c r="K530" t="n">
        <v>0</v>
      </c>
      <c r="L530" t="n">
        <v>0</v>
      </c>
      <c r="M530" t="n">
        <v>0</v>
      </c>
      <c r="N530" t="n">
        <v>1</v>
      </c>
      <c r="O530" t="n">
        <v>0</v>
      </c>
      <c r="P530" t="n">
        <v>0</v>
      </c>
      <c r="Q530" t="n">
        <v>1</v>
      </c>
      <c r="R530" t="n">
        <v>1</v>
      </c>
      <c r="S530" t="n">
        <v>2</v>
      </c>
      <c r="T530" t="n">
        <v>2</v>
      </c>
      <c r="U530" t="n">
        <v>2</v>
      </c>
      <c r="V530" s="2" t="inlineStr">
        <is>
          <t>Pärluggla
Orre</t>
        </is>
      </c>
      <c r="W530">
        <f>HYPERLINK("https://klasma.github.io/Logging_2161/artfynd/A 60541-2022 artfynd.xlsx", "A 60541-2022")</f>
        <v/>
      </c>
      <c r="X530">
        <f>HYPERLINK("https://klasma.github.io/Logging_2161/kartor/A 60541-2022 karta.png", "A 60541-2022")</f>
        <v/>
      </c>
      <c r="Y530">
        <f>HYPERLINK("https://klasma.github.io/Logging_2161/kartor_geotiff/A 60541-2022 georefererad karta.tif", "A 60541-2022")</f>
        <v/>
      </c>
      <c r="AA530">
        <f>HYPERLINK("https://klasma.github.io/Logging_2161/klagomål/A 60541-2022 FSC-klagomål.docx", "A 60541-2022")</f>
        <v/>
      </c>
      <c r="AB530">
        <f>HYPERLINK("https://klasma.github.io/Logging_2161/klagomålsmail/A 60541-2022 FSC-klagomål mail.docx", "A 60541-2022")</f>
        <v/>
      </c>
      <c r="AC530">
        <f>HYPERLINK("https://klasma.github.io/Logging_2161/tillsyn/A 60541-2022 tillsynsbegäran.docx", "A 60541-2022")</f>
        <v/>
      </c>
      <c r="AD530">
        <f>HYPERLINK("https://klasma.github.io/Logging_2161/tillsynsmail/A 60541-2022 tillsynsbegäran mail.docx", "A 60541-2022")</f>
        <v/>
      </c>
      <c r="AE530">
        <f>HYPERLINK("https://klasma.github.io/Logging_2161/fåglar/A 60541-2022 prioriterade fågelarter.docx", "A 60541-2022")</f>
        <v/>
      </c>
    </row>
    <row r="531" ht="15" customHeight="1">
      <c r="A531" t="inlineStr">
        <is>
          <t>A 31066-2024</t>
        </is>
      </c>
      <c r="B531" t="inlineStr">
        <is>
          <t>avverkningsanmälan</t>
        </is>
      </c>
      <c r="C531" t="inlineStr">
        <is>
          <t>Föryngringsavverkning</t>
        </is>
      </c>
      <c r="D531" s="1" t="n">
        <v>45502</v>
      </c>
      <c r="E531" s="1" t="n">
        <v>46326</v>
      </c>
      <c r="F531" t="inlineStr">
        <is>
          <t>GÄVLEBORGS LÄN</t>
        </is>
      </c>
      <c r="G531" t="inlineStr">
        <is>
          <t>NORDANSTIG</t>
        </is>
      </c>
      <c r="H531" t="inlineStr">
        <is>
          <t>Holmen skog AB</t>
        </is>
      </c>
      <c r="I531" t="n">
        <v>4.7</v>
      </c>
      <c r="J531" t="n">
        <v>0</v>
      </c>
      <c r="K531" t="n">
        <v>1</v>
      </c>
      <c r="L531" t="n">
        <v>1</v>
      </c>
      <c r="M531" t="n">
        <v>0</v>
      </c>
      <c r="N531" t="n">
        <v>0</v>
      </c>
      <c r="O531" t="n">
        <v>0</v>
      </c>
      <c r="P531" t="n">
        <v>0</v>
      </c>
      <c r="Q531" t="n">
        <v>1</v>
      </c>
      <c r="R531" t="n">
        <v>0</v>
      </c>
      <c r="S531" t="n">
        <v>2</v>
      </c>
      <c r="T531" t="n">
        <v>2</v>
      </c>
      <c r="U531" t="n">
        <v>0</v>
      </c>
      <c r="V531" s="2" t="inlineStr">
        <is>
          <t>Lunglav
Smal svampklubba</t>
        </is>
      </c>
      <c r="W531">
        <f>HYPERLINK("https://klasma.github.io/Logging_2132/artfynd/A 31066-2024 artfynd.xlsx", "A 31066-2024")</f>
        <v/>
      </c>
      <c r="X531">
        <f>HYPERLINK("https://klasma.github.io/Logging_2132/kartor/A 31066-2024 karta.png", "A 31066-2024")</f>
        <v/>
      </c>
      <c r="Y531">
        <f>HYPERLINK("https://klasma.github.io/Logging_2132/kartor_geotiff/A 31066-2024 georefererad karta.tif", "A 31066-2024")</f>
        <v/>
      </c>
      <c r="AA531">
        <f>HYPERLINK("https://klasma.github.io/Logging_2132/klagomål/A 31066-2024 FSC-klagomål.docx", "A 31066-2024")</f>
        <v/>
      </c>
      <c r="AB531">
        <f>HYPERLINK("https://klasma.github.io/Logging_2132/klagomålsmail/A 31066-2024 FSC-klagomål mail.docx", "A 31066-2024")</f>
        <v/>
      </c>
      <c r="AC531">
        <f>HYPERLINK("https://klasma.github.io/Logging_2132/tillsyn/A 31066-2024 tillsynsbegäran.docx", "A 31066-2024")</f>
        <v/>
      </c>
      <c r="AD531">
        <f>HYPERLINK("https://klasma.github.io/Logging_2132/tillsynsmail/A 31066-2024 tillsynsbegäran mail.docx", "A 31066-2024")</f>
        <v/>
      </c>
    </row>
    <row r="532" ht="15" customHeight="1">
      <c r="A532" t="inlineStr">
        <is>
          <t>A 11946-2026</t>
        </is>
      </c>
      <c r="B532" t="inlineStr">
        <is>
          <t>avverkningsanmälan</t>
        </is>
      </c>
      <c r="C532" t="inlineStr">
        <is>
          <t>Föryngringsavverkning</t>
        </is>
      </c>
      <c r="D532" s="1" t="n">
        <v>46085</v>
      </c>
      <c r="E532" s="1" t="n">
        <v>46326</v>
      </c>
      <c r="F532" t="inlineStr">
        <is>
          <t>GÄVLEBORGS LÄN</t>
        </is>
      </c>
      <c r="G532" t="inlineStr">
        <is>
          <t>BOLLNÄS</t>
        </is>
      </c>
      <c r="I532" t="n">
        <v>8.5</v>
      </c>
      <c r="J532" t="n">
        <v>0</v>
      </c>
      <c r="K532" t="n">
        <v>0</v>
      </c>
      <c r="L532" t="n">
        <v>2</v>
      </c>
      <c r="M532" t="n">
        <v>0</v>
      </c>
      <c r="N532" t="n">
        <v>0</v>
      </c>
      <c r="O532" t="n">
        <v>0</v>
      </c>
      <c r="P532" t="n">
        <v>0</v>
      </c>
      <c r="Q532" t="n">
        <v>2</v>
      </c>
      <c r="R532" t="n">
        <v>0</v>
      </c>
      <c r="S532" t="n">
        <v>2</v>
      </c>
      <c r="T532" t="n">
        <v>2</v>
      </c>
      <c r="U532" t="n">
        <v>0</v>
      </c>
      <c r="V532" s="2" t="inlineStr">
        <is>
          <t>Månlåsbräken
Sandviol</t>
        </is>
      </c>
      <c r="W532">
        <f>HYPERLINK("https://klasma.github.io/Logging_2183/artfynd/A 11946-2026 artfynd.xlsx", "A 11946-2026")</f>
        <v/>
      </c>
      <c r="X532">
        <f>HYPERLINK("https://klasma.github.io/Logging_2183/kartor/A 11946-2026 karta.png", "A 11946-2026")</f>
        <v/>
      </c>
      <c r="Y532">
        <f>HYPERLINK("https://klasma.github.io/Logging_2183/kartor_geotiff/A 11946-2026 georefererad karta.tif", "A 11946-2026")</f>
        <v/>
      </c>
      <c r="AA532">
        <f>HYPERLINK("https://klasma.github.io/Logging_2183/klagomål/A 11946-2026 FSC-klagomål.docx", "A 11946-2026")</f>
        <v/>
      </c>
      <c r="AB532">
        <f>HYPERLINK("https://klasma.github.io/Logging_2183/klagomålsmail/A 11946-2026 FSC-klagomål mail.docx", "A 11946-2026")</f>
        <v/>
      </c>
      <c r="AC532">
        <f>HYPERLINK("https://klasma.github.io/Logging_2183/tillsyn/A 11946-2026 tillsynsbegäran.docx", "A 11946-2026")</f>
        <v/>
      </c>
      <c r="AD532">
        <f>HYPERLINK("https://klasma.github.io/Logging_2183/tillsynsmail/A 11946-2026 tillsynsbegäran mail.docx", "A 11946-2026")</f>
        <v/>
      </c>
    </row>
    <row r="533" ht="15" customHeight="1">
      <c r="A533" t="inlineStr">
        <is>
          <t>A 58878-2025</t>
        </is>
      </c>
      <c r="B533" t="inlineStr">
        <is>
          <t>avverkningsanmälan</t>
        </is>
      </c>
      <c r="C533" t="inlineStr">
        <is>
          <t>Föryngringsavverkning</t>
        </is>
      </c>
      <c r="D533" s="1" t="n">
        <v>45987</v>
      </c>
      <c r="E533" s="1" t="n">
        <v>46326</v>
      </c>
      <c r="F533" t="inlineStr">
        <is>
          <t>GÄVLEBORGS LÄN</t>
        </is>
      </c>
      <c r="G533" t="inlineStr">
        <is>
          <t>LJUSDAL</t>
        </is>
      </c>
      <c r="H533" t="inlineStr">
        <is>
          <t>Sveaskog</t>
        </is>
      </c>
      <c r="I533" t="n">
        <v>6.9</v>
      </c>
      <c r="J533" t="n">
        <v>1</v>
      </c>
      <c r="K533" t="n">
        <v>0</v>
      </c>
      <c r="L533" t="n">
        <v>1</v>
      </c>
      <c r="M533" t="n">
        <v>1</v>
      </c>
      <c r="N533" t="n">
        <v>0</v>
      </c>
      <c r="O533" t="n">
        <v>0</v>
      </c>
      <c r="P533" t="n">
        <v>0</v>
      </c>
      <c r="Q533" t="n">
        <v>2</v>
      </c>
      <c r="R533" t="n">
        <v>1</v>
      </c>
      <c r="S533" t="n">
        <v>2</v>
      </c>
      <c r="T533" t="n">
        <v>2</v>
      </c>
      <c r="U533" t="n">
        <v>0</v>
      </c>
      <c r="V533" s="2" t="inlineStr">
        <is>
          <t>Knärot
Lunglav</t>
        </is>
      </c>
      <c r="W533">
        <f>HYPERLINK("https://klasma.github.io/Logging_2161/artfynd/A 58878-2025 artfynd.xlsx", "A 58878-2025")</f>
        <v/>
      </c>
      <c r="X533">
        <f>HYPERLINK("https://klasma.github.io/Logging_2161/kartor/A 58878-2025 karta.png", "A 58878-2025")</f>
        <v/>
      </c>
      <c r="Y533">
        <f>HYPERLINK("https://klasma.github.io/Logging_2161/kartor_geotiff/A 58878-2025 georefererad karta.tif", "A 58878-2025")</f>
        <v/>
      </c>
      <c r="Z533">
        <f>HYPERLINK("https://klasma.github.io/Logging_2161/knärot/A 58878-2025 karta knärot.png", "A 58878-2025")</f>
        <v/>
      </c>
      <c r="AA533">
        <f>HYPERLINK("https://klasma.github.io/Logging_2161/klagomål/A 58878-2025 FSC-klagomål.docx", "A 58878-2025")</f>
        <v/>
      </c>
      <c r="AB533">
        <f>HYPERLINK("https://klasma.github.io/Logging_2161/klagomålsmail/A 58878-2025 FSC-klagomål mail.docx", "A 58878-2025")</f>
        <v/>
      </c>
      <c r="AC533">
        <f>HYPERLINK("https://klasma.github.io/Logging_2161/tillsyn/A 58878-2025 tillsynsbegäran.docx", "A 58878-2025")</f>
        <v/>
      </c>
      <c r="AD533">
        <f>HYPERLINK("https://klasma.github.io/Logging_2161/tillsynsmail/A 58878-2025 tillsynsbegäran mail.docx", "A 58878-2025")</f>
        <v/>
      </c>
    </row>
    <row r="534" ht="15" customHeight="1">
      <c r="A534" t="inlineStr">
        <is>
          <t>A 59850-2025</t>
        </is>
      </c>
      <c r="B534" t="inlineStr">
        <is>
          <t>avverkningsanmälan</t>
        </is>
      </c>
      <c r="C534" t="inlineStr">
        <is>
          <t>Föryngringsavverkning</t>
        </is>
      </c>
      <c r="D534" s="1" t="n">
        <v>45992</v>
      </c>
      <c r="E534" s="1" t="n">
        <v>46326</v>
      </c>
      <c r="F534" t="inlineStr">
        <is>
          <t>GÄVLEBORGS LÄN</t>
        </is>
      </c>
      <c r="G534" t="inlineStr">
        <is>
          <t>LJUSDAL</t>
        </is>
      </c>
      <c r="H534" t="inlineStr">
        <is>
          <t>Allmännings- och besparingsskogar</t>
        </is>
      </c>
      <c r="I534" t="n">
        <v>3.4</v>
      </c>
      <c r="J534" t="n">
        <v>0</v>
      </c>
      <c r="K534" t="n">
        <v>0</v>
      </c>
      <c r="L534" t="n">
        <v>1</v>
      </c>
      <c r="M534" t="n">
        <v>1</v>
      </c>
      <c r="N534" t="n">
        <v>0</v>
      </c>
      <c r="O534" t="n">
        <v>0</v>
      </c>
      <c r="P534" t="n">
        <v>0</v>
      </c>
      <c r="Q534" t="n">
        <v>2</v>
      </c>
      <c r="R534" t="n">
        <v>1</v>
      </c>
      <c r="S534" t="n">
        <v>2</v>
      </c>
      <c r="T534" t="n">
        <v>3</v>
      </c>
      <c r="U534" t="n">
        <v>3</v>
      </c>
      <c r="V534" s="2" t="inlineStr">
        <is>
          <t>Garnlav
Violettgrå tagellav</t>
        </is>
      </c>
      <c r="W534">
        <f>HYPERLINK("https://klasma.github.io/Logging_2161/artfynd/A 59850-2025 artfynd.xlsx", "A 59850-2025")</f>
        <v/>
      </c>
      <c r="X534">
        <f>HYPERLINK("https://klasma.github.io/Logging_2161/kartor/A 59850-2025 karta.png", "A 59850-2025")</f>
        <v/>
      </c>
      <c r="Y534">
        <f>HYPERLINK("https://klasma.github.io/Logging_2161/kartor_geotiff/A 59850-2025 georefererad karta.tif", "A 59850-2025")</f>
        <v/>
      </c>
      <c r="AA534">
        <f>HYPERLINK("https://klasma.github.io/Logging_2161/klagomål/A 59850-2025 FSC-klagomål.docx", "A 59850-2025")</f>
        <v/>
      </c>
      <c r="AB534">
        <f>HYPERLINK("https://klasma.github.io/Logging_2161/klagomålsmail/A 59850-2025 FSC-klagomål mail.docx", "A 59850-2025")</f>
        <v/>
      </c>
      <c r="AC534">
        <f>HYPERLINK("https://klasma.github.io/Logging_2161/tillsyn/A 59850-2025 tillsynsbegäran.docx", "A 59850-2025")</f>
        <v/>
      </c>
      <c r="AD534">
        <f>HYPERLINK("https://klasma.github.io/Logging_2161/tillsynsmail/A 59850-2025 tillsynsbegäran mail.docx", "A 59850-2025")</f>
        <v/>
      </c>
    </row>
    <row r="535" ht="15" customHeight="1">
      <c r="A535" t="inlineStr">
        <is>
          <t>A 59754-2025</t>
        </is>
      </c>
      <c r="B535" t="inlineStr">
        <is>
          <t>avverkningsanmälan</t>
        </is>
      </c>
      <c r="C535" t="inlineStr">
        <is>
          <t>Föryngringsavverkning</t>
        </is>
      </c>
      <c r="D535" s="1" t="n">
        <v>45992</v>
      </c>
      <c r="E535" s="1" t="n">
        <v>46326</v>
      </c>
      <c r="F535" t="inlineStr">
        <is>
          <t>GÄVLEBORGS LÄN</t>
        </is>
      </c>
      <c r="G535" t="inlineStr">
        <is>
          <t>SÖDERHAMN</t>
        </is>
      </c>
      <c r="H535" t="inlineStr">
        <is>
          <t>Bergvik skog väst AB</t>
        </is>
      </c>
      <c r="I535" t="n">
        <v>2.8</v>
      </c>
      <c r="J535" t="n">
        <v>1</v>
      </c>
      <c r="K535" t="n">
        <v>1</v>
      </c>
      <c r="L535" t="n">
        <v>0</v>
      </c>
      <c r="M535" t="n">
        <v>0</v>
      </c>
      <c r="N535" t="n">
        <v>0</v>
      </c>
      <c r="O535" t="n">
        <v>0</v>
      </c>
      <c r="P535" t="n">
        <v>0</v>
      </c>
      <c r="Q535" t="n">
        <v>0</v>
      </c>
      <c r="R535" t="n">
        <v>0</v>
      </c>
      <c r="S535" t="n">
        <v>2</v>
      </c>
      <c r="T535" t="n">
        <v>2</v>
      </c>
      <c r="U535" t="n">
        <v>2</v>
      </c>
      <c r="V535" s="2" t="inlineStr">
        <is>
          <t>Jättesvampmal
Spillkråka</t>
        </is>
      </c>
      <c r="W535">
        <f>HYPERLINK("https://klasma.github.io/Logging_2182/artfynd/A 59754-2025 artfynd.xlsx", "A 59754-2025")</f>
        <v/>
      </c>
      <c r="X535">
        <f>HYPERLINK("https://klasma.github.io/Logging_2182/kartor/A 59754-2025 karta.png", "A 59754-2025")</f>
        <v/>
      </c>
      <c r="Y535">
        <f>HYPERLINK("https://klasma.github.io/Logging_2182/kartor_geotiff/A 59754-2025 georefererad karta.tif", "A 59754-2025")</f>
        <v/>
      </c>
      <c r="AA535">
        <f>HYPERLINK("https://klasma.github.io/Logging_2182/klagomål/A 59754-2025 FSC-klagomål.docx", "A 59754-2025")</f>
        <v/>
      </c>
      <c r="AB535">
        <f>HYPERLINK("https://klasma.github.io/Logging_2182/klagomålsmail/A 59754-2025 FSC-klagomål mail.docx", "A 59754-2025")</f>
        <v/>
      </c>
      <c r="AC535">
        <f>HYPERLINK("https://klasma.github.io/Logging_2182/tillsyn/A 59754-2025 tillsynsbegäran.docx", "A 59754-2025")</f>
        <v/>
      </c>
      <c r="AD535">
        <f>HYPERLINK("https://klasma.github.io/Logging_2182/tillsynsmail/A 59754-2025 tillsynsbegäran mail.docx", "A 59754-2025")</f>
        <v/>
      </c>
      <c r="AE535">
        <f>HYPERLINK("https://klasma.github.io/Logging_2182/fåglar/A 59754-2025 prioriterade fågelarter.docx", "A 59754-2025")</f>
        <v/>
      </c>
    </row>
    <row r="536" ht="15" customHeight="1">
      <c r="A536" t="inlineStr">
        <is>
          <t>A 60231-2025</t>
        </is>
      </c>
      <c r="B536" t="inlineStr">
        <is>
          <t>avverkningsanmälan</t>
        </is>
      </c>
      <c r="C536" t="inlineStr">
        <is>
          <t>Föryngringsavverkning</t>
        </is>
      </c>
      <c r="D536" s="1" t="n">
        <v>45994</v>
      </c>
      <c r="E536" s="1" t="n">
        <v>46326</v>
      </c>
      <c r="F536" t="inlineStr">
        <is>
          <t>GÄVLEBORGS LÄN</t>
        </is>
      </c>
      <c r="G536" t="inlineStr">
        <is>
          <t>NORDANSTIG</t>
        </is>
      </c>
      <c r="I536" t="n">
        <v>5.2</v>
      </c>
      <c r="J536" t="n">
        <v>1</v>
      </c>
      <c r="K536" t="n">
        <v>0</v>
      </c>
      <c r="L536" t="n">
        <v>1</v>
      </c>
      <c r="M536" t="n">
        <v>0</v>
      </c>
      <c r="N536" t="n">
        <v>0</v>
      </c>
      <c r="O536" t="n">
        <v>0</v>
      </c>
      <c r="P536" t="n">
        <v>0</v>
      </c>
      <c r="Q536" t="n">
        <v>1</v>
      </c>
      <c r="R536" t="n">
        <v>0</v>
      </c>
      <c r="S536" t="n">
        <v>2</v>
      </c>
      <c r="T536" t="n">
        <v>2</v>
      </c>
      <c r="U536" t="n">
        <v>0</v>
      </c>
      <c r="V536" s="2" t="inlineStr">
        <is>
          <t>Dropptaggsvamp
Revlummer</t>
        </is>
      </c>
      <c r="W536">
        <f>HYPERLINK("https://klasma.github.io/Logging_2132/artfynd/A 60231-2025 artfynd.xlsx", "A 60231-2025")</f>
        <v/>
      </c>
      <c r="X536">
        <f>HYPERLINK("https://klasma.github.io/Logging_2132/kartor/A 60231-2025 karta.png", "A 60231-2025")</f>
        <v/>
      </c>
      <c r="Y536">
        <f>HYPERLINK("https://klasma.github.io/Logging_2132/kartor_geotiff/A 60231-2025 georefererad karta.tif", "A 60231-2025")</f>
        <v/>
      </c>
      <c r="AA536">
        <f>HYPERLINK("https://klasma.github.io/Logging_2132/klagomål/A 60231-2025 FSC-klagomål.docx", "A 60231-2025")</f>
        <v/>
      </c>
      <c r="AB536">
        <f>HYPERLINK("https://klasma.github.io/Logging_2132/klagomålsmail/A 60231-2025 FSC-klagomål mail.docx", "A 60231-2025")</f>
        <v/>
      </c>
      <c r="AC536">
        <f>HYPERLINK("https://klasma.github.io/Logging_2132/tillsyn/A 60231-2025 tillsynsbegäran.docx", "A 60231-2025")</f>
        <v/>
      </c>
      <c r="AD536">
        <f>HYPERLINK("https://klasma.github.io/Logging_2132/tillsynsmail/A 60231-2025 tillsynsbegäran mail.docx", "A 60231-2025")</f>
        <v/>
      </c>
    </row>
    <row r="537" ht="15" customHeight="1">
      <c r="A537" t="inlineStr">
        <is>
          <t>A 60202-2025</t>
        </is>
      </c>
      <c r="B537" t="inlineStr">
        <is>
          <t>avverkningsanmälan</t>
        </is>
      </c>
      <c r="C537" t="inlineStr">
        <is>
          <t>Föryngringsavverkning</t>
        </is>
      </c>
      <c r="D537" s="1" t="n">
        <v>45994</v>
      </c>
      <c r="E537" s="1" t="n">
        <v>46326</v>
      </c>
      <c r="F537" t="inlineStr">
        <is>
          <t>GÄVLEBORGS LÄN</t>
        </is>
      </c>
      <c r="G537" t="inlineStr">
        <is>
          <t>GÄVLE</t>
        </is>
      </c>
      <c r="I537" t="n">
        <v>4.3</v>
      </c>
      <c r="J537" t="n">
        <v>1</v>
      </c>
      <c r="K537" t="n">
        <v>0</v>
      </c>
      <c r="L537" t="n">
        <v>0</v>
      </c>
      <c r="M537" t="n">
        <v>1</v>
      </c>
      <c r="N537" t="n">
        <v>0</v>
      </c>
      <c r="O537" t="n">
        <v>0</v>
      </c>
      <c r="P537" t="n">
        <v>0</v>
      </c>
      <c r="Q537" t="n">
        <v>1</v>
      </c>
      <c r="R537" t="n">
        <v>1</v>
      </c>
      <c r="S537" t="n">
        <v>2</v>
      </c>
      <c r="T537" t="n">
        <v>2</v>
      </c>
      <c r="U537" t="n">
        <v>0</v>
      </c>
      <c r="V537" s="2" t="inlineStr">
        <is>
          <t>Garnlav
Spillkråka</t>
        </is>
      </c>
      <c r="W537">
        <f>HYPERLINK("https://klasma.github.io/Logging_2180/artfynd/A 60202-2025 artfynd.xlsx", "A 60202-2025")</f>
        <v/>
      </c>
      <c r="X537">
        <f>HYPERLINK("https://klasma.github.io/Logging_2180/kartor/A 60202-2025 karta.png", "A 60202-2025")</f>
        <v/>
      </c>
      <c r="Y537">
        <f>HYPERLINK("https://klasma.github.io/Logging_2180/kartor_geotiff/A 60202-2025 georefererad karta.tif", "A 60202-2025")</f>
        <v/>
      </c>
      <c r="AA537">
        <f>HYPERLINK("https://klasma.github.io/Logging_2180/klagomål/A 60202-2025 FSC-klagomål.docx", "A 60202-2025")</f>
        <v/>
      </c>
      <c r="AB537">
        <f>HYPERLINK("https://klasma.github.io/Logging_2180/klagomålsmail/A 60202-2025 FSC-klagomål mail.docx", "A 60202-2025")</f>
        <v/>
      </c>
      <c r="AC537">
        <f>HYPERLINK("https://klasma.github.io/Logging_2180/tillsyn/A 60202-2025 tillsynsbegäran.docx", "A 60202-2025")</f>
        <v/>
      </c>
      <c r="AD537">
        <f>HYPERLINK("https://klasma.github.io/Logging_2180/tillsynsmail/A 60202-2025 tillsynsbegäran mail.docx", "A 60202-2025")</f>
        <v/>
      </c>
      <c r="AE537">
        <f>HYPERLINK("https://klasma.github.io/Logging_2180/fåglar/A 60202-2025 prioriterade fågelarter.docx", "A 60202-2025")</f>
        <v/>
      </c>
    </row>
    <row r="538" ht="15" customHeight="1">
      <c r="A538" t="inlineStr">
        <is>
          <t>A 13579-2026</t>
        </is>
      </c>
      <c r="B538" t="inlineStr">
        <is>
          <t>avverkningsanmälan</t>
        </is>
      </c>
      <c r="C538" t="inlineStr">
        <is>
          <t>Föryngringsavverkning</t>
        </is>
      </c>
      <c r="D538" s="1" t="n">
        <v>46095</v>
      </c>
      <c r="E538" s="1" t="n">
        <v>46326</v>
      </c>
      <c r="F538" t="inlineStr">
        <is>
          <t>GÄVLEBORGS LÄN</t>
        </is>
      </c>
      <c r="G538" t="inlineStr">
        <is>
          <t>HOFORS</t>
        </is>
      </c>
      <c r="I538" t="n">
        <v>2</v>
      </c>
      <c r="J538" t="n">
        <v>1</v>
      </c>
      <c r="K538" t="n">
        <v>0</v>
      </c>
      <c r="L538" t="n">
        <v>1</v>
      </c>
      <c r="M538" t="n">
        <v>0</v>
      </c>
      <c r="N538" t="n">
        <v>0</v>
      </c>
      <c r="O538" t="n">
        <v>0</v>
      </c>
      <c r="P538" t="n">
        <v>0</v>
      </c>
      <c r="Q538" t="n">
        <v>1</v>
      </c>
      <c r="R538" t="n">
        <v>0</v>
      </c>
      <c r="S538" t="n">
        <v>2</v>
      </c>
      <c r="T538" t="n">
        <v>2</v>
      </c>
      <c r="U538" t="n">
        <v>0</v>
      </c>
      <c r="V538" s="2" t="inlineStr">
        <is>
          <t>Gullpudra
Blåsippa</t>
        </is>
      </c>
      <c r="W538">
        <f>HYPERLINK("https://klasma.github.io/Logging_2104/artfynd/A 13579-2026 artfynd.xlsx", "A 13579-2026")</f>
        <v/>
      </c>
      <c r="X538">
        <f>HYPERLINK("https://klasma.github.io/Logging_2104/kartor/A 13579-2026 karta.png", "A 13579-2026")</f>
        <v/>
      </c>
      <c r="Y538">
        <f>HYPERLINK("https://klasma.github.io/Logging_2104/kartor_geotiff/A 13579-2026 georefererad karta.tif", "A 13579-2026")</f>
        <v/>
      </c>
      <c r="AA538">
        <f>HYPERLINK("https://klasma.github.io/Logging_2104/klagomål/A 13579-2026 FSC-klagomål.docx", "A 13579-2026")</f>
        <v/>
      </c>
      <c r="AB538">
        <f>HYPERLINK("https://klasma.github.io/Logging_2104/klagomålsmail/A 13579-2026 FSC-klagomål mail.docx", "A 13579-2026")</f>
        <v/>
      </c>
      <c r="AC538">
        <f>HYPERLINK("https://klasma.github.io/Logging_2104/tillsyn/A 13579-2026 tillsynsbegäran.docx", "A 13579-2026")</f>
        <v/>
      </c>
      <c r="AD538">
        <f>HYPERLINK("https://klasma.github.io/Logging_2104/tillsynsmail/A 13579-2026 tillsynsbegäran mail.docx", "A 13579-2026")</f>
        <v/>
      </c>
    </row>
    <row r="539" ht="15" customHeight="1">
      <c r="A539" t="inlineStr">
        <is>
          <t>A 62304-2025</t>
        </is>
      </c>
      <c r="B539" t="inlineStr">
        <is>
          <t>avverkningsanmälan</t>
        </is>
      </c>
      <c r="C539" t="inlineStr">
        <is>
          <t>Föryngringsavverkning</t>
        </is>
      </c>
      <c r="D539" s="1" t="n">
        <v>46006</v>
      </c>
      <c r="E539" s="1" t="n">
        <v>46326</v>
      </c>
      <c r="F539" t="inlineStr">
        <is>
          <t>GÄVLEBORGS LÄN</t>
        </is>
      </c>
      <c r="G539" t="inlineStr">
        <is>
          <t>OVANÅKER</t>
        </is>
      </c>
      <c r="I539" t="n">
        <v>2.6</v>
      </c>
      <c r="J539" t="n">
        <v>1</v>
      </c>
      <c r="K539" t="n">
        <v>0</v>
      </c>
      <c r="L539" t="n">
        <v>1</v>
      </c>
      <c r="M539" t="n">
        <v>0</v>
      </c>
      <c r="N539" t="n">
        <v>0</v>
      </c>
      <c r="O539" t="n">
        <v>0</v>
      </c>
      <c r="P539" t="n">
        <v>0</v>
      </c>
      <c r="Q539" t="n">
        <v>1</v>
      </c>
      <c r="R539" t="n">
        <v>0</v>
      </c>
      <c r="S539" t="n">
        <v>2</v>
      </c>
      <c r="T539" t="n">
        <v>2</v>
      </c>
      <c r="U539" t="n">
        <v>2</v>
      </c>
      <c r="V539" s="2" t="inlineStr">
        <is>
          <t>Rosenticka
Stjärtmes</t>
        </is>
      </c>
      <c r="W539">
        <f>HYPERLINK("https://klasma.github.io/Logging_2121/artfynd/A 62304-2025 artfynd.xlsx", "A 62304-2025")</f>
        <v/>
      </c>
      <c r="X539">
        <f>HYPERLINK("https://klasma.github.io/Logging_2121/kartor/A 62304-2025 karta.png", "A 62304-2025")</f>
        <v/>
      </c>
      <c r="Y539">
        <f>HYPERLINK("https://klasma.github.io/Logging_2121/kartor_geotiff/A 62304-2025 georefererad karta.tif", "A 62304-2025")</f>
        <v/>
      </c>
      <c r="AA539">
        <f>HYPERLINK("https://klasma.github.io/Logging_2121/klagomål/A 62304-2025 FSC-klagomål.docx", "A 62304-2025")</f>
        <v/>
      </c>
      <c r="AB539">
        <f>HYPERLINK("https://klasma.github.io/Logging_2121/klagomålsmail/A 62304-2025 FSC-klagomål mail.docx", "A 62304-2025")</f>
        <v/>
      </c>
      <c r="AC539">
        <f>HYPERLINK("https://klasma.github.io/Logging_2121/tillsyn/A 62304-2025 tillsynsbegäran.docx", "A 62304-2025")</f>
        <v/>
      </c>
      <c r="AD539">
        <f>HYPERLINK("https://klasma.github.io/Logging_2121/tillsynsmail/A 62304-2025 tillsynsbegäran mail.docx", "A 62304-2025")</f>
        <v/>
      </c>
    </row>
    <row r="540" ht="15" customHeight="1">
      <c r="A540" t="inlineStr">
        <is>
          <t>A 62260-2025</t>
        </is>
      </c>
      <c r="B540" t="inlineStr">
        <is>
          <t>avverkningsanmälan</t>
        </is>
      </c>
      <c r="C540" t="inlineStr">
        <is>
          <t>Föryngringsavverkning</t>
        </is>
      </c>
      <c r="D540" s="1" t="n">
        <v>46006</v>
      </c>
      <c r="E540" s="1" t="n">
        <v>46326</v>
      </c>
      <c r="F540" t="inlineStr">
        <is>
          <t>GÄVLEBORGS LÄN</t>
        </is>
      </c>
      <c r="G540" t="inlineStr">
        <is>
          <t>OVANÅKER</t>
        </is>
      </c>
      <c r="I540" t="n">
        <v>4</v>
      </c>
      <c r="J540" t="n">
        <v>2</v>
      </c>
      <c r="K540" t="n">
        <v>0</v>
      </c>
      <c r="L540" t="n">
        <v>2</v>
      </c>
      <c r="M540" t="n">
        <v>0</v>
      </c>
      <c r="N540" t="n">
        <v>0</v>
      </c>
      <c r="O540" t="n">
        <v>0</v>
      </c>
      <c r="P540" t="n">
        <v>0</v>
      </c>
      <c r="Q540" t="n">
        <v>2</v>
      </c>
      <c r="R540" t="n">
        <v>0</v>
      </c>
      <c r="S540" t="n">
        <v>2</v>
      </c>
      <c r="T540" t="n">
        <v>2</v>
      </c>
      <c r="U540" t="n">
        <v>2</v>
      </c>
      <c r="V540" s="2" t="inlineStr">
        <is>
          <t>Mindre hackspett
Talltita</t>
        </is>
      </c>
      <c r="W540">
        <f>HYPERLINK("https://klasma.github.io/Logging_2121/artfynd/A 62260-2025 artfynd.xlsx", "A 62260-2025")</f>
        <v/>
      </c>
      <c r="X540">
        <f>HYPERLINK("https://klasma.github.io/Logging_2121/kartor/A 62260-2025 karta.png", "A 62260-2025")</f>
        <v/>
      </c>
      <c r="Y540">
        <f>HYPERLINK("https://klasma.github.io/Logging_2121/kartor_geotiff/A 62260-2025 georefererad karta.tif", "A 62260-2025")</f>
        <v/>
      </c>
      <c r="AA540">
        <f>HYPERLINK("https://klasma.github.io/Logging_2121/klagomål/A 62260-2025 FSC-klagomål.docx", "A 62260-2025")</f>
        <v/>
      </c>
      <c r="AB540">
        <f>HYPERLINK("https://klasma.github.io/Logging_2121/klagomålsmail/A 62260-2025 FSC-klagomål mail.docx", "A 62260-2025")</f>
        <v/>
      </c>
      <c r="AC540">
        <f>HYPERLINK("https://klasma.github.io/Logging_2121/tillsyn/A 62260-2025 tillsynsbegäran.docx", "A 62260-2025")</f>
        <v/>
      </c>
      <c r="AD540">
        <f>HYPERLINK("https://klasma.github.io/Logging_2121/tillsynsmail/A 62260-2025 tillsynsbegäran mail.docx", "A 62260-2025")</f>
        <v/>
      </c>
      <c r="AE540">
        <f>HYPERLINK("https://klasma.github.io/Logging_2121/fåglar/A 62260-2025 prioriterade fågelarter.docx", "A 62260-2025")</f>
        <v/>
      </c>
    </row>
    <row r="541" ht="15" customHeight="1">
      <c r="A541" t="inlineStr">
        <is>
          <t>A 62298-2025</t>
        </is>
      </c>
      <c r="B541" t="inlineStr">
        <is>
          <t>avverkningsanmälan</t>
        </is>
      </c>
      <c r="C541" t="inlineStr">
        <is>
          <t>Föryngringsavverkning</t>
        </is>
      </c>
      <c r="D541" s="1" t="n">
        <v>46006</v>
      </c>
      <c r="E541" s="1" t="n">
        <v>46326</v>
      </c>
      <c r="F541" t="inlineStr">
        <is>
          <t>GÄVLEBORGS LÄN</t>
        </is>
      </c>
      <c r="G541" t="inlineStr">
        <is>
          <t>OVANÅKER</t>
        </is>
      </c>
      <c r="I541" t="n">
        <v>3.5</v>
      </c>
      <c r="J541" t="n">
        <v>2</v>
      </c>
      <c r="K541" t="n">
        <v>0</v>
      </c>
      <c r="L541" t="n">
        <v>2</v>
      </c>
      <c r="M541" t="n">
        <v>0</v>
      </c>
      <c r="N541" t="n">
        <v>0</v>
      </c>
      <c r="O541" t="n">
        <v>0</v>
      </c>
      <c r="P541" t="n">
        <v>0</v>
      </c>
      <c r="Q541" t="n">
        <v>2</v>
      </c>
      <c r="R541" t="n">
        <v>0</v>
      </c>
      <c r="S541" t="n">
        <v>2</v>
      </c>
      <c r="T541" t="n">
        <v>2</v>
      </c>
      <c r="U541" t="n">
        <v>2</v>
      </c>
      <c r="V541" s="2" t="inlineStr">
        <is>
          <t>Mindre hackspett
Talltita</t>
        </is>
      </c>
      <c r="W541">
        <f>HYPERLINK("https://klasma.github.io/Logging_2121/artfynd/A 62298-2025 artfynd.xlsx", "A 62298-2025")</f>
        <v/>
      </c>
      <c r="X541">
        <f>HYPERLINK("https://klasma.github.io/Logging_2121/kartor/A 62298-2025 karta.png", "A 62298-2025")</f>
        <v/>
      </c>
      <c r="Y541">
        <f>HYPERLINK("https://klasma.github.io/Logging_2121/kartor_geotiff/A 62298-2025 georefererad karta.tif", "A 62298-2025")</f>
        <v/>
      </c>
      <c r="AA541">
        <f>HYPERLINK("https://klasma.github.io/Logging_2121/klagomål/A 62298-2025 FSC-klagomål.docx", "A 62298-2025")</f>
        <v/>
      </c>
      <c r="AB541">
        <f>HYPERLINK("https://klasma.github.io/Logging_2121/klagomålsmail/A 62298-2025 FSC-klagomål mail.docx", "A 62298-2025")</f>
        <v/>
      </c>
      <c r="AC541">
        <f>HYPERLINK("https://klasma.github.io/Logging_2121/tillsyn/A 62298-2025 tillsynsbegäran.docx", "A 62298-2025")</f>
        <v/>
      </c>
      <c r="AD541">
        <f>HYPERLINK("https://klasma.github.io/Logging_2121/tillsynsmail/A 62298-2025 tillsynsbegäran mail.docx", "A 62298-2025")</f>
        <v/>
      </c>
      <c r="AE541">
        <f>HYPERLINK("https://klasma.github.io/Logging_2121/fåglar/A 62298-2025 prioriterade fågelarter.docx", "A 62298-2025")</f>
        <v/>
      </c>
    </row>
    <row r="542" ht="15" customHeight="1">
      <c r="A542" t="inlineStr">
        <is>
          <t>A 62350-2025</t>
        </is>
      </c>
      <c r="B542" t="inlineStr">
        <is>
          <t>avverkningsanmälan</t>
        </is>
      </c>
      <c r="C542" t="inlineStr">
        <is>
          <t>Föryngringsavverkning</t>
        </is>
      </c>
      <c r="D542" s="1" t="n">
        <v>46007</v>
      </c>
      <c r="E542" s="1" t="n">
        <v>46326</v>
      </c>
      <c r="F542" t="inlineStr">
        <is>
          <t>GÄVLEBORGS LÄN</t>
        </is>
      </c>
      <c r="G542" t="inlineStr">
        <is>
          <t>OVANÅKER</t>
        </is>
      </c>
      <c r="I542" t="n">
        <v>1</v>
      </c>
      <c r="J542" t="n">
        <v>1</v>
      </c>
      <c r="K542" t="n">
        <v>0</v>
      </c>
      <c r="L542" t="n">
        <v>1</v>
      </c>
      <c r="M542" t="n">
        <v>0</v>
      </c>
      <c r="N542" t="n">
        <v>0</v>
      </c>
      <c r="O542" t="n">
        <v>0</v>
      </c>
      <c r="P542" t="n">
        <v>0</v>
      </c>
      <c r="Q542" t="n">
        <v>1</v>
      </c>
      <c r="R542" t="n">
        <v>0</v>
      </c>
      <c r="S542" t="n">
        <v>2</v>
      </c>
      <c r="T542" t="n">
        <v>2</v>
      </c>
      <c r="U542" t="n">
        <v>2</v>
      </c>
      <c r="V542" s="2" t="inlineStr">
        <is>
          <t>Rosenticka
Stjärtmes</t>
        </is>
      </c>
      <c r="W542">
        <f>HYPERLINK("https://klasma.github.io/Logging_2121/artfynd/A 62350-2025 artfynd.xlsx", "A 62350-2025")</f>
        <v/>
      </c>
      <c r="X542">
        <f>HYPERLINK("https://klasma.github.io/Logging_2121/kartor/A 62350-2025 karta.png", "A 62350-2025")</f>
        <v/>
      </c>
      <c r="Y542">
        <f>HYPERLINK("https://klasma.github.io/Logging_2121/kartor_geotiff/A 62350-2025 georefererad karta.tif", "A 62350-2025")</f>
        <v/>
      </c>
      <c r="AA542">
        <f>HYPERLINK("https://klasma.github.io/Logging_2121/klagomål/A 62350-2025 FSC-klagomål.docx", "A 62350-2025")</f>
        <v/>
      </c>
      <c r="AB542">
        <f>HYPERLINK("https://klasma.github.io/Logging_2121/klagomålsmail/A 62350-2025 FSC-klagomål mail.docx", "A 62350-2025")</f>
        <v/>
      </c>
      <c r="AC542">
        <f>HYPERLINK("https://klasma.github.io/Logging_2121/tillsyn/A 62350-2025 tillsynsbegäran.docx", "A 62350-2025")</f>
        <v/>
      </c>
      <c r="AD542">
        <f>HYPERLINK("https://klasma.github.io/Logging_2121/tillsynsmail/A 62350-2025 tillsynsbegäran mail.docx", "A 62350-2025")</f>
        <v/>
      </c>
    </row>
    <row r="543" ht="15" customHeight="1">
      <c r="A543" t="inlineStr">
        <is>
          <t>A 62667-2025</t>
        </is>
      </c>
      <c r="B543" t="inlineStr">
        <is>
          <t>avverkningsanmälan</t>
        </is>
      </c>
      <c r="C543" t="inlineStr">
        <is>
          <t>Avverkning för annat ändamål</t>
        </is>
      </c>
      <c r="D543" s="1" t="n">
        <v>46008</v>
      </c>
      <c r="E543" s="1" t="n">
        <v>46326</v>
      </c>
      <c r="F543" t="inlineStr">
        <is>
          <t>GÄVLEBORGS LÄN</t>
        </is>
      </c>
      <c r="G543" t="inlineStr">
        <is>
          <t>OVANÅKER</t>
        </is>
      </c>
      <c r="H543" t="inlineStr">
        <is>
          <t>Bergvik skog väst AB</t>
        </is>
      </c>
      <c r="I543" t="n">
        <v>0.2</v>
      </c>
      <c r="J543" t="n">
        <v>0</v>
      </c>
      <c r="K543" t="n">
        <v>0</v>
      </c>
      <c r="L543" t="n">
        <v>2</v>
      </c>
      <c r="M543" t="n">
        <v>0</v>
      </c>
      <c r="N543" t="n">
        <v>0</v>
      </c>
      <c r="O543" t="n">
        <v>0</v>
      </c>
      <c r="P543" t="n">
        <v>0</v>
      </c>
      <c r="Q543" t="n">
        <v>2</v>
      </c>
      <c r="R543" t="n">
        <v>0</v>
      </c>
      <c r="S543" t="n">
        <v>2</v>
      </c>
      <c r="T543" t="n">
        <v>2</v>
      </c>
      <c r="U543" t="n">
        <v>0</v>
      </c>
      <c r="V543" s="2" t="inlineStr">
        <is>
          <t>Motaggsvamp
Vaddporing</t>
        </is>
      </c>
      <c r="W543">
        <f>HYPERLINK("https://klasma.github.io/Logging_2121/artfynd/A 62667-2025 artfynd.xlsx", "A 62667-2025")</f>
        <v/>
      </c>
      <c r="X543">
        <f>HYPERLINK("https://klasma.github.io/Logging_2121/kartor/A 62667-2025 karta.png", "A 62667-2025")</f>
        <v/>
      </c>
      <c r="Y543">
        <f>HYPERLINK("https://klasma.github.io/Logging_2121/kartor_geotiff/A 62667-2025 georefererad karta.tif", "A 62667-2025")</f>
        <v/>
      </c>
      <c r="AA543">
        <f>HYPERLINK("https://klasma.github.io/Logging_2121/klagomål/A 62667-2025 FSC-klagomål.docx", "A 62667-2025")</f>
        <v/>
      </c>
      <c r="AB543">
        <f>HYPERLINK("https://klasma.github.io/Logging_2121/klagomålsmail/A 62667-2025 FSC-klagomål mail.docx", "A 62667-2025")</f>
        <v/>
      </c>
      <c r="AC543">
        <f>HYPERLINK("https://klasma.github.io/Logging_2121/tillsyn/A 62667-2025 tillsynsbegäran.docx", "A 62667-2025")</f>
        <v/>
      </c>
      <c r="AD543">
        <f>HYPERLINK("https://klasma.github.io/Logging_2121/tillsynsmail/A 62667-2025 tillsynsbegäran mail.docx", "A 62667-2025")</f>
        <v/>
      </c>
    </row>
    <row r="544" ht="15" customHeight="1">
      <c r="A544" t="inlineStr">
        <is>
          <t>A 14353-2026</t>
        </is>
      </c>
      <c r="B544" t="inlineStr">
        <is>
          <t>avverkningsanmälan</t>
        </is>
      </c>
      <c r="C544" t="inlineStr">
        <is>
          <t>Föryngringsavverkning</t>
        </is>
      </c>
      <c r="D544" s="1" t="n">
        <v>46100</v>
      </c>
      <c r="E544" s="1" t="n">
        <v>46326</v>
      </c>
      <c r="F544" t="inlineStr">
        <is>
          <t>GÄVLEBORGS LÄN</t>
        </is>
      </c>
      <c r="G544" t="inlineStr">
        <is>
          <t>HUDIKSVALL</t>
        </is>
      </c>
      <c r="I544" t="n">
        <v>1</v>
      </c>
      <c r="J544" t="n">
        <v>0</v>
      </c>
      <c r="K544" t="n">
        <v>1</v>
      </c>
      <c r="L544" t="n">
        <v>1</v>
      </c>
      <c r="M544" t="n">
        <v>0</v>
      </c>
      <c r="N544" t="n">
        <v>0</v>
      </c>
      <c r="O544" t="n">
        <v>0</v>
      </c>
      <c r="P544" t="n">
        <v>0</v>
      </c>
      <c r="Q544" t="n">
        <v>1</v>
      </c>
      <c r="R544" t="n">
        <v>0</v>
      </c>
      <c r="S544" t="n">
        <v>2</v>
      </c>
      <c r="T544" t="n">
        <v>2</v>
      </c>
      <c r="U544" t="n">
        <v>0</v>
      </c>
      <c r="V544" s="2" t="inlineStr">
        <is>
          <t>Blanksvart spiklav
Vedticka</t>
        </is>
      </c>
      <c r="W544">
        <f>HYPERLINK("https://klasma.github.io/Logging_2184/artfynd/A 14353-2026 artfynd.xlsx", "A 14353-2026")</f>
        <v/>
      </c>
      <c r="X544">
        <f>HYPERLINK("https://klasma.github.io/Logging_2184/kartor/A 14353-2026 karta.png", "A 14353-2026")</f>
        <v/>
      </c>
      <c r="Y544">
        <f>HYPERLINK("https://klasma.github.io/Logging_2184/kartor_geotiff/A 14353-2026 georefererad karta.tif", "A 14353-2026")</f>
        <v/>
      </c>
      <c r="AA544">
        <f>HYPERLINK("https://klasma.github.io/Logging_2184/klagomål/A 14353-2026 FSC-klagomål.docx", "A 14353-2026")</f>
        <v/>
      </c>
      <c r="AB544">
        <f>HYPERLINK("https://klasma.github.io/Logging_2184/klagomålsmail/A 14353-2026 FSC-klagomål mail.docx", "A 14353-2026")</f>
        <v/>
      </c>
      <c r="AC544">
        <f>HYPERLINK("https://klasma.github.io/Logging_2184/tillsyn/A 14353-2026 tillsynsbegäran.docx", "A 14353-2026")</f>
        <v/>
      </c>
      <c r="AD544">
        <f>HYPERLINK("https://klasma.github.io/Logging_2184/tillsynsmail/A 14353-2026 tillsynsbegäran mail.docx", "A 14353-2026")</f>
        <v/>
      </c>
    </row>
    <row r="545" ht="15" customHeight="1">
      <c r="A545" t="inlineStr">
        <is>
          <t>A 470-2024</t>
        </is>
      </c>
      <c r="B545" t="inlineStr">
        <is>
          <t>avverkningsanmälan</t>
        </is>
      </c>
      <c r="C545" t="inlineStr">
        <is>
          <t>Föryngringsavverkning</t>
        </is>
      </c>
      <c r="D545" s="1" t="n">
        <v>45297</v>
      </c>
      <c r="E545" s="1" t="n">
        <v>46326</v>
      </c>
      <c r="F545" t="inlineStr">
        <is>
          <t>GÄVLEBORGS LÄN</t>
        </is>
      </c>
      <c r="G545" t="inlineStr">
        <is>
          <t>NORDANSTIG</t>
        </is>
      </c>
      <c r="H545" t="inlineStr">
        <is>
          <t>Holmen skog AB</t>
        </is>
      </c>
      <c r="I545" t="n">
        <v>4.1</v>
      </c>
      <c r="J545" t="n">
        <v>2</v>
      </c>
      <c r="K545" t="n">
        <v>0</v>
      </c>
      <c r="L545" t="n">
        <v>1</v>
      </c>
      <c r="M545" t="n">
        <v>0</v>
      </c>
      <c r="N545" t="n">
        <v>0</v>
      </c>
      <c r="O545" t="n">
        <v>0</v>
      </c>
      <c r="P545" t="n">
        <v>0</v>
      </c>
      <c r="Q545" t="n">
        <v>1</v>
      </c>
      <c r="R545" t="n">
        <v>0</v>
      </c>
      <c r="S545" t="n">
        <v>2</v>
      </c>
      <c r="T545" t="n">
        <v>2</v>
      </c>
      <c r="U545" t="n">
        <v>0</v>
      </c>
      <c r="V545" s="2" t="inlineStr">
        <is>
          <t>Duvhök
Kungsfågel</t>
        </is>
      </c>
      <c r="W545">
        <f>HYPERLINK("https://klasma.github.io/Logging_2132/artfynd/A 470-2024 artfynd.xlsx", "A 470-2024")</f>
        <v/>
      </c>
      <c r="X545">
        <f>HYPERLINK("https://klasma.github.io/Logging_2132/kartor/A 470-2024 karta.png", "A 470-2024")</f>
        <v/>
      </c>
      <c r="Y545">
        <f>HYPERLINK("https://klasma.github.io/Logging_2132/kartor_geotiff/A 470-2024 georefererad karta.tif", "A 470-2024")</f>
        <v/>
      </c>
      <c r="AA545">
        <f>HYPERLINK("https://klasma.github.io/Logging_2132/klagomål/A 470-2024 FSC-klagomål.docx", "A 470-2024")</f>
        <v/>
      </c>
      <c r="AB545">
        <f>HYPERLINK("https://klasma.github.io/Logging_2132/klagomålsmail/A 470-2024 FSC-klagomål mail.docx", "A 470-2024")</f>
        <v/>
      </c>
      <c r="AC545">
        <f>HYPERLINK("https://klasma.github.io/Logging_2132/tillsyn/A 470-2024 tillsynsbegäran.docx", "A 470-2024")</f>
        <v/>
      </c>
      <c r="AD545">
        <f>HYPERLINK("https://klasma.github.io/Logging_2132/tillsynsmail/A 470-2024 tillsynsbegäran mail.docx", "A 470-2024")</f>
        <v/>
      </c>
      <c r="AE545">
        <f>HYPERLINK("https://klasma.github.io/Logging_2132/fåglar/A 470-2024 prioriterade fågelarter.docx", "A 470-2024")</f>
        <v/>
      </c>
    </row>
    <row r="546" ht="15" customHeight="1">
      <c r="A546" t="inlineStr">
        <is>
          <t>A 186-2026</t>
        </is>
      </c>
      <c r="B546" t="inlineStr">
        <is>
          <t>avverkningsanmälan</t>
        </is>
      </c>
      <c r="C546" t="inlineStr">
        <is>
          <t>Föryngringsavverkning</t>
        </is>
      </c>
      <c r="D546" s="1" t="n">
        <v>46025</v>
      </c>
      <c r="E546" s="1" t="n">
        <v>46326</v>
      </c>
      <c r="F546" t="inlineStr">
        <is>
          <t>GÄVLEBORGS LÄN</t>
        </is>
      </c>
      <c r="G546" t="inlineStr">
        <is>
          <t>HOFORS</t>
        </is>
      </c>
      <c r="I546" t="n">
        <v>6.7</v>
      </c>
      <c r="J546" t="n">
        <v>1</v>
      </c>
      <c r="K546" t="n">
        <v>0</v>
      </c>
      <c r="L546" t="n">
        <v>0</v>
      </c>
      <c r="M546" t="n">
        <v>1</v>
      </c>
      <c r="N546" t="n">
        <v>0</v>
      </c>
      <c r="O546" t="n">
        <v>0</v>
      </c>
      <c r="P546" t="n">
        <v>0</v>
      </c>
      <c r="Q546" t="n">
        <v>1</v>
      </c>
      <c r="R546" t="n">
        <v>1</v>
      </c>
      <c r="S546" t="n">
        <v>2</v>
      </c>
      <c r="T546" t="n">
        <v>2</v>
      </c>
      <c r="U546" t="n">
        <v>1</v>
      </c>
      <c r="V546" s="2" t="inlineStr">
        <is>
          <t>Knärot
Timmerticka</t>
        </is>
      </c>
      <c r="W546">
        <f>HYPERLINK("https://klasma.github.io/Logging_2104/artfynd/A 186-2026 artfynd.xlsx", "A 186-2026")</f>
        <v/>
      </c>
      <c r="X546">
        <f>HYPERLINK("https://klasma.github.io/Logging_2104/kartor/A 186-2026 karta.png", "A 186-2026")</f>
        <v/>
      </c>
      <c r="Y546">
        <f>HYPERLINK("https://klasma.github.io/Logging_2104/kartor_geotiff/A 186-2026 georefererad karta.tif", "A 186-2026")</f>
        <v/>
      </c>
      <c r="Z546">
        <f>HYPERLINK("https://klasma.github.io/Logging_2104/knärot/A 186-2026 karta knärot.png", "A 186-2026")</f>
        <v/>
      </c>
      <c r="AA546">
        <f>HYPERLINK("https://klasma.github.io/Logging_2104/klagomål/A 186-2026 FSC-klagomål.docx", "A 186-2026")</f>
        <v/>
      </c>
      <c r="AB546">
        <f>HYPERLINK("https://klasma.github.io/Logging_2104/klagomålsmail/A 186-2026 FSC-klagomål mail.docx", "A 186-2026")</f>
        <v/>
      </c>
      <c r="AC546">
        <f>HYPERLINK("https://klasma.github.io/Logging_2104/tillsyn/A 186-2026 tillsynsbegäran.docx", "A 186-2026")</f>
        <v/>
      </c>
      <c r="AD546">
        <f>HYPERLINK("https://klasma.github.io/Logging_2104/tillsynsmail/A 186-2026 tillsynsbegäran mail.docx", "A 186-2026")</f>
        <v/>
      </c>
    </row>
    <row r="547" ht="15" customHeight="1">
      <c r="A547" t="inlineStr">
        <is>
          <t>A 17006-2026</t>
        </is>
      </c>
      <c r="B547" t="inlineStr">
        <is>
          <t>avverkningsanmälan</t>
        </is>
      </c>
      <c r="C547" t="inlineStr">
        <is>
          <t>Föryngringsavverkning</t>
        </is>
      </c>
      <c r="D547" s="1" t="n">
        <v>46114</v>
      </c>
      <c r="E547" s="1" t="n">
        <v>46326</v>
      </c>
      <c r="F547" t="inlineStr">
        <is>
          <t>GÄVLEBORGS LÄN</t>
        </is>
      </c>
      <c r="G547" t="inlineStr">
        <is>
          <t>NORDANSTIG</t>
        </is>
      </c>
      <c r="I547" t="n">
        <v>3.1</v>
      </c>
      <c r="J547" t="n">
        <v>2</v>
      </c>
      <c r="K547" t="n">
        <v>0</v>
      </c>
      <c r="L547" t="n">
        <v>0</v>
      </c>
      <c r="M547" t="n">
        <v>0</v>
      </c>
      <c r="N547" t="n">
        <v>0</v>
      </c>
      <c r="O547" t="n">
        <v>0</v>
      </c>
      <c r="P547" t="n">
        <v>0</v>
      </c>
      <c r="Q547" t="n">
        <v>0</v>
      </c>
      <c r="R547" t="n">
        <v>0</v>
      </c>
      <c r="S547" t="n">
        <v>2</v>
      </c>
      <c r="T547" t="n">
        <v>13</v>
      </c>
      <c r="U547" t="n">
        <v>0</v>
      </c>
      <c r="V547" s="2" t="inlineStr">
        <is>
          <t>Tjäder
Fläcknycklar</t>
        </is>
      </c>
      <c r="W547">
        <f>HYPERLINK("https://klasma.github.io/Logging_2132/artfynd/A 17006-2026 artfynd.xlsx", "A 17006-2026")</f>
        <v/>
      </c>
      <c r="X547">
        <f>HYPERLINK("https://klasma.github.io/Logging_2132/kartor/A 17006-2026 karta.png", "A 17006-2026")</f>
        <v/>
      </c>
      <c r="Y547">
        <f>HYPERLINK("https://klasma.github.io/Logging_2132/kartor_geotiff/A 17006-2026 georefererad karta.tif", "A 17006-2026")</f>
        <v/>
      </c>
      <c r="AA547">
        <f>HYPERLINK("https://klasma.github.io/Logging_2132/klagomål/A 17006-2026 FSC-klagomål.docx", "A 17006-2026")</f>
        <v/>
      </c>
      <c r="AB547">
        <f>HYPERLINK("https://klasma.github.io/Logging_2132/klagomålsmail/A 17006-2026 FSC-klagomål mail.docx", "A 17006-2026")</f>
        <v/>
      </c>
      <c r="AC547">
        <f>HYPERLINK("https://klasma.github.io/Logging_2132/tillsyn/A 17006-2026 tillsynsbegäran.docx", "A 17006-2026")</f>
        <v/>
      </c>
      <c r="AD547">
        <f>HYPERLINK("https://klasma.github.io/Logging_2132/tillsynsmail/A 17006-2026 tillsynsbegäran mail.docx", "A 17006-2026")</f>
        <v/>
      </c>
      <c r="AE547">
        <f>HYPERLINK("https://klasma.github.io/Logging_2132/fåglar/A 17006-2026 prioriterade fågelarter.docx", "A 17006-2026")</f>
        <v/>
      </c>
    </row>
    <row r="548" ht="15" customHeight="1">
      <c r="A548" t="inlineStr">
        <is>
          <t>A 17107-2026</t>
        </is>
      </c>
      <c r="B548" t="inlineStr">
        <is>
          <t>avverkningsanmälan</t>
        </is>
      </c>
      <c r="C548" t="inlineStr">
        <is>
          <t>Föryngringsavverkning</t>
        </is>
      </c>
      <c r="D548" s="1" t="n">
        <v>46114</v>
      </c>
      <c r="E548" s="1" t="n">
        <v>46326</v>
      </c>
      <c r="F548" t="inlineStr">
        <is>
          <t>GÄVLEBORGS LÄN</t>
        </is>
      </c>
      <c r="G548" t="inlineStr">
        <is>
          <t>OCKELBO</t>
        </is>
      </c>
      <c r="H548" t="inlineStr">
        <is>
          <t>Bergvik skog väst AB</t>
        </is>
      </c>
      <c r="I548" t="n">
        <v>36.8</v>
      </c>
      <c r="J548" t="n">
        <v>2</v>
      </c>
      <c r="K548" t="n">
        <v>0</v>
      </c>
      <c r="L548" t="n">
        <v>0</v>
      </c>
      <c r="M548" t="n">
        <v>0</v>
      </c>
      <c r="N548" t="n">
        <v>0</v>
      </c>
      <c r="O548" t="n">
        <v>0</v>
      </c>
      <c r="P548" t="n">
        <v>0</v>
      </c>
      <c r="Q548" t="n">
        <v>0</v>
      </c>
      <c r="R548" t="n">
        <v>0</v>
      </c>
      <c r="S548" t="n">
        <v>2</v>
      </c>
      <c r="T548" t="n">
        <v>3</v>
      </c>
      <c r="U548" t="n">
        <v>0</v>
      </c>
      <c r="V548" s="2" t="inlineStr">
        <is>
          <t>Fläcknycklar
Revlummer</t>
        </is>
      </c>
      <c r="W548">
        <f>HYPERLINK("https://klasma.github.io/Logging_2101/artfynd/A 17107-2026 artfynd.xlsx", "A 17107-2026")</f>
        <v/>
      </c>
      <c r="X548">
        <f>HYPERLINK("https://klasma.github.io/Logging_2101/kartor/A 17107-2026 karta.png", "A 17107-2026")</f>
        <v/>
      </c>
      <c r="Y548">
        <f>HYPERLINK("https://klasma.github.io/Logging_2101/kartor_geotiff/A 17107-2026 georefererad karta.tif", "A 17107-2026")</f>
        <v/>
      </c>
      <c r="AA548">
        <f>HYPERLINK("https://klasma.github.io/Logging_2101/klagomål/A 17107-2026 FSC-klagomål.docx", "A 17107-2026")</f>
        <v/>
      </c>
      <c r="AB548">
        <f>HYPERLINK("https://klasma.github.io/Logging_2101/klagomålsmail/A 17107-2026 FSC-klagomål mail.docx", "A 17107-2026")</f>
        <v/>
      </c>
      <c r="AC548">
        <f>HYPERLINK("https://klasma.github.io/Logging_2101/tillsyn/A 17107-2026 tillsynsbegäran.docx", "A 17107-2026")</f>
        <v/>
      </c>
      <c r="AD548">
        <f>HYPERLINK("https://klasma.github.io/Logging_2101/tillsynsmail/A 17107-2026 tillsynsbegäran mail.docx", "A 17107-2026")</f>
        <v/>
      </c>
    </row>
    <row r="549" ht="15" customHeight="1">
      <c r="A549" t="inlineStr">
        <is>
          <t>A 30941-2024</t>
        </is>
      </c>
      <c r="B549" t="inlineStr">
        <is>
          <t>avverkningsanmälan</t>
        </is>
      </c>
      <c r="C549" t="inlineStr">
        <is>
          <t>Avverkning för att bevara och utveckla /försöksver</t>
        </is>
      </c>
      <c r="D549" s="1" t="n">
        <v>45499</v>
      </c>
      <c r="E549" s="1" t="n">
        <v>46326</v>
      </c>
      <c r="F549" t="inlineStr">
        <is>
          <t>GÄVLEBORGS LÄN</t>
        </is>
      </c>
      <c r="G549" t="inlineStr">
        <is>
          <t>OVANÅKER</t>
        </is>
      </c>
      <c r="H549" t="inlineStr">
        <is>
          <t>Sveaskog</t>
        </is>
      </c>
      <c r="I549" t="n">
        <v>3.3</v>
      </c>
      <c r="J549" t="n">
        <v>0</v>
      </c>
      <c r="K549" t="n">
        <v>0</v>
      </c>
      <c r="L549" t="n">
        <v>2</v>
      </c>
      <c r="M549" t="n">
        <v>0</v>
      </c>
      <c r="N549" t="n">
        <v>0</v>
      </c>
      <c r="O549" t="n">
        <v>0</v>
      </c>
      <c r="P549" t="n">
        <v>0</v>
      </c>
      <c r="Q549" t="n">
        <v>2</v>
      </c>
      <c r="R549" t="n">
        <v>0</v>
      </c>
      <c r="S549" t="n">
        <v>2</v>
      </c>
      <c r="T549" t="n">
        <v>2</v>
      </c>
      <c r="U549" t="n">
        <v>2</v>
      </c>
      <c r="V549" s="2" t="inlineStr">
        <is>
          <t>Lunglav
Skrovellav</t>
        </is>
      </c>
      <c r="W549">
        <f>HYPERLINK("https://klasma.github.io/Logging_2121/artfynd/A 30941-2024 artfynd.xlsx", "A 30941-2024")</f>
        <v/>
      </c>
      <c r="X549">
        <f>HYPERLINK("https://klasma.github.io/Logging_2121/kartor/A 30941-2024 karta.png", "A 30941-2024")</f>
        <v/>
      </c>
      <c r="Y549">
        <f>HYPERLINK("https://klasma.github.io/Logging_2121/kartor_geotiff/A 30941-2024 georefererad karta.tif", "A 30941-2024")</f>
        <v/>
      </c>
      <c r="AA549">
        <f>HYPERLINK("https://klasma.github.io/Logging_2121/klagomål/A 30941-2024 FSC-klagomål.docx", "A 30941-2024")</f>
        <v/>
      </c>
      <c r="AB549">
        <f>HYPERLINK("https://klasma.github.io/Logging_2121/klagomålsmail/A 30941-2024 FSC-klagomål mail.docx", "A 30941-2024")</f>
        <v/>
      </c>
      <c r="AC549">
        <f>HYPERLINK("https://klasma.github.io/Logging_2121/tillsyn/A 30941-2024 tillsynsbegäran.docx", "A 30941-2024")</f>
        <v/>
      </c>
      <c r="AD549">
        <f>HYPERLINK("https://klasma.github.io/Logging_2121/tillsynsmail/A 30941-2024 tillsynsbegäran mail.docx", "A 30941-2024")</f>
        <v/>
      </c>
    </row>
    <row r="550" ht="15" customHeight="1">
      <c r="A550" t="inlineStr">
        <is>
          <t>A 17222-2026</t>
        </is>
      </c>
      <c r="B550" t="inlineStr">
        <is>
          <t>avverkningsanmälan</t>
        </is>
      </c>
      <c r="C550" t="inlineStr">
        <is>
          <t>Föryngringsavverkning</t>
        </is>
      </c>
      <c r="D550" s="1" t="n">
        <v>46119</v>
      </c>
      <c r="E550" s="1" t="n">
        <v>46326</v>
      </c>
      <c r="F550" t="inlineStr">
        <is>
          <t>GÄVLEBORGS LÄN</t>
        </is>
      </c>
      <c r="G550" t="inlineStr">
        <is>
          <t>HUDIKSVALL</t>
        </is>
      </c>
      <c r="I550" t="n">
        <v>33.9</v>
      </c>
      <c r="J550" t="n">
        <v>2</v>
      </c>
      <c r="K550" t="n">
        <v>0</v>
      </c>
      <c r="L550" t="n">
        <v>0</v>
      </c>
      <c r="M550" t="n">
        <v>0</v>
      </c>
      <c r="N550" t="n">
        <v>0</v>
      </c>
      <c r="O550" t="n">
        <v>0</v>
      </c>
      <c r="P550" t="n">
        <v>0</v>
      </c>
      <c r="Q550" t="n">
        <v>0</v>
      </c>
      <c r="R550" t="n">
        <v>0</v>
      </c>
      <c r="S550" t="n">
        <v>2</v>
      </c>
      <c r="T550" t="n">
        <v>2</v>
      </c>
      <c r="U550" t="n">
        <v>0</v>
      </c>
      <c r="V550" s="2" t="inlineStr">
        <is>
          <t>Blåsippa
Revlummer</t>
        </is>
      </c>
      <c r="W550">
        <f>HYPERLINK("https://klasma.github.io/Logging_2184/artfynd/A 17222-2026 artfynd.xlsx", "A 17222-2026")</f>
        <v/>
      </c>
      <c r="X550">
        <f>HYPERLINK("https://klasma.github.io/Logging_2184/kartor/A 17222-2026 karta.png", "A 17222-2026")</f>
        <v/>
      </c>
      <c r="Y550">
        <f>HYPERLINK("https://klasma.github.io/Logging_2184/kartor_geotiff/A 17222-2026 georefererad karta.tif", "A 17222-2026")</f>
        <v/>
      </c>
      <c r="AA550">
        <f>HYPERLINK("https://klasma.github.io/Logging_2184/klagomål/A 17222-2026 FSC-klagomål.docx", "A 17222-2026")</f>
        <v/>
      </c>
      <c r="AB550">
        <f>HYPERLINK("https://klasma.github.io/Logging_2184/klagomålsmail/A 17222-2026 FSC-klagomål mail.docx", "A 17222-2026")</f>
        <v/>
      </c>
      <c r="AC550">
        <f>HYPERLINK("https://klasma.github.io/Logging_2184/tillsyn/A 17222-2026 tillsynsbegäran.docx", "A 17222-2026")</f>
        <v/>
      </c>
      <c r="AD550">
        <f>HYPERLINK("https://klasma.github.io/Logging_2184/tillsynsmail/A 17222-2026 tillsynsbegäran mail.docx", "A 17222-2026")</f>
        <v/>
      </c>
    </row>
    <row r="551" ht="15" customHeight="1">
      <c r="A551" t="inlineStr">
        <is>
          <t>A 18182-2026</t>
        </is>
      </c>
      <c r="B551" t="inlineStr">
        <is>
          <t>avverkningsanmälan</t>
        </is>
      </c>
      <c r="C551" t="inlineStr">
        <is>
          <t>Föryngringsavverkning</t>
        </is>
      </c>
      <c r="D551" s="1" t="n">
        <v>46125</v>
      </c>
      <c r="E551" s="1" t="n">
        <v>46326</v>
      </c>
      <c r="F551" t="inlineStr">
        <is>
          <t>GÄVLEBORGS LÄN</t>
        </is>
      </c>
      <c r="G551" t="inlineStr">
        <is>
          <t>BOLLNÄS</t>
        </is>
      </c>
      <c r="H551" t="inlineStr">
        <is>
          <t>Bergvik skog väst AB</t>
        </is>
      </c>
      <c r="I551" t="n">
        <v>10.1</v>
      </c>
      <c r="J551" t="n">
        <v>0</v>
      </c>
      <c r="K551" t="n">
        <v>2</v>
      </c>
      <c r="L551" t="n">
        <v>0</v>
      </c>
      <c r="M551" t="n">
        <v>0</v>
      </c>
      <c r="N551" t="n">
        <v>0</v>
      </c>
      <c r="O551" t="n">
        <v>0</v>
      </c>
      <c r="P551" t="n">
        <v>0</v>
      </c>
      <c r="Q551" t="n">
        <v>0</v>
      </c>
      <c r="R551" t="n">
        <v>0</v>
      </c>
      <c r="S551" t="n">
        <v>2</v>
      </c>
      <c r="T551" t="n">
        <v>2</v>
      </c>
      <c r="U551" t="n">
        <v>0</v>
      </c>
      <c r="V551" s="2" t="inlineStr">
        <is>
          <t>Korallblylav
Stuplav</t>
        </is>
      </c>
      <c r="W551">
        <f>HYPERLINK("https://klasma.github.io/Logging_2183/artfynd/A 18182-2026 artfynd.xlsx", "A 18182-2026")</f>
        <v/>
      </c>
      <c r="X551">
        <f>HYPERLINK("https://klasma.github.io/Logging_2183/kartor/A 18182-2026 karta.png", "A 18182-2026")</f>
        <v/>
      </c>
      <c r="Y551">
        <f>HYPERLINK("https://klasma.github.io/Logging_2183/kartor_geotiff/A 18182-2026 georefererad karta.tif", "A 18182-2026")</f>
        <v/>
      </c>
      <c r="AA551">
        <f>HYPERLINK("https://klasma.github.io/Logging_2183/klagomål/A 18182-2026 FSC-klagomål.docx", "A 18182-2026")</f>
        <v/>
      </c>
      <c r="AB551">
        <f>HYPERLINK("https://klasma.github.io/Logging_2183/klagomålsmail/A 18182-2026 FSC-klagomål mail.docx", "A 18182-2026")</f>
        <v/>
      </c>
      <c r="AC551">
        <f>HYPERLINK("https://klasma.github.io/Logging_2183/tillsyn/A 18182-2026 tillsynsbegäran.docx", "A 18182-2026")</f>
        <v/>
      </c>
      <c r="AD551">
        <f>HYPERLINK("https://klasma.github.io/Logging_2183/tillsynsmail/A 18182-2026 tillsynsbegäran mail.docx", "A 18182-2026")</f>
        <v/>
      </c>
    </row>
    <row r="552" ht="15" customHeight="1">
      <c r="A552" t="inlineStr">
        <is>
          <t>A 18369-2026</t>
        </is>
      </c>
      <c r="B552" t="inlineStr">
        <is>
          <t>avverkningsanmälan</t>
        </is>
      </c>
      <c r="C552" t="inlineStr">
        <is>
          <t>Föryngringsavverkning</t>
        </is>
      </c>
      <c r="D552" s="1" t="n">
        <v>46126</v>
      </c>
      <c r="E552" s="1" t="n">
        <v>46326</v>
      </c>
      <c r="F552" t="inlineStr">
        <is>
          <t>GÄVLEBORGS LÄN</t>
        </is>
      </c>
      <c r="G552" t="inlineStr">
        <is>
          <t>BOLLNÄS</t>
        </is>
      </c>
      <c r="I552" t="n">
        <v>8.300000000000001</v>
      </c>
      <c r="J552" t="n">
        <v>0</v>
      </c>
      <c r="K552" t="n">
        <v>0</v>
      </c>
      <c r="L552" t="n">
        <v>0</v>
      </c>
      <c r="M552" t="n">
        <v>2</v>
      </c>
      <c r="N552" t="n">
        <v>0</v>
      </c>
      <c r="O552" t="n">
        <v>0</v>
      </c>
      <c r="P552" t="n">
        <v>0</v>
      </c>
      <c r="Q552" t="n">
        <v>2</v>
      </c>
      <c r="R552" t="n">
        <v>2</v>
      </c>
      <c r="S552" t="n">
        <v>2</v>
      </c>
      <c r="T552" t="n">
        <v>2</v>
      </c>
      <c r="U552" t="n">
        <v>0</v>
      </c>
      <c r="V552" s="2" t="inlineStr">
        <is>
          <t>Lakritsmusseron
Skrovlig taggsvamp</t>
        </is>
      </c>
      <c r="W552">
        <f>HYPERLINK("https://klasma.github.io/Logging_2183/artfynd/A 18369-2026 artfynd.xlsx", "A 18369-2026")</f>
        <v/>
      </c>
      <c r="X552">
        <f>HYPERLINK("https://klasma.github.io/Logging_2183/kartor/A 18369-2026 karta.png", "A 18369-2026")</f>
        <v/>
      </c>
      <c r="Y552">
        <f>HYPERLINK("https://klasma.github.io/Logging_2183/kartor_geotiff/A 18369-2026 georefererad karta.tif", "A 18369-2026")</f>
        <v/>
      </c>
      <c r="AA552">
        <f>HYPERLINK("https://klasma.github.io/Logging_2183/klagomål/A 18369-2026 FSC-klagomål.docx", "A 18369-2026")</f>
        <v/>
      </c>
      <c r="AB552">
        <f>HYPERLINK("https://klasma.github.io/Logging_2183/klagomålsmail/A 18369-2026 FSC-klagomål mail.docx", "A 18369-2026")</f>
        <v/>
      </c>
      <c r="AC552">
        <f>HYPERLINK("https://klasma.github.io/Logging_2183/tillsyn/A 18369-2026 tillsynsbegäran.docx", "A 18369-2026")</f>
        <v/>
      </c>
      <c r="AD552">
        <f>HYPERLINK("https://klasma.github.io/Logging_2183/tillsynsmail/A 18369-2026 tillsynsbegäran mail.docx", "A 18369-2026")</f>
        <v/>
      </c>
    </row>
    <row r="553" ht="15" customHeight="1">
      <c r="A553" t="inlineStr">
        <is>
          <t>A 53562-2024</t>
        </is>
      </c>
      <c r="B553" t="inlineStr">
        <is>
          <t>avverkningsanmälan</t>
        </is>
      </c>
      <c r="C553" t="inlineStr">
        <is>
          <t>Föryngringsavverkning</t>
        </is>
      </c>
      <c r="D553" s="1" t="n">
        <v>45614</v>
      </c>
      <c r="E553" s="1" t="n">
        <v>46326</v>
      </c>
      <c r="F553" t="inlineStr">
        <is>
          <t>GÄVLEBORGS LÄN</t>
        </is>
      </c>
      <c r="G553" t="inlineStr">
        <is>
          <t>SÖDERHAMN</t>
        </is>
      </c>
      <c r="H553" t="inlineStr">
        <is>
          <t>Bergvik skog väst AB</t>
        </is>
      </c>
      <c r="I553" t="n">
        <v>3.6</v>
      </c>
      <c r="J553" t="n">
        <v>2</v>
      </c>
      <c r="K553" t="n">
        <v>0</v>
      </c>
      <c r="L553" t="n">
        <v>0</v>
      </c>
      <c r="M553" t="n">
        <v>0</v>
      </c>
      <c r="N553" t="n">
        <v>0</v>
      </c>
      <c r="O553" t="n">
        <v>0</v>
      </c>
      <c r="P553" t="n">
        <v>0</v>
      </c>
      <c r="Q553" t="n">
        <v>0</v>
      </c>
      <c r="R553" t="n">
        <v>0</v>
      </c>
      <c r="S553" t="n">
        <v>2</v>
      </c>
      <c r="T553" t="n">
        <v>3</v>
      </c>
      <c r="U553" t="n">
        <v>2</v>
      </c>
      <c r="V553" s="2" t="inlineStr">
        <is>
          <t>Havsörn
Fläcknycklar</t>
        </is>
      </c>
      <c r="W553">
        <f>HYPERLINK("https://klasma.github.io/Logging_2182/artfynd/A 53562-2024 artfynd.xlsx", "A 53562-2024")</f>
        <v/>
      </c>
      <c r="X553">
        <f>HYPERLINK("https://klasma.github.io/Logging_2182/kartor/A 53562-2024 karta.png", "A 53562-2024")</f>
        <v/>
      </c>
      <c r="Y553">
        <f>HYPERLINK("https://klasma.github.io/Logging_2182/kartor_geotiff/A 53562-2024 georefererad karta.tif", "A 53562-2024")</f>
        <v/>
      </c>
      <c r="AA553">
        <f>HYPERLINK("https://klasma.github.io/Logging_2182/klagomål/A 53562-2024 FSC-klagomål.docx", "A 53562-2024")</f>
        <v/>
      </c>
      <c r="AB553">
        <f>HYPERLINK("https://klasma.github.io/Logging_2182/klagomålsmail/A 53562-2024 FSC-klagomål mail.docx", "A 53562-2024")</f>
        <v/>
      </c>
      <c r="AC553">
        <f>HYPERLINK("https://klasma.github.io/Logging_2182/tillsyn/A 53562-2024 tillsynsbegäran.docx", "A 53562-2024")</f>
        <v/>
      </c>
      <c r="AD553">
        <f>HYPERLINK("https://klasma.github.io/Logging_2182/tillsynsmail/A 53562-2024 tillsynsbegäran mail.docx", "A 53562-2024")</f>
        <v/>
      </c>
      <c r="AE553">
        <f>HYPERLINK("https://klasma.github.io/Logging_2182/fåglar/A 53562-2024 prioriterade fågelarter.docx", "A 53562-2024")</f>
        <v/>
      </c>
    </row>
    <row r="554" ht="15" customHeight="1">
      <c r="A554" t="inlineStr">
        <is>
          <t>A 6473-2024</t>
        </is>
      </c>
      <c r="B554" t="inlineStr">
        <is>
          <t>avverkningsanmälan</t>
        </is>
      </c>
      <c r="C554" t="inlineStr">
        <is>
          <t>Föryngringsavverkning</t>
        </is>
      </c>
      <c r="D554" s="1" t="n">
        <v>45338</v>
      </c>
      <c r="E554" s="1" t="n">
        <v>46326</v>
      </c>
      <c r="F554" t="inlineStr">
        <is>
          <t>GÄVLEBORGS LÄN</t>
        </is>
      </c>
      <c r="G554" t="inlineStr">
        <is>
          <t>GÄVLE</t>
        </is>
      </c>
      <c r="I554" t="n">
        <v>4</v>
      </c>
      <c r="J554" t="n">
        <v>1</v>
      </c>
      <c r="K554" t="n">
        <v>1</v>
      </c>
      <c r="L554" t="n">
        <v>0</v>
      </c>
      <c r="M554" t="n">
        <v>0</v>
      </c>
      <c r="N554" t="n">
        <v>0</v>
      </c>
      <c r="O554" t="n">
        <v>0</v>
      </c>
      <c r="P554" t="n">
        <v>0</v>
      </c>
      <c r="Q554" t="n">
        <v>0</v>
      </c>
      <c r="R554" t="n">
        <v>0</v>
      </c>
      <c r="S554" t="n">
        <v>2</v>
      </c>
      <c r="T554" t="n">
        <v>2</v>
      </c>
      <c r="U554" t="n">
        <v>2</v>
      </c>
      <c r="V554" s="2" t="inlineStr">
        <is>
          <t>Tibast
Nattviol</t>
        </is>
      </c>
      <c r="W554">
        <f>HYPERLINK("https://klasma.github.io/Logging_2180/artfynd/A 6473-2024 artfynd.xlsx", "A 6473-2024")</f>
        <v/>
      </c>
      <c r="X554">
        <f>HYPERLINK("https://klasma.github.io/Logging_2180/kartor/A 6473-2024 karta.png", "A 6473-2024")</f>
        <v/>
      </c>
      <c r="Y554">
        <f>HYPERLINK("https://klasma.github.io/Logging_2180/kartor_geotiff/A 6473-2024 georefererad karta.tif", "A 6473-2024")</f>
        <v/>
      </c>
      <c r="AA554">
        <f>HYPERLINK("https://klasma.github.io/Logging_2180/klagomål/A 6473-2024 FSC-klagomål.docx", "A 6473-2024")</f>
        <v/>
      </c>
      <c r="AB554">
        <f>HYPERLINK("https://klasma.github.io/Logging_2180/klagomålsmail/A 6473-2024 FSC-klagomål mail.docx", "A 6473-2024")</f>
        <v/>
      </c>
      <c r="AC554">
        <f>HYPERLINK("https://klasma.github.io/Logging_2180/tillsyn/A 6473-2024 tillsynsbegäran.docx", "A 6473-2024")</f>
        <v/>
      </c>
      <c r="AD554">
        <f>HYPERLINK("https://klasma.github.io/Logging_2180/tillsynsmail/A 6473-2024 tillsynsbegäran mail.docx", "A 6473-2024")</f>
        <v/>
      </c>
    </row>
    <row r="555" ht="15" customHeight="1">
      <c r="A555" t="inlineStr">
        <is>
          <t>A 19145-2026</t>
        </is>
      </c>
      <c r="B555" t="inlineStr">
        <is>
          <t>avverkningsanmälan</t>
        </is>
      </c>
      <c r="C555" t="inlineStr">
        <is>
          <t>Föryngringsavverkning</t>
        </is>
      </c>
      <c r="D555" s="1" t="n">
        <v>46132</v>
      </c>
      <c r="E555" s="1" t="n">
        <v>46326</v>
      </c>
      <c r="F555" t="inlineStr">
        <is>
          <t>GÄVLEBORGS LÄN</t>
        </is>
      </c>
      <c r="G555" t="inlineStr">
        <is>
          <t>OCKELBO</t>
        </is>
      </c>
      <c r="H555" t="inlineStr">
        <is>
          <t>Bergvik skog väst AB</t>
        </is>
      </c>
      <c r="I555" t="n">
        <v>11.9</v>
      </c>
      <c r="J555" t="n">
        <v>1</v>
      </c>
      <c r="K555" t="n">
        <v>0</v>
      </c>
      <c r="L555" t="n">
        <v>0</v>
      </c>
      <c r="M555" t="n">
        <v>1</v>
      </c>
      <c r="N555" t="n">
        <v>0</v>
      </c>
      <c r="O555" t="n">
        <v>0</v>
      </c>
      <c r="P555" t="n">
        <v>0</v>
      </c>
      <c r="Q555" t="n">
        <v>1</v>
      </c>
      <c r="R555" t="n">
        <v>1</v>
      </c>
      <c r="S555" t="n">
        <v>2</v>
      </c>
      <c r="T555" t="n">
        <v>4</v>
      </c>
      <c r="U555" t="n">
        <v>0</v>
      </c>
      <c r="V555" s="2" t="inlineStr">
        <is>
          <t>Garnlav
Revlummer</t>
        </is>
      </c>
      <c r="W555">
        <f>HYPERLINK("https://klasma.github.io/Logging_2101/artfynd/A 19145-2026 artfynd.xlsx", "A 19145-2026")</f>
        <v/>
      </c>
      <c r="X555">
        <f>HYPERLINK("https://klasma.github.io/Logging_2101/kartor/A 19145-2026 karta.png", "A 19145-2026")</f>
        <v/>
      </c>
      <c r="Y555">
        <f>HYPERLINK("https://klasma.github.io/Logging_2101/kartor_geotiff/A 19145-2026 georefererad karta.tif", "A 19145-2026")</f>
        <v/>
      </c>
      <c r="AA555">
        <f>HYPERLINK("https://klasma.github.io/Logging_2101/klagomål/A 19145-2026 FSC-klagomål.docx", "A 19145-2026")</f>
        <v/>
      </c>
      <c r="AB555">
        <f>HYPERLINK("https://klasma.github.io/Logging_2101/klagomålsmail/A 19145-2026 FSC-klagomål mail.docx", "A 19145-2026")</f>
        <v/>
      </c>
      <c r="AC555">
        <f>HYPERLINK("https://klasma.github.io/Logging_2101/tillsyn/A 19145-2026 tillsynsbegäran.docx", "A 19145-2026")</f>
        <v/>
      </c>
      <c r="AD555">
        <f>HYPERLINK("https://klasma.github.io/Logging_2101/tillsynsmail/A 19145-2026 tillsynsbegäran mail.docx", "A 19145-2026")</f>
        <v/>
      </c>
    </row>
    <row r="556" ht="15" customHeight="1">
      <c r="A556" t="inlineStr">
        <is>
          <t>A 19718-2026</t>
        </is>
      </c>
      <c r="B556" t="inlineStr">
        <is>
          <t>avverkningsanmälan</t>
        </is>
      </c>
      <c r="C556" t="inlineStr">
        <is>
          <t>Föryngringsavverkning</t>
        </is>
      </c>
      <c r="D556" s="1" t="n">
        <v>46134</v>
      </c>
      <c r="E556" s="1" t="n">
        <v>46326</v>
      </c>
      <c r="F556" t="inlineStr">
        <is>
          <t>GÄVLEBORGS LÄN</t>
        </is>
      </c>
      <c r="G556" t="inlineStr">
        <is>
          <t>GÄVLE</t>
        </is>
      </c>
      <c r="H556" t="inlineStr">
        <is>
          <t>Bergvik skog öst AB</t>
        </is>
      </c>
      <c r="I556" t="n">
        <v>10</v>
      </c>
      <c r="J556" t="n">
        <v>2</v>
      </c>
      <c r="K556" t="n">
        <v>0</v>
      </c>
      <c r="L556" t="n">
        <v>1</v>
      </c>
      <c r="M556" t="n">
        <v>0</v>
      </c>
      <c r="N556" t="n">
        <v>0</v>
      </c>
      <c r="O556" t="n">
        <v>0</v>
      </c>
      <c r="P556" t="n">
        <v>0</v>
      </c>
      <c r="Q556" t="n">
        <v>1</v>
      </c>
      <c r="R556" t="n">
        <v>0</v>
      </c>
      <c r="S556" t="n">
        <v>2</v>
      </c>
      <c r="T556" t="n">
        <v>2</v>
      </c>
      <c r="U556" t="n">
        <v>1</v>
      </c>
      <c r="V556" s="2" t="inlineStr">
        <is>
          <t>Rödvingetrast
Nattskärra</t>
        </is>
      </c>
      <c r="W556">
        <f>HYPERLINK("https://klasma.github.io/Logging_2180/artfynd/A 19718-2026 artfynd.xlsx", "A 19718-2026")</f>
        <v/>
      </c>
      <c r="X556">
        <f>HYPERLINK("https://klasma.github.io/Logging_2180/kartor/A 19718-2026 karta.png", "A 19718-2026")</f>
        <v/>
      </c>
      <c r="Y556">
        <f>HYPERLINK("https://klasma.github.io/Logging_2180/kartor_geotiff/A 19718-2026 georefererad karta.tif", "A 19718-2026")</f>
        <v/>
      </c>
      <c r="AA556">
        <f>HYPERLINK("https://klasma.github.io/Logging_2180/klagomål/A 19718-2026 FSC-klagomål.docx", "A 19718-2026")</f>
        <v/>
      </c>
      <c r="AB556">
        <f>HYPERLINK("https://klasma.github.io/Logging_2180/klagomålsmail/A 19718-2026 FSC-klagomål mail.docx", "A 19718-2026")</f>
        <v/>
      </c>
      <c r="AC556">
        <f>HYPERLINK("https://klasma.github.io/Logging_2180/tillsyn/A 19718-2026 tillsynsbegäran.docx", "A 19718-2026")</f>
        <v/>
      </c>
      <c r="AD556">
        <f>HYPERLINK("https://klasma.github.io/Logging_2180/tillsynsmail/A 19718-2026 tillsynsbegäran mail.docx", "A 19718-2026")</f>
        <v/>
      </c>
      <c r="AE556">
        <f>HYPERLINK("https://klasma.github.io/Logging_2180/fåglar/A 19718-2026 prioriterade fågelarter.docx", "A 19718-2026")</f>
        <v/>
      </c>
    </row>
    <row r="557" ht="15" customHeight="1">
      <c r="A557" t="inlineStr">
        <is>
          <t>A 19880-2026</t>
        </is>
      </c>
      <c r="B557" t="inlineStr">
        <is>
          <t>avverkningsanmälan</t>
        </is>
      </c>
      <c r="C557" t="inlineStr">
        <is>
          <t>Föryngringsavverkning</t>
        </is>
      </c>
      <c r="D557" s="1" t="n">
        <v>46135</v>
      </c>
      <c r="E557" s="1" t="n">
        <v>46326</v>
      </c>
      <c r="F557" t="inlineStr">
        <is>
          <t>GÄVLEBORGS LÄN</t>
        </is>
      </c>
      <c r="G557" t="inlineStr">
        <is>
          <t>LJUSDAL</t>
        </is>
      </c>
      <c r="H557" t="inlineStr">
        <is>
          <t>Sveaskog</t>
        </is>
      </c>
      <c r="I557" t="n">
        <v>3.8</v>
      </c>
      <c r="J557" t="n">
        <v>0</v>
      </c>
      <c r="K557" t="n">
        <v>0</v>
      </c>
      <c r="L557" t="n">
        <v>2</v>
      </c>
      <c r="M557" t="n">
        <v>0</v>
      </c>
      <c r="N557" t="n">
        <v>0</v>
      </c>
      <c r="O557" t="n">
        <v>0</v>
      </c>
      <c r="P557" t="n">
        <v>0</v>
      </c>
      <c r="Q557" t="n">
        <v>2</v>
      </c>
      <c r="R557" t="n">
        <v>0</v>
      </c>
      <c r="S557" t="n">
        <v>2</v>
      </c>
      <c r="T557" t="n">
        <v>2</v>
      </c>
      <c r="U557" t="n">
        <v>2</v>
      </c>
      <c r="V557" s="2" t="inlineStr">
        <is>
          <t>Kolflarnlav
Vedflamlav</t>
        </is>
      </c>
      <c r="W557">
        <f>HYPERLINK("https://klasma.github.io/Logging_2161/artfynd/A 19880-2026 artfynd.xlsx", "A 19880-2026")</f>
        <v/>
      </c>
      <c r="X557">
        <f>HYPERLINK("https://klasma.github.io/Logging_2161/kartor/A 19880-2026 karta.png", "A 19880-2026")</f>
        <v/>
      </c>
      <c r="Y557">
        <f>HYPERLINK("https://klasma.github.io/Logging_2161/kartor_geotiff/A 19880-2026 georefererad karta.tif", "A 19880-2026")</f>
        <v/>
      </c>
      <c r="AA557">
        <f>HYPERLINK("https://klasma.github.io/Logging_2161/klagomål/A 19880-2026 FSC-klagomål.docx", "A 19880-2026")</f>
        <v/>
      </c>
      <c r="AB557">
        <f>HYPERLINK("https://klasma.github.io/Logging_2161/klagomålsmail/A 19880-2026 FSC-klagomål mail.docx", "A 19880-2026")</f>
        <v/>
      </c>
      <c r="AC557">
        <f>HYPERLINK("https://klasma.github.io/Logging_2161/tillsyn/A 19880-2026 tillsynsbegäran.docx", "A 19880-2026")</f>
        <v/>
      </c>
      <c r="AD557">
        <f>HYPERLINK("https://klasma.github.io/Logging_2161/tillsynsmail/A 19880-2026 tillsynsbegäran mail.docx", "A 19880-2026")</f>
        <v/>
      </c>
    </row>
    <row r="558" ht="15" customHeight="1">
      <c r="A558" t="inlineStr">
        <is>
          <t>A 25114-2023</t>
        </is>
      </c>
      <c r="B558" t="inlineStr">
        <is>
          <t>avverkningsanmälan</t>
        </is>
      </c>
      <c r="C558" t="inlineStr">
        <is>
          <t>Föryngringsavverkning</t>
        </is>
      </c>
      <c r="D558" s="1" t="n">
        <v>45086</v>
      </c>
      <c r="E558" s="1" t="n">
        <v>46326</v>
      </c>
      <c r="F558" t="inlineStr">
        <is>
          <t>GÄVLEBORGS LÄN</t>
        </is>
      </c>
      <c r="G558" t="inlineStr">
        <is>
          <t>LJUSDAL</t>
        </is>
      </c>
      <c r="I558" t="n">
        <v>0.9</v>
      </c>
      <c r="J558" t="n">
        <v>1</v>
      </c>
      <c r="K558" t="n">
        <v>1</v>
      </c>
      <c r="L558" t="n">
        <v>0</v>
      </c>
      <c r="M558" t="n">
        <v>1</v>
      </c>
      <c r="N558" t="n">
        <v>0</v>
      </c>
      <c r="O558" t="n">
        <v>0</v>
      </c>
      <c r="P558" t="n">
        <v>0</v>
      </c>
      <c r="Q558" t="n">
        <v>1</v>
      </c>
      <c r="R558" t="n">
        <v>1</v>
      </c>
      <c r="S558" t="n">
        <v>2</v>
      </c>
      <c r="T558" t="n">
        <v>2</v>
      </c>
      <c r="U558" t="n">
        <v>0</v>
      </c>
      <c r="V558" s="2" t="inlineStr">
        <is>
          <t>Knärot
Vedticka</t>
        </is>
      </c>
      <c r="W558">
        <f>HYPERLINK("https://klasma.github.io/Logging_2161/artfynd/A 25114-2023 artfynd.xlsx", "A 25114-2023")</f>
        <v/>
      </c>
      <c r="X558">
        <f>HYPERLINK("https://klasma.github.io/Logging_2161/kartor/A 25114-2023 karta.png", "A 25114-2023")</f>
        <v/>
      </c>
      <c r="Y558">
        <f>HYPERLINK("https://klasma.github.io/Logging_2161/kartor_geotiff/A 25114-2023 georefererad karta.tif", "A 25114-2023")</f>
        <v/>
      </c>
      <c r="Z558">
        <f>HYPERLINK("https://klasma.github.io/Logging_2161/knärot/A 25114-2023 karta knärot.png", "A 25114-2023")</f>
        <v/>
      </c>
      <c r="AA558">
        <f>HYPERLINK("https://klasma.github.io/Logging_2161/klagomål/A 25114-2023 FSC-klagomål.docx", "A 25114-2023")</f>
        <v/>
      </c>
      <c r="AB558">
        <f>HYPERLINK("https://klasma.github.io/Logging_2161/klagomålsmail/A 25114-2023 FSC-klagomål mail.docx", "A 25114-2023")</f>
        <v/>
      </c>
      <c r="AC558">
        <f>HYPERLINK("https://klasma.github.io/Logging_2161/tillsyn/A 25114-2023 tillsynsbegäran.docx", "A 25114-2023")</f>
        <v/>
      </c>
      <c r="AD558">
        <f>HYPERLINK("https://klasma.github.io/Logging_2161/tillsynsmail/A 25114-2023 tillsynsbegäran mail.docx", "A 25114-2023")</f>
        <v/>
      </c>
    </row>
    <row r="559" ht="15" customHeight="1">
      <c r="A559" t="inlineStr">
        <is>
          <t>A 39932-2023</t>
        </is>
      </c>
      <c r="B559" t="inlineStr">
        <is>
          <t>avverkningsanmälan</t>
        </is>
      </c>
      <c r="C559" t="inlineStr">
        <is>
          <t>Avverkning för annat ändamål</t>
        </is>
      </c>
      <c r="D559" s="1" t="n">
        <v>45168</v>
      </c>
      <c r="E559" s="1" t="n">
        <v>46326</v>
      </c>
      <c r="F559" t="inlineStr">
        <is>
          <t>GÄVLEBORGS LÄN</t>
        </is>
      </c>
      <c r="G559" t="inlineStr">
        <is>
          <t>LJUSDAL</t>
        </is>
      </c>
      <c r="H559" t="inlineStr">
        <is>
          <t>Bergvik skog väst AB</t>
        </is>
      </c>
      <c r="I559" t="n">
        <v>1.9</v>
      </c>
      <c r="J559" t="n">
        <v>0</v>
      </c>
      <c r="K559" t="n">
        <v>1</v>
      </c>
      <c r="L559" t="n">
        <v>1</v>
      </c>
      <c r="M559" t="n">
        <v>0</v>
      </c>
      <c r="N559" t="n">
        <v>0</v>
      </c>
      <c r="O559" t="n">
        <v>0</v>
      </c>
      <c r="P559" t="n">
        <v>0</v>
      </c>
      <c r="Q559" t="n">
        <v>1</v>
      </c>
      <c r="R559" t="n">
        <v>0</v>
      </c>
      <c r="S559" t="n">
        <v>2</v>
      </c>
      <c r="T559" t="n">
        <v>2</v>
      </c>
      <c r="U559" t="n">
        <v>2</v>
      </c>
      <c r="V559" s="2" t="inlineStr">
        <is>
          <t>Lunglav
Barkkornlav</t>
        </is>
      </c>
      <c r="W559">
        <f>HYPERLINK("https://klasma.github.io/Logging_2161/artfynd/A 39932-2023 artfynd.xlsx", "A 39932-2023")</f>
        <v/>
      </c>
      <c r="X559">
        <f>HYPERLINK("https://klasma.github.io/Logging_2161/kartor/A 39932-2023 karta.png", "A 39932-2023")</f>
        <v/>
      </c>
      <c r="Y559">
        <f>HYPERLINK("https://klasma.github.io/Logging_2161/kartor_geotiff/A 39932-2023 georefererad karta.tif", "A 39932-2023")</f>
        <v/>
      </c>
      <c r="AA559">
        <f>HYPERLINK("https://klasma.github.io/Logging_2161/klagomål/A 39932-2023 FSC-klagomål.docx", "A 39932-2023")</f>
        <v/>
      </c>
      <c r="AB559">
        <f>HYPERLINK("https://klasma.github.io/Logging_2161/klagomålsmail/A 39932-2023 FSC-klagomål mail.docx", "A 39932-2023")</f>
        <v/>
      </c>
      <c r="AC559">
        <f>HYPERLINK("https://klasma.github.io/Logging_2161/tillsyn/A 39932-2023 tillsynsbegäran.docx", "A 39932-2023")</f>
        <v/>
      </c>
      <c r="AD559">
        <f>HYPERLINK("https://klasma.github.io/Logging_2161/tillsynsmail/A 39932-2023 tillsynsbegäran mail.docx", "A 39932-2023")</f>
        <v/>
      </c>
    </row>
    <row r="560" ht="15" customHeight="1">
      <c r="A560" t="inlineStr">
        <is>
          <t>A 9290-2026</t>
        </is>
      </c>
      <c r="B560" t="inlineStr">
        <is>
          <t>avverkningsanmälan</t>
        </is>
      </c>
      <c r="C560" t="inlineStr">
        <is>
          <t>Föryngringsavverkning</t>
        </is>
      </c>
      <c r="D560" s="1" t="n">
        <v>46070</v>
      </c>
      <c r="E560" s="1" t="n">
        <v>46326</v>
      </c>
      <c r="F560" t="inlineStr">
        <is>
          <t>GÄVLEBORGS LÄN</t>
        </is>
      </c>
      <c r="G560" t="inlineStr">
        <is>
          <t>SÖDERHAMN</t>
        </is>
      </c>
      <c r="I560" t="n">
        <v>3.4</v>
      </c>
      <c r="J560" t="n">
        <v>0</v>
      </c>
      <c r="K560" t="n">
        <v>0</v>
      </c>
      <c r="L560" t="n">
        <v>2</v>
      </c>
      <c r="M560" t="n">
        <v>0</v>
      </c>
      <c r="N560" t="n">
        <v>0</v>
      </c>
      <c r="O560" t="n">
        <v>0</v>
      </c>
      <c r="P560" t="n">
        <v>0</v>
      </c>
      <c r="Q560" t="n">
        <v>2</v>
      </c>
      <c r="R560" t="n">
        <v>0</v>
      </c>
      <c r="S560" t="n">
        <v>2</v>
      </c>
      <c r="T560" t="n">
        <v>2</v>
      </c>
      <c r="U560" t="n">
        <v>0</v>
      </c>
      <c r="V560" s="2" t="inlineStr">
        <is>
          <t>Kortskaftad ärgspik
Vitplätt</t>
        </is>
      </c>
      <c r="W560">
        <f>HYPERLINK("https://klasma.github.io/Logging_2182/artfynd/A 9290-2026 artfynd.xlsx", "A 9290-2026")</f>
        <v/>
      </c>
      <c r="X560">
        <f>HYPERLINK("https://klasma.github.io/Logging_2182/kartor/A 9290-2026 karta.png", "A 9290-2026")</f>
        <v/>
      </c>
      <c r="Y560">
        <f>HYPERLINK("https://klasma.github.io/Logging_2182/kartor_geotiff/A 9290-2026 georefererad karta.tif", "A 9290-2026")</f>
        <v/>
      </c>
      <c r="AA560">
        <f>HYPERLINK("https://klasma.github.io/Logging_2182/klagomål/A 9290-2026 FSC-klagomål.docx", "A 9290-2026")</f>
        <v/>
      </c>
      <c r="AB560">
        <f>HYPERLINK("https://klasma.github.io/Logging_2182/klagomålsmail/A 9290-2026 FSC-klagomål mail.docx", "A 9290-2026")</f>
        <v/>
      </c>
      <c r="AC560">
        <f>HYPERLINK("https://klasma.github.io/Logging_2182/tillsyn/A 9290-2026 tillsynsbegäran.docx", "A 9290-2026")</f>
        <v/>
      </c>
      <c r="AD560">
        <f>HYPERLINK("https://klasma.github.io/Logging_2182/tillsynsmail/A 9290-2026 tillsynsbegäran mail.docx", "A 9290-2026")</f>
        <v/>
      </c>
    </row>
    <row r="561" ht="15" customHeight="1">
      <c r="A561" t="inlineStr">
        <is>
          <t>A 20323-2026</t>
        </is>
      </c>
      <c r="B561" t="inlineStr">
        <is>
          <t>avverkningsanmälan</t>
        </is>
      </c>
      <c r="C561" t="inlineStr">
        <is>
          <t>Föryngringsavverkning</t>
        </is>
      </c>
      <c r="D561" s="1" t="n">
        <v>46139</v>
      </c>
      <c r="E561" s="1" t="n">
        <v>46326</v>
      </c>
      <c r="F561" t="inlineStr">
        <is>
          <t>GÄVLEBORGS LÄN</t>
        </is>
      </c>
      <c r="G561" t="inlineStr">
        <is>
          <t>GÄVLE</t>
        </is>
      </c>
      <c r="I561" t="n">
        <v>1.4</v>
      </c>
      <c r="J561" t="n">
        <v>2</v>
      </c>
      <c r="K561" t="n">
        <v>1</v>
      </c>
      <c r="L561" t="n">
        <v>0</v>
      </c>
      <c r="M561" t="n">
        <v>0</v>
      </c>
      <c r="N561" t="n">
        <v>0</v>
      </c>
      <c r="O561" t="n">
        <v>0</v>
      </c>
      <c r="P561" t="n">
        <v>0</v>
      </c>
      <c r="Q561" t="n">
        <v>0</v>
      </c>
      <c r="R561" t="n">
        <v>0</v>
      </c>
      <c r="S561" t="n">
        <v>2</v>
      </c>
      <c r="T561" t="n">
        <v>3</v>
      </c>
      <c r="U561" t="n">
        <v>0</v>
      </c>
      <c r="V561" s="2" t="inlineStr">
        <is>
          <t>Grön sköldmossa
Tjäder</t>
        </is>
      </c>
      <c r="W561">
        <f>HYPERLINK("https://klasma.github.io/Logging_2180/artfynd/A 20323-2026 artfynd.xlsx", "A 20323-2026")</f>
        <v/>
      </c>
      <c r="X561">
        <f>HYPERLINK("https://klasma.github.io/Logging_2180/kartor/A 20323-2026 karta.png", "A 20323-2026")</f>
        <v/>
      </c>
      <c r="Y561">
        <f>HYPERLINK("https://klasma.github.io/Logging_2180/kartor_geotiff/A 20323-2026 georefererad karta.tif", "A 20323-2026")</f>
        <v/>
      </c>
      <c r="AA561">
        <f>HYPERLINK("https://klasma.github.io/Logging_2180/klagomål/A 20323-2026 FSC-klagomål.docx", "A 20323-2026")</f>
        <v/>
      </c>
      <c r="AB561">
        <f>HYPERLINK("https://klasma.github.io/Logging_2180/klagomålsmail/A 20323-2026 FSC-klagomål mail.docx", "A 20323-2026")</f>
        <v/>
      </c>
      <c r="AC561">
        <f>HYPERLINK("https://klasma.github.io/Logging_2180/tillsyn/A 20323-2026 tillsynsbegäran.docx", "A 20323-2026")</f>
        <v/>
      </c>
      <c r="AD561">
        <f>HYPERLINK("https://klasma.github.io/Logging_2180/tillsynsmail/A 20323-2026 tillsynsbegäran mail.docx", "A 20323-2026")</f>
        <v/>
      </c>
      <c r="AE561">
        <f>HYPERLINK("https://klasma.github.io/Logging_2180/fåglar/A 20323-2026 prioriterade fågelarter.docx", "A 20323-2026")</f>
        <v/>
      </c>
    </row>
    <row r="562" ht="15" customHeight="1">
      <c r="A562" t="inlineStr">
        <is>
          <t>A 49305-2023</t>
        </is>
      </c>
      <c r="B562" t="inlineStr">
        <is>
          <t>avverkningsanmälan</t>
        </is>
      </c>
      <c r="C562" t="inlineStr">
        <is>
          <t>Föryngringsavverkning</t>
        </is>
      </c>
      <c r="D562" s="1" t="n">
        <v>45210</v>
      </c>
      <c r="E562" s="1" t="n">
        <v>46326</v>
      </c>
      <c r="F562" t="inlineStr">
        <is>
          <t>GÄVLEBORGS LÄN</t>
        </is>
      </c>
      <c r="G562" t="inlineStr">
        <is>
          <t>SÖDERHAMN</t>
        </is>
      </c>
      <c r="I562" t="n">
        <v>1.4</v>
      </c>
      <c r="J562" t="n">
        <v>2</v>
      </c>
      <c r="K562" t="n">
        <v>0</v>
      </c>
      <c r="L562" t="n">
        <v>1</v>
      </c>
      <c r="M562" t="n">
        <v>0</v>
      </c>
      <c r="N562" t="n">
        <v>0</v>
      </c>
      <c r="O562" t="n">
        <v>0</v>
      </c>
      <c r="P562" t="n">
        <v>0</v>
      </c>
      <c r="Q562" t="n">
        <v>1</v>
      </c>
      <c r="R562" t="n">
        <v>0</v>
      </c>
      <c r="S562" t="n">
        <v>2</v>
      </c>
      <c r="T562" t="n">
        <v>2</v>
      </c>
      <c r="U562" t="n">
        <v>2</v>
      </c>
      <c r="V562" s="2" t="inlineStr">
        <is>
          <t>Rödvingetrast
Trädlärka</t>
        </is>
      </c>
      <c r="W562">
        <f>HYPERLINK("https://klasma.github.io/Logging_2182/artfynd/A 49305-2023 artfynd.xlsx", "A 49305-2023")</f>
        <v/>
      </c>
      <c r="X562">
        <f>HYPERLINK("https://klasma.github.io/Logging_2182/kartor/A 49305-2023 karta.png", "A 49305-2023")</f>
        <v/>
      </c>
      <c r="Y562">
        <f>HYPERLINK("https://klasma.github.io/Logging_2182/kartor_geotiff/A 49305-2023 georefererad karta.tif", "A 49305-2023")</f>
        <v/>
      </c>
      <c r="AA562">
        <f>HYPERLINK("https://klasma.github.io/Logging_2182/klagomål/A 49305-2023 FSC-klagomål.docx", "A 49305-2023")</f>
        <v/>
      </c>
      <c r="AB562">
        <f>HYPERLINK("https://klasma.github.io/Logging_2182/klagomålsmail/A 49305-2023 FSC-klagomål mail.docx", "A 49305-2023")</f>
        <v/>
      </c>
      <c r="AC562">
        <f>HYPERLINK("https://klasma.github.io/Logging_2182/tillsyn/A 49305-2023 tillsynsbegäran.docx", "A 49305-2023")</f>
        <v/>
      </c>
      <c r="AD562">
        <f>HYPERLINK("https://klasma.github.io/Logging_2182/tillsynsmail/A 49305-2023 tillsynsbegäran mail.docx", "A 49305-2023")</f>
        <v/>
      </c>
      <c r="AE562">
        <f>HYPERLINK("https://klasma.github.io/Logging_2182/fåglar/A 49305-2023 prioriterade fågelarter.docx", "A 49305-2023")</f>
        <v/>
      </c>
    </row>
    <row r="563" ht="15" customHeight="1">
      <c r="A563" t="inlineStr">
        <is>
          <t>A 13332-2026</t>
        </is>
      </c>
      <c r="B563" t="inlineStr">
        <is>
          <t>avverkningsanmälan</t>
        </is>
      </c>
      <c r="C563" t="inlineStr">
        <is>
          <t>Föryngringsavverkning</t>
        </is>
      </c>
      <c r="D563" s="1" t="n">
        <v>46094</v>
      </c>
      <c r="E563" s="1" t="n">
        <v>46326</v>
      </c>
      <c r="F563" t="inlineStr">
        <is>
          <t>GÄVLEBORGS LÄN</t>
        </is>
      </c>
      <c r="G563" t="inlineStr">
        <is>
          <t>HUDIKSVALL</t>
        </is>
      </c>
      <c r="H563" t="inlineStr">
        <is>
          <t>Holmen skog AB</t>
        </is>
      </c>
      <c r="I563" t="n">
        <v>1</v>
      </c>
      <c r="J563" t="n">
        <v>0</v>
      </c>
      <c r="K563" t="n">
        <v>2</v>
      </c>
      <c r="L563" t="n">
        <v>0</v>
      </c>
      <c r="M563" t="n">
        <v>0</v>
      </c>
      <c r="N563" t="n">
        <v>0</v>
      </c>
      <c r="O563" t="n">
        <v>0</v>
      </c>
      <c r="P563" t="n">
        <v>0</v>
      </c>
      <c r="Q563" t="n">
        <v>0</v>
      </c>
      <c r="R563" t="n">
        <v>0</v>
      </c>
      <c r="S563" t="n">
        <v>2</v>
      </c>
      <c r="T563" t="n">
        <v>2</v>
      </c>
      <c r="U563" t="n">
        <v>0</v>
      </c>
      <c r="V563" s="2" t="inlineStr">
        <is>
          <t>Bågpraktmossa
Vanlig rörsvepemossa</t>
        </is>
      </c>
      <c r="W563">
        <f>HYPERLINK("https://klasma.github.io/Logging_2184/artfynd/A 13332-2026 artfynd.xlsx", "A 13332-2026")</f>
        <v/>
      </c>
      <c r="X563">
        <f>HYPERLINK("https://klasma.github.io/Logging_2184/kartor/A 13332-2026 karta.png", "A 13332-2026")</f>
        <v/>
      </c>
      <c r="Y563">
        <f>HYPERLINK("https://klasma.github.io/Logging_2184/kartor_geotiff/A 13332-2026 georefererad karta.tif", "A 13332-2026")</f>
        <v/>
      </c>
      <c r="AA563">
        <f>HYPERLINK("https://klasma.github.io/Logging_2184/klagomål/A 13332-2026 FSC-klagomål.docx", "A 13332-2026")</f>
        <v/>
      </c>
      <c r="AB563">
        <f>HYPERLINK("https://klasma.github.io/Logging_2184/klagomålsmail/A 13332-2026 FSC-klagomål mail.docx", "A 13332-2026")</f>
        <v/>
      </c>
      <c r="AC563">
        <f>HYPERLINK("https://klasma.github.io/Logging_2184/tillsyn/A 13332-2026 tillsynsbegäran.docx", "A 13332-2026")</f>
        <v/>
      </c>
      <c r="AD563">
        <f>HYPERLINK("https://klasma.github.io/Logging_2184/tillsynsmail/A 13332-2026 tillsynsbegäran mail.docx", "A 13332-2026")</f>
        <v/>
      </c>
    </row>
    <row r="564" ht="15" customHeight="1">
      <c r="A564" t="inlineStr">
        <is>
          <t>A 737-2026</t>
        </is>
      </c>
      <c r="B564" t="inlineStr">
        <is>
          <t>avverkningsanmälan</t>
        </is>
      </c>
      <c r="C564" t="inlineStr">
        <is>
          <t>Föryngringsavverkning</t>
        </is>
      </c>
      <c r="D564" s="1" t="n">
        <v>46029</v>
      </c>
      <c r="E564" s="1" t="n">
        <v>46326</v>
      </c>
      <c r="F564" t="inlineStr">
        <is>
          <t>GÄVLEBORGS LÄN</t>
        </is>
      </c>
      <c r="G564" t="inlineStr">
        <is>
          <t>BOLLNÄS</t>
        </is>
      </c>
      <c r="I564" t="n">
        <v>13.3</v>
      </c>
      <c r="J564" t="n">
        <v>1</v>
      </c>
      <c r="K564" t="n">
        <v>1</v>
      </c>
      <c r="L564" t="n">
        <v>0</v>
      </c>
      <c r="M564" t="n">
        <v>0</v>
      </c>
      <c r="N564" t="n">
        <v>0</v>
      </c>
      <c r="O564" t="n">
        <v>0</v>
      </c>
      <c r="P564" t="n">
        <v>0</v>
      </c>
      <c r="Q564" t="n">
        <v>0</v>
      </c>
      <c r="R564" t="n">
        <v>0</v>
      </c>
      <c r="S564" t="n">
        <v>2</v>
      </c>
      <c r="T564" t="n">
        <v>2</v>
      </c>
      <c r="U564" t="n">
        <v>0</v>
      </c>
      <c r="V564" s="2" t="inlineStr">
        <is>
          <t>Gräsull
Fläcknycklar</t>
        </is>
      </c>
      <c r="W564">
        <f>HYPERLINK("https://klasma.github.io/Logging_2183/artfynd/A 737-2026 artfynd.xlsx", "A 737-2026")</f>
        <v/>
      </c>
      <c r="X564">
        <f>HYPERLINK("https://klasma.github.io/Logging_2183/kartor/A 737-2026 karta.png", "A 737-2026")</f>
        <v/>
      </c>
      <c r="Y564">
        <f>HYPERLINK("https://klasma.github.io/Logging_2183/kartor_geotiff/A 737-2026 georefererad karta.tif", "A 737-2026")</f>
        <v/>
      </c>
      <c r="AA564">
        <f>HYPERLINK("https://klasma.github.io/Logging_2183/klagomål/A 737-2026 FSC-klagomål.docx", "A 737-2026")</f>
        <v/>
      </c>
      <c r="AB564">
        <f>HYPERLINK("https://klasma.github.io/Logging_2183/klagomålsmail/A 737-2026 FSC-klagomål mail.docx", "A 737-2026")</f>
        <v/>
      </c>
      <c r="AC564">
        <f>HYPERLINK("https://klasma.github.io/Logging_2183/tillsyn/A 737-2026 tillsynsbegäran.docx", "A 737-2026")</f>
        <v/>
      </c>
      <c r="AD564">
        <f>HYPERLINK("https://klasma.github.io/Logging_2183/tillsynsmail/A 737-2026 tillsynsbegäran mail.docx", "A 737-2026")</f>
        <v/>
      </c>
    </row>
    <row r="565" ht="15" customHeight="1">
      <c r="A565" t="inlineStr">
        <is>
          <t>A 20710-2023</t>
        </is>
      </c>
      <c r="B565" t="inlineStr">
        <is>
          <t>avverkningsanmälan</t>
        </is>
      </c>
      <c r="C565" t="inlineStr">
        <is>
          <t>Föryngringsavverkning</t>
        </is>
      </c>
      <c r="D565" s="1" t="n">
        <v>45058</v>
      </c>
      <c r="E565" s="1" t="n">
        <v>46326</v>
      </c>
      <c r="F565" t="inlineStr">
        <is>
          <t>GÄVLEBORGS LÄN</t>
        </is>
      </c>
      <c r="G565" t="inlineStr">
        <is>
          <t>BOLLNÄS</t>
        </is>
      </c>
      <c r="I565" t="n">
        <v>8.800000000000001</v>
      </c>
      <c r="J565" t="n">
        <v>2</v>
      </c>
      <c r="K565" t="n">
        <v>0</v>
      </c>
      <c r="L565" t="n">
        <v>1</v>
      </c>
      <c r="M565" t="n">
        <v>1</v>
      </c>
      <c r="N565" t="n">
        <v>0</v>
      </c>
      <c r="O565" t="n">
        <v>0</v>
      </c>
      <c r="P565" t="n">
        <v>0</v>
      </c>
      <c r="Q565" t="n">
        <v>2</v>
      </c>
      <c r="R565" t="n">
        <v>1</v>
      </c>
      <c r="S565" t="n">
        <v>2</v>
      </c>
      <c r="T565" t="n">
        <v>2</v>
      </c>
      <c r="U565" t="n">
        <v>2</v>
      </c>
      <c r="V565" s="2" t="inlineStr">
        <is>
          <t>Knärot
Lavskrika</t>
        </is>
      </c>
      <c r="W565">
        <f>HYPERLINK("https://klasma.github.io/Logging_2183/artfynd/A 20710-2023 artfynd.xlsx", "A 20710-2023")</f>
        <v/>
      </c>
      <c r="X565">
        <f>HYPERLINK("https://klasma.github.io/Logging_2183/kartor/A 20710-2023 karta.png", "A 20710-2023")</f>
        <v/>
      </c>
      <c r="Y565">
        <f>HYPERLINK("https://klasma.github.io/Logging_2183/kartor_geotiff/A 20710-2023 georefererad karta.tif", "A 20710-2023")</f>
        <v/>
      </c>
      <c r="Z565">
        <f>HYPERLINK("https://klasma.github.io/Logging_2183/knärot/A 20710-2023 karta knärot.png", "A 20710-2023")</f>
        <v/>
      </c>
      <c r="AA565">
        <f>HYPERLINK("https://klasma.github.io/Logging_2183/klagomål/A 20710-2023 FSC-klagomål.docx", "A 20710-2023")</f>
        <v/>
      </c>
      <c r="AB565">
        <f>HYPERLINK("https://klasma.github.io/Logging_2183/klagomålsmail/A 20710-2023 FSC-klagomål mail.docx", "A 20710-2023")</f>
        <v/>
      </c>
      <c r="AC565">
        <f>HYPERLINK("https://klasma.github.io/Logging_2183/tillsyn/A 20710-2023 tillsynsbegäran.docx", "A 20710-2023")</f>
        <v/>
      </c>
      <c r="AD565">
        <f>HYPERLINK("https://klasma.github.io/Logging_2183/tillsynsmail/A 20710-2023 tillsynsbegäran mail.docx", "A 20710-2023")</f>
        <v/>
      </c>
      <c r="AE565">
        <f>HYPERLINK("https://klasma.github.io/Logging_2183/fåglar/A 20710-2023 prioriterade fågelarter.docx", "A 20710-2023")</f>
        <v/>
      </c>
    </row>
    <row r="566" ht="15" customHeight="1">
      <c r="A566" t="inlineStr">
        <is>
          <t>A 18117-2026</t>
        </is>
      </c>
      <c r="B566" t="inlineStr">
        <is>
          <t>avverkningsanmälan</t>
        </is>
      </c>
      <c r="C566" t="inlineStr">
        <is>
          <t>Avverkning för annat ändamål</t>
        </is>
      </c>
      <c r="D566" s="1" t="n">
        <v>46125</v>
      </c>
      <c r="E566" s="1" t="n">
        <v>46326</v>
      </c>
      <c r="F566" t="inlineStr">
        <is>
          <t>GÄVLEBORGS LÄN</t>
        </is>
      </c>
      <c r="G566" t="inlineStr">
        <is>
          <t>OCKELBO</t>
        </is>
      </c>
      <c r="H566" t="inlineStr">
        <is>
          <t>Bergvik skog väst AB</t>
        </is>
      </c>
      <c r="I566" t="n">
        <v>14.1</v>
      </c>
      <c r="J566" t="n">
        <v>2</v>
      </c>
      <c r="K566" t="n">
        <v>0</v>
      </c>
      <c r="L566" t="n">
        <v>0</v>
      </c>
      <c r="M566" t="n">
        <v>0</v>
      </c>
      <c r="N566" t="n">
        <v>0</v>
      </c>
      <c r="O566" t="n">
        <v>0</v>
      </c>
      <c r="P566" t="n">
        <v>0</v>
      </c>
      <c r="Q566" t="n">
        <v>0</v>
      </c>
      <c r="R566" t="n">
        <v>0</v>
      </c>
      <c r="S566" t="n">
        <v>2</v>
      </c>
      <c r="T566" t="n">
        <v>4</v>
      </c>
      <c r="U566" t="n">
        <v>0</v>
      </c>
      <c r="V566" s="2" t="inlineStr">
        <is>
          <t>Vanlig groda
Fläcknycklar</t>
        </is>
      </c>
      <c r="W566">
        <f>HYPERLINK("https://klasma.github.io/Logging_2101/artfynd/A 18117-2026 artfynd.xlsx", "A 18117-2026")</f>
        <v/>
      </c>
      <c r="X566">
        <f>HYPERLINK("https://klasma.github.io/Logging_2101/kartor/A 18117-2026 karta.png", "A 18117-2026")</f>
        <v/>
      </c>
      <c r="Y566">
        <f>HYPERLINK("https://klasma.github.io/Logging_2101/kartor_geotiff/A 18117-2026 georefererad karta.tif", "A 18117-2026")</f>
        <v/>
      </c>
      <c r="AA566">
        <f>HYPERLINK("https://klasma.github.io/Logging_2101/klagomål/A 18117-2026 FSC-klagomål.docx", "A 18117-2026")</f>
        <v/>
      </c>
      <c r="AB566">
        <f>HYPERLINK("https://klasma.github.io/Logging_2101/klagomålsmail/A 18117-2026 FSC-klagomål mail.docx", "A 18117-2026")</f>
        <v/>
      </c>
      <c r="AC566">
        <f>HYPERLINK("https://klasma.github.io/Logging_2101/tillsyn/A 18117-2026 tillsynsbegäran.docx", "A 18117-2026")</f>
        <v/>
      </c>
      <c r="AD566">
        <f>HYPERLINK("https://klasma.github.io/Logging_2101/tillsynsmail/A 18117-2026 tillsynsbegäran mail.docx", "A 18117-2026")</f>
        <v/>
      </c>
    </row>
    <row r="567" ht="15" customHeight="1">
      <c r="A567" t="inlineStr">
        <is>
          <t>A 18120-2026</t>
        </is>
      </c>
      <c r="B567" t="inlineStr">
        <is>
          <t>avverkningsanmälan</t>
        </is>
      </c>
      <c r="C567" t="inlineStr">
        <is>
          <t>Avverkning för annat ändamål</t>
        </is>
      </c>
      <c r="D567" s="1" t="n">
        <v>46125</v>
      </c>
      <c r="E567" s="1" t="n">
        <v>46326</v>
      </c>
      <c r="F567" t="inlineStr">
        <is>
          <t>GÄVLEBORGS LÄN</t>
        </is>
      </c>
      <c r="G567" t="inlineStr">
        <is>
          <t>OCKELBO</t>
        </is>
      </c>
      <c r="H567" t="inlineStr">
        <is>
          <t>Bergvik skog väst AB</t>
        </is>
      </c>
      <c r="I567" t="n">
        <v>5.8</v>
      </c>
      <c r="J567" t="n">
        <v>2</v>
      </c>
      <c r="K567" t="n">
        <v>0</v>
      </c>
      <c r="L567" t="n">
        <v>0</v>
      </c>
      <c r="M567" t="n">
        <v>0</v>
      </c>
      <c r="N567" t="n">
        <v>0</v>
      </c>
      <c r="O567" t="n">
        <v>0</v>
      </c>
      <c r="P567" t="n">
        <v>0</v>
      </c>
      <c r="Q567" t="n">
        <v>0</v>
      </c>
      <c r="R567" t="n">
        <v>0</v>
      </c>
      <c r="S567" t="n">
        <v>2</v>
      </c>
      <c r="T567" t="n">
        <v>7</v>
      </c>
      <c r="U567" t="n">
        <v>0</v>
      </c>
      <c r="V567" s="2" t="inlineStr">
        <is>
          <t>Vanlig padda
Fläcknycklar</t>
        </is>
      </c>
      <c r="W567">
        <f>HYPERLINK("https://klasma.github.io/Logging_2101/artfynd/A 18120-2026 artfynd.xlsx", "A 18120-2026")</f>
        <v/>
      </c>
      <c r="X567">
        <f>HYPERLINK("https://klasma.github.io/Logging_2101/kartor/A 18120-2026 karta.png", "A 18120-2026")</f>
        <v/>
      </c>
      <c r="Y567">
        <f>HYPERLINK("https://klasma.github.io/Logging_2101/kartor_geotiff/A 18120-2026 georefererad karta.tif", "A 18120-2026")</f>
        <v/>
      </c>
      <c r="AA567">
        <f>HYPERLINK("https://klasma.github.io/Logging_2101/klagomål/A 18120-2026 FSC-klagomål.docx", "A 18120-2026")</f>
        <v/>
      </c>
      <c r="AB567">
        <f>HYPERLINK("https://klasma.github.io/Logging_2101/klagomålsmail/A 18120-2026 FSC-klagomål mail.docx", "A 18120-2026")</f>
        <v/>
      </c>
      <c r="AC567">
        <f>HYPERLINK("https://klasma.github.io/Logging_2101/tillsyn/A 18120-2026 tillsynsbegäran.docx", "A 18120-2026")</f>
        <v/>
      </c>
      <c r="AD567">
        <f>HYPERLINK("https://klasma.github.io/Logging_2101/tillsynsmail/A 18120-2026 tillsynsbegäran mail.docx", "A 18120-2026")</f>
        <v/>
      </c>
    </row>
    <row r="568" ht="15" customHeight="1">
      <c r="A568" t="inlineStr">
        <is>
          <t>A 20884-2026</t>
        </is>
      </c>
      <c r="B568" t="inlineStr">
        <is>
          <t>avverkningsanmälan</t>
        </is>
      </c>
      <c r="C568" t="inlineStr">
        <is>
          <t>Föryngringsavverkning</t>
        </is>
      </c>
      <c r="D568" s="1" t="n">
        <v>46142</v>
      </c>
      <c r="E568" s="1" t="n">
        <v>46326</v>
      </c>
      <c r="F568" t="inlineStr">
        <is>
          <t>GÄVLEBORGS LÄN</t>
        </is>
      </c>
      <c r="G568" t="inlineStr">
        <is>
          <t>HUDIKSVALL</t>
        </is>
      </c>
      <c r="H568" t="inlineStr">
        <is>
          <t>Holmen skog AB</t>
        </is>
      </c>
      <c r="I568" t="n">
        <v>0.7</v>
      </c>
      <c r="J568" t="n">
        <v>1</v>
      </c>
      <c r="K568" t="n">
        <v>0</v>
      </c>
      <c r="L568" t="n">
        <v>1</v>
      </c>
      <c r="M568" t="n">
        <v>1</v>
      </c>
      <c r="N568" t="n">
        <v>0</v>
      </c>
      <c r="O568" t="n">
        <v>0</v>
      </c>
      <c r="P568" t="n">
        <v>0</v>
      </c>
      <c r="Q568" t="n">
        <v>2</v>
      </c>
      <c r="R568" t="n">
        <v>1</v>
      </c>
      <c r="S568" t="n">
        <v>2</v>
      </c>
      <c r="T568" t="n">
        <v>4</v>
      </c>
      <c r="U568" t="n">
        <v>0</v>
      </c>
      <c r="V568" s="2" t="inlineStr">
        <is>
          <t>Knärot
Ullticka</t>
        </is>
      </c>
      <c r="W568">
        <f>HYPERLINK("https://klasma.github.io/Logging_2184/artfynd/A 20884-2026 artfynd.xlsx", "A 20884-2026")</f>
        <v/>
      </c>
      <c r="X568">
        <f>HYPERLINK("https://klasma.github.io/Logging_2184/kartor/A 20884-2026 karta.png", "A 20884-2026")</f>
        <v/>
      </c>
      <c r="Y568">
        <f>HYPERLINK("https://klasma.github.io/Logging_2184/kartor_geotiff/A 20884-2026 georefererad karta.tif", "A 20884-2026")</f>
        <v/>
      </c>
      <c r="Z568">
        <f>HYPERLINK("https://klasma.github.io/Logging_2184/knärot/A 20884-2026 karta knärot.png", "A 20884-2026")</f>
        <v/>
      </c>
      <c r="AA568">
        <f>HYPERLINK("https://klasma.github.io/Logging_2184/klagomål/A 20884-2026 FSC-klagomål.docx", "A 20884-2026")</f>
        <v/>
      </c>
      <c r="AB568">
        <f>HYPERLINK("https://klasma.github.io/Logging_2184/klagomålsmail/A 20884-2026 FSC-klagomål mail.docx", "A 20884-2026")</f>
        <v/>
      </c>
      <c r="AC568">
        <f>HYPERLINK("https://klasma.github.io/Logging_2184/tillsyn/A 20884-2026 tillsynsbegäran.docx", "A 20884-2026")</f>
        <v/>
      </c>
      <c r="AD568">
        <f>HYPERLINK("https://klasma.github.io/Logging_2184/tillsynsmail/A 20884-2026 tillsynsbegäran mail.docx", "A 20884-2026")</f>
        <v/>
      </c>
    </row>
    <row r="569" ht="15" customHeight="1">
      <c r="A569" t="inlineStr">
        <is>
          <t>A 21180-2026</t>
        </is>
      </c>
      <c r="B569" t="inlineStr">
        <is>
          <t>avverkningsanmälan</t>
        </is>
      </c>
      <c r="C569" t="inlineStr">
        <is>
          <t>Föryngringsavverkning</t>
        </is>
      </c>
      <c r="D569" s="1" t="n">
        <v>46146</v>
      </c>
      <c r="E569" s="1" t="n">
        <v>46326</v>
      </c>
      <c r="F569" t="inlineStr">
        <is>
          <t>GÄVLEBORGS LÄN</t>
        </is>
      </c>
      <c r="G569" t="inlineStr">
        <is>
          <t>LJUSDAL</t>
        </is>
      </c>
      <c r="H569" t="inlineStr">
        <is>
          <t>Sveaskog</t>
        </is>
      </c>
      <c r="I569" t="n">
        <v>1.7</v>
      </c>
      <c r="J569" t="n">
        <v>2</v>
      </c>
      <c r="K569" t="n">
        <v>1</v>
      </c>
      <c r="L569" t="n">
        <v>0</v>
      </c>
      <c r="M569" t="n">
        <v>0</v>
      </c>
      <c r="N569" t="n">
        <v>0</v>
      </c>
      <c r="O569" t="n">
        <v>0</v>
      </c>
      <c r="P569" t="n">
        <v>0</v>
      </c>
      <c r="Q569" t="n">
        <v>0</v>
      </c>
      <c r="R569" t="n">
        <v>0</v>
      </c>
      <c r="S569" t="n">
        <v>2</v>
      </c>
      <c r="T569" t="n">
        <v>2</v>
      </c>
      <c r="U569" t="n">
        <v>0</v>
      </c>
      <c r="V569" s="2" t="inlineStr">
        <is>
          <t>Korallrot
Fläcknycklar</t>
        </is>
      </c>
      <c r="W569">
        <f>HYPERLINK("https://klasma.github.io/Logging_2161/artfynd/A 21180-2026 artfynd.xlsx", "A 21180-2026")</f>
        <v/>
      </c>
      <c r="X569">
        <f>HYPERLINK("https://klasma.github.io/Logging_2161/kartor/A 21180-2026 karta.png", "A 21180-2026")</f>
        <v/>
      </c>
      <c r="Y569">
        <f>HYPERLINK("https://klasma.github.io/Logging_2161/kartor_geotiff/A 21180-2026 georefererad karta.tif", "A 21180-2026")</f>
        <v/>
      </c>
      <c r="AA569">
        <f>HYPERLINK("https://klasma.github.io/Logging_2161/klagomål/A 21180-2026 FSC-klagomål.docx", "A 21180-2026")</f>
        <v/>
      </c>
      <c r="AB569">
        <f>HYPERLINK("https://klasma.github.io/Logging_2161/klagomålsmail/A 21180-2026 FSC-klagomål mail.docx", "A 21180-2026")</f>
        <v/>
      </c>
      <c r="AC569">
        <f>HYPERLINK("https://klasma.github.io/Logging_2161/tillsyn/A 21180-2026 tillsynsbegäran.docx", "A 21180-2026")</f>
        <v/>
      </c>
      <c r="AD569">
        <f>HYPERLINK("https://klasma.github.io/Logging_2161/tillsynsmail/A 21180-2026 tillsynsbegäran mail.docx", "A 21180-2026")</f>
        <v/>
      </c>
    </row>
    <row r="570" ht="15" customHeight="1">
      <c r="A570" t="inlineStr">
        <is>
          <t>A 18926-2022</t>
        </is>
      </c>
      <c r="B570" t="inlineStr">
        <is>
          <t>avverkningsanmälan</t>
        </is>
      </c>
      <c r="C570" t="inlineStr">
        <is>
          <t>Föryngringsavverkning</t>
        </is>
      </c>
      <c r="D570" s="1" t="n">
        <v>44690</v>
      </c>
      <c r="E570" s="1" t="n">
        <v>46326</v>
      </c>
      <c r="F570" t="inlineStr">
        <is>
          <t>GÄVLEBORGS LÄN</t>
        </is>
      </c>
      <c r="G570" t="inlineStr">
        <is>
          <t>NORDANSTIG</t>
        </is>
      </c>
      <c r="H570" t="inlineStr">
        <is>
          <t>Holmen skog AB</t>
        </is>
      </c>
      <c r="I570" t="n">
        <v>11.4</v>
      </c>
      <c r="J570" t="n">
        <v>2</v>
      </c>
      <c r="K570" t="n">
        <v>0</v>
      </c>
      <c r="L570" t="n">
        <v>0</v>
      </c>
      <c r="M570" t="n">
        <v>0</v>
      </c>
      <c r="N570" t="n">
        <v>0</v>
      </c>
      <c r="O570" t="n">
        <v>0</v>
      </c>
      <c r="P570" t="n">
        <v>0</v>
      </c>
      <c r="Q570" t="n">
        <v>0</v>
      </c>
      <c r="R570" t="n">
        <v>0</v>
      </c>
      <c r="S570" t="n">
        <v>2</v>
      </c>
      <c r="T570" t="n">
        <v>2</v>
      </c>
      <c r="U570" t="n">
        <v>2</v>
      </c>
      <c r="V570" s="2" t="inlineStr">
        <is>
          <t>Spillkråka
Trana</t>
        </is>
      </c>
      <c r="W570">
        <f>HYPERLINK("https://klasma.github.io/Logging_2132/artfynd/A 18926-2022 artfynd.xlsx", "A 18926-2022")</f>
        <v/>
      </c>
      <c r="X570">
        <f>HYPERLINK("https://klasma.github.io/Logging_2132/kartor/A 18926-2022 karta.png", "A 18926-2022")</f>
        <v/>
      </c>
      <c r="Y570">
        <f>HYPERLINK("https://klasma.github.io/Logging_2132/kartor_geotiff/A 18926-2022 georefererad karta.tif", "A 18926-2022")</f>
        <v/>
      </c>
      <c r="AA570">
        <f>HYPERLINK("https://klasma.github.io/Logging_2132/klagomål/A 18926-2022 FSC-klagomål.docx", "A 18926-2022")</f>
        <v/>
      </c>
      <c r="AB570">
        <f>HYPERLINK("https://klasma.github.io/Logging_2132/klagomålsmail/A 18926-2022 FSC-klagomål mail.docx", "A 18926-2022")</f>
        <v/>
      </c>
      <c r="AC570">
        <f>HYPERLINK("https://klasma.github.io/Logging_2132/tillsyn/A 18926-2022 tillsynsbegäran.docx", "A 18926-2022")</f>
        <v/>
      </c>
      <c r="AD570">
        <f>HYPERLINK("https://klasma.github.io/Logging_2132/tillsynsmail/A 18926-2022 tillsynsbegäran mail.docx", "A 18926-2022")</f>
        <v/>
      </c>
      <c r="AE570">
        <f>HYPERLINK("https://klasma.github.io/Logging_2132/fåglar/A 18926-2022 prioriterade fågelarter.docx", "A 18926-2022")</f>
        <v/>
      </c>
    </row>
    <row r="571" ht="15" customHeight="1">
      <c r="A571" t="inlineStr">
        <is>
          <t>A 14701-2026</t>
        </is>
      </c>
      <c r="B571" t="inlineStr">
        <is>
          <t>avverkningsanmälan</t>
        </is>
      </c>
      <c r="C571" t="inlineStr">
        <is>
          <t>Föryngringsavverkning</t>
        </is>
      </c>
      <c r="D571" s="1" t="n">
        <v>46101</v>
      </c>
      <c r="E571" s="1" t="n">
        <v>46326</v>
      </c>
      <c r="F571" t="inlineStr">
        <is>
          <t>GÄVLEBORGS LÄN</t>
        </is>
      </c>
      <c r="G571" t="inlineStr">
        <is>
          <t>GÄVLE</t>
        </is>
      </c>
      <c r="H571" t="inlineStr">
        <is>
          <t>Bergvik skog öst AB</t>
        </is>
      </c>
      <c r="I571" t="n">
        <v>2.8</v>
      </c>
      <c r="J571" t="n">
        <v>2</v>
      </c>
      <c r="K571" t="n">
        <v>0</v>
      </c>
      <c r="L571" t="n">
        <v>0</v>
      </c>
      <c r="M571" t="n">
        <v>0</v>
      </c>
      <c r="N571" t="n">
        <v>0</v>
      </c>
      <c r="O571" t="n">
        <v>0</v>
      </c>
      <c r="P571" t="n">
        <v>0</v>
      </c>
      <c r="Q571" t="n">
        <v>0</v>
      </c>
      <c r="R571" t="n">
        <v>0</v>
      </c>
      <c r="S571" t="n">
        <v>2</v>
      </c>
      <c r="T571" t="n">
        <v>3</v>
      </c>
      <c r="U571" t="n">
        <v>0</v>
      </c>
      <c r="V571" s="2" t="inlineStr">
        <is>
          <t>Tjäder
Fläcknycklar</t>
        </is>
      </c>
      <c r="W571">
        <f>HYPERLINK("https://klasma.github.io/Logging_2180/artfynd/A 14701-2026 artfynd.xlsx", "A 14701-2026")</f>
        <v/>
      </c>
      <c r="X571">
        <f>HYPERLINK("https://klasma.github.io/Logging_2180/kartor/A 14701-2026 karta.png", "A 14701-2026")</f>
        <v/>
      </c>
      <c r="Y571">
        <f>HYPERLINK("https://klasma.github.io/Logging_2180/kartor_geotiff/A 14701-2026 georefererad karta.tif", "A 14701-2026")</f>
        <v/>
      </c>
      <c r="AA571">
        <f>HYPERLINK("https://klasma.github.io/Logging_2180/klagomål/A 14701-2026 FSC-klagomål.docx", "A 14701-2026")</f>
        <v/>
      </c>
      <c r="AB571">
        <f>HYPERLINK("https://klasma.github.io/Logging_2180/klagomålsmail/A 14701-2026 FSC-klagomål mail.docx", "A 14701-2026")</f>
        <v/>
      </c>
      <c r="AC571">
        <f>HYPERLINK("https://klasma.github.io/Logging_2180/tillsyn/A 14701-2026 tillsynsbegäran.docx", "A 14701-2026")</f>
        <v/>
      </c>
      <c r="AD571">
        <f>HYPERLINK("https://klasma.github.io/Logging_2180/tillsynsmail/A 14701-2026 tillsynsbegäran mail.docx", "A 14701-2026")</f>
        <v/>
      </c>
      <c r="AE571">
        <f>HYPERLINK("https://klasma.github.io/Logging_2180/fåglar/A 14701-2026 prioriterade fågelarter.docx", "A 14701-2026")</f>
        <v/>
      </c>
    </row>
    <row r="572" ht="15" customHeight="1">
      <c r="A572" t="inlineStr">
        <is>
          <t>A 30364-2022</t>
        </is>
      </c>
      <c r="B572" t="inlineStr">
        <is>
          <t>avverkningsanmälan</t>
        </is>
      </c>
      <c r="C572" t="inlineStr">
        <is>
          <t>Föryngringsavverkning</t>
        </is>
      </c>
      <c r="D572" s="1" t="n">
        <v>44760</v>
      </c>
      <c r="E572" s="1" t="n">
        <v>46326</v>
      </c>
      <c r="F572" t="inlineStr">
        <is>
          <t>GÄVLEBORGS LÄN</t>
        </is>
      </c>
      <c r="G572" t="inlineStr">
        <is>
          <t>OVANÅKER</t>
        </is>
      </c>
      <c r="H572" t="inlineStr">
        <is>
          <t>Bergvik skog öst AB</t>
        </is>
      </c>
      <c r="I572" t="n">
        <v>1.9</v>
      </c>
      <c r="J572" t="n">
        <v>1</v>
      </c>
      <c r="K572" t="n">
        <v>1</v>
      </c>
      <c r="L572" t="n">
        <v>0</v>
      </c>
      <c r="M572" t="n">
        <v>0</v>
      </c>
      <c r="N572" t="n">
        <v>0</v>
      </c>
      <c r="O572" t="n">
        <v>0</v>
      </c>
      <c r="P572" t="n">
        <v>0</v>
      </c>
      <c r="Q572" t="n">
        <v>0</v>
      </c>
      <c r="R572" t="n">
        <v>0</v>
      </c>
      <c r="S572" t="n">
        <v>2</v>
      </c>
      <c r="T572" t="n">
        <v>2</v>
      </c>
      <c r="U572" t="n">
        <v>2</v>
      </c>
      <c r="V572" s="2" t="inlineStr">
        <is>
          <t>Skinnlav
Blåsippa</t>
        </is>
      </c>
      <c r="W572">
        <f>HYPERLINK("https://klasma.github.io/Logging_2121/artfynd/A 30364-2022 artfynd.xlsx", "A 30364-2022")</f>
        <v/>
      </c>
      <c r="X572">
        <f>HYPERLINK("https://klasma.github.io/Logging_2121/kartor/A 30364-2022 karta.png", "A 30364-2022")</f>
        <v/>
      </c>
      <c r="Y572">
        <f>HYPERLINK("https://klasma.github.io/Logging_2121/kartor_geotiff/A 30364-2022 georefererad karta.tif", "A 30364-2022")</f>
        <v/>
      </c>
      <c r="AA572">
        <f>HYPERLINK("https://klasma.github.io/Logging_2121/klagomål/A 30364-2022 FSC-klagomål.docx", "A 30364-2022")</f>
        <v/>
      </c>
      <c r="AB572">
        <f>HYPERLINK("https://klasma.github.io/Logging_2121/klagomålsmail/A 30364-2022 FSC-klagomål mail.docx", "A 30364-2022")</f>
        <v/>
      </c>
      <c r="AC572">
        <f>HYPERLINK("https://klasma.github.io/Logging_2121/tillsyn/A 30364-2022 tillsynsbegäran.docx", "A 30364-2022")</f>
        <v/>
      </c>
      <c r="AD572">
        <f>HYPERLINK("https://klasma.github.io/Logging_2121/tillsynsmail/A 30364-2022 tillsynsbegäran mail.docx", "A 30364-2022")</f>
        <v/>
      </c>
    </row>
    <row r="573" ht="15" customHeight="1">
      <c r="A573" t="inlineStr">
        <is>
          <t>A 17297-2026</t>
        </is>
      </c>
      <c r="B573" t="inlineStr">
        <is>
          <t>avverkningsanmälan</t>
        </is>
      </c>
      <c r="C573" t="inlineStr">
        <is>
          <t>Föryngringsavverkning</t>
        </is>
      </c>
      <c r="D573" s="1" t="n">
        <v>46119</v>
      </c>
      <c r="E573" s="1" t="n">
        <v>46326</v>
      </c>
      <c r="F573" t="inlineStr">
        <is>
          <t>GÄVLEBORGS LÄN</t>
        </is>
      </c>
      <c r="G573" t="inlineStr">
        <is>
          <t>GÄVLE</t>
        </is>
      </c>
      <c r="I573" t="n">
        <v>1.3</v>
      </c>
      <c r="J573" t="n">
        <v>1</v>
      </c>
      <c r="K573" t="n">
        <v>0</v>
      </c>
      <c r="L573" t="n">
        <v>1</v>
      </c>
      <c r="M573" t="n">
        <v>0</v>
      </c>
      <c r="N573" t="n">
        <v>0</v>
      </c>
      <c r="O573" t="n">
        <v>0</v>
      </c>
      <c r="P573" t="n">
        <v>0</v>
      </c>
      <c r="Q573" t="n">
        <v>1</v>
      </c>
      <c r="R573" t="n">
        <v>0</v>
      </c>
      <c r="S573" t="n">
        <v>2</v>
      </c>
      <c r="T573" t="n">
        <v>2</v>
      </c>
      <c r="U573" t="n">
        <v>0</v>
      </c>
      <c r="V573" s="2" t="inlineStr">
        <is>
          <t>Slåtterfibbla
Blåsippa</t>
        </is>
      </c>
      <c r="W573">
        <f>HYPERLINK("https://klasma.github.io/Logging_2180/artfynd/A 17297-2026 artfynd.xlsx", "A 17297-2026")</f>
        <v/>
      </c>
      <c r="X573">
        <f>HYPERLINK("https://klasma.github.io/Logging_2180/kartor/A 17297-2026 karta.png", "A 17297-2026")</f>
        <v/>
      </c>
      <c r="Y573">
        <f>HYPERLINK("https://klasma.github.io/Logging_2180/kartor_geotiff/A 17297-2026 georefererad karta.tif", "A 17297-2026")</f>
        <v/>
      </c>
      <c r="AA573">
        <f>HYPERLINK("https://klasma.github.io/Logging_2180/klagomål/A 17297-2026 FSC-klagomål.docx", "A 17297-2026")</f>
        <v/>
      </c>
      <c r="AB573">
        <f>HYPERLINK("https://klasma.github.io/Logging_2180/klagomålsmail/A 17297-2026 FSC-klagomål mail.docx", "A 17297-2026")</f>
        <v/>
      </c>
      <c r="AC573">
        <f>HYPERLINK("https://klasma.github.io/Logging_2180/tillsyn/A 17297-2026 tillsynsbegäran.docx", "A 17297-2026")</f>
        <v/>
      </c>
      <c r="AD573">
        <f>HYPERLINK("https://klasma.github.io/Logging_2180/tillsynsmail/A 17297-2026 tillsynsbegäran mail.docx", "A 17297-2026")</f>
        <v/>
      </c>
    </row>
    <row r="574" ht="15" customHeight="1">
      <c r="A574" t="inlineStr">
        <is>
          <t>A 20299-2026</t>
        </is>
      </c>
      <c r="B574" t="inlineStr">
        <is>
          <t>avverkningsanmälan</t>
        </is>
      </c>
      <c r="C574" t="inlineStr">
        <is>
          <t>Föryngringsavverkning</t>
        </is>
      </c>
      <c r="D574" s="1" t="n">
        <v>46139</v>
      </c>
      <c r="E574" s="1" t="n">
        <v>46326</v>
      </c>
      <c r="F574" t="inlineStr">
        <is>
          <t>GÄVLEBORGS LÄN</t>
        </is>
      </c>
      <c r="G574" t="inlineStr">
        <is>
          <t>OCKELBO</t>
        </is>
      </c>
      <c r="H574" t="inlineStr">
        <is>
          <t>Bergvik skog väst AB</t>
        </is>
      </c>
      <c r="I574" t="n">
        <v>6.5</v>
      </c>
      <c r="J574" t="n">
        <v>1</v>
      </c>
      <c r="K574" t="n">
        <v>0</v>
      </c>
      <c r="L574" t="n">
        <v>1</v>
      </c>
      <c r="M574" t="n">
        <v>0</v>
      </c>
      <c r="N574" t="n">
        <v>0</v>
      </c>
      <c r="O574" t="n">
        <v>0</v>
      </c>
      <c r="P574" t="n">
        <v>0</v>
      </c>
      <c r="Q574" t="n">
        <v>1</v>
      </c>
      <c r="R574" t="n">
        <v>0</v>
      </c>
      <c r="S574" t="n">
        <v>2</v>
      </c>
      <c r="T574" t="n">
        <v>2</v>
      </c>
      <c r="U574" t="n">
        <v>0</v>
      </c>
      <c r="V574" s="2" t="inlineStr">
        <is>
          <t>Motaggsvamp
Lopplummer (aggregat)</t>
        </is>
      </c>
      <c r="W574">
        <f>HYPERLINK("https://klasma.github.io/Logging_2101/artfynd/A 20299-2026 artfynd.xlsx", "A 20299-2026")</f>
        <v/>
      </c>
      <c r="X574">
        <f>HYPERLINK("https://klasma.github.io/Logging_2101/kartor/A 20299-2026 karta.png", "A 20299-2026")</f>
        <v/>
      </c>
      <c r="Y574">
        <f>HYPERLINK("https://klasma.github.io/Logging_2101/kartor_geotiff/A 20299-2026 georefererad karta.tif", "A 20299-2026")</f>
        <v/>
      </c>
      <c r="AA574">
        <f>HYPERLINK("https://klasma.github.io/Logging_2101/klagomål/A 20299-2026 FSC-klagomål.docx", "A 20299-2026")</f>
        <v/>
      </c>
      <c r="AB574">
        <f>HYPERLINK("https://klasma.github.io/Logging_2101/klagomålsmail/A 20299-2026 FSC-klagomål mail.docx", "A 20299-2026")</f>
        <v/>
      </c>
      <c r="AC574">
        <f>HYPERLINK("https://klasma.github.io/Logging_2101/tillsyn/A 20299-2026 tillsynsbegäran.docx", "A 20299-2026")</f>
        <v/>
      </c>
      <c r="AD574">
        <f>HYPERLINK("https://klasma.github.io/Logging_2101/tillsynsmail/A 20299-2026 tillsynsbegäran mail.docx", "A 20299-2026")</f>
        <v/>
      </c>
    </row>
    <row r="575" ht="15" customHeight="1">
      <c r="A575" t="inlineStr">
        <is>
          <t>A 5776-2026</t>
        </is>
      </c>
      <c r="B575" t="inlineStr">
        <is>
          <t>avverkningsanmälan</t>
        </is>
      </c>
      <c r="C575" t="inlineStr">
        <is>
          <t>Föryngringsavverkning</t>
        </is>
      </c>
      <c r="D575" s="1" t="n">
        <v>46051</v>
      </c>
      <c r="E575" s="1" t="n">
        <v>46326</v>
      </c>
      <c r="F575" t="inlineStr">
        <is>
          <t>GÄVLEBORGS LÄN</t>
        </is>
      </c>
      <c r="G575" t="inlineStr">
        <is>
          <t>BOLLNÄS</t>
        </is>
      </c>
      <c r="I575" t="n">
        <v>15.9</v>
      </c>
      <c r="J575" t="n">
        <v>0</v>
      </c>
      <c r="K575" t="n">
        <v>1</v>
      </c>
      <c r="L575" t="n">
        <v>1</v>
      </c>
      <c r="M575" t="n">
        <v>0</v>
      </c>
      <c r="N575" t="n">
        <v>0</v>
      </c>
      <c r="O575" t="n">
        <v>0</v>
      </c>
      <c r="P575" t="n">
        <v>0</v>
      </c>
      <c r="Q575" t="n">
        <v>1</v>
      </c>
      <c r="R575" t="n">
        <v>0</v>
      </c>
      <c r="S575" t="n">
        <v>2</v>
      </c>
      <c r="T575" t="n">
        <v>2</v>
      </c>
      <c r="U575" t="n">
        <v>0</v>
      </c>
      <c r="V575" s="2" t="inlineStr">
        <is>
          <t>Vedskivlav
Vedticka</t>
        </is>
      </c>
      <c r="W575">
        <f>HYPERLINK("https://klasma.github.io/Logging_2183/artfynd/A 5776-2026 artfynd.xlsx", "A 5776-2026")</f>
        <v/>
      </c>
      <c r="X575">
        <f>HYPERLINK("https://klasma.github.io/Logging_2183/kartor/A 5776-2026 karta.png", "A 5776-2026")</f>
        <v/>
      </c>
      <c r="Y575">
        <f>HYPERLINK("https://klasma.github.io/Logging_2183/kartor_geotiff/A 5776-2026 georefererad karta.tif", "A 5776-2026")</f>
        <v/>
      </c>
      <c r="AA575">
        <f>HYPERLINK("https://klasma.github.io/Logging_2183/klagomål/A 5776-2026 FSC-klagomål.docx", "A 5776-2026")</f>
        <v/>
      </c>
      <c r="AB575">
        <f>HYPERLINK("https://klasma.github.io/Logging_2183/klagomålsmail/A 5776-2026 FSC-klagomål mail.docx", "A 5776-2026")</f>
        <v/>
      </c>
      <c r="AC575">
        <f>HYPERLINK("https://klasma.github.io/Logging_2183/tillsyn/A 5776-2026 tillsynsbegäran.docx", "A 5776-2026")</f>
        <v/>
      </c>
      <c r="AD575">
        <f>HYPERLINK("https://klasma.github.io/Logging_2183/tillsynsmail/A 5776-2026 tillsynsbegäran mail.docx", "A 5776-2026")</f>
        <v/>
      </c>
    </row>
    <row r="576" ht="15" customHeight="1">
      <c r="A576" t="inlineStr">
        <is>
          <t>A 22288-2026</t>
        </is>
      </c>
      <c r="B576" t="inlineStr">
        <is>
          <t>avverkningsanmälan</t>
        </is>
      </c>
      <c r="C576" t="inlineStr">
        <is>
          <t>Föryngringsavverkning</t>
        </is>
      </c>
      <c r="D576" s="1" t="n">
        <v>46154</v>
      </c>
      <c r="E576" s="1" t="n">
        <v>46326</v>
      </c>
      <c r="F576" t="inlineStr">
        <is>
          <t>GÄVLEBORGS LÄN</t>
        </is>
      </c>
      <c r="G576" t="inlineStr">
        <is>
          <t>HOFORS</t>
        </is>
      </c>
      <c r="I576" t="n">
        <v>1.2</v>
      </c>
      <c r="J576" t="n">
        <v>1</v>
      </c>
      <c r="K576" t="n">
        <v>1</v>
      </c>
      <c r="L576" t="n">
        <v>0</v>
      </c>
      <c r="M576" t="n">
        <v>1</v>
      </c>
      <c r="N576" t="n">
        <v>0</v>
      </c>
      <c r="O576" t="n">
        <v>0</v>
      </c>
      <c r="P576" t="n">
        <v>0</v>
      </c>
      <c r="Q576" t="n">
        <v>1</v>
      </c>
      <c r="R576" t="n">
        <v>1</v>
      </c>
      <c r="S576" t="n">
        <v>2</v>
      </c>
      <c r="T576" t="n">
        <v>2</v>
      </c>
      <c r="U576" t="n">
        <v>0</v>
      </c>
      <c r="V576" s="2" t="inlineStr">
        <is>
          <t>Knärot
Mindre märgborre</t>
        </is>
      </c>
      <c r="W576">
        <f>HYPERLINK("https://klasma.github.io/Logging_2104/artfynd/A 22288-2026 artfynd.xlsx", "A 22288-2026")</f>
        <v/>
      </c>
      <c r="X576">
        <f>HYPERLINK("https://klasma.github.io/Logging_2104/kartor/A 22288-2026 karta.png", "A 22288-2026")</f>
        <v/>
      </c>
      <c r="Y576">
        <f>HYPERLINK("https://klasma.github.io/Logging_2104/kartor_geotiff/A 22288-2026 georefererad karta.tif", "A 22288-2026")</f>
        <v/>
      </c>
      <c r="Z576">
        <f>HYPERLINK("https://klasma.github.io/Logging_2104/knärot/A 22288-2026 karta knärot.png", "A 22288-2026")</f>
        <v/>
      </c>
      <c r="AA576">
        <f>HYPERLINK("https://klasma.github.io/Logging_2104/klagomål/A 22288-2026 FSC-klagomål.docx", "A 22288-2026")</f>
        <v/>
      </c>
      <c r="AB576">
        <f>HYPERLINK("https://klasma.github.io/Logging_2104/klagomålsmail/A 22288-2026 FSC-klagomål mail.docx", "A 22288-2026")</f>
        <v/>
      </c>
      <c r="AC576">
        <f>HYPERLINK("https://klasma.github.io/Logging_2104/tillsyn/A 22288-2026 tillsynsbegäran.docx", "A 22288-2026")</f>
        <v/>
      </c>
      <c r="AD576">
        <f>HYPERLINK("https://klasma.github.io/Logging_2104/tillsynsmail/A 22288-2026 tillsynsbegäran mail.docx", "A 22288-2026")</f>
        <v/>
      </c>
    </row>
    <row r="577" ht="15" customHeight="1">
      <c r="A577" t="inlineStr">
        <is>
          <t>A 42869-2024</t>
        </is>
      </c>
      <c r="B577" t="inlineStr">
        <is>
          <t>avverkningsanmälan</t>
        </is>
      </c>
      <c r="C577" t="inlineStr">
        <is>
          <t>Föryngringsavverkning</t>
        </is>
      </c>
      <c r="D577" s="1" t="n">
        <v>45566</v>
      </c>
      <c r="E577" s="1" t="n">
        <v>46326</v>
      </c>
      <c r="F577" t="inlineStr">
        <is>
          <t>GÄVLEBORGS LÄN</t>
        </is>
      </c>
      <c r="G577" t="inlineStr">
        <is>
          <t>SANDVIKEN</t>
        </is>
      </c>
      <c r="H577" t="inlineStr">
        <is>
          <t>Sveaskog</t>
        </is>
      </c>
      <c r="I577" t="n">
        <v>6.9</v>
      </c>
      <c r="J577" t="n">
        <v>1</v>
      </c>
      <c r="K577" t="n">
        <v>1</v>
      </c>
      <c r="L577" t="n">
        <v>0</v>
      </c>
      <c r="M577" t="n">
        <v>0</v>
      </c>
      <c r="N577" t="n">
        <v>0</v>
      </c>
      <c r="O577" t="n">
        <v>0</v>
      </c>
      <c r="P577" t="n">
        <v>0</v>
      </c>
      <c r="Q577" t="n">
        <v>0</v>
      </c>
      <c r="R577" t="n">
        <v>0</v>
      </c>
      <c r="S577" t="n">
        <v>2</v>
      </c>
      <c r="T577" t="n">
        <v>2</v>
      </c>
      <c r="U577" t="n">
        <v>0</v>
      </c>
      <c r="V577" s="2" t="inlineStr">
        <is>
          <t>Rödgul trumpetsvamp
Vanlig padda</t>
        </is>
      </c>
      <c r="W577">
        <f>HYPERLINK("https://klasma.github.io/Logging_2181/artfynd/A 42869-2024 artfynd.xlsx", "A 42869-2024")</f>
        <v/>
      </c>
      <c r="X577">
        <f>HYPERLINK("https://klasma.github.io/Logging_2181/kartor/A 42869-2024 karta.png", "A 42869-2024")</f>
        <v/>
      </c>
      <c r="Y577">
        <f>HYPERLINK("https://klasma.github.io/Logging_2181/kartor_geotiff/A 42869-2024 georefererad karta.tif", "A 42869-2024")</f>
        <v/>
      </c>
      <c r="AA577">
        <f>HYPERLINK("https://klasma.github.io/Logging_2181/klagomål/A 42869-2024 FSC-klagomål.docx", "A 42869-2024")</f>
        <v/>
      </c>
      <c r="AB577">
        <f>HYPERLINK("https://klasma.github.io/Logging_2181/klagomålsmail/A 42869-2024 FSC-klagomål mail.docx", "A 42869-2024")</f>
        <v/>
      </c>
      <c r="AC577">
        <f>HYPERLINK("https://klasma.github.io/Logging_2181/tillsyn/A 42869-2024 tillsynsbegäran.docx", "A 42869-2024")</f>
        <v/>
      </c>
      <c r="AD577">
        <f>HYPERLINK("https://klasma.github.io/Logging_2181/tillsynsmail/A 42869-2024 tillsynsbegäran mail.docx", "A 42869-2024")</f>
        <v/>
      </c>
    </row>
    <row r="578" ht="15" customHeight="1">
      <c r="A578" t="inlineStr">
        <is>
          <t>A 1179-2026</t>
        </is>
      </c>
      <c r="B578" t="inlineStr">
        <is>
          <t>avverkningsanmälan</t>
        </is>
      </c>
      <c r="C578" t="inlineStr">
        <is>
          <t>Föryngringsavverkning</t>
        </is>
      </c>
      <c r="D578" s="1" t="n">
        <v>46031</v>
      </c>
      <c r="E578" s="1" t="n">
        <v>46326</v>
      </c>
      <c r="F578" t="inlineStr">
        <is>
          <t>GÄVLEBORGS LÄN</t>
        </is>
      </c>
      <c r="G578" t="inlineStr">
        <is>
          <t>SANDVIKEN</t>
        </is>
      </c>
      <c r="I578" t="n">
        <v>2.7</v>
      </c>
      <c r="J578" t="n">
        <v>1</v>
      </c>
      <c r="K578" t="n">
        <v>1</v>
      </c>
      <c r="L578" t="n">
        <v>0</v>
      </c>
      <c r="M578" t="n">
        <v>0</v>
      </c>
      <c r="N578" t="n">
        <v>0</v>
      </c>
      <c r="O578" t="n">
        <v>0</v>
      </c>
      <c r="P578" t="n">
        <v>0</v>
      </c>
      <c r="Q578" t="n">
        <v>0</v>
      </c>
      <c r="R578" t="n">
        <v>0</v>
      </c>
      <c r="S578" t="n">
        <v>2</v>
      </c>
      <c r="T578" t="n">
        <v>2</v>
      </c>
      <c r="U578" t="n">
        <v>0</v>
      </c>
      <c r="V578" s="2" t="inlineStr">
        <is>
          <t>Strutbräken
Revlummer</t>
        </is>
      </c>
      <c r="W578">
        <f>HYPERLINK("https://klasma.github.io/Logging_2181/artfynd/A 1179-2026 artfynd.xlsx", "A 1179-2026")</f>
        <v/>
      </c>
      <c r="X578">
        <f>HYPERLINK("https://klasma.github.io/Logging_2181/kartor/A 1179-2026 karta.png", "A 1179-2026")</f>
        <v/>
      </c>
      <c r="Y578">
        <f>HYPERLINK("https://klasma.github.io/Logging_2181/kartor_geotiff/A 1179-2026 georefererad karta.tif", "A 1179-2026")</f>
        <v/>
      </c>
      <c r="AA578">
        <f>HYPERLINK("https://klasma.github.io/Logging_2181/klagomål/A 1179-2026 FSC-klagomål.docx", "A 1179-2026")</f>
        <v/>
      </c>
      <c r="AB578">
        <f>HYPERLINK("https://klasma.github.io/Logging_2181/klagomålsmail/A 1179-2026 FSC-klagomål mail.docx", "A 1179-2026")</f>
        <v/>
      </c>
      <c r="AC578">
        <f>HYPERLINK("https://klasma.github.io/Logging_2181/tillsyn/A 1179-2026 tillsynsbegäran.docx", "A 1179-2026")</f>
        <v/>
      </c>
      <c r="AD578">
        <f>HYPERLINK("https://klasma.github.io/Logging_2181/tillsynsmail/A 1179-2026 tillsynsbegäran mail.docx", "A 1179-2026")</f>
        <v/>
      </c>
    </row>
    <row r="579" ht="15" customHeight="1">
      <c r="A579" t="inlineStr">
        <is>
          <t>A 23131-2026</t>
        </is>
      </c>
      <c r="B579" t="inlineStr">
        <is>
          <t>avverkningsanmälan</t>
        </is>
      </c>
      <c r="C579" t="inlineStr">
        <is>
          <t>Föryngringsavverkning</t>
        </is>
      </c>
      <c r="D579" s="1" t="n">
        <v>46161</v>
      </c>
      <c r="E579" s="1" t="n">
        <v>46326</v>
      </c>
      <c r="F579" t="inlineStr">
        <is>
          <t>GÄVLEBORGS LÄN</t>
        </is>
      </c>
      <c r="G579" t="inlineStr">
        <is>
          <t>LJUSDAL</t>
        </is>
      </c>
      <c r="H579" t="inlineStr">
        <is>
          <t>Sveaskog</t>
        </is>
      </c>
      <c r="I579" t="n">
        <v>6.5</v>
      </c>
      <c r="J579" t="n">
        <v>0</v>
      </c>
      <c r="K579" t="n">
        <v>0</v>
      </c>
      <c r="L579" t="n">
        <v>2</v>
      </c>
      <c r="M579" t="n">
        <v>0</v>
      </c>
      <c r="N579" t="n">
        <v>0</v>
      </c>
      <c r="O579" t="n">
        <v>0</v>
      </c>
      <c r="P579" t="n">
        <v>0</v>
      </c>
      <c r="Q579" t="n">
        <v>2</v>
      </c>
      <c r="R579" t="n">
        <v>0</v>
      </c>
      <c r="S579" t="n">
        <v>2</v>
      </c>
      <c r="T579" t="n">
        <v>2</v>
      </c>
      <c r="U579" t="n">
        <v>0</v>
      </c>
      <c r="V579" s="2" t="inlineStr">
        <is>
          <t>Kolflarnlav
Vedflamlav</t>
        </is>
      </c>
      <c r="W579">
        <f>HYPERLINK("https://klasma.github.io/Logging_2161/artfynd/A 23131-2026 artfynd.xlsx", "A 23131-2026")</f>
        <v/>
      </c>
      <c r="X579">
        <f>HYPERLINK("https://klasma.github.io/Logging_2161/kartor/A 23131-2026 karta.png", "A 23131-2026")</f>
        <v/>
      </c>
      <c r="Y579">
        <f>HYPERLINK("https://klasma.github.io/Logging_2161/kartor_geotiff/A 23131-2026 georefererad karta.tif", "A 23131-2026")</f>
        <v/>
      </c>
      <c r="AA579">
        <f>HYPERLINK("https://klasma.github.io/Logging_2161/klagomål/A 23131-2026 FSC-klagomål.docx", "A 23131-2026")</f>
        <v/>
      </c>
      <c r="AB579">
        <f>HYPERLINK("https://klasma.github.io/Logging_2161/klagomålsmail/A 23131-2026 FSC-klagomål mail.docx", "A 23131-2026")</f>
        <v/>
      </c>
      <c r="AC579">
        <f>HYPERLINK("https://klasma.github.io/Logging_2161/tillsyn/A 23131-2026 tillsynsbegäran.docx", "A 23131-2026")</f>
        <v/>
      </c>
      <c r="AD579">
        <f>HYPERLINK("https://klasma.github.io/Logging_2161/tillsynsmail/A 23131-2026 tillsynsbegäran mail.docx", "A 23131-2026")</f>
        <v/>
      </c>
    </row>
    <row r="580" ht="15" customHeight="1">
      <c r="A580" t="inlineStr">
        <is>
          <t>A 23143-2026</t>
        </is>
      </c>
      <c r="B580" t="inlineStr">
        <is>
          <t>avverkningsanmälan</t>
        </is>
      </c>
      <c r="C580" t="inlineStr">
        <is>
          <t>Föryngringsavverkning</t>
        </is>
      </c>
      <c r="D580" s="1" t="n">
        <v>46161</v>
      </c>
      <c r="E580" s="1" t="n">
        <v>46326</v>
      </c>
      <c r="F580" t="inlineStr">
        <is>
          <t>GÄVLEBORGS LÄN</t>
        </is>
      </c>
      <c r="G580" t="inlineStr">
        <is>
          <t>LJUSDAL</t>
        </is>
      </c>
      <c r="H580" t="inlineStr">
        <is>
          <t>Sveaskog</t>
        </is>
      </c>
      <c r="I580" t="n">
        <v>4</v>
      </c>
      <c r="J580" t="n">
        <v>0</v>
      </c>
      <c r="K580" t="n">
        <v>0</v>
      </c>
      <c r="L580" t="n">
        <v>2</v>
      </c>
      <c r="M580" t="n">
        <v>0</v>
      </c>
      <c r="N580" t="n">
        <v>0</v>
      </c>
      <c r="O580" t="n">
        <v>0</v>
      </c>
      <c r="P580" t="n">
        <v>0</v>
      </c>
      <c r="Q580" t="n">
        <v>2</v>
      </c>
      <c r="R580" t="n">
        <v>0</v>
      </c>
      <c r="S580" t="n">
        <v>2</v>
      </c>
      <c r="T580" t="n">
        <v>2</v>
      </c>
      <c r="U580" t="n">
        <v>2</v>
      </c>
      <c r="V580" s="2" t="inlineStr">
        <is>
          <t>Kolflarnlav
Vedflamlav</t>
        </is>
      </c>
      <c r="W580">
        <f>HYPERLINK("https://klasma.github.io/Logging_2161/artfynd/A 23143-2026 artfynd.xlsx", "A 23143-2026")</f>
        <v/>
      </c>
      <c r="X580">
        <f>HYPERLINK("https://klasma.github.io/Logging_2161/kartor/A 23143-2026 karta.png", "A 23143-2026")</f>
        <v/>
      </c>
      <c r="Y580">
        <f>HYPERLINK("https://klasma.github.io/Logging_2161/kartor_geotiff/A 23143-2026 georefererad karta.tif", "A 23143-2026")</f>
        <v/>
      </c>
      <c r="AA580">
        <f>HYPERLINK("https://klasma.github.io/Logging_2161/klagomål/A 23143-2026 FSC-klagomål.docx", "A 23143-2026")</f>
        <v/>
      </c>
      <c r="AB580">
        <f>HYPERLINK("https://klasma.github.io/Logging_2161/klagomålsmail/A 23143-2026 FSC-klagomål mail.docx", "A 23143-2026")</f>
        <v/>
      </c>
      <c r="AC580">
        <f>HYPERLINK("https://klasma.github.io/Logging_2161/tillsyn/A 23143-2026 tillsynsbegäran.docx", "A 23143-2026")</f>
        <v/>
      </c>
      <c r="AD580">
        <f>HYPERLINK("https://klasma.github.io/Logging_2161/tillsynsmail/A 23143-2026 tillsynsbegäran mail.docx", "A 23143-2026")</f>
        <v/>
      </c>
    </row>
    <row r="581" ht="15" customHeight="1">
      <c r="A581" t="inlineStr">
        <is>
          <t>A 23333-2026</t>
        </is>
      </c>
      <c r="B581" t="inlineStr">
        <is>
          <t>avverkningsanmälan</t>
        </is>
      </c>
      <c r="C581" t="inlineStr">
        <is>
          <t>Föryngringsavverkning</t>
        </is>
      </c>
      <c r="D581" s="1" t="n">
        <v>46162</v>
      </c>
      <c r="E581" s="1" t="n">
        <v>46326</v>
      </c>
      <c r="F581" t="inlineStr">
        <is>
          <t>GÄVLEBORGS LÄN</t>
        </is>
      </c>
      <c r="G581" t="inlineStr">
        <is>
          <t>SÖDERHAMN</t>
        </is>
      </c>
      <c r="I581" t="n">
        <v>1.1</v>
      </c>
      <c r="J581" t="n">
        <v>0</v>
      </c>
      <c r="K581" t="n">
        <v>2</v>
      </c>
      <c r="L581" t="n">
        <v>0</v>
      </c>
      <c r="M581" t="n">
        <v>0</v>
      </c>
      <c r="N581" t="n">
        <v>0</v>
      </c>
      <c r="O581" t="n">
        <v>0</v>
      </c>
      <c r="P581" t="n">
        <v>0</v>
      </c>
      <c r="Q581" t="n">
        <v>0</v>
      </c>
      <c r="R581" t="n">
        <v>0</v>
      </c>
      <c r="S581" t="n">
        <v>2</v>
      </c>
      <c r="T581" t="n">
        <v>4</v>
      </c>
      <c r="U581" t="n">
        <v>0</v>
      </c>
      <c r="V581" s="2" t="inlineStr">
        <is>
          <t>Korallblylav
Stuplav</t>
        </is>
      </c>
      <c r="W581">
        <f>HYPERLINK("https://klasma.github.io/Logging_2182/artfynd/A 23333-2026 artfynd.xlsx", "A 23333-2026")</f>
        <v/>
      </c>
      <c r="X581">
        <f>HYPERLINK("https://klasma.github.io/Logging_2182/kartor/A 23333-2026 karta.png", "A 23333-2026")</f>
        <v/>
      </c>
      <c r="Y581">
        <f>HYPERLINK("https://klasma.github.io/Logging_2182/kartor_geotiff/A 23333-2026 georefererad karta.tif", "A 23333-2026")</f>
        <v/>
      </c>
      <c r="AA581">
        <f>HYPERLINK("https://klasma.github.io/Logging_2182/klagomål/A 23333-2026 FSC-klagomål.docx", "A 23333-2026")</f>
        <v/>
      </c>
      <c r="AB581">
        <f>HYPERLINK("https://klasma.github.io/Logging_2182/klagomålsmail/A 23333-2026 FSC-klagomål mail.docx", "A 23333-2026")</f>
        <v/>
      </c>
      <c r="AC581">
        <f>HYPERLINK("https://klasma.github.io/Logging_2182/tillsyn/A 23333-2026 tillsynsbegäran.docx", "A 23333-2026")</f>
        <v/>
      </c>
      <c r="AD581">
        <f>HYPERLINK("https://klasma.github.io/Logging_2182/tillsynsmail/A 23333-2026 tillsynsbegäran mail.docx", "A 23333-2026")</f>
        <v/>
      </c>
    </row>
    <row r="582" ht="15" customHeight="1">
      <c r="A582" t="inlineStr">
        <is>
          <t>A 24156-2026</t>
        </is>
      </c>
      <c r="B582" t="inlineStr">
        <is>
          <t>avverkningsanmälan</t>
        </is>
      </c>
      <c r="C582" t="inlineStr">
        <is>
          <t>Föryngringsavverkning</t>
        </is>
      </c>
      <c r="D582" s="1" t="n">
        <v>46168</v>
      </c>
      <c r="E582" s="1" t="n">
        <v>46326</v>
      </c>
      <c r="F582" t="inlineStr">
        <is>
          <t>GÄVLEBORGS LÄN</t>
        </is>
      </c>
      <c r="G582" t="inlineStr">
        <is>
          <t>SÖDERHAMN</t>
        </is>
      </c>
      <c r="I582" t="n">
        <v>15.1</v>
      </c>
      <c r="J582" t="n">
        <v>1</v>
      </c>
      <c r="K582" t="n">
        <v>1</v>
      </c>
      <c r="L582" t="n">
        <v>0</v>
      </c>
      <c r="M582" t="n">
        <v>0</v>
      </c>
      <c r="N582" t="n">
        <v>0</v>
      </c>
      <c r="O582" t="n">
        <v>0</v>
      </c>
      <c r="P582" t="n">
        <v>0</v>
      </c>
      <c r="Q582" t="n">
        <v>0</v>
      </c>
      <c r="R582" t="n">
        <v>0</v>
      </c>
      <c r="S582" t="n">
        <v>2</v>
      </c>
      <c r="T582" t="n">
        <v>2</v>
      </c>
      <c r="U582" t="n">
        <v>0</v>
      </c>
      <c r="V582" s="2" t="inlineStr">
        <is>
          <t>Svart trolldruva
Blåsippa</t>
        </is>
      </c>
      <c r="W582">
        <f>HYPERLINK("https://klasma.github.io/Logging_2182/artfynd/A 24156-2026 artfynd.xlsx", "A 24156-2026")</f>
        <v/>
      </c>
      <c r="X582">
        <f>HYPERLINK("https://klasma.github.io/Logging_2182/kartor/A 24156-2026 karta.png", "A 24156-2026")</f>
        <v/>
      </c>
      <c r="Y582">
        <f>HYPERLINK("https://klasma.github.io/Logging_2182/kartor_geotiff/A 24156-2026 georefererad karta.tif", "A 24156-2026")</f>
        <v/>
      </c>
      <c r="AA582">
        <f>HYPERLINK("https://klasma.github.io/Logging_2182/klagomål/A 24156-2026 FSC-klagomål.docx", "A 24156-2026")</f>
        <v/>
      </c>
      <c r="AB582">
        <f>HYPERLINK("https://klasma.github.io/Logging_2182/klagomålsmail/A 24156-2026 FSC-klagomål mail.docx", "A 24156-2026")</f>
        <v/>
      </c>
      <c r="AC582">
        <f>HYPERLINK("https://klasma.github.io/Logging_2182/tillsyn/A 24156-2026 tillsynsbegäran.docx", "A 24156-2026")</f>
        <v/>
      </c>
      <c r="AD582">
        <f>HYPERLINK("https://klasma.github.io/Logging_2182/tillsynsmail/A 24156-2026 tillsynsbegäran mail.docx", "A 24156-2026")</f>
        <v/>
      </c>
    </row>
    <row r="583" ht="15" customHeight="1">
      <c r="A583" t="inlineStr">
        <is>
          <t>A 24310-2026</t>
        </is>
      </c>
      <c r="B583" t="inlineStr">
        <is>
          <t>avverkningsanmälan</t>
        </is>
      </c>
      <c r="C583" t="inlineStr">
        <is>
          <t>Föryngringsavverkning</t>
        </is>
      </c>
      <c r="D583" s="1" t="n">
        <v>46169</v>
      </c>
      <c r="E583" s="1" t="n">
        <v>46326</v>
      </c>
      <c r="F583" t="inlineStr">
        <is>
          <t>GÄVLEBORGS LÄN</t>
        </is>
      </c>
      <c r="G583" t="inlineStr">
        <is>
          <t>GÄVLE</t>
        </is>
      </c>
      <c r="H583" t="inlineStr">
        <is>
          <t>Bergvik skog öst AB</t>
        </is>
      </c>
      <c r="I583" t="n">
        <v>2.5</v>
      </c>
      <c r="J583" t="n">
        <v>0</v>
      </c>
      <c r="K583" t="n">
        <v>0</v>
      </c>
      <c r="L583" t="n">
        <v>1</v>
      </c>
      <c r="M583" t="n">
        <v>1</v>
      </c>
      <c r="N583" t="n">
        <v>0</v>
      </c>
      <c r="O583" t="n">
        <v>0</v>
      </c>
      <c r="P583" t="n">
        <v>0</v>
      </c>
      <c r="Q583" t="n">
        <v>2</v>
      </c>
      <c r="R583" t="n">
        <v>1</v>
      </c>
      <c r="S583" t="n">
        <v>2</v>
      </c>
      <c r="T583" t="n">
        <v>2</v>
      </c>
      <c r="U583" t="n">
        <v>0</v>
      </c>
      <c r="V583" s="2" t="inlineStr">
        <is>
          <t>Garnlav
Kattfotslav</t>
        </is>
      </c>
      <c r="W583">
        <f>HYPERLINK("https://klasma.github.io/Logging_2180/artfynd/A 24310-2026 artfynd.xlsx", "A 24310-2026")</f>
        <v/>
      </c>
      <c r="X583">
        <f>HYPERLINK("https://klasma.github.io/Logging_2180/kartor/A 24310-2026 karta.png", "A 24310-2026")</f>
        <v/>
      </c>
      <c r="Y583">
        <f>HYPERLINK("https://klasma.github.io/Logging_2180/kartor_geotiff/A 24310-2026 georefererad karta.tif", "A 24310-2026")</f>
        <v/>
      </c>
      <c r="AA583">
        <f>HYPERLINK("https://klasma.github.io/Logging_2180/klagomål/A 24310-2026 FSC-klagomål.docx", "A 24310-2026")</f>
        <v/>
      </c>
      <c r="AB583">
        <f>HYPERLINK("https://klasma.github.io/Logging_2180/klagomålsmail/A 24310-2026 FSC-klagomål mail.docx", "A 24310-2026")</f>
        <v/>
      </c>
      <c r="AC583">
        <f>HYPERLINK("https://klasma.github.io/Logging_2180/tillsyn/A 24310-2026 tillsynsbegäran.docx", "A 24310-2026")</f>
        <v/>
      </c>
      <c r="AD583">
        <f>HYPERLINK("https://klasma.github.io/Logging_2180/tillsynsmail/A 24310-2026 tillsynsbegäran mail.docx", "A 24310-2026")</f>
        <v/>
      </c>
    </row>
    <row r="584" ht="15" customHeight="1">
      <c r="A584" t="inlineStr">
        <is>
          <t>A 24150-2026</t>
        </is>
      </c>
      <c r="B584" t="inlineStr">
        <is>
          <t>avverkningsanmälan</t>
        </is>
      </c>
      <c r="C584" t="inlineStr">
        <is>
          <t>Föryngringsavverkning</t>
        </is>
      </c>
      <c r="D584" s="1" t="n">
        <v>46168</v>
      </c>
      <c r="E584" s="1" t="n">
        <v>46326</v>
      </c>
      <c r="F584" t="inlineStr">
        <is>
          <t>GÄVLEBORGS LÄN</t>
        </is>
      </c>
      <c r="G584" t="inlineStr">
        <is>
          <t>LJUSDAL</t>
        </is>
      </c>
      <c r="H584" t="inlineStr">
        <is>
          <t>Sveaskog</t>
        </is>
      </c>
      <c r="I584" t="n">
        <v>18</v>
      </c>
      <c r="J584" t="n">
        <v>2</v>
      </c>
      <c r="K584" t="n">
        <v>1</v>
      </c>
      <c r="L584" t="n">
        <v>0</v>
      </c>
      <c r="M584" t="n">
        <v>1</v>
      </c>
      <c r="N584" t="n">
        <v>0</v>
      </c>
      <c r="O584" t="n">
        <v>0</v>
      </c>
      <c r="P584" t="n">
        <v>0</v>
      </c>
      <c r="Q584" t="n">
        <v>1</v>
      </c>
      <c r="R584" t="n">
        <v>1</v>
      </c>
      <c r="S584" t="n">
        <v>2</v>
      </c>
      <c r="T584" t="n">
        <v>2</v>
      </c>
      <c r="U584" t="n">
        <v>0</v>
      </c>
      <c r="V584" s="2" t="inlineStr">
        <is>
          <t>Knärot
Plattlummer</t>
        </is>
      </c>
      <c r="W584">
        <f>HYPERLINK("https://klasma.github.io/Logging_2161/artfynd/A 24150-2026 artfynd.xlsx", "A 24150-2026")</f>
        <v/>
      </c>
      <c r="X584">
        <f>HYPERLINK("https://klasma.github.io/Logging_2161/kartor/A 24150-2026 karta.png", "A 24150-2026")</f>
        <v/>
      </c>
      <c r="Y584">
        <f>HYPERLINK("https://klasma.github.io/Logging_2161/kartor_geotiff/A 24150-2026 georefererad karta.tif", "A 24150-2026")</f>
        <v/>
      </c>
      <c r="Z584">
        <f>HYPERLINK("https://klasma.github.io/Logging_2161/knärot/A 24150-2026 karta knärot.png", "A 24150-2026")</f>
        <v/>
      </c>
      <c r="AA584">
        <f>HYPERLINK("https://klasma.github.io/Logging_2161/klagomål/A 24150-2026 FSC-klagomål.docx", "A 24150-2026")</f>
        <v/>
      </c>
      <c r="AB584">
        <f>HYPERLINK("https://klasma.github.io/Logging_2161/klagomålsmail/A 24150-2026 FSC-klagomål mail.docx", "A 24150-2026")</f>
        <v/>
      </c>
      <c r="AC584">
        <f>HYPERLINK("https://klasma.github.io/Logging_2161/tillsyn/A 24150-2026 tillsynsbegäran.docx", "A 24150-2026")</f>
        <v/>
      </c>
      <c r="AD584">
        <f>HYPERLINK("https://klasma.github.io/Logging_2161/tillsynsmail/A 24150-2026 tillsynsbegäran mail.docx", "A 24150-2026")</f>
        <v/>
      </c>
    </row>
    <row r="585" ht="15" customHeight="1">
      <c r="A585" t="inlineStr">
        <is>
          <t>A 35350-2024</t>
        </is>
      </c>
      <c r="B585" t="inlineStr">
        <is>
          <t>avverkningsanmälan</t>
        </is>
      </c>
      <c r="C585" t="inlineStr">
        <is>
          <t>Avverkning för att bevara och utveckla /försöksver</t>
        </is>
      </c>
      <c r="D585" s="1" t="n">
        <v>45531</v>
      </c>
      <c r="E585" s="1" t="n">
        <v>46326</v>
      </c>
      <c r="F585" t="inlineStr">
        <is>
          <t>GÄVLEBORGS LÄN</t>
        </is>
      </c>
      <c r="G585" t="inlineStr">
        <is>
          <t>OVANÅKER</t>
        </is>
      </c>
      <c r="H585" t="inlineStr">
        <is>
          <t>Sveaskog</t>
        </is>
      </c>
      <c r="I585" t="n">
        <v>3.3</v>
      </c>
      <c r="J585" t="n">
        <v>0</v>
      </c>
      <c r="K585" t="n">
        <v>0</v>
      </c>
      <c r="L585" t="n">
        <v>2</v>
      </c>
      <c r="M585" t="n">
        <v>0</v>
      </c>
      <c r="N585" t="n">
        <v>0</v>
      </c>
      <c r="O585" t="n">
        <v>0</v>
      </c>
      <c r="P585" t="n">
        <v>0</v>
      </c>
      <c r="Q585" t="n">
        <v>2</v>
      </c>
      <c r="R585" t="n">
        <v>0</v>
      </c>
      <c r="S585" t="n">
        <v>2</v>
      </c>
      <c r="T585" t="n">
        <v>2</v>
      </c>
      <c r="U585" t="n">
        <v>2</v>
      </c>
      <c r="V585" s="2" t="inlineStr">
        <is>
          <t>Lunglav
Skrovellav</t>
        </is>
      </c>
      <c r="W585">
        <f>HYPERLINK("https://klasma.github.io/Logging_2121/artfynd/A 35350-2024 artfynd.xlsx", "A 35350-2024")</f>
        <v/>
      </c>
      <c r="X585">
        <f>HYPERLINK("https://klasma.github.io/Logging_2121/kartor/A 35350-2024 karta.png", "A 35350-2024")</f>
        <v/>
      </c>
      <c r="Y585">
        <f>HYPERLINK("https://klasma.github.io/Logging_2121/kartor_geotiff/A 35350-2024 georefererad karta.tif", "A 35350-2024")</f>
        <v/>
      </c>
      <c r="AA585">
        <f>HYPERLINK("https://klasma.github.io/Logging_2121/klagomål/A 35350-2024 FSC-klagomål.docx", "A 35350-2024")</f>
        <v/>
      </c>
      <c r="AB585">
        <f>HYPERLINK("https://klasma.github.io/Logging_2121/klagomålsmail/A 35350-2024 FSC-klagomål mail.docx", "A 35350-2024")</f>
        <v/>
      </c>
      <c r="AC585">
        <f>HYPERLINK("https://klasma.github.io/Logging_2121/tillsyn/A 35350-2024 tillsynsbegäran.docx", "A 35350-2024")</f>
        <v/>
      </c>
      <c r="AD585">
        <f>HYPERLINK("https://klasma.github.io/Logging_2121/tillsynsmail/A 35350-2024 tillsynsbegäran mail.docx", "A 35350-2024")</f>
        <v/>
      </c>
    </row>
    <row r="586" ht="15" customHeight="1">
      <c r="A586" t="inlineStr">
        <is>
          <t>A 25511-2026</t>
        </is>
      </c>
      <c r="B586" t="inlineStr">
        <is>
          <t>avverkningsanmälan</t>
        </is>
      </c>
      <c r="C586" t="inlineStr">
        <is>
          <t>Föryngringsavverkning</t>
        </is>
      </c>
      <c r="D586" s="1" t="n">
        <v>46177</v>
      </c>
      <c r="E586" s="1" t="n">
        <v>46326</v>
      </c>
      <c r="F586" t="inlineStr">
        <is>
          <t>GÄVLEBORGS LÄN</t>
        </is>
      </c>
      <c r="G586" t="inlineStr">
        <is>
          <t>HOFORS</t>
        </is>
      </c>
      <c r="H586" t="inlineStr">
        <is>
          <t>Sveaskog</t>
        </is>
      </c>
      <c r="I586" t="n">
        <v>6.4</v>
      </c>
      <c r="J586" t="n">
        <v>2</v>
      </c>
      <c r="K586" t="n">
        <v>1</v>
      </c>
      <c r="L586" t="n">
        <v>0</v>
      </c>
      <c r="M586" t="n">
        <v>0</v>
      </c>
      <c r="N586" t="n">
        <v>0</v>
      </c>
      <c r="O586" t="n">
        <v>0</v>
      </c>
      <c r="P586" t="n">
        <v>0</v>
      </c>
      <c r="Q586" t="n">
        <v>0</v>
      </c>
      <c r="R586" t="n">
        <v>0</v>
      </c>
      <c r="S586" t="n">
        <v>2</v>
      </c>
      <c r="T586" t="n">
        <v>5</v>
      </c>
      <c r="U586" t="n">
        <v>0</v>
      </c>
      <c r="V586" s="2" t="inlineStr">
        <is>
          <t>Tvåblad
Nattviol</t>
        </is>
      </c>
      <c r="W586">
        <f>HYPERLINK("https://klasma.github.io/Logging_2104/artfynd/A 25511-2026 artfynd.xlsx", "A 25511-2026")</f>
        <v/>
      </c>
      <c r="X586">
        <f>HYPERLINK("https://klasma.github.io/Logging_2104/kartor/A 25511-2026 karta.png", "A 25511-2026")</f>
        <v/>
      </c>
      <c r="Y586">
        <f>HYPERLINK("https://klasma.github.io/Logging_2104/kartor_geotiff/A 25511-2026 georefererad karta.tif", "A 25511-2026")</f>
        <v/>
      </c>
      <c r="AA586">
        <f>HYPERLINK("https://klasma.github.io/Logging_2104/klagomål/A 25511-2026 FSC-klagomål.docx", "A 25511-2026")</f>
        <v/>
      </c>
      <c r="AB586">
        <f>HYPERLINK("https://klasma.github.io/Logging_2104/klagomålsmail/A 25511-2026 FSC-klagomål mail.docx", "A 25511-2026")</f>
        <v/>
      </c>
      <c r="AC586">
        <f>HYPERLINK("https://klasma.github.io/Logging_2104/tillsyn/A 25511-2026 tillsynsbegäran.docx", "A 25511-2026")</f>
        <v/>
      </c>
      <c r="AD586">
        <f>HYPERLINK("https://klasma.github.io/Logging_2104/tillsynsmail/A 25511-2026 tillsynsbegäran mail.docx", "A 25511-2026")</f>
        <v/>
      </c>
    </row>
    <row r="587" ht="15" customHeight="1">
      <c r="A587" t="inlineStr">
        <is>
          <t>A 25478-2026</t>
        </is>
      </c>
      <c r="B587" t="inlineStr">
        <is>
          <t>avverkningsanmälan</t>
        </is>
      </c>
      <c r="C587" t="inlineStr">
        <is>
          <t>Föryngringsavverkning</t>
        </is>
      </c>
      <c r="D587" s="1" t="n">
        <v>46177</v>
      </c>
      <c r="E587" s="1" t="n">
        <v>46326</v>
      </c>
      <c r="F587" t="inlineStr">
        <is>
          <t>GÄVLEBORGS LÄN</t>
        </is>
      </c>
      <c r="G587" t="inlineStr">
        <is>
          <t>HUDIKSVALL</t>
        </is>
      </c>
      <c r="H587" t="inlineStr">
        <is>
          <t>Holmen skog AB</t>
        </is>
      </c>
      <c r="I587" t="n">
        <v>9.1</v>
      </c>
      <c r="J587" t="n">
        <v>0</v>
      </c>
      <c r="K587" t="n">
        <v>2</v>
      </c>
      <c r="L587" t="n">
        <v>0</v>
      </c>
      <c r="M587" t="n">
        <v>0</v>
      </c>
      <c r="N587" t="n">
        <v>0</v>
      </c>
      <c r="O587" t="n">
        <v>0</v>
      </c>
      <c r="P587" t="n">
        <v>0</v>
      </c>
      <c r="Q587" t="n">
        <v>0</v>
      </c>
      <c r="R587" t="n">
        <v>0</v>
      </c>
      <c r="S587" t="n">
        <v>2</v>
      </c>
      <c r="T587" t="n">
        <v>2</v>
      </c>
      <c r="U587" t="n">
        <v>0</v>
      </c>
      <c r="V587" s="2" t="inlineStr">
        <is>
          <t>Kambräken
Västlig hakmossa</t>
        </is>
      </c>
      <c r="W587">
        <f>HYPERLINK("https://klasma.github.io/Logging_2184/artfynd/A 25478-2026 artfynd.xlsx", "A 25478-2026")</f>
        <v/>
      </c>
      <c r="X587">
        <f>HYPERLINK("https://klasma.github.io/Logging_2184/kartor/A 25478-2026 karta.png", "A 25478-2026")</f>
        <v/>
      </c>
      <c r="Y587">
        <f>HYPERLINK("https://klasma.github.io/Logging_2184/kartor_geotiff/A 25478-2026 georefererad karta.tif", "A 25478-2026")</f>
        <v/>
      </c>
      <c r="AA587">
        <f>HYPERLINK("https://klasma.github.io/Logging_2184/klagomål/A 25478-2026 FSC-klagomål.docx", "A 25478-2026")</f>
        <v/>
      </c>
      <c r="AB587">
        <f>HYPERLINK("https://klasma.github.io/Logging_2184/klagomålsmail/A 25478-2026 FSC-klagomål mail.docx", "A 25478-2026")</f>
        <v/>
      </c>
      <c r="AC587">
        <f>HYPERLINK("https://klasma.github.io/Logging_2184/tillsyn/A 25478-2026 tillsynsbegäran.docx", "A 25478-2026")</f>
        <v/>
      </c>
      <c r="AD587">
        <f>HYPERLINK("https://klasma.github.io/Logging_2184/tillsynsmail/A 25478-2026 tillsynsbegäran mail.docx", "A 25478-2026")</f>
        <v/>
      </c>
    </row>
    <row r="588" ht="15" customHeight="1">
      <c r="A588" t="inlineStr">
        <is>
          <t>A 51232-2023</t>
        </is>
      </c>
      <c r="B588" t="inlineStr">
        <is>
          <t>avverkningsanmälan</t>
        </is>
      </c>
      <c r="C588" t="inlineStr">
        <is>
          <t>Föryngringsavverkning</t>
        </is>
      </c>
      <c r="D588" s="1" t="n">
        <v>45219</v>
      </c>
      <c r="E588" s="1" t="n">
        <v>46326</v>
      </c>
      <c r="F588" t="inlineStr">
        <is>
          <t>GÄVLEBORGS LÄN</t>
        </is>
      </c>
      <c r="G588" t="inlineStr">
        <is>
          <t>LJUSDAL</t>
        </is>
      </c>
      <c r="H588" t="inlineStr">
        <is>
          <t>Sveaskog</t>
        </is>
      </c>
      <c r="I588" t="n">
        <v>1.9</v>
      </c>
      <c r="J588" t="n">
        <v>0</v>
      </c>
      <c r="K588" t="n">
        <v>1</v>
      </c>
      <c r="L588" t="n">
        <v>1</v>
      </c>
      <c r="M588" t="n">
        <v>0</v>
      </c>
      <c r="N588" t="n">
        <v>0</v>
      </c>
      <c r="O588" t="n">
        <v>0</v>
      </c>
      <c r="P588" t="n">
        <v>0</v>
      </c>
      <c r="Q588" t="n">
        <v>1</v>
      </c>
      <c r="R588" t="n">
        <v>0</v>
      </c>
      <c r="S588" t="n">
        <v>2</v>
      </c>
      <c r="T588" t="n">
        <v>3</v>
      </c>
      <c r="U588" t="n">
        <v>1</v>
      </c>
      <c r="V588" s="2" t="inlineStr">
        <is>
          <t>Lunglav
Korallblylav</t>
        </is>
      </c>
      <c r="W588">
        <f>HYPERLINK("https://klasma.github.io/Logging_2161/artfynd/A 51232-2023 artfynd.xlsx", "A 51232-2023")</f>
        <v/>
      </c>
      <c r="X588">
        <f>HYPERLINK("https://klasma.github.io/Logging_2161/kartor/A 51232-2023 karta.png", "A 51232-2023")</f>
        <v/>
      </c>
      <c r="Y588">
        <f>HYPERLINK("https://klasma.github.io/Logging_2161/kartor_geotiff/A 51232-2023 georefererad karta.tif", "A 51232-2023")</f>
        <v/>
      </c>
      <c r="AA588">
        <f>HYPERLINK("https://klasma.github.io/Logging_2161/klagomål/A 51232-2023 FSC-klagomål.docx", "A 51232-2023")</f>
        <v/>
      </c>
      <c r="AB588">
        <f>HYPERLINK("https://klasma.github.io/Logging_2161/klagomålsmail/A 51232-2023 FSC-klagomål mail.docx", "A 51232-2023")</f>
        <v/>
      </c>
      <c r="AC588">
        <f>HYPERLINK("https://klasma.github.io/Logging_2161/tillsyn/A 51232-2023 tillsynsbegäran.docx", "A 51232-2023")</f>
        <v/>
      </c>
      <c r="AD588">
        <f>HYPERLINK("https://klasma.github.io/Logging_2161/tillsynsmail/A 51232-2023 tillsynsbegäran mail.docx", "A 51232-2023")</f>
        <v/>
      </c>
    </row>
    <row r="589" ht="15" customHeight="1">
      <c r="A589" t="inlineStr">
        <is>
          <t>A 60594-2024</t>
        </is>
      </c>
      <c r="B589" t="inlineStr">
        <is>
          <t>avverkningsanmälan</t>
        </is>
      </c>
      <c r="C589" t="inlineStr">
        <is>
          <t>Föryngringsavverkning</t>
        </is>
      </c>
      <c r="D589" s="1" t="n">
        <v>45644</v>
      </c>
      <c r="E589" s="1" t="n">
        <v>46326</v>
      </c>
      <c r="F589" t="inlineStr">
        <is>
          <t>GÄVLEBORGS LÄN</t>
        </is>
      </c>
      <c r="G589" t="inlineStr">
        <is>
          <t>HUDIKSVALL</t>
        </is>
      </c>
      <c r="I589" t="n">
        <v>3.7</v>
      </c>
      <c r="J589" t="n">
        <v>1</v>
      </c>
      <c r="K589" t="n">
        <v>0</v>
      </c>
      <c r="L589" t="n">
        <v>0</v>
      </c>
      <c r="M589" t="n">
        <v>0</v>
      </c>
      <c r="N589" t="n">
        <v>1</v>
      </c>
      <c r="O589" t="n">
        <v>0</v>
      </c>
      <c r="P589" t="n">
        <v>0</v>
      </c>
      <c r="Q589" t="n">
        <v>1</v>
      </c>
      <c r="R589" t="n">
        <v>1</v>
      </c>
      <c r="S589" t="n">
        <v>2</v>
      </c>
      <c r="T589" t="n">
        <v>4</v>
      </c>
      <c r="U589" t="n">
        <v>4</v>
      </c>
      <c r="V589" s="2" t="inlineStr">
        <is>
          <t>Flodpärlmussla
Vanlig padda</t>
        </is>
      </c>
      <c r="W589">
        <f>HYPERLINK("https://klasma.github.io/Logging_2184/artfynd/A 60594-2024 artfynd.xlsx", "A 60594-2024")</f>
        <v/>
      </c>
      <c r="X589">
        <f>HYPERLINK("https://klasma.github.io/Logging_2184/kartor/A 60594-2024 karta.png", "A 60594-2024")</f>
        <v/>
      </c>
      <c r="Y589">
        <f>HYPERLINK("https://klasma.github.io/Logging_2184/kartor_geotiff/A 60594-2024 georefererad karta.tif", "A 60594-2024")</f>
        <v/>
      </c>
      <c r="AA589">
        <f>HYPERLINK("https://klasma.github.io/Logging_2184/klagomål/A 60594-2024 FSC-klagomål.docx", "A 60594-2024")</f>
        <v/>
      </c>
      <c r="AB589">
        <f>HYPERLINK("https://klasma.github.io/Logging_2184/klagomålsmail/A 60594-2024 FSC-klagomål mail.docx", "A 60594-2024")</f>
        <v/>
      </c>
      <c r="AC589">
        <f>HYPERLINK("https://klasma.github.io/Logging_2184/tillsyn/A 60594-2024 tillsynsbegäran.docx", "A 60594-2024")</f>
        <v/>
      </c>
      <c r="AD589">
        <f>HYPERLINK("https://klasma.github.io/Logging_2184/tillsynsmail/A 60594-2024 tillsynsbegäran mail.docx", "A 60594-2024")</f>
        <v/>
      </c>
    </row>
    <row r="590" ht="15" customHeight="1">
      <c r="A590" t="inlineStr">
        <is>
          <t>A 27184-2026</t>
        </is>
      </c>
      <c r="B590" t="inlineStr">
        <is>
          <t>avverkningsanmälan</t>
        </is>
      </c>
      <c r="C590" t="inlineStr">
        <is>
          <t>Föryngringsavverkning</t>
        </is>
      </c>
      <c r="D590" s="1" t="n">
        <v>46188</v>
      </c>
      <c r="E590" s="1" t="n">
        <v>46326</v>
      </c>
      <c r="F590" t="inlineStr">
        <is>
          <t>GÄVLEBORGS LÄN</t>
        </is>
      </c>
      <c r="G590" t="inlineStr">
        <is>
          <t>SANDVIKEN</t>
        </is>
      </c>
      <c r="I590" t="n">
        <v>1.5</v>
      </c>
      <c r="J590" t="n">
        <v>1</v>
      </c>
      <c r="K590" t="n">
        <v>0</v>
      </c>
      <c r="L590" t="n">
        <v>2</v>
      </c>
      <c r="M590" t="n">
        <v>0</v>
      </c>
      <c r="N590" t="n">
        <v>0</v>
      </c>
      <c r="O590" t="n">
        <v>0</v>
      </c>
      <c r="P590" t="n">
        <v>0</v>
      </c>
      <c r="Q590" t="n">
        <v>2</v>
      </c>
      <c r="R590" t="n">
        <v>0</v>
      </c>
      <c r="S590" t="n">
        <v>2</v>
      </c>
      <c r="T590" t="n">
        <v>2</v>
      </c>
      <c r="U590" t="n">
        <v>0</v>
      </c>
      <c r="V590" s="2" t="inlineStr">
        <is>
          <t>Dropptaggsvamp
Talltita</t>
        </is>
      </c>
      <c r="W590">
        <f>HYPERLINK("https://klasma.github.io/Logging_2181/artfynd/A 27184-2026 artfynd.xlsx", "A 27184-2026")</f>
        <v/>
      </c>
      <c r="X590">
        <f>HYPERLINK("https://klasma.github.io/Logging_2181/kartor/A 27184-2026 karta.png", "A 27184-2026")</f>
        <v/>
      </c>
      <c r="Y590">
        <f>HYPERLINK("https://klasma.github.io/Logging_2181/kartor_geotiff/A 27184-2026 georefererad karta.tif", "A 27184-2026")</f>
        <v/>
      </c>
      <c r="AA590">
        <f>HYPERLINK("https://klasma.github.io/Logging_2181/klagomål/A 27184-2026 FSC-klagomål.docx", "A 27184-2026")</f>
        <v/>
      </c>
      <c r="AB590">
        <f>HYPERLINK("https://klasma.github.io/Logging_2181/klagomålsmail/A 27184-2026 FSC-klagomål mail.docx", "A 27184-2026")</f>
        <v/>
      </c>
      <c r="AC590">
        <f>HYPERLINK("https://klasma.github.io/Logging_2181/tillsyn/A 27184-2026 tillsynsbegäran.docx", "A 27184-2026")</f>
        <v/>
      </c>
      <c r="AD590">
        <f>HYPERLINK("https://klasma.github.io/Logging_2181/tillsynsmail/A 27184-2026 tillsynsbegäran mail.docx", "A 27184-2026")</f>
        <v/>
      </c>
      <c r="AE590">
        <f>HYPERLINK("https://klasma.github.io/Logging_2181/fåglar/A 27184-2026 prioriterade fågelarter.docx", "A 27184-2026")</f>
        <v/>
      </c>
    </row>
    <row r="591" ht="15" customHeight="1">
      <c r="A591" t="inlineStr">
        <is>
          <t>A 27014-2026</t>
        </is>
      </c>
      <c r="B591" t="inlineStr">
        <is>
          <t>avverkningsanmälan</t>
        </is>
      </c>
      <c r="C591" t="inlineStr">
        <is>
          <t>Föryngringsavverkning</t>
        </is>
      </c>
      <c r="D591" s="1" t="n">
        <v>46185</v>
      </c>
      <c r="E591" s="1" t="n">
        <v>46326</v>
      </c>
      <c r="F591" t="inlineStr">
        <is>
          <t>GÄVLEBORGS LÄN</t>
        </is>
      </c>
      <c r="G591" t="inlineStr">
        <is>
          <t>SANDVIKEN</t>
        </is>
      </c>
      <c r="H591" t="inlineStr">
        <is>
          <t>Sveaskog</t>
        </is>
      </c>
      <c r="I591" t="n">
        <v>4.8</v>
      </c>
      <c r="J591" t="n">
        <v>2</v>
      </c>
      <c r="K591" t="n">
        <v>0</v>
      </c>
      <c r="L591" t="n">
        <v>1</v>
      </c>
      <c r="M591" t="n">
        <v>0</v>
      </c>
      <c r="N591" t="n">
        <v>0</v>
      </c>
      <c r="O591" t="n">
        <v>0</v>
      </c>
      <c r="P591" t="n">
        <v>0</v>
      </c>
      <c r="Q591" t="n">
        <v>1</v>
      </c>
      <c r="R591" t="n">
        <v>0</v>
      </c>
      <c r="S591" t="n">
        <v>2</v>
      </c>
      <c r="T591" t="n">
        <v>2</v>
      </c>
      <c r="U591" t="n">
        <v>0</v>
      </c>
      <c r="V591" s="2" t="inlineStr">
        <is>
          <t>Nordfladdermus
Tjäder</t>
        </is>
      </c>
      <c r="W591">
        <f>HYPERLINK("https://klasma.github.io/Logging_2181/artfynd/A 27014-2026 artfynd.xlsx", "A 27014-2026")</f>
        <v/>
      </c>
      <c r="X591">
        <f>HYPERLINK("https://klasma.github.io/Logging_2181/kartor/A 27014-2026 karta.png", "A 27014-2026")</f>
        <v/>
      </c>
      <c r="Y591">
        <f>HYPERLINK("https://klasma.github.io/Logging_2181/kartor_geotiff/A 27014-2026 georefererad karta.tif", "A 27014-2026")</f>
        <v/>
      </c>
      <c r="AA591">
        <f>HYPERLINK("https://klasma.github.io/Logging_2181/klagomål/A 27014-2026 FSC-klagomål.docx", "A 27014-2026")</f>
        <v/>
      </c>
      <c r="AB591">
        <f>HYPERLINK("https://klasma.github.io/Logging_2181/klagomålsmail/A 27014-2026 FSC-klagomål mail.docx", "A 27014-2026")</f>
        <v/>
      </c>
      <c r="AC591">
        <f>HYPERLINK("https://klasma.github.io/Logging_2181/tillsyn/A 27014-2026 tillsynsbegäran.docx", "A 27014-2026")</f>
        <v/>
      </c>
      <c r="AD591">
        <f>HYPERLINK("https://klasma.github.io/Logging_2181/tillsynsmail/A 27014-2026 tillsynsbegäran mail.docx", "A 27014-2026")</f>
        <v/>
      </c>
      <c r="AE591">
        <f>HYPERLINK("https://klasma.github.io/Logging_2181/fåglar/A 27014-2026 prioriterade fågelarter.docx", "A 27014-2026")</f>
        <v/>
      </c>
    </row>
    <row r="592" ht="15" customHeight="1">
      <c r="A592" t="inlineStr">
        <is>
          <t>A 27054-2026</t>
        </is>
      </c>
      <c r="B592" t="inlineStr">
        <is>
          <t>avverkningsanmälan</t>
        </is>
      </c>
      <c r="C592" t="inlineStr">
        <is>
          <t>Föryngringsavverkning</t>
        </is>
      </c>
      <c r="D592" s="1" t="n">
        <v>46185</v>
      </c>
      <c r="E592" s="1" t="n">
        <v>46326</v>
      </c>
      <c r="F592" t="inlineStr">
        <is>
          <t>GÄVLEBORGS LÄN</t>
        </is>
      </c>
      <c r="G592" t="inlineStr">
        <is>
          <t>GÄVLE</t>
        </is>
      </c>
      <c r="H592" t="inlineStr">
        <is>
          <t>Bergvik skog öst AB</t>
        </is>
      </c>
      <c r="I592" t="n">
        <v>2.5</v>
      </c>
      <c r="J592" t="n">
        <v>0</v>
      </c>
      <c r="K592" t="n">
        <v>0</v>
      </c>
      <c r="L592" t="n">
        <v>1</v>
      </c>
      <c r="M592" t="n">
        <v>1</v>
      </c>
      <c r="N592" t="n">
        <v>0</v>
      </c>
      <c r="O592" t="n">
        <v>0</v>
      </c>
      <c r="P592" t="n">
        <v>0</v>
      </c>
      <c r="Q592" t="n">
        <v>2</v>
      </c>
      <c r="R592" t="n">
        <v>1</v>
      </c>
      <c r="S592" t="n">
        <v>2</v>
      </c>
      <c r="T592" t="n">
        <v>2</v>
      </c>
      <c r="U592" t="n">
        <v>0</v>
      </c>
      <c r="V592" s="2" t="inlineStr">
        <is>
          <t>Garnlav
Kattfotslav</t>
        </is>
      </c>
      <c r="W592">
        <f>HYPERLINK("https://klasma.github.io/Logging_2180/artfynd/A 27054-2026 artfynd.xlsx", "A 27054-2026")</f>
        <v/>
      </c>
      <c r="X592">
        <f>HYPERLINK("https://klasma.github.io/Logging_2180/kartor/A 27054-2026 karta.png", "A 27054-2026")</f>
        <v/>
      </c>
      <c r="Y592">
        <f>HYPERLINK("https://klasma.github.io/Logging_2180/kartor_geotiff/A 27054-2026 georefererad karta.tif", "A 27054-2026")</f>
        <v/>
      </c>
      <c r="AA592">
        <f>HYPERLINK("https://klasma.github.io/Logging_2180/klagomål/A 27054-2026 FSC-klagomål.docx", "A 27054-2026")</f>
        <v/>
      </c>
      <c r="AB592">
        <f>HYPERLINK("https://klasma.github.io/Logging_2180/klagomålsmail/A 27054-2026 FSC-klagomål mail.docx", "A 27054-2026")</f>
        <v/>
      </c>
      <c r="AC592">
        <f>HYPERLINK("https://klasma.github.io/Logging_2180/tillsyn/A 27054-2026 tillsynsbegäran.docx", "A 27054-2026")</f>
        <v/>
      </c>
      <c r="AD592">
        <f>HYPERLINK("https://klasma.github.io/Logging_2180/tillsynsmail/A 27054-2026 tillsynsbegäran mail.docx", "A 27054-2026")</f>
        <v/>
      </c>
    </row>
    <row r="593" ht="15" customHeight="1">
      <c r="A593" t="inlineStr">
        <is>
          <t>A 321-2024</t>
        </is>
      </c>
      <c r="B593" t="inlineStr">
        <is>
          <t>avverkningsanmälan</t>
        </is>
      </c>
      <c r="C593" t="inlineStr">
        <is>
          <t>Föryngringsavverkning</t>
        </is>
      </c>
      <c r="D593" s="1" t="n">
        <v>45295</v>
      </c>
      <c r="E593" s="1" t="n">
        <v>46326</v>
      </c>
      <c r="F593" t="inlineStr">
        <is>
          <t>GÄVLEBORGS LÄN</t>
        </is>
      </c>
      <c r="G593" t="inlineStr">
        <is>
          <t>NORDANSTIG</t>
        </is>
      </c>
      <c r="H593" t="inlineStr">
        <is>
          <t>Holmen skog AB</t>
        </is>
      </c>
      <c r="I593" t="n">
        <v>1.5</v>
      </c>
      <c r="J593" t="n">
        <v>1</v>
      </c>
      <c r="K593" t="n">
        <v>2</v>
      </c>
      <c r="L593" t="n">
        <v>0</v>
      </c>
      <c r="M593" t="n">
        <v>0</v>
      </c>
      <c r="N593" t="n">
        <v>0</v>
      </c>
      <c r="O593" t="n">
        <v>0</v>
      </c>
      <c r="P593" t="n">
        <v>0</v>
      </c>
      <c r="Q593" t="n">
        <v>0</v>
      </c>
      <c r="R593" t="n">
        <v>0</v>
      </c>
      <c r="S593" t="n">
        <v>2</v>
      </c>
      <c r="T593" t="n">
        <v>2</v>
      </c>
      <c r="U593" t="n">
        <v>0</v>
      </c>
      <c r="V593" s="2" t="inlineStr">
        <is>
          <t>Tibast
Tvåblad</t>
        </is>
      </c>
      <c r="W593">
        <f>HYPERLINK("https://klasma.github.io/Logging_2132/artfynd/A 321-2024 artfynd.xlsx", "A 321-2024")</f>
        <v/>
      </c>
      <c r="X593">
        <f>HYPERLINK("https://klasma.github.io/Logging_2132/kartor/A 321-2024 karta.png", "A 321-2024")</f>
        <v/>
      </c>
      <c r="Y593">
        <f>HYPERLINK("https://klasma.github.io/Logging_2132/kartor_geotiff/A 321-2024 georefererad karta.tif", "A 321-2024")</f>
        <v/>
      </c>
      <c r="AA593">
        <f>HYPERLINK("https://klasma.github.io/Logging_2132/klagomål/A 321-2024 FSC-klagomål.docx", "A 321-2024")</f>
        <v/>
      </c>
      <c r="AB593">
        <f>HYPERLINK("https://klasma.github.io/Logging_2132/klagomålsmail/A 321-2024 FSC-klagomål mail.docx", "A 321-2024")</f>
        <v/>
      </c>
      <c r="AC593">
        <f>HYPERLINK("https://klasma.github.io/Logging_2132/tillsyn/A 321-2024 tillsynsbegäran.docx", "A 321-2024")</f>
        <v/>
      </c>
      <c r="AD593">
        <f>HYPERLINK("https://klasma.github.io/Logging_2132/tillsynsmail/A 321-2024 tillsynsbegäran mail.docx", "A 321-2024")</f>
        <v/>
      </c>
    </row>
    <row r="594" ht="15" customHeight="1">
      <c r="A594" t="inlineStr">
        <is>
          <t>A 9598-2026</t>
        </is>
      </c>
      <c r="B594" t="inlineStr">
        <is>
          <t>avverkningsanmälan</t>
        </is>
      </c>
      <c r="C594" t="inlineStr">
        <is>
          <t>Föryngringsavverkning</t>
        </is>
      </c>
      <c r="D594" s="1" t="n">
        <v>46071</v>
      </c>
      <c r="E594" s="1" t="n">
        <v>46326</v>
      </c>
      <c r="F594" t="inlineStr">
        <is>
          <t>GÄVLEBORGS LÄN</t>
        </is>
      </c>
      <c r="G594" t="inlineStr">
        <is>
          <t>HUDIKSVALL</t>
        </is>
      </c>
      <c r="I594" t="n">
        <v>2</v>
      </c>
      <c r="J594" t="n">
        <v>0</v>
      </c>
      <c r="K594" t="n">
        <v>2</v>
      </c>
      <c r="L594" t="n">
        <v>0</v>
      </c>
      <c r="M594" t="n">
        <v>0</v>
      </c>
      <c r="N594" t="n">
        <v>0</v>
      </c>
      <c r="O594" t="n">
        <v>0</v>
      </c>
      <c r="P594" t="n">
        <v>0</v>
      </c>
      <c r="Q594" t="n">
        <v>0</v>
      </c>
      <c r="R594" t="n">
        <v>0</v>
      </c>
      <c r="S594" t="n">
        <v>2</v>
      </c>
      <c r="T594" t="n">
        <v>2</v>
      </c>
      <c r="U594" t="n">
        <v>0</v>
      </c>
      <c r="V594" s="2" t="inlineStr">
        <is>
          <t>Strutbräken
Tibast</t>
        </is>
      </c>
      <c r="W594">
        <f>HYPERLINK("https://klasma.github.io/Logging_2184/artfynd/A 9598-2026 artfynd.xlsx", "A 9598-2026")</f>
        <v/>
      </c>
      <c r="X594">
        <f>HYPERLINK("https://klasma.github.io/Logging_2184/kartor/A 9598-2026 karta.png", "A 9598-2026")</f>
        <v/>
      </c>
      <c r="Y594">
        <f>HYPERLINK("https://klasma.github.io/Logging_2184/kartor_geotiff/A 9598-2026 georefererad karta.tif", "A 9598-2026")</f>
        <v/>
      </c>
      <c r="AA594">
        <f>HYPERLINK("https://klasma.github.io/Logging_2184/klagomål/A 9598-2026 FSC-klagomål.docx", "A 9598-2026")</f>
        <v/>
      </c>
      <c r="AB594">
        <f>HYPERLINK("https://klasma.github.io/Logging_2184/klagomålsmail/A 9598-2026 FSC-klagomål mail.docx", "A 9598-2026")</f>
        <v/>
      </c>
      <c r="AC594">
        <f>HYPERLINK("https://klasma.github.io/Logging_2184/tillsyn/A 9598-2026 tillsynsbegäran.docx", "A 9598-2026")</f>
        <v/>
      </c>
      <c r="AD594">
        <f>HYPERLINK("https://klasma.github.io/Logging_2184/tillsynsmail/A 9598-2026 tillsynsbegäran mail.docx", "A 9598-2026")</f>
        <v/>
      </c>
    </row>
    <row r="595" ht="15" customHeight="1">
      <c r="A595" t="inlineStr">
        <is>
          <t>A 62767-2022</t>
        </is>
      </c>
      <c r="B595" t="inlineStr">
        <is>
          <t>avverkningsanmälan</t>
        </is>
      </c>
      <c r="C595" t="inlineStr">
        <is>
          <t>Föryngringsavverkning</t>
        </is>
      </c>
      <c r="D595" s="1" t="n">
        <v>44884</v>
      </c>
      <c r="E595" s="1" t="n">
        <v>46326</v>
      </c>
      <c r="F595" t="inlineStr">
        <is>
          <t>GÄVLEBORGS LÄN</t>
        </is>
      </c>
      <c r="G595" t="inlineStr">
        <is>
          <t>NORDANSTIG</t>
        </is>
      </c>
      <c r="H595" t="inlineStr">
        <is>
          <t>SCA</t>
        </is>
      </c>
      <c r="I595" t="n">
        <v>13.3</v>
      </c>
      <c r="J595" t="n">
        <v>2</v>
      </c>
      <c r="K595" t="n">
        <v>1</v>
      </c>
      <c r="L595" t="n">
        <v>0</v>
      </c>
      <c r="M595" t="n">
        <v>0</v>
      </c>
      <c r="N595" t="n">
        <v>0</v>
      </c>
      <c r="O595" t="n">
        <v>0</v>
      </c>
      <c r="P595" t="n">
        <v>0</v>
      </c>
      <c r="Q595" t="n">
        <v>0</v>
      </c>
      <c r="R595" t="n">
        <v>0</v>
      </c>
      <c r="S595" t="n">
        <v>2</v>
      </c>
      <c r="T595" t="n">
        <v>26</v>
      </c>
      <c r="U595" t="n">
        <v>1</v>
      </c>
      <c r="V595" s="2" t="inlineStr">
        <is>
          <t>Skogsknipprot
Törnskata</t>
        </is>
      </c>
      <c r="W595">
        <f>HYPERLINK("https://klasma.github.io/Logging_2132/artfynd/A 62767-2022 artfynd.xlsx", "A 62767-2022")</f>
        <v/>
      </c>
      <c r="X595">
        <f>HYPERLINK("https://klasma.github.io/Logging_2132/kartor/A 62767-2022 karta.png", "A 62767-2022")</f>
        <v/>
      </c>
      <c r="Y595">
        <f>HYPERLINK("https://klasma.github.io/Logging_2132/kartor_geotiff/A 62767-2022 georefererad karta.tif", "A 62767-2022")</f>
        <v/>
      </c>
      <c r="AA595">
        <f>HYPERLINK("https://klasma.github.io/Logging_2132/klagomål/A 62767-2022 FSC-klagomål.docx", "A 62767-2022")</f>
        <v/>
      </c>
      <c r="AB595">
        <f>HYPERLINK("https://klasma.github.io/Logging_2132/klagomålsmail/A 62767-2022 FSC-klagomål mail.docx", "A 62767-2022")</f>
        <v/>
      </c>
      <c r="AC595">
        <f>HYPERLINK("https://klasma.github.io/Logging_2132/tillsyn/A 62767-2022 tillsynsbegäran.docx", "A 62767-2022")</f>
        <v/>
      </c>
      <c r="AD595">
        <f>HYPERLINK("https://klasma.github.io/Logging_2132/tillsynsmail/A 62767-2022 tillsynsbegäran mail.docx", "A 62767-2022")</f>
        <v/>
      </c>
      <c r="AE595">
        <f>HYPERLINK("https://klasma.github.io/Logging_2132/fåglar/A 62767-2022 prioriterade fågelarter.docx", "A 62767-2022")</f>
        <v/>
      </c>
    </row>
    <row r="596" ht="15" customHeight="1">
      <c r="A596" t="inlineStr">
        <is>
          <t>A 38306-2024</t>
        </is>
      </c>
      <c r="B596" t="inlineStr">
        <is>
          <t>avverkningsanmälan</t>
        </is>
      </c>
      <c r="C596" t="inlineStr">
        <is>
          <t>Föryngringsavverkning</t>
        </is>
      </c>
      <c r="D596" s="1" t="n">
        <v>45545</v>
      </c>
      <c r="E596" s="1" t="n">
        <v>46326</v>
      </c>
      <c r="F596" t="inlineStr">
        <is>
          <t>GÄVLEBORGS LÄN</t>
        </is>
      </c>
      <c r="G596" t="inlineStr">
        <is>
          <t>LJUSDAL</t>
        </is>
      </c>
      <c r="H596" t="inlineStr">
        <is>
          <t>Sveaskog</t>
        </is>
      </c>
      <c r="I596" t="n">
        <v>4.1</v>
      </c>
      <c r="J596" t="n">
        <v>0</v>
      </c>
      <c r="K596" t="n">
        <v>0</v>
      </c>
      <c r="L596" t="n">
        <v>1</v>
      </c>
      <c r="M596" t="n">
        <v>1</v>
      </c>
      <c r="N596" t="n">
        <v>0</v>
      </c>
      <c r="O596" t="n">
        <v>0</v>
      </c>
      <c r="P596" t="n">
        <v>0</v>
      </c>
      <c r="Q596" t="n">
        <v>2</v>
      </c>
      <c r="R596" t="n">
        <v>1</v>
      </c>
      <c r="S596" t="n">
        <v>2</v>
      </c>
      <c r="T596" t="n">
        <v>2</v>
      </c>
      <c r="U596" t="n">
        <v>2</v>
      </c>
      <c r="V596" s="2" t="inlineStr">
        <is>
          <t>Garnlav
Lunglav</t>
        </is>
      </c>
      <c r="W596">
        <f>HYPERLINK("https://klasma.github.io/Logging_2161/artfynd/A 38306-2024 artfynd.xlsx", "A 38306-2024")</f>
        <v/>
      </c>
      <c r="X596">
        <f>HYPERLINK("https://klasma.github.io/Logging_2161/kartor/A 38306-2024 karta.png", "A 38306-2024")</f>
        <v/>
      </c>
      <c r="Y596">
        <f>HYPERLINK("https://klasma.github.io/Logging_2161/kartor_geotiff/A 38306-2024 georefererad karta.tif", "A 38306-2024")</f>
        <v/>
      </c>
      <c r="AA596">
        <f>HYPERLINK("https://klasma.github.io/Logging_2161/klagomål/A 38306-2024 FSC-klagomål.docx", "A 38306-2024")</f>
        <v/>
      </c>
      <c r="AB596">
        <f>HYPERLINK("https://klasma.github.io/Logging_2161/klagomålsmail/A 38306-2024 FSC-klagomål mail.docx", "A 38306-2024")</f>
        <v/>
      </c>
      <c r="AC596">
        <f>HYPERLINK("https://klasma.github.io/Logging_2161/tillsyn/A 38306-2024 tillsynsbegäran.docx", "A 38306-2024")</f>
        <v/>
      </c>
      <c r="AD596">
        <f>HYPERLINK("https://klasma.github.io/Logging_2161/tillsynsmail/A 38306-2024 tillsynsbegäran mail.docx", "A 38306-2024")</f>
        <v/>
      </c>
    </row>
    <row r="597" ht="15" customHeight="1">
      <c r="A597" t="inlineStr">
        <is>
          <t>A 43716-2023</t>
        </is>
      </c>
      <c r="B597" t="inlineStr">
        <is>
          <t>avverkningsanmälan</t>
        </is>
      </c>
      <c r="C597" t="inlineStr">
        <is>
          <t>Föryngringsavverkning</t>
        </is>
      </c>
      <c r="D597" s="1" t="n">
        <v>45187</v>
      </c>
      <c r="E597" s="1" t="n">
        <v>46326</v>
      </c>
      <c r="F597" t="inlineStr">
        <is>
          <t>GÄVLEBORGS LÄN</t>
        </is>
      </c>
      <c r="G597" t="inlineStr">
        <is>
          <t>SANDVIKEN</t>
        </is>
      </c>
      <c r="H597" t="inlineStr">
        <is>
          <t>Sveaskog</t>
        </is>
      </c>
      <c r="I597" t="n">
        <v>1.6</v>
      </c>
      <c r="J597" t="n">
        <v>1</v>
      </c>
      <c r="K597" t="n">
        <v>0</v>
      </c>
      <c r="L597" t="n">
        <v>1</v>
      </c>
      <c r="M597" t="n">
        <v>1</v>
      </c>
      <c r="N597" t="n">
        <v>0</v>
      </c>
      <c r="O597" t="n">
        <v>0</v>
      </c>
      <c r="P597" t="n">
        <v>0</v>
      </c>
      <c r="Q597" t="n">
        <v>2</v>
      </c>
      <c r="R597" t="n">
        <v>1</v>
      </c>
      <c r="S597" t="n">
        <v>2</v>
      </c>
      <c r="T597" t="n">
        <v>2</v>
      </c>
      <c r="U597" t="n">
        <v>2</v>
      </c>
      <c r="V597" s="2" t="inlineStr">
        <is>
          <t>Knärot
Dropptaggsvamp</t>
        </is>
      </c>
      <c r="W597">
        <f>HYPERLINK("https://klasma.github.io/Logging_2181/artfynd/A 43716-2023 artfynd.xlsx", "A 43716-2023")</f>
        <v/>
      </c>
      <c r="X597">
        <f>HYPERLINK("https://klasma.github.io/Logging_2181/kartor/A 43716-2023 karta.png", "A 43716-2023")</f>
        <v/>
      </c>
      <c r="Y597">
        <f>HYPERLINK("https://klasma.github.io/Logging_2181/kartor_geotiff/A 43716-2023 georefererad karta.tif", "A 43716-2023")</f>
        <v/>
      </c>
      <c r="Z597">
        <f>HYPERLINK("https://klasma.github.io/Logging_2181/knärot/A 43716-2023 karta knärot.png", "A 43716-2023")</f>
        <v/>
      </c>
      <c r="AA597">
        <f>HYPERLINK("https://klasma.github.io/Logging_2181/klagomål/A 43716-2023 FSC-klagomål.docx", "A 43716-2023")</f>
        <v/>
      </c>
      <c r="AB597">
        <f>HYPERLINK("https://klasma.github.io/Logging_2181/klagomålsmail/A 43716-2023 FSC-klagomål mail.docx", "A 43716-2023")</f>
        <v/>
      </c>
      <c r="AC597">
        <f>HYPERLINK("https://klasma.github.io/Logging_2181/tillsyn/A 43716-2023 tillsynsbegäran.docx", "A 43716-2023")</f>
        <v/>
      </c>
      <c r="AD597">
        <f>HYPERLINK("https://klasma.github.io/Logging_2181/tillsynsmail/A 43716-2023 tillsynsbegäran mail.docx", "A 43716-2023")</f>
        <v/>
      </c>
    </row>
    <row r="598" ht="15" customHeight="1">
      <c r="A598" t="inlineStr">
        <is>
          <t>A 29634-2026</t>
        </is>
      </c>
      <c r="B598" t="inlineStr">
        <is>
          <t>avverkningsanmälan</t>
        </is>
      </c>
      <c r="C598" t="inlineStr">
        <is>
          <t>Föryngringsavverkning</t>
        </is>
      </c>
      <c r="D598" s="1" t="n">
        <v>46199</v>
      </c>
      <c r="E598" s="1" t="n">
        <v>46326</v>
      </c>
      <c r="F598" t="inlineStr">
        <is>
          <t>GÄVLEBORGS LÄN</t>
        </is>
      </c>
      <c r="G598" t="inlineStr">
        <is>
          <t>GÄVLE</t>
        </is>
      </c>
      <c r="H598" t="inlineStr">
        <is>
          <t>Bergvik skog väst AB</t>
        </is>
      </c>
      <c r="I598" t="n">
        <v>6.3</v>
      </c>
      <c r="J598" t="n">
        <v>1</v>
      </c>
      <c r="K598" t="n">
        <v>0</v>
      </c>
      <c r="L598" t="n">
        <v>2</v>
      </c>
      <c r="M598" t="n">
        <v>0</v>
      </c>
      <c r="N598" t="n">
        <v>0</v>
      </c>
      <c r="O598" t="n">
        <v>0</v>
      </c>
      <c r="P598" t="n">
        <v>0</v>
      </c>
      <c r="Q598" t="n">
        <v>2</v>
      </c>
      <c r="R598" t="n">
        <v>0</v>
      </c>
      <c r="S598" t="n">
        <v>2</v>
      </c>
      <c r="T598" t="n">
        <v>2</v>
      </c>
      <c r="U598" t="n">
        <v>0</v>
      </c>
      <c r="V598" s="2" t="inlineStr">
        <is>
          <t>Brunag
Strandlummer</t>
        </is>
      </c>
      <c r="W598">
        <f>HYPERLINK("https://klasma.github.io/Logging_2180/artfynd/A 29634-2026 artfynd.xlsx", "A 29634-2026")</f>
        <v/>
      </c>
      <c r="X598">
        <f>HYPERLINK("https://klasma.github.io/Logging_2180/kartor/A 29634-2026 karta.png", "A 29634-2026")</f>
        <v/>
      </c>
      <c r="Y598">
        <f>HYPERLINK("https://klasma.github.io/Logging_2180/kartor_geotiff/A 29634-2026 georefererad karta.tif", "A 29634-2026")</f>
        <v/>
      </c>
      <c r="AA598">
        <f>HYPERLINK("https://klasma.github.io/Logging_2180/klagomål/A 29634-2026 FSC-klagomål.docx", "A 29634-2026")</f>
        <v/>
      </c>
      <c r="AB598">
        <f>HYPERLINK("https://klasma.github.io/Logging_2180/klagomålsmail/A 29634-2026 FSC-klagomål mail.docx", "A 29634-2026")</f>
        <v/>
      </c>
      <c r="AC598">
        <f>HYPERLINK("https://klasma.github.io/Logging_2180/tillsyn/A 29634-2026 tillsynsbegäran.docx", "A 29634-2026")</f>
        <v/>
      </c>
      <c r="AD598">
        <f>HYPERLINK("https://klasma.github.io/Logging_2180/tillsynsmail/A 29634-2026 tillsynsbegäran mail.docx", "A 29634-2026")</f>
        <v/>
      </c>
    </row>
    <row r="599" ht="15" customHeight="1">
      <c r="A599" t="inlineStr">
        <is>
          <t>A 29526-2026</t>
        </is>
      </c>
      <c r="B599" t="inlineStr">
        <is>
          <t>avverkningsanmälan</t>
        </is>
      </c>
      <c r="C599" t="inlineStr">
        <is>
          <t>Föryngringsavverkning</t>
        </is>
      </c>
      <c r="D599" s="1" t="n">
        <v>46198</v>
      </c>
      <c r="E599" s="1" t="n">
        <v>46326</v>
      </c>
      <c r="F599" t="inlineStr">
        <is>
          <t>GÄVLEBORGS LÄN</t>
        </is>
      </c>
      <c r="G599" t="inlineStr">
        <is>
          <t>LJUSDAL</t>
        </is>
      </c>
      <c r="H599" t="inlineStr">
        <is>
          <t>Övriga Aktiebolag</t>
        </is>
      </c>
      <c r="I599" t="n">
        <v>18.2</v>
      </c>
      <c r="J599" t="n">
        <v>2</v>
      </c>
      <c r="K599" t="n">
        <v>0</v>
      </c>
      <c r="L599" t="n">
        <v>0</v>
      </c>
      <c r="M599" t="n">
        <v>1</v>
      </c>
      <c r="N599" t="n">
        <v>0</v>
      </c>
      <c r="O599" t="n">
        <v>0</v>
      </c>
      <c r="P599" t="n">
        <v>0</v>
      </c>
      <c r="Q599" t="n">
        <v>1</v>
      </c>
      <c r="R599" t="n">
        <v>1</v>
      </c>
      <c r="S599" t="n">
        <v>2</v>
      </c>
      <c r="T599" t="n">
        <v>3</v>
      </c>
      <c r="U599" t="n">
        <v>0</v>
      </c>
      <c r="V599" s="2" t="inlineStr">
        <is>
          <t>Bredgentiana
Fläcknycklar</t>
        </is>
      </c>
      <c r="W599">
        <f>HYPERLINK("https://klasma.github.io/Logging_2161/artfynd/A 29526-2026 artfynd.xlsx", "A 29526-2026")</f>
        <v/>
      </c>
      <c r="X599">
        <f>HYPERLINK("https://klasma.github.io/Logging_2161/kartor/A 29526-2026 karta.png", "A 29526-2026")</f>
        <v/>
      </c>
      <c r="Y599">
        <f>HYPERLINK("https://klasma.github.io/Logging_2161/kartor_geotiff/A 29526-2026 georefererad karta.tif", "A 29526-2026")</f>
        <v/>
      </c>
      <c r="AA599">
        <f>HYPERLINK("https://klasma.github.io/Logging_2161/klagomål/A 29526-2026 FSC-klagomål.docx", "A 29526-2026")</f>
        <v/>
      </c>
      <c r="AB599">
        <f>HYPERLINK("https://klasma.github.io/Logging_2161/klagomålsmail/A 29526-2026 FSC-klagomål mail.docx", "A 29526-2026")</f>
        <v/>
      </c>
      <c r="AC599">
        <f>HYPERLINK("https://klasma.github.io/Logging_2161/tillsyn/A 29526-2026 tillsynsbegäran.docx", "A 29526-2026")</f>
        <v/>
      </c>
      <c r="AD599">
        <f>HYPERLINK("https://klasma.github.io/Logging_2161/tillsynsmail/A 29526-2026 tillsynsbegäran mail.docx", "A 29526-2026")</f>
        <v/>
      </c>
    </row>
    <row r="600" ht="15" customHeight="1">
      <c r="A600" t="inlineStr">
        <is>
          <t>A 29052-2026</t>
        </is>
      </c>
      <c r="B600" t="inlineStr">
        <is>
          <t>avverkningsanmälan</t>
        </is>
      </c>
      <c r="C600" t="inlineStr">
        <is>
          <t>Föryngringsavverkning</t>
        </is>
      </c>
      <c r="D600" s="1" t="n">
        <v>46199</v>
      </c>
      <c r="E600" s="1" t="n">
        <v>46326</v>
      </c>
      <c r="F600" t="inlineStr">
        <is>
          <t>GÄVLEBORGS LÄN</t>
        </is>
      </c>
      <c r="G600" t="inlineStr">
        <is>
          <t>LJUSDAL</t>
        </is>
      </c>
      <c r="H600" t="inlineStr">
        <is>
          <t>Sveaskog</t>
        </is>
      </c>
      <c r="I600" t="n">
        <v>22.2</v>
      </c>
      <c r="J600" t="n">
        <v>0</v>
      </c>
      <c r="K600" t="n">
        <v>0</v>
      </c>
      <c r="L600" t="n">
        <v>2</v>
      </c>
      <c r="M600" t="n">
        <v>0</v>
      </c>
      <c r="N600" t="n">
        <v>0</v>
      </c>
      <c r="O600" t="n">
        <v>0</v>
      </c>
      <c r="P600" t="n">
        <v>0</v>
      </c>
      <c r="Q600" t="n">
        <v>2</v>
      </c>
      <c r="R600" t="n">
        <v>0</v>
      </c>
      <c r="S600" t="n">
        <v>2</v>
      </c>
      <c r="T600" t="n">
        <v>4</v>
      </c>
      <c r="U600" t="n">
        <v>3</v>
      </c>
      <c r="V600" s="2" t="inlineStr">
        <is>
          <t>Lunglav
Skrovellav</t>
        </is>
      </c>
      <c r="W600">
        <f>HYPERLINK("https://klasma.github.io/Logging_2161/artfynd/A 29052-2026 artfynd.xlsx", "A 29052-2026")</f>
        <v/>
      </c>
      <c r="X600">
        <f>HYPERLINK("https://klasma.github.io/Logging_2161/kartor/A 29052-2026 karta.png", "A 29052-2026")</f>
        <v/>
      </c>
      <c r="Y600">
        <f>HYPERLINK("https://klasma.github.io/Logging_2161/kartor_geotiff/A 29052-2026 georefererad karta.tif", "A 29052-2026")</f>
        <v/>
      </c>
      <c r="AA600">
        <f>HYPERLINK("https://klasma.github.io/Logging_2161/klagomål/A 29052-2026 FSC-klagomål.docx", "A 29052-2026")</f>
        <v/>
      </c>
      <c r="AB600">
        <f>HYPERLINK("https://klasma.github.io/Logging_2161/klagomålsmail/A 29052-2026 FSC-klagomål mail.docx", "A 29052-2026")</f>
        <v/>
      </c>
      <c r="AC600">
        <f>HYPERLINK("https://klasma.github.io/Logging_2161/tillsyn/A 29052-2026 tillsynsbegäran.docx", "A 29052-2026")</f>
        <v/>
      </c>
      <c r="AD600">
        <f>HYPERLINK("https://klasma.github.io/Logging_2161/tillsynsmail/A 29052-2026 tillsynsbegäran mail.docx", "A 29052-2026")</f>
        <v/>
      </c>
    </row>
    <row r="601" ht="15" customHeight="1">
      <c r="A601" t="inlineStr">
        <is>
          <t>A 29111-2026</t>
        </is>
      </c>
      <c r="B601" t="inlineStr">
        <is>
          <t>avverkningsanmälan</t>
        </is>
      </c>
      <c r="C601" t="inlineStr">
        <is>
          <t>Föryngringsavverkning</t>
        </is>
      </c>
      <c r="D601" s="1" t="n">
        <v>46201</v>
      </c>
      <c r="E601" s="1" t="n">
        <v>46326</v>
      </c>
      <c r="F601" t="inlineStr">
        <is>
          <t>GÄVLEBORGS LÄN</t>
        </is>
      </c>
      <c r="G601" t="inlineStr">
        <is>
          <t>SANDVIKEN</t>
        </is>
      </c>
      <c r="H601" t="inlineStr">
        <is>
          <t>Kommuner</t>
        </is>
      </c>
      <c r="I601" t="n">
        <v>4.1</v>
      </c>
      <c r="J601" t="n">
        <v>1</v>
      </c>
      <c r="K601" t="n">
        <v>0</v>
      </c>
      <c r="L601" t="n">
        <v>1</v>
      </c>
      <c r="M601" t="n">
        <v>1</v>
      </c>
      <c r="N601" t="n">
        <v>0</v>
      </c>
      <c r="O601" t="n">
        <v>0</v>
      </c>
      <c r="P601" t="n">
        <v>0</v>
      </c>
      <c r="Q601" t="n">
        <v>2</v>
      </c>
      <c r="R601" t="n">
        <v>1</v>
      </c>
      <c r="S601" t="n">
        <v>2</v>
      </c>
      <c r="T601" t="n">
        <v>2</v>
      </c>
      <c r="U601" t="n">
        <v>1</v>
      </c>
      <c r="V601" s="2" t="inlineStr">
        <is>
          <t>Knärot
Tallticka</t>
        </is>
      </c>
      <c r="W601">
        <f>HYPERLINK("https://klasma.github.io/Logging_2181/artfynd/A 29111-2026 artfynd.xlsx", "A 29111-2026")</f>
        <v/>
      </c>
      <c r="X601">
        <f>HYPERLINK("https://klasma.github.io/Logging_2181/kartor/A 29111-2026 karta.png", "A 29111-2026")</f>
        <v/>
      </c>
      <c r="Y601">
        <f>HYPERLINK("https://klasma.github.io/Logging_2181/kartor_geotiff/A 29111-2026 georefererad karta.tif", "A 29111-2026")</f>
        <v/>
      </c>
      <c r="Z601">
        <f>HYPERLINK("https://klasma.github.io/Logging_2181/knärot/A 29111-2026 karta knärot.png", "A 29111-2026")</f>
        <v/>
      </c>
      <c r="AA601">
        <f>HYPERLINK("https://klasma.github.io/Logging_2181/klagomål/A 29111-2026 FSC-klagomål.docx", "A 29111-2026")</f>
        <v/>
      </c>
      <c r="AB601">
        <f>HYPERLINK("https://klasma.github.io/Logging_2181/klagomålsmail/A 29111-2026 FSC-klagomål mail.docx", "A 29111-2026")</f>
        <v/>
      </c>
      <c r="AC601">
        <f>HYPERLINK("https://klasma.github.io/Logging_2181/tillsyn/A 29111-2026 tillsynsbegäran.docx", "A 29111-2026")</f>
        <v/>
      </c>
      <c r="AD601">
        <f>HYPERLINK("https://klasma.github.io/Logging_2181/tillsynsmail/A 29111-2026 tillsynsbegäran mail.docx", "A 29111-2026")</f>
        <v/>
      </c>
    </row>
    <row r="602" ht="15" customHeight="1">
      <c r="A602" t="inlineStr">
        <is>
          <t>A 4081-2024</t>
        </is>
      </c>
      <c r="B602" t="inlineStr">
        <is>
          <t>avverkningsanmälan</t>
        </is>
      </c>
      <c r="C602" t="inlineStr">
        <is>
          <t>Föryngringsavverkning</t>
        </is>
      </c>
      <c r="D602" s="1" t="n">
        <v>45323</v>
      </c>
      <c r="E602" s="1" t="n">
        <v>46326</v>
      </c>
      <c r="F602" t="inlineStr">
        <is>
          <t>GÄVLEBORGS LÄN</t>
        </is>
      </c>
      <c r="G602" t="inlineStr">
        <is>
          <t>OVANÅKER</t>
        </is>
      </c>
      <c r="I602" t="n">
        <v>3.3</v>
      </c>
      <c r="J602" t="n">
        <v>0</v>
      </c>
      <c r="K602" t="n">
        <v>0</v>
      </c>
      <c r="L602" t="n">
        <v>2</v>
      </c>
      <c r="M602" t="n">
        <v>0</v>
      </c>
      <c r="N602" t="n">
        <v>0</v>
      </c>
      <c r="O602" t="n">
        <v>0</v>
      </c>
      <c r="P602" t="n">
        <v>0</v>
      </c>
      <c r="Q602" t="n">
        <v>2</v>
      </c>
      <c r="R602" t="n">
        <v>0</v>
      </c>
      <c r="S602" t="n">
        <v>2</v>
      </c>
      <c r="T602" t="n">
        <v>4</v>
      </c>
      <c r="U602" t="n">
        <v>4</v>
      </c>
      <c r="V602" s="2" t="inlineStr">
        <is>
          <t>Rosenticka
Ullticka</t>
        </is>
      </c>
      <c r="W602">
        <f>HYPERLINK("https://klasma.github.io/Logging_2121/artfynd/A 4081-2024 artfynd.xlsx", "A 4081-2024")</f>
        <v/>
      </c>
      <c r="X602">
        <f>HYPERLINK("https://klasma.github.io/Logging_2121/kartor/A 4081-2024 karta.png", "A 4081-2024")</f>
        <v/>
      </c>
      <c r="Y602">
        <f>HYPERLINK("https://klasma.github.io/Logging_2121/kartor_geotiff/A 4081-2024 georefererad karta.tif", "A 4081-2024")</f>
        <v/>
      </c>
      <c r="AA602">
        <f>HYPERLINK("https://klasma.github.io/Logging_2121/klagomål/A 4081-2024 FSC-klagomål.docx", "A 4081-2024")</f>
        <v/>
      </c>
      <c r="AB602">
        <f>HYPERLINK("https://klasma.github.io/Logging_2121/klagomålsmail/A 4081-2024 FSC-klagomål mail.docx", "A 4081-2024")</f>
        <v/>
      </c>
      <c r="AC602">
        <f>HYPERLINK("https://klasma.github.io/Logging_2121/tillsyn/A 4081-2024 tillsynsbegäran.docx", "A 4081-2024")</f>
        <v/>
      </c>
      <c r="AD602">
        <f>HYPERLINK("https://klasma.github.io/Logging_2121/tillsynsmail/A 4081-2024 tillsynsbegäran mail.docx", "A 4081-2024")</f>
        <v/>
      </c>
    </row>
    <row r="603" ht="15" customHeight="1">
      <c r="A603" t="inlineStr">
        <is>
          <t>A 29578-2023</t>
        </is>
      </c>
      <c r="B603" t="inlineStr">
        <is>
          <t>avverkningsanmälan</t>
        </is>
      </c>
      <c r="C603" t="inlineStr">
        <is>
          <t>Föryngringsavverkning</t>
        </is>
      </c>
      <c r="D603" s="1" t="n">
        <v>45106</v>
      </c>
      <c r="E603" s="1" t="n">
        <v>46326</v>
      </c>
      <c r="F603" t="inlineStr">
        <is>
          <t>GÄVLEBORGS LÄN</t>
        </is>
      </c>
      <c r="G603" t="inlineStr">
        <is>
          <t>NORDANSTIG</t>
        </is>
      </c>
      <c r="H603" t="inlineStr">
        <is>
          <t>Holmen skog AB</t>
        </is>
      </c>
      <c r="I603" t="n">
        <v>5.3</v>
      </c>
      <c r="J603" t="n">
        <v>2</v>
      </c>
      <c r="K603" t="n">
        <v>0</v>
      </c>
      <c r="L603" t="n">
        <v>1</v>
      </c>
      <c r="M603" t="n">
        <v>0</v>
      </c>
      <c r="N603" t="n">
        <v>0</v>
      </c>
      <c r="O603" t="n">
        <v>0</v>
      </c>
      <c r="P603" t="n">
        <v>0</v>
      </c>
      <c r="Q603" t="n">
        <v>1</v>
      </c>
      <c r="R603" t="n">
        <v>0</v>
      </c>
      <c r="S603" t="n">
        <v>2</v>
      </c>
      <c r="T603" t="n">
        <v>2</v>
      </c>
      <c r="U603" t="n">
        <v>0</v>
      </c>
      <c r="V603" s="2" t="inlineStr">
        <is>
          <t>Talltita
Blåsippa</t>
        </is>
      </c>
      <c r="W603">
        <f>HYPERLINK("https://klasma.github.io/Logging_2132/artfynd/A 29578-2023 artfynd.xlsx", "A 29578-2023")</f>
        <v/>
      </c>
      <c r="X603">
        <f>HYPERLINK("https://klasma.github.io/Logging_2132/kartor/A 29578-2023 karta.png", "A 29578-2023")</f>
        <v/>
      </c>
      <c r="Y603">
        <f>HYPERLINK("https://klasma.github.io/Logging_2132/kartor_geotiff/A 29578-2023 georefererad karta.tif", "A 29578-2023")</f>
        <v/>
      </c>
      <c r="AA603">
        <f>HYPERLINK("https://klasma.github.io/Logging_2132/klagomål/A 29578-2023 FSC-klagomål.docx", "A 29578-2023")</f>
        <v/>
      </c>
      <c r="AB603">
        <f>HYPERLINK("https://klasma.github.io/Logging_2132/klagomålsmail/A 29578-2023 FSC-klagomål mail.docx", "A 29578-2023")</f>
        <v/>
      </c>
      <c r="AC603">
        <f>HYPERLINK("https://klasma.github.io/Logging_2132/tillsyn/A 29578-2023 tillsynsbegäran.docx", "A 29578-2023")</f>
        <v/>
      </c>
      <c r="AD603">
        <f>HYPERLINK("https://klasma.github.io/Logging_2132/tillsynsmail/A 29578-2023 tillsynsbegäran mail.docx", "A 29578-2023")</f>
        <v/>
      </c>
      <c r="AE603">
        <f>HYPERLINK("https://klasma.github.io/Logging_2132/fåglar/A 29578-2023 prioriterade fågelarter.docx", "A 29578-2023")</f>
        <v/>
      </c>
    </row>
    <row r="604" ht="15" customHeight="1">
      <c r="A604" t="inlineStr">
        <is>
          <t>A 30009-2026</t>
        </is>
      </c>
      <c r="B604" t="inlineStr">
        <is>
          <t>avverkningsanmälan</t>
        </is>
      </c>
      <c r="C604" t="inlineStr">
        <is>
          <t>Föryngringsavverkning</t>
        </is>
      </c>
      <c r="D604" s="1" t="n">
        <v>46205</v>
      </c>
      <c r="E604" s="1" t="n">
        <v>46326</v>
      </c>
      <c r="F604" t="inlineStr">
        <is>
          <t>GÄVLEBORGS LÄN</t>
        </is>
      </c>
      <c r="G604" t="inlineStr">
        <is>
          <t>LJUSDAL</t>
        </is>
      </c>
      <c r="H604" t="inlineStr">
        <is>
          <t>Sveaskog</t>
        </is>
      </c>
      <c r="I604" t="n">
        <v>12.1</v>
      </c>
      <c r="J604" t="n">
        <v>0</v>
      </c>
      <c r="K604" t="n">
        <v>0</v>
      </c>
      <c r="L604" t="n">
        <v>2</v>
      </c>
      <c r="M604" t="n">
        <v>0</v>
      </c>
      <c r="N604" t="n">
        <v>0</v>
      </c>
      <c r="O604" t="n">
        <v>0</v>
      </c>
      <c r="P604" t="n">
        <v>0</v>
      </c>
      <c r="Q604" t="n">
        <v>2</v>
      </c>
      <c r="R604" t="n">
        <v>0</v>
      </c>
      <c r="S604" t="n">
        <v>2</v>
      </c>
      <c r="T604" t="n">
        <v>3</v>
      </c>
      <c r="U604" t="n">
        <v>3</v>
      </c>
      <c r="V604" s="2" t="inlineStr">
        <is>
          <t>Kolflarnlav
Lunglav</t>
        </is>
      </c>
      <c r="W604">
        <f>HYPERLINK("https://klasma.github.io/Logging_2161/artfynd/A 30009-2026 artfynd.xlsx", "A 30009-2026")</f>
        <v/>
      </c>
      <c r="X604">
        <f>HYPERLINK("https://klasma.github.io/Logging_2161/kartor/A 30009-2026 karta.png", "A 30009-2026")</f>
        <v/>
      </c>
      <c r="Y604">
        <f>HYPERLINK("https://klasma.github.io/Logging_2161/kartor_geotiff/A 30009-2026 georefererad karta.tif", "A 30009-2026")</f>
        <v/>
      </c>
      <c r="AA604">
        <f>HYPERLINK("https://klasma.github.io/Logging_2161/klagomål/A 30009-2026 FSC-klagomål.docx", "A 30009-2026")</f>
        <v/>
      </c>
      <c r="AB604">
        <f>HYPERLINK("https://klasma.github.io/Logging_2161/klagomålsmail/A 30009-2026 FSC-klagomål mail.docx", "A 30009-2026")</f>
        <v/>
      </c>
      <c r="AC604">
        <f>HYPERLINK("https://klasma.github.io/Logging_2161/tillsyn/A 30009-2026 tillsynsbegäran.docx", "A 30009-2026")</f>
        <v/>
      </c>
      <c r="AD604">
        <f>HYPERLINK("https://klasma.github.io/Logging_2161/tillsynsmail/A 30009-2026 tillsynsbegäran mail.docx", "A 30009-2026")</f>
        <v/>
      </c>
    </row>
    <row r="605" ht="15" customHeight="1">
      <c r="A605" t="inlineStr">
        <is>
          <t>A 21900-2024</t>
        </is>
      </c>
      <c r="B605" t="inlineStr">
        <is>
          <t>avverkningsanmälan</t>
        </is>
      </c>
      <c r="C605" t="inlineStr">
        <is>
          <t>Föryngringsavverkning</t>
        </is>
      </c>
      <c r="D605" s="1" t="n">
        <v>45443</v>
      </c>
      <c r="E605" s="1" t="n">
        <v>46326</v>
      </c>
      <c r="F605" t="inlineStr">
        <is>
          <t>GÄVLEBORGS LÄN</t>
        </is>
      </c>
      <c r="G605" t="inlineStr">
        <is>
          <t>LJUSDAL</t>
        </is>
      </c>
      <c r="H605" t="inlineStr">
        <is>
          <t>Sveaskog</t>
        </is>
      </c>
      <c r="I605" t="n">
        <v>1.6</v>
      </c>
      <c r="J605" t="n">
        <v>0</v>
      </c>
      <c r="K605" t="n">
        <v>0</v>
      </c>
      <c r="L605" t="n">
        <v>2</v>
      </c>
      <c r="M605" t="n">
        <v>0</v>
      </c>
      <c r="N605" t="n">
        <v>0</v>
      </c>
      <c r="O605" t="n">
        <v>0</v>
      </c>
      <c r="P605" t="n">
        <v>0</v>
      </c>
      <c r="Q605" t="n">
        <v>2</v>
      </c>
      <c r="R605" t="n">
        <v>0</v>
      </c>
      <c r="S605" t="n">
        <v>2</v>
      </c>
      <c r="T605" t="n">
        <v>2</v>
      </c>
      <c r="U605" t="n">
        <v>2</v>
      </c>
      <c r="V605" s="2" t="inlineStr">
        <is>
          <t>Lunglav
Ullticka</t>
        </is>
      </c>
      <c r="W605">
        <f>HYPERLINK("https://klasma.github.io/Logging_2161/artfynd/A 21900-2024 artfynd.xlsx", "A 21900-2024")</f>
        <v/>
      </c>
      <c r="X605">
        <f>HYPERLINK("https://klasma.github.io/Logging_2161/kartor/A 21900-2024 karta.png", "A 21900-2024")</f>
        <v/>
      </c>
      <c r="Y605">
        <f>HYPERLINK("https://klasma.github.io/Logging_2161/kartor_geotiff/A 21900-2024 georefererad karta.tif", "A 21900-2024")</f>
        <v/>
      </c>
      <c r="Z605">
        <f>HYPERLINK("https://klasma.github.io/Logging_2161/knärot/A 21900-2024 karta knärot.png", "A 21900-2024")</f>
        <v/>
      </c>
      <c r="AA605">
        <f>HYPERLINK("https://klasma.github.io/Logging_2161/klagomål/A 21900-2024 FSC-klagomål.docx", "A 21900-2024")</f>
        <v/>
      </c>
      <c r="AB605">
        <f>HYPERLINK("https://klasma.github.io/Logging_2161/klagomålsmail/A 21900-2024 FSC-klagomål mail.docx", "A 21900-2024")</f>
        <v/>
      </c>
      <c r="AC605">
        <f>HYPERLINK("https://klasma.github.io/Logging_2161/tillsyn/A 21900-2024 tillsynsbegäran.docx", "A 21900-2024")</f>
        <v/>
      </c>
      <c r="AD605">
        <f>HYPERLINK("https://klasma.github.io/Logging_2161/tillsynsmail/A 21900-2024 tillsynsbegäran mail.docx", "A 21900-2024")</f>
        <v/>
      </c>
    </row>
    <row r="606" ht="15" customHeight="1">
      <c r="A606" t="inlineStr">
        <is>
          <t>A 30484-2026</t>
        </is>
      </c>
      <c r="B606" t="inlineStr">
        <is>
          <t>avverkningsanmälan</t>
        </is>
      </c>
      <c r="C606" t="inlineStr">
        <is>
          <t>Föryngringsavverkning</t>
        </is>
      </c>
      <c r="D606" s="1" t="n">
        <v>46210</v>
      </c>
      <c r="E606" s="1" t="n">
        <v>46326</v>
      </c>
      <c r="F606" t="inlineStr">
        <is>
          <t>GÄVLEBORGS LÄN</t>
        </is>
      </c>
      <c r="G606" t="inlineStr">
        <is>
          <t>HUDIKSVALL</t>
        </is>
      </c>
      <c r="H606" t="inlineStr">
        <is>
          <t>Holmen skog AB</t>
        </is>
      </c>
      <c r="I606" t="n">
        <v>8.699999999999999</v>
      </c>
      <c r="J606" t="n">
        <v>0</v>
      </c>
      <c r="K606" t="n">
        <v>1</v>
      </c>
      <c r="L606" t="n">
        <v>1</v>
      </c>
      <c r="M606" t="n">
        <v>0</v>
      </c>
      <c r="N606" t="n">
        <v>0</v>
      </c>
      <c r="O606" t="n">
        <v>0</v>
      </c>
      <c r="P606" t="n">
        <v>0</v>
      </c>
      <c r="Q606" t="n">
        <v>1</v>
      </c>
      <c r="R606" t="n">
        <v>0</v>
      </c>
      <c r="S606" t="n">
        <v>2</v>
      </c>
      <c r="T606" t="n">
        <v>2</v>
      </c>
      <c r="U606" t="n">
        <v>0</v>
      </c>
      <c r="V606" s="2" t="inlineStr">
        <is>
          <t>Ullticka
Vedticka</t>
        </is>
      </c>
      <c r="W606">
        <f>HYPERLINK("https://klasma.github.io/Logging_2184/artfynd/A 30484-2026 artfynd.xlsx", "A 30484-2026")</f>
        <v/>
      </c>
      <c r="X606">
        <f>HYPERLINK("https://klasma.github.io/Logging_2184/kartor/A 30484-2026 karta.png", "A 30484-2026")</f>
        <v/>
      </c>
      <c r="Y606">
        <f>HYPERLINK("https://klasma.github.io/Logging_2184/kartor_geotiff/A 30484-2026 georefererad karta.tif", "A 30484-2026")</f>
        <v/>
      </c>
      <c r="Z606">
        <f>HYPERLINK("https://klasma.github.io/Logging_2184/knärot/A 30484-2026 karta knärot.png", "A 30484-2026")</f>
        <v/>
      </c>
      <c r="AA606">
        <f>HYPERLINK("https://klasma.github.io/Logging_2184/klagomål/A 30484-2026 FSC-klagomål.docx", "A 30484-2026")</f>
        <v/>
      </c>
      <c r="AB606">
        <f>HYPERLINK("https://klasma.github.io/Logging_2184/klagomålsmail/A 30484-2026 FSC-klagomål mail.docx", "A 30484-2026")</f>
        <v/>
      </c>
      <c r="AC606">
        <f>HYPERLINK("https://klasma.github.io/Logging_2184/tillsyn/A 30484-2026 tillsynsbegäran.docx", "A 30484-2026")</f>
        <v/>
      </c>
      <c r="AD606">
        <f>HYPERLINK("https://klasma.github.io/Logging_2184/tillsynsmail/A 30484-2026 tillsynsbegäran mail.docx", "A 30484-2026")</f>
        <v/>
      </c>
    </row>
    <row r="607" ht="15" customHeight="1">
      <c r="A607" t="inlineStr">
        <is>
          <t>A 26527-2023</t>
        </is>
      </c>
      <c r="B607" t="inlineStr">
        <is>
          <t>avverkningsanmälan</t>
        </is>
      </c>
      <c r="C607" t="inlineStr">
        <is>
          <t>Föryngringsavverkning</t>
        </is>
      </c>
      <c r="D607" s="1" t="n">
        <v>45092</v>
      </c>
      <c r="E607" s="1" t="n">
        <v>46326</v>
      </c>
      <c r="F607" t="inlineStr">
        <is>
          <t>GÄVLEBORGS LÄN</t>
        </is>
      </c>
      <c r="G607" t="inlineStr">
        <is>
          <t>LJUSDAL</t>
        </is>
      </c>
      <c r="H607" t="inlineStr">
        <is>
          <t>Sveaskog</t>
        </is>
      </c>
      <c r="I607" t="n">
        <v>2.8</v>
      </c>
      <c r="J607" t="n">
        <v>0</v>
      </c>
      <c r="K607" t="n">
        <v>1</v>
      </c>
      <c r="L607" t="n">
        <v>0</v>
      </c>
      <c r="M607" t="n">
        <v>1</v>
      </c>
      <c r="N607" t="n">
        <v>0</v>
      </c>
      <c r="O607" t="n">
        <v>0</v>
      </c>
      <c r="P607" t="n">
        <v>0</v>
      </c>
      <c r="Q607" t="n">
        <v>1</v>
      </c>
      <c r="R607" t="n">
        <v>1</v>
      </c>
      <c r="S607" t="n">
        <v>2</v>
      </c>
      <c r="T607" t="n">
        <v>4</v>
      </c>
      <c r="U607" t="n">
        <v>4</v>
      </c>
      <c r="V607" s="2" t="inlineStr">
        <is>
          <t>Garnlav
Stuplav</t>
        </is>
      </c>
      <c r="W607">
        <f>HYPERLINK("https://klasma.github.io/Logging_2161/artfynd/A 26527-2023 artfynd.xlsx", "A 26527-2023")</f>
        <v/>
      </c>
      <c r="X607">
        <f>HYPERLINK("https://klasma.github.io/Logging_2161/kartor/A 26527-2023 karta.png", "A 26527-2023")</f>
        <v/>
      </c>
      <c r="Y607">
        <f>HYPERLINK("https://klasma.github.io/Logging_2161/kartor_geotiff/A 26527-2023 georefererad karta.tif", "A 26527-2023")</f>
        <v/>
      </c>
      <c r="AA607">
        <f>HYPERLINK("https://klasma.github.io/Logging_2161/klagomål/A 26527-2023 FSC-klagomål.docx", "A 26527-2023")</f>
        <v/>
      </c>
      <c r="AB607">
        <f>HYPERLINK("https://klasma.github.io/Logging_2161/klagomålsmail/A 26527-2023 FSC-klagomål mail.docx", "A 26527-2023")</f>
        <v/>
      </c>
      <c r="AC607">
        <f>HYPERLINK("https://klasma.github.io/Logging_2161/tillsyn/A 26527-2023 tillsynsbegäran.docx", "A 26527-2023")</f>
        <v/>
      </c>
      <c r="AD607">
        <f>HYPERLINK("https://klasma.github.io/Logging_2161/tillsynsmail/A 26527-2023 tillsynsbegäran mail.docx", "A 26527-2023")</f>
        <v/>
      </c>
    </row>
    <row r="608" ht="15" customHeight="1">
      <c r="A608" t="inlineStr">
        <is>
          <t>A 30910-2026</t>
        </is>
      </c>
      <c r="B608" t="inlineStr">
        <is>
          <t>avverkningsanmälan</t>
        </is>
      </c>
      <c r="C608" t="inlineStr">
        <is>
          <t>Föryngringsavverkning</t>
        </is>
      </c>
      <c r="D608" s="1" t="n">
        <v>46213</v>
      </c>
      <c r="E608" s="1" t="n">
        <v>46326</v>
      </c>
      <c r="F608" t="inlineStr">
        <is>
          <t>GÄVLEBORGS LÄN</t>
        </is>
      </c>
      <c r="G608" t="inlineStr">
        <is>
          <t>LJUSDAL</t>
        </is>
      </c>
      <c r="I608" t="n">
        <v>1.6</v>
      </c>
      <c r="J608" t="n">
        <v>1</v>
      </c>
      <c r="K608" t="n">
        <v>1</v>
      </c>
      <c r="L608" t="n">
        <v>0</v>
      </c>
      <c r="M608" t="n">
        <v>1</v>
      </c>
      <c r="N608" t="n">
        <v>0</v>
      </c>
      <c r="O608" t="n">
        <v>0</v>
      </c>
      <c r="P608" t="n">
        <v>0</v>
      </c>
      <c r="Q608" t="n">
        <v>1</v>
      </c>
      <c r="R608" t="n">
        <v>1</v>
      </c>
      <c r="S608" t="n">
        <v>2</v>
      </c>
      <c r="T608" t="n">
        <v>14</v>
      </c>
      <c r="U608" t="n">
        <v>0</v>
      </c>
      <c r="V608" s="2" t="inlineStr">
        <is>
          <t>Knärot
Mörk husmossa</t>
        </is>
      </c>
      <c r="W608">
        <f>HYPERLINK("https://klasma.github.io/Logging_2161/artfynd/A 30910-2026 artfynd.xlsx", "A 30910-2026")</f>
        <v/>
      </c>
      <c r="X608">
        <f>HYPERLINK("https://klasma.github.io/Logging_2161/kartor/A 30910-2026 karta.png", "A 30910-2026")</f>
        <v/>
      </c>
      <c r="Y608">
        <f>HYPERLINK("https://klasma.github.io/Logging_2161/kartor_geotiff/A 30910-2026 georefererad karta.tif", "A 30910-2026")</f>
        <v/>
      </c>
      <c r="Z608">
        <f>HYPERLINK("https://klasma.github.io/Logging_2161/knärot/A 30910-2026 karta knärot.png", "A 30910-2026")</f>
        <v/>
      </c>
      <c r="AA608">
        <f>HYPERLINK("https://klasma.github.io/Logging_2161/klagomål/A 30910-2026 FSC-klagomål.docx", "A 30910-2026")</f>
        <v/>
      </c>
      <c r="AB608">
        <f>HYPERLINK("https://klasma.github.io/Logging_2161/klagomålsmail/A 30910-2026 FSC-klagomål mail.docx", "A 30910-2026")</f>
        <v/>
      </c>
      <c r="AC608">
        <f>HYPERLINK("https://klasma.github.io/Logging_2161/tillsyn/A 30910-2026 tillsynsbegäran.docx", "A 30910-2026")</f>
        <v/>
      </c>
      <c r="AD608">
        <f>HYPERLINK("https://klasma.github.io/Logging_2161/tillsynsmail/A 30910-2026 tillsynsbegäran mail.docx", "A 30910-2026")</f>
        <v/>
      </c>
    </row>
    <row r="609" ht="15" customHeight="1">
      <c r="A609" t="inlineStr">
        <is>
          <t>A 30885-2024</t>
        </is>
      </c>
      <c r="B609" t="inlineStr">
        <is>
          <t>avverkningsanmälan</t>
        </is>
      </c>
      <c r="C609" t="inlineStr">
        <is>
          <t>Föryngringsavverkning</t>
        </is>
      </c>
      <c r="D609" s="1" t="n">
        <v>45498</v>
      </c>
      <c r="E609" s="1" t="n">
        <v>46326</v>
      </c>
      <c r="F609" t="inlineStr">
        <is>
          <t>GÄVLEBORGS LÄN</t>
        </is>
      </c>
      <c r="G609" t="inlineStr">
        <is>
          <t>LJUSDAL</t>
        </is>
      </c>
      <c r="H609" t="inlineStr">
        <is>
          <t>Sveaskog</t>
        </is>
      </c>
      <c r="I609" t="n">
        <v>11.2</v>
      </c>
      <c r="J609" t="n">
        <v>1</v>
      </c>
      <c r="K609" t="n">
        <v>1</v>
      </c>
      <c r="L609" t="n">
        <v>1</v>
      </c>
      <c r="M609" t="n">
        <v>0</v>
      </c>
      <c r="N609" t="n">
        <v>0</v>
      </c>
      <c r="O609" t="n">
        <v>0</v>
      </c>
      <c r="P609" t="n">
        <v>0</v>
      </c>
      <c r="Q609" t="n">
        <v>1</v>
      </c>
      <c r="R609" t="n">
        <v>0</v>
      </c>
      <c r="S609" t="n">
        <v>2</v>
      </c>
      <c r="T609" t="n">
        <v>2</v>
      </c>
      <c r="U609" t="n">
        <v>1</v>
      </c>
      <c r="V609" s="2" t="inlineStr">
        <is>
          <t>Kolflarnlav
Plattlummer</t>
        </is>
      </c>
      <c r="W609">
        <f>HYPERLINK("https://klasma.github.io/Logging_2161/artfynd/A 30885-2024 artfynd.xlsx", "A 30885-2024")</f>
        <v/>
      </c>
      <c r="X609">
        <f>HYPERLINK("https://klasma.github.io/Logging_2161/kartor/A 30885-2024 karta.png", "A 30885-2024")</f>
        <v/>
      </c>
      <c r="Y609">
        <f>HYPERLINK("https://klasma.github.io/Logging_2161/kartor_geotiff/A 30885-2024 georefererad karta.tif", "A 30885-2024")</f>
        <v/>
      </c>
      <c r="AA609">
        <f>HYPERLINK("https://klasma.github.io/Logging_2161/klagomål/A 30885-2024 FSC-klagomål.docx", "A 30885-2024")</f>
        <v/>
      </c>
      <c r="AB609">
        <f>HYPERLINK("https://klasma.github.io/Logging_2161/klagomålsmail/A 30885-2024 FSC-klagomål mail.docx", "A 30885-2024")</f>
        <v/>
      </c>
      <c r="AC609">
        <f>HYPERLINK("https://klasma.github.io/Logging_2161/tillsyn/A 30885-2024 tillsynsbegäran.docx", "A 30885-2024")</f>
        <v/>
      </c>
      <c r="AD609">
        <f>HYPERLINK("https://klasma.github.io/Logging_2161/tillsynsmail/A 30885-2024 tillsynsbegäran mail.docx", "A 30885-2024")</f>
        <v/>
      </c>
    </row>
    <row r="610" ht="15" customHeight="1">
      <c r="A610" t="inlineStr">
        <is>
          <t>A 17471-2025</t>
        </is>
      </c>
      <c r="B610" t="inlineStr">
        <is>
          <t>avverkningsanmälan</t>
        </is>
      </c>
      <c r="C610" t="inlineStr">
        <is>
          <t>Föryngringsavverkning</t>
        </is>
      </c>
      <c r="D610" s="1" t="n">
        <v>45757</v>
      </c>
      <c r="E610" s="1" t="n">
        <v>46326</v>
      </c>
      <c r="F610" t="inlineStr">
        <is>
          <t>GÄVLEBORGS LÄN</t>
        </is>
      </c>
      <c r="G610" t="inlineStr">
        <is>
          <t>LJUSDAL</t>
        </is>
      </c>
      <c r="H610" t="inlineStr">
        <is>
          <t>Sveaskog</t>
        </is>
      </c>
      <c r="I610" t="n">
        <v>1.6</v>
      </c>
      <c r="J610" t="n">
        <v>0</v>
      </c>
      <c r="K610" t="n">
        <v>0</v>
      </c>
      <c r="L610" t="n">
        <v>2</v>
      </c>
      <c r="M610" t="n">
        <v>0</v>
      </c>
      <c r="N610" t="n">
        <v>0</v>
      </c>
      <c r="O610" t="n">
        <v>0</v>
      </c>
      <c r="P610" t="n">
        <v>0</v>
      </c>
      <c r="Q610" t="n">
        <v>2</v>
      </c>
      <c r="R610" t="n">
        <v>0</v>
      </c>
      <c r="S610" t="n">
        <v>2</v>
      </c>
      <c r="T610" t="n">
        <v>3</v>
      </c>
      <c r="U610" t="n">
        <v>3</v>
      </c>
      <c r="V610" s="2" t="inlineStr">
        <is>
          <t>Kolflarnlav
Mörk kolflarnlav</t>
        </is>
      </c>
      <c r="W610">
        <f>HYPERLINK("https://klasma.github.io/Logging_2161/artfynd/A 17471-2025 artfynd.xlsx", "A 17471-2025")</f>
        <v/>
      </c>
      <c r="X610">
        <f>HYPERLINK("https://klasma.github.io/Logging_2161/kartor/A 17471-2025 karta.png", "A 17471-2025")</f>
        <v/>
      </c>
      <c r="Y610">
        <f>HYPERLINK("https://klasma.github.io/Logging_2161/kartor_geotiff/A 17471-2025 georefererad karta.tif", "A 17471-2025")</f>
        <v/>
      </c>
      <c r="AA610">
        <f>HYPERLINK("https://klasma.github.io/Logging_2161/klagomål/A 17471-2025 FSC-klagomål.docx", "A 17471-2025")</f>
        <v/>
      </c>
      <c r="AB610">
        <f>HYPERLINK("https://klasma.github.io/Logging_2161/klagomålsmail/A 17471-2025 FSC-klagomål mail.docx", "A 17471-2025")</f>
        <v/>
      </c>
      <c r="AC610">
        <f>HYPERLINK("https://klasma.github.io/Logging_2161/tillsyn/A 17471-2025 tillsynsbegäran.docx", "A 17471-2025")</f>
        <v/>
      </c>
      <c r="AD610">
        <f>HYPERLINK("https://klasma.github.io/Logging_2161/tillsynsmail/A 17471-2025 tillsynsbegäran mail.docx", "A 17471-2025")</f>
        <v/>
      </c>
    </row>
    <row r="611" ht="15" customHeight="1">
      <c r="A611" t="inlineStr">
        <is>
          <t>A 17472-2025</t>
        </is>
      </c>
      <c r="B611" t="inlineStr">
        <is>
          <t>avverkningsanmälan</t>
        </is>
      </c>
      <c r="C611" t="inlineStr">
        <is>
          <t>Föryngringsavverkning</t>
        </is>
      </c>
      <c r="D611" s="1" t="n">
        <v>45757</v>
      </c>
      <c r="E611" s="1" t="n">
        <v>46326</v>
      </c>
      <c r="F611" t="inlineStr">
        <is>
          <t>GÄVLEBORGS LÄN</t>
        </is>
      </c>
      <c r="G611" t="inlineStr">
        <is>
          <t>LJUSDAL</t>
        </is>
      </c>
      <c r="H611" t="inlineStr">
        <is>
          <t>Sveaskog</t>
        </is>
      </c>
      <c r="I611" t="n">
        <v>3</v>
      </c>
      <c r="J611" t="n">
        <v>0</v>
      </c>
      <c r="K611" t="n">
        <v>0</v>
      </c>
      <c r="L611" t="n">
        <v>2</v>
      </c>
      <c r="M611" t="n">
        <v>0</v>
      </c>
      <c r="N611" t="n">
        <v>0</v>
      </c>
      <c r="O611" t="n">
        <v>0</v>
      </c>
      <c r="P611" t="n">
        <v>0</v>
      </c>
      <c r="Q611" t="n">
        <v>2</v>
      </c>
      <c r="R611" t="n">
        <v>0</v>
      </c>
      <c r="S611" t="n">
        <v>2</v>
      </c>
      <c r="T611" t="n">
        <v>2</v>
      </c>
      <c r="U611" t="n">
        <v>2</v>
      </c>
      <c r="V611" s="2" t="inlineStr">
        <is>
          <t>Kolflarnlav
Mörk kolflarnlav</t>
        </is>
      </c>
      <c r="W611">
        <f>HYPERLINK("https://klasma.github.io/Logging_2161/artfynd/A 17472-2025 artfynd.xlsx", "A 17472-2025")</f>
        <v/>
      </c>
      <c r="X611">
        <f>HYPERLINK("https://klasma.github.io/Logging_2161/kartor/A 17472-2025 karta.png", "A 17472-2025")</f>
        <v/>
      </c>
      <c r="Y611">
        <f>HYPERLINK("https://klasma.github.io/Logging_2161/kartor_geotiff/A 17472-2025 georefererad karta.tif", "A 17472-2025")</f>
        <v/>
      </c>
      <c r="AA611">
        <f>HYPERLINK("https://klasma.github.io/Logging_2161/klagomål/A 17472-2025 FSC-klagomål.docx", "A 17472-2025")</f>
        <v/>
      </c>
      <c r="AB611">
        <f>HYPERLINK("https://klasma.github.io/Logging_2161/klagomålsmail/A 17472-2025 FSC-klagomål mail.docx", "A 17472-2025")</f>
        <v/>
      </c>
      <c r="AC611">
        <f>HYPERLINK("https://klasma.github.io/Logging_2161/tillsyn/A 17472-2025 tillsynsbegäran.docx", "A 17472-2025")</f>
        <v/>
      </c>
      <c r="AD611">
        <f>HYPERLINK("https://klasma.github.io/Logging_2161/tillsynsmail/A 17472-2025 tillsynsbegäran mail.docx", "A 17472-2025")</f>
        <v/>
      </c>
    </row>
    <row r="612" ht="15" customHeight="1">
      <c r="A612" t="inlineStr">
        <is>
          <t>A 22667-2024</t>
        </is>
      </c>
      <c r="B612" t="inlineStr">
        <is>
          <t>avverkningsanmälan</t>
        </is>
      </c>
      <c r="C612" t="inlineStr">
        <is>
          <t>Föryngringsavverkning</t>
        </is>
      </c>
      <c r="D612" s="1" t="n">
        <v>45447</v>
      </c>
      <c r="E612" s="1" t="n">
        <v>46326</v>
      </c>
      <c r="F612" t="inlineStr">
        <is>
          <t>GÄVLEBORGS LÄN</t>
        </is>
      </c>
      <c r="G612" t="inlineStr">
        <is>
          <t>LJUSDAL</t>
        </is>
      </c>
      <c r="H612" t="inlineStr">
        <is>
          <t>SCA</t>
        </is>
      </c>
      <c r="I612" t="n">
        <v>5.3</v>
      </c>
      <c r="J612" t="n">
        <v>2</v>
      </c>
      <c r="K612" t="n">
        <v>0</v>
      </c>
      <c r="L612" t="n">
        <v>0</v>
      </c>
      <c r="M612" t="n">
        <v>1</v>
      </c>
      <c r="N612" t="n">
        <v>0</v>
      </c>
      <c r="O612" t="n">
        <v>0</v>
      </c>
      <c r="P612" t="n">
        <v>0</v>
      </c>
      <c r="Q612" t="n">
        <v>1</v>
      </c>
      <c r="R612" t="n">
        <v>1</v>
      </c>
      <c r="S612" t="n">
        <v>2</v>
      </c>
      <c r="T612" t="n">
        <v>2</v>
      </c>
      <c r="U612" t="n">
        <v>2</v>
      </c>
      <c r="V612" s="2" t="inlineStr">
        <is>
          <t>Knärot
Lopplummer (aggregat)</t>
        </is>
      </c>
      <c r="W612">
        <f>HYPERLINK("https://klasma.github.io/Logging_2161/artfynd/A 22667-2024 artfynd.xlsx", "A 22667-2024")</f>
        <v/>
      </c>
      <c r="X612">
        <f>HYPERLINK("https://klasma.github.io/Logging_2161/kartor/A 22667-2024 karta.png", "A 22667-2024")</f>
        <v/>
      </c>
      <c r="Y612">
        <f>HYPERLINK("https://klasma.github.io/Logging_2161/kartor_geotiff/A 22667-2024 georefererad karta.tif", "A 22667-2024")</f>
        <v/>
      </c>
      <c r="Z612">
        <f>HYPERLINK("https://klasma.github.io/Logging_2161/knärot/A 22667-2024 karta knärot.png", "A 22667-2024")</f>
        <v/>
      </c>
      <c r="AA612">
        <f>HYPERLINK("https://klasma.github.io/Logging_2161/klagomål/A 22667-2024 FSC-klagomål.docx", "A 22667-2024")</f>
        <v/>
      </c>
      <c r="AB612">
        <f>HYPERLINK("https://klasma.github.io/Logging_2161/klagomålsmail/A 22667-2024 FSC-klagomål mail.docx", "A 22667-2024")</f>
        <v/>
      </c>
      <c r="AC612">
        <f>HYPERLINK("https://klasma.github.io/Logging_2161/tillsyn/A 22667-2024 tillsynsbegäran.docx", "A 22667-2024")</f>
        <v/>
      </c>
      <c r="AD612">
        <f>HYPERLINK("https://klasma.github.io/Logging_2161/tillsynsmail/A 22667-2024 tillsynsbegäran mail.docx", "A 22667-2024")</f>
        <v/>
      </c>
    </row>
    <row r="613" ht="15" customHeight="1">
      <c r="A613" t="inlineStr">
        <is>
          <t>A 32046-2026</t>
        </is>
      </c>
      <c r="B613" t="inlineStr">
        <is>
          <t>avverkningsanmälan</t>
        </is>
      </c>
      <c r="C613" t="inlineStr">
        <is>
          <t>Föryngringsavverkning</t>
        </is>
      </c>
      <c r="D613" s="1" t="n">
        <v>46233</v>
      </c>
      <c r="E613" s="1" t="n">
        <v>46326</v>
      </c>
      <c r="F613" t="inlineStr">
        <is>
          <t>GÄVLEBORGS LÄN</t>
        </is>
      </c>
      <c r="G613" t="inlineStr">
        <is>
          <t>HUDIKSVALL</t>
        </is>
      </c>
      <c r="I613" t="n">
        <v>1.7</v>
      </c>
      <c r="J613" t="n">
        <v>0</v>
      </c>
      <c r="K613" t="n">
        <v>0</v>
      </c>
      <c r="L613" t="n">
        <v>2</v>
      </c>
      <c r="M613" t="n">
        <v>0</v>
      </c>
      <c r="N613" t="n">
        <v>0</v>
      </c>
      <c r="O613" t="n">
        <v>0</v>
      </c>
      <c r="P613" t="n">
        <v>0</v>
      </c>
      <c r="Q613" t="n">
        <v>2</v>
      </c>
      <c r="R613" t="n">
        <v>0</v>
      </c>
      <c r="S613" t="n">
        <v>2</v>
      </c>
      <c r="T613" t="n">
        <v>2</v>
      </c>
      <c r="U613" t="n">
        <v>1</v>
      </c>
      <c r="V613" s="2" t="inlineStr">
        <is>
          <t>Dropptaggsvamp
Ullticka</t>
        </is>
      </c>
      <c r="W613">
        <f>HYPERLINK("https://klasma.github.io/Logging_2184/artfynd/A 32046-2026 artfynd.xlsx", "A 32046-2026")</f>
        <v/>
      </c>
      <c r="X613">
        <f>HYPERLINK("https://klasma.github.io/Logging_2184/kartor/A 32046-2026 karta.png", "A 32046-2026")</f>
        <v/>
      </c>
      <c r="Y613">
        <f>HYPERLINK("https://klasma.github.io/Logging_2184/kartor_geotiff/A 32046-2026 georefererad karta.tif", "A 32046-2026")</f>
        <v/>
      </c>
      <c r="AA613">
        <f>HYPERLINK("https://klasma.github.io/Logging_2184/klagomål/A 32046-2026 FSC-klagomål.docx", "A 32046-2026")</f>
        <v/>
      </c>
      <c r="AB613">
        <f>HYPERLINK("https://klasma.github.io/Logging_2184/klagomålsmail/A 32046-2026 FSC-klagomål mail.docx", "A 32046-2026")</f>
        <v/>
      </c>
      <c r="AC613">
        <f>HYPERLINK("https://klasma.github.io/Logging_2184/tillsyn/A 32046-2026 tillsynsbegäran.docx", "A 32046-2026")</f>
        <v/>
      </c>
      <c r="AD613">
        <f>HYPERLINK("https://klasma.github.io/Logging_2184/tillsynsmail/A 32046-2026 tillsynsbegäran mail.docx", "A 32046-2026")</f>
        <v/>
      </c>
    </row>
    <row r="614" ht="15" customHeight="1">
      <c r="A614" t="inlineStr">
        <is>
          <t>A 32067-2026</t>
        </is>
      </c>
      <c r="B614" t="inlineStr">
        <is>
          <t>avverkningsanmälan</t>
        </is>
      </c>
      <c r="C614" t="inlineStr">
        <is>
          <t>Föryngringsavverkning</t>
        </is>
      </c>
      <c r="D614" s="1" t="n">
        <v>46233</v>
      </c>
      <c r="E614" s="1" t="n">
        <v>46326</v>
      </c>
      <c r="F614" t="inlineStr">
        <is>
          <t>GÄVLEBORGS LÄN</t>
        </is>
      </c>
      <c r="G614" t="inlineStr">
        <is>
          <t>LJUSDAL</t>
        </is>
      </c>
      <c r="H614" t="inlineStr">
        <is>
          <t>Sveaskog</t>
        </is>
      </c>
      <c r="I614" t="n">
        <v>3.6</v>
      </c>
      <c r="J614" t="n">
        <v>0</v>
      </c>
      <c r="K614" t="n">
        <v>0</v>
      </c>
      <c r="L614" t="n">
        <v>2</v>
      </c>
      <c r="M614" t="n">
        <v>0</v>
      </c>
      <c r="N614" t="n">
        <v>0</v>
      </c>
      <c r="O614" t="n">
        <v>0</v>
      </c>
      <c r="P614" t="n">
        <v>0</v>
      </c>
      <c r="Q614" t="n">
        <v>2</v>
      </c>
      <c r="R614" t="n">
        <v>0</v>
      </c>
      <c r="S614" t="n">
        <v>2</v>
      </c>
      <c r="T614" t="n">
        <v>2</v>
      </c>
      <c r="U614" t="n">
        <v>2</v>
      </c>
      <c r="V614" s="2" t="inlineStr">
        <is>
          <t>Kolflarnlav
Lunglav</t>
        </is>
      </c>
      <c r="W614">
        <f>HYPERLINK("https://klasma.github.io/Logging_2161/artfynd/A 32067-2026 artfynd.xlsx", "A 32067-2026")</f>
        <v/>
      </c>
      <c r="X614">
        <f>HYPERLINK("https://klasma.github.io/Logging_2161/kartor/A 32067-2026 karta.png", "A 32067-2026")</f>
        <v/>
      </c>
      <c r="Y614">
        <f>HYPERLINK("https://klasma.github.io/Logging_2161/kartor_geotiff/A 32067-2026 georefererad karta.tif", "A 32067-2026")</f>
        <v/>
      </c>
      <c r="AA614">
        <f>HYPERLINK("https://klasma.github.io/Logging_2161/klagomål/A 32067-2026 FSC-klagomål.docx", "A 32067-2026")</f>
        <v/>
      </c>
      <c r="AB614">
        <f>HYPERLINK("https://klasma.github.io/Logging_2161/klagomålsmail/A 32067-2026 FSC-klagomål mail.docx", "A 32067-2026")</f>
        <v/>
      </c>
      <c r="AC614">
        <f>HYPERLINK("https://klasma.github.io/Logging_2161/tillsyn/A 32067-2026 tillsynsbegäran.docx", "A 32067-2026")</f>
        <v/>
      </c>
      <c r="AD614">
        <f>HYPERLINK("https://klasma.github.io/Logging_2161/tillsynsmail/A 32067-2026 tillsynsbegäran mail.docx", "A 32067-2026")</f>
        <v/>
      </c>
    </row>
    <row r="615" ht="15" customHeight="1">
      <c r="A615" t="inlineStr">
        <is>
          <t>A 17474-2025</t>
        </is>
      </c>
      <c r="B615" t="inlineStr">
        <is>
          <t>avverkningsanmälan</t>
        </is>
      </c>
      <c r="C615" t="inlineStr">
        <is>
          <t>Föryngringsavverkning</t>
        </is>
      </c>
      <c r="D615" s="1" t="n">
        <v>45757</v>
      </c>
      <c r="E615" s="1" t="n">
        <v>46326</v>
      </c>
      <c r="F615" t="inlineStr">
        <is>
          <t>GÄVLEBORGS LÄN</t>
        </is>
      </c>
      <c r="G615" t="inlineStr">
        <is>
          <t>LJUSDAL</t>
        </is>
      </c>
      <c r="H615" t="inlineStr">
        <is>
          <t>Sveaskog</t>
        </is>
      </c>
      <c r="I615" t="n">
        <v>9.4</v>
      </c>
      <c r="J615" t="n">
        <v>0</v>
      </c>
      <c r="K615" t="n">
        <v>0</v>
      </c>
      <c r="L615" t="n">
        <v>2</v>
      </c>
      <c r="M615" t="n">
        <v>0</v>
      </c>
      <c r="N615" t="n">
        <v>0</v>
      </c>
      <c r="O615" t="n">
        <v>0</v>
      </c>
      <c r="P615" t="n">
        <v>0</v>
      </c>
      <c r="Q615" t="n">
        <v>2</v>
      </c>
      <c r="R615" t="n">
        <v>0</v>
      </c>
      <c r="S615" t="n">
        <v>2</v>
      </c>
      <c r="T615" t="n">
        <v>2</v>
      </c>
      <c r="U615" t="n">
        <v>2</v>
      </c>
      <c r="V615" s="2" t="inlineStr">
        <is>
          <t>Kolflarnlav
Lunglav</t>
        </is>
      </c>
      <c r="W615">
        <f>HYPERLINK("https://klasma.github.io/Logging_2161/artfynd/A 17474-2025 artfynd.xlsx", "A 17474-2025")</f>
        <v/>
      </c>
      <c r="X615">
        <f>HYPERLINK("https://klasma.github.io/Logging_2161/kartor/A 17474-2025 karta.png", "A 17474-2025")</f>
        <v/>
      </c>
      <c r="Y615">
        <f>HYPERLINK("https://klasma.github.io/Logging_2161/kartor_geotiff/A 17474-2025 georefererad karta.tif", "A 17474-2025")</f>
        <v/>
      </c>
      <c r="AA615">
        <f>HYPERLINK("https://klasma.github.io/Logging_2161/klagomål/A 17474-2025 FSC-klagomål.docx", "A 17474-2025")</f>
        <v/>
      </c>
      <c r="AB615">
        <f>HYPERLINK("https://klasma.github.io/Logging_2161/klagomålsmail/A 17474-2025 FSC-klagomål mail.docx", "A 17474-2025")</f>
        <v/>
      </c>
      <c r="AC615">
        <f>HYPERLINK("https://klasma.github.io/Logging_2161/tillsyn/A 17474-2025 tillsynsbegäran.docx", "A 17474-2025")</f>
        <v/>
      </c>
      <c r="AD615">
        <f>HYPERLINK("https://klasma.github.io/Logging_2161/tillsynsmail/A 17474-2025 tillsynsbegäran mail.docx", "A 17474-2025")</f>
        <v/>
      </c>
    </row>
    <row r="616" ht="15" customHeight="1">
      <c r="A616" t="inlineStr">
        <is>
          <t>A 12545-2024</t>
        </is>
      </c>
      <c r="B616" t="inlineStr">
        <is>
          <t>avverkningsanmälan</t>
        </is>
      </c>
      <c r="C616" t="inlineStr">
        <is>
          <t>Avverkning för annat ändamål</t>
        </is>
      </c>
      <c r="D616" s="1" t="n">
        <v>45379</v>
      </c>
      <c r="E616" s="1" t="n">
        <v>46326</v>
      </c>
      <c r="F616" t="inlineStr">
        <is>
          <t>GÄVLEBORGS LÄN</t>
        </is>
      </c>
      <c r="G616" t="inlineStr">
        <is>
          <t>HUDIKSVALL</t>
        </is>
      </c>
      <c r="I616" t="n">
        <v>2.6</v>
      </c>
      <c r="J616" t="n">
        <v>2</v>
      </c>
      <c r="K616" t="n">
        <v>0</v>
      </c>
      <c r="L616" t="n">
        <v>0</v>
      </c>
      <c r="M616" t="n">
        <v>0</v>
      </c>
      <c r="N616" t="n">
        <v>0</v>
      </c>
      <c r="O616" t="n">
        <v>0</v>
      </c>
      <c r="P616" t="n">
        <v>0</v>
      </c>
      <c r="Q616" t="n">
        <v>0</v>
      </c>
      <c r="R616" t="n">
        <v>0</v>
      </c>
      <c r="S616" t="n">
        <v>2</v>
      </c>
      <c r="T616" t="n">
        <v>4</v>
      </c>
      <c r="U616" t="n">
        <v>4</v>
      </c>
      <c r="V616" s="2" t="inlineStr">
        <is>
          <t>Fläcknycklar
Nattviol</t>
        </is>
      </c>
      <c r="W616">
        <f>HYPERLINK("https://klasma.github.io/Logging_2184/artfynd/A 12545-2024 artfynd.xlsx", "A 12545-2024")</f>
        <v/>
      </c>
      <c r="X616">
        <f>HYPERLINK("https://klasma.github.io/Logging_2184/kartor/A 12545-2024 karta.png", "A 12545-2024")</f>
        <v/>
      </c>
      <c r="Y616">
        <f>HYPERLINK("https://klasma.github.io/Logging_2184/kartor_geotiff/A 12545-2024 georefererad karta.tif", "A 12545-2024")</f>
        <v/>
      </c>
      <c r="AA616">
        <f>HYPERLINK("https://klasma.github.io/Logging_2184/klagomål/A 12545-2024 FSC-klagomål.docx", "A 12545-2024")</f>
        <v/>
      </c>
      <c r="AB616">
        <f>HYPERLINK("https://klasma.github.io/Logging_2184/klagomålsmail/A 12545-2024 FSC-klagomål mail.docx", "A 12545-2024")</f>
        <v/>
      </c>
      <c r="AC616">
        <f>HYPERLINK("https://klasma.github.io/Logging_2184/tillsyn/A 12545-2024 tillsynsbegäran.docx", "A 12545-2024")</f>
        <v/>
      </c>
      <c r="AD616">
        <f>HYPERLINK("https://klasma.github.io/Logging_2184/tillsynsmail/A 12545-2024 tillsynsbegäran mail.docx", "A 12545-2024")</f>
        <v/>
      </c>
    </row>
    <row r="617" ht="15" customHeight="1">
      <c r="A617" t="inlineStr">
        <is>
          <t>A 32946-2026</t>
        </is>
      </c>
      <c r="B617" t="inlineStr">
        <is>
          <t>avverkningsanmälan</t>
        </is>
      </c>
      <c r="C617" t="inlineStr">
        <is>
          <t>Föryngringsavverkning</t>
        </is>
      </c>
      <c r="D617" s="1" t="n">
        <v>46244</v>
      </c>
      <c r="E617" s="1" t="n">
        <v>46326</v>
      </c>
      <c r="F617" t="inlineStr">
        <is>
          <t>GÄVLEBORGS LÄN</t>
        </is>
      </c>
      <c r="G617" t="inlineStr">
        <is>
          <t>NORDANSTIG</t>
        </is>
      </c>
      <c r="I617" t="n">
        <v>0.9</v>
      </c>
      <c r="J617" t="n">
        <v>0</v>
      </c>
      <c r="K617" t="n">
        <v>1</v>
      </c>
      <c r="L617" t="n">
        <v>1</v>
      </c>
      <c r="M617" t="n">
        <v>0</v>
      </c>
      <c r="N617" t="n">
        <v>0</v>
      </c>
      <c r="O617" t="n">
        <v>0</v>
      </c>
      <c r="P617" t="n">
        <v>0</v>
      </c>
      <c r="Q617" t="n">
        <v>1</v>
      </c>
      <c r="R617" t="n">
        <v>0</v>
      </c>
      <c r="S617" t="n">
        <v>2</v>
      </c>
      <c r="T617" t="n">
        <v>2</v>
      </c>
      <c r="U617" t="n">
        <v>0</v>
      </c>
      <c r="V617" s="2" t="inlineStr">
        <is>
          <t>Fjällig taggsvamp s.str.
Tibast</t>
        </is>
      </c>
      <c r="W617">
        <f>HYPERLINK("https://klasma.github.io/Logging_2132/artfynd/A 32946-2026 artfynd.xlsx", "A 32946-2026")</f>
        <v/>
      </c>
      <c r="X617">
        <f>HYPERLINK("https://klasma.github.io/Logging_2132/kartor/A 32946-2026 karta.png", "A 32946-2026")</f>
        <v/>
      </c>
      <c r="Y617">
        <f>HYPERLINK("https://klasma.github.io/Logging_2132/kartor_geotiff/A 32946-2026 georefererad karta.tif", "A 32946-2026")</f>
        <v/>
      </c>
      <c r="AA617">
        <f>HYPERLINK("https://klasma.github.io/Logging_2132/klagomål/A 32946-2026 FSC-klagomål.docx", "A 32946-2026")</f>
        <v/>
      </c>
      <c r="AB617">
        <f>HYPERLINK("https://klasma.github.io/Logging_2132/klagomålsmail/A 32946-2026 FSC-klagomål mail.docx", "A 32946-2026")</f>
        <v/>
      </c>
      <c r="AC617">
        <f>HYPERLINK("https://klasma.github.io/Logging_2132/tillsyn/A 32946-2026 tillsynsbegäran.docx", "A 32946-2026")</f>
        <v/>
      </c>
      <c r="AD617">
        <f>HYPERLINK("https://klasma.github.io/Logging_2132/tillsynsmail/A 32946-2026 tillsynsbegäran mail.docx", "A 32946-2026")</f>
        <v/>
      </c>
    </row>
    <row r="618" ht="15" customHeight="1">
      <c r="A618" t="inlineStr">
        <is>
          <t>A 38879-2026</t>
        </is>
      </c>
      <c r="B618" t="inlineStr">
        <is>
          <t>avverkningsanmälan</t>
        </is>
      </c>
      <c r="C618" t="inlineStr">
        <is>
          <t>Föryngringsavverkning</t>
        </is>
      </c>
      <c r="D618" s="1" t="n">
        <v>46286</v>
      </c>
      <c r="E618" s="1" t="n">
        <v>46326</v>
      </c>
      <c r="F618" t="inlineStr">
        <is>
          <t>GÄVLEBORGS LÄN</t>
        </is>
      </c>
      <c r="G618" t="inlineStr">
        <is>
          <t>OVANÅKER</t>
        </is>
      </c>
      <c r="H618" t="inlineStr">
        <is>
          <t>Bergvik skog väst AB</t>
        </is>
      </c>
      <c r="I618" t="n">
        <v>2.4</v>
      </c>
      <c r="J618" t="n">
        <v>0</v>
      </c>
      <c r="K618" t="n">
        <v>0</v>
      </c>
      <c r="L618" t="n">
        <v>2</v>
      </c>
      <c r="M618" t="n">
        <v>0</v>
      </c>
      <c r="N618" t="n">
        <v>0</v>
      </c>
      <c r="O618" t="n">
        <v>0</v>
      </c>
      <c r="P618" t="n">
        <v>0</v>
      </c>
      <c r="Q618" t="n">
        <v>2</v>
      </c>
      <c r="R618" t="n">
        <v>0</v>
      </c>
      <c r="S618" t="n">
        <v>2</v>
      </c>
      <c r="T618" t="n">
        <v>3</v>
      </c>
      <c r="U618" t="n">
        <v>0</v>
      </c>
      <c r="V618" s="2" t="inlineStr">
        <is>
          <t>Blå taggsvamp
Dropptaggsvamp</t>
        </is>
      </c>
      <c r="W618">
        <f>HYPERLINK("https://klasma.github.io/Logging_2121/artfynd/A 38879-2026 artfynd.xlsx", "A 38879-2026")</f>
        <v/>
      </c>
      <c r="X618">
        <f>HYPERLINK("https://klasma.github.io/Logging_2121/kartor/A 38879-2026 karta.png", "A 38879-2026")</f>
        <v/>
      </c>
      <c r="Y618">
        <f>HYPERLINK("https://klasma.github.io/Logging_2121/kartor_geotiff/A 38879-2026 georefererad karta.tif", "A 38879-2026")</f>
        <v/>
      </c>
      <c r="AA618">
        <f>HYPERLINK("https://klasma.github.io/Logging_2121/klagomål/A 38879-2026 FSC-klagomål.docx", "A 38879-2026")</f>
        <v/>
      </c>
      <c r="AB618">
        <f>HYPERLINK("https://klasma.github.io/Logging_2121/klagomålsmail/A 38879-2026 FSC-klagomål mail.docx", "A 38879-2026")</f>
        <v/>
      </c>
      <c r="AC618">
        <f>HYPERLINK("https://klasma.github.io/Logging_2121/tillsyn/A 38879-2026 tillsynsbegäran.docx", "A 38879-2026")</f>
        <v/>
      </c>
      <c r="AD618">
        <f>HYPERLINK("https://klasma.github.io/Logging_2121/tillsynsmail/A 38879-2026 tillsynsbegäran mail.docx", "A 38879-2026")</f>
        <v/>
      </c>
    </row>
    <row r="619" ht="15" customHeight="1">
      <c r="A619" t="inlineStr">
        <is>
          <t>A 35989-2024</t>
        </is>
      </c>
      <c r="B619" t="inlineStr">
        <is>
          <t>avverkningsanmälan</t>
        </is>
      </c>
      <c r="C619" t="inlineStr">
        <is>
          <t>Föryngringsavverkning</t>
        </is>
      </c>
      <c r="D619" s="1" t="n">
        <v>45533</v>
      </c>
      <c r="E619" s="1" t="n">
        <v>46326</v>
      </c>
      <c r="F619" t="inlineStr">
        <is>
          <t>GÄVLEBORGS LÄN</t>
        </is>
      </c>
      <c r="G619" t="inlineStr">
        <is>
          <t>GÄVLE</t>
        </is>
      </c>
      <c r="H619" t="inlineStr">
        <is>
          <t>Bergvik skog väst AB</t>
        </is>
      </c>
      <c r="I619" t="n">
        <v>3.1</v>
      </c>
      <c r="J619" t="n">
        <v>1</v>
      </c>
      <c r="K619" t="n">
        <v>1</v>
      </c>
      <c r="L619" t="n">
        <v>0</v>
      </c>
      <c r="M619" t="n">
        <v>1</v>
      </c>
      <c r="N619" t="n">
        <v>0</v>
      </c>
      <c r="O619" t="n">
        <v>0</v>
      </c>
      <c r="P619" t="n">
        <v>0</v>
      </c>
      <c r="Q619" t="n">
        <v>1</v>
      </c>
      <c r="R619" t="n">
        <v>1</v>
      </c>
      <c r="S619" t="n">
        <v>2</v>
      </c>
      <c r="T619" t="n">
        <v>2</v>
      </c>
      <c r="U619" t="n">
        <v>1</v>
      </c>
      <c r="V619" s="2" t="inlineStr">
        <is>
          <t>Knärot
Jättesvampmal</t>
        </is>
      </c>
      <c r="W619">
        <f>HYPERLINK("https://klasma.github.io/Logging_2180/artfynd/A 35989-2024 artfynd.xlsx", "A 35989-2024")</f>
        <v/>
      </c>
      <c r="X619">
        <f>HYPERLINK("https://klasma.github.io/Logging_2180/kartor/A 35989-2024 karta.png", "A 35989-2024")</f>
        <v/>
      </c>
      <c r="Y619">
        <f>HYPERLINK("https://klasma.github.io/Logging_2180/kartor_geotiff/A 35989-2024 georefererad karta.tif", "A 35989-2024")</f>
        <v/>
      </c>
      <c r="Z619">
        <f>HYPERLINK("https://klasma.github.io/Logging_2180/knärot/A 35989-2024 karta knärot.png", "A 35989-2024")</f>
        <v/>
      </c>
      <c r="AA619">
        <f>HYPERLINK("https://klasma.github.io/Logging_2180/klagomål/A 35989-2024 FSC-klagomål.docx", "A 35989-2024")</f>
        <v/>
      </c>
      <c r="AB619">
        <f>HYPERLINK("https://klasma.github.io/Logging_2180/klagomålsmail/A 35989-2024 FSC-klagomål mail.docx", "A 35989-2024")</f>
        <v/>
      </c>
      <c r="AC619">
        <f>HYPERLINK("https://klasma.github.io/Logging_2180/tillsyn/A 35989-2024 tillsynsbegäran.docx", "A 35989-2024")</f>
        <v/>
      </c>
      <c r="AD619">
        <f>HYPERLINK("https://klasma.github.io/Logging_2180/tillsynsmail/A 35989-2024 tillsynsbegäran mail.docx", "A 35989-2024")</f>
        <v/>
      </c>
    </row>
    <row r="620" ht="15" customHeight="1">
      <c r="A620" t="inlineStr">
        <is>
          <t>A 39510-2026</t>
        </is>
      </c>
      <c r="B620" t="inlineStr">
        <is>
          <t>avverkningsanmälan</t>
        </is>
      </c>
      <c r="C620" t="inlineStr">
        <is>
          <t>Föryngringsavverkning</t>
        </is>
      </c>
      <c r="D620" s="1" t="n">
        <v>46289</v>
      </c>
      <c r="E620" s="1" t="n">
        <v>46326</v>
      </c>
      <c r="F620" t="inlineStr">
        <is>
          <t>GÄVLEBORGS LÄN</t>
        </is>
      </c>
      <c r="G620" t="inlineStr">
        <is>
          <t>SANDVIKEN</t>
        </is>
      </c>
      <c r="H620" t="inlineStr">
        <is>
          <t>Sveaskog</t>
        </is>
      </c>
      <c r="I620" t="n">
        <v>8</v>
      </c>
      <c r="J620" t="n">
        <v>1</v>
      </c>
      <c r="K620" t="n">
        <v>2</v>
      </c>
      <c r="L620" t="n">
        <v>0</v>
      </c>
      <c r="M620" t="n">
        <v>0</v>
      </c>
      <c r="N620" t="n">
        <v>0</v>
      </c>
      <c r="O620" t="n">
        <v>0</v>
      </c>
      <c r="P620" t="n">
        <v>0</v>
      </c>
      <c r="Q620" t="n">
        <v>0</v>
      </c>
      <c r="R620" t="n">
        <v>0</v>
      </c>
      <c r="S620" t="n">
        <v>2</v>
      </c>
      <c r="T620" t="n">
        <v>3</v>
      </c>
      <c r="U620" t="n">
        <v>0</v>
      </c>
      <c r="V620" s="2" t="inlineStr">
        <is>
          <t>Mörk vedstrit
Plattlummer</t>
        </is>
      </c>
      <c r="W620">
        <f>HYPERLINK("https://klasma.github.io/Logging_2181/artfynd/A 39510-2026 artfynd.xlsx", "A 39510-2026")</f>
        <v/>
      </c>
      <c r="X620">
        <f>HYPERLINK("https://klasma.github.io/Logging_2181/kartor/A 39510-2026 karta.png", "A 39510-2026")</f>
        <v/>
      </c>
      <c r="Y620">
        <f>HYPERLINK("https://klasma.github.io/Logging_2181/kartor_geotiff/A 39510-2026 georefererad karta.tif", "A 39510-2026")</f>
        <v/>
      </c>
      <c r="AA620">
        <f>HYPERLINK("https://klasma.github.io/Logging_2181/klagomål/A 39510-2026 FSC-klagomål.docx", "A 39510-2026")</f>
        <v/>
      </c>
      <c r="AB620">
        <f>HYPERLINK("https://klasma.github.io/Logging_2181/klagomålsmail/A 39510-2026 FSC-klagomål mail.docx", "A 39510-2026")</f>
        <v/>
      </c>
      <c r="AC620">
        <f>HYPERLINK("https://klasma.github.io/Logging_2181/tillsyn/A 39510-2026 tillsynsbegäran.docx", "A 39510-2026")</f>
        <v/>
      </c>
      <c r="AD620">
        <f>HYPERLINK("https://klasma.github.io/Logging_2181/tillsynsmail/A 39510-2026 tillsynsbegäran mail.docx", "A 39510-2026")</f>
        <v/>
      </c>
    </row>
    <row r="621" ht="15" customHeight="1">
      <c r="A621" t="inlineStr">
        <is>
          <t>A 10855-2026</t>
        </is>
      </c>
      <c r="B621" t="inlineStr">
        <is>
          <t>avverkningsanmälan</t>
        </is>
      </c>
      <c r="C621" t="inlineStr">
        <is>
          <t>Föryngringsavverkning</t>
        </is>
      </c>
      <c r="D621" s="1" t="n">
        <v>46078</v>
      </c>
      <c r="E621" s="1" t="n">
        <v>46326</v>
      </c>
      <c r="F621" t="inlineStr">
        <is>
          <t>GÄVLEBORGS LÄN</t>
        </is>
      </c>
      <c r="G621" t="inlineStr">
        <is>
          <t>OVANÅKER</t>
        </is>
      </c>
      <c r="I621" t="n">
        <v>6.6</v>
      </c>
      <c r="J621" t="n">
        <v>0</v>
      </c>
      <c r="K621" t="n">
        <v>0</v>
      </c>
      <c r="L621" t="n">
        <v>1</v>
      </c>
      <c r="M621" t="n">
        <v>1</v>
      </c>
      <c r="N621" t="n">
        <v>0</v>
      </c>
      <c r="O621" t="n">
        <v>0</v>
      </c>
      <c r="P621" t="n">
        <v>0</v>
      </c>
      <c r="Q621" t="n">
        <v>2</v>
      </c>
      <c r="R621" t="n">
        <v>1</v>
      </c>
      <c r="S621" t="n">
        <v>2</v>
      </c>
      <c r="T621" t="n">
        <v>3</v>
      </c>
      <c r="U621" t="n">
        <v>0</v>
      </c>
      <c r="V621" s="2" t="inlineStr">
        <is>
          <t>Garnlav
Kolflarnlav</t>
        </is>
      </c>
      <c r="W621">
        <f>HYPERLINK("https://klasma.github.io/Logging_2121/artfynd/A 10855-2026 artfynd.xlsx", "A 10855-2026")</f>
        <v/>
      </c>
      <c r="X621">
        <f>HYPERLINK("https://klasma.github.io/Logging_2121/kartor/A 10855-2026 karta.png", "A 10855-2026")</f>
        <v/>
      </c>
      <c r="Y621">
        <f>HYPERLINK("https://klasma.github.io/Logging_2121/kartor_geotiff/A 10855-2026 georefererad karta.tif", "A 10855-2026")</f>
        <v/>
      </c>
      <c r="AA621">
        <f>HYPERLINK("https://klasma.github.io/Logging_2121/klagomål/A 10855-2026 FSC-klagomål.docx", "A 10855-2026")</f>
        <v/>
      </c>
      <c r="AB621">
        <f>HYPERLINK("https://klasma.github.io/Logging_2121/klagomålsmail/A 10855-2026 FSC-klagomål mail.docx", "A 10855-2026")</f>
        <v/>
      </c>
      <c r="AC621">
        <f>HYPERLINK("https://klasma.github.io/Logging_2121/tillsyn/A 10855-2026 tillsynsbegäran.docx", "A 10855-2026")</f>
        <v/>
      </c>
      <c r="AD621">
        <f>HYPERLINK("https://klasma.github.io/Logging_2121/tillsynsmail/A 10855-2026 tillsynsbegäran mail.docx", "A 10855-2026")</f>
        <v/>
      </c>
    </row>
    <row r="622" ht="15" customHeight="1">
      <c r="A622" t="inlineStr">
        <is>
          <t>A 40005-2026</t>
        </is>
      </c>
      <c r="B622" t="inlineStr">
        <is>
          <t>avverkningsanmälan</t>
        </is>
      </c>
      <c r="C622" t="inlineStr">
        <is>
          <t>Föryngringsavverkning</t>
        </is>
      </c>
      <c r="D622" s="1" t="n">
        <v>46293</v>
      </c>
      <c r="E622" s="1" t="n">
        <v>46326</v>
      </c>
      <c r="F622" t="inlineStr">
        <is>
          <t>GÄVLEBORGS LÄN</t>
        </is>
      </c>
      <c r="G622" t="inlineStr">
        <is>
          <t>LJUSDAL</t>
        </is>
      </c>
      <c r="H622" t="inlineStr">
        <is>
          <t>Allmännings- och besparingsskogar</t>
        </is>
      </c>
      <c r="I622" t="n">
        <v>10</v>
      </c>
      <c r="J622" t="n">
        <v>0</v>
      </c>
      <c r="K622" t="n">
        <v>0</v>
      </c>
      <c r="L622" t="n">
        <v>1</v>
      </c>
      <c r="M622" t="n">
        <v>1</v>
      </c>
      <c r="N622" t="n">
        <v>0</v>
      </c>
      <c r="O622" t="n">
        <v>0</v>
      </c>
      <c r="P622" t="n">
        <v>0</v>
      </c>
      <c r="Q622" t="n">
        <v>2</v>
      </c>
      <c r="R622" t="n">
        <v>1</v>
      </c>
      <c r="S622" t="n">
        <v>2</v>
      </c>
      <c r="T622" t="n">
        <v>39</v>
      </c>
      <c r="U622" t="n">
        <v>39</v>
      </c>
      <c r="V622" s="2" t="inlineStr">
        <is>
          <t>Garnlav
Kolflarnlav</t>
        </is>
      </c>
      <c r="W622">
        <f>HYPERLINK("https://klasma.github.io/Logging_2161/artfynd/A 40005-2026 artfynd.xlsx", "A 40005-2026")</f>
        <v/>
      </c>
      <c r="X622">
        <f>HYPERLINK("https://klasma.github.io/Logging_2161/kartor/A 40005-2026 karta.png", "A 40005-2026")</f>
        <v/>
      </c>
      <c r="Y622">
        <f>HYPERLINK("https://klasma.github.io/Logging_2161/kartor_geotiff/A 40005-2026 georefererad karta.tif", "A 40005-2026")</f>
        <v/>
      </c>
      <c r="AA622">
        <f>HYPERLINK("https://klasma.github.io/Logging_2161/klagomål/A 40005-2026 FSC-klagomål.docx", "A 40005-2026")</f>
        <v/>
      </c>
      <c r="AB622">
        <f>HYPERLINK("https://klasma.github.io/Logging_2161/klagomålsmail/A 40005-2026 FSC-klagomål mail.docx", "A 40005-2026")</f>
        <v/>
      </c>
      <c r="AC622">
        <f>HYPERLINK("https://klasma.github.io/Logging_2161/tillsyn/A 40005-2026 tillsynsbegäran.docx", "A 40005-2026")</f>
        <v/>
      </c>
      <c r="AD622">
        <f>HYPERLINK("https://klasma.github.io/Logging_2161/tillsynsmail/A 40005-2026 tillsynsbegäran mail.docx", "A 40005-2026")</f>
        <v/>
      </c>
    </row>
    <row r="623" ht="15" customHeight="1">
      <c r="A623" t="inlineStr">
        <is>
          <t>A 33867-2026</t>
        </is>
      </c>
      <c r="B623" t="inlineStr">
        <is>
          <t>avverkningsanmälan</t>
        </is>
      </c>
      <c r="C623" t="inlineStr">
        <is>
          <t>Föryngringsavverkning</t>
        </is>
      </c>
      <c r="D623" s="1" t="n">
        <v>46251</v>
      </c>
      <c r="E623" s="1" t="n">
        <v>46326</v>
      </c>
      <c r="F623" t="inlineStr">
        <is>
          <t>GÄVLEBORGS LÄN</t>
        </is>
      </c>
      <c r="G623" t="inlineStr">
        <is>
          <t>SANDVIKEN</t>
        </is>
      </c>
      <c r="H623" t="inlineStr">
        <is>
          <t>Sveaskog</t>
        </is>
      </c>
      <c r="I623" t="n">
        <v>1.2</v>
      </c>
      <c r="J623" t="n">
        <v>0</v>
      </c>
      <c r="K623" t="n">
        <v>0</v>
      </c>
      <c r="L623" t="n">
        <v>1</v>
      </c>
      <c r="M623" t="n">
        <v>1</v>
      </c>
      <c r="N623" t="n">
        <v>0</v>
      </c>
      <c r="O623" t="n">
        <v>0</v>
      </c>
      <c r="P623" t="n">
        <v>0</v>
      </c>
      <c r="Q623" t="n">
        <v>2</v>
      </c>
      <c r="R623" t="n">
        <v>1</v>
      </c>
      <c r="S623" t="n">
        <v>2</v>
      </c>
      <c r="T623" t="n">
        <v>2</v>
      </c>
      <c r="U623" t="n">
        <v>0</v>
      </c>
      <c r="V623" s="2" t="inlineStr">
        <is>
          <t>Garnlav
Kortskaftad ärgspik</t>
        </is>
      </c>
      <c r="W623">
        <f>HYPERLINK("https://klasma.github.io/Logging_2181/artfynd/A 33867-2026 artfynd.xlsx", "A 33867-2026")</f>
        <v/>
      </c>
      <c r="X623">
        <f>HYPERLINK("https://klasma.github.io/Logging_2181/kartor/A 33867-2026 karta.png", "A 33867-2026")</f>
        <v/>
      </c>
      <c r="Y623">
        <f>HYPERLINK("https://klasma.github.io/Logging_2181/kartor_geotiff/A 33867-2026 georefererad karta.tif", "A 33867-2026")</f>
        <v/>
      </c>
      <c r="AA623">
        <f>HYPERLINK("https://klasma.github.io/Logging_2181/klagomål/A 33867-2026 FSC-klagomål.docx", "A 33867-2026")</f>
        <v/>
      </c>
      <c r="AB623">
        <f>HYPERLINK("https://klasma.github.io/Logging_2181/klagomålsmail/A 33867-2026 FSC-klagomål mail.docx", "A 33867-2026")</f>
        <v/>
      </c>
      <c r="AC623">
        <f>HYPERLINK("https://klasma.github.io/Logging_2181/tillsyn/A 33867-2026 tillsynsbegäran.docx", "A 33867-2026")</f>
        <v/>
      </c>
      <c r="AD623">
        <f>HYPERLINK("https://klasma.github.io/Logging_2181/tillsynsmail/A 33867-2026 tillsynsbegäran mail.docx", "A 33867-2026")</f>
        <v/>
      </c>
    </row>
    <row r="624" ht="15" customHeight="1">
      <c r="A624" t="inlineStr">
        <is>
          <t>A 23447-2025</t>
        </is>
      </c>
      <c r="B624" t="inlineStr">
        <is>
          <t>avverkningsanmälan</t>
        </is>
      </c>
      <c r="C624" t="inlineStr">
        <is>
          <t>Föryngringsavverkning</t>
        </is>
      </c>
      <c r="D624" s="1" t="n">
        <v>45792</v>
      </c>
      <c r="E624" s="1" t="n">
        <v>46326</v>
      </c>
      <c r="F624" t="inlineStr">
        <is>
          <t>GÄVLEBORGS LÄN</t>
        </is>
      </c>
      <c r="G624" t="inlineStr">
        <is>
          <t>GÄVLE</t>
        </is>
      </c>
      <c r="I624" t="n">
        <v>1.1</v>
      </c>
      <c r="J624" t="n">
        <v>2</v>
      </c>
      <c r="K624" t="n">
        <v>0</v>
      </c>
      <c r="L624" t="n">
        <v>0</v>
      </c>
      <c r="M624" t="n">
        <v>0</v>
      </c>
      <c r="N624" t="n">
        <v>0</v>
      </c>
      <c r="O624" t="n">
        <v>0</v>
      </c>
      <c r="P624" t="n">
        <v>0</v>
      </c>
      <c r="Q624" t="n">
        <v>0</v>
      </c>
      <c r="R624" t="n">
        <v>0</v>
      </c>
      <c r="S624" t="n">
        <v>2</v>
      </c>
      <c r="T624" t="n">
        <v>2</v>
      </c>
      <c r="U624" t="n">
        <v>0</v>
      </c>
      <c r="V624" s="2" t="inlineStr">
        <is>
          <t>Kopparödla
Fläcknycklar</t>
        </is>
      </c>
      <c r="W624">
        <f>HYPERLINK("https://klasma.github.io/Logging_2180/artfynd/A 23447-2025 artfynd.xlsx", "A 23447-2025")</f>
        <v/>
      </c>
      <c r="X624">
        <f>HYPERLINK("https://klasma.github.io/Logging_2180/kartor/A 23447-2025 karta.png", "A 23447-2025")</f>
        <v/>
      </c>
      <c r="Y624">
        <f>HYPERLINK("https://klasma.github.io/Logging_2180/kartor_geotiff/A 23447-2025 georefererad karta.tif", "A 23447-2025")</f>
        <v/>
      </c>
      <c r="AA624">
        <f>HYPERLINK("https://klasma.github.io/Logging_2180/klagomål/A 23447-2025 FSC-klagomål.docx", "A 23447-2025")</f>
        <v/>
      </c>
      <c r="AB624">
        <f>HYPERLINK("https://klasma.github.io/Logging_2180/klagomålsmail/A 23447-2025 FSC-klagomål mail.docx", "A 23447-2025")</f>
        <v/>
      </c>
      <c r="AC624">
        <f>HYPERLINK("https://klasma.github.io/Logging_2180/tillsyn/A 23447-2025 tillsynsbegäran.docx", "A 23447-2025")</f>
        <v/>
      </c>
      <c r="AD624">
        <f>HYPERLINK("https://klasma.github.io/Logging_2180/tillsynsmail/A 23447-2025 tillsynsbegäran mail.docx", "A 23447-2025")</f>
        <v/>
      </c>
    </row>
    <row r="625" ht="15" customHeight="1">
      <c r="A625" t="inlineStr">
        <is>
          <t>A 23483-2025</t>
        </is>
      </c>
      <c r="B625" t="inlineStr">
        <is>
          <t>avverkningsanmälan</t>
        </is>
      </c>
      <c r="C625" t="inlineStr">
        <is>
          <t>Föryngringsavverkning</t>
        </is>
      </c>
      <c r="D625" s="1" t="n">
        <v>45792</v>
      </c>
      <c r="E625" s="1" t="n">
        <v>46326</v>
      </c>
      <c r="F625" t="inlineStr">
        <is>
          <t>GÄVLEBORGS LÄN</t>
        </is>
      </c>
      <c r="G625" t="inlineStr">
        <is>
          <t>LJUSDAL</t>
        </is>
      </c>
      <c r="H625" t="inlineStr">
        <is>
          <t>Sveaskog</t>
        </is>
      </c>
      <c r="I625" t="n">
        <v>3.6</v>
      </c>
      <c r="J625" t="n">
        <v>0</v>
      </c>
      <c r="K625" t="n">
        <v>0</v>
      </c>
      <c r="L625" t="n">
        <v>2</v>
      </c>
      <c r="M625" t="n">
        <v>0</v>
      </c>
      <c r="N625" t="n">
        <v>0</v>
      </c>
      <c r="O625" t="n">
        <v>0</v>
      </c>
      <c r="P625" t="n">
        <v>0</v>
      </c>
      <c r="Q625" t="n">
        <v>2</v>
      </c>
      <c r="R625" t="n">
        <v>0</v>
      </c>
      <c r="S625" t="n">
        <v>2</v>
      </c>
      <c r="T625" t="n">
        <v>3</v>
      </c>
      <c r="U625" t="n">
        <v>3</v>
      </c>
      <c r="V625" s="2" t="inlineStr">
        <is>
          <t>Kolflarnlav
Lunglav</t>
        </is>
      </c>
      <c r="W625">
        <f>HYPERLINK("https://klasma.github.io/Logging_2161/artfynd/A 23483-2025 artfynd.xlsx", "A 23483-2025")</f>
        <v/>
      </c>
      <c r="X625">
        <f>HYPERLINK("https://klasma.github.io/Logging_2161/kartor/A 23483-2025 karta.png", "A 23483-2025")</f>
        <v/>
      </c>
      <c r="Y625">
        <f>HYPERLINK("https://klasma.github.io/Logging_2161/kartor_geotiff/A 23483-2025 georefererad karta.tif", "A 23483-2025")</f>
        <v/>
      </c>
      <c r="AA625">
        <f>HYPERLINK("https://klasma.github.io/Logging_2161/klagomål/A 23483-2025 FSC-klagomål.docx", "A 23483-2025")</f>
        <v/>
      </c>
      <c r="AB625">
        <f>HYPERLINK("https://klasma.github.io/Logging_2161/klagomålsmail/A 23483-2025 FSC-klagomål mail.docx", "A 23483-2025")</f>
        <v/>
      </c>
      <c r="AC625">
        <f>HYPERLINK("https://klasma.github.io/Logging_2161/tillsyn/A 23483-2025 tillsynsbegäran.docx", "A 23483-2025")</f>
        <v/>
      </c>
      <c r="AD625">
        <f>HYPERLINK("https://klasma.github.io/Logging_2161/tillsynsmail/A 23483-2025 tillsynsbegäran mail.docx", "A 23483-2025")</f>
        <v/>
      </c>
    </row>
    <row r="626" ht="15" customHeight="1">
      <c r="A626" t="inlineStr">
        <is>
          <t>A 50822-2023</t>
        </is>
      </c>
      <c r="B626" t="inlineStr">
        <is>
          <t>avverkningsanmälan</t>
        </is>
      </c>
      <c r="C626" t="inlineStr">
        <is>
          <t>Föryngringsavverkning</t>
        </is>
      </c>
      <c r="D626" s="1" t="n">
        <v>45217</v>
      </c>
      <c r="E626" s="1" t="n">
        <v>46326</v>
      </c>
      <c r="F626" t="inlineStr">
        <is>
          <t>GÄVLEBORGS LÄN</t>
        </is>
      </c>
      <c r="G626" t="inlineStr">
        <is>
          <t>HUDIKSVALL</t>
        </is>
      </c>
      <c r="I626" t="n">
        <v>1.2</v>
      </c>
      <c r="J626" t="n">
        <v>2</v>
      </c>
      <c r="K626" t="n">
        <v>0</v>
      </c>
      <c r="L626" t="n">
        <v>0</v>
      </c>
      <c r="M626" t="n">
        <v>0</v>
      </c>
      <c r="N626" t="n">
        <v>0</v>
      </c>
      <c r="O626" t="n">
        <v>0</v>
      </c>
      <c r="P626" t="n">
        <v>0</v>
      </c>
      <c r="Q626" t="n">
        <v>0</v>
      </c>
      <c r="R626" t="n">
        <v>0</v>
      </c>
      <c r="S626" t="n">
        <v>2</v>
      </c>
      <c r="T626" t="n">
        <v>2</v>
      </c>
      <c r="U626" t="n">
        <v>1</v>
      </c>
      <c r="V626" s="2" t="inlineStr">
        <is>
          <t>Järpe
Grönsiska</t>
        </is>
      </c>
      <c r="W626">
        <f>HYPERLINK("https://klasma.github.io/Logging_2184/artfynd/A 50822-2023 artfynd.xlsx", "A 50822-2023")</f>
        <v/>
      </c>
      <c r="X626">
        <f>HYPERLINK("https://klasma.github.io/Logging_2184/kartor/A 50822-2023 karta.png", "A 50822-2023")</f>
        <v/>
      </c>
      <c r="Y626">
        <f>HYPERLINK("https://klasma.github.io/Logging_2184/kartor_geotiff/A 50822-2023 georefererad karta.tif", "A 50822-2023")</f>
        <v/>
      </c>
      <c r="AA626">
        <f>HYPERLINK("https://klasma.github.io/Logging_2184/klagomål/A 50822-2023 FSC-klagomål.docx", "A 50822-2023")</f>
        <v/>
      </c>
      <c r="AB626">
        <f>HYPERLINK("https://klasma.github.io/Logging_2184/klagomålsmail/A 50822-2023 FSC-klagomål mail.docx", "A 50822-2023")</f>
        <v/>
      </c>
      <c r="AC626">
        <f>HYPERLINK("https://klasma.github.io/Logging_2184/tillsyn/A 50822-2023 tillsynsbegäran.docx", "A 50822-2023")</f>
        <v/>
      </c>
      <c r="AD626">
        <f>HYPERLINK("https://klasma.github.io/Logging_2184/tillsynsmail/A 50822-2023 tillsynsbegäran mail.docx", "A 50822-2023")</f>
        <v/>
      </c>
      <c r="AE626">
        <f>HYPERLINK("https://klasma.github.io/Logging_2184/fåglar/A 50822-2023 prioriterade fågelarter.docx", "A 50822-2023")</f>
        <v/>
      </c>
    </row>
    <row r="627" ht="15" customHeight="1">
      <c r="A627" t="inlineStr">
        <is>
          <t>A 34434-2026</t>
        </is>
      </c>
      <c r="B627" t="inlineStr">
        <is>
          <t>avverkningsanmälan</t>
        </is>
      </c>
      <c r="C627" t="inlineStr">
        <is>
          <t>Föryngringsavverkning</t>
        </is>
      </c>
      <c r="D627" s="1" t="n">
        <v>46254</v>
      </c>
      <c r="E627" s="1" t="n">
        <v>46326</v>
      </c>
      <c r="F627" t="inlineStr">
        <is>
          <t>GÄVLEBORGS LÄN</t>
        </is>
      </c>
      <c r="G627" t="inlineStr">
        <is>
          <t>GÄVLE</t>
        </is>
      </c>
      <c r="H627" t="inlineStr">
        <is>
          <t>Bergvik skog öst AB</t>
        </is>
      </c>
      <c r="I627" t="n">
        <v>7.7</v>
      </c>
      <c r="J627" t="n">
        <v>1</v>
      </c>
      <c r="K627" t="n">
        <v>1</v>
      </c>
      <c r="L627" t="n">
        <v>1</v>
      </c>
      <c r="M627" t="n">
        <v>0</v>
      </c>
      <c r="N627" t="n">
        <v>0</v>
      </c>
      <c r="O627" t="n">
        <v>0</v>
      </c>
      <c r="P627" t="n">
        <v>0</v>
      </c>
      <c r="Q627" t="n">
        <v>1</v>
      </c>
      <c r="R627" t="n">
        <v>0</v>
      </c>
      <c r="S627" t="n">
        <v>2</v>
      </c>
      <c r="T627" t="n">
        <v>2</v>
      </c>
      <c r="U627" t="n">
        <v>0</v>
      </c>
      <c r="V627" s="2" t="inlineStr">
        <is>
          <t>Grönsångare
Vätteros</t>
        </is>
      </c>
      <c r="W627">
        <f>HYPERLINK("https://klasma.github.io/Logging_2180/artfynd/A 34434-2026 artfynd.xlsx", "A 34434-2026")</f>
        <v/>
      </c>
      <c r="X627">
        <f>HYPERLINK("https://klasma.github.io/Logging_2180/kartor/A 34434-2026 karta.png", "A 34434-2026")</f>
        <v/>
      </c>
      <c r="Y627">
        <f>HYPERLINK("https://klasma.github.io/Logging_2180/kartor_geotiff/A 34434-2026 georefererad karta.tif", "A 34434-2026")</f>
        <v/>
      </c>
      <c r="AA627">
        <f>HYPERLINK("https://klasma.github.io/Logging_2180/klagomål/A 34434-2026 FSC-klagomål.docx", "A 34434-2026")</f>
        <v/>
      </c>
      <c r="AB627">
        <f>HYPERLINK("https://klasma.github.io/Logging_2180/klagomålsmail/A 34434-2026 FSC-klagomål mail.docx", "A 34434-2026")</f>
        <v/>
      </c>
      <c r="AC627">
        <f>HYPERLINK("https://klasma.github.io/Logging_2180/tillsyn/A 34434-2026 tillsynsbegäran.docx", "A 34434-2026")</f>
        <v/>
      </c>
      <c r="AD627">
        <f>HYPERLINK("https://klasma.github.io/Logging_2180/tillsynsmail/A 34434-2026 tillsynsbegäran mail.docx", "A 34434-2026")</f>
        <v/>
      </c>
      <c r="AE627">
        <f>HYPERLINK("https://klasma.github.io/Logging_2180/fåglar/A 34434-2026 prioriterade fågelarter.docx", "A 34434-2026")</f>
        <v/>
      </c>
    </row>
    <row r="628" ht="15" customHeight="1">
      <c r="A628" t="inlineStr">
        <is>
          <t>A 29062-2026</t>
        </is>
      </c>
      <c r="B628" t="inlineStr">
        <is>
          <t>avverkningsanmälan</t>
        </is>
      </c>
      <c r="C628" t="inlineStr">
        <is>
          <t>Föryngringsavverkning</t>
        </is>
      </c>
      <c r="D628" s="1" t="n">
        <v>46199</v>
      </c>
      <c r="E628" s="1" t="n">
        <v>46326</v>
      </c>
      <c r="F628" t="inlineStr">
        <is>
          <t>GÄVLEBORGS LÄN</t>
        </is>
      </c>
      <c r="G628" t="inlineStr">
        <is>
          <t>HOFORS</t>
        </is>
      </c>
      <c r="H628" t="inlineStr">
        <is>
          <t>Sveaskog</t>
        </is>
      </c>
      <c r="I628" t="n">
        <v>3.3</v>
      </c>
      <c r="J628" t="n">
        <v>2</v>
      </c>
      <c r="K628" t="n">
        <v>0</v>
      </c>
      <c r="L628" t="n">
        <v>1</v>
      </c>
      <c r="M628" t="n">
        <v>0</v>
      </c>
      <c r="N628" t="n">
        <v>0</v>
      </c>
      <c r="O628" t="n">
        <v>0</v>
      </c>
      <c r="P628" t="n">
        <v>0</v>
      </c>
      <c r="Q628" t="n">
        <v>1</v>
      </c>
      <c r="R628" t="n">
        <v>0</v>
      </c>
      <c r="S628" t="n">
        <v>2</v>
      </c>
      <c r="T628" t="n">
        <v>2</v>
      </c>
      <c r="U628" t="n">
        <v>0</v>
      </c>
      <c r="V628" s="2" t="inlineStr">
        <is>
          <t>Talltita
Tjäder</t>
        </is>
      </c>
      <c r="W628">
        <f>HYPERLINK("https://klasma.github.io/Logging_2104/artfynd/A 29062-2026 artfynd.xlsx", "A 29062-2026")</f>
        <v/>
      </c>
      <c r="X628">
        <f>HYPERLINK("https://klasma.github.io/Logging_2104/kartor/A 29062-2026 karta.png", "A 29062-2026")</f>
        <v/>
      </c>
      <c r="Y628">
        <f>HYPERLINK("https://klasma.github.io/Logging_2104/kartor_geotiff/A 29062-2026 georefererad karta.tif", "A 29062-2026")</f>
        <v/>
      </c>
      <c r="AA628">
        <f>HYPERLINK("https://klasma.github.io/Logging_2104/klagomål/A 29062-2026 FSC-klagomål.docx", "A 29062-2026")</f>
        <v/>
      </c>
      <c r="AB628">
        <f>HYPERLINK("https://klasma.github.io/Logging_2104/klagomålsmail/A 29062-2026 FSC-klagomål mail.docx", "A 29062-2026")</f>
        <v/>
      </c>
      <c r="AC628">
        <f>HYPERLINK("https://klasma.github.io/Logging_2104/tillsyn/A 29062-2026 tillsynsbegäran.docx", "A 29062-2026")</f>
        <v/>
      </c>
      <c r="AD628">
        <f>HYPERLINK("https://klasma.github.io/Logging_2104/tillsynsmail/A 29062-2026 tillsynsbegäran mail.docx", "A 29062-2026")</f>
        <v/>
      </c>
      <c r="AE628">
        <f>HYPERLINK("https://klasma.github.io/Logging_2104/fåglar/A 29062-2026 prioriterade fågelarter.docx", "A 29062-2026")</f>
        <v/>
      </c>
    </row>
    <row r="629" ht="15" customHeight="1">
      <c r="A629" t="inlineStr">
        <is>
          <t>A 45270-2024</t>
        </is>
      </c>
      <c r="B629" t="inlineStr">
        <is>
          <t>avverkningsanmälan</t>
        </is>
      </c>
      <c r="C629" t="inlineStr">
        <is>
          <t>Föryngringsavverkning</t>
        </is>
      </c>
      <c r="D629" s="1" t="n">
        <v>45576</v>
      </c>
      <c r="E629" s="1" t="n">
        <v>46326</v>
      </c>
      <c r="F629" t="inlineStr">
        <is>
          <t>GÄVLEBORGS LÄN</t>
        </is>
      </c>
      <c r="G629" t="inlineStr">
        <is>
          <t>LJUSDAL</t>
        </is>
      </c>
      <c r="H629" t="inlineStr">
        <is>
          <t>Sveaskog</t>
        </is>
      </c>
      <c r="I629" t="n">
        <v>5</v>
      </c>
      <c r="J629" t="n">
        <v>0</v>
      </c>
      <c r="K629" t="n">
        <v>0</v>
      </c>
      <c r="L629" t="n">
        <v>2</v>
      </c>
      <c r="M629" t="n">
        <v>0</v>
      </c>
      <c r="N629" t="n">
        <v>0</v>
      </c>
      <c r="O629" t="n">
        <v>0</v>
      </c>
      <c r="P629" t="n">
        <v>0</v>
      </c>
      <c r="Q629" t="n">
        <v>2</v>
      </c>
      <c r="R629" t="n">
        <v>0</v>
      </c>
      <c r="S629" t="n">
        <v>2</v>
      </c>
      <c r="T629" t="n">
        <v>2</v>
      </c>
      <c r="U629" t="n">
        <v>2</v>
      </c>
      <c r="V629" s="2" t="inlineStr">
        <is>
          <t>Kolflarnlav
Mörk kolflarnlav</t>
        </is>
      </c>
      <c r="W629">
        <f>HYPERLINK("https://klasma.github.io/Logging_2161/artfynd/A 45270-2024 artfynd.xlsx", "A 45270-2024")</f>
        <v/>
      </c>
      <c r="X629">
        <f>HYPERLINK("https://klasma.github.io/Logging_2161/kartor/A 45270-2024 karta.png", "A 45270-2024")</f>
        <v/>
      </c>
      <c r="Y629">
        <f>HYPERLINK("https://klasma.github.io/Logging_2161/kartor_geotiff/A 45270-2024 georefererad karta.tif", "A 45270-2024")</f>
        <v/>
      </c>
      <c r="AA629">
        <f>HYPERLINK("https://klasma.github.io/Logging_2161/klagomål/A 45270-2024 FSC-klagomål.docx", "A 45270-2024")</f>
        <v/>
      </c>
      <c r="AB629">
        <f>HYPERLINK("https://klasma.github.io/Logging_2161/klagomålsmail/A 45270-2024 FSC-klagomål mail.docx", "A 45270-2024")</f>
        <v/>
      </c>
      <c r="AC629">
        <f>HYPERLINK("https://klasma.github.io/Logging_2161/tillsyn/A 45270-2024 tillsynsbegäran.docx", "A 45270-2024")</f>
        <v/>
      </c>
      <c r="AD629">
        <f>HYPERLINK("https://klasma.github.io/Logging_2161/tillsynsmail/A 45270-2024 tillsynsbegäran mail.docx", "A 45270-2024")</f>
        <v/>
      </c>
    </row>
    <row r="630" ht="15" customHeight="1">
      <c r="A630" t="inlineStr">
        <is>
          <t>A 25047-2025</t>
        </is>
      </c>
      <c r="B630" t="inlineStr">
        <is>
          <t>avverkningsanmälan</t>
        </is>
      </c>
      <c r="C630" t="inlineStr">
        <is>
          <t>Föryngringsavverkning</t>
        </is>
      </c>
      <c r="D630" s="1" t="n">
        <v>45799</v>
      </c>
      <c r="E630" s="1" t="n">
        <v>46326</v>
      </c>
      <c r="F630" t="inlineStr">
        <is>
          <t>GÄVLEBORGS LÄN</t>
        </is>
      </c>
      <c r="G630" t="inlineStr">
        <is>
          <t>LJUSDAL</t>
        </is>
      </c>
      <c r="H630" t="inlineStr">
        <is>
          <t>Holmen skog AB</t>
        </is>
      </c>
      <c r="I630" t="n">
        <v>24.1</v>
      </c>
      <c r="J630" t="n">
        <v>0</v>
      </c>
      <c r="K630" t="n">
        <v>0</v>
      </c>
      <c r="L630" t="n">
        <v>1</v>
      </c>
      <c r="M630" t="n">
        <v>1</v>
      </c>
      <c r="N630" t="n">
        <v>0</v>
      </c>
      <c r="O630" t="n">
        <v>0</v>
      </c>
      <c r="P630" t="n">
        <v>0</v>
      </c>
      <c r="Q630" t="n">
        <v>2</v>
      </c>
      <c r="R630" t="n">
        <v>1</v>
      </c>
      <c r="S630" t="n">
        <v>2</v>
      </c>
      <c r="T630" t="n">
        <v>2</v>
      </c>
      <c r="U630" t="n">
        <v>2</v>
      </c>
      <c r="V630" s="2" t="inlineStr">
        <is>
          <t>Gräddticka
Ullticka</t>
        </is>
      </c>
      <c r="W630">
        <f>HYPERLINK("https://klasma.github.io/Logging_2161/artfynd/A 25047-2025 artfynd.xlsx", "A 25047-2025")</f>
        <v/>
      </c>
      <c r="X630">
        <f>HYPERLINK("https://klasma.github.io/Logging_2161/kartor/A 25047-2025 karta.png", "A 25047-2025")</f>
        <v/>
      </c>
      <c r="Y630">
        <f>HYPERLINK("https://klasma.github.io/Logging_2161/kartor_geotiff/A 25047-2025 georefererad karta.tif", "A 25047-2025")</f>
        <v/>
      </c>
      <c r="AA630">
        <f>HYPERLINK("https://klasma.github.io/Logging_2161/klagomål/A 25047-2025 FSC-klagomål.docx", "A 25047-2025")</f>
        <v/>
      </c>
      <c r="AB630">
        <f>HYPERLINK("https://klasma.github.io/Logging_2161/klagomålsmail/A 25047-2025 FSC-klagomål mail.docx", "A 25047-2025")</f>
        <v/>
      </c>
      <c r="AC630">
        <f>HYPERLINK("https://klasma.github.io/Logging_2161/tillsyn/A 25047-2025 tillsynsbegäran.docx", "A 25047-2025")</f>
        <v/>
      </c>
      <c r="AD630">
        <f>HYPERLINK("https://klasma.github.io/Logging_2161/tillsynsmail/A 25047-2025 tillsynsbegäran mail.docx", "A 25047-2025")</f>
        <v/>
      </c>
    </row>
    <row r="631" ht="15" customHeight="1">
      <c r="A631" t="inlineStr">
        <is>
          <t>A 61604-2025</t>
        </is>
      </c>
      <c r="B631" t="inlineStr">
        <is>
          <t>avverkningsanmälan</t>
        </is>
      </c>
      <c r="C631" t="inlineStr">
        <is>
          <t>Föryngringsavverkning</t>
        </is>
      </c>
      <c r="D631" s="1" t="n">
        <v>46002</v>
      </c>
      <c r="E631" s="1" t="n">
        <v>46326</v>
      </c>
      <c r="F631" t="inlineStr">
        <is>
          <t>GÄVLEBORGS LÄN</t>
        </is>
      </c>
      <c r="G631" t="inlineStr">
        <is>
          <t>BOLLNÄS</t>
        </is>
      </c>
      <c r="I631" t="n">
        <v>1.4</v>
      </c>
      <c r="J631" t="n">
        <v>2</v>
      </c>
      <c r="K631" t="n">
        <v>0</v>
      </c>
      <c r="L631" t="n">
        <v>0</v>
      </c>
      <c r="M631" t="n">
        <v>0</v>
      </c>
      <c r="N631" t="n">
        <v>0</v>
      </c>
      <c r="O631" t="n">
        <v>0</v>
      </c>
      <c r="P631" t="n">
        <v>0</v>
      </c>
      <c r="Q631" t="n">
        <v>0</v>
      </c>
      <c r="R631" t="n">
        <v>0</v>
      </c>
      <c r="S631" t="n">
        <v>2</v>
      </c>
      <c r="T631" t="n">
        <v>2</v>
      </c>
      <c r="U631" t="n">
        <v>0</v>
      </c>
      <c r="V631" s="2" t="inlineStr">
        <is>
          <t>Stenfalk
Trana</t>
        </is>
      </c>
      <c r="W631">
        <f>HYPERLINK("https://klasma.github.io/Logging_2183/artfynd/A 61604-2025 artfynd.xlsx", "A 61604-2025")</f>
        <v/>
      </c>
      <c r="X631">
        <f>HYPERLINK("https://klasma.github.io/Logging_2183/kartor/A 61604-2025 karta.png", "A 61604-2025")</f>
        <v/>
      </c>
      <c r="Y631">
        <f>HYPERLINK("https://klasma.github.io/Logging_2183/kartor_geotiff/A 61604-2025 georefererad karta.tif", "A 61604-2025")</f>
        <v/>
      </c>
      <c r="AA631">
        <f>HYPERLINK("https://klasma.github.io/Logging_2183/klagomål/A 61604-2025 FSC-klagomål.docx", "A 61604-2025")</f>
        <v/>
      </c>
      <c r="AB631">
        <f>HYPERLINK("https://klasma.github.io/Logging_2183/klagomålsmail/A 61604-2025 FSC-klagomål mail.docx", "A 61604-2025")</f>
        <v/>
      </c>
      <c r="AC631">
        <f>HYPERLINK("https://klasma.github.io/Logging_2183/tillsyn/A 61604-2025 tillsynsbegäran.docx", "A 61604-2025")</f>
        <v/>
      </c>
      <c r="AD631">
        <f>HYPERLINK("https://klasma.github.io/Logging_2183/tillsynsmail/A 61604-2025 tillsynsbegäran mail.docx", "A 61604-2025")</f>
        <v/>
      </c>
      <c r="AE631">
        <f>HYPERLINK("https://klasma.github.io/Logging_2183/fåglar/A 61604-2025 prioriterade fågelarter.docx", "A 61604-2025")</f>
        <v/>
      </c>
    </row>
    <row r="632" ht="15" customHeight="1">
      <c r="A632" t="inlineStr">
        <is>
          <t>A 34124-2026</t>
        </is>
      </c>
      <c r="B632" t="inlineStr">
        <is>
          <t>avverkningsanmälan</t>
        </is>
      </c>
      <c r="C632" t="inlineStr">
        <is>
          <t>Föryngringsavverkning</t>
        </is>
      </c>
      <c r="D632" s="1" t="n">
        <v>46253</v>
      </c>
      <c r="E632" s="1" t="n">
        <v>46326</v>
      </c>
      <c r="F632" t="inlineStr">
        <is>
          <t>GÄVLEBORGS LÄN</t>
        </is>
      </c>
      <c r="G632" t="inlineStr">
        <is>
          <t>SANDVIKEN</t>
        </is>
      </c>
      <c r="H632" t="inlineStr">
        <is>
          <t>Sveaskog</t>
        </is>
      </c>
      <c r="I632" t="n">
        <v>2.1</v>
      </c>
      <c r="J632" t="n">
        <v>2</v>
      </c>
      <c r="K632" t="n">
        <v>0</v>
      </c>
      <c r="L632" t="n">
        <v>0</v>
      </c>
      <c r="M632" t="n">
        <v>0</v>
      </c>
      <c r="N632" t="n">
        <v>0</v>
      </c>
      <c r="O632" t="n">
        <v>0</v>
      </c>
      <c r="P632" t="n">
        <v>0</v>
      </c>
      <c r="Q632" t="n">
        <v>0</v>
      </c>
      <c r="R632" t="n">
        <v>0</v>
      </c>
      <c r="S632" t="n">
        <v>2</v>
      </c>
      <c r="T632" t="n">
        <v>3</v>
      </c>
      <c r="U632" t="n">
        <v>0</v>
      </c>
      <c r="V632" s="2" t="inlineStr">
        <is>
          <t>Blåsippa
Revlummer</t>
        </is>
      </c>
      <c r="W632">
        <f>HYPERLINK("https://klasma.github.io/Logging_2181/artfynd/A 34124-2026 artfynd.xlsx", "A 34124-2026")</f>
        <v/>
      </c>
      <c r="X632">
        <f>HYPERLINK("https://klasma.github.io/Logging_2181/kartor/A 34124-2026 karta.png", "A 34124-2026")</f>
        <v/>
      </c>
      <c r="Y632">
        <f>HYPERLINK("https://klasma.github.io/Logging_2181/kartor_geotiff/A 34124-2026 georefererad karta.tif", "A 34124-2026")</f>
        <v/>
      </c>
      <c r="AA632">
        <f>HYPERLINK("https://klasma.github.io/Logging_2181/klagomål/A 34124-2026 FSC-klagomål.docx", "A 34124-2026")</f>
        <v/>
      </c>
      <c r="AB632">
        <f>HYPERLINK("https://klasma.github.io/Logging_2181/klagomålsmail/A 34124-2026 FSC-klagomål mail.docx", "A 34124-2026")</f>
        <v/>
      </c>
      <c r="AC632">
        <f>HYPERLINK("https://klasma.github.io/Logging_2181/tillsyn/A 34124-2026 tillsynsbegäran.docx", "A 34124-2026")</f>
        <v/>
      </c>
      <c r="AD632">
        <f>HYPERLINK("https://klasma.github.io/Logging_2181/tillsynsmail/A 34124-2026 tillsynsbegäran mail.docx", "A 34124-2026")</f>
        <v/>
      </c>
    </row>
    <row r="633" ht="15" customHeight="1">
      <c r="A633" t="inlineStr">
        <is>
          <t>A 40819-2026</t>
        </is>
      </c>
      <c r="B633" t="inlineStr">
        <is>
          <t>avverkningsanmälan</t>
        </is>
      </c>
      <c r="C633" t="inlineStr">
        <is>
          <t>Föryngringsavverkning</t>
        </is>
      </c>
      <c r="D633" s="1" t="n">
        <v>46296</v>
      </c>
      <c r="E633" s="1" t="n">
        <v>46326</v>
      </c>
      <c r="F633" t="inlineStr">
        <is>
          <t>GÄVLEBORGS LÄN</t>
        </is>
      </c>
      <c r="G633" t="inlineStr">
        <is>
          <t>SÖDERHAMN</t>
        </is>
      </c>
      <c r="I633" t="n">
        <v>3.8</v>
      </c>
      <c r="J633" t="n">
        <v>0</v>
      </c>
      <c r="K633" t="n">
        <v>0</v>
      </c>
      <c r="L633" t="n">
        <v>0</v>
      </c>
      <c r="M633" t="n">
        <v>1</v>
      </c>
      <c r="N633" t="n">
        <v>1</v>
      </c>
      <c r="O633" t="n">
        <v>0</v>
      </c>
      <c r="P633" t="n">
        <v>0</v>
      </c>
      <c r="Q633" t="n">
        <v>2</v>
      </c>
      <c r="R633" t="n">
        <v>2</v>
      </c>
      <c r="S633" t="n">
        <v>2</v>
      </c>
      <c r="T633" t="n">
        <v>2</v>
      </c>
      <c r="U633" t="n">
        <v>0</v>
      </c>
      <c r="V633" s="2" t="inlineStr">
        <is>
          <t>Violgubbe
Gyllenspindling</t>
        </is>
      </c>
      <c r="W633">
        <f>HYPERLINK("https://klasma.github.io/Logging_2182/artfynd/A 40819-2026 artfynd.xlsx", "A 40819-2026")</f>
        <v/>
      </c>
      <c r="X633">
        <f>HYPERLINK("https://klasma.github.io/Logging_2182/kartor/A 40819-2026 karta.png", "A 40819-2026")</f>
        <v/>
      </c>
      <c r="Y633">
        <f>HYPERLINK("https://klasma.github.io/Logging_2182/kartor_geotiff/A 40819-2026 georefererad karta.tif", "A 40819-2026")</f>
        <v/>
      </c>
      <c r="AA633">
        <f>HYPERLINK("https://klasma.github.io/Logging_2182/klagomål/A 40819-2026 FSC-klagomål.docx", "A 40819-2026")</f>
        <v/>
      </c>
      <c r="AB633">
        <f>HYPERLINK("https://klasma.github.io/Logging_2182/klagomålsmail/A 40819-2026 FSC-klagomål mail.docx", "A 40819-2026")</f>
        <v/>
      </c>
      <c r="AC633">
        <f>HYPERLINK("https://klasma.github.io/Logging_2182/tillsyn/A 40819-2026 tillsynsbegäran.docx", "A 40819-2026")</f>
        <v/>
      </c>
      <c r="AD633">
        <f>HYPERLINK("https://klasma.github.io/Logging_2182/tillsynsmail/A 40819-2026 tillsynsbegäran mail.docx", "A 40819-2026")</f>
        <v/>
      </c>
    </row>
    <row r="634" ht="15" customHeight="1">
      <c r="A634" t="inlineStr">
        <is>
          <t>A 15895-2026</t>
        </is>
      </c>
      <c r="B634" t="inlineStr">
        <is>
          <t>avverkningsanmälan</t>
        </is>
      </c>
      <c r="C634" t="inlineStr">
        <is>
          <t>Föryngringsavverkning</t>
        </is>
      </c>
      <c r="D634" s="1" t="n">
        <v>46107</v>
      </c>
      <c r="E634" s="1" t="n">
        <v>46326</v>
      </c>
      <c r="F634" t="inlineStr">
        <is>
          <t>GÄVLEBORGS LÄN</t>
        </is>
      </c>
      <c r="G634" t="inlineStr">
        <is>
          <t>SANDVIKEN</t>
        </is>
      </c>
      <c r="H634" t="inlineStr">
        <is>
          <t>Bergvik skog öst AB</t>
        </is>
      </c>
      <c r="I634" t="n">
        <v>10.2</v>
      </c>
      <c r="J634" t="n">
        <v>2</v>
      </c>
      <c r="K634" t="n">
        <v>0</v>
      </c>
      <c r="L634" t="n">
        <v>0</v>
      </c>
      <c r="M634" t="n">
        <v>0</v>
      </c>
      <c r="N634" t="n">
        <v>0</v>
      </c>
      <c r="O634" t="n">
        <v>0</v>
      </c>
      <c r="P634" t="n">
        <v>0</v>
      </c>
      <c r="Q634" t="n">
        <v>0</v>
      </c>
      <c r="R634" t="n">
        <v>0</v>
      </c>
      <c r="S634" t="n">
        <v>2</v>
      </c>
      <c r="T634" t="n">
        <v>2</v>
      </c>
      <c r="U634" t="n">
        <v>2</v>
      </c>
      <c r="V634" s="2" t="inlineStr">
        <is>
          <t>Mattlummer
Revlummer</t>
        </is>
      </c>
      <c r="W634">
        <f>HYPERLINK("https://klasma.github.io/Logging_2181/artfynd/A 15895-2026 artfynd.xlsx", "A 15895-2026")</f>
        <v/>
      </c>
      <c r="X634">
        <f>HYPERLINK("https://klasma.github.io/Logging_2181/kartor/A 15895-2026 karta.png", "A 15895-2026")</f>
        <v/>
      </c>
      <c r="Y634">
        <f>HYPERLINK("https://klasma.github.io/Logging_2181/kartor_geotiff/A 15895-2026 georefererad karta.tif", "A 15895-2026")</f>
        <v/>
      </c>
      <c r="AA634">
        <f>HYPERLINK("https://klasma.github.io/Logging_2181/klagomål/A 15895-2026 FSC-klagomål.docx", "A 15895-2026")</f>
        <v/>
      </c>
      <c r="AB634">
        <f>HYPERLINK("https://klasma.github.io/Logging_2181/klagomålsmail/A 15895-2026 FSC-klagomål mail.docx", "A 15895-2026")</f>
        <v/>
      </c>
      <c r="AC634">
        <f>HYPERLINK("https://klasma.github.io/Logging_2181/tillsyn/A 15895-2026 tillsynsbegäran.docx", "A 15895-2026")</f>
        <v/>
      </c>
      <c r="AD634">
        <f>HYPERLINK("https://klasma.github.io/Logging_2181/tillsynsmail/A 15895-2026 tillsynsbegäran mail.docx", "A 15895-2026")</f>
        <v/>
      </c>
    </row>
    <row r="635" ht="15" customHeight="1">
      <c r="A635" t="inlineStr">
        <is>
          <t>A 27045-2026</t>
        </is>
      </c>
      <c r="B635" t="inlineStr">
        <is>
          <t>avverkningsanmälan</t>
        </is>
      </c>
      <c r="C635" t="inlineStr">
        <is>
          <t>Föryngringsavverkning</t>
        </is>
      </c>
      <c r="D635" s="1" t="n">
        <v>46185</v>
      </c>
      <c r="E635" s="1" t="n">
        <v>46326</v>
      </c>
      <c r="F635" t="inlineStr">
        <is>
          <t>GÄVLEBORGS LÄN</t>
        </is>
      </c>
      <c r="G635" t="inlineStr">
        <is>
          <t>GÄVLE</t>
        </is>
      </c>
      <c r="H635" t="inlineStr">
        <is>
          <t>Bergvik skog öst AB</t>
        </is>
      </c>
      <c r="I635" t="n">
        <v>3.1</v>
      </c>
      <c r="J635" t="n">
        <v>1</v>
      </c>
      <c r="K635" t="n">
        <v>0</v>
      </c>
      <c r="L635" t="n">
        <v>2</v>
      </c>
      <c r="M635" t="n">
        <v>0</v>
      </c>
      <c r="N635" t="n">
        <v>0</v>
      </c>
      <c r="O635" t="n">
        <v>0</v>
      </c>
      <c r="P635" t="n">
        <v>0</v>
      </c>
      <c r="Q635" t="n">
        <v>2</v>
      </c>
      <c r="R635" t="n">
        <v>0</v>
      </c>
      <c r="S635" t="n">
        <v>2</v>
      </c>
      <c r="T635" t="n">
        <v>5</v>
      </c>
      <c r="U635" t="n">
        <v>0</v>
      </c>
      <c r="V635" s="2" t="inlineStr">
        <is>
          <t>Höstlåsbräken
Månlåsbräken</t>
        </is>
      </c>
      <c r="W635">
        <f>HYPERLINK("https://klasma.github.io/Logging_2180/artfynd/A 27045-2026 artfynd.xlsx", "A 27045-2026")</f>
        <v/>
      </c>
      <c r="X635">
        <f>HYPERLINK("https://klasma.github.io/Logging_2180/kartor/A 27045-2026 karta.png", "A 27045-2026")</f>
        <v/>
      </c>
      <c r="Y635">
        <f>HYPERLINK("https://klasma.github.io/Logging_2180/kartor_geotiff/A 27045-2026 georefererad karta.tif", "A 27045-2026")</f>
        <v/>
      </c>
      <c r="AA635">
        <f>HYPERLINK("https://klasma.github.io/Logging_2180/klagomål/A 27045-2026 FSC-klagomål.docx", "A 27045-2026")</f>
        <v/>
      </c>
      <c r="AB635">
        <f>HYPERLINK("https://klasma.github.io/Logging_2180/klagomålsmail/A 27045-2026 FSC-klagomål mail.docx", "A 27045-2026")</f>
        <v/>
      </c>
      <c r="AC635">
        <f>HYPERLINK("https://klasma.github.io/Logging_2180/tillsyn/A 27045-2026 tillsynsbegäran.docx", "A 27045-2026")</f>
        <v/>
      </c>
      <c r="AD635">
        <f>HYPERLINK("https://klasma.github.io/Logging_2180/tillsynsmail/A 27045-2026 tillsynsbegäran mail.docx", "A 27045-2026")</f>
        <v/>
      </c>
    </row>
    <row r="636" ht="15" customHeight="1">
      <c r="A636" t="inlineStr">
        <is>
          <t>A 7733-2026</t>
        </is>
      </c>
      <c r="B636" t="inlineStr">
        <is>
          <t>avverkningsanmälan</t>
        </is>
      </c>
      <c r="C636" t="inlineStr">
        <is>
          <t>Föryngringsavverkning</t>
        </is>
      </c>
      <c r="D636" s="1" t="n">
        <v>46062</v>
      </c>
      <c r="E636" s="1" t="n">
        <v>46326</v>
      </c>
      <c r="F636" t="inlineStr">
        <is>
          <t>GÄVLEBORGS LÄN</t>
        </is>
      </c>
      <c r="G636" t="inlineStr">
        <is>
          <t>SANDVIKEN</t>
        </is>
      </c>
      <c r="I636" t="n">
        <v>6.9</v>
      </c>
      <c r="J636" t="n">
        <v>1</v>
      </c>
      <c r="K636" t="n">
        <v>1</v>
      </c>
      <c r="L636" t="n">
        <v>0</v>
      </c>
      <c r="M636" t="n">
        <v>1</v>
      </c>
      <c r="N636" t="n">
        <v>0</v>
      </c>
      <c r="O636" t="n">
        <v>0</v>
      </c>
      <c r="P636" t="n">
        <v>0</v>
      </c>
      <c r="Q636" t="n">
        <v>1</v>
      </c>
      <c r="R636" t="n">
        <v>1</v>
      </c>
      <c r="S636" t="n">
        <v>2</v>
      </c>
      <c r="T636" t="n">
        <v>2</v>
      </c>
      <c r="U636" t="n">
        <v>0</v>
      </c>
      <c r="V636" s="2" t="inlineStr">
        <is>
          <t>Knärot
Vedticka</t>
        </is>
      </c>
      <c r="W636">
        <f>HYPERLINK("https://klasma.github.io/Logging_2181/artfynd/A 7733-2026 artfynd.xlsx", "A 7733-2026")</f>
        <v/>
      </c>
      <c r="X636">
        <f>HYPERLINK("https://klasma.github.io/Logging_2181/kartor/A 7733-2026 karta.png", "A 7733-2026")</f>
        <v/>
      </c>
      <c r="Y636">
        <f>HYPERLINK("https://klasma.github.io/Logging_2181/kartor_geotiff/A 7733-2026 georefererad karta.tif", "A 7733-2026")</f>
        <v/>
      </c>
      <c r="Z636">
        <f>HYPERLINK("https://klasma.github.io/Logging_2181/knärot/A 7733-2026 karta knärot.png", "A 7733-2026")</f>
        <v/>
      </c>
      <c r="AA636">
        <f>HYPERLINK("https://klasma.github.io/Logging_2181/klagomål/A 7733-2026 FSC-klagomål.docx", "A 7733-2026")</f>
        <v/>
      </c>
      <c r="AB636">
        <f>HYPERLINK("https://klasma.github.io/Logging_2181/klagomålsmail/A 7733-2026 FSC-klagomål mail.docx", "A 7733-2026")</f>
        <v/>
      </c>
      <c r="AC636">
        <f>HYPERLINK("https://klasma.github.io/Logging_2181/tillsyn/A 7733-2026 tillsynsbegäran.docx", "A 7733-2026")</f>
        <v/>
      </c>
      <c r="AD636">
        <f>HYPERLINK("https://klasma.github.io/Logging_2181/tillsynsmail/A 7733-2026 tillsynsbegäran mail.docx", "A 7733-2026")</f>
        <v/>
      </c>
    </row>
    <row r="637" ht="15" customHeight="1">
      <c r="A637" t="inlineStr">
        <is>
          <t>A 14554-2026</t>
        </is>
      </c>
      <c r="B637" t="inlineStr">
        <is>
          <t>avverkningsanmälan</t>
        </is>
      </c>
      <c r="C637" t="inlineStr">
        <is>
          <t>Föryngringsavverkning</t>
        </is>
      </c>
      <c r="D637" s="1" t="n">
        <v>46100</v>
      </c>
      <c r="E637" s="1" t="n">
        <v>46326</v>
      </c>
      <c r="F637" t="inlineStr">
        <is>
          <t>GÄVLEBORGS LÄN</t>
        </is>
      </c>
      <c r="G637" t="inlineStr">
        <is>
          <t>GÄVLE</t>
        </is>
      </c>
      <c r="H637" t="inlineStr">
        <is>
          <t>Övriga statliga verk och myndigheter</t>
        </is>
      </c>
      <c r="I637" t="n">
        <v>6.6</v>
      </c>
      <c r="J637" t="n">
        <v>1</v>
      </c>
      <c r="K637" t="n">
        <v>0</v>
      </c>
      <c r="L637" t="n">
        <v>1</v>
      </c>
      <c r="M637" t="n">
        <v>1</v>
      </c>
      <c r="N637" t="n">
        <v>0</v>
      </c>
      <c r="O637" t="n">
        <v>0</v>
      </c>
      <c r="P637" t="n">
        <v>0</v>
      </c>
      <c r="Q637" t="n">
        <v>2</v>
      </c>
      <c r="R637" t="n">
        <v>1</v>
      </c>
      <c r="S637" t="n">
        <v>2</v>
      </c>
      <c r="T637" t="n">
        <v>127</v>
      </c>
      <c r="U637" t="n">
        <v>6</v>
      </c>
      <c r="V637" s="2" t="inlineStr">
        <is>
          <t>Väddnätfjäril
Sotnätfjäril</t>
        </is>
      </c>
      <c r="W637">
        <f>HYPERLINK("https://klasma.github.io/Logging_2180/artfynd/A 14554-2026 artfynd.xlsx", "A 14554-2026")</f>
        <v/>
      </c>
      <c r="X637">
        <f>HYPERLINK("https://klasma.github.io/Logging_2180/kartor/A 14554-2026 karta.png", "A 14554-2026")</f>
        <v/>
      </c>
      <c r="Y637">
        <f>HYPERLINK("https://klasma.github.io/Logging_2180/kartor_geotiff/A 14554-2026 georefererad karta.tif", "A 14554-2026")</f>
        <v/>
      </c>
      <c r="AA637">
        <f>HYPERLINK("https://klasma.github.io/Logging_2180/klagomål/A 14554-2026 FSC-klagomål.docx", "A 14554-2026")</f>
        <v/>
      </c>
      <c r="AB637">
        <f>HYPERLINK("https://klasma.github.io/Logging_2180/klagomålsmail/A 14554-2026 FSC-klagomål mail.docx", "A 14554-2026")</f>
        <v/>
      </c>
      <c r="AC637">
        <f>HYPERLINK("https://klasma.github.io/Logging_2180/tillsyn/A 14554-2026 tillsynsbegäran.docx", "A 14554-2026")</f>
        <v/>
      </c>
      <c r="AD637">
        <f>HYPERLINK("https://klasma.github.io/Logging_2180/tillsynsmail/A 14554-2026 tillsynsbegäran mail.docx", "A 14554-2026")</f>
        <v/>
      </c>
    </row>
    <row r="638" ht="15" customHeight="1">
      <c r="A638" t="inlineStr">
        <is>
          <t>A 13248-2026</t>
        </is>
      </c>
      <c r="B638" t="inlineStr">
        <is>
          <t>avverkningsanmälan</t>
        </is>
      </c>
      <c r="C638" t="inlineStr">
        <is>
          <t>Föryngringsavverkning</t>
        </is>
      </c>
      <c r="D638" s="1" t="n">
        <v>46093</v>
      </c>
      <c r="E638" s="1" t="n">
        <v>46326</v>
      </c>
      <c r="F638" t="inlineStr">
        <is>
          <t>GÄVLEBORGS LÄN</t>
        </is>
      </c>
      <c r="G638" t="inlineStr">
        <is>
          <t>GÄVLE</t>
        </is>
      </c>
      <c r="H638" t="inlineStr">
        <is>
          <t>Bergvik skog öst AB</t>
        </is>
      </c>
      <c r="I638" t="n">
        <v>2.8</v>
      </c>
      <c r="J638" t="n">
        <v>1</v>
      </c>
      <c r="K638" t="n">
        <v>0</v>
      </c>
      <c r="L638" t="n">
        <v>1</v>
      </c>
      <c r="M638" t="n">
        <v>0</v>
      </c>
      <c r="N638" t="n">
        <v>0</v>
      </c>
      <c r="O638" t="n">
        <v>0</v>
      </c>
      <c r="P638" t="n">
        <v>0</v>
      </c>
      <c r="Q638" t="n">
        <v>1</v>
      </c>
      <c r="R638" t="n">
        <v>0</v>
      </c>
      <c r="S638" t="n">
        <v>2</v>
      </c>
      <c r="T638" t="n">
        <v>2</v>
      </c>
      <c r="U638" t="n">
        <v>0</v>
      </c>
      <c r="V638" s="2" t="inlineStr">
        <is>
          <t>Kattfotslav
Fläcknycklar</t>
        </is>
      </c>
      <c r="W638">
        <f>HYPERLINK("https://klasma.github.io/Logging_2180/artfynd/A 13248-2026 artfynd.xlsx", "A 13248-2026")</f>
        <v/>
      </c>
      <c r="X638">
        <f>HYPERLINK("https://klasma.github.io/Logging_2180/kartor/A 13248-2026 karta.png", "A 13248-2026")</f>
        <v/>
      </c>
      <c r="Y638">
        <f>HYPERLINK("https://klasma.github.io/Logging_2180/kartor_geotiff/A 13248-2026 georefererad karta.tif", "A 13248-2026")</f>
        <v/>
      </c>
      <c r="AA638">
        <f>HYPERLINK("https://klasma.github.io/Logging_2180/klagomål/A 13248-2026 FSC-klagomål.docx", "A 13248-2026")</f>
        <v/>
      </c>
      <c r="AB638">
        <f>HYPERLINK("https://klasma.github.io/Logging_2180/klagomålsmail/A 13248-2026 FSC-klagomål mail.docx", "A 13248-2026")</f>
        <v/>
      </c>
      <c r="AC638">
        <f>HYPERLINK("https://klasma.github.io/Logging_2180/tillsyn/A 13248-2026 tillsynsbegäran.docx", "A 13248-2026")</f>
        <v/>
      </c>
      <c r="AD638">
        <f>HYPERLINK("https://klasma.github.io/Logging_2180/tillsynsmail/A 13248-2026 tillsynsbegäran mail.docx", "A 13248-2026")</f>
        <v/>
      </c>
    </row>
    <row r="639" ht="15" customHeight="1">
      <c r="A639" t="inlineStr">
        <is>
          <t>A 35377-2026</t>
        </is>
      </c>
      <c r="B639" t="inlineStr">
        <is>
          <t>avverkningsanmälan</t>
        </is>
      </c>
      <c r="C639" t="inlineStr">
        <is>
          <t>Föryngringsavverkning</t>
        </is>
      </c>
      <c r="D639" s="1" t="n">
        <v>46261</v>
      </c>
      <c r="E639" s="1" t="n">
        <v>46326</v>
      </c>
      <c r="F639" t="inlineStr">
        <is>
          <t>GÄVLEBORGS LÄN</t>
        </is>
      </c>
      <c r="G639" t="inlineStr">
        <is>
          <t>SANDVIKEN</t>
        </is>
      </c>
      <c r="I639" t="n">
        <v>1.8</v>
      </c>
      <c r="J639" t="n">
        <v>0</v>
      </c>
      <c r="K639" t="n">
        <v>0</v>
      </c>
      <c r="L639" t="n">
        <v>1</v>
      </c>
      <c r="M639" t="n">
        <v>1</v>
      </c>
      <c r="N639" t="n">
        <v>0</v>
      </c>
      <c r="O639" t="n">
        <v>0</v>
      </c>
      <c r="P639" t="n">
        <v>0</v>
      </c>
      <c r="Q639" t="n">
        <v>2</v>
      </c>
      <c r="R639" t="n">
        <v>1</v>
      </c>
      <c r="S639" t="n">
        <v>2</v>
      </c>
      <c r="T639" t="n">
        <v>3</v>
      </c>
      <c r="U639" t="n">
        <v>0</v>
      </c>
      <c r="V639" s="2" t="inlineStr">
        <is>
          <t>Garnlav
Tallticka</t>
        </is>
      </c>
      <c r="W639">
        <f>HYPERLINK("https://klasma.github.io/Logging_2181/artfynd/A 35377-2026 artfynd.xlsx", "A 35377-2026")</f>
        <v/>
      </c>
      <c r="X639">
        <f>HYPERLINK("https://klasma.github.io/Logging_2181/kartor/A 35377-2026 karta.png", "A 35377-2026")</f>
        <v/>
      </c>
      <c r="Y639">
        <f>HYPERLINK("https://klasma.github.io/Logging_2181/kartor_geotiff/A 35377-2026 georefererad karta.tif", "A 35377-2026")</f>
        <v/>
      </c>
      <c r="AA639">
        <f>HYPERLINK("https://klasma.github.io/Logging_2181/klagomål/A 35377-2026 FSC-klagomål.docx", "A 35377-2026")</f>
        <v/>
      </c>
      <c r="AB639">
        <f>HYPERLINK("https://klasma.github.io/Logging_2181/klagomålsmail/A 35377-2026 FSC-klagomål mail.docx", "A 35377-2026")</f>
        <v/>
      </c>
      <c r="AC639">
        <f>HYPERLINK("https://klasma.github.io/Logging_2181/tillsyn/A 35377-2026 tillsynsbegäran.docx", "A 35377-2026")</f>
        <v/>
      </c>
      <c r="AD639">
        <f>HYPERLINK("https://klasma.github.io/Logging_2181/tillsynsmail/A 35377-2026 tillsynsbegäran mail.docx", "A 35377-2026")</f>
        <v/>
      </c>
    </row>
    <row r="640" ht="15" customHeight="1">
      <c r="A640" t="inlineStr">
        <is>
          <t>A 35520-2026</t>
        </is>
      </c>
      <c r="B640" t="inlineStr">
        <is>
          <t>avverkningsanmälan</t>
        </is>
      </c>
      <c r="C640" t="inlineStr">
        <is>
          <t>Föryngringsavverkning</t>
        </is>
      </c>
      <c r="D640" s="1" t="n">
        <v>46262</v>
      </c>
      <c r="E640" s="1" t="n">
        <v>46326</v>
      </c>
      <c r="F640" t="inlineStr">
        <is>
          <t>GÄVLEBORGS LÄN</t>
        </is>
      </c>
      <c r="G640" t="inlineStr">
        <is>
          <t>LJUSDAL</t>
        </is>
      </c>
      <c r="H640" t="inlineStr">
        <is>
          <t>Sveaskog</t>
        </is>
      </c>
      <c r="I640" t="n">
        <v>35.1</v>
      </c>
      <c r="J640" t="n">
        <v>0</v>
      </c>
      <c r="K640" t="n">
        <v>0</v>
      </c>
      <c r="L640" t="n">
        <v>2</v>
      </c>
      <c r="M640" t="n">
        <v>0</v>
      </c>
      <c r="N640" t="n">
        <v>0</v>
      </c>
      <c r="O640" t="n">
        <v>0</v>
      </c>
      <c r="P640" t="n">
        <v>0</v>
      </c>
      <c r="Q640" t="n">
        <v>2</v>
      </c>
      <c r="R640" t="n">
        <v>0</v>
      </c>
      <c r="S640" t="n">
        <v>2</v>
      </c>
      <c r="T640" t="n">
        <v>2</v>
      </c>
      <c r="U640" t="n">
        <v>2</v>
      </c>
      <c r="V640" s="2" t="inlineStr">
        <is>
          <t>Kolflarnlav
Mörk kolflarnlav</t>
        </is>
      </c>
      <c r="W640">
        <f>HYPERLINK("https://klasma.github.io/Logging_2161/artfynd/A 35520-2026 artfynd.xlsx", "A 35520-2026")</f>
        <v/>
      </c>
      <c r="X640">
        <f>HYPERLINK("https://klasma.github.io/Logging_2161/kartor/A 35520-2026 karta.png", "A 35520-2026")</f>
        <v/>
      </c>
      <c r="Y640">
        <f>HYPERLINK("https://klasma.github.io/Logging_2161/kartor_geotiff/A 35520-2026 georefererad karta.tif", "A 35520-2026")</f>
        <v/>
      </c>
      <c r="AA640">
        <f>HYPERLINK("https://klasma.github.io/Logging_2161/klagomål/A 35520-2026 FSC-klagomål.docx", "A 35520-2026")</f>
        <v/>
      </c>
      <c r="AB640">
        <f>HYPERLINK("https://klasma.github.io/Logging_2161/klagomålsmail/A 35520-2026 FSC-klagomål mail.docx", "A 35520-2026")</f>
        <v/>
      </c>
      <c r="AC640">
        <f>HYPERLINK("https://klasma.github.io/Logging_2161/tillsyn/A 35520-2026 tillsynsbegäran.docx", "A 35520-2026")</f>
        <v/>
      </c>
      <c r="AD640">
        <f>HYPERLINK("https://klasma.github.io/Logging_2161/tillsynsmail/A 35520-2026 tillsynsbegäran mail.docx", "A 35520-2026")</f>
        <v/>
      </c>
    </row>
    <row r="641" ht="15" customHeight="1">
      <c r="A641" t="inlineStr">
        <is>
          <t>A 17003-2026</t>
        </is>
      </c>
      <c r="B641" t="inlineStr">
        <is>
          <t>avverkningsanmälan</t>
        </is>
      </c>
      <c r="C641" t="inlineStr">
        <is>
          <t>Föryngringsavverkning</t>
        </is>
      </c>
      <c r="D641" s="1" t="n">
        <v>46114</v>
      </c>
      <c r="E641" s="1" t="n">
        <v>46326</v>
      </c>
      <c r="F641" t="inlineStr">
        <is>
          <t>GÄVLEBORGS LÄN</t>
        </is>
      </c>
      <c r="G641" t="inlineStr">
        <is>
          <t>LJUSDAL</t>
        </is>
      </c>
      <c r="H641" t="inlineStr">
        <is>
          <t>SCA</t>
        </is>
      </c>
      <c r="I641" t="n">
        <v>1.2</v>
      </c>
      <c r="J641" t="n">
        <v>1</v>
      </c>
      <c r="K641" t="n">
        <v>0</v>
      </c>
      <c r="L641" t="n">
        <v>1</v>
      </c>
      <c r="M641" t="n">
        <v>0</v>
      </c>
      <c r="N641" t="n">
        <v>0</v>
      </c>
      <c r="O641" t="n">
        <v>0</v>
      </c>
      <c r="P641" t="n">
        <v>0</v>
      </c>
      <c r="Q641" t="n">
        <v>1</v>
      </c>
      <c r="R641" t="n">
        <v>0</v>
      </c>
      <c r="S641" t="n">
        <v>2</v>
      </c>
      <c r="T641" t="n">
        <v>2</v>
      </c>
      <c r="U641" t="n">
        <v>2</v>
      </c>
      <c r="V641" s="2" t="inlineStr">
        <is>
          <t>Ullticka
Spillkråka</t>
        </is>
      </c>
      <c r="W641">
        <f>HYPERLINK("https://klasma.github.io/Logging_2161/artfynd/A 17003-2026 artfynd.xlsx", "A 17003-2026")</f>
        <v/>
      </c>
      <c r="X641">
        <f>HYPERLINK("https://klasma.github.io/Logging_2161/kartor/A 17003-2026 karta.png", "A 17003-2026")</f>
        <v/>
      </c>
      <c r="Y641">
        <f>HYPERLINK("https://klasma.github.io/Logging_2161/kartor_geotiff/A 17003-2026 georefererad karta.tif", "A 17003-2026")</f>
        <v/>
      </c>
      <c r="AA641">
        <f>HYPERLINK("https://klasma.github.io/Logging_2161/klagomål/A 17003-2026 FSC-klagomål.docx", "A 17003-2026")</f>
        <v/>
      </c>
      <c r="AB641">
        <f>HYPERLINK("https://klasma.github.io/Logging_2161/klagomålsmail/A 17003-2026 FSC-klagomål mail.docx", "A 17003-2026")</f>
        <v/>
      </c>
      <c r="AC641">
        <f>HYPERLINK("https://klasma.github.io/Logging_2161/tillsyn/A 17003-2026 tillsynsbegäran.docx", "A 17003-2026")</f>
        <v/>
      </c>
      <c r="AD641">
        <f>HYPERLINK("https://klasma.github.io/Logging_2161/tillsynsmail/A 17003-2026 tillsynsbegäran mail.docx", "A 17003-2026")</f>
        <v/>
      </c>
      <c r="AE641">
        <f>HYPERLINK("https://klasma.github.io/Logging_2161/fåglar/A 17003-2026 prioriterade fågelarter.docx", "A 17003-2026")</f>
        <v/>
      </c>
    </row>
    <row r="642" ht="15" customHeight="1">
      <c r="A642" t="inlineStr">
        <is>
          <t>A 36660-2026</t>
        </is>
      </c>
      <c r="B642" t="inlineStr">
        <is>
          <t>avverkningsanmälan</t>
        </is>
      </c>
      <c r="C642" t="inlineStr">
        <is>
          <t>Föryngringsavverkning</t>
        </is>
      </c>
      <c r="D642" s="1" t="n">
        <v>46272</v>
      </c>
      <c r="E642" s="1" t="n">
        <v>46326</v>
      </c>
      <c r="F642" t="inlineStr">
        <is>
          <t>GÄVLEBORGS LÄN</t>
        </is>
      </c>
      <c r="G642" t="inlineStr">
        <is>
          <t>OVANÅKER</t>
        </is>
      </c>
      <c r="I642" t="n">
        <v>12.8</v>
      </c>
      <c r="J642" t="n">
        <v>0</v>
      </c>
      <c r="K642" t="n">
        <v>0</v>
      </c>
      <c r="L642" t="n">
        <v>1</v>
      </c>
      <c r="M642" t="n">
        <v>1</v>
      </c>
      <c r="N642" t="n">
        <v>0</v>
      </c>
      <c r="O642" t="n">
        <v>0</v>
      </c>
      <c r="P642" t="n">
        <v>0</v>
      </c>
      <c r="Q642" t="n">
        <v>2</v>
      </c>
      <c r="R642" t="n">
        <v>1</v>
      </c>
      <c r="S642" t="n">
        <v>2</v>
      </c>
      <c r="T642" t="n">
        <v>2</v>
      </c>
      <c r="U642" t="n">
        <v>0</v>
      </c>
      <c r="V642" s="2" t="inlineStr">
        <is>
          <t>Garnlav
Ullticka</t>
        </is>
      </c>
      <c r="W642">
        <f>HYPERLINK("https://klasma.github.io/Logging_2121/artfynd/A 36660-2026 artfynd.xlsx", "A 36660-2026")</f>
        <v/>
      </c>
      <c r="X642">
        <f>HYPERLINK("https://klasma.github.io/Logging_2121/kartor/A 36660-2026 karta.png", "A 36660-2026")</f>
        <v/>
      </c>
      <c r="Y642">
        <f>HYPERLINK("https://klasma.github.io/Logging_2121/kartor_geotiff/A 36660-2026 georefererad karta.tif", "A 36660-2026")</f>
        <v/>
      </c>
      <c r="AA642">
        <f>HYPERLINK("https://klasma.github.io/Logging_2121/klagomål/A 36660-2026 FSC-klagomål.docx", "A 36660-2026")</f>
        <v/>
      </c>
      <c r="AB642">
        <f>HYPERLINK("https://klasma.github.io/Logging_2121/klagomålsmail/A 36660-2026 FSC-klagomål mail.docx", "A 36660-2026")</f>
        <v/>
      </c>
      <c r="AC642">
        <f>HYPERLINK("https://klasma.github.io/Logging_2121/tillsyn/A 36660-2026 tillsynsbegäran.docx", "A 36660-2026")</f>
        <v/>
      </c>
      <c r="AD642">
        <f>HYPERLINK("https://klasma.github.io/Logging_2121/tillsynsmail/A 36660-2026 tillsynsbegäran mail.docx", "A 36660-2026")</f>
        <v/>
      </c>
    </row>
    <row r="643" ht="15" customHeight="1">
      <c r="A643" t="inlineStr">
        <is>
          <t>A 36604-2026</t>
        </is>
      </c>
      <c r="B643" t="inlineStr">
        <is>
          <t>avverkningsanmälan</t>
        </is>
      </c>
      <c r="C643" t="inlineStr">
        <is>
          <t>Föryngringsavverkning</t>
        </is>
      </c>
      <c r="D643" s="1" t="n">
        <v>46269</v>
      </c>
      <c r="E643" s="1" t="n">
        <v>46326</v>
      </c>
      <c r="F643" t="inlineStr">
        <is>
          <t>GÄVLEBORGS LÄN</t>
        </is>
      </c>
      <c r="G643" t="inlineStr">
        <is>
          <t>LJUSDAL</t>
        </is>
      </c>
      <c r="H643" t="inlineStr">
        <is>
          <t>Sveaskog</t>
        </is>
      </c>
      <c r="I643" t="n">
        <v>4.5</v>
      </c>
      <c r="J643" t="n">
        <v>1</v>
      </c>
      <c r="K643" t="n">
        <v>1</v>
      </c>
      <c r="L643" t="n">
        <v>1</v>
      </c>
      <c r="M643" t="n">
        <v>0</v>
      </c>
      <c r="N643" t="n">
        <v>0</v>
      </c>
      <c r="O643" t="n">
        <v>0</v>
      </c>
      <c r="P643" t="n">
        <v>0</v>
      </c>
      <c r="Q643" t="n">
        <v>1</v>
      </c>
      <c r="R643" t="n">
        <v>0</v>
      </c>
      <c r="S643" t="n">
        <v>2</v>
      </c>
      <c r="T643" t="n">
        <v>2</v>
      </c>
      <c r="U643" t="n">
        <v>2</v>
      </c>
      <c r="V643" s="2" t="inlineStr">
        <is>
          <t>Lunglav
Plattlummer</t>
        </is>
      </c>
      <c r="W643">
        <f>HYPERLINK("https://klasma.github.io/Logging_2161/artfynd/A 36604-2026 artfynd.xlsx", "A 36604-2026")</f>
        <v/>
      </c>
      <c r="X643">
        <f>HYPERLINK("https://klasma.github.io/Logging_2161/kartor/A 36604-2026 karta.png", "A 36604-2026")</f>
        <v/>
      </c>
      <c r="Y643">
        <f>HYPERLINK("https://klasma.github.io/Logging_2161/kartor_geotiff/A 36604-2026 georefererad karta.tif", "A 36604-2026")</f>
        <v/>
      </c>
      <c r="AA643">
        <f>HYPERLINK("https://klasma.github.io/Logging_2161/klagomål/A 36604-2026 FSC-klagomål.docx", "A 36604-2026")</f>
        <v/>
      </c>
      <c r="AB643">
        <f>HYPERLINK("https://klasma.github.io/Logging_2161/klagomålsmail/A 36604-2026 FSC-klagomål mail.docx", "A 36604-2026")</f>
        <v/>
      </c>
      <c r="AC643">
        <f>HYPERLINK("https://klasma.github.io/Logging_2161/tillsyn/A 36604-2026 tillsynsbegäran.docx", "A 36604-2026")</f>
        <v/>
      </c>
      <c r="AD643">
        <f>HYPERLINK("https://klasma.github.io/Logging_2161/tillsynsmail/A 36604-2026 tillsynsbegäran mail.docx", "A 36604-2026")</f>
        <v/>
      </c>
    </row>
    <row r="644" ht="15" customHeight="1">
      <c r="A644" t="inlineStr">
        <is>
          <t>A 36472-2026</t>
        </is>
      </c>
      <c r="B644" t="inlineStr">
        <is>
          <t>avverkningsanmälan</t>
        </is>
      </c>
      <c r="C644" t="inlineStr">
        <is>
          <t>Föryngringsavverkning</t>
        </is>
      </c>
      <c r="D644" s="1" t="n">
        <v>46269</v>
      </c>
      <c r="E644" s="1" t="n">
        <v>46326</v>
      </c>
      <c r="F644" t="inlineStr">
        <is>
          <t>GÄVLEBORGS LÄN</t>
        </is>
      </c>
      <c r="G644" t="inlineStr">
        <is>
          <t>LJUSDAL</t>
        </is>
      </c>
      <c r="H644" t="inlineStr">
        <is>
          <t>Sveaskog</t>
        </is>
      </c>
      <c r="I644" t="n">
        <v>11</v>
      </c>
      <c r="J644" t="n">
        <v>0</v>
      </c>
      <c r="K644" t="n">
        <v>0</v>
      </c>
      <c r="L644" t="n">
        <v>2</v>
      </c>
      <c r="M644" t="n">
        <v>0</v>
      </c>
      <c r="N644" t="n">
        <v>0</v>
      </c>
      <c r="O644" t="n">
        <v>0</v>
      </c>
      <c r="P644" t="n">
        <v>0</v>
      </c>
      <c r="Q644" t="n">
        <v>2</v>
      </c>
      <c r="R644" t="n">
        <v>0</v>
      </c>
      <c r="S644" t="n">
        <v>2</v>
      </c>
      <c r="T644" t="n">
        <v>2</v>
      </c>
      <c r="U644" t="n">
        <v>2</v>
      </c>
      <c r="V644" s="2" t="inlineStr">
        <is>
          <t>Blanksvart spiklav
Kolflarnlav</t>
        </is>
      </c>
      <c r="W644">
        <f>HYPERLINK("https://klasma.github.io/Logging_2161/artfynd/A 36472-2026 artfynd.xlsx", "A 36472-2026")</f>
        <v/>
      </c>
      <c r="X644">
        <f>HYPERLINK("https://klasma.github.io/Logging_2161/kartor/A 36472-2026 karta.png", "A 36472-2026")</f>
        <v/>
      </c>
      <c r="Y644">
        <f>HYPERLINK("https://klasma.github.io/Logging_2161/kartor_geotiff/A 36472-2026 georefererad karta.tif", "A 36472-2026")</f>
        <v/>
      </c>
      <c r="AA644">
        <f>HYPERLINK("https://klasma.github.io/Logging_2161/klagomål/A 36472-2026 FSC-klagomål.docx", "A 36472-2026")</f>
        <v/>
      </c>
      <c r="AB644">
        <f>HYPERLINK("https://klasma.github.io/Logging_2161/klagomålsmail/A 36472-2026 FSC-klagomål mail.docx", "A 36472-2026")</f>
        <v/>
      </c>
      <c r="AC644">
        <f>HYPERLINK("https://klasma.github.io/Logging_2161/tillsyn/A 36472-2026 tillsynsbegäran.docx", "A 36472-2026")</f>
        <v/>
      </c>
      <c r="AD644">
        <f>HYPERLINK("https://klasma.github.io/Logging_2161/tillsynsmail/A 36472-2026 tillsynsbegäran mail.docx", "A 36472-2026")</f>
        <v/>
      </c>
    </row>
    <row r="645" ht="15" customHeight="1">
      <c r="A645" t="inlineStr">
        <is>
          <t>A 10623-2025</t>
        </is>
      </c>
      <c r="B645" t="inlineStr">
        <is>
          <t>avverkningsanmälan</t>
        </is>
      </c>
      <c r="C645" t="inlineStr">
        <is>
          <t>Föryngringsavverkning</t>
        </is>
      </c>
      <c r="D645" s="1" t="n">
        <v>45721</v>
      </c>
      <c r="E645" s="1" t="n">
        <v>46326</v>
      </c>
      <c r="F645" t="inlineStr">
        <is>
          <t>GÄVLEBORGS LÄN</t>
        </is>
      </c>
      <c r="G645" t="inlineStr">
        <is>
          <t>SANDVIKEN</t>
        </is>
      </c>
      <c r="H645" t="inlineStr">
        <is>
          <t>Bergvik skog öst AB</t>
        </is>
      </c>
      <c r="I645" t="n">
        <v>4.6</v>
      </c>
      <c r="J645" t="n">
        <v>2</v>
      </c>
      <c r="K645" t="n">
        <v>0</v>
      </c>
      <c r="L645" t="n">
        <v>0</v>
      </c>
      <c r="M645" t="n">
        <v>1</v>
      </c>
      <c r="N645" t="n">
        <v>0</v>
      </c>
      <c r="O645" t="n">
        <v>0</v>
      </c>
      <c r="P645" t="n">
        <v>0</v>
      </c>
      <c r="Q645" t="n">
        <v>1</v>
      </c>
      <c r="R645" t="n">
        <v>1</v>
      </c>
      <c r="S645" t="n">
        <v>2</v>
      </c>
      <c r="T645" t="n">
        <v>7</v>
      </c>
      <c r="U645" t="n">
        <v>7</v>
      </c>
      <c r="V645" s="2" t="inlineStr">
        <is>
          <t>Knärot
Revlummer</t>
        </is>
      </c>
      <c r="W645">
        <f>HYPERLINK("https://klasma.github.io/Logging_2181/artfynd/A 10623-2025 artfynd.xlsx", "A 10623-2025")</f>
        <v/>
      </c>
      <c r="X645">
        <f>HYPERLINK("https://klasma.github.io/Logging_2181/kartor/A 10623-2025 karta.png", "A 10623-2025")</f>
        <v/>
      </c>
      <c r="Y645">
        <f>HYPERLINK("https://klasma.github.io/Logging_2181/kartor_geotiff/A 10623-2025 georefererad karta.tif", "A 10623-2025")</f>
        <v/>
      </c>
      <c r="Z645">
        <f>HYPERLINK("https://klasma.github.io/Logging_2181/knärot/A 10623-2025 karta knärot.png", "A 10623-2025")</f>
        <v/>
      </c>
      <c r="AA645">
        <f>HYPERLINK("https://klasma.github.io/Logging_2181/klagomål/A 10623-2025 FSC-klagomål.docx", "A 10623-2025")</f>
        <v/>
      </c>
      <c r="AB645">
        <f>HYPERLINK("https://klasma.github.io/Logging_2181/klagomålsmail/A 10623-2025 FSC-klagomål mail.docx", "A 10623-2025")</f>
        <v/>
      </c>
      <c r="AC645">
        <f>HYPERLINK("https://klasma.github.io/Logging_2181/tillsyn/A 10623-2025 tillsynsbegäran.docx", "A 10623-2025")</f>
        <v/>
      </c>
      <c r="AD645">
        <f>HYPERLINK("https://klasma.github.io/Logging_2181/tillsynsmail/A 10623-2025 tillsynsbegäran mail.docx", "A 10623-2025")</f>
        <v/>
      </c>
    </row>
    <row r="646" ht="15" customHeight="1">
      <c r="A646" t="inlineStr">
        <is>
          <t>A 22149-2026</t>
        </is>
      </c>
      <c r="B646" t="inlineStr">
        <is>
          <t>avverkningsanmälan</t>
        </is>
      </c>
      <c r="C646" t="inlineStr">
        <is>
          <t>Föryngringsavverkning</t>
        </is>
      </c>
      <c r="D646" s="1" t="n">
        <v>46153</v>
      </c>
      <c r="E646" s="1" t="n">
        <v>46326</v>
      </c>
      <c r="F646" t="inlineStr">
        <is>
          <t>GÄVLEBORGS LÄN</t>
        </is>
      </c>
      <c r="G646" t="inlineStr">
        <is>
          <t>GÄVLE</t>
        </is>
      </c>
      <c r="H646" t="inlineStr">
        <is>
          <t>Bergvik skog öst AB</t>
        </is>
      </c>
      <c r="I646" t="n">
        <v>2</v>
      </c>
      <c r="J646" t="n">
        <v>0</v>
      </c>
      <c r="K646" t="n">
        <v>1</v>
      </c>
      <c r="L646" t="n">
        <v>1</v>
      </c>
      <c r="M646" t="n">
        <v>0</v>
      </c>
      <c r="N646" t="n">
        <v>0</v>
      </c>
      <c r="O646" t="n">
        <v>0</v>
      </c>
      <c r="P646" t="n">
        <v>0</v>
      </c>
      <c r="Q646" t="n">
        <v>1</v>
      </c>
      <c r="R646" t="n">
        <v>0</v>
      </c>
      <c r="S646" t="n">
        <v>2</v>
      </c>
      <c r="T646" t="n">
        <v>3</v>
      </c>
      <c r="U646" t="n">
        <v>0</v>
      </c>
      <c r="V646" s="2" t="inlineStr">
        <is>
          <t>Vedtrappmossa
Rödgul trumpetsvamp</t>
        </is>
      </c>
      <c r="W646">
        <f>HYPERLINK("https://klasma.github.io/Logging_2180/artfynd/A 22149-2026 artfynd.xlsx", "A 22149-2026")</f>
        <v/>
      </c>
      <c r="X646">
        <f>HYPERLINK("https://klasma.github.io/Logging_2180/kartor/A 22149-2026 karta.png", "A 22149-2026")</f>
        <v/>
      </c>
      <c r="Y646">
        <f>HYPERLINK("https://klasma.github.io/Logging_2180/kartor_geotiff/A 22149-2026 georefererad karta.tif", "A 22149-2026")</f>
        <v/>
      </c>
      <c r="AA646">
        <f>HYPERLINK("https://klasma.github.io/Logging_2180/klagomål/A 22149-2026 FSC-klagomål.docx", "A 22149-2026")</f>
        <v/>
      </c>
      <c r="AB646">
        <f>HYPERLINK("https://klasma.github.io/Logging_2180/klagomålsmail/A 22149-2026 FSC-klagomål mail.docx", "A 22149-2026")</f>
        <v/>
      </c>
      <c r="AC646">
        <f>HYPERLINK("https://klasma.github.io/Logging_2180/tillsyn/A 22149-2026 tillsynsbegäran.docx", "A 22149-2026")</f>
        <v/>
      </c>
      <c r="AD646">
        <f>HYPERLINK("https://klasma.github.io/Logging_2180/tillsynsmail/A 22149-2026 tillsynsbegäran mail.docx", "A 22149-2026")</f>
        <v/>
      </c>
    </row>
    <row r="647" ht="15" customHeight="1">
      <c r="A647" t="inlineStr">
        <is>
          <t>A 38046-2026</t>
        </is>
      </c>
      <c r="B647" t="inlineStr">
        <is>
          <t>avverkningsanmälan</t>
        </is>
      </c>
      <c r="C647" t="inlineStr">
        <is>
          <t>Föryngringsavverkning</t>
        </is>
      </c>
      <c r="D647" s="1" t="n">
        <v>46280</v>
      </c>
      <c r="E647" s="1" t="n">
        <v>46326</v>
      </c>
      <c r="F647" t="inlineStr">
        <is>
          <t>GÄVLEBORGS LÄN</t>
        </is>
      </c>
      <c r="G647" t="inlineStr">
        <is>
          <t>GÄVLE</t>
        </is>
      </c>
      <c r="H647" t="inlineStr">
        <is>
          <t>Bergvik skog öst AB</t>
        </is>
      </c>
      <c r="I647" t="n">
        <v>4.3</v>
      </c>
      <c r="J647" t="n">
        <v>1</v>
      </c>
      <c r="K647" t="n">
        <v>0</v>
      </c>
      <c r="L647" t="n">
        <v>0</v>
      </c>
      <c r="M647" t="n">
        <v>2</v>
      </c>
      <c r="N647" t="n">
        <v>0</v>
      </c>
      <c r="O647" t="n">
        <v>0</v>
      </c>
      <c r="P647" t="n">
        <v>0</v>
      </c>
      <c r="Q647" t="n">
        <v>2</v>
      </c>
      <c r="R647" t="n">
        <v>2</v>
      </c>
      <c r="S647" t="n">
        <v>2</v>
      </c>
      <c r="T647" t="n">
        <v>2</v>
      </c>
      <c r="U647" t="n">
        <v>0</v>
      </c>
      <c r="V647" s="2" t="inlineStr">
        <is>
          <t>Garnlav
Knärot</t>
        </is>
      </c>
      <c r="W647">
        <f>HYPERLINK("https://klasma.github.io/Logging_2180/artfynd/A 38046-2026 artfynd.xlsx", "A 38046-2026")</f>
        <v/>
      </c>
      <c r="X647">
        <f>HYPERLINK("https://klasma.github.io/Logging_2180/kartor/A 38046-2026 karta.png", "A 38046-2026")</f>
        <v/>
      </c>
      <c r="Y647">
        <f>HYPERLINK("https://klasma.github.io/Logging_2180/kartor_geotiff/A 38046-2026 georefererad karta.tif", "A 38046-2026")</f>
        <v/>
      </c>
      <c r="Z647">
        <f>HYPERLINK("https://klasma.github.io/Logging_2180/knärot/A 38046-2026 karta knärot.png", "A 38046-2026")</f>
        <v/>
      </c>
      <c r="AA647">
        <f>HYPERLINK("https://klasma.github.io/Logging_2180/klagomål/A 38046-2026 FSC-klagomål.docx", "A 38046-2026")</f>
        <v/>
      </c>
      <c r="AB647">
        <f>HYPERLINK("https://klasma.github.io/Logging_2180/klagomålsmail/A 38046-2026 FSC-klagomål mail.docx", "A 38046-2026")</f>
        <v/>
      </c>
      <c r="AC647">
        <f>HYPERLINK("https://klasma.github.io/Logging_2180/tillsyn/A 38046-2026 tillsynsbegäran.docx", "A 38046-2026")</f>
        <v/>
      </c>
      <c r="AD647">
        <f>HYPERLINK("https://klasma.github.io/Logging_2180/tillsynsmail/A 38046-2026 tillsynsbegäran mail.docx", "A 38046-2026")</f>
        <v/>
      </c>
    </row>
    <row r="648" ht="15" customHeight="1">
      <c r="A648" t="inlineStr">
        <is>
          <t>A 45255-2026</t>
        </is>
      </c>
      <c r="B648" t="inlineStr">
        <is>
          <t>avverkningsanmälan</t>
        </is>
      </c>
      <c r="C648" t="inlineStr">
        <is>
          <t>Föryngringsavverkning</t>
        </is>
      </c>
      <c r="D648" s="1" t="n">
        <v>46325</v>
      </c>
      <c r="E648" s="1" t="n">
        <v>46326</v>
      </c>
      <c r="F648" t="inlineStr">
        <is>
          <t>GÄVLEBORGS LÄN</t>
        </is>
      </c>
      <c r="G648" t="inlineStr">
        <is>
          <t>HUDIKSVALL</t>
        </is>
      </c>
      <c r="H648" t="inlineStr">
        <is>
          <t>Holmen skog AB</t>
        </is>
      </c>
      <c r="I648" t="n">
        <v>0.8</v>
      </c>
      <c r="J648" t="n">
        <v>0</v>
      </c>
      <c r="K648" t="n">
        <v>1</v>
      </c>
      <c r="L648" t="n">
        <v>1</v>
      </c>
      <c r="M648" t="n">
        <v>0</v>
      </c>
      <c r="N648" t="n">
        <v>0</v>
      </c>
      <c r="O648" t="n">
        <v>0</v>
      </c>
      <c r="P648" t="n">
        <v>0</v>
      </c>
      <c r="Q648" t="n">
        <v>1</v>
      </c>
      <c r="R648" t="n">
        <v>0</v>
      </c>
      <c r="S648" t="n">
        <v>2</v>
      </c>
      <c r="T648" t="n">
        <v>2</v>
      </c>
      <c r="U648" t="n">
        <v>0</v>
      </c>
      <c r="V648" s="2" t="inlineStr">
        <is>
          <t>Kattfotslav
Vedticka</t>
        </is>
      </c>
      <c r="W648">
        <f>HYPERLINK("https://klasma.github.io/Logging_2184/artfynd/A 45255-2026 artfynd.xlsx", "A 45255-2026")</f>
        <v/>
      </c>
      <c r="X648">
        <f>HYPERLINK("https://klasma.github.io/Logging_2184/kartor/A 45255-2026 karta.png", "A 45255-2026")</f>
        <v/>
      </c>
      <c r="Y648">
        <f>HYPERLINK("https://klasma.github.io/Logging_2184/kartor_geotiff/A 45255-2026 georefererad karta.tif", "A 45255-2026")</f>
        <v/>
      </c>
      <c r="AA648">
        <f>HYPERLINK("https://klasma.github.io/Logging_2184/klagomål/A 45255-2026 FSC-klagomål.docx", "A 45255-2026")</f>
        <v/>
      </c>
      <c r="AB648">
        <f>HYPERLINK("https://klasma.github.io/Logging_2184/klagomålsmail/A 45255-2026 FSC-klagomål mail.docx", "A 45255-2026")</f>
        <v/>
      </c>
      <c r="AC648">
        <f>HYPERLINK("https://klasma.github.io/Logging_2184/tillsyn/A 45255-2026 tillsynsbegäran.docx", "A 45255-2026")</f>
        <v/>
      </c>
      <c r="AD648">
        <f>HYPERLINK("https://klasma.github.io/Logging_2184/tillsynsmail/A 45255-2026 tillsynsbegäran mail.docx", "A 45255-2026")</f>
        <v/>
      </c>
    </row>
    <row r="649" ht="15" customHeight="1">
      <c r="A649" t="inlineStr">
        <is>
          <t>A 38232-2026</t>
        </is>
      </c>
      <c r="B649" t="inlineStr">
        <is>
          <t>avverkningsanmälan</t>
        </is>
      </c>
      <c r="C649" t="inlineStr">
        <is>
          <t>Föryngringsavverkning</t>
        </is>
      </c>
      <c r="D649" s="1" t="n">
        <v>46281</v>
      </c>
      <c r="E649" s="1" t="n">
        <v>46326</v>
      </c>
      <c r="F649" t="inlineStr">
        <is>
          <t>GÄVLEBORGS LÄN</t>
        </is>
      </c>
      <c r="G649" t="inlineStr">
        <is>
          <t>HUDIKSVALL</t>
        </is>
      </c>
      <c r="I649" t="n">
        <v>0.6</v>
      </c>
      <c r="J649" t="n">
        <v>0</v>
      </c>
      <c r="K649" t="n">
        <v>1</v>
      </c>
      <c r="L649" t="n">
        <v>1</v>
      </c>
      <c r="M649" t="n">
        <v>0</v>
      </c>
      <c r="N649" t="n">
        <v>0</v>
      </c>
      <c r="O649" t="n">
        <v>0</v>
      </c>
      <c r="P649" t="n">
        <v>0</v>
      </c>
      <c r="Q649" t="n">
        <v>1</v>
      </c>
      <c r="R649" t="n">
        <v>0</v>
      </c>
      <c r="S649" t="n">
        <v>2</v>
      </c>
      <c r="T649" t="n">
        <v>2</v>
      </c>
      <c r="U649" t="n">
        <v>0</v>
      </c>
      <c r="V649" s="2" t="inlineStr">
        <is>
          <t>Ullticka
Stor aspticka</t>
        </is>
      </c>
      <c r="W649">
        <f>HYPERLINK("https://klasma.github.io/Logging_2184/artfynd/A 38232-2026 artfynd.xlsx", "A 38232-2026")</f>
        <v/>
      </c>
      <c r="X649">
        <f>HYPERLINK("https://klasma.github.io/Logging_2184/kartor/A 38232-2026 karta.png", "A 38232-2026")</f>
        <v/>
      </c>
      <c r="Y649">
        <f>HYPERLINK("https://klasma.github.io/Logging_2184/kartor_geotiff/A 38232-2026 georefererad karta.tif", "A 38232-2026")</f>
        <v/>
      </c>
      <c r="AA649">
        <f>HYPERLINK("https://klasma.github.io/Logging_2184/klagomål/A 38232-2026 FSC-klagomål.docx", "A 38232-2026")</f>
        <v/>
      </c>
      <c r="AB649">
        <f>HYPERLINK("https://klasma.github.io/Logging_2184/klagomålsmail/A 38232-2026 FSC-klagomål mail.docx", "A 38232-2026")</f>
        <v/>
      </c>
      <c r="AC649">
        <f>HYPERLINK("https://klasma.github.io/Logging_2184/tillsyn/A 38232-2026 tillsynsbegäran.docx", "A 38232-2026")</f>
        <v/>
      </c>
      <c r="AD649">
        <f>HYPERLINK("https://klasma.github.io/Logging_2184/tillsynsmail/A 38232-2026 tillsynsbegäran mail.docx", "A 38232-2026")</f>
        <v/>
      </c>
    </row>
    <row r="650" ht="15" customHeight="1">
      <c r="A650" t="inlineStr">
        <is>
          <t>A 45100-2026</t>
        </is>
      </c>
      <c r="B650" t="inlineStr">
        <is>
          <t>avverkningsanmälan</t>
        </is>
      </c>
      <c r="C650" t="inlineStr">
        <is>
          <t>Föryngringsavverkning</t>
        </is>
      </c>
      <c r="D650" s="1" t="n">
        <v>46324</v>
      </c>
      <c r="E650" s="1" t="n">
        <v>46326</v>
      </c>
      <c r="F650" t="inlineStr">
        <is>
          <t>GÄVLEBORGS LÄN</t>
        </is>
      </c>
      <c r="G650" t="inlineStr">
        <is>
          <t>SANDVIKEN</t>
        </is>
      </c>
      <c r="I650" t="n">
        <v>5.2</v>
      </c>
      <c r="J650" t="n">
        <v>2</v>
      </c>
      <c r="K650" t="n">
        <v>0</v>
      </c>
      <c r="L650" t="n">
        <v>1</v>
      </c>
      <c r="M650" t="n">
        <v>0</v>
      </c>
      <c r="N650" t="n">
        <v>0</v>
      </c>
      <c r="O650" t="n">
        <v>0</v>
      </c>
      <c r="P650" t="n">
        <v>0</v>
      </c>
      <c r="Q650" t="n">
        <v>1</v>
      </c>
      <c r="R650" t="n">
        <v>0</v>
      </c>
      <c r="S650" t="n">
        <v>2</v>
      </c>
      <c r="T650" t="n">
        <v>4</v>
      </c>
      <c r="U650" t="n">
        <v>0</v>
      </c>
      <c r="V650" s="2" t="inlineStr">
        <is>
          <t>Talltita
Spillkråka</t>
        </is>
      </c>
      <c r="W650">
        <f>HYPERLINK("https://klasma.github.io/Logging_2181/artfynd/A 45100-2026 artfynd.xlsx", "A 45100-2026")</f>
        <v/>
      </c>
      <c r="X650">
        <f>HYPERLINK("https://klasma.github.io/Logging_2181/kartor/A 45100-2026 karta.png", "A 45100-2026")</f>
        <v/>
      </c>
      <c r="Y650">
        <f>HYPERLINK("https://klasma.github.io/Logging_2181/kartor_geotiff/A 45100-2026 georefererad karta.tif", "A 45100-2026")</f>
        <v/>
      </c>
      <c r="AA650">
        <f>HYPERLINK("https://klasma.github.io/Logging_2181/klagomål/A 45100-2026 FSC-klagomål.docx", "A 45100-2026")</f>
        <v/>
      </c>
      <c r="AB650">
        <f>HYPERLINK("https://klasma.github.io/Logging_2181/klagomålsmail/A 45100-2026 FSC-klagomål mail.docx", "A 45100-2026")</f>
        <v/>
      </c>
      <c r="AC650">
        <f>HYPERLINK("https://klasma.github.io/Logging_2181/tillsyn/A 45100-2026 tillsynsbegäran.docx", "A 45100-2026")</f>
        <v/>
      </c>
      <c r="AD650">
        <f>HYPERLINK("https://klasma.github.io/Logging_2181/tillsynsmail/A 45100-2026 tillsynsbegäran mail.docx", "A 45100-2026")</f>
        <v/>
      </c>
      <c r="AE650">
        <f>HYPERLINK("https://klasma.github.io/Logging_2181/fåglar/A 45100-2026 prioriterade fågelarter.docx", "A 45100-2026")</f>
        <v/>
      </c>
    </row>
    <row r="651" ht="15" customHeight="1">
      <c r="A651" t="inlineStr">
        <is>
          <t>A 45109-2026</t>
        </is>
      </c>
      <c r="B651" t="inlineStr">
        <is>
          <t>avverkningsanmälan</t>
        </is>
      </c>
      <c r="C651" t="inlineStr">
        <is>
          <t>Föryngringsavverkning</t>
        </is>
      </c>
      <c r="D651" s="1" t="n">
        <v>46324</v>
      </c>
      <c r="E651" s="1" t="n">
        <v>46326</v>
      </c>
      <c r="F651" t="inlineStr">
        <is>
          <t>GÄVLEBORGS LÄN</t>
        </is>
      </c>
      <c r="G651" t="inlineStr">
        <is>
          <t>SANDVIKEN</t>
        </is>
      </c>
      <c r="I651" t="n">
        <v>0.7</v>
      </c>
      <c r="J651" t="n">
        <v>1</v>
      </c>
      <c r="K651" t="n">
        <v>1</v>
      </c>
      <c r="L651" t="n">
        <v>0</v>
      </c>
      <c r="M651" t="n">
        <v>0</v>
      </c>
      <c r="N651" t="n">
        <v>0</v>
      </c>
      <c r="O651" t="n">
        <v>0</v>
      </c>
      <c r="P651" t="n">
        <v>0</v>
      </c>
      <c r="Q651" t="n">
        <v>0</v>
      </c>
      <c r="R651" t="n">
        <v>0</v>
      </c>
      <c r="S651" t="n">
        <v>2</v>
      </c>
      <c r="T651" t="n">
        <v>6</v>
      </c>
      <c r="U651" t="n">
        <v>0</v>
      </c>
      <c r="V651" s="2" t="inlineStr">
        <is>
          <t>Brandticka
Spillkråka</t>
        </is>
      </c>
      <c r="W651">
        <f>HYPERLINK("https://klasma.github.io/Logging_2181/artfynd/A 45109-2026 artfynd.xlsx", "A 45109-2026")</f>
        <v/>
      </c>
      <c r="X651">
        <f>HYPERLINK("https://klasma.github.io/Logging_2181/kartor/A 45109-2026 karta.png", "A 45109-2026")</f>
        <v/>
      </c>
      <c r="Y651">
        <f>HYPERLINK("https://klasma.github.io/Logging_2181/kartor_geotiff/A 45109-2026 georefererad karta.tif", "A 45109-2026")</f>
        <v/>
      </c>
      <c r="Z651">
        <f>HYPERLINK("https://klasma.github.io/Logging_2181/knärot/A 45109-2026 karta knärot.png", "A 45109-2026")</f>
        <v/>
      </c>
      <c r="AA651">
        <f>HYPERLINK("https://klasma.github.io/Logging_2181/klagomål/A 45109-2026 FSC-klagomål.docx", "A 45109-2026")</f>
        <v/>
      </c>
      <c r="AB651">
        <f>HYPERLINK("https://klasma.github.io/Logging_2181/klagomålsmail/A 45109-2026 FSC-klagomål mail.docx", "A 45109-2026")</f>
        <v/>
      </c>
      <c r="AC651">
        <f>HYPERLINK("https://klasma.github.io/Logging_2181/tillsyn/A 45109-2026 tillsynsbegäran.docx", "A 45109-2026")</f>
        <v/>
      </c>
      <c r="AD651">
        <f>HYPERLINK("https://klasma.github.io/Logging_2181/tillsynsmail/A 45109-2026 tillsynsbegäran mail.docx", "A 45109-2026")</f>
        <v/>
      </c>
      <c r="AE651">
        <f>HYPERLINK("https://klasma.github.io/Logging_2181/fåglar/A 45109-2026 prioriterade fågelarter.docx", "A 45109-2026")</f>
        <v/>
      </c>
    </row>
    <row r="652" ht="15" customHeight="1">
      <c r="A652" t="inlineStr">
        <is>
          <t>A 45117-2026</t>
        </is>
      </c>
      <c r="B652" t="inlineStr">
        <is>
          <t>avverkningsanmälan</t>
        </is>
      </c>
      <c r="C652" t="inlineStr">
        <is>
          <t>Avverkning för att bevara och utveckla /försöksver</t>
        </is>
      </c>
      <c r="D652" s="1" t="n">
        <v>46324</v>
      </c>
      <c r="E652" s="1" t="n">
        <v>46326</v>
      </c>
      <c r="F652" t="inlineStr">
        <is>
          <t>GÄVLEBORGS LÄN</t>
        </is>
      </c>
      <c r="G652" t="inlineStr">
        <is>
          <t>NORDANSTIG</t>
        </is>
      </c>
      <c r="H652" t="inlineStr">
        <is>
          <t>Holmen skog AB</t>
        </is>
      </c>
      <c r="I652" t="n">
        <v>1.3</v>
      </c>
      <c r="J652" t="n">
        <v>1</v>
      </c>
      <c r="K652" t="n">
        <v>0</v>
      </c>
      <c r="L652" t="n">
        <v>1</v>
      </c>
      <c r="M652" t="n">
        <v>0</v>
      </c>
      <c r="N652" t="n">
        <v>1</v>
      </c>
      <c r="O652" t="n">
        <v>0</v>
      </c>
      <c r="P652" t="n">
        <v>0</v>
      </c>
      <c r="Q652" t="n">
        <v>2</v>
      </c>
      <c r="R652" t="n">
        <v>1</v>
      </c>
      <c r="S652" t="n">
        <v>2</v>
      </c>
      <c r="T652" t="n">
        <v>2</v>
      </c>
      <c r="U652" t="n">
        <v>0</v>
      </c>
      <c r="V652" s="2" t="inlineStr">
        <is>
          <t>Långskägg
Violettgrå tagellav</t>
        </is>
      </c>
      <c r="W652">
        <f>HYPERLINK("https://klasma.github.io/Logging_2132/artfynd/A 45117-2026 artfynd.xlsx", "A 45117-2026")</f>
        <v/>
      </c>
      <c r="X652">
        <f>HYPERLINK("https://klasma.github.io/Logging_2132/kartor/A 45117-2026 karta.png", "A 45117-2026")</f>
        <v/>
      </c>
      <c r="Y652">
        <f>HYPERLINK("https://klasma.github.io/Logging_2132/kartor_geotiff/A 45117-2026 georefererad karta.tif", "A 45117-2026")</f>
        <v/>
      </c>
      <c r="AA652">
        <f>HYPERLINK("https://klasma.github.io/Logging_2132/klagomål/A 45117-2026 FSC-klagomål.docx", "A 45117-2026")</f>
        <v/>
      </c>
      <c r="AB652">
        <f>HYPERLINK("https://klasma.github.io/Logging_2132/klagomålsmail/A 45117-2026 FSC-klagomål mail.docx", "A 45117-2026")</f>
        <v/>
      </c>
      <c r="AC652">
        <f>HYPERLINK("https://klasma.github.io/Logging_2132/tillsyn/A 45117-2026 tillsynsbegäran.docx", "A 45117-2026")</f>
        <v/>
      </c>
      <c r="AD652">
        <f>HYPERLINK("https://klasma.github.io/Logging_2132/tillsynsmail/A 45117-2026 tillsynsbegäran mail.docx", "A 45117-2026")</f>
        <v/>
      </c>
    </row>
    <row r="653" ht="15" customHeight="1">
      <c r="A653" t="inlineStr">
        <is>
          <t>S 2081-2020</t>
        </is>
      </c>
      <c r="B653" t="inlineStr">
        <is>
          <t>samrådsanmälan</t>
        </is>
      </c>
      <c r="C653" t="inlineStr">
        <is>
          <t>Askåterföring</t>
        </is>
      </c>
      <c r="D653" s="1" t="n">
        <v>44102</v>
      </c>
      <c r="E653" s="1" t="n">
        <v>46326</v>
      </c>
      <c r="F653" t="inlineStr">
        <is>
          <t>GÄVLEBORGS LÄN</t>
        </is>
      </c>
      <c r="G653" t="inlineStr">
        <is>
          <t>HOFORS</t>
        </is>
      </c>
      <c r="H653" t="inlineStr">
        <is>
          <t>Sveaskog</t>
        </is>
      </c>
      <c r="I653" t="n">
        <v>74.7</v>
      </c>
      <c r="J653" t="n">
        <v>2</v>
      </c>
      <c r="K653" t="n">
        <v>1</v>
      </c>
      <c r="L653" t="n">
        <v>0</v>
      </c>
      <c r="M653" t="n">
        <v>0</v>
      </c>
      <c r="N653" t="n">
        <v>0</v>
      </c>
      <c r="O653" t="n">
        <v>0</v>
      </c>
      <c r="P653" t="n">
        <v>0</v>
      </c>
      <c r="Q653" t="n">
        <v>0</v>
      </c>
      <c r="R653" t="n">
        <v>0</v>
      </c>
      <c r="S653" t="n">
        <v>2</v>
      </c>
      <c r="T653" t="n">
        <v>2</v>
      </c>
      <c r="U653" t="n">
        <v>2</v>
      </c>
      <c r="V653" s="2" t="inlineStr">
        <is>
          <t>Skogsknipprot
Fläcknycklar</t>
        </is>
      </c>
      <c r="W653">
        <f>HYPERLINK("https://klasma.github.io/Logging_2104/artfynd/S 2081-2020 artfynd.xlsx", "S 2081-2020")</f>
        <v/>
      </c>
      <c r="X653">
        <f>HYPERLINK("https://klasma.github.io/Logging_2104/kartor/S 2081-2020 karta.png", "S 2081-2020")</f>
        <v/>
      </c>
      <c r="Y653">
        <f>HYPERLINK("https://klasma.github.io/Logging_2104/kartor_geotiff/S 2081-2020 georefererad karta.tif", "S 2081-2020")</f>
        <v/>
      </c>
      <c r="AA653">
        <f>HYPERLINK("https://klasma.github.io/Logging_2104/klagomål/S 2081-2020 FSC-klagomål.docx", "S 2081-2020")</f>
        <v/>
      </c>
      <c r="AB653">
        <f>HYPERLINK("https://klasma.github.io/Logging_2104/klagomålsmail/S 2081-2020 FSC-klagomål mail.docx", "S 2081-2020")</f>
        <v/>
      </c>
      <c r="AC653">
        <f>HYPERLINK("https://klasma.github.io/Logging_2104/tillsyn/S 2081-2020 tillsynsbegäran.docx", "S 2081-2020")</f>
        <v/>
      </c>
      <c r="AD653">
        <f>HYPERLINK("https://klasma.github.io/Logging_2104/tillsynsmail/S 2081-2020 tillsynsbegäran mail.docx", "S 2081-2020")</f>
        <v/>
      </c>
    </row>
    <row r="654" ht="15" customHeight="1">
      <c r="A654" t="inlineStr">
        <is>
          <t>S 2606-2020</t>
        </is>
      </c>
      <c r="B654" t="inlineStr">
        <is>
          <t>samrådsanmälan</t>
        </is>
      </c>
      <c r="C654" t="inlineStr">
        <is>
          <t>Åtgärd i nyckelbiotop</t>
        </is>
      </c>
      <c r="D654" s="1" t="n">
        <v>44169</v>
      </c>
      <c r="E654" s="1" t="n">
        <v>46326</v>
      </c>
      <c r="F654" t="inlineStr">
        <is>
          <t>GÄVLEBORGS LÄN</t>
        </is>
      </c>
      <c r="G654" t="inlineStr">
        <is>
          <t>HOFORS</t>
        </is>
      </c>
      <c r="H654" t="inlineStr">
        <is>
          <t>Sveaskog</t>
        </is>
      </c>
      <c r="I654" t="n">
        <v>3.5</v>
      </c>
      <c r="J654" t="n">
        <v>1</v>
      </c>
      <c r="K654" t="n">
        <v>1</v>
      </c>
      <c r="L654" t="n">
        <v>0</v>
      </c>
      <c r="M654" t="n">
        <v>0</v>
      </c>
      <c r="N654" t="n">
        <v>0</v>
      </c>
      <c r="O654" t="n">
        <v>0</v>
      </c>
      <c r="P654" t="n">
        <v>0</v>
      </c>
      <c r="Q654" t="n">
        <v>0</v>
      </c>
      <c r="R654" t="n">
        <v>0</v>
      </c>
      <c r="S654" t="n">
        <v>2</v>
      </c>
      <c r="T654" t="n">
        <v>2</v>
      </c>
      <c r="U654" t="n">
        <v>1</v>
      </c>
      <c r="V654" s="2" t="inlineStr">
        <is>
          <t>Strutbräken
Blåsippa</t>
        </is>
      </c>
      <c r="W654">
        <f>HYPERLINK("https://klasma.github.io/Logging_2104/artfynd/S 2606-2020 artfynd.xlsx", "S 2606-2020")</f>
        <v/>
      </c>
      <c r="X654">
        <f>HYPERLINK("https://klasma.github.io/Logging_2104/kartor/S 2606-2020 karta.png", "S 2606-2020")</f>
        <v/>
      </c>
      <c r="Y654">
        <f>HYPERLINK("https://klasma.github.io/Logging_2104/kartor_geotiff/S 2606-2020 georefererad karta.tif", "S 2606-2020")</f>
        <v/>
      </c>
      <c r="AA654">
        <f>HYPERLINK("https://klasma.github.io/Logging_2104/klagomål/S 2606-2020 FSC-klagomål.docx", "S 2606-2020")</f>
        <v/>
      </c>
      <c r="AB654">
        <f>HYPERLINK("https://klasma.github.io/Logging_2104/klagomålsmail/S 2606-2020 FSC-klagomål mail.docx", "S 2606-2020")</f>
        <v/>
      </c>
      <c r="AC654">
        <f>HYPERLINK("https://klasma.github.io/Logging_2104/tillsyn/S 2606-2020 tillsynsbegäran.docx", "S 2606-2020")</f>
        <v/>
      </c>
      <c r="AD654">
        <f>HYPERLINK("https://klasma.github.io/Logging_2104/tillsynsmail/S 2606-2020 tillsynsbegäran mail.docx", "S 2606-2020")</f>
        <v/>
      </c>
    </row>
    <row r="655" ht="15" customHeight="1">
      <c r="A655" t="inlineStr">
        <is>
          <t>S 362-2022</t>
        </is>
      </c>
      <c r="B655" t="inlineStr">
        <is>
          <t>samrådsanmälan</t>
        </is>
      </c>
      <c r="C655" t="inlineStr">
        <is>
          <t>Åtgärd i nyckelbiotop</t>
        </is>
      </c>
      <c r="D655" s="1" t="n">
        <v>44582</v>
      </c>
      <c r="E655" s="1" t="n">
        <v>46326</v>
      </c>
      <c r="F655" t="inlineStr">
        <is>
          <t>GÄVLEBORGS LÄN</t>
        </is>
      </c>
      <c r="G655" t="inlineStr">
        <is>
          <t>NORDANSTIG</t>
        </is>
      </c>
      <c r="H655" t="inlineStr">
        <is>
          <t>Naturvårdsverket</t>
        </is>
      </c>
      <c r="I655" t="n">
        <v>0.9</v>
      </c>
      <c r="J655" t="n">
        <v>0</v>
      </c>
      <c r="K655" t="n">
        <v>0</v>
      </c>
      <c r="L655" t="n">
        <v>1</v>
      </c>
      <c r="M655" t="n">
        <v>1</v>
      </c>
      <c r="N655" t="n">
        <v>0</v>
      </c>
      <c r="O655" t="n">
        <v>0</v>
      </c>
      <c r="P655" t="n">
        <v>0</v>
      </c>
      <c r="Q655" t="n">
        <v>2</v>
      </c>
      <c r="R655" t="n">
        <v>1</v>
      </c>
      <c r="S655" t="n">
        <v>2</v>
      </c>
      <c r="T655" t="n">
        <v>2</v>
      </c>
      <c r="U655" t="n">
        <v>0</v>
      </c>
      <c r="V655" s="2" t="inlineStr">
        <is>
          <t>Garnlav
Lunglav</t>
        </is>
      </c>
      <c r="W655">
        <f>HYPERLINK("https://klasma.github.io/Logging_2132/artfynd/S 362-2022 artfynd.xlsx", "S 362-2022")</f>
        <v/>
      </c>
      <c r="X655">
        <f>HYPERLINK("https://klasma.github.io/Logging_2132/kartor/S 362-2022 karta.png", "S 362-2022")</f>
        <v/>
      </c>
      <c r="Y655">
        <f>HYPERLINK("https://klasma.github.io/Logging_2132/kartor_geotiff/S 362-2022 georefererad karta.tif", "S 362-2022")</f>
        <v/>
      </c>
      <c r="AA655">
        <f>HYPERLINK("https://klasma.github.io/Logging_2132/klagomål/S 362-2022 FSC-klagomål.docx", "S 362-2022")</f>
        <v/>
      </c>
      <c r="AB655">
        <f>HYPERLINK("https://klasma.github.io/Logging_2132/klagomålsmail/S 362-2022 FSC-klagomål mail.docx", "S 362-2022")</f>
        <v/>
      </c>
      <c r="AC655">
        <f>HYPERLINK("https://klasma.github.io/Logging_2132/tillsyn/S 362-2022 tillsynsbegäran.docx", "S 362-2022")</f>
        <v/>
      </c>
      <c r="AD655">
        <f>HYPERLINK("https://klasma.github.io/Logging_2132/tillsynsmail/S 362-2022 tillsynsbegäran mail.docx", "S 362-2022")</f>
        <v/>
      </c>
    </row>
    <row r="656" ht="15" customHeight="1">
      <c r="A656" t="inlineStr">
        <is>
          <t>S 14-2024</t>
        </is>
      </c>
      <c r="B656" t="inlineStr">
        <is>
          <t>samrådsanmälan</t>
        </is>
      </c>
      <c r="C656" t="inlineStr">
        <is>
          <t>Skogsgödsling</t>
        </is>
      </c>
      <c r="D656" s="1" t="n">
        <v>45293</v>
      </c>
      <c r="E656" s="1" t="n">
        <v>46326</v>
      </c>
      <c r="F656" t="inlineStr">
        <is>
          <t>GÄVLEBORGS LÄN</t>
        </is>
      </c>
      <c r="G656" t="inlineStr">
        <is>
          <t>SÖDERHAMN</t>
        </is>
      </c>
      <c r="H656" t="inlineStr">
        <is>
          <t>Bergvik skog väst AB</t>
        </is>
      </c>
      <c r="I656" t="n">
        <v>21.8</v>
      </c>
      <c r="J656" t="n">
        <v>0</v>
      </c>
      <c r="K656" t="n">
        <v>1</v>
      </c>
      <c r="L656" t="n">
        <v>1</v>
      </c>
      <c r="M656" t="n">
        <v>0</v>
      </c>
      <c r="N656" t="n">
        <v>0</v>
      </c>
      <c r="O656" t="n">
        <v>0</v>
      </c>
      <c r="P656" t="n">
        <v>0</v>
      </c>
      <c r="Q656" t="n">
        <v>1</v>
      </c>
      <c r="R656" t="n">
        <v>0</v>
      </c>
      <c r="S656" t="n">
        <v>2</v>
      </c>
      <c r="T656" t="n">
        <v>2</v>
      </c>
      <c r="U656" t="n">
        <v>2</v>
      </c>
      <c r="V656" s="2" t="inlineStr">
        <is>
          <t>Vårärt
Svart trolldruva</t>
        </is>
      </c>
      <c r="W656">
        <f>HYPERLINK("https://klasma.github.io/Logging_2182/artfynd/S 14-2024 artfynd.xlsx", "S 14-2024")</f>
        <v/>
      </c>
      <c r="X656">
        <f>HYPERLINK("https://klasma.github.io/Logging_2182/kartor/S 14-2024 karta.png", "S 14-2024")</f>
        <v/>
      </c>
      <c r="Y656">
        <f>HYPERLINK("https://klasma.github.io/Logging_2182/kartor_geotiff/S 14-2024 georefererad karta.tif", "S 14-2024")</f>
        <v/>
      </c>
      <c r="AA656">
        <f>HYPERLINK("https://klasma.github.io/Logging_2182/klagomål/S 14-2024 FSC-klagomål.docx", "S 14-2024")</f>
        <v/>
      </c>
      <c r="AB656">
        <f>HYPERLINK("https://klasma.github.io/Logging_2182/klagomålsmail/S 14-2024 FSC-klagomål mail.docx", "S 14-2024")</f>
        <v/>
      </c>
      <c r="AC656">
        <f>HYPERLINK("https://klasma.github.io/Logging_2182/tillsyn/S 14-2024 tillsynsbegäran.docx", "S 14-2024")</f>
        <v/>
      </c>
      <c r="AD656">
        <f>HYPERLINK("https://klasma.github.io/Logging_2182/tillsynsmail/S 14-2024 tillsynsbegäran mail.docx", "S 14-2024")</f>
        <v/>
      </c>
    </row>
    <row r="657" ht="15" customHeight="1">
      <c r="A657" t="inlineStr">
        <is>
          <t>S 412-2022</t>
        </is>
      </c>
      <c r="B657" t="inlineStr">
        <is>
          <t>samrådsanmälan</t>
        </is>
      </c>
      <c r="C657" t="inlineStr">
        <is>
          <t>Skogsgödsling</t>
        </is>
      </c>
      <c r="D657" s="1" t="n">
        <v>44585</v>
      </c>
      <c r="E657" s="1" t="n">
        <v>46326</v>
      </c>
      <c r="F657" t="inlineStr">
        <is>
          <t>GÄVLEBORGS LÄN</t>
        </is>
      </c>
      <c r="G657" t="inlineStr">
        <is>
          <t>HOFORS</t>
        </is>
      </c>
      <c r="H657" t="inlineStr">
        <is>
          <t>Bergvik skog väst AB</t>
        </is>
      </c>
      <c r="I657" t="n">
        <v>31.3</v>
      </c>
      <c r="J657" t="n">
        <v>2</v>
      </c>
      <c r="K657" t="n">
        <v>0</v>
      </c>
      <c r="L657" t="n">
        <v>0</v>
      </c>
      <c r="M657" t="n">
        <v>0</v>
      </c>
      <c r="N657" t="n">
        <v>1</v>
      </c>
      <c r="O657" t="n">
        <v>0</v>
      </c>
      <c r="P657" t="n">
        <v>0</v>
      </c>
      <c r="Q657" t="n">
        <v>1</v>
      </c>
      <c r="R657" t="n">
        <v>1</v>
      </c>
      <c r="S657" t="n">
        <v>2</v>
      </c>
      <c r="T657" t="n">
        <v>6</v>
      </c>
      <c r="U657" t="n">
        <v>1</v>
      </c>
      <c r="V657" s="2" t="inlineStr">
        <is>
          <t>Mosippa
Grönsiska</t>
        </is>
      </c>
      <c r="W657">
        <f>HYPERLINK("https://klasma.github.io/Logging_2104/artfynd/S 412-2022 artfynd.xlsx", "S 412-2022")</f>
        <v/>
      </c>
      <c r="X657">
        <f>HYPERLINK("https://klasma.github.io/Logging_2104/kartor/S 412-2022 karta.png", "S 412-2022")</f>
        <v/>
      </c>
      <c r="Y657">
        <f>HYPERLINK("https://klasma.github.io/Logging_2104/kartor_geotiff/S 412-2022 georefererad karta.tif", "S 412-2022")</f>
        <v/>
      </c>
      <c r="AA657">
        <f>HYPERLINK("https://klasma.github.io/Logging_2104/klagomål/S 412-2022 FSC-klagomål.docx", "S 412-2022")</f>
        <v/>
      </c>
      <c r="AB657">
        <f>HYPERLINK("https://klasma.github.io/Logging_2104/klagomålsmail/S 412-2022 FSC-klagomål mail.docx", "S 412-2022")</f>
        <v/>
      </c>
      <c r="AC657">
        <f>HYPERLINK("https://klasma.github.io/Logging_2104/tillsyn/S 412-2022 tillsynsbegäran.docx", "S 412-2022")</f>
        <v/>
      </c>
      <c r="AD657">
        <f>HYPERLINK("https://klasma.github.io/Logging_2104/tillsynsmail/S 412-2022 tillsynsbegäran mail.docx", "S 412-2022")</f>
        <v/>
      </c>
    </row>
    <row r="658" ht="15" customHeight="1">
      <c r="A658" t="inlineStr">
        <is>
          <t>S 4018-2023</t>
        </is>
      </c>
      <c r="B658" t="inlineStr">
        <is>
          <t>samrådsanmälan</t>
        </is>
      </c>
      <c r="C658" t="inlineStr">
        <is>
          <t>Skogsgödsling</t>
        </is>
      </c>
      <c r="D658" s="1" t="n">
        <v>45237</v>
      </c>
      <c r="E658" s="1" t="n">
        <v>46326</v>
      </c>
      <c r="F658" t="inlineStr">
        <is>
          <t>GÄVLEBORGS LÄN</t>
        </is>
      </c>
      <c r="G658" t="inlineStr">
        <is>
          <t>HUDIKSVALL</t>
        </is>
      </c>
      <c r="H658" t="inlineStr">
        <is>
          <t>Holmen skog AB</t>
        </is>
      </c>
      <c r="I658" t="n">
        <v>74.59999999999999</v>
      </c>
      <c r="J658" t="n">
        <v>2</v>
      </c>
      <c r="K658" t="n">
        <v>1</v>
      </c>
      <c r="L658" t="n">
        <v>0</v>
      </c>
      <c r="M658" t="n">
        <v>0</v>
      </c>
      <c r="N658" t="n">
        <v>0</v>
      </c>
      <c r="O658" t="n">
        <v>0</v>
      </c>
      <c r="P658" t="n">
        <v>0</v>
      </c>
      <c r="Q658" t="n">
        <v>0</v>
      </c>
      <c r="R658" t="n">
        <v>0</v>
      </c>
      <c r="S658" t="n">
        <v>2</v>
      </c>
      <c r="T658" t="n">
        <v>2</v>
      </c>
      <c r="U658" t="n">
        <v>2</v>
      </c>
      <c r="V658" s="2" t="inlineStr">
        <is>
          <t>Korallrot
Gullviva</t>
        </is>
      </c>
      <c r="W658">
        <f>HYPERLINK("https://klasma.github.io/Logging_2184/artfynd/S 4018-2023 artfynd.xlsx", "S 4018-2023")</f>
        <v/>
      </c>
      <c r="X658">
        <f>HYPERLINK("https://klasma.github.io/Logging_2184/kartor/S 4018-2023 karta.png", "S 4018-2023")</f>
        <v/>
      </c>
      <c r="Y658">
        <f>HYPERLINK("https://klasma.github.io/Logging_2184/kartor_geotiff/S 4018-2023 georefererad karta.tif", "S 4018-2023")</f>
        <v/>
      </c>
      <c r="AA658">
        <f>HYPERLINK("https://klasma.github.io/Logging_2184/klagomål/S 4018-2023 FSC-klagomål.docx", "S 4018-2023")</f>
        <v/>
      </c>
      <c r="AB658">
        <f>HYPERLINK("https://klasma.github.io/Logging_2184/klagomålsmail/S 4018-2023 FSC-klagomål mail.docx", "S 4018-2023")</f>
        <v/>
      </c>
      <c r="AC658">
        <f>HYPERLINK("https://klasma.github.io/Logging_2184/tillsyn/S 4018-2023 tillsynsbegäran.docx", "S 4018-2023")</f>
        <v/>
      </c>
      <c r="AD658">
        <f>HYPERLINK("https://klasma.github.io/Logging_2184/tillsynsmail/S 4018-2023 tillsynsbegäran mail.docx", "S 4018-2023")</f>
        <v/>
      </c>
    </row>
    <row r="659" ht="15" customHeight="1">
      <c r="A659" t="inlineStr">
        <is>
          <t>S 119-2025</t>
        </is>
      </c>
      <c r="B659" t="inlineStr">
        <is>
          <t>samrådsanmälan</t>
        </is>
      </c>
      <c r="C659" t="inlineStr">
        <is>
          <t>Skogsgödsling</t>
        </is>
      </c>
      <c r="D659" s="1" t="n">
        <v>45670</v>
      </c>
      <c r="E659" s="1" t="n">
        <v>46326</v>
      </c>
      <c r="F659" t="inlineStr">
        <is>
          <t>GÄVLEBORGS LÄN</t>
        </is>
      </c>
      <c r="G659" t="inlineStr">
        <is>
          <t>NORDANSTIG</t>
        </is>
      </c>
      <c r="H659" t="inlineStr">
        <is>
          <t>Holmen skog AB</t>
        </is>
      </c>
      <c r="I659" t="n">
        <v>142.1</v>
      </c>
      <c r="J659" t="n">
        <v>1</v>
      </c>
      <c r="K659" t="n">
        <v>0</v>
      </c>
      <c r="L659" t="n">
        <v>1</v>
      </c>
      <c r="M659" t="n">
        <v>0</v>
      </c>
      <c r="N659" t="n">
        <v>0</v>
      </c>
      <c r="O659" t="n">
        <v>0</v>
      </c>
      <c r="P659" t="n">
        <v>0</v>
      </c>
      <c r="Q659" t="n">
        <v>1</v>
      </c>
      <c r="R659" t="n">
        <v>0</v>
      </c>
      <c r="S659" t="n">
        <v>2</v>
      </c>
      <c r="T659" t="n">
        <v>2</v>
      </c>
      <c r="U659" t="n">
        <v>0</v>
      </c>
      <c r="V659" s="2" t="inlineStr">
        <is>
          <t>Skogshare
Orre</t>
        </is>
      </c>
      <c r="W659">
        <f>HYPERLINK("https://klasma.github.io/Logging_2132/artfynd/S 119-2025 artfynd.xlsx", "S 119-2025")</f>
        <v/>
      </c>
      <c r="X659">
        <f>HYPERLINK("https://klasma.github.io/Logging_2132/kartor/S 119-2025 karta.png", "S 119-2025")</f>
        <v/>
      </c>
      <c r="Y659">
        <f>HYPERLINK("https://klasma.github.io/Logging_2132/kartor_geotiff/S 119-2025 georefererad karta.tif", "S 119-2025")</f>
        <v/>
      </c>
      <c r="AA659">
        <f>HYPERLINK("https://klasma.github.io/Logging_2132/klagomål/S 119-2025 FSC-klagomål.docx", "S 119-2025")</f>
        <v/>
      </c>
      <c r="AB659">
        <f>HYPERLINK("https://klasma.github.io/Logging_2132/klagomålsmail/S 119-2025 FSC-klagomål mail.docx", "S 119-2025")</f>
        <v/>
      </c>
      <c r="AC659">
        <f>HYPERLINK("https://klasma.github.io/Logging_2132/tillsyn/S 119-2025 tillsynsbegäran.docx", "S 119-2025")</f>
        <v/>
      </c>
      <c r="AD659">
        <f>HYPERLINK("https://klasma.github.io/Logging_2132/tillsynsmail/S 119-2025 tillsynsbegäran mail.docx", "S 119-2025")</f>
        <v/>
      </c>
      <c r="AE659">
        <f>HYPERLINK("https://klasma.github.io/Logging_2132/fåglar/S 119-2025 prioriterade fågelarter.docx", "S 119-2025")</f>
        <v/>
      </c>
    </row>
    <row r="660" ht="15" customHeight="1">
      <c r="A660" t="inlineStr">
        <is>
          <t>S 113-2025</t>
        </is>
      </c>
      <c r="B660" t="inlineStr">
        <is>
          <t>samrådsanmälan</t>
        </is>
      </c>
      <c r="C660" t="inlineStr">
        <is>
          <t>Skogsgödsling</t>
        </is>
      </c>
      <c r="D660" s="1" t="n">
        <v>45670</v>
      </c>
      <c r="E660" s="1" t="n">
        <v>46326</v>
      </c>
      <c r="F660" t="inlineStr">
        <is>
          <t>GÄVLEBORGS LÄN</t>
        </is>
      </c>
      <c r="G660" t="inlineStr">
        <is>
          <t>HUDIKSVALL</t>
        </is>
      </c>
      <c r="I660" t="n">
        <v>39.1</v>
      </c>
      <c r="J660" t="n">
        <v>0</v>
      </c>
      <c r="K660" t="n">
        <v>0</v>
      </c>
      <c r="L660" t="n">
        <v>1</v>
      </c>
      <c r="M660" t="n">
        <v>1</v>
      </c>
      <c r="N660" t="n">
        <v>0</v>
      </c>
      <c r="O660" t="n">
        <v>0</v>
      </c>
      <c r="P660" t="n">
        <v>0</v>
      </c>
      <c r="Q660" t="n">
        <v>2</v>
      </c>
      <c r="R660" t="n">
        <v>1</v>
      </c>
      <c r="S660" t="n">
        <v>2</v>
      </c>
      <c r="T660" t="n">
        <v>2</v>
      </c>
      <c r="U660" t="n">
        <v>0</v>
      </c>
      <c r="V660" s="2" t="inlineStr">
        <is>
          <t>Garnlav
Orange taggsvamp</t>
        </is>
      </c>
      <c r="W660">
        <f>HYPERLINK("https://klasma.github.io/Logging_2184/artfynd/S 113-2025 artfynd.xlsx", "S 113-2025")</f>
        <v/>
      </c>
      <c r="X660">
        <f>HYPERLINK("https://klasma.github.io/Logging_2184/kartor/S 113-2025 karta.png", "S 113-2025")</f>
        <v/>
      </c>
      <c r="Y660">
        <f>HYPERLINK("https://klasma.github.io/Logging_2184/kartor_geotiff/S 113-2025 georefererad karta.tif", "S 113-2025")</f>
        <v/>
      </c>
      <c r="AA660">
        <f>HYPERLINK("https://klasma.github.io/Logging_2184/klagomål/S 113-2025 FSC-klagomål.docx", "S 113-2025")</f>
        <v/>
      </c>
      <c r="AB660">
        <f>HYPERLINK("https://klasma.github.io/Logging_2184/klagomålsmail/S 113-2025 FSC-klagomål mail.docx", "S 113-2025")</f>
        <v/>
      </c>
      <c r="AC660">
        <f>HYPERLINK("https://klasma.github.io/Logging_2184/tillsyn/S 113-2025 tillsynsbegäran.docx", "S 113-2025")</f>
        <v/>
      </c>
      <c r="AD660">
        <f>HYPERLINK("https://klasma.github.io/Logging_2184/tillsynsmail/S 113-2025 tillsynsbegäran mail.docx", "S 113-2025")</f>
        <v/>
      </c>
    </row>
    <row r="661" ht="15" customHeight="1">
      <c r="A661" t="inlineStr">
        <is>
          <t>S 25-2024</t>
        </is>
      </c>
      <c r="B661" t="inlineStr">
        <is>
          <t>samrådsanmälan</t>
        </is>
      </c>
      <c r="C661" t="inlineStr">
        <is>
          <t>Skogsgödsling</t>
        </is>
      </c>
      <c r="D661" s="1" t="n">
        <v>45293</v>
      </c>
      <c r="E661" s="1" t="n">
        <v>46326</v>
      </c>
      <c r="F661" t="inlineStr">
        <is>
          <t>GÄVLEBORGS LÄN</t>
        </is>
      </c>
      <c r="G661" t="inlineStr">
        <is>
          <t>OVANÅKER</t>
        </is>
      </c>
      <c r="H661" t="inlineStr">
        <is>
          <t>Bergvik skog väst AB</t>
        </is>
      </c>
      <c r="I661" t="n">
        <v>87.7</v>
      </c>
      <c r="J661" t="n">
        <v>0</v>
      </c>
      <c r="K661" t="n">
        <v>2</v>
      </c>
      <c r="L661" t="n">
        <v>0</v>
      </c>
      <c r="M661" t="n">
        <v>0</v>
      </c>
      <c r="N661" t="n">
        <v>0</v>
      </c>
      <c r="O661" t="n">
        <v>0</v>
      </c>
      <c r="P661" t="n">
        <v>0</v>
      </c>
      <c r="Q661" t="n">
        <v>0</v>
      </c>
      <c r="R661" t="n">
        <v>0</v>
      </c>
      <c r="S661" t="n">
        <v>2</v>
      </c>
      <c r="T661" t="n">
        <v>2</v>
      </c>
      <c r="U661" t="n">
        <v>2</v>
      </c>
      <c r="V661" s="2" t="inlineStr">
        <is>
          <t>Dvärghäxört
Svart trolldruva</t>
        </is>
      </c>
      <c r="W661">
        <f>HYPERLINK("https://klasma.github.io/Logging_2121/artfynd/S 25-2024 artfynd.xlsx", "S 25-2024")</f>
        <v/>
      </c>
      <c r="X661">
        <f>HYPERLINK("https://klasma.github.io/Logging_2121/kartor/S 25-2024 karta.png", "S 25-2024")</f>
        <v/>
      </c>
      <c r="Y661">
        <f>HYPERLINK("https://klasma.github.io/Logging_2121/kartor_geotiff/S 25-2024 georefererad karta.tif", "S 25-2024")</f>
        <v/>
      </c>
      <c r="AA661">
        <f>HYPERLINK("https://klasma.github.io/Logging_2121/klagomål/S 25-2024 FSC-klagomål.docx", "S 25-2024")</f>
        <v/>
      </c>
      <c r="AB661">
        <f>HYPERLINK("https://klasma.github.io/Logging_2121/klagomålsmail/S 25-2024 FSC-klagomål mail.docx", "S 25-2024")</f>
        <v/>
      </c>
      <c r="AC661">
        <f>HYPERLINK("https://klasma.github.io/Logging_2121/tillsyn/S 25-2024 tillsynsbegäran.docx", "S 25-2024")</f>
        <v/>
      </c>
      <c r="AD661">
        <f>HYPERLINK("https://klasma.github.io/Logging_2121/tillsynsmail/S 25-2024 tillsynsbegäran mail.docx", "S 25-2024")</f>
        <v/>
      </c>
    </row>
    <row r="662" ht="15" customHeight="1">
      <c r="A662" t="inlineStr">
        <is>
          <t>S 423-2025</t>
        </is>
      </c>
      <c r="B662" t="inlineStr">
        <is>
          <t>samrådsanmälan</t>
        </is>
      </c>
      <c r="C662" t="inlineStr">
        <is>
          <t>Skogsgödsling</t>
        </is>
      </c>
      <c r="D662" s="1" t="n">
        <v>45699</v>
      </c>
      <c r="E662" s="1" t="n">
        <v>46326</v>
      </c>
      <c r="F662" t="inlineStr">
        <is>
          <t>GÄVLEBORGS LÄN</t>
        </is>
      </c>
      <c r="G662" t="inlineStr">
        <is>
          <t>SANDVIKEN</t>
        </is>
      </c>
      <c r="H662" t="inlineStr">
        <is>
          <t>Sveaskog</t>
        </is>
      </c>
      <c r="I662" t="n">
        <v>36.9</v>
      </c>
      <c r="J662" t="n">
        <v>2</v>
      </c>
      <c r="K662" t="n">
        <v>0</v>
      </c>
      <c r="L662" t="n">
        <v>1</v>
      </c>
      <c r="M662" t="n">
        <v>0</v>
      </c>
      <c r="N662" t="n">
        <v>0</v>
      </c>
      <c r="O662" t="n">
        <v>0</v>
      </c>
      <c r="P662" t="n">
        <v>0</v>
      </c>
      <c r="Q662" t="n">
        <v>1</v>
      </c>
      <c r="R662" t="n">
        <v>0</v>
      </c>
      <c r="S662" t="n">
        <v>2</v>
      </c>
      <c r="T662" t="n">
        <v>2</v>
      </c>
      <c r="U662" t="n">
        <v>0</v>
      </c>
      <c r="V662" s="2" t="inlineStr">
        <is>
          <t>Grönsångare
Spillkråka</t>
        </is>
      </c>
      <c r="W662">
        <f>HYPERLINK("https://klasma.github.io/Logging_2181/artfynd/S 423-2025 artfynd.xlsx", "S 423-2025")</f>
        <v/>
      </c>
      <c r="X662">
        <f>HYPERLINK("https://klasma.github.io/Logging_2181/kartor/S 423-2025 karta.png", "S 423-2025")</f>
        <v/>
      </c>
      <c r="Y662">
        <f>HYPERLINK("https://klasma.github.io/Logging_2181/kartor_geotiff/S 423-2025 georefererad karta.tif", "S 423-2025")</f>
        <v/>
      </c>
      <c r="AA662">
        <f>HYPERLINK("https://klasma.github.io/Logging_2181/klagomål/S 423-2025 FSC-klagomål.docx", "S 423-2025")</f>
        <v/>
      </c>
      <c r="AB662">
        <f>HYPERLINK("https://klasma.github.io/Logging_2181/klagomålsmail/S 423-2025 FSC-klagomål mail.docx", "S 423-2025")</f>
        <v/>
      </c>
      <c r="AC662">
        <f>HYPERLINK("https://klasma.github.io/Logging_2181/tillsyn/S 423-2025 tillsynsbegäran.docx", "S 423-2025")</f>
        <v/>
      </c>
      <c r="AD662">
        <f>HYPERLINK("https://klasma.github.io/Logging_2181/tillsynsmail/S 423-2025 tillsynsbegäran mail.docx", "S 423-2025")</f>
        <v/>
      </c>
      <c r="AE662">
        <f>HYPERLINK("https://klasma.github.io/Logging_2181/fåglar/S 423-2025 prioriterade fågelarter.docx", "S 423-2025")</f>
        <v/>
      </c>
    </row>
    <row r="663" ht="15" customHeight="1">
      <c r="A663" t="inlineStr">
        <is>
          <t>S 228-2024</t>
        </is>
      </c>
      <c r="B663" t="inlineStr">
        <is>
          <t>samrådsanmälan</t>
        </is>
      </c>
      <c r="C663" t="inlineStr">
        <is>
          <t>Skogsgödsling</t>
        </is>
      </c>
      <c r="D663" s="1" t="n">
        <v>45317</v>
      </c>
      <c r="E663" s="1" t="n">
        <v>46326</v>
      </c>
      <c r="F663" t="inlineStr">
        <is>
          <t>GÄVLEBORGS LÄN</t>
        </is>
      </c>
      <c r="G663" t="inlineStr">
        <is>
          <t>HOFORS</t>
        </is>
      </c>
      <c r="H663" t="inlineStr">
        <is>
          <t>Sveaskog</t>
        </is>
      </c>
      <c r="I663" t="n">
        <v>54.4</v>
      </c>
      <c r="J663" t="n">
        <v>2</v>
      </c>
      <c r="K663" t="n">
        <v>0</v>
      </c>
      <c r="L663" t="n">
        <v>0</v>
      </c>
      <c r="M663" t="n">
        <v>2</v>
      </c>
      <c r="N663" t="n">
        <v>0</v>
      </c>
      <c r="O663" t="n">
        <v>0</v>
      </c>
      <c r="P663" t="n">
        <v>0</v>
      </c>
      <c r="Q663" t="n">
        <v>2</v>
      </c>
      <c r="R663" t="n">
        <v>2</v>
      </c>
      <c r="S663" t="n">
        <v>2</v>
      </c>
      <c r="T663" t="n">
        <v>10</v>
      </c>
      <c r="U663" t="n">
        <v>5</v>
      </c>
      <c r="V663" s="2" t="inlineStr">
        <is>
          <t>Brun gräsfjäril
Väddnätfjäril</t>
        </is>
      </c>
      <c r="W663">
        <f>HYPERLINK("https://klasma.github.io/Logging_2104/artfynd/S 228-2024 artfynd.xlsx", "S 228-2024")</f>
        <v/>
      </c>
      <c r="X663">
        <f>HYPERLINK("https://klasma.github.io/Logging_2104/kartor/S 228-2024 karta.png", "S 228-2024")</f>
        <v/>
      </c>
      <c r="Y663">
        <f>HYPERLINK("https://klasma.github.io/Logging_2104/kartor_geotiff/S 228-2024 georefererad karta.tif", "S 228-2024")</f>
        <v/>
      </c>
      <c r="AA663">
        <f>HYPERLINK("https://klasma.github.io/Logging_2104/klagomål/S 228-2024 FSC-klagomål.docx", "S 228-2024")</f>
        <v/>
      </c>
      <c r="AB663">
        <f>HYPERLINK("https://klasma.github.io/Logging_2104/klagomålsmail/S 228-2024 FSC-klagomål mail.docx", "S 228-2024")</f>
        <v/>
      </c>
      <c r="AC663">
        <f>HYPERLINK("https://klasma.github.io/Logging_2104/tillsyn/S 228-2024 tillsynsbegäran.docx", "S 228-2024")</f>
        <v/>
      </c>
      <c r="AD663">
        <f>HYPERLINK("https://klasma.github.io/Logging_2104/tillsynsmail/S 228-2024 tillsynsbegäran mail.docx", "S 228-2024")</f>
        <v/>
      </c>
    </row>
    <row r="664" ht="15" customHeight="1">
      <c r="A664" t="inlineStr">
        <is>
          <t>S 519-2022</t>
        </is>
      </c>
      <c r="B664" t="inlineStr">
        <is>
          <t>samrådsanmälan</t>
        </is>
      </c>
      <c r="C664" t="inlineStr">
        <is>
          <t>Skogsgödsling</t>
        </is>
      </c>
      <c r="D664" s="1" t="n">
        <v>44588</v>
      </c>
      <c r="E664" s="1" t="n">
        <v>46326</v>
      </c>
      <c r="F664" t="inlineStr">
        <is>
          <t>GÄVLEBORGS LÄN</t>
        </is>
      </c>
      <c r="G664" t="inlineStr">
        <is>
          <t>SANDVIKEN</t>
        </is>
      </c>
      <c r="H664" t="inlineStr">
        <is>
          <t>Bergvik skog öst AB</t>
        </is>
      </c>
      <c r="I664" t="n">
        <v>104.7</v>
      </c>
      <c r="J664" t="n">
        <v>1</v>
      </c>
      <c r="K664" t="n">
        <v>1</v>
      </c>
      <c r="L664" t="n">
        <v>0</v>
      </c>
      <c r="M664" t="n">
        <v>1</v>
      </c>
      <c r="N664" t="n">
        <v>0</v>
      </c>
      <c r="O664" t="n">
        <v>0</v>
      </c>
      <c r="P664" t="n">
        <v>0</v>
      </c>
      <c r="Q664" t="n">
        <v>1</v>
      </c>
      <c r="R664" t="n">
        <v>1</v>
      </c>
      <c r="S664" t="n">
        <v>2</v>
      </c>
      <c r="T664" t="n">
        <v>2</v>
      </c>
      <c r="U664" t="n">
        <v>2</v>
      </c>
      <c r="V664" s="2" t="inlineStr">
        <is>
          <t>Knärot
Tibast</t>
        </is>
      </c>
      <c r="W664">
        <f>HYPERLINK("https://klasma.github.io/Logging_2181/artfynd/S 519-2022 artfynd.xlsx", "S 519-2022")</f>
        <v/>
      </c>
      <c r="X664">
        <f>HYPERLINK("https://klasma.github.io/Logging_2181/kartor/S 519-2022 karta.png", "S 519-2022")</f>
        <v/>
      </c>
      <c r="Y664">
        <f>HYPERLINK("https://klasma.github.io/Logging_2181/kartor_geotiff/S 519-2022 georefererad karta.tif", "S 519-2022")</f>
        <v/>
      </c>
      <c r="Z664">
        <f>HYPERLINK("https://klasma.github.io/Logging_2181/knärot/S 519-2022 karta knärot.png", "S 519-2022")</f>
        <v/>
      </c>
      <c r="AA664">
        <f>HYPERLINK("https://klasma.github.io/Logging_2181/klagomål/S 519-2022 FSC-klagomål.docx", "S 519-2022")</f>
        <v/>
      </c>
      <c r="AB664">
        <f>HYPERLINK("https://klasma.github.io/Logging_2181/klagomålsmail/S 519-2022 FSC-klagomål mail.docx", "S 519-2022")</f>
        <v/>
      </c>
      <c r="AC664">
        <f>HYPERLINK("https://klasma.github.io/Logging_2181/tillsyn/S 519-2022 tillsynsbegäran.docx", "S 519-2022")</f>
        <v/>
      </c>
      <c r="AD664">
        <f>HYPERLINK("https://klasma.github.io/Logging_2181/tillsynsmail/S 519-2022 tillsynsbegäran mail.docx", "S 519-2022")</f>
        <v/>
      </c>
    </row>
    <row r="665" ht="15" customHeight="1">
      <c r="A665" t="inlineStr">
        <is>
          <t>S 446-2025</t>
        </is>
      </c>
      <c r="B665" t="inlineStr">
        <is>
          <t>samrådsanmälan</t>
        </is>
      </c>
      <c r="C665" t="inlineStr">
        <is>
          <t>Skogsgödsling</t>
        </is>
      </c>
      <c r="D665" s="1" t="n">
        <v>45701</v>
      </c>
      <c r="E665" s="1" t="n">
        <v>46326</v>
      </c>
      <c r="F665" t="inlineStr">
        <is>
          <t>GÄVLEBORGS LÄN</t>
        </is>
      </c>
      <c r="G665" t="inlineStr">
        <is>
          <t>HOFORS</t>
        </is>
      </c>
      <c r="H665" t="inlineStr">
        <is>
          <t>Sveaskog</t>
        </is>
      </c>
      <c r="I665" t="n">
        <v>18.9</v>
      </c>
      <c r="J665" t="n">
        <v>1</v>
      </c>
      <c r="K665" t="n">
        <v>0</v>
      </c>
      <c r="L665" t="n">
        <v>1</v>
      </c>
      <c r="M665" t="n">
        <v>0</v>
      </c>
      <c r="N665" t="n">
        <v>0</v>
      </c>
      <c r="O665" t="n">
        <v>0</v>
      </c>
      <c r="P665" t="n">
        <v>0</v>
      </c>
      <c r="Q665" t="n">
        <v>1</v>
      </c>
      <c r="R665" t="n">
        <v>0</v>
      </c>
      <c r="S665" t="n">
        <v>2</v>
      </c>
      <c r="T665" t="n">
        <v>2</v>
      </c>
      <c r="U665" t="n">
        <v>2</v>
      </c>
      <c r="V665" s="2" t="inlineStr">
        <is>
          <t>Månlåsbräken
Nattviol</t>
        </is>
      </c>
      <c r="W665">
        <f>HYPERLINK("https://klasma.github.io/Logging_2104/artfynd/S 446-2025 artfynd.xlsx", "S 446-2025")</f>
        <v/>
      </c>
      <c r="X665">
        <f>HYPERLINK("https://klasma.github.io/Logging_2104/kartor/S 446-2025 karta.png", "S 446-2025")</f>
        <v/>
      </c>
      <c r="Y665">
        <f>HYPERLINK("https://klasma.github.io/Logging_2104/kartor_geotiff/S 446-2025 georefererad karta.tif", "S 446-2025")</f>
        <v/>
      </c>
      <c r="AA665">
        <f>HYPERLINK("https://klasma.github.io/Logging_2104/klagomål/S 446-2025 FSC-klagomål.docx", "S 446-2025")</f>
        <v/>
      </c>
      <c r="AB665">
        <f>HYPERLINK("https://klasma.github.io/Logging_2104/klagomålsmail/S 446-2025 FSC-klagomål mail.docx", "S 446-2025")</f>
        <v/>
      </c>
      <c r="AC665">
        <f>HYPERLINK("https://klasma.github.io/Logging_2104/tillsyn/S 446-2025 tillsynsbegäran.docx", "S 446-2025")</f>
        <v/>
      </c>
      <c r="AD665">
        <f>HYPERLINK("https://klasma.github.io/Logging_2104/tillsynsmail/S 446-2025 tillsynsbegäran mail.docx", "S 446-2025")</f>
        <v/>
      </c>
    </row>
    <row r="666" ht="15" customHeight="1">
      <c r="A666" t="inlineStr">
        <is>
          <t>S 475-2022</t>
        </is>
      </c>
      <c r="B666" t="inlineStr">
        <is>
          <t>samrådsanmälan</t>
        </is>
      </c>
      <c r="C666" t="inlineStr">
        <is>
          <t>Skogsgödsling</t>
        </is>
      </c>
      <c r="D666" s="1" t="n">
        <v>44587</v>
      </c>
      <c r="E666" s="1" t="n">
        <v>46326</v>
      </c>
      <c r="F666" t="inlineStr">
        <is>
          <t>GÄVLEBORGS LÄN</t>
        </is>
      </c>
      <c r="G666" t="inlineStr">
        <is>
          <t>OCKELBO</t>
        </is>
      </c>
      <c r="H666" t="inlineStr">
        <is>
          <t>Bergvik skog väst AB</t>
        </is>
      </c>
      <c r="I666" t="n">
        <v>69.59999999999999</v>
      </c>
      <c r="J666" t="n">
        <v>0</v>
      </c>
      <c r="K666" t="n">
        <v>0</v>
      </c>
      <c r="L666" t="n">
        <v>2</v>
      </c>
      <c r="M666" t="n">
        <v>0</v>
      </c>
      <c r="N666" t="n">
        <v>0</v>
      </c>
      <c r="O666" t="n">
        <v>0</v>
      </c>
      <c r="P666" t="n">
        <v>0</v>
      </c>
      <c r="Q666" t="n">
        <v>2</v>
      </c>
      <c r="R666" t="n">
        <v>0</v>
      </c>
      <c r="S666" t="n">
        <v>2</v>
      </c>
      <c r="T666" t="n">
        <v>3</v>
      </c>
      <c r="U666" t="n">
        <v>2</v>
      </c>
      <c r="V666" s="2" t="inlineStr">
        <is>
          <t>Dropptaggsvamp
Slät tallkapuschongbagge</t>
        </is>
      </c>
      <c r="W666">
        <f>HYPERLINK("https://klasma.github.io/Logging_2101/artfynd/S 475-2022 artfynd.xlsx", "S 475-2022")</f>
        <v/>
      </c>
      <c r="X666">
        <f>HYPERLINK("https://klasma.github.io/Logging_2101/kartor/S 475-2022 karta.png", "S 475-2022")</f>
        <v/>
      </c>
      <c r="Y666">
        <f>HYPERLINK("https://klasma.github.io/Logging_2101/kartor_geotiff/S 475-2022 georefererad karta.tif", "S 475-2022")</f>
        <v/>
      </c>
      <c r="AA666">
        <f>HYPERLINK("https://klasma.github.io/Logging_2101/klagomål/S 475-2022 FSC-klagomål.docx", "S 475-2022")</f>
        <v/>
      </c>
      <c r="AB666">
        <f>HYPERLINK("https://klasma.github.io/Logging_2101/klagomålsmail/S 475-2022 FSC-klagomål mail.docx", "S 475-2022")</f>
        <v/>
      </c>
      <c r="AC666">
        <f>HYPERLINK("https://klasma.github.io/Logging_2101/tillsyn/S 475-2022 tillsynsbegäran.docx", "S 475-2022")</f>
        <v/>
      </c>
      <c r="AD666">
        <f>HYPERLINK("https://klasma.github.io/Logging_2101/tillsynsmail/S 475-2022 tillsynsbegäran mail.docx", "S 475-2022")</f>
        <v/>
      </c>
    </row>
    <row r="667" ht="15" customHeight="1">
      <c r="A667" t="inlineStr">
        <is>
          <t>S 26-2024</t>
        </is>
      </c>
      <c r="B667" t="inlineStr">
        <is>
          <t>samrådsanmälan</t>
        </is>
      </c>
      <c r="C667" t="inlineStr">
        <is>
          <t>Skogsgödsling</t>
        </is>
      </c>
      <c r="D667" s="1" t="n">
        <v>45293</v>
      </c>
      <c r="E667" s="1" t="n">
        <v>46326</v>
      </c>
      <c r="F667" t="inlineStr">
        <is>
          <t>GÄVLEBORGS LÄN</t>
        </is>
      </c>
      <c r="G667" t="inlineStr">
        <is>
          <t>OVANÅKER</t>
        </is>
      </c>
      <c r="H667" t="inlineStr">
        <is>
          <t>Bergvik skog väst AB</t>
        </is>
      </c>
      <c r="I667" t="n">
        <v>28.5</v>
      </c>
      <c r="J667" t="n">
        <v>0</v>
      </c>
      <c r="K667" t="n">
        <v>1</v>
      </c>
      <c r="L667" t="n">
        <v>1</v>
      </c>
      <c r="M667" t="n">
        <v>0</v>
      </c>
      <c r="N667" t="n">
        <v>0</v>
      </c>
      <c r="O667" t="n">
        <v>0</v>
      </c>
      <c r="P667" t="n">
        <v>0</v>
      </c>
      <c r="Q667" t="n">
        <v>1</v>
      </c>
      <c r="R667" t="n">
        <v>0</v>
      </c>
      <c r="S667" t="n">
        <v>2</v>
      </c>
      <c r="T667" t="n">
        <v>2</v>
      </c>
      <c r="U667" t="n">
        <v>2</v>
      </c>
      <c r="V667" s="2" t="inlineStr">
        <is>
          <t>Lunglav
Stuplav</t>
        </is>
      </c>
      <c r="W667">
        <f>HYPERLINK("https://klasma.github.io/Logging_2121/artfynd/S 26-2024 artfynd.xlsx", "S 26-2024")</f>
        <v/>
      </c>
      <c r="X667">
        <f>HYPERLINK("https://klasma.github.io/Logging_2121/kartor/S 26-2024 karta.png", "S 26-2024")</f>
        <v/>
      </c>
      <c r="Y667">
        <f>HYPERLINK("https://klasma.github.io/Logging_2121/kartor_geotiff/S 26-2024 georefererad karta.tif", "S 26-2024")</f>
        <v/>
      </c>
      <c r="AA667">
        <f>HYPERLINK("https://klasma.github.io/Logging_2121/klagomål/S 26-2024 FSC-klagomål.docx", "S 26-2024")</f>
        <v/>
      </c>
      <c r="AB667">
        <f>HYPERLINK("https://klasma.github.io/Logging_2121/klagomålsmail/S 26-2024 FSC-klagomål mail.docx", "S 26-2024")</f>
        <v/>
      </c>
      <c r="AC667">
        <f>HYPERLINK("https://klasma.github.io/Logging_2121/tillsyn/S 26-2024 tillsynsbegäran.docx", "S 26-2024")</f>
        <v/>
      </c>
      <c r="AD667">
        <f>HYPERLINK("https://klasma.github.io/Logging_2121/tillsynsmail/S 26-2024 tillsynsbegäran mail.docx", "S 26-2024")</f>
        <v/>
      </c>
    </row>
    <row r="668" ht="15" customHeight="1">
      <c r="A668" t="inlineStr">
        <is>
          <t>S 4508-2023</t>
        </is>
      </c>
      <c r="B668" t="inlineStr">
        <is>
          <t>samrådsanmälan</t>
        </is>
      </c>
      <c r="C668" t="inlineStr">
        <is>
          <t>Skogsgödsling</t>
        </is>
      </c>
      <c r="D668" s="1" t="n">
        <v>45274</v>
      </c>
      <c r="E668" s="1" t="n">
        <v>46326</v>
      </c>
      <c r="F668" t="inlineStr">
        <is>
          <t>GÄVLEBORGS LÄN</t>
        </is>
      </c>
      <c r="G668" t="inlineStr">
        <is>
          <t>OCKELBO</t>
        </is>
      </c>
      <c r="H668" t="inlineStr">
        <is>
          <t>Bergvik skog väst AB</t>
        </is>
      </c>
      <c r="I668" t="n">
        <v>90.09999999999999</v>
      </c>
      <c r="J668" t="n">
        <v>0</v>
      </c>
      <c r="K668" t="n">
        <v>0</v>
      </c>
      <c r="L668" t="n">
        <v>2</v>
      </c>
      <c r="M668" t="n">
        <v>0</v>
      </c>
      <c r="N668" t="n">
        <v>0</v>
      </c>
      <c r="O668" t="n">
        <v>0</v>
      </c>
      <c r="P668" t="n">
        <v>0</v>
      </c>
      <c r="Q668" t="n">
        <v>2</v>
      </c>
      <c r="R668" t="n">
        <v>0</v>
      </c>
      <c r="S668" t="n">
        <v>2</v>
      </c>
      <c r="T668" t="n">
        <v>3</v>
      </c>
      <c r="U668" t="n">
        <v>0</v>
      </c>
      <c r="V668" s="2" t="inlineStr">
        <is>
          <t>Dropptaggsvamp
Slät tallkapuschongbagge</t>
        </is>
      </c>
      <c r="W668">
        <f>HYPERLINK("https://klasma.github.io/Logging_2101/artfynd/S 4508-2023 artfynd.xlsx", "S 4508-2023")</f>
        <v/>
      </c>
      <c r="X668">
        <f>HYPERLINK("https://klasma.github.io/Logging_2101/kartor/S 4508-2023 karta.png", "S 4508-2023")</f>
        <v/>
      </c>
      <c r="Y668">
        <f>HYPERLINK("https://klasma.github.io/Logging_2101/kartor_geotiff/S 4508-2023 georefererad karta.tif", "S 4508-2023")</f>
        <v/>
      </c>
      <c r="AA668">
        <f>HYPERLINK("https://klasma.github.io/Logging_2101/klagomål/S 4508-2023 FSC-klagomål.docx", "S 4508-2023")</f>
        <v/>
      </c>
      <c r="AB668">
        <f>HYPERLINK("https://klasma.github.io/Logging_2101/klagomålsmail/S 4508-2023 FSC-klagomål mail.docx", "S 4508-2023")</f>
        <v/>
      </c>
      <c r="AC668">
        <f>HYPERLINK("https://klasma.github.io/Logging_2101/tillsyn/S 4508-2023 tillsynsbegäran.docx", "S 4508-2023")</f>
        <v/>
      </c>
      <c r="AD668">
        <f>HYPERLINK("https://klasma.github.io/Logging_2101/tillsynsmail/S 4508-2023 tillsynsbegäran mail.docx", "S 4508-2023")</f>
        <v/>
      </c>
    </row>
    <row r="669" ht="15" customHeight="1">
      <c r="A669" t="inlineStr">
        <is>
          <t>S 498-2025</t>
        </is>
      </c>
      <c r="B669" t="inlineStr">
        <is>
          <t>samrådsanmälan</t>
        </is>
      </c>
      <c r="C669" t="inlineStr">
        <is>
          <t>Skogsgödsling</t>
        </is>
      </c>
      <c r="D669" s="1" t="n">
        <v>45705</v>
      </c>
      <c r="E669" s="1" t="n">
        <v>46326</v>
      </c>
      <c r="F669" t="inlineStr">
        <is>
          <t>GÄVLEBORGS LÄN</t>
        </is>
      </c>
      <c r="G669" t="inlineStr">
        <is>
          <t>LJUSDAL</t>
        </is>
      </c>
      <c r="H669" t="inlineStr">
        <is>
          <t>Allmännings- och besparingsskogar</t>
        </is>
      </c>
      <c r="I669" t="n">
        <v>80.09999999999999</v>
      </c>
      <c r="J669" t="n">
        <v>0</v>
      </c>
      <c r="K669" t="n">
        <v>0</v>
      </c>
      <c r="L669" t="n">
        <v>2</v>
      </c>
      <c r="M669" t="n">
        <v>0</v>
      </c>
      <c r="N669" t="n">
        <v>0</v>
      </c>
      <c r="O669" t="n">
        <v>0</v>
      </c>
      <c r="P669" t="n">
        <v>0</v>
      </c>
      <c r="Q669" t="n">
        <v>2</v>
      </c>
      <c r="R669" t="n">
        <v>0</v>
      </c>
      <c r="S669" t="n">
        <v>2</v>
      </c>
      <c r="T669" t="n">
        <v>2</v>
      </c>
      <c r="U669" t="n">
        <v>0</v>
      </c>
      <c r="V669" s="2" t="inlineStr">
        <is>
          <t>Dropptaggsvamp
Talltaggsvamp</t>
        </is>
      </c>
      <c r="W669">
        <f>HYPERLINK("https://klasma.github.io/Logging_2161/artfynd/S 498-2025 artfynd.xlsx", "S 498-2025")</f>
        <v/>
      </c>
      <c r="X669">
        <f>HYPERLINK("https://klasma.github.io/Logging_2161/kartor/S 498-2025 karta.png", "S 498-2025")</f>
        <v/>
      </c>
      <c r="Y669">
        <f>HYPERLINK("https://klasma.github.io/Logging_2161/kartor_geotiff/S 498-2025 georefererad karta.tif", "S 498-2025")</f>
        <v/>
      </c>
      <c r="AA669">
        <f>HYPERLINK("https://klasma.github.io/Logging_2161/klagomål/S 498-2025 FSC-klagomål.docx", "S 498-2025")</f>
        <v/>
      </c>
      <c r="AB669">
        <f>HYPERLINK("https://klasma.github.io/Logging_2161/klagomålsmail/S 498-2025 FSC-klagomål mail.docx", "S 498-2025")</f>
        <v/>
      </c>
      <c r="AC669">
        <f>HYPERLINK("https://klasma.github.io/Logging_2161/tillsyn/S 498-2025 tillsynsbegäran.docx", "S 498-2025")</f>
        <v/>
      </c>
      <c r="AD669">
        <f>HYPERLINK("https://klasma.github.io/Logging_2161/tillsynsmail/S 498-2025 tillsynsbegäran mail.docx", "S 498-2025")</f>
        <v/>
      </c>
    </row>
    <row r="670" ht="15" customHeight="1">
      <c r="A670" t="inlineStr">
        <is>
          <t>S 403-2025</t>
        </is>
      </c>
      <c r="B670" t="inlineStr">
        <is>
          <t>samrådsanmälan</t>
        </is>
      </c>
      <c r="C670" t="inlineStr">
        <is>
          <t>Skogsgödsling</t>
        </is>
      </c>
      <c r="D670" s="1" t="n">
        <v>45699</v>
      </c>
      <c r="E670" s="1" t="n">
        <v>46326</v>
      </c>
      <c r="F670" t="inlineStr">
        <is>
          <t>GÄVLEBORGS LÄN</t>
        </is>
      </c>
      <c r="G670" t="inlineStr">
        <is>
          <t>GÄVLE</t>
        </is>
      </c>
      <c r="H670" t="inlineStr">
        <is>
          <t>Bergvik skog öst AB</t>
        </is>
      </c>
      <c r="I670" t="n">
        <v>134.6</v>
      </c>
      <c r="J670" t="n">
        <v>1</v>
      </c>
      <c r="K670" t="n">
        <v>1</v>
      </c>
      <c r="L670" t="n">
        <v>1</v>
      </c>
      <c r="M670" t="n">
        <v>0</v>
      </c>
      <c r="N670" t="n">
        <v>0</v>
      </c>
      <c r="O670" t="n">
        <v>0</v>
      </c>
      <c r="P670" t="n">
        <v>0</v>
      </c>
      <c r="Q670" t="n">
        <v>1</v>
      </c>
      <c r="R670" t="n">
        <v>0</v>
      </c>
      <c r="S670" t="n">
        <v>2</v>
      </c>
      <c r="T670" t="n">
        <v>2</v>
      </c>
      <c r="U670" t="n">
        <v>2</v>
      </c>
      <c r="V670" s="2" t="inlineStr">
        <is>
          <t>Sumpviol
Plattlummer</t>
        </is>
      </c>
      <c r="W670">
        <f>HYPERLINK("https://klasma.github.io/Logging_2180/artfynd/S 403-2025 artfynd.xlsx", "S 403-2025")</f>
        <v/>
      </c>
      <c r="X670">
        <f>HYPERLINK("https://klasma.github.io/Logging_2180/kartor/S 403-2025 karta.png", "S 403-2025")</f>
        <v/>
      </c>
      <c r="Y670">
        <f>HYPERLINK("https://klasma.github.io/Logging_2180/kartor_geotiff/S 403-2025 georefererad karta.tif", "S 403-2025")</f>
        <v/>
      </c>
      <c r="AA670">
        <f>HYPERLINK("https://klasma.github.io/Logging_2180/klagomål/S 403-2025 FSC-klagomål.docx", "S 403-2025")</f>
        <v/>
      </c>
      <c r="AB670">
        <f>HYPERLINK("https://klasma.github.io/Logging_2180/klagomålsmail/S 403-2025 FSC-klagomål mail.docx", "S 403-2025")</f>
        <v/>
      </c>
      <c r="AC670">
        <f>HYPERLINK("https://klasma.github.io/Logging_2180/tillsyn/S 403-2025 tillsynsbegäran.docx", "S 403-2025")</f>
        <v/>
      </c>
      <c r="AD670">
        <f>HYPERLINK("https://klasma.github.io/Logging_2180/tillsynsmail/S 403-2025 tillsynsbegäran mail.docx", "S 403-2025")</f>
        <v/>
      </c>
    </row>
    <row r="671" ht="15" customHeight="1">
      <c r="A671" t="inlineStr">
        <is>
          <t>S 2400-2025</t>
        </is>
      </c>
      <c r="B671" t="inlineStr">
        <is>
          <t>samrådsanmälan</t>
        </is>
      </c>
      <c r="C671" t="inlineStr">
        <is>
          <t>Annan skogsbruksåtgärd</t>
        </is>
      </c>
      <c r="D671" s="1" t="n">
        <v>45895</v>
      </c>
      <c r="E671" s="1" t="n">
        <v>46326</v>
      </c>
      <c r="F671" t="inlineStr">
        <is>
          <t>GÄVLEBORGS LÄN</t>
        </is>
      </c>
      <c r="G671" t="inlineStr">
        <is>
          <t>HOFORS</t>
        </is>
      </c>
      <c r="H671" t="inlineStr">
        <is>
          <t>Sveaskog</t>
        </is>
      </c>
      <c r="I671" t="n">
        <v>2.9</v>
      </c>
      <c r="J671" t="n">
        <v>1</v>
      </c>
      <c r="K671" t="n">
        <v>0</v>
      </c>
      <c r="L671" t="n">
        <v>0</v>
      </c>
      <c r="M671" t="n">
        <v>0</v>
      </c>
      <c r="N671" t="n">
        <v>0</v>
      </c>
      <c r="O671" t="n">
        <v>0</v>
      </c>
      <c r="P671" t="n">
        <v>0</v>
      </c>
      <c r="Q671" t="n">
        <v>0</v>
      </c>
      <c r="R671" t="n">
        <v>0</v>
      </c>
      <c r="S671" t="n">
        <v>2</v>
      </c>
      <c r="T671" t="n">
        <v>2</v>
      </c>
      <c r="U671" t="n">
        <v>2</v>
      </c>
      <c r="V671" s="2" t="inlineStr">
        <is>
          <t>Svarta vinbär
Huggorm</t>
        </is>
      </c>
      <c r="W671">
        <f>HYPERLINK("https://klasma.github.io/Logging_2104/artfynd/S 2400-2025 artfynd.xlsx", "S 2400-2025")</f>
        <v/>
      </c>
      <c r="X671">
        <f>HYPERLINK("https://klasma.github.io/Logging_2104/kartor/S 2400-2025 karta.png", "S 2400-2025")</f>
        <v/>
      </c>
      <c r="Y671">
        <f>HYPERLINK("https://klasma.github.io/Logging_2104/kartor_geotiff/S 2400-2025 georefererad karta.tif", "S 2400-2025")</f>
        <v/>
      </c>
      <c r="AA671">
        <f>HYPERLINK("https://klasma.github.io/Logging_2104/klagomål/S 2400-2025 FSC-klagomål.docx", "S 2400-2025")</f>
        <v/>
      </c>
      <c r="AB671">
        <f>HYPERLINK("https://klasma.github.io/Logging_2104/klagomålsmail/S 2400-2025 FSC-klagomål mail.docx", "S 2400-2025")</f>
        <v/>
      </c>
      <c r="AC671">
        <f>HYPERLINK("https://klasma.github.io/Logging_2104/tillsyn/S 2400-2025 tillsynsbegäran.docx", "S 2400-2025")</f>
        <v/>
      </c>
      <c r="AD671">
        <f>HYPERLINK("https://klasma.github.io/Logging_2104/tillsynsmail/S 2400-2025 tillsynsbegäran mail.docx", "S 2400-2025")</f>
        <v/>
      </c>
    </row>
    <row r="672" ht="15" customHeight="1">
      <c r="A672" t="inlineStr">
        <is>
          <t>S 2402-2025</t>
        </is>
      </c>
      <c r="B672" t="inlineStr">
        <is>
          <t>samrådsanmälan</t>
        </is>
      </c>
      <c r="C672" t="inlineStr">
        <is>
          <t>Annan skogsbruksåtgärd</t>
        </is>
      </c>
      <c r="D672" s="1" t="n">
        <v>45895</v>
      </c>
      <c r="E672" s="1" t="n">
        <v>46326</v>
      </c>
      <c r="F672" t="inlineStr">
        <is>
          <t>GÄVLEBORGS LÄN</t>
        </is>
      </c>
      <c r="G672" t="inlineStr">
        <is>
          <t>HOFORS</t>
        </is>
      </c>
      <c r="H672" t="inlineStr">
        <is>
          <t>Sveaskog</t>
        </is>
      </c>
      <c r="I672" t="n">
        <v>12.6</v>
      </c>
      <c r="J672" t="n">
        <v>1</v>
      </c>
      <c r="K672" t="n">
        <v>0</v>
      </c>
      <c r="L672" t="n">
        <v>0</v>
      </c>
      <c r="M672" t="n">
        <v>0</v>
      </c>
      <c r="N672" t="n">
        <v>0</v>
      </c>
      <c r="O672" t="n">
        <v>0</v>
      </c>
      <c r="P672" t="n">
        <v>0</v>
      </c>
      <c r="Q672" t="n">
        <v>0</v>
      </c>
      <c r="R672" t="n">
        <v>0</v>
      </c>
      <c r="S672" t="n">
        <v>2</v>
      </c>
      <c r="T672" t="n">
        <v>2</v>
      </c>
      <c r="U672" t="n">
        <v>2</v>
      </c>
      <c r="V672" s="2" t="inlineStr">
        <is>
          <t>Svarta vinbär
Gullviva</t>
        </is>
      </c>
      <c r="W672">
        <f>HYPERLINK("https://klasma.github.io/Logging_2104/artfynd/S 2402-2025 artfynd.xlsx", "S 2402-2025")</f>
        <v/>
      </c>
      <c r="X672">
        <f>HYPERLINK("https://klasma.github.io/Logging_2104/kartor/S 2402-2025 karta.png", "S 2402-2025")</f>
        <v/>
      </c>
      <c r="Y672">
        <f>HYPERLINK("https://klasma.github.io/Logging_2104/kartor_geotiff/S 2402-2025 georefererad karta.tif", "S 2402-2025")</f>
        <v/>
      </c>
      <c r="AA672">
        <f>HYPERLINK("https://klasma.github.io/Logging_2104/klagomål/S 2402-2025 FSC-klagomål.docx", "S 2402-2025")</f>
        <v/>
      </c>
      <c r="AB672">
        <f>HYPERLINK("https://klasma.github.io/Logging_2104/klagomålsmail/S 2402-2025 FSC-klagomål mail.docx", "S 2402-2025")</f>
        <v/>
      </c>
      <c r="AC672">
        <f>HYPERLINK("https://klasma.github.io/Logging_2104/tillsyn/S 2402-2025 tillsynsbegäran.docx", "S 2402-2025")</f>
        <v/>
      </c>
      <c r="AD672">
        <f>HYPERLINK("https://klasma.github.io/Logging_2104/tillsynsmail/S 2402-2025 tillsynsbegäran mail.docx", "S 2402-2025")</f>
        <v/>
      </c>
    </row>
    <row r="673" ht="15" customHeight="1">
      <c r="A673" t="inlineStr">
        <is>
          <t>S 2827-2025</t>
        </is>
      </c>
      <c r="B673" t="inlineStr">
        <is>
          <t>samrådsanmälan</t>
        </is>
      </c>
      <c r="C673" t="inlineStr">
        <is>
          <t>Skogsgödsling</t>
        </is>
      </c>
      <c r="D673" s="1" t="n">
        <v>45939</v>
      </c>
      <c r="E673" s="1" t="n">
        <v>46326</v>
      </c>
      <c r="F673" t="inlineStr">
        <is>
          <t>GÄVLEBORGS LÄN</t>
        </is>
      </c>
      <c r="G673" t="inlineStr">
        <is>
          <t>LJUSDAL</t>
        </is>
      </c>
      <c r="H673" t="inlineStr">
        <is>
          <t>Allmännings- och besparingsskogar</t>
        </is>
      </c>
      <c r="I673" t="n">
        <v>45.8</v>
      </c>
      <c r="J673" t="n">
        <v>0</v>
      </c>
      <c r="K673" t="n">
        <v>0</v>
      </c>
      <c r="L673" t="n">
        <v>2</v>
      </c>
      <c r="M673" t="n">
        <v>0</v>
      </c>
      <c r="N673" t="n">
        <v>0</v>
      </c>
      <c r="O673" t="n">
        <v>0</v>
      </c>
      <c r="P673" t="n">
        <v>0</v>
      </c>
      <c r="Q673" t="n">
        <v>2</v>
      </c>
      <c r="R673" t="n">
        <v>0</v>
      </c>
      <c r="S673" t="n">
        <v>2</v>
      </c>
      <c r="T673" t="n">
        <v>2</v>
      </c>
      <c r="U673" t="n">
        <v>0</v>
      </c>
      <c r="V673" s="2" t="inlineStr">
        <is>
          <t>Kolflarnlav
Orange taggsvamp</t>
        </is>
      </c>
      <c r="W673">
        <f>HYPERLINK("https://klasma.github.io/Logging_2161/artfynd/S 2827-2025 artfynd.xlsx", "S 2827-2025")</f>
        <v/>
      </c>
      <c r="X673">
        <f>HYPERLINK("https://klasma.github.io/Logging_2161/kartor/S 2827-2025 karta.png", "S 2827-2025")</f>
        <v/>
      </c>
      <c r="Y673">
        <f>HYPERLINK("https://klasma.github.io/Logging_2161/kartor_geotiff/S 2827-2025 georefererad karta.tif", "S 2827-2025")</f>
        <v/>
      </c>
      <c r="AA673">
        <f>HYPERLINK("https://klasma.github.io/Logging_2161/klagomål/S 2827-2025 FSC-klagomål.docx", "S 2827-2025")</f>
        <v/>
      </c>
      <c r="AB673">
        <f>HYPERLINK("https://klasma.github.io/Logging_2161/klagomålsmail/S 2827-2025 FSC-klagomål mail.docx", "S 2827-2025")</f>
        <v/>
      </c>
      <c r="AC673">
        <f>HYPERLINK("https://klasma.github.io/Logging_2161/tillsyn/S 2827-2025 tillsynsbegäran.docx", "S 2827-2025")</f>
        <v/>
      </c>
      <c r="AD673">
        <f>HYPERLINK("https://klasma.github.io/Logging_2161/tillsynsmail/S 2827-2025 tillsynsbegäran mail.docx", "S 2827-2025")</f>
        <v/>
      </c>
    </row>
    <row r="674" ht="15" customHeight="1">
      <c r="A674" t="inlineStr">
        <is>
          <t>S 3376-2025</t>
        </is>
      </c>
      <c r="B674" t="inlineStr">
        <is>
          <t>samrådsanmälan</t>
        </is>
      </c>
      <c r="C674" t="inlineStr">
        <is>
          <t>Skogsgödsling</t>
        </is>
      </c>
      <c r="D674" s="1" t="n">
        <v>45993</v>
      </c>
      <c r="E674" s="1" t="n">
        <v>46326</v>
      </c>
      <c r="F674" t="inlineStr">
        <is>
          <t>GÄVLEBORGS LÄN</t>
        </is>
      </c>
      <c r="G674" t="inlineStr">
        <is>
          <t>LJUSDAL</t>
        </is>
      </c>
      <c r="H674" t="inlineStr">
        <is>
          <t>Holmen skog AB</t>
        </is>
      </c>
      <c r="I674" t="n">
        <v>113</v>
      </c>
      <c r="J674" t="n">
        <v>0</v>
      </c>
      <c r="K674" t="n">
        <v>0</v>
      </c>
      <c r="L674" t="n">
        <v>1</v>
      </c>
      <c r="M674" t="n">
        <v>1</v>
      </c>
      <c r="N674" t="n">
        <v>0</v>
      </c>
      <c r="O674" t="n">
        <v>0</v>
      </c>
      <c r="P674" t="n">
        <v>0</v>
      </c>
      <c r="Q674" t="n">
        <v>2</v>
      </c>
      <c r="R674" t="n">
        <v>1</v>
      </c>
      <c r="S674" t="n">
        <v>2</v>
      </c>
      <c r="T674" t="n">
        <v>2</v>
      </c>
      <c r="U674" t="n">
        <v>0</v>
      </c>
      <c r="V674" s="2" t="inlineStr">
        <is>
          <t>Garnlav
Dropptaggsvamp</t>
        </is>
      </c>
      <c r="W674">
        <f>HYPERLINK("https://klasma.github.io/Logging_2161/artfynd/S 3376-2025 artfynd.xlsx", "S 3376-2025")</f>
        <v/>
      </c>
      <c r="X674">
        <f>HYPERLINK("https://klasma.github.io/Logging_2161/kartor/S 3376-2025 karta.png", "S 3376-2025")</f>
        <v/>
      </c>
      <c r="Y674">
        <f>HYPERLINK("https://klasma.github.io/Logging_2161/kartor_geotiff/S 3376-2025 georefererad karta.tif", "S 3376-2025")</f>
        <v/>
      </c>
      <c r="AA674">
        <f>HYPERLINK("https://klasma.github.io/Logging_2161/klagomål/S 3376-2025 FSC-klagomål.docx", "S 3376-2025")</f>
        <v/>
      </c>
      <c r="AB674">
        <f>HYPERLINK("https://klasma.github.io/Logging_2161/klagomålsmail/S 3376-2025 FSC-klagomål mail.docx", "S 3376-2025")</f>
        <v/>
      </c>
      <c r="AC674">
        <f>HYPERLINK("https://klasma.github.io/Logging_2161/tillsyn/S 3376-2025 tillsynsbegäran.docx", "S 3376-2025")</f>
        <v/>
      </c>
      <c r="AD674">
        <f>HYPERLINK("https://klasma.github.io/Logging_2161/tillsynsmail/S 3376-2025 tillsynsbegäran mail.docx", "S 3376-2025")</f>
        <v/>
      </c>
    </row>
    <row r="675" ht="15" customHeight="1">
      <c r="A675" t="inlineStr">
        <is>
          <t>S 776-2025</t>
        </is>
      </c>
      <c r="B675" t="inlineStr">
        <is>
          <t>samrådsanmälan</t>
        </is>
      </c>
      <c r="C675" t="inlineStr">
        <is>
          <t>Annan skogsbruksåtgärd</t>
        </is>
      </c>
      <c r="D675" s="1" t="n">
        <v>45728</v>
      </c>
      <c r="E675" s="1" t="n">
        <v>46326</v>
      </c>
      <c r="F675" t="inlineStr">
        <is>
          <t>GÄVLEBORGS LÄN</t>
        </is>
      </c>
      <c r="G675" t="inlineStr">
        <is>
          <t>NORDANSTIG</t>
        </is>
      </c>
      <c r="I675" t="n">
        <v>0.3</v>
      </c>
      <c r="J675" t="n">
        <v>2</v>
      </c>
      <c r="K675" t="n">
        <v>0</v>
      </c>
      <c r="L675" t="n">
        <v>0</v>
      </c>
      <c r="M675" t="n">
        <v>0</v>
      </c>
      <c r="N675" t="n">
        <v>0</v>
      </c>
      <c r="O675" t="n">
        <v>0</v>
      </c>
      <c r="P675" t="n">
        <v>0</v>
      </c>
      <c r="Q675" t="n">
        <v>0</v>
      </c>
      <c r="R675" t="n">
        <v>0</v>
      </c>
      <c r="S675" t="n">
        <v>2</v>
      </c>
      <c r="T675" t="n">
        <v>2</v>
      </c>
      <c r="U675" t="n">
        <v>0</v>
      </c>
      <c r="V675" s="2" t="inlineStr">
        <is>
          <t>Kungsfågel
Utter</t>
        </is>
      </c>
      <c r="W675">
        <f>HYPERLINK("https://klasma.github.io/Logging_2132/artfynd/S 776-2025 artfynd.xlsx", "S 776-2025")</f>
        <v/>
      </c>
      <c r="X675">
        <f>HYPERLINK("https://klasma.github.io/Logging_2132/kartor/S 776-2025 karta.png", "S 776-2025")</f>
        <v/>
      </c>
      <c r="Y675">
        <f>HYPERLINK("https://klasma.github.io/Logging_2132/kartor_geotiff/S 776-2025 georefererad karta.tif", "S 776-2025")</f>
        <v/>
      </c>
      <c r="AA675">
        <f>HYPERLINK("https://klasma.github.io/Logging_2132/klagomål/S 776-2025 FSC-klagomål.docx", "S 776-2025")</f>
        <v/>
      </c>
      <c r="AB675">
        <f>HYPERLINK("https://klasma.github.io/Logging_2132/klagomålsmail/S 776-2025 FSC-klagomål mail.docx", "S 776-2025")</f>
        <v/>
      </c>
      <c r="AC675">
        <f>HYPERLINK("https://klasma.github.io/Logging_2132/tillsyn/S 776-2025 tillsynsbegäran.docx", "S 776-2025")</f>
        <v/>
      </c>
      <c r="AD675">
        <f>HYPERLINK("https://klasma.github.io/Logging_2132/tillsynsmail/S 776-2025 tillsynsbegäran mail.docx", "S 776-2025")</f>
        <v/>
      </c>
    </row>
    <row r="676" ht="15" customHeight="1">
      <c r="A676" t="inlineStr">
        <is>
          <t>S 840-2026</t>
        </is>
      </c>
      <c r="B676" t="inlineStr">
        <is>
          <t>samrådsanmälan</t>
        </is>
      </c>
      <c r="C676" t="inlineStr">
        <is>
          <t>Annan skogsbruksåtgärd</t>
        </is>
      </c>
      <c r="D676" s="1" t="n">
        <v>46105</v>
      </c>
      <c r="E676" s="1" t="n">
        <v>46326</v>
      </c>
      <c r="F676" t="inlineStr">
        <is>
          <t>GÄVLEBORGS LÄN</t>
        </is>
      </c>
      <c r="G676" t="inlineStr">
        <is>
          <t>BOLLNÄS</t>
        </is>
      </c>
      <c r="I676" t="n">
        <v>14.7</v>
      </c>
      <c r="J676" t="n">
        <v>2</v>
      </c>
      <c r="K676" t="n">
        <v>0</v>
      </c>
      <c r="L676" t="n">
        <v>1</v>
      </c>
      <c r="M676" t="n">
        <v>1</v>
      </c>
      <c r="N676" t="n">
        <v>0</v>
      </c>
      <c r="O676" t="n">
        <v>0</v>
      </c>
      <c r="P676" t="n">
        <v>0</v>
      </c>
      <c r="Q676" t="n">
        <v>2</v>
      </c>
      <c r="R676" t="n">
        <v>1</v>
      </c>
      <c r="S676" t="n">
        <v>2</v>
      </c>
      <c r="T676" t="n">
        <v>3</v>
      </c>
      <c r="U676" t="n">
        <v>0</v>
      </c>
      <c r="V676" s="2" t="inlineStr">
        <is>
          <t>Knärot
Lavskrika</t>
        </is>
      </c>
      <c r="W676">
        <f>HYPERLINK("https://klasma.github.io/Logging_2183/artfynd/S 840-2026 artfynd.xlsx", "S 840-2026")</f>
        <v/>
      </c>
      <c r="X676">
        <f>HYPERLINK("https://klasma.github.io/Logging_2183/kartor/S 840-2026 karta.png", "S 840-2026")</f>
        <v/>
      </c>
      <c r="Y676">
        <f>HYPERLINK("https://klasma.github.io/Logging_2183/kartor_geotiff/S 840-2026 georefererad karta.tif", "S 840-2026")</f>
        <v/>
      </c>
      <c r="Z676">
        <f>HYPERLINK("https://klasma.github.io/Logging_2183/knärot/S 840-2026 karta knärot.png", "S 840-2026")</f>
        <v/>
      </c>
      <c r="AA676">
        <f>HYPERLINK("https://klasma.github.io/Logging_2183/klagomål/S 840-2026 FSC-klagomål.docx", "S 840-2026")</f>
        <v/>
      </c>
      <c r="AB676">
        <f>HYPERLINK("https://klasma.github.io/Logging_2183/klagomålsmail/S 840-2026 FSC-klagomål mail.docx", "S 840-2026")</f>
        <v/>
      </c>
      <c r="AC676">
        <f>HYPERLINK("https://klasma.github.io/Logging_2183/tillsyn/S 840-2026 tillsynsbegäran.docx", "S 840-2026")</f>
        <v/>
      </c>
      <c r="AD676">
        <f>HYPERLINK("https://klasma.github.io/Logging_2183/tillsynsmail/S 840-2026 tillsynsbegäran mail.docx", "S 840-2026")</f>
        <v/>
      </c>
      <c r="AE676">
        <f>HYPERLINK("https://klasma.github.io/Logging_2183/fåglar/S 840-2026 prioriterade fågelarter.docx", "S 840-2026")</f>
        <v/>
      </c>
    </row>
    <row r="677" ht="15" customHeight="1">
      <c r="A677" t="inlineStr">
        <is>
          <t>S 1254-2026</t>
        </is>
      </c>
      <c r="B677" t="inlineStr">
        <is>
          <t>samrådsanmälan</t>
        </is>
      </c>
      <c r="C677" t="inlineStr">
        <is>
          <t>Askåterföring</t>
        </is>
      </c>
      <c r="D677" s="1" t="n">
        <v>46142</v>
      </c>
      <c r="E677" s="1" t="n">
        <v>46326</v>
      </c>
      <c r="F677" t="inlineStr">
        <is>
          <t>GÄVLEBORGS LÄN</t>
        </is>
      </c>
      <c r="G677" t="inlineStr">
        <is>
          <t>HOFORS</t>
        </is>
      </c>
      <c r="H677" t="inlineStr">
        <is>
          <t>Sveaskog</t>
        </is>
      </c>
      <c r="I677" t="n">
        <v>78</v>
      </c>
      <c r="J677" t="n">
        <v>1</v>
      </c>
      <c r="K677" t="n">
        <v>0</v>
      </c>
      <c r="L677" t="n">
        <v>2</v>
      </c>
      <c r="M677" t="n">
        <v>0</v>
      </c>
      <c r="N677" t="n">
        <v>0</v>
      </c>
      <c r="O677" t="n">
        <v>0</v>
      </c>
      <c r="P677" t="n">
        <v>0</v>
      </c>
      <c r="Q677" t="n">
        <v>2</v>
      </c>
      <c r="R677" t="n">
        <v>0</v>
      </c>
      <c r="S677" t="n">
        <v>2</v>
      </c>
      <c r="T677" t="n">
        <v>2</v>
      </c>
      <c r="U677" t="n">
        <v>0</v>
      </c>
      <c r="V677" s="2" t="inlineStr">
        <is>
          <t>Brunklöver
Nordfladdermus</t>
        </is>
      </c>
      <c r="W677">
        <f>HYPERLINK("https://klasma.github.io/Logging_2104/artfynd/S 1254-2026 artfynd.xlsx", "S 1254-2026")</f>
        <v/>
      </c>
      <c r="X677">
        <f>HYPERLINK("https://klasma.github.io/Logging_2104/kartor/S 1254-2026 karta.png", "S 1254-2026")</f>
        <v/>
      </c>
      <c r="Y677">
        <f>HYPERLINK("https://klasma.github.io/Logging_2104/kartor_geotiff/S 1254-2026 georefererad karta.tif", "S 1254-2026")</f>
        <v/>
      </c>
      <c r="AA677">
        <f>HYPERLINK("https://klasma.github.io/Logging_2104/klagomål/S 1254-2026 FSC-klagomål.docx", "S 1254-2026")</f>
        <v/>
      </c>
      <c r="AB677">
        <f>HYPERLINK("https://klasma.github.io/Logging_2104/klagomålsmail/S 1254-2026 FSC-klagomål mail.docx", "S 1254-2026")</f>
        <v/>
      </c>
      <c r="AC677">
        <f>HYPERLINK("https://klasma.github.io/Logging_2104/tillsyn/S 1254-2026 tillsynsbegäran.docx", "S 1254-2026")</f>
        <v/>
      </c>
      <c r="AD677">
        <f>HYPERLINK("https://klasma.github.io/Logging_2104/tillsynsmail/S 1254-2026 tillsynsbegäran mail.docx", "S 1254-2026")</f>
        <v/>
      </c>
    </row>
    <row r="678" ht="15" customHeight="1">
      <c r="A678" t="inlineStr">
        <is>
          <t>S 1035-2026</t>
        </is>
      </c>
      <c r="B678" t="inlineStr">
        <is>
          <t>samrådsanmälan</t>
        </is>
      </c>
      <c r="C678" t="inlineStr">
        <is>
          <t>Askåterföring</t>
        </is>
      </c>
      <c r="D678" s="1" t="n">
        <v>46125</v>
      </c>
      <c r="E678" s="1" t="n">
        <v>46326</v>
      </c>
      <c r="F678" t="inlineStr">
        <is>
          <t>GÄVLEBORGS LÄN</t>
        </is>
      </c>
      <c r="G678" t="inlineStr">
        <is>
          <t>HOFORS</t>
        </is>
      </c>
      <c r="H678" t="inlineStr">
        <is>
          <t>Sveaskog</t>
        </is>
      </c>
      <c r="I678" t="n">
        <v>30.8</v>
      </c>
      <c r="J678" t="n">
        <v>2</v>
      </c>
      <c r="K678" t="n">
        <v>0</v>
      </c>
      <c r="L678" t="n">
        <v>0</v>
      </c>
      <c r="M678" t="n">
        <v>0</v>
      </c>
      <c r="N678" t="n">
        <v>0</v>
      </c>
      <c r="O678" t="n">
        <v>0</v>
      </c>
      <c r="P678" t="n">
        <v>0</v>
      </c>
      <c r="Q678" t="n">
        <v>0</v>
      </c>
      <c r="R678" t="n">
        <v>0</v>
      </c>
      <c r="S678" t="n">
        <v>2</v>
      </c>
      <c r="T678" t="n">
        <v>2</v>
      </c>
      <c r="U678" t="n">
        <v>0</v>
      </c>
      <c r="V678" s="2" t="inlineStr">
        <is>
          <t>Mattlummer
Revlummer</t>
        </is>
      </c>
      <c r="W678">
        <f>HYPERLINK("https://klasma.github.io/Logging_2104/artfynd/S 1035-2026 artfynd.xlsx", "S 1035-2026")</f>
        <v/>
      </c>
      <c r="X678">
        <f>HYPERLINK("https://klasma.github.io/Logging_2104/kartor/S 1035-2026 karta.png", "S 1035-2026")</f>
        <v/>
      </c>
      <c r="Y678">
        <f>HYPERLINK("https://klasma.github.io/Logging_2104/kartor_geotiff/S 1035-2026 georefererad karta.tif", "S 1035-2026")</f>
        <v/>
      </c>
      <c r="AA678">
        <f>HYPERLINK("https://klasma.github.io/Logging_2104/klagomål/S 1035-2026 FSC-klagomål.docx", "S 1035-2026")</f>
        <v/>
      </c>
      <c r="AB678">
        <f>HYPERLINK("https://klasma.github.io/Logging_2104/klagomålsmail/S 1035-2026 FSC-klagomål mail.docx", "S 1035-2026")</f>
        <v/>
      </c>
      <c r="AC678">
        <f>HYPERLINK("https://klasma.github.io/Logging_2104/tillsyn/S 1035-2026 tillsynsbegäran.docx", "S 1035-2026")</f>
        <v/>
      </c>
      <c r="AD678">
        <f>HYPERLINK("https://klasma.github.io/Logging_2104/tillsynsmail/S 1035-2026 tillsynsbegäran mail.docx", "S 1035-2026")</f>
        <v/>
      </c>
    </row>
    <row r="679" ht="15" customHeight="1">
      <c r="A679" t="inlineStr">
        <is>
          <t>A 63084-2021</t>
        </is>
      </c>
      <c r="B679" t="inlineStr">
        <is>
          <t>avverkningsanmälan</t>
        </is>
      </c>
      <c r="C679" t="inlineStr">
        <is>
          <t>Föryngringsavverkning</t>
        </is>
      </c>
      <c r="D679" s="1" t="n">
        <v>44505</v>
      </c>
      <c r="E679" s="1" t="n">
        <v>46326</v>
      </c>
      <c r="F679" t="inlineStr">
        <is>
          <t>GÄVLEBORGS LÄN</t>
        </is>
      </c>
      <c r="G679" t="inlineStr">
        <is>
          <t>SANDVIKEN</t>
        </is>
      </c>
      <c r="I679" t="n">
        <v>2.5</v>
      </c>
      <c r="J679" t="n">
        <v>1</v>
      </c>
      <c r="K679" t="n">
        <v>0</v>
      </c>
      <c r="L679" t="n">
        <v>0</v>
      </c>
      <c r="M679" t="n">
        <v>0</v>
      </c>
      <c r="N679" t="n">
        <v>0</v>
      </c>
      <c r="O679" t="n">
        <v>0</v>
      </c>
      <c r="P679" t="n">
        <v>0</v>
      </c>
      <c r="Q679" t="n">
        <v>0</v>
      </c>
      <c r="R679" t="n">
        <v>0</v>
      </c>
      <c r="S679" t="n">
        <v>1</v>
      </c>
      <c r="T679" t="n">
        <v>1</v>
      </c>
      <c r="U679" t="n">
        <v>1</v>
      </c>
      <c r="V679" s="2" t="inlineStr">
        <is>
          <t>Kungsfågel</t>
        </is>
      </c>
      <c r="W679">
        <f>HYPERLINK("https://klasma.github.io/Logging_2181/artfynd/A 63084-2021 artfynd.xlsx", "A 63084-2021")</f>
        <v/>
      </c>
      <c r="X679">
        <f>HYPERLINK("https://klasma.github.io/Logging_2181/kartor/A 63084-2021 karta.png", "A 63084-2021")</f>
        <v/>
      </c>
      <c r="Y679">
        <f>HYPERLINK("https://klasma.github.io/Logging_2181/kartor_geotiff/A 63084-2021 georefererad karta.tif", "A 63084-2021")</f>
        <v/>
      </c>
      <c r="AA679">
        <f>HYPERLINK("https://klasma.github.io/Logging_2181/klagomål/A 63084-2021 FSC-klagomål.docx", "A 63084-2021")</f>
        <v/>
      </c>
      <c r="AB679">
        <f>HYPERLINK("https://klasma.github.io/Logging_2181/klagomålsmail/A 63084-2021 FSC-klagomål mail.docx", "A 63084-2021")</f>
        <v/>
      </c>
      <c r="AC679">
        <f>HYPERLINK("https://klasma.github.io/Logging_2181/tillsyn/A 63084-2021 tillsynsbegäran.docx", "A 63084-2021")</f>
        <v/>
      </c>
      <c r="AD679">
        <f>HYPERLINK("https://klasma.github.io/Logging_2181/tillsynsmail/A 63084-2021 tillsynsbegäran mail.docx", "A 63084-2021")</f>
        <v/>
      </c>
    </row>
    <row r="680" ht="15" customHeight="1">
      <c r="A680" t="inlineStr">
        <is>
          <t>A 72077-2021</t>
        </is>
      </c>
      <c r="B680" t="inlineStr">
        <is>
          <t>avverkningsanmälan</t>
        </is>
      </c>
      <c r="C680" t="inlineStr">
        <is>
          <t>Föryngringsavverkning</t>
        </is>
      </c>
      <c r="D680" s="1" t="n">
        <v>44544</v>
      </c>
      <c r="E680" s="1" t="n">
        <v>46326</v>
      </c>
      <c r="F680" t="inlineStr">
        <is>
          <t>GÄVLEBORGS LÄN</t>
        </is>
      </c>
      <c r="G680" t="inlineStr">
        <is>
          <t>HUDIKSVALL</t>
        </is>
      </c>
      <c r="I680" t="n">
        <v>0.5</v>
      </c>
      <c r="J680" t="n">
        <v>1</v>
      </c>
      <c r="K680" t="n">
        <v>0</v>
      </c>
      <c r="L680" t="n">
        <v>0</v>
      </c>
      <c r="M680" t="n">
        <v>0</v>
      </c>
      <c r="N680" t="n">
        <v>0</v>
      </c>
      <c r="O680" t="n">
        <v>0</v>
      </c>
      <c r="P680" t="n">
        <v>0</v>
      </c>
      <c r="Q680" t="n">
        <v>0</v>
      </c>
      <c r="R680" t="n">
        <v>0</v>
      </c>
      <c r="S680" t="n">
        <v>1</v>
      </c>
      <c r="T680" t="n">
        <v>1</v>
      </c>
      <c r="U680" t="n">
        <v>1</v>
      </c>
      <c r="V680" s="2" t="inlineStr">
        <is>
          <t>Orre</t>
        </is>
      </c>
      <c r="W680">
        <f>HYPERLINK("https://klasma.github.io/Logging_2184/artfynd/A 72077-2021 artfynd.xlsx", "A 72077-2021")</f>
        <v/>
      </c>
      <c r="X680">
        <f>HYPERLINK("https://klasma.github.io/Logging_2184/kartor/A 72077-2021 karta.png", "A 72077-2021")</f>
        <v/>
      </c>
      <c r="Y680">
        <f>HYPERLINK("https://klasma.github.io/Logging_2184/kartor_geotiff/A 72077-2021 georefererad karta.tif", "A 72077-2021")</f>
        <v/>
      </c>
      <c r="AA680">
        <f>HYPERLINK("https://klasma.github.io/Logging_2184/klagomål/A 72077-2021 FSC-klagomål.docx", "A 72077-2021")</f>
        <v/>
      </c>
      <c r="AB680">
        <f>HYPERLINK("https://klasma.github.io/Logging_2184/klagomålsmail/A 72077-2021 FSC-klagomål mail.docx", "A 72077-2021")</f>
        <v/>
      </c>
      <c r="AC680">
        <f>HYPERLINK("https://klasma.github.io/Logging_2184/tillsyn/A 72077-2021 tillsynsbegäran.docx", "A 72077-2021")</f>
        <v/>
      </c>
      <c r="AD680">
        <f>HYPERLINK("https://klasma.github.io/Logging_2184/tillsynsmail/A 72077-2021 tillsynsbegäran mail.docx", "A 72077-2021")</f>
        <v/>
      </c>
      <c r="AE680">
        <f>HYPERLINK("https://klasma.github.io/Logging_2184/fåglar/A 72077-2021 prioriterade fågelarter.docx", "A 72077-2021")</f>
        <v/>
      </c>
    </row>
    <row r="681" ht="15" customHeight="1">
      <c r="A681" t="inlineStr">
        <is>
          <t>A 27966-2022</t>
        </is>
      </c>
      <c r="B681" t="inlineStr">
        <is>
          <t>avverkningsanmälan</t>
        </is>
      </c>
      <c r="C681" t="inlineStr">
        <is>
          <t>Föryngringsavverkning</t>
        </is>
      </c>
      <c r="D681" s="1" t="n">
        <v>44744</v>
      </c>
      <c r="E681" s="1" t="n">
        <v>46326</v>
      </c>
      <c r="F681" t="inlineStr">
        <is>
          <t>GÄVLEBORGS LÄN</t>
        </is>
      </c>
      <c r="G681" t="inlineStr">
        <is>
          <t>SANDVIKEN</t>
        </is>
      </c>
      <c r="I681" t="n">
        <v>2.6</v>
      </c>
      <c r="J681" t="n">
        <v>0</v>
      </c>
      <c r="K681" t="n">
        <v>0</v>
      </c>
      <c r="L681" t="n">
        <v>1</v>
      </c>
      <c r="M681" t="n">
        <v>0</v>
      </c>
      <c r="N681" t="n">
        <v>0</v>
      </c>
      <c r="O681" t="n">
        <v>0</v>
      </c>
      <c r="P681" t="n">
        <v>0</v>
      </c>
      <c r="Q681" t="n">
        <v>1</v>
      </c>
      <c r="R681" t="n">
        <v>0</v>
      </c>
      <c r="S681" t="n">
        <v>1</v>
      </c>
      <c r="T681" t="n">
        <v>3</v>
      </c>
      <c r="U681" t="n">
        <v>3</v>
      </c>
      <c r="V681" s="2" t="inlineStr">
        <is>
          <t>Kortskaftad ärgspik</t>
        </is>
      </c>
      <c r="W681">
        <f>HYPERLINK("https://klasma.github.io/Logging_2181/artfynd/A 27966-2022 artfynd.xlsx", "A 27966-2022")</f>
        <v/>
      </c>
      <c r="X681">
        <f>HYPERLINK("https://klasma.github.io/Logging_2181/kartor/A 27966-2022 karta.png", "A 27966-2022")</f>
        <v/>
      </c>
      <c r="Y681">
        <f>HYPERLINK("https://klasma.github.io/Logging_2181/kartor_geotiff/A 27966-2022 georefererad karta.tif", "A 27966-2022")</f>
        <v/>
      </c>
      <c r="AA681">
        <f>HYPERLINK("https://klasma.github.io/Logging_2181/klagomål/A 27966-2022 FSC-klagomål.docx", "A 27966-2022")</f>
        <v/>
      </c>
      <c r="AB681">
        <f>HYPERLINK("https://klasma.github.io/Logging_2181/klagomålsmail/A 27966-2022 FSC-klagomål mail.docx", "A 27966-2022")</f>
        <v/>
      </c>
      <c r="AC681">
        <f>HYPERLINK("https://klasma.github.io/Logging_2181/tillsyn/A 27966-2022 tillsynsbegäran.docx", "A 27966-2022")</f>
        <v/>
      </c>
      <c r="AD681">
        <f>HYPERLINK("https://klasma.github.io/Logging_2181/tillsynsmail/A 27966-2022 tillsynsbegäran mail.docx", "A 27966-2022")</f>
        <v/>
      </c>
    </row>
    <row r="682" ht="15" customHeight="1">
      <c r="A682" t="inlineStr">
        <is>
          <t>A 65270-2021</t>
        </is>
      </c>
      <c r="B682" t="inlineStr">
        <is>
          <t>avverkningsanmälan</t>
        </is>
      </c>
      <c r="C682" t="inlineStr">
        <is>
          <t>Föryngringsavverkning</t>
        </is>
      </c>
      <c r="D682" s="1" t="n">
        <v>44515</v>
      </c>
      <c r="E682" s="1" t="n">
        <v>46326</v>
      </c>
      <c r="F682" t="inlineStr">
        <is>
          <t>GÄVLEBORGS LÄN</t>
        </is>
      </c>
      <c r="G682" t="inlineStr">
        <is>
          <t>SANDVIKEN</t>
        </is>
      </c>
      <c r="I682" t="n">
        <v>1.4</v>
      </c>
      <c r="J682" t="n">
        <v>1</v>
      </c>
      <c r="K682" t="n">
        <v>0</v>
      </c>
      <c r="L682" t="n">
        <v>0</v>
      </c>
      <c r="M682" t="n">
        <v>0</v>
      </c>
      <c r="N682" t="n">
        <v>0</v>
      </c>
      <c r="O682" t="n">
        <v>0</v>
      </c>
      <c r="P682" t="n">
        <v>0</v>
      </c>
      <c r="Q682" t="n">
        <v>0</v>
      </c>
      <c r="R682" t="n">
        <v>0</v>
      </c>
      <c r="S682" t="n">
        <v>1</v>
      </c>
      <c r="T682" t="n">
        <v>1</v>
      </c>
      <c r="U682" t="n">
        <v>1</v>
      </c>
      <c r="V682" s="2" t="inlineStr">
        <is>
          <t>Tjäder</t>
        </is>
      </c>
      <c r="W682">
        <f>HYPERLINK("https://klasma.github.io/Logging_2181/artfynd/A 65270-2021 artfynd.xlsx", "A 65270-2021")</f>
        <v/>
      </c>
      <c r="X682">
        <f>HYPERLINK("https://klasma.github.io/Logging_2181/kartor/A 65270-2021 karta.png", "A 65270-2021")</f>
        <v/>
      </c>
      <c r="Y682">
        <f>HYPERLINK("https://klasma.github.io/Logging_2181/kartor_geotiff/A 65270-2021 georefererad karta.tif", "A 65270-2021")</f>
        <v/>
      </c>
      <c r="AA682">
        <f>HYPERLINK("https://klasma.github.io/Logging_2181/klagomål/A 65270-2021 FSC-klagomål.docx", "A 65270-2021")</f>
        <v/>
      </c>
      <c r="AB682">
        <f>HYPERLINK("https://klasma.github.io/Logging_2181/klagomålsmail/A 65270-2021 FSC-klagomål mail.docx", "A 65270-2021")</f>
        <v/>
      </c>
      <c r="AC682">
        <f>HYPERLINK("https://klasma.github.io/Logging_2181/tillsyn/A 65270-2021 tillsynsbegäran.docx", "A 65270-2021")</f>
        <v/>
      </c>
      <c r="AD682">
        <f>HYPERLINK("https://klasma.github.io/Logging_2181/tillsynsmail/A 65270-2021 tillsynsbegäran mail.docx", "A 65270-2021")</f>
        <v/>
      </c>
      <c r="AE682">
        <f>HYPERLINK("https://klasma.github.io/Logging_2181/fåglar/A 65270-2021 prioriterade fågelarter.docx", "A 65270-2021")</f>
        <v/>
      </c>
    </row>
    <row r="683" ht="15" customHeight="1">
      <c r="A683" t="inlineStr">
        <is>
          <t>A 44116-2022</t>
        </is>
      </c>
      <c r="B683" t="inlineStr">
        <is>
          <t>avverkningsanmälan</t>
        </is>
      </c>
      <c r="C683" t="inlineStr">
        <is>
          <t>Avverkning för att bevara och utveckla /försöksver</t>
        </is>
      </c>
      <c r="D683" s="1" t="n">
        <v>44839</v>
      </c>
      <c r="E683" s="1" t="n">
        <v>46326</v>
      </c>
      <c r="F683" t="inlineStr">
        <is>
          <t>GÄVLEBORGS LÄN</t>
        </is>
      </c>
      <c r="G683" t="inlineStr">
        <is>
          <t>LJUSDAL</t>
        </is>
      </c>
      <c r="H683" t="inlineStr">
        <is>
          <t>Sveaskog</t>
        </is>
      </c>
      <c r="I683" t="n">
        <v>9.199999999999999</v>
      </c>
      <c r="J683" t="n">
        <v>0</v>
      </c>
      <c r="K683" t="n">
        <v>0</v>
      </c>
      <c r="L683" t="n">
        <v>1</v>
      </c>
      <c r="M683" t="n">
        <v>0</v>
      </c>
      <c r="N683" t="n">
        <v>0</v>
      </c>
      <c r="O683" t="n">
        <v>0</v>
      </c>
      <c r="P683" t="n">
        <v>0</v>
      </c>
      <c r="Q683" t="n">
        <v>1</v>
      </c>
      <c r="R683" t="n">
        <v>0</v>
      </c>
      <c r="S683" t="n">
        <v>1</v>
      </c>
      <c r="T683" t="n">
        <v>2</v>
      </c>
      <c r="U683" t="n">
        <v>2</v>
      </c>
      <c r="V683" s="2" t="inlineStr">
        <is>
          <t>Lunglav</t>
        </is>
      </c>
      <c r="W683">
        <f>HYPERLINK("https://klasma.github.io/Logging_2161/artfynd/A 44116-2022 artfynd.xlsx", "A 44116-2022")</f>
        <v/>
      </c>
      <c r="X683">
        <f>HYPERLINK("https://klasma.github.io/Logging_2161/kartor/A 44116-2022 karta.png", "A 44116-2022")</f>
        <v/>
      </c>
      <c r="Y683">
        <f>HYPERLINK("https://klasma.github.io/Logging_2161/kartor_geotiff/A 44116-2022 georefererad karta.tif", "A 44116-2022")</f>
        <v/>
      </c>
      <c r="AA683">
        <f>HYPERLINK("https://klasma.github.io/Logging_2161/klagomål/A 44116-2022 FSC-klagomål.docx", "A 44116-2022")</f>
        <v/>
      </c>
      <c r="AB683">
        <f>HYPERLINK("https://klasma.github.io/Logging_2161/klagomålsmail/A 44116-2022 FSC-klagomål mail.docx", "A 44116-2022")</f>
        <v/>
      </c>
      <c r="AC683">
        <f>HYPERLINK("https://klasma.github.io/Logging_2161/tillsyn/A 44116-2022 tillsynsbegäran.docx", "A 44116-2022")</f>
        <v/>
      </c>
      <c r="AD683">
        <f>HYPERLINK("https://klasma.github.io/Logging_2161/tillsynsmail/A 44116-2022 tillsynsbegäran mail.docx", "A 44116-2022")</f>
        <v/>
      </c>
    </row>
    <row r="684" ht="15" customHeight="1">
      <c r="A684" t="inlineStr">
        <is>
          <t>A 53487-2022</t>
        </is>
      </c>
      <c r="B684" t="inlineStr">
        <is>
          <t>avverkningsanmälan</t>
        </is>
      </c>
      <c r="C684" t="inlineStr">
        <is>
          <t>Föryngringsavverkning</t>
        </is>
      </c>
      <c r="D684" s="1" t="n">
        <v>44879</v>
      </c>
      <c r="E684" s="1" t="n">
        <v>46326</v>
      </c>
      <c r="F684" t="inlineStr">
        <is>
          <t>GÄVLEBORGS LÄN</t>
        </is>
      </c>
      <c r="G684" t="inlineStr">
        <is>
          <t>LJUSDAL</t>
        </is>
      </c>
      <c r="I684" t="n">
        <v>1.7</v>
      </c>
      <c r="J684" t="n">
        <v>0</v>
      </c>
      <c r="K684" t="n">
        <v>0</v>
      </c>
      <c r="L684" t="n">
        <v>0</v>
      </c>
      <c r="M684" t="n">
        <v>1</v>
      </c>
      <c r="N684" t="n">
        <v>0</v>
      </c>
      <c r="O684" t="n">
        <v>0</v>
      </c>
      <c r="P684" t="n">
        <v>0</v>
      </c>
      <c r="Q684" t="n">
        <v>1</v>
      </c>
      <c r="R684" t="n">
        <v>1</v>
      </c>
      <c r="S684" t="n">
        <v>1</v>
      </c>
      <c r="T684" t="n">
        <v>2</v>
      </c>
      <c r="U684" t="n">
        <v>2</v>
      </c>
      <c r="V684" s="2" t="inlineStr">
        <is>
          <t>Garnlav</t>
        </is>
      </c>
      <c r="W684">
        <f>HYPERLINK("https://klasma.github.io/Logging_2161/artfynd/A 53487-2022 artfynd.xlsx", "A 53487-2022")</f>
        <v/>
      </c>
      <c r="X684">
        <f>HYPERLINK("https://klasma.github.io/Logging_2161/kartor/A 53487-2022 karta.png", "A 53487-2022")</f>
        <v/>
      </c>
      <c r="Y684">
        <f>HYPERLINK("https://klasma.github.io/Logging_2161/kartor_geotiff/A 53487-2022 georefererad karta.tif", "A 53487-2022")</f>
        <v/>
      </c>
      <c r="AA684">
        <f>HYPERLINK("https://klasma.github.io/Logging_2161/klagomål/A 53487-2022 FSC-klagomål.docx", "A 53487-2022")</f>
        <v/>
      </c>
      <c r="AB684">
        <f>HYPERLINK("https://klasma.github.io/Logging_2161/klagomålsmail/A 53487-2022 FSC-klagomål mail.docx", "A 53487-2022")</f>
        <v/>
      </c>
      <c r="AC684">
        <f>HYPERLINK("https://klasma.github.io/Logging_2161/tillsyn/A 53487-2022 tillsynsbegäran.docx", "A 53487-2022")</f>
        <v/>
      </c>
      <c r="AD684">
        <f>HYPERLINK("https://klasma.github.io/Logging_2161/tillsynsmail/A 53487-2022 tillsynsbegäran mail.docx", "A 53487-2022")</f>
        <v/>
      </c>
    </row>
    <row r="685" ht="15" customHeight="1">
      <c r="A685" t="inlineStr">
        <is>
          <t>A 34345-2022</t>
        </is>
      </c>
      <c r="B685" t="inlineStr">
        <is>
          <t>avverkningsanmälan</t>
        </is>
      </c>
      <c r="C685" t="inlineStr">
        <is>
          <t>Föryngringsavverkning</t>
        </is>
      </c>
      <c r="D685" s="1" t="n">
        <v>44792</v>
      </c>
      <c r="E685" s="1" t="n">
        <v>46326</v>
      </c>
      <c r="F685" t="inlineStr">
        <is>
          <t>GÄVLEBORGS LÄN</t>
        </is>
      </c>
      <c r="G685" t="inlineStr">
        <is>
          <t>HUDIKSVALL</t>
        </is>
      </c>
      <c r="H685" t="inlineStr">
        <is>
          <t>Holmen skog AB</t>
        </is>
      </c>
      <c r="I685" t="n">
        <v>4.4</v>
      </c>
      <c r="J685" t="n">
        <v>0</v>
      </c>
      <c r="K685" t="n">
        <v>1</v>
      </c>
      <c r="L685" t="n">
        <v>0</v>
      </c>
      <c r="M685" t="n">
        <v>0</v>
      </c>
      <c r="N685" t="n">
        <v>0</v>
      </c>
      <c r="O685" t="n">
        <v>0</v>
      </c>
      <c r="P685" t="n">
        <v>0</v>
      </c>
      <c r="Q685" t="n">
        <v>0</v>
      </c>
      <c r="R685" t="n">
        <v>0</v>
      </c>
      <c r="S685" t="n">
        <v>1</v>
      </c>
      <c r="T685" t="n">
        <v>1</v>
      </c>
      <c r="U685" t="n">
        <v>0</v>
      </c>
      <c r="V685" s="2" t="inlineStr">
        <is>
          <t>Stuplav</t>
        </is>
      </c>
      <c r="W685">
        <f>HYPERLINK("https://klasma.github.io/Logging_2184/artfynd/A 34345-2022 artfynd.xlsx", "A 34345-2022")</f>
        <v/>
      </c>
      <c r="X685">
        <f>HYPERLINK("https://klasma.github.io/Logging_2184/kartor/A 34345-2022 karta.png", "A 34345-2022")</f>
        <v/>
      </c>
      <c r="Y685">
        <f>HYPERLINK("https://klasma.github.io/Logging_2184/kartor_geotiff/A 34345-2022 georefererad karta.tif", "A 34345-2022")</f>
        <v/>
      </c>
      <c r="AA685">
        <f>HYPERLINK("https://klasma.github.io/Logging_2184/klagomål/A 34345-2022 FSC-klagomål.docx", "A 34345-2022")</f>
        <v/>
      </c>
      <c r="AB685">
        <f>HYPERLINK("https://klasma.github.io/Logging_2184/klagomålsmail/A 34345-2022 FSC-klagomål mail.docx", "A 34345-2022")</f>
        <v/>
      </c>
      <c r="AC685">
        <f>HYPERLINK("https://klasma.github.io/Logging_2184/tillsyn/A 34345-2022 tillsynsbegäran.docx", "A 34345-2022")</f>
        <v/>
      </c>
      <c r="AD685">
        <f>HYPERLINK("https://klasma.github.io/Logging_2184/tillsynsmail/A 34345-2022 tillsynsbegäran mail.docx", "A 34345-2022")</f>
        <v/>
      </c>
    </row>
    <row r="686" ht="15" customHeight="1">
      <c r="A686" t="inlineStr">
        <is>
          <t>A 48664-2022</t>
        </is>
      </c>
      <c r="B686" t="inlineStr">
        <is>
          <t>avverkningsanmälan</t>
        </is>
      </c>
      <c r="C686" t="inlineStr">
        <is>
          <t>Föryngringsavverkning</t>
        </is>
      </c>
      <c r="D686" s="1" t="n">
        <v>44859</v>
      </c>
      <c r="E686" s="1" t="n">
        <v>46326</v>
      </c>
      <c r="F686" t="inlineStr">
        <is>
          <t>GÄVLEBORGS LÄN</t>
        </is>
      </c>
      <c r="G686" t="inlineStr">
        <is>
          <t>BOLLNÄS</t>
        </is>
      </c>
      <c r="I686" t="n">
        <v>1.3</v>
      </c>
      <c r="J686" t="n">
        <v>0</v>
      </c>
      <c r="K686" t="n">
        <v>0</v>
      </c>
      <c r="L686" t="n">
        <v>0</v>
      </c>
      <c r="M686" t="n">
        <v>1</v>
      </c>
      <c r="N686" t="n">
        <v>0</v>
      </c>
      <c r="O686" t="n">
        <v>0</v>
      </c>
      <c r="P686" t="n">
        <v>0</v>
      </c>
      <c r="Q686" t="n">
        <v>1</v>
      </c>
      <c r="R686" t="n">
        <v>1</v>
      </c>
      <c r="S686" t="n">
        <v>1</v>
      </c>
      <c r="T686" t="n">
        <v>1</v>
      </c>
      <c r="U686" t="n">
        <v>0</v>
      </c>
      <c r="V686" s="2" t="inlineStr">
        <is>
          <t>Lakritsmusseron</t>
        </is>
      </c>
      <c r="W686">
        <f>HYPERLINK("https://klasma.github.io/Logging_2183/artfynd/A 48664-2022 artfynd.xlsx", "A 48664-2022")</f>
        <v/>
      </c>
      <c r="X686">
        <f>HYPERLINK("https://klasma.github.io/Logging_2183/kartor/A 48664-2022 karta.png", "A 48664-2022")</f>
        <v/>
      </c>
      <c r="Y686">
        <f>HYPERLINK("https://klasma.github.io/Logging_2183/kartor_geotiff/A 48664-2022 georefererad karta.tif", "A 48664-2022")</f>
        <v/>
      </c>
      <c r="AA686">
        <f>HYPERLINK("https://klasma.github.io/Logging_2183/klagomål/A 48664-2022 FSC-klagomål.docx", "A 48664-2022")</f>
        <v/>
      </c>
      <c r="AB686">
        <f>HYPERLINK("https://klasma.github.io/Logging_2183/klagomålsmail/A 48664-2022 FSC-klagomål mail.docx", "A 48664-2022")</f>
        <v/>
      </c>
      <c r="AC686">
        <f>HYPERLINK("https://klasma.github.io/Logging_2183/tillsyn/A 48664-2022 tillsynsbegäran.docx", "A 48664-2022")</f>
        <v/>
      </c>
      <c r="AD686">
        <f>HYPERLINK("https://klasma.github.io/Logging_2183/tillsynsmail/A 48664-2022 tillsynsbegäran mail.docx", "A 48664-2022")</f>
        <v/>
      </c>
    </row>
    <row r="687" ht="15" customHeight="1">
      <c r="A687" t="inlineStr">
        <is>
          <t>A 5294-2022</t>
        </is>
      </c>
      <c r="B687" t="inlineStr">
        <is>
          <t>avverkningsanmälan</t>
        </is>
      </c>
      <c r="C687" t="inlineStr">
        <is>
          <t>Föryngringsavverkning</t>
        </is>
      </c>
      <c r="D687" s="1" t="n">
        <v>44594</v>
      </c>
      <c r="E687" s="1" t="n">
        <v>46326</v>
      </c>
      <c r="F687" t="inlineStr">
        <is>
          <t>GÄVLEBORGS LÄN</t>
        </is>
      </c>
      <c r="G687" t="inlineStr">
        <is>
          <t>NORDANSTIG</t>
        </is>
      </c>
      <c r="I687" t="n">
        <v>1.2</v>
      </c>
      <c r="J687" t="n">
        <v>0</v>
      </c>
      <c r="K687" t="n">
        <v>0</v>
      </c>
      <c r="L687" t="n">
        <v>1</v>
      </c>
      <c r="M687" t="n">
        <v>0</v>
      </c>
      <c r="N687" t="n">
        <v>0</v>
      </c>
      <c r="O687" t="n">
        <v>0</v>
      </c>
      <c r="P687" t="n">
        <v>0</v>
      </c>
      <c r="Q687" t="n">
        <v>1</v>
      </c>
      <c r="R687" t="n">
        <v>0</v>
      </c>
      <c r="S687" t="n">
        <v>1</v>
      </c>
      <c r="T687" t="n">
        <v>1</v>
      </c>
      <c r="U687" t="n">
        <v>1</v>
      </c>
      <c r="V687" s="2" t="inlineStr">
        <is>
          <t>Skogsklocka</t>
        </is>
      </c>
      <c r="W687">
        <f>HYPERLINK("https://klasma.github.io/Logging_2132/artfynd/A 5294-2022 artfynd.xlsx", "A 5294-2022")</f>
        <v/>
      </c>
      <c r="X687">
        <f>HYPERLINK("https://klasma.github.io/Logging_2132/kartor/A 5294-2022 karta.png", "A 5294-2022")</f>
        <v/>
      </c>
      <c r="Y687">
        <f>HYPERLINK("https://klasma.github.io/Logging_2132/kartor_geotiff/A 5294-2022 georefererad karta.tif", "A 5294-2022")</f>
        <v/>
      </c>
      <c r="AA687">
        <f>HYPERLINK("https://klasma.github.io/Logging_2132/klagomål/A 5294-2022 FSC-klagomål.docx", "A 5294-2022")</f>
        <v/>
      </c>
      <c r="AB687">
        <f>HYPERLINK("https://klasma.github.io/Logging_2132/klagomålsmail/A 5294-2022 FSC-klagomål mail.docx", "A 5294-2022")</f>
        <v/>
      </c>
      <c r="AC687">
        <f>HYPERLINK("https://klasma.github.io/Logging_2132/tillsyn/A 5294-2022 tillsynsbegäran.docx", "A 5294-2022")</f>
        <v/>
      </c>
      <c r="AD687">
        <f>HYPERLINK("https://klasma.github.io/Logging_2132/tillsynsmail/A 5294-2022 tillsynsbegäran mail.docx", "A 5294-2022")</f>
        <v/>
      </c>
    </row>
    <row r="688" ht="15" customHeight="1">
      <c r="A688" t="inlineStr">
        <is>
          <t>A 13807-2022</t>
        </is>
      </c>
      <c r="B688" t="inlineStr">
        <is>
          <t>avverkningsanmälan</t>
        </is>
      </c>
      <c r="C688" t="inlineStr">
        <is>
          <t>Avverkning för annat ändamål</t>
        </is>
      </c>
      <c r="D688" s="1" t="n">
        <v>44649</v>
      </c>
      <c r="E688" s="1" t="n">
        <v>46326</v>
      </c>
      <c r="F688" t="inlineStr">
        <is>
          <t>GÄVLEBORGS LÄN</t>
        </is>
      </c>
      <c r="G688" t="inlineStr">
        <is>
          <t>HOFORS</t>
        </is>
      </c>
      <c r="I688" t="n">
        <v>1.1</v>
      </c>
      <c r="J688" t="n">
        <v>1</v>
      </c>
      <c r="K688" t="n">
        <v>0</v>
      </c>
      <c r="L688" t="n">
        <v>0</v>
      </c>
      <c r="M688" t="n">
        <v>0</v>
      </c>
      <c r="N688" t="n">
        <v>0</v>
      </c>
      <c r="O688" t="n">
        <v>0</v>
      </c>
      <c r="P688" t="n">
        <v>0</v>
      </c>
      <c r="Q688" t="n">
        <v>0</v>
      </c>
      <c r="R688" t="n">
        <v>0</v>
      </c>
      <c r="S688" t="n">
        <v>1</v>
      </c>
      <c r="T688" t="n">
        <v>1</v>
      </c>
      <c r="U688" t="n">
        <v>0</v>
      </c>
      <c r="V688" s="2" t="inlineStr">
        <is>
          <t>Vanlig groda</t>
        </is>
      </c>
      <c r="W688">
        <f>HYPERLINK("https://klasma.github.io/Logging_2104/artfynd/A 13807-2022 artfynd.xlsx", "A 13807-2022")</f>
        <v/>
      </c>
      <c r="X688">
        <f>HYPERLINK("https://klasma.github.io/Logging_2104/kartor/A 13807-2022 karta.png", "A 13807-2022")</f>
        <v/>
      </c>
      <c r="Y688">
        <f>HYPERLINK("https://klasma.github.io/Logging_2104/kartor_geotiff/A 13807-2022 georefererad karta.tif", "A 13807-2022")</f>
        <v/>
      </c>
      <c r="AA688">
        <f>HYPERLINK("https://klasma.github.io/Logging_2104/klagomål/A 13807-2022 FSC-klagomål.docx", "A 13807-2022")</f>
        <v/>
      </c>
      <c r="AB688">
        <f>HYPERLINK("https://klasma.github.io/Logging_2104/klagomålsmail/A 13807-2022 FSC-klagomål mail.docx", "A 13807-2022")</f>
        <v/>
      </c>
      <c r="AC688">
        <f>HYPERLINK("https://klasma.github.io/Logging_2104/tillsyn/A 13807-2022 tillsynsbegäran.docx", "A 13807-2022")</f>
        <v/>
      </c>
      <c r="AD688">
        <f>HYPERLINK("https://klasma.github.io/Logging_2104/tillsynsmail/A 13807-2022 tillsynsbegäran mail.docx", "A 13807-2022")</f>
        <v/>
      </c>
    </row>
    <row r="689" ht="15" customHeight="1">
      <c r="A689" t="inlineStr">
        <is>
          <t>A 35582-2022</t>
        </is>
      </c>
      <c r="B689" t="inlineStr">
        <is>
          <t>avverkningsanmälan</t>
        </is>
      </c>
      <c r="C689" t="inlineStr">
        <is>
          <t>Föryngringsavverkning</t>
        </is>
      </c>
      <c r="D689" s="1" t="n">
        <v>44799</v>
      </c>
      <c r="E689" s="1" t="n">
        <v>46326</v>
      </c>
      <c r="F689" t="inlineStr">
        <is>
          <t>GÄVLEBORGS LÄN</t>
        </is>
      </c>
      <c r="G689" t="inlineStr">
        <is>
          <t>LJUSDAL</t>
        </is>
      </c>
      <c r="H689" t="inlineStr">
        <is>
          <t>Sveaskog</t>
        </is>
      </c>
      <c r="I689" t="n">
        <v>3.3</v>
      </c>
      <c r="J689" t="n">
        <v>0</v>
      </c>
      <c r="K689" t="n">
        <v>0</v>
      </c>
      <c r="L689" t="n">
        <v>1</v>
      </c>
      <c r="M689" t="n">
        <v>0</v>
      </c>
      <c r="N689" t="n">
        <v>0</v>
      </c>
      <c r="O689" t="n">
        <v>0</v>
      </c>
      <c r="P689" t="n">
        <v>0</v>
      </c>
      <c r="Q689" t="n">
        <v>1</v>
      </c>
      <c r="R689" t="n">
        <v>0</v>
      </c>
      <c r="S689" t="n">
        <v>1</v>
      </c>
      <c r="T689" t="n">
        <v>3</v>
      </c>
      <c r="U689" t="n">
        <v>3</v>
      </c>
      <c r="V689" s="2" t="inlineStr">
        <is>
          <t>Lunglav</t>
        </is>
      </c>
      <c r="W689">
        <f>HYPERLINK("https://klasma.github.io/Logging_2161/artfynd/A 35582-2022 artfynd.xlsx", "A 35582-2022")</f>
        <v/>
      </c>
      <c r="X689">
        <f>HYPERLINK("https://klasma.github.io/Logging_2161/kartor/A 35582-2022 karta.png", "A 35582-2022")</f>
        <v/>
      </c>
      <c r="Y689">
        <f>HYPERLINK("https://klasma.github.io/Logging_2161/kartor_geotiff/A 35582-2022 georefererad karta.tif", "A 35582-2022")</f>
        <v/>
      </c>
      <c r="AA689">
        <f>HYPERLINK("https://klasma.github.io/Logging_2161/klagomål/A 35582-2022 FSC-klagomål.docx", "A 35582-2022")</f>
        <v/>
      </c>
      <c r="AB689">
        <f>HYPERLINK("https://klasma.github.io/Logging_2161/klagomålsmail/A 35582-2022 FSC-klagomål mail.docx", "A 35582-2022")</f>
        <v/>
      </c>
      <c r="AC689">
        <f>HYPERLINK("https://klasma.github.io/Logging_2161/tillsyn/A 35582-2022 tillsynsbegäran.docx", "A 35582-2022")</f>
        <v/>
      </c>
      <c r="AD689">
        <f>HYPERLINK("https://klasma.github.io/Logging_2161/tillsynsmail/A 35582-2022 tillsynsbegäran mail.docx", "A 35582-2022")</f>
        <v/>
      </c>
    </row>
    <row r="690" ht="15" customHeight="1">
      <c r="A690" t="inlineStr">
        <is>
          <t>A 15102-2022</t>
        </is>
      </c>
      <c r="B690" t="inlineStr">
        <is>
          <t>avverkningsanmälan</t>
        </is>
      </c>
      <c r="C690" t="inlineStr">
        <is>
          <t>Föryngringsavverkning</t>
        </is>
      </c>
      <c r="D690" s="1" t="n">
        <v>44658</v>
      </c>
      <c r="E690" s="1" t="n">
        <v>46326</v>
      </c>
      <c r="F690" t="inlineStr">
        <is>
          <t>GÄVLEBORGS LÄN</t>
        </is>
      </c>
      <c r="G690" t="inlineStr">
        <is>
          <t>GÄVLE</t>
        </is>
      </c>
      <c r="H690" t="inlineStr">
        <is>
          <t>Bergvik skog öst AB</t>
        </is>
      </c>
      <c r="I690" t="n">
        <v>4.5</v>
      </c>
      <c r="J690" t="n">
        <v>0</v>
      </c>
      <c r="K690" t="n">
        <v>0</v>
      </c>
      <c r="L690" t="n">
        <v>1</v>
      </c>
      <c r="M690" t="n">
        <v>0</v>
      </c>
      <c r="N690" t="n">
        <v>0</v>
      </c>
      <c r="O690" t="n">
        <v>0</v>
      </c>
      <c r="P690" t="n">
        <v>0</v>
      </c>
      <c r="Q690" t="n">
        <v>1</v>
      </c>
      <c r="R690" t="n">
        <v>0</v>
      </c>
      <c r="S690" t="n">
        <v>1</v>
      </c>
      <c r="T690" t="n">
        <v>1</v>
      </c>
      <c r="U690" t="n">
        <v>1</v>
      </c>
      <c r="V690" s="2" t="inlineStr">
        <is>
          <t>Sumpviol</t>
        </is>
      </c>
      <c r="W690">
        <f>HYPERLINK("https://klasma.github.io/Logging_2180/artfynd/A 15102-2022 artfynd.xlsx", "A 15102-2022")</f>
        <v/>
      </c>
      <c r="X690">
        <f>HYPERLINK("https://klasma.github.io/Logging_2180/kartor/A 15102-2022 karta.png", "A 15102-2022")</f>
        <v/>
      </c>
      <c r="Y690">
        <f>HYPERLINK("https://klasma.github.io/Logging_2180/kartor_geotiff/A 15102-2022 georefererad karta.tif", "A 15102-2022")</f>
        <v/>
      </c>
      <c r="AA690">
        <f>HYPERLINK("https://klasma.github.io/Logging_2180/klagomål/A 15102-2022 FSC-klagomål.docx", "A 15102-2022")</f>
        <v/>
      </c>
      <c r="AB690">
        <f>HYPERLINK("https://klasma.github.io/Logging_2180/klagomålsmail/A 15102-2022 FSC-klagomål mail.docx", "A 15102-2022")</f>
        <v/>
      </c>
      <c r="AC690">
        <f>HYPERLINK("https://klasma.github.io/Logging_2180/tillsyn/A 15102-2022 tillsynsbegäran.docx", "A 15102-2022")</f>
        <v/>
      </c>
      <c r="AD690">
        <f>HYPERLINK("https://klasma.github.io/Logging_2180/tillsynsmail/A 15102-2022 tillsynsbegäran mail.docx", "A 15102-2022")</f>
        <v/>
      </c>
    </row>
    <row r="691" ht="15" customHeight="1">
      <c r="A691" t="inlineStr">
        <is>
          <t>A 64604-2021</t>
        </is>
      </c>
      <c r="B691" t="inlineStr">
        <is>
          <t>avverkningsanmälan</t>
        </is>
      </c>
      <c r="C691" t="inlineStr">
        <is>
          <t>Föryngringsavverkning</t>
        </is>
      </c>
      <c r="D691" s="1" t="n">
        <v>44511</v>
      </c>
      <c r="E691" s="1" t="n">
        <v>46326</v>
      </c>
      <c r="F691" t="inlineStr">
        <is>
          <t>GÄVLEBORGS LÄN</t>
        </is>
      </c>
      <c r="G691" t="inlineStr">
        <is>
          <t>HOFORS</t>
        </is>
      </c>
      <c r="H691" t="inlineStr">
        <is>
          <t>Kyrkan</t>
        </is>
      </c>
      <c r="I691" t="n">
        <v>1.7</v>
      </c>
      <c r="J691" t="n">
        <v>0</v>
      </c>
      <c r="K691" t="n">
        <v>1</v>
      </c>
      <c r="L691" t="n">
        <v>0</v>
      </c>
      <c r="M691" t="n">
        <v>0</v>
      </c>
      <c r="N691" t="n">
        <v>0</v>
      </c>
      <c r="O691" t="n">
        <v>0</v>
      </c>
      <c r="P691" t="n">
        <v>0</v>
      </c>
      <c r="Q691" t="n">
        <v>0</v>
      </c>
      <c r="R691" t="n">
        <v>0</v>
      </c>
      <c r="S691" t="n">
        <v>1</v>
      </c>
      <c r="T691" t="n">
        <v>1</v>
      </c>
      <c r="U691" t="n">
        <v>0</v>
      </c>
      <c r="V691" s="2" t="inlineStr">
        <is>
          <t>Bågpraktmossa</t>
        </is>
      </c>
      <c r="W691">
        <f>HYPERLINK("https://klasma.github.io/Logging_2104/artfynd/A 64604-2021 artfynd.xlsx", "A 64604-2021")</f>
        <v/>
      </c>
      <c r="X691">
        <f>HYPERLINK("https://klasma.github.io/Logging_2104/kartor/A 64604-2021 karta.png", "A 64604-2021")</f>
        <v/>
      </c>
      <c r="Y691">
        <f>HYPERLINK("https://klasma.github.io/Logging_2104/kartor_geotiff/A 64604-2021 georefererad karta.tif", "A 64604-2021")</f>
        <v/>
      </c>
      <c r="AA691">
        <f>HYPERLINK("https://klasma.github.io/Logging_2104/klagomål/A 64604-2021 FSC-klagomål.docx", "A 64604-2021")</f>
        <v/>
      </c>
      <c r="AB691">
        <f>HYPERLINK("https://klasma.github.io/Logging_2104/klagomålsmail/A 64604-2021 FSC-klagomål mail.docx", "A 64604-2021")</f>
        <v/>
      </c>
      <c r="AC691">
        <f>HYPERLINK("https://klasma.github.io/Logging_2104/tillsyn/A 64604-2021 tillsynsbegäran.docx", "A 64604-2021")</f>
        <v/>
      </c>
      <c r="AD691">
        <f>HYPERLINK("https://klasma.github.io/Logging_2104/tillsynsmail/A 64604-2021 tillsynsbegäran mail.docx", "A 64604-2021")</f>
        <v/>
      </c>
    </row>
    <row r="692" ht="15" customHeight="1">
      <c r="A692" t="inlineStr">
        <is>
          <t>A 68162-2021</t>
        </is>
      </c>
      <c r="B692" t="inlineStr">
        <is>
          <t>avverkningsanmälan</t>
        </is>
      </c>
      <c r="C692" t="inlineStr">
        <is>
          <t>Avverkning för annat ändamål</t>
        </is>
      </c>
      <c r="D692" s="1" t="n">
        <v>44526</v>
      </c>
      <c r="E692" s="1" t="n">
        <v>46326</v>
      </c>
      <c r="F692" t="inlineStr">
        <is>
          <t>GÄVLEBORGS LÄN</t>
        </is>
      </c>
      <c r="G692" t="inlineStr">
        <is>
          <t>HUDIKSVALL</t>
        </is>
      </c>
      <c r="I692" t="n">
        <v>1.1</v>
      </c>
      <c r="J692" t="n">
        <v>1</v>
      </c>
      <c r="K692" t="n">
        <v>0</v>
      </c>
      <c r="L692" t="n">
        <v>0</v>
      </c>
      <c r="M692" t="n">
        <v>0</v>
      </c>
      <c r="N692" t="n">
        <v>0</v>
      </c>
      <c r="O692" t="n">
        <v>0</v>
      </c>
      <c r="P692" t="n">
        <v>0</v>
      </c>
      <c r="Q692" t="n">
        <v>0</v>
      </c>
      <c r="R692" t="n">
        <v>0</v>
      </c>
      <c r="S692" t="n">
        <v>1</v>
      </c>
      <c r="T692" t="n">
        <v>1</v>
      </c>
      <c r="U692" t="n">
        <v>0</v>
      </c>
      <c r="V692" s="2" t="inlineStr">
        <is>
          <t>Större vattensalamander</t>
        </is>
      </c>
      <c r="W692">
        <f>HYPERLINK("https://klasma.github.io/Logging_2184/artfynd/A 68162-2021 artfynd.xlsx", "A 68162-2021")</f>
        <v/>
      </c>
      <c r="X692">
        <f>HYPERLINK("https://klasma.github.io/Logging_2184/kartor/A 68162-2021 karta.png", "A 68162-2021")</f>
        <v/>
      </c>
      <c r="Y692">
        <f>HYPERLINK("https://klasma.github.io/Logging_2184/kartor_geotiff/A 68162-2021 georefererad karta.tif", "A 68162-2021")</f>
        <v/>
      </c>
      <c r="AA692">
        <f>HYPERLINK("https://klasma.github.io/Logging_2184/klagomål/A 68162-2021 FSC-klagomål.docx", "A 68162-2021")</f>
        <v/>
      </c>
      <c r="AB692">
        <f>HYPERLINK("https://klasma.github.io/Logging_2184/klagomålsmail/A 68162-2021 FSC-klagomål mail.docx", "A 68162-2021")</f>
        <v/>
      </c>
      <c r="AC692">
        <f>HYPERLINK("https://klasma.github.io/Logging_2184/tillsyn/A 68162-2021 tillsynsbegäran.docx", "A 68162-2021")</f>
        <v/>
      </c>
      <c r="AD692">
        <f>HYPERLINK("https://klasma.github.io/Logging_2184/tillsynsmail/A 68162-2021 tillsynsbegäran mail.docx", "A 68162-2021")</f>
        <v/>
      </c>
    </row>
    <row r="693" ht="15" customHeight="1">
      <c r="A693" t="inlineStr">
        <is>
          <t>A 74349-2021</t>
        </is>
      </c>
      <c r="B693" t="inlineStr">
        <is>
          <t>avverkningsanmälan</t>
        </is>
      </c>
      <c r="C693" t="inlineStr">
        <is>
          <t>Föryngringsavverkning</t>
        </is>
      </c>
      <c r="D693" s="1" t="n">
        <v>44559</v>
      </c>
      <c r="E693" s="1" t="n">
        <v>46326</v>
      </c>
      <c r="F693" t="inlineStr">
        <is>
          <t>GÄVLEBORGS LÄN</t>
        </is>
      </c>
      <c r="G693" t="inlineStr">
        <is>
          <t>HOFORS</t>
        </is>
      </c>
      <c r="I693" t="n">
        <v>1.3</v>
      </c>
      <c r="J693" t="n">
        <v>0</v>
      </c>
      <c r="K693" t="n">
        <v>0</v>
      </c>
      <c r="L693" t="n">
        <v>1</v>
      </c>
      <c r="M693" t="n">
        <v>0</v>
      </c>
      <c r="N693" t="n">
        <v>0</v>
      </c>
      <c r="O693" t="n">
        <v>0</v>
      </c>
      <c r="P693" t="n">
        <v>0</v>
      </c>
      <c r="Q693" t="n">
        <v>1</v>
      </c>
      <c r="R693" t="n">
        <v>0</v>
      </c>
      <c r="S693" t="n">
        <v>1</v>
      </c>
      <c r="T693" t="n">
        <v>1</v>
      </c>
      <c r="U693" t="n">
        <v>1</v>
      </c>
      <c r="V693" s="2" t="inlineStr">
        <is>
          <t>Brunklöver</t>
        </is>
      </c>
      <c r="W693">
        <f>HYPERLINK("https://klasma.github.io/Logging_2104/artfynd/A 74349-2021 artfynd.xlsx", "A 74349-2021")</f>
        <v/>
      </c>
      <c r="X693">
        <f>HYPERLINK("https://klasma.github.io/Logging_2104/kartor/A 74349-2021 karta.png", "A 74349-2021")</f>
        <v/>
      </c>
      <c r="Y693">
        <f>HYPERLINK("https://klasma.github.io/Logging_2104/kartor_geotiff/A 74349-2021 georefererad karta.tif", "A 74349-2021")</f>
        <v/>
      </c>
      <c r="AA693">
        <f>HYPERLINK("https://klasma.github.io/Logging_2104/klagomål/A 74349-2021 FSC-klagomål.docx", "A 74349-2021")</f>
        <v/>
      </c>
      <c r="AB693">
        <f>HYPERLINK("https://klasma.github.io/Logging_2104/klagomålsmail/A 74349-2021 FSC-klagomål mail.docx", "A 74349-2021")</f>
        <v/>
      </c>
      <c r="AC693">
        <f>HYPERLINK("https://klasma.github.io/Logging_2104/tillsyn/A 74349-2021 tillsynsbegäran.docx", "A 74349-2021")</f>
        <v/>
      </c>
      <c r="AD693">
        <f>HYPERLINK("https://klasma.github.io/Logging_2104/tillsynsmail/A 74349-2021 tillsynsbegäran mail.docx", "A 74349-2021")</f>
        <v/>
      </c>
    </row>
    <row r="694" ht="15" customHeight="1">
      <c r="A694" t="inlineStr">
        <is>
          <t>A 18306-2022</t>
        </is>
      </c>
      <c r="B694" t="inlineStr">
        <is>
          <t>avverkningsanmälan</t>
        </is>
      </c>
      <c r="C694" t="inlineStr">
        <is>
          <t>Föryngringsavverkning</t>
        </is>
      </c>
      <c r="D694" s="1" t="n">
        <v>44685</v>
      </c>
      <c r="E694" s="1" t="n">
        <v>46326</v>
      </c>
      <c r="F694" t="inlineStr">
        <is>
          <t>GÄVLEBORGS LÄN</t>
        </is>
      </c>
      <c r="G694" t="inlineStr">
        <is>
          <t>NORDANSTIG</t>
        </is>
      </c>
      <c r="I694" t="n">
        <v>2.4</v>
      </c>
      <c r="J694" t="n">
        <v>0</v>
      </c>
      <c r="K694" t="n">
        <v>0</v>
      </c>
      <c r="L694" t="n">
        <v>0</v>
      </c>
      <c r="M694" t="n">
        <v>1</v>
      </c>
      <c r="N694" t="n">
        <v>0</v>
      </c>
      <c r="O694" t="n">
        <v>0</v>
      </c>
      <c r="P694" t="n">
        <v>0</v>
      </c>
      <c r="Q694" t="n">
        <v>1</v>
      </c>
      <c r="R694" t="n">
        <v>1</v>
      </c>
      <c r="S694" t="n">
        <v>1</v>
      </c>
      <c r="T694" t="n">
        <v>1</v>
      </c>
      <c r="U694" t="n">
        <v>1</v>
      </c>
      <c r="V694" s="2" t="inlineStr">
        <is>
          <t>Igelkott</t>
        </is>
      </c>
      <c r="W694">
        <f>HYPERLINK("https://klasma.github.io/Logging_2132/artfynd/A 18306-2022 artfynd.xlsx", "A 18306-2022")</f>
        <v/>
      </c>
      <c r="X694">
        <f>HYPERLINK("https://klasma.github.io/Logging_2132/kartor/A 18306-2022 karta.png", "A 18306-2022")</f>
        <v/>
      </c>
      <c r="Y694">
        <f>HYPERLINK("https://klasma.github.io/Logging_2132/kartor_geotiff/A 18306-2022 georefererad karta.tif", "A 18306-2022")</f>
        <v/>
      </c>
      <c r="AA694">
        <f>HYPERLINK("https://klasma.github.io/Logging_2132/klagomål/A 18306-2022 FSC-klagomål.docx", "A 18306-2022")</f>
        <v/>
      </c>
      <c r="AB694">
        <f>HYPERLINK("https://klasma.github.io/Logging_2132/klagomålsmail/A 18306-2022 FSC-klagomål mail.docx", "A 18306-2022")</f>
        <v/>
      </c>
      <c r="AC694">
        <f>HYPERLINK("https://klasma.github.io/Logging_2132/tillsyn/A 18306-2022 tillsynsbegäran.docx", "A 18306-2022")</f>
        <v/>
      </c>
      <c r="AD694">
        <f>HYPERLINK("https://klasma.github.io/Logging_2132/tillsynsmail/A 18306-2022 tillsynsbegäran mail.docx", "A 18306-2022")</f>
        <v/>
      </c>
    </row>
    <row r="695" ht="15" customHeight="1">
      <c r="A695" t="inlineStr">
        <is>
          <t>A 71122-2021</t>
        </is>
      </c>
      <c r="B695" t="inlineStr">
        <is>
          <t>avverkningsanmälan</t>
        </is>
      </c>
      <c r="C695" t="inlineStr">
        <is>
          <t>Föryngringsavverkning</t>
        </is>
      </c>
      <c r="D695" s="1" t="n">
        <v>44539</v>
      </c>
      <c r="E695" s="1" t="n">
        <v>46326</v>
      </c>
      <c r="F695" t="inlineStr">
        <is>
          <t>GÄVLEBORGS LÄN</t>
        </is>
      </c>
      <c r="G695" t="inlineStr">
        <is>
          <t>HUDIKSVALL</t>
        </is>
      </c>
      <c r="I695" t="n">
        <v>2.6</v>
      </c>
      <c r="J695" t="n">
        <v>1</v>
      </c>
      <c r="K695" t="n">
        <v>0</v>
      </c>
      <c r="L695" t="n">
        <v>0</v>
      </c>
      <c r="M695" t="n">
        <v>1</v>
      </c>
      <c r="N695" t="n">
        <v>0</v>
      </c>
      <c r="O695" t="n">
        <v>0</v>
      </c>
      <c r="P695" t="n">
        <v>0</v>
      </c>
      <c r="Q695" t="n">
        <v>1</v>
      </c>
      <c r="R695" t="n">
        <v>1</v>
      </c>
      <c r="S695" t="n">
        <v>1</v>
      </c>
      <c r="T695" t="n">
        <v>4</v>
      </c>
      <c r="U695" t="n">
        <v>4</v>
      </c>
      <c r="V695" s="2" t="inlineStr">
        <is>
          <t>Knärot</t>
        </is>
      </c>
      <c r="W695">
        <f>HYPERLINK("https://klasma.github.io/Logging_2184/artfynd/A 71122-2021 artfynd.xlsx", "A 71122-2021")</f>
        <v/>
      </c>
      <c r="X695">
        <f>HYPERLINK("https://klasma.github.io/Logging_2184/kartor/A 71122-2021 karta.png", "A 71122-2021")</f>
        <v/>
      </c>
      <c r="Y695">
        <f>HYPERLINK("https://klasma.github.io/Logging_2184/kartor_geotiff/A 71122-2021 georefererad karta.tif", "A 71122-2021")</f>
        <v/>
      </c>
      <c r="Z695">
        <f>HYPERLINK("https://klasma.github.io/Logging_2184/knärot/A 71122-2021 karta knärot.png", "A 71122-2021")</f>
        <v/>
      </c>
      <c r="AA695">
        <f>HYPERLINK("https://klasma.github.io/Logging_2184/klagomål/A 71122-2021 FSC-klagomål.docx", "A 71122-2021")</f>
        <v/>
      </c>
      <c r="AB695">
        <f>HYPERLINK("https://klasma.github.io/Logging_2184/klagomålsmail/A 71122-2021 FSC-klagomål mail.docx", "A 71122-2021")</f>
        <v/>
      </c>
      <c r="AC695">
        <f>HYPERLINK("https://klasma.github.io/Logging_2184/tillsyn/A 71122-2021 tillsynsbegäran.docx", "A 71122-2021")</f>
        <v/>
      </c>
      <c r="AD695">
        <f>HYPERLINK("https://klasma.github.io/Logging_2184/tillsynsmail/A 71122-2021 tillsynsbegäran mail.docx", "A 71122-2021")</f>
        <v/>
      </c>
    </row>
    <row r="696" ht="15" customHeight="1">
      <c r="A696" t="inlineStr">
        <is>
          <t>A 35525-2022</t>
        </is>
      </c>
      <c r="B696" t="inlineStr">
        <is>
          <t>avverkningsanmälan</t>
        </is>
      </c>
      <c r="C696" t="inlineStr">
        <is>
          <t>Föryngringsavverkning</t>
        </is>
      </c>
      <c r="D696" s="1" t="n">
        <v>44799</v>
      </c>
      <c r="E696" s="1" t="n">
        <v>46326</v>
      </c>
      <c r="F696" t="inlineStr">
        <is>
          <t>GÄVLEBORGS LÄN</t>
        </is>
      </c>
      <c r="G696" t="inlineStr">
        <is>
          <t>SANDVIKEN</t>
        </is>
      </c>
      <c r="I696" t="n">
        <v>0.7</v>
      </c>
      <c r="J696" t="n">
        <v>1</v>
      </c>
      <c r="K696" t="n">
        <v>0</v>
      </c>
      <c r="L696" t="n">
        <v>0</v>
      </c>
      <c r="M696" t="n">
        <v>0</v>
      </c>
      <c r="N696" t="n">
        <v>0</v>
      </c>
      <c r="O696" t="n">
        <v>0</v>
      </c>
      <c r="P696" t="n">
        <v>0</v>
      </c>
      <c r="Q696" t="n">
        <v>0</v>
      </c>
      <c r="R696" t="n">
        <v>0</v>
      </c>
      <c r="S696" t="n">
        <v>1</v>
      </c>
      <c r="T696" t="n">
        <v>1</v>
      </c>
      <c r="U696" t="n">
        <v>1</v>
      </c>
      <c r="V696" s="2" t="inlineStr">
        <is>
          <t>Lopplummer (aggregat)</t>
        </is>
      </c>
      <c r="W696">
        <f>HYPERLINK("https://klasma.github.io/Logging_2181/artfynd/A 35525-2022 artfynd.xlsx", "A 35525-2022")</f>
        <v/>
      </c>
      <c r="X696">
        <f>HYPERLINK("https://klasma.github.io/Logging_2181/kartor/A 35525-2022 karta.png", "A 35525-2022")</f>
        <v/>
      </c>
      <c r="Y696">
        <f>HYPERLINK("https://klasma.github.io/Logging_2181/kartor_geotiff/A 35525-2022 georefererad karta.tif", "A 35525-2022")</f>
        <v/>
      </c>
      <c r="AA696">
        <f>HYPERLINK("https://klasma.github.io/Logging_2181/klagomål/A 35525-2022 FSC-klagomål.docx", "A 35525-2022")</f>
        <v/>
      </c>
      <c r="AB696">
        <f>HYPERLINK("https://klasma.github.io/Logging_2181/klagomålsmail/A 35525-2022 FSC-klagomål mail.docx", "A 35525-2022")</f>
        <v/>
      </c>
      <c r="AC696">
        <f>HYPERLINK("https://klasma.github.io/Logging_2181/tillsyn/A 35525-2022 tillsynsbegäran.docx", "A 35525-2022")</f>
        <v/>
      </c>
      <c r="AD696">
        <f>HYPERLINK("https://klasma.github.io/Logging_2181/tillsynsmail/A 35525-2022 tillsynsbegäran mail.docx", "A 35525-2022")</f>
        <v/>
      </c>
    </row>
    <row r="697" ht="15" customHeight="1">
      <c r="A697" t="inlineStr">
        <is>
          <t>A 41862-2022</t>
        </is>
      </c>
      <c r="B697" t="inlineStr">
        <is>
          <t>avverkningsanmälan</t>
        </is>
      </c>
      <c r="C697" t="inlineStr">
        <is>
          <t>Föryngringsavverkning</t>
        </is>
      </c>
      <c r="D697" s="1" t="n">
        <v>44829</v>
      </c>
      <c r="E697" s="1" t="n">
        <v>46326</v>
      </c>
      <c r="F697" t="inlineStr">
        <is>
          <t>GÄVLEBORGS LÄN</t>
        </is>
      </c>
      <c r="G697" t="inlineStr">
        <is>
          <t>SANDVIKEN</t>
        </is>
      </c>
      <c r="H697" t="inlineStr">
        <is>
          <t>Sveaskog</t>
        </is>
      </c>
      <c r="I697" t="n">
        <v>1.1</v>
      </c>
      <c r="J697" t="n">
        <v>1</v>
      </c>
      <c r="K697" t="n">
        <v>1</v>
      </c>
      <c r="L697" t="n">
        <v>0</v>
      </c>
      <c r="M697" t="n">
        <v>0</v>
      </c>
      <c r="N697" t="n">
        <v>0</v>
      </c>
      <c r="O697" t="n">
        <v>0</v>
      </c>
      <c r="P697" t="n">
        <v>0</v>
      </c>
      <c r="Q697" t="n">
        <v>0</v>
      </c>
      <c r="R697" t="n">
        <v>0</v>
      </c>
      <c r="S697" t="n">
        <v>1</v>
      </c>
      <c r="T697" t="n">
        <v>1</v>
      </c>
      <c r="U697" t="n">
        <v>1</v>
      </c>
      <c r="V697" s="2" t="inlineStr">
        <is>
          <t>Tvåblad</t>
        </is>
      </c>
      <c r="W697">
        <f>HYPERLINK("https://klasma.github.io/Logging_2181/artfynd/A 41862-2022 artfynd.xlsx", "A 41862-2022")</f>
        <v/>
      </c>
      <c r="X697">
        <f>HYPERLINK("https://klasma.github.io/Logging_2181/kartor/A 41862-2022 karta.png", "A 41862-2022")</f>
        <v/>
      </c>
      <c r="Y697">
        <f>HYPERLINK("https://klasma.github.io/Logging_2181/kartor_geotiff/A 41862-2022 georefererad karta.tif", "A 41862-2022")</f>
        <v/>
      </c>
      <c r="AA697">
        <f>HYPERLINK("https://klasma.github.io/Logging_2181/klagomål/A 41862-2022 FSC-klagomål.docx", "A 41862-2022")</f>
        <v/>
      </c>
      <c r="AB697">
        <f>HYPERLINK("https://klasma.github.io/Logging_2181/klagomålsmail/A 41862-2022 FSC-klagomål mail.docx", "A 41862-2022")</f>
        <v/>
      </c>
      <c r="AC697">
        <f>HYPERLINK("https://klasma.github.io/Logging_2181/tillsyn/A 41862-2022 tillsynsbegäran.docx", "A 41862-2022")</f>
        <v/>
      </c>
      <c r="AD697">
        <f>HYPERLINK("https://klasma.github.io/Logging_2181/tillsynsmail/A 41862-2022 tillsynsbegäran mail.docx", "A 41862-2022")</f>
        <v/>
      </c>
    </row>
    <row r="698" ht="15" customHeight="1">
      <c r="A698" t="inlineStr">
        <is>
          <t>A 15883-2023</t>
        </is>
      </c>
      <c r="B698" t="inlineStr">
        <is>
          <t>avverkningsanmälan</t>
        </is>
      </c>
      <c r="C698" t="inlineStr">
        <is>
          <t>Avverkning för annat ändamål</t>
        </is>
      </c>
      <c r="D698" s="1" t="n">
        <v>45022</v>
      </c>
      <c r="E698" s="1" t="n">
        <v>46326</v>
      </c>
      <c r="F698" t="inlineStr">
        <is>
          <t>GÄVLEBORGS LÄN</t>
        </is>
      </c>
      <c r="G698" t="inlineStr">
        <is>
          <t>HUDIKSVALL</t>
        </is>
      </c>
      <c r="I698" t="n">
        <v>9.6</v>
      </c>
      <c r="J698" t="n">
        <v>1</v>
      </c>
      <c r="K698" t="n">
        <v>0</v>
      </c>
      <c r="L698" t="n">
        <v>0</v>
      </c>
      <c r="M698" t="n">
        <v>1</v>
      </c>
      <c r="N698" t="n">
        <v>0</v>
      </c>
      <c r="O698" t="n">
        <v>0</v>
      </c>
      <c r="P698" t="n">
        <v>0</v>
      </c>
      <c r="Q698" t="n">
        <v>1</v>
      </c>
      <c r="R698" t="n">
        <v>1</v>
      </c>
      <c r="S698" t="n">
        <v>1</v>
      </c>
      <c r="T698" t="n">
        <v>1</v>
      </c>
      <c r="U698" t="n">
        <v>0</v>
      </c>
      <c r="V698" s="2" t="inlineStr">
        <is>
          <t>Knärot</t>
        </is>
      </c>
      <c r="W698">
        <f>HYPERLINK("https://klasma.github.io/Logging_2184/artfynd/A 15883-2023 artfynd.xlsx", "A 15883-2023")</f>
        <v/>
      </c>
      <c r="X698">
        <f>HYPERLINK("https://klasma.github.io/Logging_2184/kartor/A 15883-2023 karta.png", "A 15883-2023")</f>
        <v/>
      </c>
      <c r="Y698">
        <f>HYPERLINK("https://klasma.github.io/Logging_2184/kartor_geotiff/A 15883-2023 georefererad karta.tif", "A 15883-2023")</f>
        <v/>
      </c>
      <c r="Z698">
        <f>HYPERLINK("https://klasma.github.io/Logging_2184/knärot/A 15883-2023 karta knärot.png", "A 15883-2023")</f>
        <v/>
      </c>
      <c r="AA698">
        <f>HYPERLINK("https://klasma.github.io/Logging_2184/klagomål/A 15883-2023 FSC-klagomål.docx", "A 15883-2023")</f>
        <v/>
      </c>
      <c r="AB698">
        <f>HYPERLINK("https://klasma.github.io/Logging_2184/klagomålsmail/A 15883-2023 FSC-klagomål mail.docx", "A 15883-2023")</f>
        <v/>
      </c>
      <c r="AC698">
        <f>HYPERLINK("https://klasma.github.io/Logging_2184/tillsyn/A 15883-2023 tillsynsbegäran.docx", "A 15883-2023")</f>
        <v/>
      </c>
      <c r="AD698">
        <f>HYPERLINK("https://klasma.github.io/Logging_2184/tillsynsmail/A 15883-2023 tillsynsbegäran mail.docx", "A 15883-2023")</f>
        <v/>
      </c>
    </row>
    <row r="699" ht="15" customHeight="1">
      <c r="A699" t="inlineStr">
        <is>
          <t>A 58845-2023</t>
        </is>
      </c>
      <c r="B699" t="inlineStr">
        <is>
          <t>avverkningsanmälan</t>
        </is>
      </c>
      <c r="C699" t="inlineStr">
        <is>
          <t>Föryngringsavverkning</t>
        </is>
      </c>
      <c r="D699" s="1" t="n">
        <v>45252</v>
      </c>
      <c r="E699" s="1" t="n">
        <v>46326</v>
      </c>
      <c r="F699" t="inlineStr">
        <is>
          <t>GÄVLEBORGS LÄN</t>
        </is>
      </c>
      <c r="G699" t="inlineStr">
        <is>
          <t>SANDVIKEN</t>
        </is>
      </c>
      <c r="I699" t="n">
        <v>1.5</v>
      </c>
      <c r="J699" t="n">
        <v>1</v>
      </c>
      <c r="K699" t="n">
        <v>0</v>
      </c>
      <c r="L699" t="n">
        <v>0</v>
      </c>
      <c r="M699" t="n">
        <v>0</v>
      </c>
      <c r="N699" t="n">
        <v>0</v>
      </c>
      <c r="O699" t="n">
        <v>0</v>
      </c>
      <c r="P699" t="n">
        <v>0</v>
      </c>
      <c r="Q699" t="n">
        <v>0</v>
      </c>
      <c r="R699" t="n">
        <v>0</v>
      </c>
      <c r="S699" t="n">
        <v>1</v>
      </c>
      <c r="T699" t="n">
        <v>4</v>
      </c>
      <c r="U699" t="n">
        <v>0</v>
      </c>
      <c r="V699" s="2" t="inlineStr">
        <is>
          <t>Vanlig padda</t>
        </is>
      </c>
      <c r="W699">
        <f>HYPERLINK("https://klasma.github.io/Logging_2181/artfynd/A 58845-2023 artfynd.xlsx", "A 58845-2023")</f>
        <v/>
      </c>
      <c r="X699">
        <f>HYPERLINK("https://klasma.github.io/Logging_2181/kartor/A 58845-2023 karta.png", "A 58845-2023")</f>
        <v/>
      </c>
      <c r="Y699">
        <f>HYPERLINK("https://klasma.github.io/Logging_2181/kartor_geotiff/A 58845-2023 georefererad karta.tif", "A 58845-2023")</f>
        <v/>
      </c>
      <c r="AA699">
        <f>HYPERLINK("https://klasma.github.io/Logging_2181/klagomål/A 58845-2023 FSC-klagomål.docx", "A 58845-2023")</f>
        <v/>
      </c>
      <c r="AB699">
        <f>HYPERLINK("https://klasma.github.io/Logging_2181/klagomålsmail/A 58845-2023 FSC-klagomål mail.docx", "A 58845-2023")</f>
        <v/>
      </c>
      <c r="AC699">
        <f>HYPERLINK("https://klasma.github.io/Logging_2181/tillsyn/A 58845-2023 tillsynsbegäran.docx", "A 58845-2023")</f>
        <v/>
      </c>
      <c r="AD699">
        <f>HYPERLINK("https://klasma.github.io/Logging_2181/tillsynsmail/A 58845-2023 tillsynsbegäran mail.docx", "A 58845-2023")</f>
        <v/>
      </c>
    </row>
    <row r="700" ht="15" customHeight="1">
      <c r="A700" t="inlineStr">
        <is>
          <t>A 42937-2022</t>
        </is>
      </c>
      <c r="B700" t="inlineStr">
        <is>
          <t>avverkningsanmälan</t>
        </is>
      </c>
      <c r="C700" t="inlineStr">
        <is>
          <t>Föryngringsavverkning</t>
        </is>
      </c>
      <c r="D700" s="1" t="n">
        <v>44833</v>
      </c>
      <c r="E700" s="1" t="n">
        <v>46326</v>
      </c>
      <c r="F700" t="inlineStr">
        <is>
          <t>GÄVLEBORGS LÄN</t>
        </is>
      </c>
      <c r="G700" t="inlineStr">
        <is>
          <t>LJUSDAL</t>
        </is>
      </c>
      <c r="I700" t="n">
        <v>0.7</v>
      </c>
      <c r="J700" t="n">
        <v>0</v>
      </c>
      <c r="K700" t="n">
        <v>0</v>
      </c>
      <c r="L700" t="n">
        <v>1</v>
      </c>
      <c r="M700" t="n">
        <v>0</v>
      </c>
      <c r="N700" t="n">
        <v>0</v>
      </c>
      <c r="O700" t="n">
        <v>0</v>
      </c>
      <c r="P700" t="n">
        <v>0</v>
      </c>
      <c r="Q700" t="n">
        <v>1</v>
      </c>
      <c r="R700" t="n">
        <v>0</v>
      </c>
      <c r="S700" t="n">
        <v>1</v>
      </c>
      <c r="T700" t="n">
        <v>1</v>
      </c>
      <c r="U700" t="n">
        <v>0</v>
      </c>
      <c r="V700" s="2" t="inlineStr">
        <is>
          <t>Lunglav</t>
        </is>
      </c>
      <c r="W700">
        <f>HYPERLINK("https://klasma.github.io/Logging_2161/artfynd/A 42937-2022 artfynd.xlsx", "A 42937-2022")</f>
        <v/>
      </c>
      <c r="X700">
        <f>HYPERLINK("https://klasma.github.io/Logging_2161/kartor/A 42937-2022 karta.png", "A 42937-2022")</f>
        <v/>
      </c>
      <c r="Y700">
        <f>HYPERLINK("https://klasma.github.io/Logging_2161/kartor_geotiff/A 42937-2022 georefererad karta.tif", "A 42937-2022")</f>
        <v/>
      </c>
      <c r="AA700">
        <f>HYPERLINK("https://klasma.github.io/Logging_2161/klagomål/A 42937-2022 FSC-klagomål.docx", "A 42937-2022")</f>
        <v/>
      </c>
      <c r="AB700">
        <f>HYPERLINK("https://klasma.github.io/Logging_2161/klagomålsmail/A 42937-2022 FSC-klagomål mail.docx", "A 42937-2022")</f>
        <v/>
      </c>
      <c r="AC700">
        <f>HYPERLINK("https://klasma.github.io/Logging_2161/tillsyn/A 42937-2022 tillsynsbegäran.docx", "A 42937-2022")</f>
        <v/>
      </c>
      <c r="AD700">
        <f>HYPERLINK("https://klasma.github.io/Logging_2161/tillsynsmail/A 42937-2022 tillsynsbegäran mail.docx", "A 42937-2022")</f>
        <v/>
      </c>
    </row>
    <row r="701" ht="15" customHeight="1">
      <c r="A701" t="inlineStr">
        <is>
          <t>A 5409-2023</t>
        </is>
      </c>
      <c r="B701" t="inlineStr">
        <is>
          <t>avverkningsanmälan</t>
        </is>
      </c>
      <c r="C701" t="inlineStr">
        <is>
          <t>Föryngringsavverkning</t>
        </is>
      </c>
      <c r="D701" s="1" t="n">
        <v>44959</v>
      </c>
      <c r="E701" s="1" t="n">
        <v>46326</v>
      </c>
      <c r="F701" t="inlineStr">
        <is>
          <t>GÄVLEBORGS LÄN</t>
        </is>
      </c>
      <c r="G701" t="inlineStr">
        <is>
          <t>GÄVLE</t>
        </is>
      </c>
      <c r="I701" t="n">
        <v>0.3</v>
      </c>
      <c r="J701" t="n">
        <v>0</v>
      </c>
      <c r="K701" t="n">
        <v>0</v>
      </c>
      <c r="L701" t="n">
        <v>1</v>
      </c>
      <c r="M701" t="n">
        <v>0</v>
      </c>
      <c r="N701" t="n">
        <v>0</v>
      </c>
      <c r="O701" t="n">
        <v>0</v>
      </c>
      <c r="P701" t="n">
        <v>0</v>
      </c>
      <c r="Q701" t="n">
        <v>1</v>
      </c>
      <c r="R701" t="n">
        <v>0</v>
      </c>
      <c r="S701" t="n">
        <v>1</v>
      </c>
      <c r="T701" t="n">
        <v>1</v>
      </c>
      <c r="U701" t="n">
        <v>0</v>
      </c>
      <c r="V701" s="2" t="inlineStr">
        <is>
          <t>Skogsklocka</t>
        </is>
      </c>
      <c r="W701">
        <f>HYPERLINK("https://klasma.github.io/Logging_2180/artfynd/A 5409-2023 artfynd.xlsx", "A 5409-2023")</f>
        <v/>
      </c>
      <c r="X701">
        <f>HYPERLINK("https://klasma.github.io/Logging_2180/kartor/A 5409-2023 karta.png", "A 5409-2023")</f>
        <v/>
      </c>
      <c r="Y701">
        <f>HYPERLINK("https://klasma.github.io/Logging_2180/kartor_geotiff/A 5409-2023 georefererad karta.tif", "A 5409-2023")</f>
        <v/>
      </c>
      <c r="AA701">
        <f>HYPERLINK("https://klasma.github.io/Logging_2180/klagomål/A 5409-2023 FSC-klagomål.docx", "A 5409-2023")</f>
        <v/>
      </c>
      <c r="AB701">
        <f>HYPERLINK("https://klasma.github.io/Logging_2180/klagomålsmail/A 5409-2023 FSC-klagomål mail.docx", "A 5409-2023")</f>
        <v/>
      </c>
      <c r="AC701">
        <f>HYPERLINK("https://klasma.github.io/Logging_2180/tillsyn/A 5409-2023 tillsynsbegäran.docx", "A 5409-2023")</f>
        <v/>
      </c>
      <c r="AD701">
        <f>HYPERLINK("https://klasma.github.io/Logging_2180/tillsynsmail/A 5409-2023 tillsynsbegäran mail.docx", "A 5409-2023")</f>
        <v/>
      </c>
    </row>
    <row r="702" ht="15" customHeight="1">
      <c r="A702" t="inlineStr">
        <is>
          <t>A 5415-2023</t>
        </is>
      </c>
      <c r="B702" t="inlineStr">
        <is>
          <t>avverkningsanmälan</t>
        </is>
      </c>
      <c r="C702" t="inlineStr">
        <is>
          <t>Föryngringsavverkning</t>
        </is>
      </c>
      <c r="D702" s="1" t="n">
        <v>44959</v>
      </c>
      <c r="E702" s="1" t="n">
        <v>46326</v>
      </c>
      <c r="F702" t="inlineStr">
        <is>
          <t>GÄVLEBORGS LÄN</t>
        </is>
      </c>
      <c r="G702" t="inlineStr">
        <is>
          <t>GÄVLE</t>
        </is>
      </c>
      <c r="I702" t="n">
        <v>0.1</v>
      </c>
      <c r="J702" t="n">
        <v>0</v>
      </c>
      <c r="K702" t="n">
        <v>0</v>
      </c>
      <c r="L702" t="n">
        <v>1</v>
      </c>
      <c r="M702" t="n">
        <v>0</v>
      </c>
      <c r="N702" t="n">
        <v>0</v>
      </c>
      <c r="O702" t="n">
        <v>0</v>
      </c>
      <c r="P702" t="n">
        <v>0</v>
      </c>
      <c r="Q702" t="n">
        <v>1</v>
      </c>
      <c r="R702" t="n">
        <v>0</v>
      </c>
      <c r="S702" t="n">
        <v>1</v>
      </c>
      <c r="T702" t="n">
        <v>1</v>
      </c>
      <c r="U702" t="n">
        <v>0</v>
      </c>
      <c r="V702" s="2" t="inlineStr">
        <is>
          <t>Skogsklocka</t>
        </is>
      </c>
      <c r="W702">
        <f>HYPERLINK("https://klasma.github.io/Logging_2180/artfynd/A 5415-2023 artfynd.xlsx", "A 5415-2023")</f>
        <v/>
      </c>
      <c r="X702">
        <f>HYPERLINK("https://klasma.github.io/Logging_2180/kartor/A 5415-2023 karta.png", "A 5415-2023")</f>
        <v/>
      </c>
      <c r="Y702">
        <f>HYPERLINK("https://klasma.github.io/Logging_2180/kartor_geotiff/A 5415-2023 georefererad karta.tif", "A 5415-2023")</f>
        <v/>
      </c>
      <c r="AA702">
        <f>HYPERLINK("https://klasma.github.io/Logging_2180/klagomål/A 5415-2023 FSC-klagomål.docx", "A 5415-2023")</f>
        <v/>
      </c>
      <c r="AB702">
        <f>HYPERLINK("https://klasma.github.io/Logging_2180/klagomålsmail/A 5415-2023 FSC-klagomål mail.docx", "A 5415-2023")</f>
        <v/>
      </c>
      <c r="AC702">
        <f>HYPERLINK("https://klasma.github.io/Logging_2180/tillsyn/A 5415-2023 tillsynsbegäran.docx", "A 5415-2023")</f>
        <v/>
      </c>
      <c r="AD702">
        <f>HYPERLINK("https://klasma.github.io/Logging_2180/tillsynsmail/A 5415-2023 tillsynsbegäran mail.docx", "A 5415-2023")</f>
        <v/>
      </c>
    </row>
    <row r="703" ht="15" customHeight="1">
      <c r="A703" t="inlineStr">
        <is>
          <t>A 64364-2023</t>
        </is>
      </c>
      <c r="B703" t="inlineStr">
        <is>
          <t>avverkningsanmälan</t>
        </is>
      </c>
      <c r="C703" t="inlineStr">
        <is>
          <t>Föryngringsavverkning</t>
        </is>
      </c>
      <c r="D703" s="1" t="n">
        <v>45280</v>
      </c>
      <c r="E703" s="1" t="n">
        <v>46326</v>
      </c>
      <c r="F703" t="inlineStr">
        <is>
          <t>GÄVLEBORGS LÄN</t>
        </is>
      </c>
      <c r="G703" t="inlineStr">
        <is>
          <t>OCKELBO</t>
        </is>
      </c>
      <c r="I703" t="n">
        <v>1.8</v>
      </c>
      <c r="J703" t="n">
        <v>1</v>
      </c>
      <c r="K703" t="n">
        <v>0</v>
      </c>
      <c r="L703" t="n">
        <v>0</v>
      </c>
      <c r="M703" t="n">
        <v>0</v>
      </c>
      <c r="N703" t="n">
        <v>0</v>
      </c>
      <c r="O703" t="n">
        <v>0</v>
      </c>
      <c r="P703" t="n">
        <v>0</v>
      </c>
      <c r="Q703" t="n">
        <v>0</v>
      </c>
      <c r="R703" t="n">
        <v>0</v>
      </c>
      <c r="S703" t="n">
        <v>1</v>
      </c>
      <c r="T703" t="n">
        <v>1</v>
      </c>
      <c r="U703" t="n">
        <v>1</v>
      </c>
      <c r="V703" s="2" t="inlineStr">
        <is>
          <t>Revlummer</t>
        </is>
      </c>
      <c r="W703">
        <f>HYPERLINK("https://klasma.github.io/Logging_2101/artfynd/A 64364-2023 artfynd.xlsx", "A 64364-2023")</f>
        <v/>
      </c>
      <c r="X703">
        <f>HYPERLINK("https://klasma.github.io/Logging_2101/kartor/A 64364-2023 karta.png", "A 64364-2023")</f>
        <v/>
      </c>
      <c r="Y703">
        <f>HYPERLINK("https://klasma.github.io/Logging_2101/kartor_geotiff/A 64364-2023 georefererad karta.tif", "A 64364-2023")</f>
        <v/>
      </c>
      <c r="AA703">
        <f>HYPERLINK("https://klasma.github.io/Logging_2101/klagomål/A 64364-2023 FSC-klagomål.docx", "A 64364-2023")</f>
        <v/>
      </c>
      <c r="AB703">
        <f>HYPERLINK("https://klasma.github.io/Logging_2101/klagomålsmail/A 64364-2023 FSC-klagomål mail.docx", "A 64364-2023")</f>
        <v/>
      </c>
      <c r="AC703">
        <f>HYPERLINK("https://klasma.github.io/Logging_2101/tillsyn/A 64364-2023 tillsynsbegäran.docx", "A 64364-2023")</f>
        <v/>
      </c>
      <c r="AD703">
        <f>HYPERLINK("https://klasma.github.io/Logging_2101/tillsynsmail/A 64364-2023 tillsynsbegäran mail.docx", "A 64364-2023")</f>
        <v/>
      </c>
    </row>
    <row r="704" ht="15" customHeight="1">
      <c r="A704" t="inlineStr">
        <is>
          <t>A 54608-2024</t>
        </is>
      </c>
      <c r="B704" t="inlineStr">
        <is>
          <t>avverkningsanmälan</t>
        </is>
      </c>
      <c r="C704" t="inlineStr">
        <is>
          <t>Föryngringsavverkning</t>
        </is>
      </c>
      <c r="D704" s="1" t="n">
        <v>45617</v>
      </c>
      <c r="E704" s="1" t="n">
        <v>46326</v>
      </c>
      <c r="F704" t="inlineStr">
        <is>
          <t>GÄVLEBORGS LÄN</t>
        </is>
      </c>
      <c r="G704" t="inlineStr">
        <is>
          <t>SÖDERHAMN</t>
        </is>
      </c>
      <c r="I704" t="n">
        <v>2.9</v>
      </c>
      <c r="J704" t="n">
        <v>0</v>
      </c>
      <c r="K704" t="n">
        <v>1</v>
      </c>
      <c r="L704" t="n">
        <v>0</v>
      </c>
      <c r="M704" t="n">
        <v>0</v>
      </c>
      <c r="N704" t="n">
        <v>0</v>
      </c>
      <c r="O704" t="n">
        <v>0</v>
      </c>
      <c r="P704" t="n">
        <v>0</v>
      </c>
      <c r="Q704" t="n">
        <v>0</v>
      </c>
      <c r="R704" t="n">
        <v>0</v>
      </c>
      <c r="S704" t="n">
        <v>1</v>
      </c>
      <c r="T704" t="n">
        <v>1</v>
      </c>
      <c r="U704" t="n">
        <v>0</v>
      </c>
      <c r="V704" s="2" t="inlineStr">
        <is>
          <t>Strutbräken</t>
        </is>
      </c>
      <c r="W704">
        <f>HYPERLINK("https://klasma.github.io/Logging_2182/artfynd/A 54608-2024 artfynd.xlsx", "A 54608-2024")</f>
        <v/>
      </c>
      <c r="X704">
        <f>HYPERLINK("https://klasma.github.io/Logging_2182/kartor/A 54608-2024 karta.png", "A 54608-2024")</f>
        <v/>
      </c>
      <c r="Y704">
        <f>HYPERLINK("https://klasma.github.io/Logging_2182/kartor_geotiff/A 54608-2024 georefererad karta.tif", "A 54608-2024")</f>
        <v/>
      </c>
      <c r="AA704">
        <f>HYPERLINK("https://klasma.github.io/Logging_2182/klagomål/A 54608-2024 FSC-klagomål.docx", "A 54608-2024")</f>
        <v/>
      </c>
      <c r="AB704">
        <f>HYPERLINK("https://klasma.github.io/Logging_2182/klagomålsmail/A 54608-2024 FSC-klagomål mail.docx", "A 54608-2024")</f>
        <v/>
      </c>
      <c r="AC704">
        <f>HYPERLINK("https://klasma.github.io/Logging_2182/tillsyn/A 54608-2024 tillsynsbegäran.docx", "A 54608-2024")</f>
        <v/>
      </c>
      <c r="AD704">
        <f>HYPERLINK("https://klasma.github.io/Logging_2182/tillsynsmail/A 54608-2024 tillsynsbegäran mail.docx", "A 54608-2024")</f>
        <v/>
      </c>
    </row>
    <row r="705" ht="15" customHeight="1">
      <c r="A705" t="inlineStr">
        <is>
          <t>A 54083-2022</t>
        </is>
      </c>
      <c r="B705" t="inlineStr">
        <is>
          <t>avverkningsanmälan</t>
        </is>
      </c>
      <c r="C705" t="inlineStr">
        <is>
          <t>Föryngringsavverkning</t>
        </is>
      </c>
      <c r="D705" s="1" t="n">
        <v>44881</v>
      </c>
      <c r="E705" s="1" t="n">
        <v>46326</v>
      </c>
      <c r="F705" t="inlineStr">
        <is>
          <t>GÄVLEBORGS LÄN</t>
        </is>
      </c>
      <c r="G705" t="inlineStr">
        <is>
          <t>BOLLNÄS</t>
        </is>
      </c>
      <c r="H705" t="inlineStr">
        <is>
          <t>Sveaskog</t>
        </is>
      </c>
      <c r="I705" t="n">
        <v>2.7</v>
      </c>
      <c r="J705" t="n">
        <v>1</v>
      </c>
      <c r="K705" t="n">
        <v>0</v>
      </c>
      <c r="L705" t="n">
        <v>0</v>
      </c>
      <c r="M705" t="n">
        <v>0</v>
      </c>
      <c r="N705" t="n">
        <v>0</v>
      </c>
      <c r="O705" t="n">
        <v>0</v>
      </c>
      <c r="P705" t="n">
        <v>0</v>
      </c>
      <c r="Q705" t="n">
        <v>0</v>
      </c>
      <c r="R705" t="n">
        <v>0</v>
      </c>
      <c r="S705" t="n">
        <v>1</v>
      </c>
      <c r="T705" t="n">
        <v>1</v>
      </c>
      <c r="U705" t="n">
        <v>1</v>
      </c>
      <c r="V705" s="2" t="inlineStr">
        <is>
          <t>Fläcknycklar</t>
        </is>
      </c>
      <c r="W705">
        <f>HYPERLINK("https://klasma.github.io/Logging_2183/artfynd/A 54083-2022 artfynd.xlsx", "A 54083-2022")</f>
        <v/>
      </c>
      <c r="X705">
        <f>HYPERLINK("https://klasma.github.io/Logging_2183/kartor/A 54083-2022 karta.png", "A 54083-2022")</f>
        <v/>
      </c>
      <c r="Y705">
        <f>HYPERLINK("https://klasma.github.io/Logging_2183/kartor_geotiff/A 54083-2022 georefererad karta.tif", "A 54083-2022")</f>
        <v/>
      </c>
      <c r="AA705">
        <f>HYPERLINK("https://klasma.github.io/Logging_2183/klagomål/A 54083-2022 FSC-klagomål.docx", "A 54083-2022")</f>
        <v/>
      </c>
      <c r="AB705">
        <f>HYPERLINK("https://klasma.github.io/Logging_2183/klagomålsmail/A 54083-2022 FSC-klagomål mail.docx", "A 54083-2022")</f>
        <v/>
      </c>
      <c r="AC705">
        <f>HYPERLINK("https://klasma.github.io/Logging_2183/tillsyn/A 54083-2022 tillsynsbegäran.docx", "A 54083-2022")</f>
        <v/>
      </c>
      <c r="AD705">
        <f>HYPERLINK("https://klasma.github.io/Logging_2183/tillsynsmail/A 54083-2022 tillsynsbegäran mail.docx", "A 54083-2022")</f>
        <v/>
      </c>
    </row>
    <row r="706" ht="15" customHeight="1">
      <c r="A706" t="inlineStr">
        <is>
          <t>A 35225-2024</t>
        </is>
      </c>
      <c r="B706" t="inlineStr">
        <is>
          <t>avverkningsanmälan</t>
        </is>
      </c>
      <c r="C706" t="inlineStr">
        <is>
          <t>Föryngringsavverkning</t>
        </is>
      </c>
      <c r="D706" s="1" t="n">
        <v>45530</v>
      </c>
      <c r="E706" s="1" t="n">
        <v>46326</v>
      </c>
      <c r="F706" t="inlineStr">
        <is>
          <t>GÄVLEBORGS LÄN</t>
        </is>
      </c>
      <c r="G706" t="inlineStr">
        <is>
          <t>GÄVLE</t>
        </is>
      </c>
      <c r="I706" t="n">
        <v>2.6</v>
      </c>
      <c r="J706" t="n">
        <v>1</v>
      </c>
      <c r="K706" t="n">
        <v>0</v>
      </c>
      <c r="L706" t="n">
        <v>0</v>
      </c>
      <c r="M706" t="n">
        <v>0</v>
      </c>
      <c r="N706" t="n">
        <v>0</v>
      </c>
      <c r="O706" t="n">
        <v>0</v>
      </c>
      <c r="P706" t="n">
        <v>0</v>
      </c>
      <c r="Q706" t="n">
        <v>0</v>
      </c>
      <c r="R706" t="n">
        <v>0</v>
      </c>
      <c r="S706" t="n">
        <v>1</v>
      </c>
      <c r="T706" t="n">
        <v>1</v>
      </c>
      <c r="U706" t="n">
        <v>1</v>
      </c>
      <c r="V706" s="2" t="inlineStr">
        <is>
          <t>Blåsippa</t>
        </is>
      </c>
      <c r="W706">
        <f>HYPERLINK("https://klasma.github.io/Logging_2180/artfynd/A 35225-2024 artfynd.xlsx", "A 35225-2024")</f>
        <v/>
      </c>
      <c r="X706">
        <f>HYPERLINK("https://klasma.github.io/Logging_2180/kartor/A 35225-2024 karta.png", "A 35225-2024")</f>
        <v/>
      </c>
      <c r="Y706">
        <f>HYPERLINK("https://klasma.github.io/Logging_2180/kartor_geotiff/A 35225-2024 georefererad karta.tif", "A 35225-2024")</f>
        <v/>
      </c>
      <c r="AA706">
        <f>HYPERLINK("https://klasma.github.io/Logging_2180/klagomål/A 35225-2024 FSC-klagomål.docx", "A 35225-2024")</f>
        <v/>
      </c>
      <c r="AB706">
        <f>HYPERLINK("https://klasma.github.io/Logging_2180/klagomålsmail/A 35225-2024 FSC-klagomål mail.docx", "A 35225-2024")</f>
        <v/>
      </c>
      <c r="AC706">
        <f>HYPERLINK("https://klasma.github.io/Logging_2180/tillsyn/A 35225-2024 tillsynsbegäran.docx", "A 35225-2024")</f>
        <v/>
      </c>
      <c r="AD706">
        <f>HYPERLINK("https://klasma.github.io/Logging_2180/tillsynsmail/A 35225-2024 tillsynsbegäran mail.docx", "A 35225-2024")</f>
        <v/>
      </c>
    </row>
    <row r="707" ht="15" customHeight="1">
      <c r="A707" t="inlineStr">
        <is>
          <t>A 42076-2023</t>
        </is>
      </c>
      <c r="B707" t="inlineStr">
        <is>
          <t>avverkningsanmälan</t>
        </is>
      </c>
      <c r="C707" t="inlineStr">
        <is>
          <t>Föryngringsavverkning</t>
        </is>
      </c>
      <c r="D707" s="1" t="n">
        <v>45177</v>
      </c>
      <c r="E707" s="1" t="n">
        <v>46326</v>
      </c>
      <c r="F707" t="inlineStr">
        <is>
          <t>GÄVLEBORGS LÄN</t>
        </is>
      </c>
      <c r="G707" t="inlineStr">
        <is>
          <t>OVANÅKER</t>
        </is>
      </c>
      <c r="I707" t="n">
        <v>3.6</v>
      </c>
      <c r="J707" t="n">
        <v>0</v>
      </c>
      <c r="K707" t="n">
        <v>0</v>
      </c>
      <c r="L707" t="n">
        <v>1</v>
      </c>
      <c r="M707" t="n">
        <v>0</v>
      </c>
      <c r="N707" t="n">
        <v>0</v>
      </c>
      <c r="O707" t="n">
        <v>0</v>
      </c>
      <c r="P707" t="n">
        <v>0</v>
      </c>
      <c r="Q707" t="n">
        <v>1</v>
      </c>
      <c r="R707" t="n">
        <v>0</v>
      </c>
      <c r="S707" t="n">
        <v>1</v>
      </c>
      <c r="T707" t="n">
        <v>1</v>
      </c>
      <c r="U707" t="n">
        <v>0</v>
      </c>
      <c r="V707" s="2" t="inlineStr">
        <is>
          <t>Ullticka</t>
        </is>
      </c>
      <c r="W707">
        <f>HYPERLINK("https://klasma.github.io/Logging_2121/artfynd/A 42076-2023 artfynd.xlsx", "A 42076-2023")</f>
        <v/>
      </c>
      <c r="X707">
        <f>HYPERLINK("https://klasma.github.io/Logging_2121/kartor/A 42076-2023 karta.png", "A 42076-2023")</f>
        <v/>
      </c>
      <c r="Y707">
        <f>HYPERLINK("https://klasma.github.io/Logging_2121/kartor_geotiff/A 42076-2023 georefererad karta.tif", "A 42076-2023")</f>
        <v/>
      </c>
      <c r="AA707">
        <f>HYPERLINK("https://klasma.github.io/Logging_2121/klagomål/A 42076-2023 FSC-klagomål.docx", "A 42076-2023")</f>
        <v/>
      </c>
      <c r="AB707">
        <f>HYPERLINK("https://klasma.github.io/Logging_2121/klagomålsmail/A 42076-2023 FSC-klagomål mail.docx", "A 42076-2023")</f>
        <v/>
      </c>
      <c r="AC707">
        <f>HYPERLINK("https://klasma.github.io/Logging_2121/tillsyn/A 42076-2023 tillsynsbegäran.docx", "A 42076-2023")</f>
        <v/>
      </c>
      <c r="AD707">
        <f>HYPERLINK("https://klasma.github.io/Logging_2121/tillsynsmail/A 42076-2023 tillsynsbegäran mail.docx", "A 42076-2023")</f>
        <v/>
      </c>
    </row>
    <row r="708" ht="15" customHeight="1">
      <c r="A708" t="inlineStr">
        <is>
          <t>A 28587-2024</t>
        </is>
      </c>
      <c r="B708" t="inlineStr">
        <is>
          <t>avverkningsanmälan</t>
        </is>
      </c>
      <c r="C708" t="inlineStr">
        <is>
          <t>Föryngringsavverkning</t>
        </is>
      </c>
      <c r="D708" s="1" t="n">
        <v>45478</v>
      </c>
      <c r="E708" s="1" t="n">
        <v>46326</v>
      </c>
      <c r="F708" t="inlineStr">
        <is>
          <t>GÄVLEBORGS LÄN</t>
        </is>
      </c>
      <c r="G708" t="inlineStr">
        <is>
          <t>NORDANSTIG</t>
        </is>
      </c>
      <c r="I708" t="n">
        <v>26.3</v>
      </c>
      <c r="J708" t="n">
        <v>1</v>
      </c>
      <c r="K708" t="n">
        <v>0</v>
      </c>
      <c r="L708" t="n">
        <v>0</v>
      </c>
      <c r="M708" t="n">
        <v>0</v>
      </c>
      <c r="N708" t="n">
        <v>0</v>
      </c>
      <c r="O708" t="n">
        <v>0</v>
      </c>
      <c r="P708" t="n">
        <v>0</v>
      </c>
      <c r="Q708" t="n">
        <v>0</v>
      </c>
      <c r="R708" t="n">
        <v>0</v>
      </c>
      <c r="S708" t="n">
        <v>1</v>
      </c>
      <c r="T708" t="n">
        <v>1</v>
      </c>
      <c r="U708" t="n">
        <v>1</v>
      </c>
      <c r="V708" s="2" t="inlineStr">
        <is>
          <t>Fläcknycklar</t>
        </is>
      </c>
      <c r="W708">
        <f>HYPERLINK("https://klasma.github.io/Logging_2132/artfynd/A 28587-2024 artfynd.xlsx", "A 28587-2024")</f>
        <v/>
      </c>
      <c r="X708">
        <f>HYPERLINK("https://klasma.github.io/Logging_2132/kartor/A 28587-2024 karta.png", "A 28587-2024")</f>
        <v/>
      </c>
      <c r="Y708">
        <f>HYPERLINK("https://klasma.github.io/Logging_2132/kartor_geotiff/A 28587-2024 georefererad karta.tif", "A 28587-2024")</f>
        <v/>
      </c>
      <c r="AA708">
        <f>HYPERLINK("https://klasma.github.io/Logging_2132/klagomål/A 28587-2024 FSC-klagomål.docx", "A 28587-2024")</f>
        <v/>
      </c>
      <c r="AB708">
        <f>HYPERLINK("https://klasma.github.io/Logging_2132/klagomålsmail/A 28587-2024 FSC-klagomål mail.docx", "A 28587-2024")</f>
        <v/>
      </c>
      <c r="AC708">
        <f>HYPERLINK("https://klasma.github.io/Logging_2132/tillsyn/A 28587-2024 tillsynsbegäran.docx", "A 28587-2024")</f>
        <v/>
      </c>
      <c r="AD708">
        <f>HYPERLINK("https://klasma.github.io/Logging_2132/tillsynsmail/A 28587-2024 tillsynsbegäran mail.docx", "A 28587-2024")</f>
        <v/>
      </c>
    </row>
    <row r="709" ht="15" customHeight="1">
      <c r="A709" t="inlineStr">
        <is>
          <t>A 15001-2023</t>
        </is>
      </c>
      <c r="B709" t="inlineStr">
        <is>
          <t>avverkningsanmälan</t>
        </is>
      </c>
      <c r="C709" t="inlineStr">
        <is>
          <t>Föryngringsavverkning</t>
        </is>
      </c>
      <c r="D709" s="1" t="n">
        <v>45015</v>
      </c>
      <c r="E709" s="1" t="n">
        <v>46326</v>
      </c>
      <c r="F709" t="inlineStr">
        <is>
          <t>GÄVLEBORGS LÄN</t>
        </is>
      </c>
      <c r="G709" t="inlineStr">
        <is>
          <t>GÄVLE</t>
        </is>
      </c>
      <c r="H709" t="inlineStr">
        <is>
          <t>Bergvik skog öst AB</t>
        </is>
      </c>
      <c r="I709" t="n">
        <v>2.7</v>
      </c>
      <c r="J709" t="n">
        <v>0</v>
      </c>
      <c r="K709" t="n">
        <v>0</v>
      </c>
      <c r="L709" t="n">
        <v>0</v>
      </c>
      <c r="M709" t="n">
        <v>1</v>
      </c>
      <c r="N709" t="n">
        <v>0</v>
      </c>
      <c r="O709" t="n">
        <v>0</v>
      </c>
      <c r="P709" t="n">
        <v>0</v>
      </c>
      <c r="Q709" t="n">
        <v>1</v>
      </c>
      <c r="R709" t="n">
        <v>1</v>
      </c>
      <c r="S709" t="n">
        <v>1</v>
      </c>
      <c r="T709" t="n">
        <v>1</v>
      </c>
      <c r="U709" t="n">
        <v>0</v>
      </c>
      <c r="V709" s="2" t="inlineStr">
        <is>
          <t>Ängsblåvinge</t>
        </is>
      </c>
      <c r="W709">
        <f>HYPERLINK("https://klasma.github.io/Logging_2180/artfynd/A 15001-2023 artfynd.xlsx", "A 15001-2023")</f>
        <v/>
      </c>
      <c r="X709">
        <f>HYPERLINK("https://klasma.github.io/Logging_2180/kartor/A 15001-2023 karta.png", "A 15001-2023")</f>
        <v/>
      </c>
      <c r="Y709">
        <f>HYPERLINK("https://klasma.github.io/Logging_2180/kartor_geotiff/A 15001-2023 georefererad karta.tif", "A 15001-2023")</f>
        <v/>
      </c>
      <c r="AA709">
        <f>HYPERLINK("https://klasma.github.io/Logging_2180/klagomål/A 15001-2023 FSC-klagomål.docx", "A 15001-2023")</f>
        <v/>
      </c>
      <c r="AB709">
        <f>HYPERLINK("https://klasma.github.io/Logging_2180/klagomålsmail/A 15001-2023 FSC-klagomål mail.docx", "A 15001-2023")</f>
        <v/>
      </c>
      <c r="AC709">
        <f>HYPERLINK("https://klasma.github.io/Logging_2180/tillsyn/A 15001-2023 tillsynsbegäran.docx", "A 15001-2023")</f>
        <v/>
      </c>
      <c r="AD709">
        <f>HYPERLINK("https://klasma.github.io/Logging_2180/tillsynsmail/A 15001-2023 tillsynsbegäran mail.docx", "A 15001-2023")</f>
        <v/>
      </c>
    </row>
    <row r="710" ht="15" customHeight="1">
      <c r="A710" t="inlineStr">
        <is>
          <t>A 33812-2022</t>
        </is>
      </c>
      <c r="B710" t="inlineStr">
        <is>
          <t>avverkningsanmälan</t>
        </is>
      </c>
      <c r="C710" t="inlineStr">
        <is>
          <t>Föryngringsavverkning</t>
        </is>
      </c>
      <c r="D710" s="1" t="n">
        <v>44790</v>
      </c>
      <c r="E710" s="1" t="n">
        <v>46326</v>
      </c>
      <c r="F710" t="inlineStr">
        <is>
          <t>GÄVLEBORGS LÄN</t>
        </is>
      </c>
      <c r="G710" t="inlineStr">
        <is>
          <t>GÄVLE</t>
        </is>
      </c>
      <c r="I710" t="n">
        <v>2.1</v>
      </c>
      <c r="J710" t="n">
        <v>0</v>
      </c>
      <c r="K710" t="n">
        <v>1</v>
      </c>
      <c r="L710" t="n">
        <v>0</v>
      </c>
      <c r="M710" t="n">
        <v>0</v>
      </c>
      <c r="N710" t="n">
        <v>0</v>
      </c>
      <c r="O710" t="n">
        <v>0</v>
      </c>
      <c r="P710" t="n">
        <v>0</v>
      </c>
      <c r="Q710" t="n">
        <v>0</v>
      </c>
      <c r="R710" t="n">
        <v>0</v>
      </c>
      <c r="S710" t="n">
        <v>1</v>
      </c>
      <c r="T710" t="n">
        <v>1</v>
      </c>
      <c r="U710" t="n">
        <v>0</v>
      </c>
      <c r="V710" s="2" t="inlineStr">
        <is>
          <t>Myskmadra</t>
        </is>
      </c>
      <c r="W710">
        <f>HYPERLINK("https://klasma.github.io/Logging_2180/artfynd/A 33812-2022 artfynd.xlsx", "A 33812-2022")</f>
        <v/>
      </c>
      <c r="X710">
        <f>HYPERLINK("https://klasma.github.io/Logging_2180/kartor/A 33812-2022 karta.png", "A 33812-2022")</f>
        <v/>
      </c>
      <c r="Y710">
        <f>HYPERLINK("https://klasma.github.io/Logging_2180/kartor_geotiff/A 33812-2022 georefererad karta.tif", "A 33812-2022")</f>
        <v/>
      </c>
      <c r="AA710">
        <f>HYPERLINK("https://klasma.github.io/Logging_2180/klagomål/A 33812-2022 FSC-klagomål.docx", "A 33812-2022")</f>
        <v/>
      </c>
      <c r="AB710">
        <f>HYPERLINK("https://klasma.github.io/Logging_2180/klagomålsmail/A 33812-2022 FSC-klagomål mail.docx", "A 33812-2022")</f>
        <v/>
      </c>
      <c r="AC710">
        <f>HYPERLINK("https://klasma.github.io/Logging_2180/tillsyn/A 33812-2022 tillsynsbegäran.docx", "A 33812-2022")</f>
        <v/>
      </c>
      <c r="AD710">
        <f>HYPERLINK("https://klasma.github.io/Logging_2180/tillsynsmail/A 33812-2022 tillsynsbegäran mail.docx", "A 33812-2022")</f>
        <v/>
      </c>
    </row>
    <row r="711" ht="15" customHeight="1">
      <c r="A711" t="inlineStr">
        <is>
          <t>A 25991-2023</t>
        </is>
      </c>
      <c r="B711" t="inlineStr">
        <is>
          <t>avverkningsanmälan</t>
        </is>
      </c>
      <c r="C711" t="inlineStr">
        <is>
          <t>Föryngringsavverkning</t>
        </is>
      </c>
      <c r="D711" s="1" t="n">
        <v>45090</v>
      </c>
      <c r="E711" s="1" t="n">
        <v>46326</v>
      </c>
      <c r="F711" t="inlineStr">
        <is>
          <t>GÄVLEBORGS LÄN</t>
        </is>
      </c>
      <c r="G711" t="inlineStr">
        <is>
          <t>LJUSDAL</t>
        </is>
      </c>
      <c r="I711" t="n">
        <v>9.5</v>
      </c>
      <c r="J711" t="n">
        <v>1</v>
      </c>
      <c r="K711" t="n">
        <v>0</v>
      </c>
      <c r="L711" t="n">
        <v>0</v>
      </c>
      <c r="M711" t="n">
        <v>1</v>
      </c>
      <c r="N711" t="n">
        <v>0</v>
      </c>
      <c r="O711" t="n">
        <v>0</v>
      </c>
      <c r="P711" t="n">
        <v>0</v>
      </c>
      <c r="Q711" t="n">
        <v>1</v>
      </c>
      <c r="R711" t="n">
        <v>1</v>
      </c>
      <c r="S711" t="n">
        <v>1</v>
      </c>
      <c r="T711" t="n">
        <v>1</v>
      </c>
      <c r="U711" t="n">
        <v>0</v>
      </c>
      <c r="V711" s="2" t="inlineStr">
        <is>
          <t>Ävjepilört</t>
        </is>
      </c>
      <c r="W711">
        <f>HYPERLINK("https://klasma.github.io/Logging_2161/artfynd/A 25991-2023 artfynd.xlsx", "A 25991-2023")</f>
        <v/>
      </c>
      <c r="X711">
        <f>HYPERLINK("https://klasma.github.io/Logging_2161/kartor/A 25991-2023 karta.png", "A 25991-2023")</f>
        <v/>
      </c>
      <c r="Y711">
        <f>HYPERLINK("https://klasma.github.io/Logging_2161/kartor_geotiff/A 25991-2023 georefererad karta.tif", "A 25991-2023")</f>
        <v/>
      </c>
      <c r="AA711">
        <f>HYPERLINK("https://klasma.github.io/Logging_2161/klagomål/A 25991-2023 FSC-klagomål.docx", "A 25991-2023")</f>
        <v/>
      </c>
      <c r="AB711">
        <f>HYPERLINK("https://klasma.github.io/Logging_2161/klagomålsmail/A 25991-2023 FSC-klagomål mail.docx", "A 25991-2023")</f>
        <v/>
      </c>
      <c r="AC711">
        <f>HYPERLINK("https://klasma.github.io/Logging_2161/tillsyn/A 25991-2023 tillsynsbegäran.docx", "A 25991-2023")</f>
        <v/>
      </c>
      <c r="AD711">
        <f>HYPERLINK("https://klasma.github.io/Logging_2161/tillsynsmail/A 25991-2023 tillsynsbegäran mail.docx", "A 25991-2023")</f>
        <v/>
      </c>
    </row>
    <row r="712" ht="15" customHeight="1">
      <c r="A712" t="inlineStr">
        <is>
          <t>A 26157-2022</t>
        </is>
      </c>
      <c r="B712" t="inlineStr">
        <is>
          <t>avverkningsanmälan</t>
        </is>
      </c>
      <c r="C712" t="inlineStr">
        <is>
          <t>Avverkning för annat ändamål</t>
        </is>
      </c>
      <c r="D712" s="1" t="n">
        <v>44735</v>
      </c>
      <c r="E712" s="1" t="n">
        <v>46326</v>
      </c>
      <c r="F712" t="inlineStr">
        <is>
          <t>GÄVLEBORGS LÄN</t>
        </is>
      </c>
      <c r="G712" t="inlineStr">
        <is>
          <t>GÄVLE</t>
        </is>
      </c>
      <c r="I712" t="n">
        <v>2.6</v>
      </c>
      <c r="J712" t="n">
        <v>1</v>
      </c>
      <c r="K712" t="n">
        <v>0</v>
      </c>
      <c r="L712" t="n">
        <v>0</v>
      </c>
      <c r="M712" t="n">
        <v>0</v>
      </c>
      <c r="N712" t="n">
        <v>0</v>
      </c>
      <c r="O712" t="n">
        <v>0</v>
      </c>
      <c r="P712" t="n">
        <v>0</v>
      </c>
      <c r="Q712" t="n">
        <v>0</v>
      </c>
      <c r="R712" t="n">
        <v>0</v>
      </c>
      <c r="S712" t="n">
        <v>1</v>
      </c>
      <c r="T712" t="n">
        <v>1</v>
      </c>
      <c r="U712" t="n">
        <v>1</v>
      </c>
      <c r="V712" s="2" t="inlineStr">
        <is>
          <t>Mattlummer</t>
        </is>
      </c>
      <c r="W712">
        <f>HYPERLINK("https://klasma.github.io/Logging_2180/artfynd/A 26157-2022 artfynd.xlsx", "A 26157-2022")</f>
        <v/>
      </c>
      <c r="X712">
        <f>HYPERLINK("https://klasma.github.io/Logging_2180/kartor/A 26157-2022 karta.png", "A 26157-2022")</f>
        <v/>
      </c>
      <c r="Y712">
        <f>HYPERLINK("https://klasma.github.io/Logging_2180/kartor_geotiff/A 26157-2022 georefererad karta.tif", "A 26157-2022")</f>
        <v/>
      </c>
      <c r="AA712">
        <f>HYPERLINK("https://klasma.github.io/Logging_2180/klagomål/A 26157-2022 FSC-klagomål.docx", "A 26157-2022")</f>
        <v/>
      </c>
      <c r="AB712">
        <f>HYPERLINK("https://klasma.github.io/Logging_2180/klagomålsmail/A 26157-2022 FSC-klagomål mail.docx", "A 26157-2022")</f>
        <v/>
      </c>
      <c r="AC712">
        <f>HYPERLINK("https://klasma.github.io/Logging_2180/tillsyn/A 26157-2022 tillsynsbegäran.docx", "A 26157-2022")</f>
        <v/>
      </c>
      <c r="AD712">
        <f>HYPERLINK("https://klasma.github.io/Logging_2180/tillsynsmail/A 26157-2022 tillsynsbegäran mail.docx", "A 26157-2022")</f>
        <v/>
      </c>
    </row>
    <row r="713" ht="15" customHeight="1">
      <c r="A713" t="inlineStr">
        <is>
          <t>A 32254-2023</t>
        </is>
      </c>
      <c r="B713" t="inlineStr">
        <is>
          <t>avverkningsanmälan</t>
        </is>
      </c>
      <c r="C713" t="inlineStr">
        <is>
          <t>Föryngringsavverkning</t>
        </is>
      </c>
      <c r="D713" s="1" t="n">
        <v>45120</v>
      </c>
      <c r="E713" s="1" t="n">
        <v>46326</v>
      </c>
      <c r="F713" t="inlineStr">
        <is>
          <t>GÄVLEBORGS LÄN</t>
        </is>
      </c>
      <c r="G713" t="inlineStr">
        <is>
          <t>GÄVLE</t>
        </is>
      </c>
      <c r="I713" t="n">
        <v>2.5</v>
      </c>
      <c r="J713" t="n">
        <v>0</v>
      </c>
      <c r="K713" t="n">
        <v>0</v>
      </c>
      <c r="L713" t="n">
        <v>1</v>
      </c>
      <c r="M713" t="n">
        <v>0</v>
      </c>
      <c r="N713" t="n">
        <v>0</v>
      </c>
      <c r="O713" t="n">
        <v>0</v>
      </c>
      <c r="P713" t="n">
        <v>0</v>
      </c>
      <c r="Q713" t="n">
        <v>1</v>
      </c>
      <c r="R713" t="n">
        <v>0</v>
      </c>
      <c r="S713" t="n">
        <v>1</v>
      </c>
      <c r="T713" t="n">
        <v>1</v>
      </c>
      <c r="U713" t="n">
        <v>1</v>
      </c>
      <c r="V713" s="2" t="inlineStr">
        <is>
          <t>Slåtterfibbla</t>
        </is>
      </c>
      <c r="W713">
        <f>HYPERLINK("https://klasma.github.io/Logging_2180/artfynd/A 32254-2023 artfynd.xlsx", "A 32254-2023")</f>
        <v/>
      </c>
      <c r="X713">
        <f>HYPERLINK("https://klasma.github.io/Logging_2180/kartor/A 32254-2023 karta.png", "A 32254-2023")</f>
        <v/>
      </c>
      <c r="Y713">
        <f>HYPERLINK("https://klasma.github.io/Logging_2180/kartor_geotiff/A 32254-2023 georefererad karta.tif", "A 32254-2023")</f>
        <v/>
      </c>
      <c r="AA713">
        <f>HYPERLINK("https://klasma.github.io/Logging_2180/klagomål/A 32254-2023 FSC-klagomål.docx", "A 32254-2023")</f>
        <v/>
      </c>
      <c r="AB713">
        <f>HYPERLINK("https://klasma.github.io/Logging_2180/klagomålsmail/A 32254-2023 FSC-klagomål mail.docx", "A 32254-2023")</f>
        <v/>
      </c>
      <c r="AC713">
        <f>HYPERLINK("https://klasma.github.io/Logging_2180/tillsyn/A 32254-2023 tillsynsbegäran.docx", "A 32254-2023")</f>
        <v/>
      </c>
      <c r="AD713">
        <f>HYPERLINK("https://klasma.github.io/Logging_2180/tillsynsmail/A 32254-2023 tillsynsbegäran mail.docx", "A 32254-2023")</f>
        <v/>
      </c>
    </row>
    <row r="714" ht="15" customHeight="1">
      <c r="A714" t="inlineStr">
        <is>
          <t>A 61056-2024</t>
        </is>
      </c>
      <c r="B714" t="inlineStr">
        <is>
          <t>avverkningsanmälan</t>
        </is>
      </c>
      <c r="C714" t="inlineStr">
        <is>
          <t>Föryngringsavverkning</t>
        </is>
      </c>
      <c r="D714" s="1" t="n">
        <v>45645</v>
      </c>
      <c r="E714" s="1" t="n">
        <v>46326</v>
      </c>
      <c r="F714" t="inlineStr">
        <is>
          <t>GÄVLEBORGS LÄN</t>
        </is>
      </c>
      <c r="G714" t="inlineStr">
        <is>
          <t>GÄVLE</t>
        </is>
      </c>
      <c r="H714" t="inlineStr">
        <is>
          <t>Bergvik skog öst AB</t>
        </is>
      </c>
      <c r="I714" t="n">
        <v>5.3</v>
      </c>
      <c r="J714" t="n">
        <v>1</v>
      </c>
      <c r="K714" t="n">
        <v>0</v>
      </c>
      <c r="L714" t="n">
        <v>0</v>
      </c>
      <c r="M714" t="n">
        <v>0</v>
      </c>
      <c r="N714" t="n">
        <v>0</v>
      </c>
      <c r="O714" t="n">
        <v>0</v>
      </c>
      <c r="P714" t="n">
        <v>0</v>
      </c>
      <c r="Q714" t="n">
        <v>0</v>
      </c>
      <c r="R714" t="n">
        <v>0</v>
      </c>
      <c r="S714" t="n">
        <v>1</v>
      </c>
      <c r="T714" t="n">
        <v>1</v>
      </c>
      <c r="U714" t="n">
        <v>1</v>
      </c>
      <c r="V714" s="2" t="inlineStr">
        <is>
          <t>Myggblomster</t>
        </is>
      </c>
      <c r="W714">
        <f>HYPERLINK("https://klasma.github.io/Logging_2180/artfynd/A 61056-2024 artfynd.xlsx", "A 61056-2024")</f>
        <v/>
      </c>
      <c r="X714">
        <f>HYPERLINK("https://klasma.github.io/Logging_2180/kartor/A 61056-2024 karta.png", "A 61056-2024")</f>
        <v/>
      </c>
      <c r="Y714">
        <f>HYPERLINK("https://klasma.github.io/Logging_2180/kartor_geotiff/A 61056-2024 georefererad karta.tif", "A 61056-2024")</f>
        <v/>
      </c>
      <c r="AA714">
        <f>HYPERLINK("https://klasma.github.io/Logging_2180/klagomål/A 61056-2024 FSC-klagomål.docx", "A 61056-2024")</f>
        <v/>
      </c>
      <c r="AB714">
        <f>HYPERLINK("https://klasma.github.io/Logging_2180/klagomålsmail/A 61056-2024 FSC-klagomål mail.docx", "A 61056-2024")</f>
        <v/>
      </c>
      <c r="AC714">
        <f>HYPERLINK("https://klasma.github.io/Logging_2180/tillsyn/A 61056-2024 tillsynsbegäran.docx", "A 61056-2024")</f>
        <v/>
      </c>
      <c r="AD714">
        <f>HYPERLINK("https://klasma.github.io/Logging_2180/tillsynsmail/A 61056-2024 tillsynsbegäran mail.docx", "A 61056-2024")</f>
        <v/>
      </c>
    </row>
    <row r="715" ht="15" customHeight="1">
      <c r="A715" t="inlineStr">
        <is>
          <t>A 57806-2024</t>
        </is>
      </c>
      <c r="B715" t="inlineStr">
        <is>
          <t>avverkningsanmälan</t>
        </is>
      </c>
      <c r="C715" t="inlineStr">
        <is>
          <t>Föryngringsavverkning</t>
        </is>
      </c>
      <c r="D715" s="1" t="n">
        <v>45631</v>
      </c>
      <c r="E715" s="1" t="n">
        <v>46326</v>
      </c>
      <c r="F715" t="inlineStr">
        <is>
          <t>GÄVLEBORGS LÄN</t>
        </is>
      </c>
      <c r="G715" t="inlineStr">
        <is>
          <t>NORDANSTIG</t>
        </is>
      </c>
      <c r="H715" t="inlineStr">
        <is>
          <t>Holmen skog AB</t>
        </is>
      </c>
      <c r="I715" t="n">
        <v>2.6</v>
      </c>
      <c r="J715" t="n">
        <v>1</v>
      </c>
      <c r="K715" t="n">
        <v>0</v>
      </c>
      <c r="L715" t="n">
        <v>0</v>
      </c>
      <c r="M715" t="n">
        <v>1</v>
      </c>
      <c r="N715" t="n">
        <v>0</v>
      </c>
      <c r="O715" t="n">
        <v>0</v>
      </c>
      <c r="P715" t="n">
        <v>0</v>
      </c>
      <c r="Q715" t="n">
        <v>1</v>
      </c>
      <c r="R715" t="n">
        <v>1</v>
      </c>
      <c r="S715" t="n">
        <v>1</v>
      </c>
      <c r="T715" t="n">
        <v>1</v>
      </c>
      <c r="U715" t="n">
        <v>0</v>
      </c>
      <c r="V715" s="2" t="inlineStr">
        <is>
          <t>Knärot</t>
        </is>
      </c>
      <c r="W715">
        <f>HYPERLINK("https://klasma.github.io/Logging_2132/artfynd/A 57806-2024 artfynd.xlsx", "A 57806-2024")</f>
        <v/>
      </c>
      <c r="X715">
        <f>HYPERLINK("https://klasma.github.io/Logging_2132/kartor/A 57806-2024 karta.png", "A 57806-2024")</f>
        <v/>
      </c>
      <c r="Y715">
        <f>HYPERLINK("https://klasma.github.io/Logging_2132/kartor_geotiff/A 57806-2024 georefererad karta.tif", "A 57806-2024")</f>
        <v/>
      </c>
      <c r="Z715">
        <f>HYPERLINK("https://klasma.github.io/Logging_2132/knärot/A 57806-2024 karta knärot.png", "A 57806-2024")</f>
        <v/>
      </c>
      <c r="AA715">
        <f>HYPERLINK("https://klasma.github.io/Logging_2132/klagomål/A 57806-2024 FSC-klagomål.docx", "A 57806-2024")</f>
        <v/>
      </c>
      <c r="AB715">
        <f>HYPERLINK("https://klasma.github.io/Logging_2132/klagomålsmail/A 57806-2024 FSC-klagomål mail.docx", "A 57806-2024")</f>
        <v/>
      </c>
      <c r="AC715">
        <f>HYPERLINK("https://klasma.github.io/Logging_2132/tillsyn/A 57806-2024 tillsynsbegäran.docx", "A 57806-2024")</f>
        <v/>
      </c>
      <c r="AD715">
        <f>HYPERLINK("https://klasma.github.io/Logging_2132/tillsynsmail/A 57806-2024 tillsynsbegäran mail.docx", "A 57806-2024")</f>
        <v/>
      </c>
    </row>
    <row r="716" ht="15" customHeight="1">
      <c r="A716" t="inlineStr">
        <is>
          <t>A 29337-2024</t>
        </is>
      </c>
      <c r="B716" t="inlineStr">
        <is>
          <t>avverkningsanmälan</t>
        </is>
      </c>
      <c r="C716" t="inlineStr">
        <is>
          <t>Avverkning för annat ändamål</t>
        </is>
      </c>
      <c r="D716" s="1" t="n">
        <v>45483</v>
      </c>
      <c r="E716" s="1" t="n">
        <v>46326</v>
      </c>
      <c r="F716" t="inlineStr">
        <is>
          <t>GÄVLEBORGS LÄN</t>
        </is>
      </c>
      <c r="G716" t="inlineStr">
        <is>
          <t>HUDIKSVALL</t>
        </is>
      </c>
      <c r="H716" t="inlineStr">
        <is>
          <t>Holmen skog AB</t>
        </is>
      </c>
      <c r="I716" t="n">
        <v>1</v>
      </c>
      <c r="J716" t="n">
        <v>1</v>
      </c>
      <c r="K716" t="n">
        <v>0</v>
      </c>
      <c r="L716" t="n">
        <v>0</v>
      </c>
      <c r="M716" t="n">
        <v>0</v>
      </c>
      <c r="N716" t="n">
        <v>0</v>
      </c>
      <c r="O716" t="n">
        <v>0</v>
      </c>
      <c r="P716" t="n">
        <v>0</v>
      </c>
      <c r="Q716" t="n">
        <v>0</v>
      </c>
      <c r="R716" t="n">
        <v>0</v>
      </c>
      <c r="S716" t="n">
        <v>1</v>
      </c>
      <c r="T716" t="n">
        <v>1</v>
      </c>
      <c r="U716" t="n">
        <v>0</v>
      </c>
      <c r="V716" s="2" t="inlineStr">
        <is>
          <t>Järpe</t>
        </is>
      </c>
      <c r="W716">
        <f>HYPERLINK("https://klasma.github.io/Logging_2184/artfynd/A 29337-2024 artfynd.xlsx", "A 29337-2024")</f>
        <v/>
      </c>
      <c r="X716">
        <f>HYPERLINK("https://klasma.github.io/Logging_2184/kartor/A 29337-2024 karta.png", "A 29337-2024")</f>
        <v/>
      </c>
      <c r="Y716">
        <f>HYPERLINK("https://klasma.github.io/Logging_2184/kartor_geotiff/A 29337-2024 georefererad karta.tif", "A 29337-2024")</f>
        <v/>
      </c>
      <c r="AA716">
        <f>HYPERLINK("https://klasma.github.io/Logging_2184/klagomål/A 29337-2024 FSC-klagomål.docx", "A 29337-2024")</f>
        <v/>
      </c>
      <c r="AB716">
        <f>HYPERLINK("https://klasma.github.io/Logging_2184/klagomålsmail/A 29337-2024 FSC-klagomål mail.docx", "A 29337-2024")</f>
        <v/>
      </c>
      <c r="AC716">
        <f>HYPERLINK("https://klasma.github.io/Logging_2184/tillsyn/A 29337-2024 tillsynsbegäran.docx", "A 29337-2024")</f>
        <v/>
      </c>
      <c r="AD716">
        <f>HYPERLINK("https://klasma.github.io/Logging_2184/tillsynsmail/A 29337-2024 tillsynsbegäran mail.docx", "A 29337-2024")</f>
        <v/>
      </c>
      <c r="AE716">
        <f>HYPERLINK("https://klasma.github.io/Logging_2184/fåglar/A 29337-2024 prioriterade fågelarter.docx", "A 29337-2024")</f>
        <v/>
      </c>
    </row>
    <row r="717" ht="15" customHeight="1">
      <c r="A717" t="inlineStr">
        <is>
          <t>A 3755-2023</t>
        </is>
      </c>
      <c r="B717" t="inlineStr">
        <is>
          <t>avverkningsanmälan</t>
        </is>
      </c>
      <c r="C717" t="inlineStr">
        <is>
          <t>Föryngringsavverkning</t>
        </is>
      </c>
      <c r="D717" s="1" t="n">
        <v>44951</v>
      </c>
      <c r="E717" s="1" t="n">
        <v>46326</v>
      </c>
      <c r="F717" t="inlineStr">
        <is>
          <t>GÄVLEBORGS LÄN</t>
        </is>
      </c>
      <c r="G717" t="inlineStr">
        <is>
          <t>NORDANSTIG</t>
        </is>
      </c>
      <c r="I717" t="n">
        <v>8.199999999999999</v>
      </c>
      <c r="J717" t="n">
        <v>1</v>
      </c>
      <c r="K717" t="n">
        <v>0</v>
      </c>
      <c r="L717" t="n">
        <v>0</v>
      </c>
      <c r="M717" t="n">
        <v>1</v>
      </c>
      <c r="N717" t="n">
        <v>0</v>
      </c>
      <c r="O717" t="n">
        <v>0</v>
      </c>
      <c r="P717" t="n">
        <v>0</v>
      </c>
      <c r="Q717" t="n">
        <v>1</v>
      </c>
      <c r="R717" t="n">
        <v>1</v>
      </c>
      <c r="S717" t="n">
        <v>1</v>
      </c>
      <c r="T717" t="n">
        <v>1</v>
      </c>
      <c r="U717" t="n">
        <v>1</v>
      </c>
      <c r="V717" s="2" t="inlineStr">
        <is>
          <t>Bredgentiana</t>
        </is>
      </c>
      <c r="W717">
        <f>HYPERLINK("https://klasma.github.io/Logging_2132/artfynd/A 3755-2023 artfynd.xlsx", "A 3755-2023")</f>
        <v/>
      </c>
      <c r="X717">
        <f>HYPERLINK("https://klasma.github.io/Logging_2132/kartor/A 3755-2023 karta.png", "A 3755-2023")</f>
        <v/>
      </c>
      <c r="Y717">
        <f>HYPERLINK("https://klasma.github.io/Logging_2132/kartor_geotiff/A 3755-2023 georefererad karta.tif", "A 3755-2023")</f>
        <v/>
      </c>
      <c r="AA717">
        <f>HYPERLINK("https://klasma.github.io/Logging_2132/klagomål/A 3755-2023 FSC-klagomål.docx", "A 3755-2023")</f>
        <v/>
      </c>
      <c r="AB717">
        <f>HYPERLINK("https://klasma.github.io/Logging_2132/klagomålsmail/A 3755-2023 FSC-klagomål mail.docx", "A 3755-2023")</f>
        <v/>
      </c>
      <c r="AC717">
        <f>HYPERLINK("https://klasma.github.io/Logging_2132/tillsyn/A 3755-2023 tillsynsbegäran.docx", "A 3755-2023")</f>
        <v/>
      </c>
      <c r="AD717">
        <f>HYPERLINK("https://klasma.github.io/Logging_2132/tillsynsmail/A 3755-2023 tillsynsbegäran mail.docx", "A 3755-2023")</f>
        <v/>
      </c>
    </row>
    <row r="718" ht="15" customHeight="1">
      <c r="A718" t="inlineStr">
        <is>
          <t>A 16738-2025</t>
        </is>
      </c>
      <c r="B718" t="inlineStr">
        <is>
          <t>avverkningsanmälan</t>
        </is>
      </c>
      <c r="C718" t="inlineStr">
        <is>
          <t>Föryngringsavverkning</t>
        </is>
      </c>
      <c r="D718" s="1" t="n">
        <v>45754</v>
      </c>
      <c r="E718" s="1" t="n">
        <v>46326</v>
      </c>
      <c r="F718" t="inlineStr">
        <is>
          <t>GÄVLEBORGS LÄN</t>
        </is>
      </c>
      <c r="G718" t="inlineStr">
        <is>
          <t>OCKELBO</t>
        </is>
      </c>
      <c r="I718" t="n">
        <v>0.5</v>
      </c>
      <c r="J718" t="n">
        <v>1</v>
      </c>
      <c r="K718" t="n">
        <v>0</v>
      </c>
      <c r="L718" t="n">
        <v>0</v>
      </c>
      <c r="M718" t="n">
        <v>0</v>
      </c>
      <c r="N718" t="n">
        <v>0</v>
      </c>
      <c r="O718" t="n">
        <v>0</v>
      </c>
      <c r="P718" t="n">
        <v>0</v>
      </c>
      <c r="Q718" t="n">
        <v>0</v>
      </c>
      <c r="R718" t="n">
        <v>0</v>
      </c>
      <c r="S718" t="n">
        <v>1</v>
      </c>
      <c r="T718" t="n">
        <v>1</v>
      </c>
      <c r="U718" t="n">
        <v>1</v>
      </c>
      <c r="V718" s="2" t="inlineStr">
        <is>
          <t>Fläcknycklar</t>
        </is>
      </c>
      <c r="W718">
        <f>HYPERLINK("https://klasma.github.io/Logging_2101/artfynd/A 16738-2025 artfynd.xlsx", "A 16738-2025")</f>
        <v/>
      </c>
      <c r="X718">
        <f>HYPERLINK("https://klasma.github.io/Logging_2101/kartor/A 16738-2025 karta.png", "A 16738-2025")</f>
        <v/>
      </c>
      <c r="Y718">
        <f>HYPERLINK("https://klasma.github.io/Logging_2101/kartor_geotiff/A 16738-2025 georefererad karta.tif", "A 16738-2025")</f>
        <v/>
      </c>
      <c r="AA718">
        <f>HYPERLINK("https://klasma.github.io/Logging_2101/klagomål/A 16738-2025 FSC-klagomål.docx", "A 16738-2025")</f>
        <v/>
      </c>
      <c r="AB718">
        <f>HYPERLINK("https://klasma.github.io/Logging_2101/klagomålsmail/A 16738-2025 FSC-klagomål mail.docx", "A 16738-2025")</f>
        <v/>
      </c>
      <c r="AC718">
        <f>HYPERLINK("https://klasma.github.io/Logging_2101/tillsyn/A 16738-2025 tillsynsbegäran.docx", "A 16738-2025")</f>
        <v/>
      </c>
      <c r="AD718">
        <f>HYPERLINK("https://klasma.github.io/Logging_2101/tillsynsmail/A 16738-2025 tillsynsbegäran mail.docx", "A 16738-2025")</f>
        <v/>
      </c>
    </row>
    <row r="719" ht="15" customHeight="1">
      <c r="A719" t="inlineStr">
        <is>
          <t>A 48654-2022</t>
        </is>
      </c>
      <c r="B719" t="inlineStr">
        <is>
          <t>avverkningsanmälan</t>
        </is>
      </c>
      <c r="C719" t="inlineStr">
        <is>
          <t>Föryngringsavverkning</t>
        </is>
      </c>
      <c r="D719" s="1" t="n">
        <v>44859</v>
      </c>
      <c r="E719" s="1" t="n">
        <v>46326</v>
      </c>
      <c r="F719" t="inlineStr">
        <is>
          <t>GÄVLEBORGS LÄN</t>
        </is>
      </c>
      <c r="G719" t="inlineStr">
        <is>
          <t>LJUSDAL</t>
        </is>
      </c>
      <c r="I719" t="n">
        <v>1.2</v>
      </c>
      <c r="J719" t="n">
        <v>1</v>
      </c>
      <c r="K719" t="n">
        <v>0</v>
      </c>
      <c r="L719" t="n">
        <v>0</v>
      </c>
      <c r="M719" t="n">
        <v>0</v>
      </c>
      <c r="N719" t="n">
        <v>0</v>
      </c>
      <c r="O719" t="n">
        <v>0</v>
      </c>
      <c r="P719" t="n">
        <v>0</v>
      </c>
      <c r="Q719" t="n">
        <v>0</v>
      </c>
      <c r="R719" t="n">
        <v>0</v>
      </c>
      <c r="S719" t="n">
        <v>1</v>
      </c>
      <c r="T719" t="n">
        <v>1</v>
      </c>
      <c r="U719" t="n">
        <v>1</v>
      </c>
      <c r="V719" s="2" t="inlineStr">
        <is>
          <t>Blåsippa</t>
        </is>
      </c>
      <c r="W719">
        <f>HYPERLINK("https://klasma.github.io/Logging_2161/artfynd/A 48654-2022 artfynd.xlsx", "A 48654-2022")</f>
        <v/>
      </c>
      <c r="X719">
        <f>HYPERLINK("https://klasma.github.io/Logging_2161/kartor/A 48654-2022 karta.png", "A 48654-2022")</f>
        <v/>
      </c>
      <c r="Y719">
        <f>HYPERLINK("https://klasma.github.io/Logging_2161/kartor_geotiff/A 48654-2022 georefererad karta.tif", "A 48654-2022")</f>
        <v/>
      </c>
      <c r="AA719">
        <f>HYPERLINK("https://klasma.github.io/Logging_2161/klagomål/A 48654-2022 FSC-klagomål.docx", "A 48654-2022")</f>
        <v/>
      </c>
      <c r="AB719">
        <f>HYPERLINK("https://klasma.github.io/Logging_2161/klagomålsmail/A 48654-2022 FSC-klagomål mail.docx", "A 48654-2022")</f>
        <v/>
      </c>
      <c r="AC719">
        <f>HYPERLINK("https://klasma.github.io/Logging_2161/tillsyn/A 48654-2022 tillsynsbegäran.docx", "A 48654-2022")</f>
        <v/>
      </c>
      <c r="AD719">
        <f>HYPERLINK("https://klasma.github.io/Logging_2161/tillsynsmail/A 48654-2022 tillsynsbegäran mail.docx", "A 48654-2022")</f>
        <v/>
      </c>
    </row>
    <row r="720" ht="15" customHeight="1">
      <c r="A720" t="inlineStr">
        <is>
          <t>A 15841-2023</t>
        </is>
      </c>
      <c r="B720" t="inlineStr">
        <is>
          <t>avverkningsanmälan</t>
        </is>
      </c>
      <c r="C720" t="inlineStr">
        <is>
          <t>Föryngringsavverkning</t>
        </is>
      </c>
      <c r="D720" s="1" t="n">
        <v>45022</v>
      </c>
      <c r="E720" s="1" t="n">
        <v>46326</v>
      </c>
      <c r="F720" t="inlineStr">
        <is>
          <t>GÄVLEBORGS LÄN</t>
        </is>
      </c>
      <c r="G720" t="inlineStr">
        <is>
          <t>OCKELBO</t>
        </is>
      </c>
      <c r="H720" t="inlineStr">
        <is>
          <t>Bergvik skog väst AB</t>
        </is>
      </c>
      <c r="I720" t="n">
        <v>2.1</v>
      </c>
      <c r="J720" t="n">
        <v>1</v>
      </c>
      <c r="K720" t="n">
        <v>0</v>
      </c>
      <c r="L720" t="n">
        <v>0</v>
      </c>
      <c r="M720" t="n">
        <v>0</v>
      </c>
      <c r="N720" t="n">
        <v>0</v>
      </c>
      <c r="O720" t="n">
        <v>0</v>
      </c>
      <c r="P720" t="n">
        <v>0</v>
      </c>
      <c r="Q720" t="n">
        <v>0</v>
      </c>
      <c r="R720" t="n">
        <v>0</v>
      </c>
      <c r="S720" t="n">
        <v>1</v>
      </c>
      <c r="T720" t="n">
        <v>1</v>
      </c>
      <c r="U720" t="n">
        <v>1</v>
      </c>
      <c r="V720" s="2" t="inlineStr">
        <is>
          <t>Havsörn</t>
        </is>
      </c>
      <c r="W720">
        <f>HYPERLINK("https://klasma.github.io/Logging_2101/artfynd/A 15841-2023 artfynd.xlsx", "A 15841-2023")</f>
        <v/>
      </c>
      <c r="X720">
        <f>HYPERLINK("https://klasma.github.io/Logging_2101/kartor/A 15841-2023 karta.png", "A 15841-2023")</f>
        <v/>
      </c>
      <c r="Y720">
        <f>HYPERLINK("https://klasma.github.io/Logging_2101/kartor_geotiff/A 15841-2023 georefererad karta.tif", "A 15841-2023")</f>
        <v/>
      </c>
      <c r="AA720">
        <f>HYPERLINK("https://klasma.github.io/Logging_2101/klagomål/A 15841-2023 FSC-klagomål.docx", "A 15841-2023")</f>
        <v/>
      </c>
      <c r="AB720">
        <f>HYPERLINK("https://klasma.github.io/Logging_2101/klagomålsmail/A 15841-2023 FSC-klagomål mail.docx", "A 15841-2023")</f>
        <v/>
      </c>
      <c r="AC720">
        <f>HYPERLINK("https://klasma.github.io/Logging_2101/tillsyn/A 15841-2023 tillsynsbegäran.docx", "A 15841-2023")</f>
        <v/>
      </c>
      <c r="AD720">
        <f>HYPERLINK("https://klasma.github.io/Logging_2101/tillsynsmail/A 15841-2023 tillsynsbegäran mail.docx", "A 15841-2023")</f>
        <v/>
      </c>
      <c r="AE720">
        <f>HYPERLINK("https://klasma.github.io/Logging_2101/fåglar/A 15841-2023 prioriterade fågelarter.docx", "A 15841-2023")</f>
        <v/>
      </c>
    </row>
    <row r="721" ht="15" customHeight="1">
      <c r="A721" t="inlineStr">
        <is>
          <t>A 21786-2022</t>
        </is>
      </c>
      <c r="B721" t="inlineStr">
        <is>
          <t>avverkningsanmälan</t>
        </is>
      </c>
      <c r="C721" t="inlineStr">
        <is>
          <t>Föryngringsavverkning</t>
        </is>
      </c>
      <c r="D721" s="1" t="n">
        <v>44708</v>
      </c>
      <c r="E721" s="1" t="n">
        <v>46326</v>
      </c>
      <c r="F721" t="inlineStr">
        <is>
          <t>GÄVLEBORGS LÄN</t>
        </is>
      </c>
      <c r="G721" t="inlineStr">
        <is>
          <t>LJUSDAL</t>
        </is>
      </c>
      <c r="H721" t="inlineStr">
        <is>
          <t>Holmen skog AB</t>
        </is>
      </c>
      <c r="I721" t="n">
        <v>1</v>
      </c>
      <c r="J721" t="n">
        <v>0</v>
      </c>
      <c r="K721" t="n">
        <v>1</v>
      </c>
      <c r="L721" t="n">
        <v>0</v>
      </c>
      <c r="M721" t="n">
        <v>0</v>
      </c>
      <c r="N721" t="n">
        <v>0</v>
      </c>
      <c r="O721" t="n">
        <v>0</v>
      </c>
      <c r="P721" t="n">
        <v>0</v>
      </c>
      <c r="Q721" t="n">
        <v>0</v>
      </c>
      <c r="R721" t="n">
        <v>0</v>
      </c>
      <c r="S721" t="n">
        <v>1</v>
      </c>
      <c r="T721" t="n">
        <v>1</v>
      </c>
      <c r="U721" t="n">
        <v>1</v>
      </c>
      <c r="V721" s="2" t="inlineStr">
        <is>
          <t>Vågbandad barkbock</t>
        </is>
      </c>
      <c r="W721">
        <f>HYPERLINK("https://klasma.github.io/Logging_2161/artfynd/A 21786-2022 artfynd.xlsx", "A 21786-2022")</f>
        <v/>
      </c>
      <c r="X721">
        <f>HYPERLINK("https://klasma.github.io/Logging_2161/kartor/A 21786-2022 karta.png", "A 21786-2022")</f>
        <v/>
      </c>
      <c r="Y721">
        <f>HYPERLINK("https://klasma.github.io/Logging_2161/kartor_geotiff/A 21786-2022 georefererad karta.tif", "A 21786-2022")</f>
        <v/>
      </c>
      <c r="AA721">
        <f>HYPERLINK("https://klasma.github.io/Logging_2161/klagomål/A 21786-2022 FSC-klagomål.docx", "A 21786-2022")</f>
        <v/>
      </c>
      <c r="AB721">
        <f>HYPERLINK("https://klasma.github.io/Logging_2161/klagomålsmail/A 21786-2022 FSC-klagomål mail.docx", "A 21786-2022")</f>
        <v/>
      </c>
      <c r="AC721">
        <f>HYPERLINK("https://klasma.github.io/Logging_2161/tillsyn/A 21786-2022 tillsynsbegäran.docx", "A 21786-2022")</f>
        <v/>
      </c>
      <c r="AD721">
        <f>HYPERLINK("https://klasma.github.io/Logging_2161/tillsynsmail/A 21786-2022 tillsynsbegäran mail.docx", "A 21786-2022")</f>
        <v/>
      </c>
    </row>
    <row r="722" ht="15" customHeight="1">
      <c r="A722" t="inlineStr">
        <is>
          <t>A 24758-2025</t>
        </is>
      </c>
      <c r="B722" t="inlineStr">
        <is>
          <t>avverkningsanmälan</t>
        </is>
      </c>
      <c r="C722" t="inlineStr">
        <is>
          <t>Föryngringsavverkning</t>
        </is>
      </c>
      <c r="D722" s="1" t="n">
        <v>45799</v>
      </c>
      <c r="E722" s="1" t="n">
        <v>46326</v>
      </c>
      <c r="F722" t="inlineStr">
        <is>
          <t>GÄVLEBORGS LÄN</t>
        </is>
      </c>
      <c r="G722" t="inlineStr">
        <is>
          <t>NORDANSTIG</t>
        </is>
      </c>
      <c r="H722" t="inlineStr">
        <is>
          <t>Holmen skog AB</t>
        </is>
      </c>
      <c r="I722" t="n">
        <v>23.2</v>
      </c>
      <c r="J722" t="n">
        <v>1</v>
      </c>
      <c r="K722" t="n">
        <v>0</v>
      </c>
      <c r="L722" t="n">
        <v>0</v>
      </c>
      <c r="M722" t="n">
        <v>1</v>
      </c>
      <c r="N722" t="n">
        <v>0</v>
      </c>
      <c r="O722" t="n">
        <v>0</v>
      </c>
      <c r="P722" t="n">
        <v>0</v>
      </c>
      <c r="Q722" t="n">
        <v>1</v>
      </c>
      <c r="R722" t="n">
        <v>1</v>
      </c>
      <c r="S722" t="n">
        <v>1</v>
      </c>
      <c r="T722" t="n">
        <v>1</v>
      </c>
      <c r="U722" t="n">
        <v>0</v>
      </c>
      <c r="V722" s="2" t="inlineStr">
        <is>
          <t>Knärot</t>
        </is>
      </c>
      <c r="W722">
        <f>HYPERLINK("https://klasma.github.io/Logging_2132/artfynd/A 24758-2025 artfynd.xlsx", "A 24758-2025")</f>
        <v/>
      </c>
      <c r="X722">
        <f>HYPERLINK("https://klasma.github.io/Logging_2132/kartor/A 24758-2025 karta.png", "A 24758-2025")</f>
        <v/>
      </c>
      <c r="Y722">
        <f>HYPERLINK("https://klasma.github.io/Logging_2132/kartor_geotiff/A 24758-2025 georefererad karta.tif", "A 24758-2025")</f>
        <v/>
      </c>
      <c r="Z722">
        <f>HYPERLINK("https://klasma.github.io/Logging_2132/knärot/A 24758-2025 karta knärot.png", "A 24758-2025")</f>
        <v/>
      </c>
      <c r="AA722">
        <f>HYPERLINK("https://klasma.github.io/Logging_2132/klagomål/A 24758-2025 FSC-klagomål.docx", "A 24758-2025")</f>
        <v/>
      </c>
      <c r="AB722">
        <f>HYPERLINK("https://klasma.github.io/Logging_2132/klagomålsmail/A 24758-2025 FSC-klagomål mail.docx", "A 24758-2025")</f>
        <v/>
      </c>
      <c r="AC722">
        <f>HYPERLINK("https://klasma.github.io/Logging_2132/tillsyn/A 24758-2025 tillsynsbegäran.docx", "A 24758-2025")</f>
        <v/>
      </c>
      <c r="AD722">
        <f>HYPERLINK("https://klasma.github.io/Logging_2132/tillsynsmail/A 24758-2025 tillsynsbegäran mail.docx", "A 24758-2025")</f>
        <v/>
      </c>
    </row>
    <row r="723" ht="15" customHeight="1">
      <c r="A723" t="inlineStr">
        <is>
          <t>A 44020-2023</t>
        </is>
      </c>
      <c r="B723" t="inlineStr">
        <is>
          <t>avverkningsanmälan</t>
        </is>
      </c>
      <c r="C723" t="inlineStr">
        <is>
          <t>Föryngringsavverkning</t>
        </is>
      </c>
      <c r="D723" s="1" t="n">
        <v>45188</v>
      </c>
      <c r="E723" s="1" t="n">
        <v>46326</v>
      </c>
      <c r="F723" t="inlineStr">
        <is>
          <t>GÄVLEBORGS LÄN</t>
        </is>
      </c>
      <c r="G723" t="inlineStr">
        <is>
          <t>LJUSDAL</t>
        </is>
      </c>
      <c r="H723" t="inlineStr">
        <is>
          <t>Sveaskog</t>
        </is>
      </c>
      <c r="I723" t="n">
        <v>3</v>
      </c>
      <c r="J723" t="n">
        <v>1</v>
      </c>
      <c r="K723" t="n">
        <v>0</v>
      </c>
      <c r="L723" t="n">
        <v>0</v>
      </c>
      <c r="M723" t="n">
        <v>0</v>
      </c>
      <c r="N723" t="n">
        <v>0</v>
      </c>
      <c r="O723" t="n">
        <v>0</v>
      </c>
      <c r="P723" t="n">
        <v>0</v>
      </c>
      <c r="Q723" t="n">
        <v>0</v>
      </c>
      <c r="R723" t="n">
        <v>0</v>
      </c>
      <c r="S723" t="n">
        <v>1</v>
      </c>
      <c r="T723" t="n">
        <v>1</v>
      </c>
      <c r="U723" t="n">
        <v>0</v>
      </c>
      <c r="V723" s="2" t="inlineStr">
        <is>
          <t>Orre</t>
        </is>
      </c>
      <c r="W723">
        <f>HYPERLINK("https://klasma.github.io/Logging_2161/artfynd/A 44020-2023 artfynd.xlsx", "A 44020-2023")</f>
        <v/>
      </c>
      <c r="X723">
        <f>HYPERLINK("https://klasma.github.io/Logging_2161/kartor/A 44020-2023 karta.png", "A 44020-2023")</f>
        <v/>
      </c>
      <c r="Y723">
        <f>HYPERLINK("https://klasma.github.io/Logging_2161/kartor_geotiff/A 44020-2023 georefererad karta.tif", "A 44020-2023")</f>
        <v/>
      </c>
      <c r="AA723">
        <f>HYPERLINK("https://klasma.github.io/Logging_2161/klagomål/A 44020-2023 FSC-klagomål.docx", "A 44020-2023")</f>
        <v/>
      </c>
      <c r="AB723">
        <f>HYPERLINK("https://klasma.github.io/Logging_2161/klagomålsmail/A 44020-2023 FSC-klagomål mail.docx", "A 44020-2023")</f>
        <v/>
      </c>
      <c r="AC723">
        <f>HYPERLINK("https://klasma.github.io/Logging_2161/tillsyn/A 44020-2023 tillsynsbegäran.docx", "A 44020-2023")</f>
        <v/>
      </c>
      <c r="AD723">
        <f>HYPERLINK("https://klasma.github.io/Logging_2161/tillsynsmail/A 44020-2023 tillsynsbegäran mail.docx", "A 44020-2023")</f>
        <v/>
      </c>
      <c r="AE723">
        <f>HYPERLINK("https://klasma.github.io/Logging_2161/fåglar/A 44020-2023 prioriterade fågelarter.docx", "A 44020-2023")</f>
        <v/>
      </c>
    </row>
    <row r="724" ht="15" customHeight="1">
      <c r="A724" t="inlineStr">
        <is>
          <t>A 32579-2024</t>
        </is>
      </c>
      <c r="B724" t="inlineStr">
        <is>
          <t>avverkningsanmälan</t>
        </is>
      </c>
      <c r="C724" t="inlineStr">
        <is>
          <t>Föryngringsavverkning</t>
        </is>
      </c>
      <c r="D724" s="1" t="n">
        <v>45513</v>
      </c>
      <c r="E724" s="1" t="n">
        <v>46326</v>
      </c>
      <c r="F724" t="inlineStr">
        <is>
          <t>GÄVLEBORGS LÄN</t>
        </is>
      </c>
      <c r="G724" t="inlineStr">
        <is>
          <t>LJUSDAL</t>
        </is>
      </c>
      <c r="H724" t="inlineStr">
        <is>
          <t>Sveaskog</t>
        </is>
      </c>
      <c r="I724" t="n">
        <v>33.7</v>
      </c>
      <c r="J724" t="n">
        <v>0</v>
      </c>
      <c r="K724" t="n">
        <v>0</v>
      </c>
      <c r="L724" t="n">
        <v>1</v>
      </c>
      <c r="M724" t="n">
        <v>0</v>
      </c>
      <c r="N724" t="n">
        <v>0</v>
      </c>
      <c r="O724" t="n">
        <v>0</v>
      </c>
      <c r="P724" t="n">
        <v>0</v>
      </c>
      <c r="Q724" t="n">
        <v>1</v>
      </c>
      <c r="R724" t="n">
        <v>0</v>
      </c>
      <c r="S724" t="n">
        <v>1</v>
      </c>
      <c r="T724" t="n">
        <v>2</v>
      </c>
      <c r="U724" t="n">
        <v>0</v>
      </c>
      <c r="V724" s="2" t="inlineStr">
        <is>
          <t>Lunglav</t>
        </is>
      </c>
      <c r="W724">
        <f>HYPERLINK("https://klasma.github.io/Logging_2161/artfynd/A 32579-2024 artfynd.xlsx", "A 32579-2024")</f>
        <v/>
      </c>
      <c r="X724">
        <f>HYPERLINK("https://klasma.github.io/Logging_2161/kartor/A 32579-2024 karta.png", "A 32579-2024")</f>
        <v/>
      </c>
      <c r="Y724">
        <f>HYPERLINK("https://klasma.github.io/Logging_2161/kartor_geotiff/A 32579-2024 georefererad karta.tif", "A 32579-2024")</f>
        <v/>
      </c>
      <c r="AA724">
        <f>HYPERLINK("https://klasma.github.io/Logging_2161/klagomål/A 32579-2024 FSC-klagomål.docx", "A 32579-2024")</f>
        <v/>
      </c>
      <c r="AB724">
        <f>HYPERLINK("https://klasma.github.io/Logging_2161/klagomålsmail/A 32579-2024 FSC-klagomål mail.docx", "A 32579-2024")</f>
        <v/>
      </c>
      <c r="AC724">
        <f>HYPERLINK("https://klasma.github.io/Logging_2161/tillsyn/A 32579-2024 tillsynsbegäran.docx", "A 32579-2024")</f>
        <v/>
      </c>
      <c r="AD724">
        <f>HYPERLINK("https://klasma.github.io/Logging_2161/tillsynsmail/A 32579-2024 tillsynsbegäran mail.docx", "A 32579-2024")</f>
        <v/>
      </c>
    </row>
    <row r="725" ht="15" customHeight="1">
      <c r="A725" t="inlineStr">
        <is>
          <t>A 31417-2024</t>
        </is>
      </c>
      <c r="B725" t="inlineStr">
        <is>
          <t>avverkningsanmälan</t>
        </is>
      </c>
      <c r="C725" t="inlineStr">
        <is>
          <t>Föryngringsavverkning</t>
        </is>
      </c>
      <c r="D725" s="1" t="n">
        <v>45505</v>
      </c>
      <c r="E725" s="1" t="n">
        <v>46326</v>
      </c>
      <c r="F725" t="inlineStr">
        <is>
          <t>GÄVLEBORGS LÄN</t>
        </is>
      </c>
      <c r="G725" t="inlineStr">
        <is>
          <t>LJUSDAL</t>
        </is>
      </c>
      <c r="H725" t="inlineStr">
        <is>
          <t>Sveaskog</t>
        </is>
      </c>
      <c r="I725" t="n">
        <v>3</v>
      </c>
      <c r="J725" t="n">
        <v>0</v>
      </c>
      <c r="K725" t="n">
        <v>0</v>
      </c>
      <c r="L725" t="n">
        <v>1</v>
      </c>
      <c r="M725" t="n">
        <v>0</v>
      </c>
      <c r="N725" t="n">
        <v>0</v>
      </c>
      <c r="O725" t="n">
        <v>0</v>
      </c>
      <c r="P725" t="n">
        <v>0</v>
      </c>
      <c r="Q725" t="n">
        <v>1</v>
      </c>
      <c r="R725" t="n">
        <v>0</v>
      </c>
      <c r="S725" t="n">
        <v>1</v>
      </c>
      <c r="T725" t="n">
        <v>1</v>
      </c>
      <c r="U725" t="n">
        <v>1</v>
      </c>
      <c r="V725" s="2" t="inlineStr">
        <is>
          <t>Kolflarnlav</t>
        </is>
      </c>
      <c r="W725">
        <f>HYPERLINK("https://klasma.github.io/Logging_2161/artfynd/A 31417-2024 artfynd.xlsx", "A 31417-2024")</f>
        <v/>
      </c>
      <c r="X725">
        <f>HYPERLINK("https://klasma.github.io/Logging_2161/kartor/A 31417-2024 karta.png", "A 31417-2024")</f>
        <v/>
      </c>
      <c r="Y725">
        <f>HYPERLINK("https://klasma.github.io/Logging_2161/kartor_geotiff/A 31417-2024 georefererad karta.tif", "A 31417-2024")</f>
        <v/>
      </c>
      <c r="AA725">
        <f>HYPERLINK("https://klasma.github.io/Logging_2161/klagomål/A 31417-2024 FSC-klagomål.docx", "A 31417-2024")</f>
        <v/>
      </c>
      <c r="AB725">
        <f>HYPERLINK("https://klasma.github.io/Logging_2161/klagomålsmail/A 31417-2024 FSC-klagomål mail.docx", "A 31417-2024")</f>
        <v/>
      </c>
      <c r="AC725">
        <f>HYPERLINK("https://klasma.github.io/Logging_2161/tillsyn/A 31417-2024 tillsynsbegäran.docx", "A 31417-2024")</f>
        <v/>
      </c>
      <c r="AD725">
        <f>HYPERLINK("https://klasma.github.io/Logging_2161/tillsynsmail/A 31417-2024 tillsynsbegäran mail.docx", "A 31417-2024")</f>
        <v/>
      </c>
    </row>
    <row r="726" ht="15" customHeight="1">
      <c r="A726" t="inlineStr">
        <is>
          <t>A 47642-2024</t>
        </is>
      </c>
      <c r="B726" t="inlineStr">
        <is>
          <t>avverkningsanmälan</t>
        </is>
      </c>
      <c r="C726" t="inlineStr">
        <is>
          <t>Föryngringsavverkning</t>
        </is>
      </c>
      <c r="D726" s="1" t="n">
        <v>45588</v>
      </c>
      <c r="E726" s="1" t="n">
        <v>46326</v>
      </c>
      <c r="F726" t="inlineStr">
        <is>
          <t>GÄVLEBORGS LÄN</t>
        </is>
      </c>
      <c r="G726" t="inlineStr">
        <is>
          <t>GÄVLE</t>
        </is>
      </c>
      <c r="H726" t="inlineStr">
        <is>
          <t>Bergvik skog väst AB</t>
        </is>
      </c>
      <c r="I726" t="n">
        <v>8.199999999999999</v>
      </c>
      <c r="J726" t="n">
        <v>1</v>
      </c>
      <c r="K726" t="n">
        <v>0</v>
      </c>
      <c r="L726" t="n">
        <v>0</v>
      </c>
      <c r="M726" t="n">
        <v>0</v>
      </c>
      <c r="N726" t="n">
        <v>0</v>
      </c>
      <c r="O726" t="n">
        <v>0</v>
      </c>
      <c r="P726" t="n">
        <v>0</v>
      </c>
      <c r="Q726" t="n">
        <v>0</v>
      </c>
      <c r="R726" t="n">
        <v>0</v>
      </c>
      <c r="S726" t="n">
        <v>1</v>
      </c>
      <c r="T726" t="n">
        <v>1</v>
      </c>
      <c r="U726" t="n">
        <v>1</v>
      </c>
      <c r="V726" s="2" t="inlineStr">
        <is>
          <t>Orre</t>
        </is>
      </c>
      <c r="W726">
        <f>HYPERLINK("https://klasma.github.io/Logging_2180/artfynd/A 47642-2024 artfynd.xlsx", "A 47642-2024")</f>
        <v/>
      </c>
      <c r="X726">
        <f>HYPERLINK("https://klasma.github.io/Logging_2180/kartor/A 47642-2024 karta.png", "A 47642-2024")</f>
        <v/>
      </c>
      <c r="Y726">
        <f>HYPERLINK("https://klasma.github.io/Logging_2180/kartor_geotiff/A 47642-2024 georefererad karta.tif", "A 47642-2024")</f>
        <v/>
      </c>
      <c r="AA726">
        <f>HYPERLINK("https://klasma.github.io/Logging_2180/klagomål/A 47642-2024 FSC-klagomål.docx", "A 47642-2024")</f>
        <v/>
      </c>
      <c r="AB726">
        <f>HYPERLINK("https://klasma.github.io/Logging_2180/klagomålsmail/A 47642-2024 FSC-klagomål mail.docx", "A 47642-2024")</f>
        <v/>
      </c>
      <c r="AC726">
        <f>HYPERLINK("https://klasma.github.io/Logging_2180/tillsyn/A 47642-2024 tillsynsbegäran.docx", "A 47642-2024")</f>
        <v/>
      </c>
      <c r="AD726">
        <f>HYPERLINK("https://klasma.github.io/Logging_2180/tillsynsmail/A 47642-2024 tillsynsbegäran mail.docx", "A 47642-2024")</f>
        <v/>
      </c>
      <c r="AE726">
        <f>HYPERLINK("https://klasma.github.io/Logging_2180/fåglar/A 47642-2024 prioriterade fågelarter.docx", "A 47642-2024")</f>
        <v/>
      </c>
    </row>
    <row r="727" ht="15" customHeight="1">
      <c r="A727" t="inlineStr">
        <is>
          <t>A 25314-2025</t>
        </is>
      </c>
      <c r="B727" t="inlineStr">
        <is>
          <t>avverkningsanmälan</t>
        </is>
      </c>
      <c r="C727" t="inlineStr">
        <is>
          <t>Föryngringsavverkning</t>
        </is>
      </c>
      <c r="D727" s="1" t="n">
        <v>45800</v>
      </c>
      <c r="E727" s="1" t="n">
        <v>46326</v>
      </c>
      <c r="F727" t="inlineStr">
        <is>
          <t>GÄVLEBORGS LÄN</t>
        </is>
      </c>
      <c r="G727" t="inlineStr">
        <is>
          <t>SANDVIKEN</t>
        </is>
      </c>
      <c r="H727" t="inlineStr">
        <is>
          <t>Sveaskog</t>
        </is>
      </c>
      <c r="I727" t="n">
        <v>2.1</v>
      </c>
      <c r="J727" t="n">
        <v>0</v>
      </c>
      <c r="K727" t="n">
        <v>0</v>
      </c>
      <c r="L727" t="n">
        <v>0</v>
      </c>
      <c r="M727" t="n">
        <v>1</v>
      </c>
      <c r="N727" t="n">
        <v>0</v>
      </c>
      <c r="O727" t="n">
        <v>0</v>
      </c>
      <c r="P727" t="n">
        <v>0</v>
      </c>
      <c r="Q727" t="n">
        <v>1</v>
      </c>
      <c r="R727" t="n">
        <v>1</v>
      </c>
      <c r="S727" t="n">
        <v>1</v>
      </c>
      <c r="T727" t="n">
        <v>1</v>
      </c>
      <c r="U727" t="n">
        <v>1</v>
      </c>
      <c r="V727" s="2" t="inlineStr">
        <is>
          <t>Garnlav</t>
        </is>
      </c>
      <c r="W727">
        <f>HYPERLINK("https://klasma.github.io/Logging_2181/artfynd/A 25314-2025 artfynd.xlsx", "A 25314-2025")</f>
        <v/>
      </c>
      <c r="X727">
        <f>HYPERLINK("https://klasma.github.io/Logging_2181/kartor/A 25314-2025 karta.png", "A 25314-2025")</f>
        <v/>
      </c>
      <c r="Y727">
        <f>HYPERLINK("https://klasma.github.io/Logging_2181/kartor_geotiff/A 25314-2025 georefererad karta.tif", "A 25314-2025")</f>
        <v/>
      </c>
      <c r="AA727">
        <f>HYPERLINK("https://klasma.github.io/Logging_2181/klagomål/A 25314-2025 FSC-klagomål.docx", "A 25314-2025")</f>
        <v/>
      </c>
      <c r="AB727">
        <f>HYPERLINK("https://klasma.github.io/Logging_2181/klagomålsmail/A 25314-2025 FSC-klagomål mail.docx", "A 25314-2025")</f>
        <v/>
      </c>
      <c r="AC727">
        <f>HYPERLINK("https://klasma.github.io/Logging_2181/tillsyn/A 25314-2025 tillsynsbegäran.docx", "A 25314-2025")</f>
        <v/>
      </c>
      <c r="AD727">
        <f>HYPERLINK("https://klasma.github.io/Logging_2181/tillsynsmail/A 25314-2025 tillsynsbegäran mail.docx", "A 25314-2025")</f>
        <v/>
      </c>
    </row>
    <row r="728" ht="15" customHeight="1">
      <c r="A728" t="inlineStr">
        <is>
          <t>A 25323-2025</t>
        </is>
      </c>
      <c r="B728" t="inlineStr">
        <is>
          <t>avverkningsanmälan</t>
        </is>
      </c>
      <c r="C728" t="inlineStr">
        <is>
          <t>Föryngringsavverkning</t>
        </is>
      </c>
      <c r="D728" s="1" t="n">
        <v>45800</v>
      </c>
      <c r="E728" s="1" t="n">
        <v>46326</v>
      </c>
      <c r="F728" t="inlineStr">
        <is>
          <t>GÄVLEBORGS LÄN</t>
        </is>
      </c>
      <c r="G728" t="inlineStr">
        <is>
          <t>SANDVIKEN</t>
        </is>
      </c>
      <c r="H728" t="inlineStr">
        <is>
          <t>Sveaskog</t>
        </is>
      </c>
      <c r="I728" t="n">
        <v>3.8</v>
      </c>
      <c r="J728" t="n">
        <v>1</v>
      </c>
      <c r="K728" t="n">
        <v>1</v>
      </c>
      <c r="L728" t="n">
        <v>0</v>
      </c>
      <c r="M728" t="n">
        <v>0</v>
      </c>
      <c r="N728" t="n">
        <v>0</v>
      </c>
      <c r="O728" t="n">
        <v>0</v>
      </c>
      <c r="P728" t="n">
        <v>0</v>
      </c>
      <c r="Q728" t="n">
        <v>0</v>
      </c>
      <c r="R728" t="n">
        <v>0</v>
      </c>
      <c r="S728" t="n">
        <v>1</v>
      </c>
      <c r="T728" t="n">
        <v>3</v>
      </c>
      <c r="U728" t="n">
        <v>3</v>
      </c>
      <c r="V728" s="2" t="inlineStr">
        <is>
          <t>Plattlummer</t>
        </is>
      </c>
      <c r="W728">
        <f>HYPERLINK("https://klasma.github.io/Logging_2181/artfynd/A 25323-2025 artfynd.xlsx", "A 25323-2025")</f>
        <v/>
      </c>
      <c r="X728">
        <f>HYPERLINK("https://klasma.github.io/Logging_2181/kartor/A 25323-2025 karta.png", "A 25323-2025")</f>
        <v/>
      </c>
      <c r="Y728">
        <f>HYPERLINK("https://klasma.github.io/Logging_2181/kartor_geotiff/A 25323-2025 georefererad karta.tif", "A 25323-2025")</f>
        <v/>
      </c>
      <c r="AA728">
        <f>HYPERLINK("https://klasma.github.io/Logging_2181/klagomål/A 25323-2025 FSC-klagomål.docx", "A 25323-2025")</f>
        <v/>
      </c>
      <c r="AB728">
        <f>HYPERLINK("https://klasma.github.io/Logging_2181/klagomålsmail/A 25323-2025 FSC-klagomål mail.docx", "A 25323-2025")</f>
        <v/>
      </c>
      <c r="AC728">
        <f>HYPERLINK("https://klasma.github.io/Logging_2181/tillsyn/A 25323-2025 tillsynsbegäran.docx", "A 25323-2025")</f>
        <v/>
      </c>
      <c r="AD728">
        <f>HYPERLINK("https://klasma.github.io/Logging_2181/tillsynsmail/A 25323-2025 tillsynsbegäran mail.docx", "A 25323-2025")</f>
        <v/>
      </c>
    </row>
    <row r="729" ht="15" customHeight="1">
      <c r="A729" t="inlineStr">
        <is>
          <t>A 28392-2024</t>
        </is>
      </c>
      <c r="B729" t="inlineStr">
        <is>
          <t>avverkningsanmälan</t>
        </is>
      </c>
      <c r="C729" t="inlineStr">
        <is>
          <t>Föryngringsavverkning</t>
        </is>
      </c>
      <c r="D729" s="1" t="n">
        <v>45477</v>
      </c>
      <c r="E729" s="1" t="n">
        <v>46326</v>
      </c>
      <c r="F729" t="inlineStr">
        <is>
          <t>GÄVLEBORGS LÄN</t>
        </is>
      </c>
      <c r="G729" t="inlineStr">
        <is>
          <t>HOFORS</t>
        </is>
      </c>
      <c r="H729" t="inlineStr">
        <is>
          <t>Sveaskog</t>
        </is>
      </c>
      <c r="I729" t="n">
        <v>0.5</v>
      </c>
      <c r="J729" t="n">
        <v>1</v>
      </c>
      <c r="K729" t="n">
        <v>0</v>
      </c>
      <c r="L729" t="n">
        <v>0</v>
      </c>
      <c r="M729" t="n">
        <v>0</v>
      </c>
      <c r="N729" t="n">
        <v>0</v>
      </c>
      <c r="O729" t="n">
        <v>0</v>
      </c>
      <c r="P729" t="n">
        <v>0</v>
      </c>
      <c r="Q729" t="n">
        <v>0</v>
      </c>
      <c r="R729" t="n">
        <v>0</v>
      </c>
      <c r="S729" t="n">
        <v>1</v>
      </c>
      <c r="T729" t="n">
        <v>2</v>
      </c>
      <c r="U729" t="n">
        <v>2</v>
      </c>
      <c r="V729" s="2" t="inlineStr">
        <is>
          <t>Fläcknycklar</t>
        </is>
      </c>
      <c r="W729">
        <f>HYPERLINK("https://klasma.github.io/Logging_2104/artfynd/A 28392-2024 artfynd.xlsx", "A 28392-2024")</f>
        <v/>
      </c>
      <c r="X729">
        <f>HYPERLINK("https://klasma.github.io/Logging_2104/kartor/A 28392-2024 karta.png", "A 28392-2024")</f>
        <v/>
      </c>
      <c r="Y729">
        <f>HYPERLINK("https://klasma.github.io/Logging_2104/kartor_geotiff/A 28392-2024 georefererad karta.tif", "A 28392-2024")</f>
        <v/>
      </c>
      <c r="AA729">
        <f>HYPERLINK("https://klasma.github.io/Logging_2104/klagomål/A 28392-2024 FSC-klagomål.docx", "A 28392-2024")</f>
        <v/>
      </c>
      <c r="AB729">
        <f>HYPERLINK("https://klasma.github.io/Logging_2104/klagomålsmail/A 28392-2024 FSC-klagomål mail.docx", "A 28392-2024")</f>
        <v/>
      </c>
      <c r="AC729">
        <f>HYPERLINK("https://klasma.github.io/Logging_2104/tillsyn/A 28392-2024 tillsynsbegäran.docx", "A 28392-2024")</f>
        <v/>
      </c>
      <c r="AD729">
        <f>HYPERLINK("https://klasma.github.io/Logging_2104/tillsynsmail/A 28392-2024 tillsynsbegäran mail.docx", "A 28392-2024")</f>
        <v/>
      </c>
    </row>
    <row r="730" ht="15" customHeight="1">
      <c r="A730" t="inlineStr">
        <is>
          <t>A 25784-2025</t>
        </is>
      </c>
      <c r="B730" t="inlineStr">
        <is>
          <t>avverkningsanmälan</t>
        </is>
      </c>
      <c r="C730" t="inlineStr">
        <is>
          <t>Föryngringsavverkning</t>
        </is>
      </c>
      <c r="D730" s="1" t="n">
        <v>45804</v>
      </c>
      <c r="E730" s="1" t="n">
        <v>46326</v>
      </c>
      <c r="F730" t="inlineStr">
        <is>
          <t>GÄVLEBORGS LÄN</t>
        </is>
      </c>
      <c r="G730" t="inlineStr">
        <is>
          <t>HUDIKSVALL</t>
        </is>
      </c>
      <c r="H730" t="inlineStr">
        <is>
          <t>Holmen skog AB</t>
        </is>
      </c>
      <c r="I730" t="n">
        <v>18</v>
      </c>
      <c r="J730" t="n">
        <v>0</v>
      </c>
      <c r="K730" t="n">
        <v>0</v>
      </c>
      <c r="L730" t="n">
        <v>0</v>
      </c>
      <c r="M730" t="n">
        <v>1</v>
      </c>
      <c r="N730" t="n">
        <v>0</v>
      </c>
      <c r="O730" t="n">
        <v>0</v>
      </c>
      <c r="P730" t="n">
        <v>0</v>
      </c>
      <c r="Q730" t="n">
        <v>1</v>
      </c>
      <c r="R730" t="n">
        <v>1</v>
      </c>
      <c r="S730" t="n">
        <v>1</v>
      </c>
      <c r="T730" t="n">
        <v>1</v>
      </c>
      <c r="U730" t="n">
        <v>1</v>
      </c>
      <c r="V730" s="2" t="inlineStr">
        <is>
          <t>Garnlav</t>
        </is>
      </c>
      <c r="W730">
        <f>HYPERLINK("https://klasma.github.io/Logging_2184/artfynd/A 25784-2025 artfynd.xlsx", "A 25784-2025")</f>
        <v/>
      </c>
      <c r="X730">
        <f>HYPERLINK("https://klasma.github.io/Logging_2184/kartor/A 25784-2025 karta.png", "A 25784-2025")</f>
        <v/>
      </c>
      <c r="Y730">
        <f>HYPERLINK("https://klasma.github.io/Logging_2184/kartor_geotiff/A 25784-2025 georefererad karta.tif", "A 25784-2025")</f>
        <v/>
      </c>
      <c r="AA730">
        <f>HYPERLINK("https://klasma.github.io/Logging_2184/klagomål/A 25784-2025 FSC-klagomål.docx", "A 25784-2025")</f>
        <v/>
      </c>
      <c r="AB730">
        <f>HYPERLINK("https://klasma.github.io/Logging_2184/klagomålsmail/A 25784-2025 FSC-klagomål mail.docx", "A 25784-2025")</f>
        <v/>
      </c>
      <c r="AC730">
        <f>HYPERLINK("https://klasma.github.io/Logging_2184/tillsyn/A 25784-2025 tillsynsbegäran.docx", "A 25784-2025")</f>
        <v/>
      </c>
      <c r="AD730">
        <f>HYPERLINK("https://klasma.github.io/Logging_2184/tillsynsmail/A 25784-2025 tillsynsbegäran mail.docx", "A 25784-2025")</f>
        <v/>
      </c>
    </row>
    <row r="731" ht="15" customHeight="1">
      <c r="A731" t="inlineStr">
        <is>
          <t>A 55445-2024</t>
        </is>
      </c>
      <c r="B731" t="inlineStr">
        <is>
          <t>avverkningsanmälan</t>
        </is>
      </c>
      <c r="C731" t="inlineStr">
        <is>
          <t>Föryngringsavverkning</t>
        </is>
      </c>
      <c r="D731" s="1" t="n">
        <v>45622</v>
      </c>
      <c r="E731" s="1" t="n">
        <v>46326</v>
      </c>
      <c r="F731" t="inlineStr">
        <is>
          <t>GÄVLEBORGS LÄN</t>
        </is>
      </c>
      <c r="G731" t="inlineStr">
        <is>
          <t>HUDIKSVALL</t>
        </is>
      </c>
      <c r="I731" t="n">
        <v>7.2</v>
      </c>
      <c r="J731" t="n">
        <v>0</v>
      </c>
      <c r="K731" t="n">
        <v>1</v>
      </c>
      <c r="L731" t="n">
        <v>0</v>
      </c>
      <c r="M731" t="n">
        <v>0</v>
      </c>
      <c r="N731" t="n">
        <v>0</v>
      </c>
      <c r="O731" t="n">
        <v>0</v>
      </c>
      <c r="P731" t="n">
        <v>0</v>
      </c>
      <c r="Q731" t="n">
        <v>0</v>
      </c>
      <c r="R731" t="n">
        <v>0</v>
      </c>
      <c r="S731" t="n">
        <v>1</v>
      </c>
      <c r="T731" t="n">
        <v>1</v>
      </c>
      <c r="U731" t="n">
        <v>0</v>
      </c>
      <c r="V731" s="2" t="inlineStr">
        <is>
          <t>Spädstarr</t>
        </is>
      </c>
      <c r="W731">
        <f>HYPERLINK("https://klasma.github.io/Logging_2184/artfynd/A 55445-2024 artfynd.xlsx", "A 55445-2024")</f>
        <v/>
      </c>
      <c r="X731">
        <f>HYPERLINK("https://klasma.github.io/Logging_2184/kartor/A 55445-2024 karta.png", "A 55445-2024")</f>
        <v/>
      </c>
      <c r="Y731">
        <f>HYPERLINK("https://klasma.github.io/Logging_2184/kartor_geotiff/A 55445-2024 georefererad karta.tif", "A 55445-2024")</f>
        <v/>
      </c>
      <c r="AA731">
        <f>HYPERLINK("https://klasma.github.io/Logging_2184/klagomål/A 55445-2024 FSC-klagomål.docx", "A 55445-2024")</f>
        <v/>
      </c>
      <c r="AB731">
        <f>HYPERLINK("https://klasma.github.io/Logging_2184/klagomålsmail/A 55445-2024 FSC-klagomål mail.docx", "A 55445-2024")</f>
        <v/>
      </c>
      <c r="AC731">
        <f>HYPERLINK("https://klasma.github.io/Logging_2184/tillsyn/A 55445-2024 tillsynsbegäran.docx", "A 55445-2024")</f>
        <v/>
      </c>
      <c r="AD731">
        <f>HYPERLINK("https://klasma.github.io/Logging_2184/tillsynsmail/A 55445-2024 tillsynsbegäran mail.docx", "A 55445-2024")</f>
        <v/>
      </c>
    </row>
    <row r="732" ht="15" customHeight="1">
      <c r="A732" t="inlineStr">
        <is>
          <t>A 25828-2025</t>
        </is>
      </c>
      <c r="B732" t="inlineStr">
        <is>
          <t>avverkningsanmälan</t>
        </is>
      </c>
      <c r="C732" t="inlineStr">
        <is>
          <t>Föryngringsavverkning</t>
        </is>
      </c>
      <c r="D732" s="1" t="n">
        <v>45804</v>
      </c>
      <c r="E732" s="1" t="n">
        <v>46326</v>
      </c>
      <c r="F732" t="inlineStr">
        <is>
          <t>GÄVLEBORGS LÄN</t>
        </is>
      </c>
      <c r="G732" t="inlineStr">
        <is>
          <t>HUDIKSVALL</t>
        </is>
      </c>
      <c r="H732" t="inlineStr">
        <is>
          <t>Holmen skog AB</t>
        </is>
      </c>
      <c r="I732" t="n">
        <v>7.3</v>
      </c>
      <c r="J732" t="n">
        <v>1</v>
      </c>
      <c r="K732" t="n">
        <v>0</v>
      </c>
      <c r="L732" t="n">
        <v>0</v>
      </c>
      <c r="M732" t="n">
        <v>0</v>
      </c>
      <c r="N732" t="n">
        <v>0</v>
      </c>
      <c r="O732" t="n">
        <v>0</v>
      </c>
      <c r="P732" t="n">
        <v>0</v>
      </c>
      <c r="Q732" t="n">
        <v>0</v>
      </c>
      <c r="R732" t="n">
        <v>0</v>
      </c>
      <c r="S732" t="n">
        <v>1</v>
      </c>
      <c r="T732" t="n">
        <v>1</v>
      </c>
      <c r="U732" t="n">
        <v>0</v>
      </c>
      <c r="V732" s="2" t="inlineStr">
        <is>
          <t>Nattviol</t>
        </is>
      </c>
      <c r="W732">
        <f>HYPERLINK("https://klasma.github.io/Logging_2184/artfynd/A 25828-2025 artfynd.xlsx", "A 25828-2025")</f>
        <v/>
      </c>
      <c r="X732">
        <f>HYPERLINK("https://klasma.github.io/Logging_2184/kartor/A 25828-2025 karta.png", "A 25828-2025")</f>
        <v/>
      </c>
      <c r="Y732">
        <f>HYPERLINK("https://klasma.github.io/Logging_2184/kartor_geotiff/A 25828-2025 georefererad karta.tif", "A 25828-2025")</f>
        <v/>
      </c>
      <c r="AA732">
        <f>HYPERLINK("https://klasma.github.io/Logging_2184/klagomål/A 25828-2025 FSC-klagomål.docx", "A 25828-2025")</f>
        <v/>
      </c>
      <c r="AB732">
        <f>HYPERLINK("https://klasma.github.io/Logging_2184/klagomålsmail/A 25828-2025 FSC-klagomål mail.docx", "A 25828-2025")</f>
        <v/>
      </c>
      <c r="AC732">
        <f>HYPERLINK("https://klasma.github.io/Logging_2184/tillsyn/A 25828-2025 tillsynsbegäran.docx", "A 25828-2025")</f>
        <v/>
      </c>
      <c r="AD732">
        <f>HYPERLINK("https://klasma.github.io/Logging_2184/tillsynsmail/A 25828-2025 tillsynsbegäran mail.docx", "A 25828-2025")</f>
        <v/>
      </c>
    </row>
    <row r="733" ht="15" customHeight="1">
      <c r="A733" t="inlineStr">
        <is>
          <t>A 26538-2025</t>
        </is>
      </c>
      <c r="B733" t="inlineStr">
        <is>
          <t>avverkningsanmälan</t>
        </is>
      </c>
      <c r="C733" t="inlineStr">
        <is>
          <t>Föryngringsavverkning</t>
        </is>
      </c>
      <c r="D733" s="1" t="n">
        <v>45807</v>
      </c>
      <c r="E733" s="1" t="n">
        <v>46326</v>
      </c>
      <c r="F733" t="inlineStr">
        <is>
          <t>GÄVLEBORGS LÄN</t>
        </is>
      </c>
      <c r="G733" t="inlineStr">
        <is>
          <t>LJUSDAL</t>
        </is>
      </c>
      <c r="I733" t="n">
        <v>10.5</v>
      </c>
      <c r="J733" t="n">
        <v>1</v>
      </c>
      <c r="K733" t="n">
        <v>0</v>
      </c>
      <c r="L733" t="n">
        <v>0</v>
      </c>
      <c r="M733" t="n">
        <v>0</v>
      </c>
      <c r="N733" t="n">
        <v>0</v>
      </c>
      <c r="O733" t="n">
        <v>0</v>
      </c>
      <c r="P733" t="n">
        <v>0</v>
      </c>
      <c r="Q733" t="n">
        <v>0</v>
      </c>
      <c r="R733" t="n">
        <v>0</v>
      </c>
      <c r="S733" t="n">
        <v>1</v>
      </c>
      <c r="T733" t="n">
        <v>1</v>
      </c>
      <c r="U733" t="n">
        <v>0</v>
      </c>
      <c r="V733" s="2" t="inlineStr">
        <is>
          <t>Tjäder</t>
        </is>
      </c>
      <c r="W733">
        <f>HYPERLINK("https://klasma.github.io/Logging_2161/artfynd/A 26538-2025 artfynd.xlsx", "A 26538-2025")</f>
        <v/>
      </c>
      <c r="X733">
        <f>HYPERLINK("https://klasma.github.io/Logging_2161/kartor/A 26538-2025 karta.png", "A 26538-2025")</f>
        <v/>
      </c>
      <c r="Y733">
        <f>HYPERLINK("https://klasma.github.io/Logging_2161/kartor_geotiff/A 26538-2025 georefererad karta.tif", "A 26538-2025")</f>
        <v/>
      </c>
      <c r="AA733">
        <f>HYPERLINK("https://klasma.github.io/Logging_2161/klagomål/A 26538-2025 FSC-klagomål.docx", "A 26538-2025")</f>
        <v/>
      </c>
      <c r="AB733">
        <f>HYPERLINK("https://klasma.github.io/Logging_2161/klagomålsmail/A 26538-2025 FSC-klagomål mail.docx", "A 26538-2025")</f>
        <v/>
      </c>
      <c r="AC733">
        <f>HYPERLINK("https://klasma.github.io/Logging_2161/tillsyn/A 26538-2025 tillsynsbegäran.docx", "A 26538-2025")</f>
        <v/>
      </c>
      <c r="AD733">
        <f>HYPERLINK("https://klasma.github.io/Logging_2161/tillsynsmail/A 26538-2025 tillsynsbegäran mail.docx", "A 26538-2025")</f>
        <v/>
      </c>
      <c r="AE733">
        <f>HYPERLINK("https://klasma.github.io/Logging_2161/fåglar/A 26538-2025 prioriterade fågelarter.docx", "A 26538-2025")</f>
        <v/>
      </c>
    </row>
    <row r="734" ht="15" customHeight="1">
      <c r="A734" t="inlineStr">
        <is>
          <t>A 38496-2025</t>
        </is>
      </c>
      <c r="B734" t="inlineStr">
        <is>
          <t>avverkningsanmälan</t>
        </is>
      </c>
      <c r="C734" t="inlineStr">
        <is>
          <t>Föryngringsavverkning</t>
        </is>
      </c>
      <c r="D734" s="1" t="n">
        <v>45884</v>
      </c>
      <c r="E734" s="1" t="n">
        <v>46326</v>
      </c>
      <c r="F734" t="inlineStr">
        <is>
          <t>GÄVLEBORGS LÄN</t>
        </is>
      </c>
      <c r="G734" t="inlineStr">
        <is>
          <t>HUDIKSVALL</t>
        </is>
      </c>
      <c r="I734" t="n">
        <v>42.9</v>
      </c>
      <c r="J734" t="n">
        <v>1</v>
      </c>
      <c r="K734" t="n">
        <v>0</v>
      </c>
      <c r="L734" t="n">
        <v>0</v>
      </c>
      <c r="M734" t="n">
        <v>0</v>
      </c>
      <c r="N734" t="n">
        <v>0</v>
      </c>
      <c r="O734" t="n">
        <v>0</v>
      </c>
      <c r="P734" t="n">
        <v>0</v>
      </c>
      <c r="Q734" t="n">
        <v>0</v>
      </c>
      <c r="R734" t="n">
        <v>0</v>
      </c>
      <c r="S734" t="n">
        <v>1</v>
      </c>
      <c r="T734" t="n">
        <v>1</v>
      </c>
      <c r="U734" t="n">
        <v>0</v>
      </c>
      <c r="V734" s="2" t="inlineStr">
        <is>
          <t>Vanlig groda</t>
        </is>
      </c>
      <c r="W734">
        <f>HYPERLINK("https://klasma.github.io/Logging_2184/artfynd/A 38496-2025 artfynd.xlsx", "A 38496-2025")</f>
        <v/>
      </c>
      <c r="X734">
        <f>HYPERLINK("https://klasma.github.io/Logging_2184/kartor/A 38496-2025 karta.png", "A 38496-2025")</f>
        <v/>
      </c>
      <c r="Y734">
        <f>HYPERLINK("https://klasma.github.io/Logging_2184/kartor_geotiff/A 38496-2025 georefererad karta.tif", "A 38496-2025")</f>
        <v/>
      </c>
      <c r="AA734">
        <f>HYPERLINK("https://klasma.github.io/Logging_2184/klagomål/A 38496-2025 FSC-klagomål.docx", "A 38496-2025")</f>
        <v/>
      </c>
      <c r="AB734">
        <f>HYPERLINK("https://klasma.github.io/Logging_2184/klagomålsmail/A 38496-2025 FSC-klagomål mail.docx", "A 38496-2025")</f>
        <v/>
      </c>
      <c r="AC734">
        <f>HYPERLINK("https://klasma.github.io/Logging_2184/tillsyn/A 38496-2025 tillsynsbegäran.docx", "A 38496-2025")</f>
        <v/>
      </c>
      <c r="AD734">
        <f>HYPERLINK("https://klasma.github.io/Logging_2184/tillsynsmail/A 38496-2025 tillsynsbegäran mail.docx", "A 38496-2025")</f>
        <v/>
      </c>
    </row>
    <row r="735" ht="15" customHeight="1">
      <c r="A735" t="inlineStr">
        <is>
          <t>A 22595-2025</t>
        </is>
      </c>
      <c r="B735" t="inlineStr">
        <is>
          <t>avverkningsanmälan</t>
        </is>
      </c>
      <c r="C735" t="inlineStr">
        <is>
          <t>Föryngringsavverkning</t>
        </is>
      </c>
      <c r="D735" s="1" t="n">
        <v>45789</v>
      </c>
      <c r="E735" s="1" t="n">
        <v>46326</v>
      </c>
      <c r="F735" t="inlineStr">
        <is>
          <t>GÄVLEBORGS LÄN</t>
        </is>
      </c>
      <c r="G735" t="inlineStr">
        <is>
          <t>HUDIKSVALL</t>
        </is>
      </c>
      <c r="H735" t="inlineStr">
        <is>
          <t>Holmen skog AB</t>
        </is>
      </c>
      <c r="I735" t="n">
        <v>6.6</v>
      </c>
      <c r="J735" t="n">
        <v>1</v>
      </c>
      <c r="K735" t="n">
        <v>0</v>
      </c>
      <c r="L735" t="n">
        <v>0</v>
      </c>
      <c r="M735" t="n">
        <v>0</v>
      </c>
      <c r="N735" t="n">
        <v>0</v>
      </c>
      <c r="O735" t="n">
        <v>0</v>
      </c>
      <c r="P735" t="n">
        <v>0</v>
      </c>
      <c r="Q735" t="n">
        <v>0</v>
      </c>
      <c r="R735" t="n">
        <v>0</v>
      </c>
      <c r="S735" t="n">
        <v>1</v>
      </c>
      <c r="T735" t="n">
        <v>1</v>
      </c>
      <c r="U735" t="n">
        <v>0</v>
      </c>
      <c r="V735" s="2" t="inlineStr">
        <is>
          <t>Revlummer</t>
        </is>
      </c>
      <c r="W735">
        <f>HYPERLINK("https://klasma.github.io/Logging_2184/artfynd/A 22595-2025 artfynd.xlsx", "A 22595-2025")</f>
        <v/>
      </c>
      <c r="X735">
        <f>HYPERLINK("https://klasma.github.io/Logging_2184/kartor/A 22595-2025 karta.png", "A 22595-2025")</f>
        <v/>
      </c>
      <c r="Y735">
        <f>HYPERLINK("https://klasma.github.io/Logging_2184/kartor_geotiff/A 22595-2025 georefererad karta.tif", "A 22595-2025")</f>
        <v/>
      </c>
      <c r="AA735">
        <f>HYPERLINK("https://klasma.github.io/Logging_2184/klagomål/A 22595-2025 FSC-klagomål.docx", "A 22595-2025")</f>
        <v/>
      </c>
      <c r="AB735">
        <f>HYPERLINK("https://klasma.github.io/Logging_2184/klagomålsmail/A 22595-2025 FSC-klagomål mail.docx", "A 22595-2025")</f>
        <v/>
      </c>
      <c r="AC735">
        <f>HYPERLINK("https://klasma.github.io/Logging_2184/tillsyn/A 22595-2025 tillsynsbegäran.docx", "A 22595-2025")</f>
        <v/>
      </c>
      <c r="AD735">
        <f>HYPERLINK("https://klasma.github.io/Logging_2184/tillsynsmail/A 22595-2025 tillsynsbegäran mail.docx", "A 22595-2025")</f>
        <v/>
      </c>
    </row>
    <row r="736" ht="15" customHeight="1">
      <c r="A736" t="inlineStr">
        <is>
          <t>A 44058-2022</t>
        </is>
      </c>
      <c r="B736" t="inlineStr">
        <is>
          <t>avverkningsanmälan</t>
        </is>
      </c>
      <c r="C736" t="inlineStr">
        <is>
          <t>Föryngringsavverkning</t>
        </is>
      </c>
      <c r="D736" s="1" t="n">
        <v>44839</v>
      </c>
      <c r="E736" s="1" t="n">
        <v>46326</v>
      </c>
      <c r="F736" t="inlineStr">
        <is>
          <t>GÄVLEBORGS LÄN</t>
        </is>
      </c>
      <c r="G736" t="inlineStr">
        <is>
          <t>HUDIKSVALL</t>
        </is>
      </c>
      <c r="H736" t="inlineStr">
        <is>
          <t>Holmen skog AB</t>
        </is>
      </c>
      <c r="I736" t="n">
        <v>4.7</v>
      </c>
      <c r="J736" t="n">
        <v>0</v>
      </c>
      <c r="K736" t="n">
        <v>0</v>
      </c>
      <c r="L736" t="n">
        <v>0</v>
      </c>
      <c r="M736" t="n">
        <v>1</v>
      </c>
      <c r="N736" t="n">
        <v>0</v>
      </c>
      <c r="O736" t="n">
        <v>0</v>
      </c>
      <c r="P736" t="n">
        <v>0</v>
      </c>
      <c r="Q736" t="n">
        <v>1</v>
      </c>
      <c r="R736" t="n">
        <v>1</v>
      </c>
      <c r="S736" t="n">
        <v>1</v>
      </c>
      <c r="T736" t="n">
        <v>1</v>
      </c>
      <c r="U736" t="n">
        <v>1</v>
      </c>
      <c r="V736" s="2" t="inlineStr">
        <is>
          <t>Garnlav</t>
        </is>
      </c>
      <c r="W736">
        <f>HYPERLINK("https://klasma.github.io/Logging_2184/artfynd/A 44058-2022 artfynd.xlsx", "A 44058-2022")</f>
        <v/>
      </c>
      <c r="X736">
        <f>HYPERLINK("https://klasma.github.io/Logging_2184/kartor/A 44058-2022 karta.png", "A 44058-2022")</f>
        <v/>
      </c>
      <c r="Y736">
        <f>HYPERLINK("https://klasma.github.io/Logging_2184/kartor_geotiff/A 44058-2022 georefererad karta.tif", "A 44058-2022")</f>
        <v/>
      </c>
      <c r="AA736">
        <f>HYPERLINK("https://klasma.github.io/Logging_2184/klagomål/A 44058-2022 FSC-klagomål.docx", "A 44058-2022")</f>
        <v/>
      </c>
      <c r="AB736">
        <f>HYPERLINK("https://klasma.github.io/Logging_2184/klagomålsmail/A 44058-2022 FSC-klagomål mail.docx", "A 44058-2022")</f>
        <v/>
      </c>
      <c r="AC736">
        <f>HYPERLINK("https://klasma.github.io/Logging_2184/tillsyn/A 44058-2022 tillsynsbegäran.docx", "A 44058-2022")</f>
        <v/>
      </c>
      <c r="AD736">
        <f>HYPERLINK("https://klasma.github.io/Logging_2184/tillsynsmail/A 44058-2022 tillsynsbegäran mail.docx", "A 44058-2022")</f>
        <v/>
      </c>
    </row>
    <row r="737" ht="15" customHeight="1">
      <c r="A737" t="inlineStr">
        <is>
          <t>A 20023-2025</t>
        </is>
      </c>
      <c r="B737" t="inlineStr">
        <is>
          <t>avverkningsanmälan</t>
        </is>
      </c>
      <c r="C737" t="inlineStr">
        <is>
          <t>Föryngringsavverkning</t>
        </is>
      </c>
      <c r="D737" s="1" t="n">
        <v>45772</v>
      </c>
      <c r="E737" s="1" t="n">
        <v>46326</v>
      </c>
      <c r="F737" t="inlineStr">
        <is>
          <t>GÄVLEBORGS LÄN</t>
        </is>
      </c>
      <c r="G737" t="inlineStr">
        <is>
          <t>LJUSDAL</t>
        </is>
      </c>
      <c r="H737" t="inlineStr">
        <is>
          <t>SCA</t>
        </is>
      </c>
      <c r="I737" t="n">
        <v>2.1</v>
      </c>
      <c r="J737" t="n">
        <v>0</v>
      </c>
      <c r="K737" t="n">
        <v>0</v>
      </c>
      <c r="L737" t="n">
        <v>0</v>
      </c>
      <c r="M737" t="n">
        <v>1</v>
      </c>
      <c r="N737" t="n">
        <v>0</v>
      </c>
      <c r="O737" t="n">
        <v>0</v>
      </c>
      <c r="P737" t="n">
        <v>0</v>
      </c>
      <c r="Q737" t="n">
        <v>1</v>
      </c>
      <c r="R737" t="n">
        <v>1</v>
      </c>
      <c r="S737" t="n">
        <v>1</v>
      </c>
      <c r="T737" t="n">
        <v>2</v>
      </c>
      <c r="U737" t="n">
        <v>0</v>
      </c>
      <c r="V737" s="2" t="inlineStr">
        <is>
          <t>Ängsblåvinge</t>
        </is>
      </c>
      <c r="W737">
        <f>HYPERLINK("https://klasma.github.io/Logging_2161/artfynd/A 20023-2025 artfynd.xlsx", "A 20023-2025")</f>
        <v/>
      </c>
      <c r="X737">
        <f>HYPERLINK("https://klasma.github.io/Logging_2161/kartor/A 20023-2025 karta.png", "A 20023-2025")</f>
        <v/>
      </c>
      <c r="Y737">
        <f>HYPERLINK("https://klasma.github.io/Logging_2161/kartor_geotiff/A 20023-2025 georefererad karta.tif", "A 20023-2025")</f>
        <v/>
      </c>
      <c r="AA737">
        <f>HYPERLINK("https://klasma.github.io/Logging_2161/klagomål/A 20023-2025 FSC-klagomål.docx", "A 20023-2025")</f>
        <v/>
      </c>
      <c r="AB737">
        <f>HYPERLINK("https://klasma.github.io/Logging_2161/klagomålsmail/A 20023-2025 FSC-klagomål mail.docx", "A 20023-2025")</f>
        <v/>
      </c>
      <c r="AC737">
        <f>HYPERLINK("https://klasma.github.io/Logging_2161/tillsyn/A 20023-2025 tillsynsbegäran.docx", "A 20023-2025")</f>
        <v/>
      </c>
      <c r="AD737">
        <f>HYPERLINK("https://klasma.github.io/Logging_2161/tillsynsmail/A 20023-2025 tillsynsbegäran mail.docx", "A 20023-2025")</f>
        <v/>
      </c>
    </row>
    <row r="738" ht="15" customHeight="1">
      <c r="A738" t="inlineStr">
        <is>
          <t>A 12338-2025</t>
        </is>
      </c>
      <c r="B738" t="inlineStr">
        <is>
          <t>avverkningsanmälan</t>
        </is>
      </c>
      <c r="C738" t="inlineStr">
        <is>
          <t>Föryngringsavverkning</t>
        </is>
      </c>
      <c r="D738" s="1" t="n">
        <v>45730</v>
      </c>
      <c r="E738" s="1" t="n">
        <v>46326</v>
      </c>
      <c r="F738" t="inlineStr">
        <is>
          <t>GÄVLEBORGS LÄN</t>
        </is>
      </c>
      <c r="G738" t="inlineStr">
        <is>
          <t>GÄVLE</t>
        </is>
      </c>
      <c r="H738" t="inlineStr">
        <is>
          <t>Bergvik skog öst AB</t>
        </is>
      </c>
      <c r="I738" t="n">
        <v>6.8</v>
      </c>
      <c r="J738" t="n">
        <v>0</v>
      </c>
      <c r="K738" t="n">
        <v>0</v>
      </c>
      <c r="L738" t="n">
        <v>1</v>
      </c>
      <c r="M738" t="n">
        <v>0</v>
      </c>
      <c r="N738" t="n">
        <v>0</v>
      </c>
      <c r="O738" t="n">
        <v>0</v>
      </c>
      <c r="P738" t="n">
        <v>0</v>
      </c>
      <c r="Q738" t="n">
        <v>1</v>
      </c>
      <c r="R738" t="n">
        <v>0</v>
      </c>
      <c r="S738" t="n">
        <v>1</v>
      </c>
      <c r="T738" t="n">
        <v>2</v>
      </c>
      <c r="U738" t="n">
        <v>1</v>
      </c>
      <c r="V738" s="2" t="inlineStr">
        <is>
          <t>Skogsklocka</t>
        </is>
      </c>
      <c r="W738">
        <f>HYPERLINK("https://klasma.github.io/Logging_2180/artfynd/A 12338-2025 artfynd.xlsx", "A 12338-2025")</f>
        <v/>
      </c>
      <c r="X738">
        <f>HYPERLINK("https://klasma.github.io/Logging_2180/kartor/A 12338-2025 karta.png", "A 12338-2025")</f>
        <v/>
      </c>
      <c r="Y738">
        <f>HYPERLINK("https://klasma.github.io/Logging_2180/kartor_geotiff/A 12338-2025 georefererad karta.tif", "A 12338-2025")</f>
        <v/>
      </c>
      <c r="AA738">
        <f>HYPERLINK("https://klasma.github.io/Logging_2180/klagomål/A 12338-2025 FSC-klagomål.docx", "A 12338-2025")</f>
        <v/>
      </c>
      <c r="AB738">
        <f>HYPERLINK("https://klasma.github.io/Logging_2180/klagomålsmail/A 12338-2025 FSC-klagomål mail.docx", "A 12338-2025")</f>
        <v/>
      </c>
      <c r="AC738">
        <f>HYPERLINK("https://klasma.github.io/Logging_2180/tillsyn/A 12338-2025 tillsynsbegäran.docx", "A 12338-2025")</f>
        <v/>
      </c>
      <c r="AD738">
        <f>HYPERLINK("https://klasma.github.io/Logging_2180/tillsynsmail/A 12338-2025 tillsynsbegäran mail.docx", "A 12338-2025")</f>
        <v/>
      </c>
    </row>
    <row r="739" ht="15" customHeight="1">
      <c r="A739" t="inlineStr">
        <is>
          <t>A 27176-2025</t>
        </is>
      </c>
      <c r="B739" t="inlineStr">
        <is>
          <t>avverkningsanmälan</t>
        </is>
      </c>
      <c r="C739" t="inlineStr">
        <is>
          <t>Föryngringsavverkning</t>
        </is>
      </c>
      <c r="D739" s="1" t="n">
        <v>45812</v>
      </c>
      <c r="E739" s="1" t="n">
        <v>46326</v>
      </c>
      <c r="F739" t="inlineStr">
        <is>
          <t>GÄVLEBORGS LÄN</t>
        </is>
      </c>
      <c r="G739" t="inlineStr">
        <is>
          <t>HUDIKSVALL</t>
        </is>
      </c>
      <c r="H739" t="inlineStr">
        <is>
          <t>Holmen skog AB</t>
        </is>
      </c>
      <c r="I739" t="n">
        <v>6.9</v>
      </c>
      <c r="J739" t="n">
        <v>0</v>
      </c>
      <c r="K739" t="n">
        <v>0</v>
      </c>
      <c r="L739" t="n">
        <v>1</v>
      </c>
      <c r="M739" t="n">
        <v>0</v>
      </c>
      <c r="N739" t="n">
        <v>0</v>
      </c>
      <c r="O739" t="n">
        <v>0</v>
      </c>
      <c r="P739" t="n">
        <v>0</v>
      </c>
      <c r="Q739" t="n">
        <v>1</v>
      </c>
      <c r="R739" t="n">
        <v>0</v>
      </c>
      <c r="S739" t="n">
        <v>1</v>
      </c>
      <c r="T739" t="n">
        <v>1</v>
      </c>
      <c r="U739" t="n">
        <v>0</v>
      </c>
      <c r="V739" s="2" t="inlineStr">
        <is>
          <t>Vedtrappmossa</t>
        </is>
      </c>
      <c r="W739">
        <f>HYPERLINK("https://klasma.github.io/Logging_2184/artfynd/A 27176-2025 artfynd.xlsx", "A 27176-2025")</f>
        <v/>
      </c>
      <c r="X739">
        <f>HYPERLINK("https://klasma.github.io/Logging_2184/kartor/A 27176-2025 karta.png", "A 27176-2025")</f>
        <v/>
      </c>
      <c r="Y739">
        <f>HYPERLINK("https://klasma.github.io/Logging_2184/kartor_geotiff/A 27176-2025 georefererad karta.tif", "A 27176-2025")</f>
        <v/>
      </c>
      <c r="AA739">
        <f>HYPERLINK("https://klasma.github.io/Logging_2184/klagomål/A 27176-2025 FSC-klagomål.docx", "A 27176-2025")</f>
        <v/>
      </c>
      <c r="AB739">
        <f>HYPERLINK("https://klasma.github.io/Logging_2184/klagomålsmail/A 27176-2025 FSC-klagomål mail.docx", "A 27176-2025")</f>
        <v/>
      </c>
      <c r="AC739">
        <f>HYPERLINK("https://klasma.github.io/Logging_2184/tillsyn/A 27176-2025 tillsynsbegäran.docx", "A 27176-2025")</f>
        <v/>
      </c>
      <c r="AD739">
        <f>HYPERLINK("https://klasma.github.io/Logging_2184/tillsynsmail/A 27176-2025 tillsynsbegäran mail.docx", "A 27176-2025")</f>
        <v/>
      </c>
    </row>
    <row r="740" ht="15" customHeight="1">
      <c r="A740" t="inlineStr">
        <is>
          <t>A 27431-2025</t>
        </is>
      </c>
      <c r="B740" t="inlineStr">
        <is>
          <t>avverkningsanmälan</t>
        </is>
      </c>
      <c r="C740" t="inlineStr">
        <is>
          <t>Föryngringsavverkning</t>
        </is>
      </c>
      <c r="D740" s="1" t="n">
        <v>45813</v>
      </c>
      <c r="E740" s="1" t="n">
        <v>46326</v>
      </c>
      <c r="F740" t="inlineStr">
        <is>
          <t>GÄVLEBORGS LÄN</t>
        </is>
      </c>
      <c r="G740" t="inlineStr">
        <is>
          <t>HOFORS</t>
        </is>
      </c>
      <c r="H740" t="inlineStr">
        <is>
          <t>Sveaskog</t>
        </is>
      </c>
      <c r="I740" t="n">
        <v>3.4</v>
      </c>
      <c r="J740" t="n">
        <v>1</v>
      </c>
      <c r="K740" t="n">
        <v>0</v>
      </c>
      <c r="L740" t="n">
        <v>0</v>
      </c>
      <c r="M740" t="n">
        <v>1</v>
      </c>
      <c r="N740" t="n">
        <v>0</v>
      </c>
      <c r="O740" t="n">
        <v>0</v>
      </c>
      <c r="P740" t="n">
        <v>0</v>
      </c>
      <c r="Q740" t="n">
        <v>1</v>
      </c>
      <c r="R740" t="n">
        <v>1</v>
      </c>
      <c r="S740" t="n">
        <v>1</v>
      </c>
      <c r="T740" t="n">
        <v>4</v>
      </c>
      <c r="U740" t="n">
        <v>0</v>
      </c>
      <c r="V740" s="2" t="inlineStr">
        <is>
          <t>Väddnätfjäril</t>
        </is>
      </c>
      <c r="W740">
        <f>HYPERLINK("https://klasma.github.io/Logging_2104/artfynd/A 27431-2025 artfynd.xlsx", "A 27431-2025")</f>
        <v/>
      </c>
      <c r="X740">
        <f>HYPERLINK("https://klasma.github.io/Logging_2104/kartor/A 27431-2025 karta.png", "A 27431-2025")</f>
        <v/>
      </c>
      <c r="Y740">
        <f>HYPERLINK("https://klasma.github.io/Logging_2104/kartor_geotiff/A 27431-2025 georefererad karta.tif", "A 27431-2025")</f>
        <v/>
      </c>
      <c r="AA740">
        <f>HYPERLINK("https://klasma.github.io/Logging_2104/klagomål/A 27431-2025 FSC-klagomål.docx", "A 27431-2025")</f>
        <v/>
      </c>
      <c r="AB740">
        <f>HYPERLINK("https://klasma.github.io/Logging_2104/klagomålsmail/A 27431-2025 FSC-klagomål mail.docx", "A 27431-2025")</f>
        <v/>
      </c>
      <c r="AC740">
        <f>HYPERLINK("https://klasma.github.io/Logging_2104/tillsyn/A 27431-2025 tillsynsbegäran.docx", "A 27431-2025")</f>
        <v/>
      </c>
      <c r="AD740">
        <f>HYPERLINK("https://klasma.github.io/Logging_2104/tillsynsmail/A 27431-2025 tillsynsbegäran mail.docx", "A 27431-2025")</f>
        <v/>
      </c>
    </row>
    <row r="741" ht="15" customHeight="1">
      <c r="A741" t="inlineStr">
        <is>
          <t>A 36391-2025</t>
        </is>
      </c>
      <c r="B741" t="inlineStr">
        <is>
          <t>avverkningsanmälan</t>
        </is>
      </c>
      <c r="C741" t="inlineStr">
        <is>
          <t>Föryngringsavverkning</t>
        </is>
      </c>
      <c r="D741" s="1" t="n">
        <v>45868</v>
      </c>
      <c r="E741" s="1" t="n">
        <v>46326</v>
      </c>
      <c r="F741" t="inlineStr">
        <is>
          <t>GÄVLEBORGS LÄN</t>
        </is>
      </c>
      <c r="G741" t="inlineStr">
        <is>
          <t>HUDIKSVALL</t>
        </is>
      </c>
      <c r="I741" t="n">
        <v>0.7</v>
      </c>
      <c r="J741" t="n">
        <v>0</v>
      </c>
      <c r="K741" t="n">
        <v>0</v>
      </c>
      <c r="L741" t="n">
        <v>1</v>
      </c>
      <c r="M741" t="n">
        <v>0</v>
      </c>
      <c r="N741" t="n">
        <v>0</v>
      </c>
      <c r="O741" t="n">
        <v>0</v>
      </c>
      <c r="P741" t="n">
        <v>0</v>
      </c>
      <c r="Q741" t="n">
        <v>1</v>
      </c>
      <c r="R741" t="n">
        <v>0</v>
      </c>
      <c r="S741" t="n">
        <v>1</v>
      </c>
      <c r="T741" t="n">
        <v>1</v>
      </c>
      <c r="U741" t="n">
        <v>0</v>
      </c>
      <c r="V741" s="2" t="inlineStr">
        <is>
          <t>Motaggsvamp</t>
        </is>
      </c>
      <c r="W741">
        <f>HYPERLINK("https://klasma.github.io/Logging_2184/artfynd/A 36391-2025 artfynd.xlsx", "A 36391-2025")</f>
        <v/>
      </c>
      <c r="X741">
        <f>HYPERLINK("https://klasma.github.io/Logging_2184/kartor/A 36391-2025 karta.png", "A 36391-2025")</f>
        <v/>
      </c>
      <c r="Y741">
        <f>HYPERLINK("https://klasma.github.io/Logging_2184/kartor_geotiff/A 36391-2025 georefererad karta.tif", "A 36391-2025")</f>
        <v/>
      </c>
      <c r="AA741">
        <f>HYPERLINK("https://klasma.github.io/Logging_2184/klagomål/A 36391-2025 FSC-klagomål.docx", "A 36391-2025")</f>
        <v/>
      </c>
      <c r="AB741">
        <f>HYPERLINK("https://klasma.github.io/Logging_2184/klagomålsmail/A 36391-2025 FSC-klagomål mail.docx", "A 36391-2025")</f>
        <v/>
      </c>
      <c r="AC741">
        <f>HYPERLINK("https://klasma.github.io/Logging_2184/tillsyn/A 36391-2025 tillsynsbegäran.docx", "A 36391-2025")</f>
        <v/>
      </c>
      <c r="AD741">
        <f>HYPERLINK("https://klasma.github.io/Logging_2184/tillsynsmail/A 36391-2025 tillsynsbegäran mail.docx", "A 36391-2025")</f>
        <v/>
      </c>
    </row>
    <row r="742" ht="15" customHeight="1">
      <c r="A742" t="inlineStr">
        <is>
          <t>A 27438-2025</t>
        </is>
      </c>
      <c r="B742" t="inlineStr">
        <is>
          <t>avverkningsanmälan</t>
        </is>
      </c>
      <c r="C742" t="inlineStr">
        <is>
          <t>Föryngringsavverkning</t>
        </is>
      </c>
      <c r="D742" s="1" t="n">
        <v>45813</v>
      </c>
      <c r="E742" s="1" t="n">
        <v>46326</v>
      </c>
      <c r="F742" t="inlineStr">
        <is>
          <t>GÄVLEBORGS LÄN</t>
        </is>
      </c>
      <c r="G742" t="inlineStr">
        <is>
          <t>HOFORS</t>
        </is>
      </c>
      <c r="H742" t="inlineStr">
        <is>
          <t>Sveaskog</t>
        </is>
      </c>
      <c r="I742" t="n">
        <v>0.9</v>
      </c>
      <c r="J742" t="n">
        <v>1</v>
      </c>
      <c r="K742" t="n">
        <v>0</v>
      </c>
      <c r="L742" t="n">
        <v>0</v>
      </c>
      <c r="M742" t="n">
        <v>0</v>
      </c>
      <c r="N742" t="n">
        <v>0</v>
      </c>
      <c r="O742" t="n">
        <v>0</v>
      </c>
      <c r="P742" t="n">
        <v>0</v>
      </c>
      <c r="Q742" t="n">
        <v>0</v>
      </c>
      <c r="R742" t="n">
        <v>0</v>
      </c>
      <c r="S742" t="n">
        <v>1</v>
      </c>
      <c r="T742" t="n">
        <v>2</v>
      </c>
      <c r="U742" t="n">
        <v>0</v>
      </c>
      <c r="V742" s="2" t="inlineStr">
        <is>
          <t>Fläcknycklar</t>
        </is>
      </c>
      <c r="W742">
        <f>HYPERLINK("https://klasma.github.io/Logging_2104/artfynd/A 27438-2025 artfynd.xlsx", "A 27438-2025")</f>
        <v/>
      </c>
      <c r="X742">
        <f>HYPERLINK("https://klasma.github.io/Logging_2104/kartor/A 27438-2025 karta.png", "A 27438-2025")</f>
        <v/>
      </c>
      <c r="Y742">
        <f>HYPERLINK("https://klasma.github.io/Logging_2104/kartor_geotiff/A 27438-2025 georefererad karta.tif", "A 27438-2025")</f>
        <v/>
      </c>
      <c r="AA742">
        <f>HYPERLINK("https://klasma.github.io/Logging_2104/klagomål/A 27438-2025 FSC-klagomål.docx", "A 27438-2025")</f>
        <v/>
      </c>
      <c r="AB742">
        <f>HYPERLINK("https://klasma.github.io/Logging_2104/klagomålsmail/A 27438-2025 FSC-klagomål mail.docx", "A 27438-2025")</f>
        <v/>
      </c>
      <c r="AC742">
        <f>HYPERLINK("https://klasma.github.io/Logging_2104/tillsyn/A 27438-2025 tillsynsbegäran.docx", "A 27438-2025")</f>
        <v/>
      </c>
      <c r="AD742">
        <f>HYPERLINK("https://klasma.github.io/Logging_2104/tillsynsmail/A 27438-2025 tillsynsbegäran mail.docx", "A 27438-2025")</f>
        <v/>
      </c>
    </row>
    <row r="743" ht="15" customHeight="1">
      <c r="A743" t="inlineStr">
        <is>
          <t>A 38550-2025</t>
        </is>
      </c>
      <c r="B743" t="inlineStr">
        <is>
          <t>avverkningsanmälan</t>
        </is>
      </c>
      <c r="C743" t="inlineStr">
        <is>
          <t>Föryngringsavverkning</t>
        </is>
      </c>
      <c r="D743" s="1" t="n">
        <v>45884</v>
      </c>
      <c r="E743" s="1" t="n">
        <v>46326</v>
      </c>
      <c r="F743" t="inlineStr">
        <is>
          <t>GÄVLEBORGS LÄN</t>
        </is>
      </c>
      <c r="G743" t="inlineStr">
        <is>
          <t>GÄVLE</t>
        </is>
      </c>
      <c r="H743" t="inlineStr">
        <is>
          <t>Bergvik skog öst AB</t>
        </is>
      </c>
      <c r="I743" t="n">
        <v>0.5</v>
      </c>
      <c r="J743" t="n">
        <v>0</v>
      </c>
      <c r="K743" t="n">
        <v>0</v>
      </c>
      <c r="L743" t="n">
        <v>1</v>
      </c>
      <c r="M743" t="n">
        <v>0</v>
      </c>
      <c r="N743" t="n">
        <v>0</v>
      </c>
      <c r="O743" t="n">
        <v>0</v>
      </c>
      <c r="P743" t="n">
        <v>0</v>
      </c>
      <c r="Q743" t="n">
        <v>1</v>
      </c>
      <c r="R743" t="n">
        <v>0</v>
      </c>
      <c r="S743" t="n">
        <v>1</v>
      </c>
      <c r="T743" t="n">
        <v>1</v>
      </c>
      <c r="U743" t="n">
        <v>0</v>
      </c>
      <c r="V743" s="2" t="inlineStr">
        <is>
          <t>Ullticka</t>
        </is>
      </c>
      <c r="W743">
        <f>HYPERLINK("https://klasma.github.io/Logging_2180/artfynd/A 38550-2025 artfynd.xlsx", "A 38550-2025")</f>
        <v/>
      </c>
      <c r="X743">
        <f>HYPERLINK("https://klasma.github.io/Logging_2180/kartor/A 38550-2025 karta.png", "A 38550-2025")</f>
        <v/>
      </c>
      <c r="Y743">
        <f>HYPERLINK("https://klasma.github.io/Logging_2180/kartor_geotiff/A 38550-2025 georefererad karta.tif", "A 38550-2025")</f>
        <v/>
      </c>
      <c r="AA743">
        <f>HYPERLINK("https://klasma.github.io/Logging_2180/klagomål/A 38550-2025 FSC-klagomål.docx", "A 38550-2025")</f>
        <v/>
      </c>
      <c r="AB743">
        <f>HYPERLINK("https://klasma.github.io/Logging_2180/klagomålsmail/A 38550-2025 FSC-klagomål mail.docx", "A 38550-2025")</f>
        <v/>
      </c>
      <c r="AC743">
        <f>HYPERLINK("https://klasma.github.io/Logging_2180/tillsyn/A 38550-2025 tillsynsbegäran.docx", "A 38550-2025")</f>
        <v/>
      </c>
      <c r="AD743">
        <f>HYPERLINK("https://klasma.github.io/Logging_2180/tillsynsmail/A 38550-2025 tillsynsbegäran mail.docx", "A 38550-2025")</f>
        <v/>
      </c>
    </row>
    <row r="744" ht="15" customHeight="1">
      <c r="A744" t="inlineStr">
        <is>
          <t>A 27432-2025</t>
        </is>
      </c>
      <c r="B744" t="inlineStr">
        <is>
          <t>avverkningsanmälan</t>
        </is>
      </c>
      <c r="C744" t="inlineStr">
        <is>
          <t>Föryngringsavverkning</t>
        </is>
      </c>
      <c r="D744" s="1" t="n">
        <v>45813</v>
      </c>
      <c r="E744" s="1" t="n">
        <v>46326</v>
      </c>
      <c r="F744" t="inlineStr">
        <is>
          <t>GÄVLEBORGS LÄN</t>
        </is>
      </c>
      <c r="G744" t="inlineStr">
        <is>
          <t>HOFORS</t>
        </is>
      </c>
      <c r="H744" t="inlineStr">
        <is>
          <t>Sveaskog</t>
        </is>
      </c>
      <c r="I744" t="n">
        <v>3.6</v>
      </c>
      <c r="J744" t="n">
        <v>1</v>
      </c>
      <c r="K744" t="n">
        <v>0</v>
      </c>
      <c r="L744" t="n">
        <v>0</v>
      </c>
      <c r="M744" t="n">
        <v>0</v>
      </c>
      <c r="N744" t="n">
        <v>0</v>
      </c>
      <c r="O744" t="n">
        <v>0</v>
      </c>
      <c r="P744" t="n">
        <v>0</v>
      </c>
      <c r="Q744" t="n">
        <v>0</v>
      </c>
      <c r="R744" t="n">
        <v>0</v>
      </c>
      <c r="S744" t="n">
        <v>1</v>
      </c>
      <c r="T744" t="n">
        <v>1</v>
      </c>
      <c r="U744" t="n">
        <v>0</v>
      </c>
      <c r="V744" s="2" t="inlineStr">
        <is>
          <t>Revlummer</t>
        </is>
      </c>
      <c r="W744">
        <f>HYPERLINK("https://klasma.github.io/Logging_2104/artfynd/A 27432-2025 artfynd.xlsx", "A 27432-2025")</f>
        <v/>
      </c>
      <c r="X744">
        <f>HYPERLINK("https://klasma.github.io/Logging_2104/kartor/A 27432-2025 karta.png", "A 27432-2025")</f>
        <v/>
      </c>
      <c r="Y744">
        <f>HYPERLINK("https://klasma.github.io/Logging_2104/kartor_geotiff/A 27432-2025 georefererad karta.tif", "A 27432-2025")</f>
        <v/>
      </c>
      <c r="AA744">
        <f>HYPERLINK("https://klasma.github.io/Logging_2104/klagomål/A 27432-2025 FSC-klagomål.docx", "A 27432-2025")</f>
        <v/>
      </c>
      <c r="AB744">
        <f>HYPERLINK("https://klasma.github.io/Logging_2104/klagomålsmail/A 27432-2025 FSC-klagomål mail.docx", "A 27432-2025")</f>
        <v/>
      </c>
      <c r="AC744">
        <f>HYPERLINK("https://klasma.github.io/Logging_2104/tillsyn/A 27432-2025 tillsynsbegäran.docx", "A 27432-2025")</f>
        <v/>
      </c>
      <c r="AD744">
        <f>HYPERLINK("https://klasma.github.io/Logging_2104/tillsynsmail/A 27432-2025 tillsynsbegäran mail.docx", "A 27432-2025")</f>
        <v/>
      </c>
    </row>
    <row r="745" ht="15" customHeight="1">
      <c r="A745" t="inlineStr">
        <is>
          <t>A 27441-2025</t>
        </is>
      </c>
      <c r="B745" t="inlineStr">
        <is>
          <t>avverkningsanmälan</t>
        </is>
      </c>
      <c r="C745" t="inlineStr">
        <is>
          <t>Föryngringsavverkning</t>
        </is>
      </c>
      <c r="D745" s="1" t="n">
        <v>45813</v>
      </c>
      <c r="E745" s="1" t="n">
        <v>46326</v>
      </c>
      <c r="F745" t="inlineStr">
        <is>
          <t>GÄVLEBORGS LÄN</t>
        </is>
      </c>
      <c r="G745" t="inlineStr">
        <is>
          <t>HOFORS</t>
        </is>
      </c>
      <c r="H745" t="inlineStr">
        <is>
          <t>Sveaskog</t>
        </is>
      </c>
      <c r="I745" t="n">
        <v>1.2</v>
      </c>
      <c r="J745" t="n">
        <v>1</v>
      </c>
      <c r="K745" t="n">
        <v>0</v>
      </c>
      <c r="L745" t="n">
        <v>0</v>
      </c>
      <c r="M745" t="n">
        <v>0</v>
      </c>
      <c r="N745" t="n">
        <v>0</v>
      </c>
      <c r="O745" t="n">
        <v>0</v>
      </c>
      <c r="P745" t="n">
        <v>0</v>
      </c>
      <c r="Q745" t="n">
        <v>0</v>
      </c>
      <c r="R745" t="n">
        <v>0</v>
      </c>
      <c r="S745" t="n">
        <v>1</v>
      </c>
      <c r="T745" t="n">
        <v>1</v>
      </c>
      <c r="U745" t="n">
        <v>0</v>
      </c>
      <c r="V745" s="2" t="inlineStr">
        <is>
          <t>Fläcknycklar</t>
        </is>
      </c>
      <c r="W745">
        <f>HYPERLINK("https://klasma.github.io/Logging_2104/artfynd/A 27441-2025 artfynd.xlsx", "A 27441-2025")</f>
        <v/>
      </c>
      <c r="X745">
        <f>HYPERLINK("https://klasma.github.io/Logging_2104/kartor/A 27441-2025 karta.png", "A 27441-2025")</f>
        <v/>
      </c>
      <c r="Y745">
        <f>HYPERLINK("https://klasma.github.io/Logging_2104/kartor_geotiff/A 27441-2025 georefererad karta.tif", "A 27441-2025")</f>
        <v/>
      </c>
      <c r="AA745">
        <f>HYPERLINK("https://klasma.github.io/Logging_2104/klagomål/A 27441-2025 FSC-klagomål.docx", "A 27441-2025")</f>
        <v/>
      </c>
      <c r="AB745">
        <f>HYPERLINK("https://klasma.github.io/Logging_2104/klagomålsmail/A 27441-2025 FSC-klagomål mail.docx", "A 27441-2025")</f>
        <v/>
      </c>
      <c r="AC745">
        <f>HYPERLINK("https://klasma.github.io/Logging_2104/tillsyn/A 27441-2025 tillsynsbegäran.docx", "A 27441-2025")</f>
        <v/>
      </c>
      <c r="AD745">
        <f>HYPERLINK("https://klasma.github.io/Logging_2104/tillsynsmail/A 27441-2025 tillsynsbegäran mail.docx", "A 27441-2025")</f>
        <v/>
      </c>
    </row>
    <row r="746" ht="15" customHeight="1">
      <c r="A746" t="inlineStr">
        <is>
          <t>A 1083-2026</t>
        </is>
      </c>
      <c r="B746" t="inlineStr">
        <is>
          <t>avverkningsanmälan</t>
        </is>
      </c>
      <c r="C746" t="inlineStr">
        <is>
          <t>Föryngringsavverkning</t>
        </is>
      </c>
      <c r="D746" s="1" t="n">
        <v>46030</v>
      </c>
      <c r="E746" s="1" t="n">
        <v>46326</v>
      </c>
      <c r="F746" t="inlineStr">
        <is>
          <t>GÄVLEBORGS LÄN</t>
        </is>
      </c>
      <c r="G746" t="inlineStr">
        <is>
          <t>SANDVIKEN</t>
        </is>
      </c>
      <c r="I746" t="n">
        <v>8</v>
      </c>
      <c r="J746" t="n">
        <v>1</v>
      </c>
      <c r="K746" t="n">
        <v>0</v>
      </c>
      <c r="L746" t="n">
        <v>0</v>
      </c>
      <c r="M746" t="n">
        <v>0</v>
      </c>
      <c r="N746" t="n">
        <v>0</v>
      </c>
      <c r="O746" t="n">
        <v>0</v>
      </c>
      <c r="P746" t="n">
        <v>0</v>
      </c>
      <c r="Q746" t="n">
        <v>0</v>
      </c>
      <c r="R746" t="n">
        <v>0</v>
      </c>
      <c r="S746" t="n">
        <v>1</v>
      </c>
      <c r="T746" t="n">
        <v>1</v>
      </c>
      <c r="U746" t="n">
        <v>0</v>
      </c>
      <c r="V746" s="2" t="inlineStr">
        <is>
          <t>Vanlig padda</t>
        </is>
      </c>
      <c r="W746">
        <f>HYPERLINK("https://klasma.github.io/Logging_2181/artfynd/A 1083-2026 artfynd.xlsx", "A 1083-2026")</f>
        <v/>
      </c>
      <c r="X746">
        <f>HYPERLINK("https://klasma.github.io/Logging_2181/kartor/A 1083-2026 karta.png", "A 1083-2026")</f>
        <v/>
      </c>
      <c r="Y746">
        <f>HYPERLINK("https://klasma.github.io/Logging_2181/kartor_geotiff/A 1083-2026 georefererad karta.tif", "A 1083-2026")</f>
        <v/>
      </c>
      <c r="AA746">
        <f>HYPERLINK("https://klasma.github.io/Logging_2181/klagomål/A 1083-2026 FSC-klagomål.docx", "A 1083-2026")</f>
        <v/>
      </c>
      <c r="AB746">
        <f>HYPERLINK("https://klasma.github.io/Logging_2181/klagomålsmail/A 1083-2026 FSC-klagomål mail.docx", "A 1083-2026")</f>
        <v/>
      </c>
      <c r="AC746">
        <f>HYPERLINK("https://klasma.github.io/Logging_2181/tillsyn/A 1083-2026 tillsynsbegäran.docx", "A 1083-2026")</f>
        <v/>
      </c>
      <c r="AD746">
        <f>HYPERLINK("https://klasma.github.io/Logging_2181/tillsynsmail/A 1083-2026 tillsynsbegäran mail.docx", "A 1083-2026")</f>
        <v/>
      </c>
    </row>
    <row r="747" ht="15" customHeight="1">
      <c r="A747" t="inlineStr">
        <is>
          <t>A 39872-2025</t>
        </is>
      </c>
      <c r="B747" t="inlineStr">
        <is>
          <t>avverkningsanmälan</t>
        </is>
      </c>
      <c r="C747" t="inlineStr">
        <is>
          <t>Föryngringsavverkning</t>
        </is>
      </c>
      <c r="D747" s="1" t="n">
        <v>45891</v>
      </c>
      <c r="E747" s="1" t="n">
        <v>46326</v>
      </c>
      <c r="F747" t="inlineStr">
        <is>
          <t>GÄVLEBORGS LÄN</t>
        </is>
      </c>
      <c r="G747" t="inlineStr">
        <is>
          <t>SANDVIKEN</t>
        </is>
      </c>
      <c r="H747" t="inlineStr">
        <is>
          <t>Sveaskog</t>
        </is>
      </c>
      <c r="I747" t="n">
        <v>3.5</v>
      </c>
      <c r="J747" t="n">
        <v>1</v>
      </c>
      <c r="K747" t="n">
        <v>1</v>
      </c>
      <c r="L747" t="n">
        <v>0</v>
      </c>
      <c r="M747" t="n">
        <v>0</v>
      </c>
      <c r="N747" t="n">
        <v>0</v>
      </c>
      <c r="O747" t="n">
        <v>0</v>
      </c>
      <c r="P747" t="n">
        <v>0</v>
      </c>
      <c r="Q747" t="n">
        <v>0</v>
      </c>
      <c r="R747" t="n">
        <v>0</v>
      </c>
      <c r="S747" t="n">
        <v>1</v>
      </c>
      <c r="T747" t="n">
        <v>3</v>
      </c>
      <c r="U747" t="n">
        <v>0</v>
      </c>
      <c r="V747" s="2" t="inlineStr">
        <is>
          <t>Plattlummer</t>
        </is>
      </c>
      <c r="W747">
        <f>HYPERLINK("https://klasma.github.io/Logging_2181/artfynd/A 39872-2025 artfynd.xlsx", "A 39872-2025")</f>
        <v/>
      </c>
      <c r="X747">
        <f>HYPERLINK("https://klasma.github.io/Logging_2181/kartor/A 39872-2025 karta.png", "A 39872-2025")</f>
        <v/>
      </c>
      <c r="Y747">
        <f>HYPERLINK("https://klasma.github.io/Logging_2181/kartor_geotiff/A 39872-2025 georefererad karta.tif", "A 39872-2025")</f>
        <v/>
      </c>
      <c r="AA747">
        <f>HYPERLINK("https://klasma.github.io/Logging_2181/klagomål/A 39872-2025 FSC-klagomål.docx", "A 39872-2025")</f>
        <v/>
      </c>
      <c r="AB747">
        <f>HYPERLINK("https://klasma.github.io/Logging_2181/klagomålsmail/A 39872-2025 FSC-klagomål mail.docx", "A 39872-2025")</f>
        <v/>
      </c>
      <c r="AC747">
        <f>HYPERLINK("https://klasma.github.io/Logging_2181/tillsyn/A 39872-2025 tillsynsbegäran.docx", "A 39872-2025")</f>
        <v/>
      </c>
      <c r="AD747">
        <f>HYPERLINK("https://klasma.github.io/Logging_2181/tillsynsmail/A 39872-2025 tillsynsbegäran mail.docx", "A 39872-2025")</f>
        <v/>
      </c>
    </row>
    <row r="748" ht="15" customHeight="1">
      <c r="A748" t="inlineStr">
        <is>
          <t>A 39873-2025</t>
        </is>
      </c>
      <c r="B748" t="inlineStr">
        <is>
          <t>avverkningsanmälan</t>
        </is>
      </c>
      <c r="C748" t="inlineStr">
        <is>
          <t>Föryngringsavverkning</t>
        </is>
      </c>
      <c r="D748" s="1" t="n">
        <v>45891</v>
      </c>
      <c r="E748" s="1" t="n">
        <v>46326</v>
      </c>
      <c r="F748" t="inlineStr">
        <is>
          <t>GÄVLEBORGS LÄN</t>
        </is>
      </c>
      <c r="G748" t="inlineStr">
        <is>
          <t>SANDVIKEN</t>
        </is>
      </c>
      <c r="H748" t="inlineStr">
        <is>
          <t>Sveaskog</t>
        </is>
      </c>
      <c r="I748" t="n">
        <v>3.5</v>
      </c>
      <c r="J748" t="n">
        <v>0</v>
      </c>
      <c r="K748" t="n">
        <v>0</v>
      </c>
      <c r="L748" t="n">
        <v>1</v>
      </c>
      <c r="M748" t="n">
        <v>0</v>
      </c>
      <c r="N748" t="n">
        <v>0</v>
      </c>
      <c r="O748" t="n">
        <v>0</v>
      </c>
      <c r="P748" t="n">
        <v>0</v>
      </c>
      <c r="Q748" t="n">
        <v>1</v>
      </c>
      <c r="R748" t="n">
        <v>0</v>
      </c>
      <c r="S748" t="n">
        <v>1</v>
      </c>
      <c r="T748" t="n">
        <v>1</v>
      </c>
      <c r="U748" t="n">
        <v>0</v>
      </c>
      <c r="V748" s="2" t="inlineStr">
        <is>
          <t>Dropptaggsvamp</t>
        </is>
      </c>
      <c r="W748">
        <f>HYPERLINK("https://klasma.github.io/Logging_2181/artfynd/A 39873-2025 artfynd.xlsx", "A 39873-2025")</f>
        <v/>
      </c>
      <c r="X748">
        <f>HYPERLINK("https://klasma.github.io/Logging_2181/kartor/A 39873-2025 karta.png", "A 39873-2025")</f>
        <v/>
      </c>
      <c r="Y748">
        <f>HYPERLINK("https://klasma.github.io/Logging_2181/kartor_geotiff/A 39873-2025 georefererad karta.tif", "A 39873-2025")</f>
        <v/>
      </c>
      <c r="AA748">
        <f>HYPERLINK("https://klasma.github.io/Logging_2181/klagomål/A 39873-2025 FSC-klagomål.docx", "A 39873-2025")</f>
        <v/>
      </c>
      <c r="AB748">
        <f>HYPERLINK("https://klasma.github.io/Logging_2181/klagomålsmail/A 39873-2025 FSC-klagomål mail.docx", "A 39873-2025")</f>
        <v/>
      </c>
      <c r="AC748">
        <f>HYPERLINK("https://klasma.github.io/Logging_2181/tillsyn/A 39873-2025 tillsynsbegäran.docx", "A 39873-2025")</f>
        <v/>
      </c>
      <c r="AD748">
        <f>HYPERLINK("https://klasma.github.io/Logging_2181/tillsynsmail/A 39873-2025 tillsynsbegäran mail.docx", "A 39873-2025")</f>
        <v/>
      </c>
    </row>
    <row r="749" ht="15" customHeight="1">
      <c r="A749" t="inlineStr">
        <is>
          <t>A 16515-2023</t>
        </is>
      </c>
      <c r="B749" t="inlineStr">
        <is>
          <t>avverkningsanmälan</t>
        </is>
      </c>
      <c r="C749" t="inlineStr">
        <is>
          <t>Avverkning för att bevara och utveckla /försöksver</t>
        </is>
      </c>
      <c r="D749" s="1" t="n">
        <v>45029</v>
      </c>
      <c r="E749" s="1" t="n">
        <v>46326</v>
      </c>
      <c r="F749" t="inlineStr">
        <is>
          <t>GÄVLEBORGS LÄN</t>
        </is>
      </c>
      <c r="G749" t="inlineStr">
        <is>
          <t>NORDANSTIG</t>
        </is>
      </c>
      <c r="H749" t="inlineStr">
        <is>
          <t>Holmen skog AB</t>
        </is>
      </c>
      <c r="I749" t="n">
        <v>2.6</v>
      </c>
      <c r="J749" t="n">
        <v>0</v>
      </c>
      <c r="K749" t="n">
        <v>0</v>
      </c>
      <c r="L749" t="n">
        <v>1</v>
      </c>
      <c r="M749" t="n">
        <v>0</v>
      </c>
      <c r="N749" t="n">
        <v>0</v>
      </c>
      <c r="O749" t="n">
        <v>0</v>
      </c>
      <c r="P749" t="n">
        <v>0</v>
      </c>
      <c r="Q749" t="n">
        <v>1</v>
      </c>
      <c r="R749" t="n">
        <v>0</v>
      </c>
      <c r="S749" t="n">
        <v>1</v>
      </c>
      <c r="T749" t="n">
        <v>1</v>
      </c>
      <c r="U749" t="n">
        <v>1</v>
      </c>
      <c r="V749" s="2" t="inlineStr">
        <is>
          <t>Tallticka</t>
        </is>
      </c>
      <c r="W749">
        <f>HYPERLINK("https://klasma.github.io/Logging_2132/artfynd/A 16515-2023 artfynd.xlsx", "A 16515-2023")</f>
        <v/>
      </c>
      <c r="X749">
        <f>HYPERLINK("https://klasma.github.io/Logging_2132/kartor/A 16515-2023 karta.png", "A 16515-2023")</f>
        <v/>
      </c>
      <c r="Y749">
        <f>HYPERLINK("https://klasma.github.io/Logging_2132/kartor_geotiff/A 16515-2023 georefererad karta.tif", "A 16515-2023")</f>
        <v/>
      </c>
      <c r="AA749">
        <f>HYPERLINK("https://klasma.github.io/Logging_2132/klagomål/A 16515-2023 FSC-klagomål.docx", "A 16515-2023")</f>
        <v/>
      </c>
      <c r="AB749">
        <f>HYPERLINK("https://klasma.github.io/Logging_2132/klagomålsmail/A 16515-2023 FSC-klagomål mail.docx", "A 16515-2023")</f>
        <v/>
      </c>
      <c r="AC749">
        <f>HYPERLINK("https://klasma.github.io/Logging_2132/tillsyn/A 16515-2023 tillsynsbegäran.docx", "A 16515-2023")</f>
        <v/>
      </c>
      <c r="AD749">
        <f>HYPERLINK("https://klasma.github.io/Logging_2132/tillsynsmail/A 16515-2023 tillsynsbegäran mail.docx", "A 16515-2023")</f>
        <v/>
      </c>
    </row>
    <row r="750" ht="15" customHeight="1">
      <c r="A750" t="inlineStr">
        <is>
          <t>A 34233-2024</t>
        </is>
      </c>
      <c r="B750" t="inlineStr">
        <is>
          <t>avverkningsanmälan</t>
        </is>
      </c>
      <c r="C750" t="inlineStr">
        <is>
          <t>Föryngringsavverkning</t>
        </is>
      </c>
      <c r="D750" s="1" t="n">
        <v>45524</v>
      </c>
      <c r="E750" s="1" t="n">
        <v>46326</v>
      </c>
      <c r="F750" t="inlineStr">
        <is>
          <t>GÄVLEBORGS LÄN</t>
        </is>
      </c>
      <c r="G750" t="inlineStr">
        <is>
          <t>LJUSDAL</t>
        </is>
      </c>
      <c r="H750" t="inlineStr">
        <is>
          <t>Sveaskog</t>
        </is>
      </c>
      <c r="I750" t="n">
        <v>7.5</v>
      </c>
      <c r="J750" t="n">
        <v>1</v>
      </c>
      <c r="K750" t="n">
        <v>1</v>
      </c>
      <c r="L750" t="n">
        <v>0</v>
      </c>
      <c r="M750" t="n">
        <v>0</v>
      </c>
      <c r="N750" t="n">
        <v>0</v>
      </c>
      <c r="O750" t="n">
        <v>0</v>
      </c>
      <c r="P750" t="n">
        <v>0</v>
      </c>
      <c r="Q750" t="n">
        <v>0</v>
      </c>
      <c r="R750" t="n">
        <v>0</v>
      </c>
      <c r="S750" t="n">
        <v>1</v>
      </c>
      <c r="T750" t="n">
        <v>1</v>
      </c>
      <c r="U750" t="n">
        <v>1</v>
      </c>
      <c r="V750" s="2" t="inlineStr">
        <is>
          <t>Plattlummer</t>
        </is>
      </c>
      <c r="W750">
        <f>HYPERLINK("https://klasma.github.io/Logging_2161/artfynd/A 34233-2024 artfynd.xlsx", "A 34233-2024")</f>
        <v/>
      </c>
      <c r="X750">
        <f>HYPERLINK("https://klasma.github.io/Logging_2161/kartor/A 34233-2024 karta.png", "A 34233-2024")</f>
        <v/>
      </c>
      <c r="Y750">
        <f>HYPERLINK("https://klasma.github.io/Logging_2161/kartor_geotiff/A 34233-2024 georefererad karta.tif", "A 34233-2024")</f>
        <v/>
      </c>
      <c r="AA750">
        <f>HYPERLINK("https://klasma.github.io/Logging_2161/klagomål/A 34233-2024 FSC-klagomål.docx", "A 34233-2024")</f>
        <v/>
      </c>
      <c r="AB750">
        <f>HYPERLINK("https://klasma.github.io/Logging_2161/klagomålsmail/A 34233-2024 FSC-klagomål mail.docx", "A 34233-2024")</f>
        <v/>
      </c>
      <c r="AC750">
        <f>HYPERLINK("https://klasma.github.io/Logging_2161/tillsyn/A 34233-2024 tillsynsbegäran.docx", "A 34233-2024")</f>
        <v/>
      </c>
      <c r="AD750">
        <f>HYPERLINK("https://klasma.github.io/Logging_2161/tillsynsmail/A 34233-2024 tillsynsbegäran mail.docx", "A 34233-2024")</f>
        <v/>
      </c>
    </row>
    <row r="751" ht="15" customHeight="1">
      <c r="A751" t="inlineStr">
        <is>
          <t>A 39774-2025</t>
        </is>
      </c>
      <c r="B751" t="inlineStr">
        <is>
          <t>avverkningsanmälan</t>
        </is>
      </c>
      <c r="C751" t="inlineStr">
        <is>
          <t>Föryngringsavverkning</t>
        </is>
      </c>
      <c r="D751" s="1" t="n">
        <v>45891</v>
      </c>
      <c r="E751" s="1" t="n">
        <v>46326</v>
      </c>
      <c r="F751" t="inlineStr">
        <is>
          <t>GÄVLEBORGS LÄN</t>
        </is>
      </c>
      <c r="G751" t="inlineStr">
        <is>
          <t>SÖDERHAMN</t>
        </is>
      </c>
      <c r="H751" t="inlineStr">
        <is>
          <t>Bergvik skog väst AB</t>
        </is>
      </c>
      <c r="I751" t="n">
        <v>6.7</v>
      </c>
      <c r="J751" t="n">
        <v>1</v>
      </c>
      <c r="K751" t="n">
        <v>0</v>
      </c>
      <c r="L751" t="n">
        <v>0</v>
      </c>
      <c r="M751" t="n">
        <v>0</v>
      </c>
      <c r="N751" t="n">
        <v>0</v>
      </c>
      <c r="O751" t="n">
        <v>0</v>
      </c>
      <c r="P751" t="n">
        <v>0</v>
      </c>
      <c r="Q751" t="n">
        <v>0</v>
      </c>
      <c r="R751" t="n">
        <v>0</v>
      </c>
      <c r="S751" t="n">
        <v>1</v>
      </c>
      <c r="T751" t="n">
        <v>1</v>
      </c>
      <c r="U751" t="n">
        <v>0</v>
      </c>
      <c r="V751" s="2" t="inlineStr">
        <is>
          <t>Järpe</t>
        </is>
      </c>
      <c r="W751">
        <f>HYPERLINK("https://klasma.github.io/Logging_2182/artfynd/A 39774-2025 artfynd.xlsx", "A 39774-2025")</f>
        <v/>
      </c>
      <c r="X751">
        <f>HYPERLINK("https://klasma.github.io/Logging_2182/kartor/A 39774-2025 karta.png", "A 39774-2025")</f>
        <v/>
      </c>
      <c r="Y751">
        <f>HYPERLINK("https://klasma.github.io/Logging_2182/kartor_geotiff/A 39774-2025 georefererad karta.tif", "A 39774-2025")</f>
        <v/>
      </c>
      <c r="AA751">
        <f>HYPERLINK("https://klasma.github.io/Logging_2182/klagomål/A 39774-2025 FSC-klagomål.docx", "A 39774-2025")</f>
        <v/>
      </c>
      <c r="AB751">
        <f>HYPERLINK("https://klasma.github.io/Logging_2182/klagomålsmail/A 39774-2025 FSC-klagomål mail.docx", "A 39774-2025")</f>
        <v/>
      </c>
      <c r="AC751">
        <f>HYPERLINK("https://klasma.github.io/Logging_2182/tillsyn/A 39774-2025 tillsynsbegäran.docx", "A 39774-2025")</f>
        <v/>
      </c>
      <c r="AD751">
        <f>HYPERLINK("https://klasma.github.io/Logging_2182/tillsynsmail/A 39774-2025 tillsynsbegäran mail.docx", "A 39774-2025")</f>
        <v/>
      </c>
      <c r="AE751">
        <f>HYPERLINK("https://klasma.github.io/Logging_2182/fåglar/A 39774-2025 prioriterade fågelarter.docx", "A 39774-2025")</f>
        <v/>
      </c>
    </row>
    <row r="752" ht="15" customHeight="1">
      <c r="A752" t="inlineStr">
        <is>
          <t>A 234-2023</t>
        </is>
      </c>
      <c r="B752" t="inlineStr">
        <is>
          <t>avverkningsanmälan</t>
        </is>
      </c>
      <c r="C752" t="inlineStr">
        <is>
          <t>Föryngringsavverkning</t>
        </is>
      </c>
      <c r="D752" s="1" t="n">
        <v>44928</v>
      </c>
      <c r="E752" s="1" t="n">
        <v>46326</v>
      </c>
      <c r="F752" t="inlineStr">
        <is>
          <t>GÄVLEBORGS LÄN</t>
        </is>
      </c>
      <c r="G752" t="inlineStr">
        <is>
          <t>HOFORS</t>
        </is>
      </c>
      <c r="H752" t="inlineStr">
        <is>
          <t>Sveaskog</t>
        </is>
      </c>
      <c r="I752" t="n">
        <v>5.1</v>
      </c>
      <c r="J752" t="n">
        <v>1</v>
      </c>
      <c r="K752" t="n">
        <v>0</v>
      </c>
      <c r="L752" t="n">
        <v>0</v>
      </c>
      <c r="M752" t="n">
        <v>1</v>
      </c>
      <c r="N752" t="n">
        <v>0</v>
      </c>
      <c r="O752" t="n">
        <v>0</v>
      </c>
      <c r="P752" t="n">
        <v>0</v>
      </c>
      <c r="Q752" t="n">
        <v>1</v>
      </c>
      <c r="R752" t="n">
        <v>1</v>
      </c>
      <c r="S752" t="n">
        <v>1</v>
      </c>
      <c r="T752" t="n">
        <v>1</v>
      </c>
      <c r="U752" t="n">
        <v>1</v>
      </c>
      <c r="V752" s="2" t="inlineStr">
        <is>
          <t>Knärot</t>
        </is>
      </c>
      <c r="W752">
        <f>HYPERLINK("https://klasma.github.io/Logging_2104/artfynd/A 234-2023 artfynd.xlsx", "A 234-2023")</f>
        <v/>
      </c>
      <c r="X752">
        <f>HYPERLINK("https://klasma.github.io/Logging_2104/kartor/A 234-2023 karta.png", "A 234-2023")</f>
        <v/>
      </c>
      <c r="Y752">
        <f>HYPERLINK("https://klasma.github.io/Logging_2104/kartor_geotiff/A 234-2023 georefererad karta.tif", "A 234-2023")</f>
        <v/>
      </c>
      <c r="Z752">
        <f>HYPERLINK("https://klasma.github.io/Logging_2104/knärot/A 234-2023 karta knärot.png", "A 234-2023")</f>
        <v/>
      </c>
      <c r="AA752">
        <f>HYPERLINK("https://klasma.github.io/Logging_2104/klagomål/A 234-2023 FSC-klagomål.docx", "A 234-2023")</f>
        <v/>
      </c>
      <c r="AB752">
        <f>HYPERLINK("https://klasma.github.io/Logging_2104/klagomålsmail/A 234-2023 FSC-klagomål mail.docx", "A 234-2023")</f>
        <v/>
      </c>
      <c r="AC752">
        <f>HYPERLINK("https://klasma.github.io/Logging_2104/tillsyn/A 234-2023 tillsynsbegäran.docx", "A 234-2023")</f>
        <v/>
      </c>
      <c r="AD752">
        <f>HYPERLINK("https://klasma.github.io/Logging_2104/tillsynsmail/A 234-2023 tillsynsbegäran mail.docx", "A 234-2023")</f>
        <v/>
      </c>
    </row>
    <row r="753" ht="15" customHeight="1">
      <c r="A753" t="inlineStr">
        <is>
          <t>A 49803-2022</t>
        </is>
      </c>
      <c r="B753" t="inlineStr">
        <is>
          <t>avverkningsanmälan</t>
        </is>
      </c>
      <c r="C753" t="inlineStr">
        <is>
          <t>Föryngringsavverkning</t>
        </is>
      </c>
      <c r="D753" s="1" t="n">
        <v>44862</v>
      </c>
      <c r="E753" s="1" t="n">
        <v>46326</v>
      </c>
      <c r="F753" t="inlineStr">
        <is>
          <t>GÄVLEBORGS LÄN</t>
        </is>
      </c>
      <c r="G753" t="inlineStr">
        <is>
          <t>LJUSDAL</t>
        </is>
      </c>
      <c r="H753" t="inlineStr">
        <is>
          <t>Sveaskog</t>
        </is>
      </c>
      <c r="I753" t="n">
        <v>1.9</v>
      </c>
      <c r="J753" t="n">
        <v>1</v>
      </c>
      <c r="K753" t="n">
        <v>0</v>
      </c>
      <c r="L753" t="n">
        <v>0</v>
      </c>
      <c r="M753" t="n">
        <v>0</v>
      </c>
      <c r="N753" t="n">
        <v>0</v>
      </c>
      <c r="O753" t="n">
        <v>0</v>
      </c>
      <c r="P753" t="n">
        <v>0</v>
      </c>
      <c r="Q753" t="n">
        <v>0</v>
      </c>
      <c r="R753" t="n">
        <v>0</v>
      </c>
      <c r="S753" t="n">
        <v>1</v>
      </c>
      <c r="T753" t="n">
        <v>3</v>
      </c>
      <c r="U753" t="n">
        <v>3</v>
      </c>
      <c r="V753" s="2" t="inlineStr">
        <is>
          <t>Fläcknycklar</t>
        </is>
      </c>
      <c r="W753">
        <f>HYPERLINK("https://klasma.github.io/Logging_2161/artfynd/A 49803-2022 artfynd.xlsx", "A 49803-2022")</f>
        <v/>
      </c>
      <c r="X753">
        <f>HYPERLINK("https://klasma.github.io/Logging_2161/kartor/A 49803-2022 karta.png", "A 49803-2022")</f>
        <v/>
      </c>
      <c r="Y753">
        <f>HYPERLINK("https://klasma.github.io/Logging_2161/kartor_geotiff/A 49803-2022 georefererad karta.tif", "A 49803-2022")</f>
        <v/>
      </c>
      <c r="AA753">
        <f>HYPERLINK("https://klasma.github.io/Logging_2161/klagomål/A 49803-2022 FSC-klagomål.docx", "A 49803-2022")</f>
        <v/>
      </c>
      <c r="AB753">
        <f>HYPERLINK("https://klasma.github.io/Logging_2161/klagomålsmail/A 49803-2022 FSC-klagomål mail.docx", "A 49803-2022")</f>
        <v/>
      </c>
      <c r="AC753">
        <f>HYPERLINK("https://klasma.github.io/Logging_2161/tillsyn/A 49803-2022 tillsynsbegäran.docx", "A 49803-2022")</f>
        <v/>
      </c>
      <c r="AD753">
        <f>HYPERLINK("https://klasma.github.io/Logging_2161/tillsynsmail/A 49803-2022 tillsynsbegäran mail.docx", "A 49803-2022")</f>
        <v/>
      </c>
    </row>
    <row r="754" ht="15" customHeight="1">
      <c r="A754" t="inlineStr">
        <is>
          <t>A 1988-2026</t>
        </is>
      </c>
      <c r="B754" t="inlineStr">
        <is>
          <t>avverkningsanmälan</t>
        </is>
      </c>
      <c r="C754" t="inlineStr">
        <is>
          <t>Föryngringsavverkning</t>
        </is>
      </c>
      <c r="D754" s="1" t="n">
        <v>46035</v>
      </c>
      <c r="E754" s="1" t="n">
        <v>46326</v>
      </c>
      <c r="F754" t="inlineStr">
        <is>
          <t>GÄVLEBORGS LÄN</t>
        </is>
      </c>
      <c r="G754" t="inlineStr">
        <is>
          <t>SANDVIKEN</t>
        </is>
      </c>
      <c r="I754" t="n">
        <v>2.6</v>
      </c>
      <c r="J754" t="n">
        <v>0</v>
      </c>
      <c r="K754" t="n">
        <v>1</v>
      </c>
      <c r="L754" t="n">
        <v>0</v>
      </c>
      <c r="M754" t="n">
        <v>0</v>
      </c>
      <c r="N754" t="n">
        <v>0</v>
      </c>
      <c r="O754" t="n">
        <v>0</v>
      </c>
      <c r="P754" t="n">
        <v>0</v>
      </c>
      <c r="Q754" t="n">
        <v>0</v>
      </c>
      <c r="R754" t="n">
        <v>0</v>
      </c>
      <c r="S754" t="n">
        <v>1</v>
      </c>
      <c r="T754" t="n">
        <v>1</v>
      </c>
      <c r="U754" t="n">
        <v>1</v>
      </c>
      <c r="V754" s="2" t="inlineStr">
        <is>
          <t>Grönpyrola</t>
        </is>
      </c>
      <c r="W754">
        <f>HYPERLINK("https://klasma.github.io/Logging_2181/artfynd/A 1988-2026 artfynd.xlsx", "A 1988-2026")</f>
        <v/>
      </c>
      <c r="X754">
        <f>HYPERLINK("https://klasma.github.io/Logging_2181/kartor/A 1988-2026 karta.png", "A 1988-2026")</f>
        <v/>
      </c>
      <c r="Y754">
        <f>HYPERLINK("https://klasma.github.io/Logging_2181/kartor_geotiff/A 1988-2026 georefererad karta.tif", "A 1988-2026")</f>
        <v/>
      </c>
      <c r="AA754">
        <f>HYPERLINK("https://klasma.github.io/Logging_2181/klagomål/A 1988-2026 FSC-klagomål.docx", "A 1988-2026")</f>
        <v/>
      </c>
      <c r="AB754">
        <f>HYPERLINK("https://klasma.github.io/Logging_2181/klagomålsmail/A 1988-2026 FSC-klagomål mail.docx", "A 1988-2026")</f>
        <v/>
      </c>
      <c r="AC754">
        <f>HYPERLINK("https://klasma.github.io/Logging_2181/tillsyn/A 1988-2026 tillsynsbegäran.docx", "A 1988-2026")</f>
        <v/>
      </c>
      <c r="AD754">
        <f>HYPERLINK("https://klasma.github.io/Logging_2181/tillsynsmail/A 1988-2026 tillsynsbegäran mail.docx", "A 1988-2026")</f>
        <v/>
      </c>
    </row>
    <row r="755" ht="15" customHeight="1">
      <c r="A755" t="inlineStr">
        <is>
          <t>A 28381-2025</t>
        </is>
      </c>
      <c r="B755" t="inlineStr">
        <is>
          <t>avverkningsanmälan</t>
        </is>
      </c>
      <c r="C755" t="inlineStr">
        <is>
          <t>Föryngringsavverkning</t>
        </is>
      </c>
      <c r="D755" s="1" t="n">
        <v>45819</v>
      </c>
      <c r="E755" s="1" t="n">
        <v>46326</v>
      </c>
      <c r="F755" t="inlineStr">
        <is>
          <t>GÄVLEBORGS LÄN</t>
        </is>
      </c>
      <c r="G755" t="inlineStr">
        <is>
          <t>HUDIKSVALL</t>
        </is>
      </c>
      <c r="H755" t="inlineStr">
        <is>
          <t>Holmen skog AB</t>
        </is>
      </c>
      <c r="I755" t="n">
        <v>8.699999999999999</v>
      </c>
      <c r="J755" t="n">
        <v>1</v>
      </c>
      <c r="K755" t="n">
        <v>0</v>
      </c>
      <c r="L755" t="n">
        <v>0</v>
      </c>
      <c r="M755" t="n">
        <v>0</v>
      </c>
      <c r="N755" t="n">
        <v>0</v>
      </c>
      <c r="O755" t="n">
        <v>0</v>
      </c>
      <c r="P755" t="n">
        <v>0</v>
      </c>
      <c r="Q755" t="n">
        <v>0</v>
      </c>
      <c r="R755" t="n">
        <v>0</v>
      </c>
      <c r="S755" t="n">
        <v>1</v>
      </c>
      <c r="T755" t="n">
        <v>1</v>
      </c>
      <c r="U755" t="n">
        <v>0</v>
      </c>
      <c r="V755" s="2" t="inlineStr">
        <is>
          <t>Revlummer</t>
        </is>
      </c>
      <c r="W755">
        <f>HYPERLINK("https://klasma.github.io/Logging_2184/artfynd/A 28381-2025 artfynd.xlsx", "A 28381-2025")</f>
        <v/>
      </c>
      <c r="X755">
        <f>HYPERLINK("https://klasma.github.io/Logging_2184/kartor/A 28381-2025 karta.png", "A 28381-2025")</f>
        <v/>
      </c>
      <c r="Y755">
        <f>HYPERLINK("https://klasma.github.io/Logging_2184/kartor_geotiff/A 28381-2025 georefererad karta.tif", "A 28381-2025")</f>
        <v/>
      </c>
      <c r="AA755">
        <f>HYPERLINK("https://klasma.github.io/Logging_2184/klagomål/A 28381-2025 FSC-klagomål.docx", "A 28381-2025")</f>
        <v/>
      </c>
      <c r="AB755">
        <f>HYPERLINK("https://klasma.github.io/Logging_2184/klagomålsmail/A 28381-2025 FSC-klagomål mail.docx", "A 28381-2025")</f>
        <v/>
      </c>
      <c r="AC755">
        <f>HYPERLINK("https://klasma.github.io/Logging_2184/tillsyn/A 28381-2025 tillsynsbegäran.docx", "A 28381-2025")</f>
        <v/>
      </c>
      <c r="AD755">
        <f>HYPERLINK("https://klasma.github.io/Logging_2184/tillsynsmail/A 28381-2025 tillsynsbegäran mail.docx", "A 28381-2025")</f>
        <v/>
      </c>
    </row>
    <row r="756" ht="15" customHeight="1">
      <c r="A756" t="inlineStr">
        <is>
          <t>A 28397-2024</t>
        </is>
      </c>
      <c r="B756" t="inlineStr">
        <is>
          <t>avverkningsanmälan</t>
        </is>
      </c>
      <c r="C756" t="inlineStr">
        <is>
          <t>Föryngringsavverkning</t>
        </is>
      </c>
      <c r="D756" s="1" t="n">
        <v>45477</v>
      </c>
      <c r="E756" s="1" t="n">
        <v>46326</v>
      </c>
      <c r="F756" t="inlineStr">
        <is>
          <t>GÄVLEBORGS LÄN</t>
        </is>
      </c>
      <c r="G756" t="inlineStr">
        <is>
          <t>HOFORS</t>
        </is>
      </c>
      <c r="H756" t="inlineStr">
        <is>
          <t>Sveaskog</t>
        </is>
      </c>
      <c r="I756" t="n">
        <v>5</v>
      </c>
      <c r="J756" t="n">
        <v>1</v>
      </c>
      <c r="K756" t="n">
        <v>0</v>
      </c>
      <c r="L756" t="n">
        <v>0</v>
      </c>
      <c r="M756" t="n">
        <v>0</v>
      </c>
      <c r="N756" t="n">
        <v>0</v>
      </c>
      <c r="O756" t="n">
        <v>0</v>
      </c>
      <c r="P756" t="n">
        <v>0</v>
      </c>
      <c r="Q756" t="n">
        <v>0</v>
      </c>
      <c r="R756" t="n">
        <v>0</v>
      </c>
      <c r="S756" t="n">
        <v>1</v>
      </c>
      <c r="T756" t="n">
        <v>1</v>
      </c>
      <c r="U756" t="n">
        <v>1</v>
      </c>
      <c r="V756" s="2" t="inlineStr">
        <is>
          <t>Fläcknycklar</t>
        </is>
      </c>
      <c r="W756">
        <f>HYPERLINK("https://klasma.github.io/Logging_2104/artfynd/A 28397-2024 artfynd.xlsx", "A 28397-2024")</f>
        <v/>
      </c>
      <c r="X756">
        <f>HYPERLINK("https://klasma.github.io/Logging_2104/kartor/A 28397-2024 karta.png", "A 28397-2024")</f>
        <v/>
      </c>
      <c r="Y756">
        <f>HYPERLINK("https://klasma.github.io/Logging_2104/kartor_geotiff/A 28397-2024 georefererad karta.tif", "A 28397-2024")</f>
        <v/>
      </c>
      <c r="AA756">
        <f>HYPERLINK("https://klasma.github.io/Logging_2104/klagomål/A 28397-2024 FSC-klagomål.docx", "A 28397-2024")</f>
        <v/>
      </c>
      <c r="AB756">
        <f>HYPERLINK("https://klasma.github.io/Logging_2104/klagomålsmail/A 28397-2024 FSC-klagomål mail.docx", "A 28397-2024")</f>
        <v/>
      </c>
      <c r="AC756">
        <f>HYPERLINK("https://klasma.github.io/Logging_2104/tillsyn/A 28397-2024 tillsynsbegäran.docx", "A 28397-2024")</f>
        <v/>
      </c>
      <c r="AD756">
        <f>HYPERLINK("https://klasma.github.io/Logging_2104/tillsynsmail/A 28397-2024 tillsynsbegäran mail.docx", "A 28397-2024")</f>
        <v/>
      </c>
    </row>
    <row r="757" ht="15" customHeight="1">
      <c r="A757" t="inlineStr">
        <is>
          <t>A 2482-2026</t>
        </is>
      </c>
      <c r="B757" t="inlineStr">
        <is>
          <t>avverkningsanmälan</t>
        </is>
      </c>
      <c r="C757" t="inlineStr">
        <is>
          <t>Föryngringsavverkning</t>
        </is>
      </c>
      <c r="D757" s="1" t="n">
        <v>46037</v>
      </c>
      <c r="E757" s="1" t="n">
        <v>46326</v>
      </c>
      <c r="F757" t="inlineStr">
        <is>
          <t>GÄVLEBORGS LÄN</t>
        </is>
      </c>
      <c r="G757" t="inlineStr">
        <is>
          <t>HUDIKSVALL</t>
        </is>
      </c>
      <c r="I757" t="n">
        <v>6</v>
      </c>
      <c r="J757" t="n">
        <v>0</v>
      </c>
      <c r="K757" t="n">
        <v>0</v>
      </c>
      <c r="L757" t="n">
        <v>1</v>
      </c>
      <c r="M757" t="n">
        <v>0</v>
      </c>
      <c r="N757" t="n">
        <v>0</v>
      </c>
      <c r="O757" t="n">
        <v>0</v>
      </c>
      <c r="P757" t="n">
        <v>0</v>
      </c>
      <c r="Q757" t="n">
        <v>1</v>
      </c>
      <c r="R757" t="n">
        <v>0</v>
      </c>
      <c r="S757" t="n">
        <v>1</v>
      </c>
      <c r="T757" t="n">
        <v>2</v>
      </c>
      <c r="U757" t="n">
        <v>0</v>
      </c>
      <c r="V757" s="2" t="inlineStr">
        <is>
          <t>Violettgrå tagellav</t>
        </is>
      </c>
      <c r="W757">
        <f>HYPERLINK("https://klasma.github.io/Logging_2184/artfynd/A 2482-2026 artfynd.xlsx", "A 2482-2026")</f>
        <v/>
      </c>
      <c r="X757">
        <f>HYPERLINK("https://klasma.github.io/Logging_2184/kartor/A 2482-2026 karta.png", "A 2482-2026")</f>
        <v/>
      </c>
      <c r="Y757">
        <f>HYPERLINK("https://klasma.github.io/Logging_2184/kartor_geotiff/A 2482-2026 georefererad karta.tif", "A 2482-2026")</f>
        <v/>
      </c>
      <c r="AA757">
        <f>HYPERLINK("https://klasma.github.io/Logging_2184/klagomål/A 2482-2026 FSC-klagomål.docx", "A 2482-2026")</f>
        <v/>
      </c>
      <c r="AB757">
        <f>HYPERLINK("https://klasma.github.io/Logging_2184/klagomålsmail/A 2482-2026 FSC-klagomål mail.docx", "A 2482-2026")</f>
        <v/>
      </c>
      <c r="AC757">
        <f>HYPERLINK("https://klasma.github.io/Logging_2184/tillsyn/A 2482-2026 tillsynsbegäran.docx", "A 2482-2026")</f>
        <v/>
      </c>
      <c r="AD757">
        <f>HYPERLINK("https://klasma.github.io/Logging_2184/tillsynsmail/A 2482-2026 tillsynsbegäran mail.docx", "A 2482-2026")</f>
        <v/>
      </c>
    </row>
    <row r="758" ht="15" customHeight="1">
      <c r="A758" t="inlineStr">
        <is>
          <t>A 41463-2025</t>
        </is>
      </c>
      <c r="B758" t="inlineStr">
        <is>
          <t>avverkningsanmälan</t>
        </is>
      </c>
      <c r="C758" t="inlineStr">
        <is>
          <t>Föryngringsavverkning</t>
        </is>
      </c>
      <c r="D758" s="1" t="n">
        <v>45901</v>
      </c>
      <c r="E758" s="1" t="n">
        <v>46326</v>
      </c>
      <c r="F758" t="inlineStr">
        <is>
          <t>GÄVLEBORGS LÄN</t>
        </is>
      </c>
      <c r="G758" t="inlineStr">
        <is>
          <t>LJUSDAL</t>
        </is>
      </c>
      <c r="H758" t="inlineStr">
        <is>
          <t>Bergvik skog väst AB</t>
        </is>
      </c>
      <c r="I758" t="n">
        <v>5.6</v>
      </c>
      <c r="J758" t="n">
        <v>0</v>
      </c>
      <c r="K758" t="n">
        <v>0</v>
      </c>
      <c r="L758" t="n">
        <v>0</v>
      </c>
      <c r="M758" t="n">
        <v>1</v>
      </c>
      <c r="N758" t="n">
        <v>0</v>
      </c>
      <c r="O758" t="n">
        <v>0</v>
      </c>
      <c r="P758" t="n">
        <v>0</v>
      </c>
      <c r="Q758" t="n">
        <v>1</v>
      </c>
      <c r="R758" t="n">
        <v>1</v>
      </c>
      <c r="S758" t="n">
        <v>1</v>
      </c>
      <c r="T758" t="n">
        <v>2</v>
      </c>
      <c r="U758" t="n">
        <v>2</v>
      </c>
      <c r="V758" s="2" t="inlineStr">
        <is>
          <t>Garnlav</t>
        </is>
      </c>
      <c r="W758">
        <f>HYPERLINK("https://klasma.github.io/Logging_2161/artfynd/A 41463-2025 artfynd.xlsx", "A 41463-2025")</f>
        <v/>
      </c>
      <c r="X758">
        <f>HYPERLINK("https://klasma.github.io/Logging_2161/kartor/A 41463-2025 karta.png", "A 41463-2025")</f>
        <v/>
      </c>
      <c r="Y758">
        <f>HYPERLINK("https://klasma.github.io/Logging_2161/kartor_geotiff/A 41463-2025 georefererad karta.tif", "A 41463-2025")</f>
        <v/>
      </c>
      <c r="AA758">
        <f>HYPERLINK("https://klasma.github.io/Logging_2161/klagomål/A 41463-2025 FSC-klagomål.docx", "A 41463-2025")</f>
        <v/>
      </c>
      <c r="AB758">
        <f>HYPERLINK("https://klasma.github.io/Logging_2161/klagomålsmail/A 41463-2025 FSC-klagomål mail.docx", "A 41463-2025")</f>
        <v/>
      </c>
      <c r="AC758">
        <f>HYPERLINK("https://klasma.github.io/Logging_2161/tillsyn/A 41463-2025 tillsynsbegäran.docx", "A 41463-2025")</f>
        <v/>
      </c>
      <c r="AD758">
        <f>HYPERLINK("https://klasma.github.io/Logging_2161/tillsynsmail/A 41463-2025 tillsynsbegäran mail.docx", "A 41463-2025")</f>
        <v/>
      </c>
    </row>
    <row r="759" ht="15" customHeight="1">
      <c r="A759" t="inlineStr">
        <is>
          <t>A 60763-2025</t>
        </is>
      </c>
      <c r="B759" t="inlineStr">
        <is>
          <t>avverkningsanmälan</t>
        </is>
      </c>
      <c r="C759" t="inlineStr">
        <is>
          <t>Föryngringsavverkning</t>
        </is>
      </c>
      <c r="D759" s="1" t="n">
        <v>45999</v>
      </c>
      <c r="E759" s="1" t="n">
        <v>46326</v>
      </c>
      <c r="F759" t="inlineStr">
        <is>
          <t>GÄVLEBORGS LÄN</t>
        </is>
      </c>
      <c r="G759" t="inlineStr">
        <is>
          <t>LJUSDAL</t>
        </is>
      </c>
      <c r="H759" t="inlineStr">
        <is>
          <t>SCA</t>
        </is>
      </c>
      <c r="I759" t="n">
        <v>7.5</v>
      </c>
      <c r="J759" t="n">
        <v>0</v>
      </c>
      <c r="K759" t="n">
        <v>0</v>
      </c>
      <c r="L759" t="n">
        <v>1</v>
      </c>
      <c r="M759" t="n">
        <v>0</v>
      </c>
      <c r="N759" t="n">
        <v>0</v>
      </c>
      <c r="O759" t="n">
        <v>0</v>
      </c>
      <c r="P759" t="n">
        <v>0</v>
      </c>
      <c r="Q759" t="n">
        <v>1</v>
      </c>
      <c r="R759" t="n">
        <v>0</v>
      </c>
      <c r="S759" t="n">
        <v>1</v>
      </c>
      <c r="T759" t="n">
        <v>1</v>
      </c>
      <c r="U759" t="n">
        <v>1</v>
      </c>
      <c r="V759" s="2" t="inlineStr">
        <is>
          <t>Tallticka</t>
        </is>
      </c>
      <c r="W759">
        <f>HYPERLINK("https://klasma.github.io/Logging_2161/artfynd/A 60763-2025 artfynd.xlsx", "A 60763-2025")</f>
        <v/>
      </c>
      <c r="X759">
        <f>HYPERLINK("https://klasma.github.io/Logging_2161/kartor/A 60763-2025 karta.png", "A 60763-2025")</f>
        <v/>
      </c>
      <c r="Y759">
        <f>HYPERLINK("https://klasma.github.io/Logging_2161/kartor_geotiff/A 60763-2025 georefererad karta.tif", "A 60763-2025")</f>
        <v/>
      </c>
      <c r="AA759">
        <f>HYPERLINK("https://klasma.github.io/Logging_2161/klagomål/A 60763-2025 FSC-klagomål.docx", "A 60763-2025")</f>
        <v/>
      </c>
      <c r="AB759">
        <f>HYPERLINK("https://klasma.github.io/Logging_2161/klagomålsmail/A 60763-2025 FSC-klagomål mail.docx", "A 60763-2025")</f>
        <v/>
      </c>
      <c r="AC759">
        <f>HYPERLINK("https://klasma.github.io/Logging_2161/tillsyn/A 60763-2025 tillsynsbegäran.docx", "A 60763-2025")</f>
        <v/>
      </c>
      <c r="AD759">
        <f>HYPERLINK("https://klasma.github.io/Logging_2161/tillsynsmail/A 60763-2025 tillsynsbegäran mail.docx", "A 60763-2025")</f>
        <v/>
      </c>
    </row>
    <row r="760" ht="15" customHeight="1">
      <c r="A760" t="inlineStr">
        <is>
          <t>A 30298-2025</t>
        </is>
      </c>
      <c r="B760" t="inlineStr">
        <is>
          <t>avverkningsanmälan</t>
        </is>
      </c>
      <c r="C760" t="inlineStr">
        <is>
          <t>Föryngringsavverkning</t>
        </is>
      </c>
      <c r="D760" s="1" t="n">
        <v>45827</v>
      </c>
      <c r="E760" s="1" t="n">
        <v>46326</v>
      </c>
      <c r="F760" t="inlineStr">
        <is>
          <t>GÄVLEBORGS LÄN</t>
        </is>
      </c>
      <c r="G760" t="inlineStr">
        <is>
          <t>LJUSDAL</t>
        </is>
      </c>
      <c r="H760" t="inlineStr">
        <is>
          <t>Sveaskog</t>
        </is>
      </c>
      <c r="I760" t="n">
        <v>8.800000000000001</v>
      </c>
      <c r="J760" t="n">
        <v>0</v>
      </c>
      <c r="K760" t="n">
        <v>0</v>
      </c>
      <c r="L760" t="n">
        <v>1</v>
      </c>
      <c r="M760" t="n">
        <v>0</v>
      </c>
      <c r="N760" t="n">
        <v>0</v>
      </c>
      <c r="O760" t="n">
        <v>0</v>
      </c>
      <c r="P760" t="n">
        <v>0</v>
      </c>
      <c r="Q760" t="n">
        <v>1</v>
      </c>
      <c r="R760" t="n">
        <v>0</v>
      </c>
      <c r="S760" t="n">
        <v>1</v>
      </c>
      <c r="T760" t="n">
        <v>1</v>
      </c>
      <c r="U760" t="n">
        <v>0</v>
      </c>
      <c r="V760" s="2" t="inlineStr">
        <is>
          <t>Kolflarnlav</t>
        </is>
      </c>
      <c r="W760">
        <f>HYPERLINK("https://klasma.github.io/Logging_2161/artfynd/A 30298-2025 artfynd.xlsx", "A 30298-2025")</f>
        <v/>
      </c>
      <c r="X760">
        <f>HYPERLINK("https://klasma.github.io/Logging_2161/kartor/A 30298-2025 karta.png", "A 30298-2025")</f>
        <v/>
      </c>
      <c r="Y760">
        <f>HYPERLINK("https://klasma.github.io/Logging_2161/kartor_geotiff/A 30298-2025 georefererad karta.tif", "A 30298-2025")</f>
        <v/>
      </c>
      <c r="AA760">
        <f>HYPERLINK("https://klasma.github.io/Logging_2161/klagomål/A 30298-2025 FSC-klagomål.docx", "A 30298-2025")</f>
        <v/>
      </c>
      <c r="AB760">
        <f>HYPERLINK("https://klasma.github.io/Logging_2161/klagomålsmail/A 30298-2025 FSC-klagomål mail.docx", "A 30298-2025")</f>
        <v/>
      </c>
      <c r="AC760">
        <f>HYPERLINK("https://klasma.github.io/Logging_2161/tillsyn/A 30298-2025 tillsynsbegäran.docx", "A 30298-2025")</f>
        <v/>
      </c>
      <c r="AD760">
        <f>HYPERLINK("https://klasma.github.io/Logging_2161/tillsynsmail/A 30298-2025 tillsynsbegäran mail.docx", "A 30298-2025")</f>
        <v/>
      </c>
    </row>
    <row r="761" ht="15" customHeight="1">
      <c r="A761" t="inlineStr">
        <is>
          <t>A 29834-2025</t>
        </is>
      </c>
      <c r="B761" t="inlineStr">
        <is>
          <t>avverkningsanmälan</t>
        </is>
      </c>
      <c r="C761" t="inlineStr">
        <is>
          <t>Föryngringsavverkning</t>
        </is>
      </c>
      <c r="D761" s="1" t="n">
        <v>45825</v>
      </c>
      <c r="E761" s="1" t="n">
        <v>46326</v>
      </c>
      <c r="F761" t="inlineStr">
        <is>
          <t>GÄVLEBORGS LÄN</t>
        </is>
      </c>
      <c r="G761" t="inlineStr">
        <is>
          <t>SÖDERHAMN</t>
        </is>
      </c>
      <c r="I761" t="n">
        <v>3.7</v>
      </c>
      <c r="J761" t="n">
        <v>0</v>
      </c>
      <c r="K761" t="n">
        <v>1</v>
      </c>
      <c r="L761" t="n">
        <v>0</v>
      </c>
      <c r="M761" t="n">
        <v>0</v>
      </c>
      <c r="N761" t="n">
        <v>0</v>
      </c>
      <c r="O761" t="n">
        <v>0</v>
      </c>
      <c r="P761" t="n">
        <v>0</v>
      </c>
      <c r="Q761" t="n">
        <v>0</v>
      </c>
      <c r="R761" t="n">
        <v>0</v>
      </c>
      <c r="S761" t="n">
        <v>1</v>
      </c>
      <c r="T761" t="n">
        <v>1</v>
      </c>
      <c r="U761" t="n">
        <v>0</v>
      </c>
      <c r="V761" s="2" t="inlineStr">
        <is>
          <t>Tibast</t>
        </is>
      </c>
      <c r="W761">
        <f>HYPERLINK("https://klasma.github.io/Logging_2182/artfynd/A 29834-2025 artfynd.xlsx", "A 29834-2025")</f>
        <v/>
      </c>
      <c r="X761">
        <f>HYPERLINK("https://klasma.github.io/Logging_2182/kartor/A 29834-2025 karta.png", "A 29834-2025")</f>
        <v/>
      </c>
      <c r="Y761">
        <f>HYPERLINK("https://klasma.github.io/Logging_2182/kartor_geotiff/A 29834-2025 georefererad karta.tif", "A 29834-2025")</f>
        <v/>
      </c>
      <c r="AA761">
        <f>HYPERLINK("https://klasma.github.io/Logging_2182/klagomål/A 29834-2025 FSC-klagomål.docx", "A 29834-2025")</f>
        <v/>
      </c>
      <c r="AB761">
        <f>HYPERLINK("https://klasma.github.io/Logging_2182/klagomålsmail/A 29834-2025 FSC-klagomål mail.docx", "A 29834-2025")</f>
        <v/>
      </c>
      <c r="AC761">
        <f>HYPERLINK("https://klasma.github.io/Logging_2182/tillsyn/A 29834-2025 tillsynsbegäran.docx", "A 29834-2025")</f>
        <v/>
      </c>
      <c r="AD761">
        <f>HYPERLINK("https://klasma.github.io/Logging_2182/tillsynsmail/A 29834-2025 tillsynsbegäran mail.docx", "A 29834-2025")</f>
        <v/>
      </c>
    </row>
    <row r="762" ht="15" customHeight="1">
      <c r="A762" t="inlineStr">
        <is>
          <t>A 30302-2025</t>
        </is>
      </c>
      <c r="B762" t="inlineStr">
        <is>
          <t>avverkningsanmälan</t>
        </is>
      </c>
      <c r="C762" t="inlineStr">
        <is>
          <t>Föryngringsavverkning</t>
        </is>
      </c>
      <c r="D762" s="1" t="n">
        <v>45827</v>
      </c>
      <c r="E762" s="1" t="n">
        <v>46326</v>
      </c>
      <c r="F762" t="inlineStr">
        <is>
          <t>GÄVLEBORGS LÄN</t>
        </is>
      </c>
      <c r="G762" t="inlineStr">
        <is>
          <t>GÄVLE</t>
        </is>
      </c>
      <c r="I762" t="n">
        <v>1.4</v>
      </c>
      <c r="J762" t="n">
        <v>1</v>
      </c>
      <c r="K762" t="n">
        <v>0</v>
      </c>
      <c r="L762" t="n">
        <v>0</v>
      </c>
      <c r="M762" t="n">
        <v>0</v>
      </c>
      <c r="N762" t="n">
        <v>0</v>
      </c>
      <c r="O762" t="n">
        <v>0</v>
      </c>
      <c r="P762" t="n">
        <v>0</v>
      </c>
      <c r="Q762" t="n">
        <v>0</v>
      </c>
      <c r="R762" t="n">
        <v>0</v>
      </c>
      <c r="S762" t="n">
        <v>1</v>
      </c>
      <c r="T762" t="n">
        <v>2</v>
      </c>
      <c r="U762" t="n">
        <v>0</v>
      </c>
      <c r="V762" s="2" t="inlineStr">
        <is>
          <t>Fläcknycklar</t>
        </is>
      </c>
      <c r="W762">
        <f>HYPERLINK("https://klasma.github.io/Logging_2180/artfynd/A 30302-2025 artfynd.xlsx", "A 30302-2025")</f>
        <v/>
      </c>
      <c r="X762">
        <f>HYPERLINK("https://klasma.github.io/Logging_2180/kartor/A 30302-2025 karta.png", "A 30302-2025")</f>
        <v/>
      </c>
      <c r="Y762">
        <f>HYPERLINK("https://klasma.github.io/Logging_2180/kartor_geotiff/A 30302-2025 georefererad karta.tif", "A 30302-2025")</f>
        <v/>
      </c>
      <c r="AA762">
        <f>HYPERLINK("https://klasma.github.io/Logging_2180/klagomål/A 30302-2025 FSC-klagomål.docx", "A 30302-2025")</f>
        <v/>
      </c>
      <c r="AB762">
        <f>HYPERLINK("https://klasma.github.io/Logging_2180/klagomålsmail/A 30302-2025 FSC-klagomål mail.docx", "A 30302-2025")</f>
        <v/>
      </c>
      <c r="AC762">
        <f>HYPERLINK("https://klasma.github.io/Logging_2180/tillsyn/A 30302-2025 tillsynsbegäran.docx", "A 30302-2025")</f>
        <v/>
      </c>
      <c r="AD762">
        <f>HYPERLINK("https://klasma.github.io/Logging_2180/tillsynsmail/A 30302-2025 tillsynsbegäran mail.docx", "A 30302-2025")</f>
        <v/>
      </c>
    </row>
    <row r="763" ht="15" customHeight="1">
      <c r="A763" t="inlineStr">
        <is>
          <t>A 30296-2025</t>
        </is>
      </c>
      <c r="B763" t="inlineStr">
        <is>
          <t>avverkningsanmälan</t>
        </is>
      </c>
      <c r="C763" t="inlineStr">
        <is>
          <t>Föryngringsavverkning</t>
        </is>
      </c>
      <c r="D763" s="1" t="n">
        <v>45827</v>
      </c>
      <c r="E763" s="1" t="n">
        <v>46326</v>
      </c>
      <c r="F763" t="inlineStr">
        <is>
          <t>GÄVLEBORGS LÄN</t>
        </is>
      </c>
      <c r="G763" t="inlineStr">
        <is>
          <t>LJUSDAL</t>
        </is>
      </c>
      <c r="H763" t="inlineStr">
        <is>
          <t>Sveaskog</t>
        </is>
      </c>
      <c r="I763" t="n">
        <v>5.5</v>
      </c>
      <c r="J763" t="n">
        <v>0</v>
      </c>
      <c r="K763" t="n">
        <v>0</v>
      </c>
      <c r="L763" t="n">
        <v>1</v>
      </c>
      <c r="M763" t="n">
        <v>0</v>
      </c>
      <c r="N763" t="n">
        <v>0</v>
      </c>
      <c r="O763" t="n">
        <v>0</v>
      </c>
      <c r="P763" t="n">
        <v>0</v>
      </c>
      <c r="Q763" t="n">
        <v>1</v>
      </c>
      <c r="R763" t="n">
        <v>0</v>
      </c>
      <c r="S763" t="n">
        <v>1</v>
      </c>
      <c r="T763" t="n">
        <v>1</v>
      </c>
      <c r="U763" t="n">
        <v>0</v>
      </c>
      <c r="V763" s="2" t="inlineStr">
        <is>
          <t>Kolflarnlav</t>
        </is>
      </c>
      <c r="W763">
        <f>HYPERLINK("https://klasma.github.io/Logging_2161/artfynd/A 30296-2025 artfynd.xlsx", "A 30296-2025")</f>
        <v/>
      </c>
      <c r="X763">
        <f>HYPERLINK("https://klasma.github.io/Logging_2161/kartor/A 30296-2025 karta.png", "A 30296-2025")</f>
        <v/>
      </c>
      <c r="Y763">
        <f>HYPERLINK("https://klasma.github.io/Logging_2161/kartor_geotiff/A 30296-2025 georefererad karta.tif", "A 30296-2025")</f>
        <v/>
      </c>
      <c r="AA763">
        <f>HYPERLINK("https://klasma.github.io/Logging_2161/klagomål/A 30296-2025 FSC-klagomål.docx", "A 30296-2025")</f>
        <v/>
      </c>
      <c r="AB763">
        <f>HYPERLINK("https://klasma.github.io/Logging_2161/klagomålsmail/A 30296-2025 FSC-klagomål mail.docx", "A 30296-2025")</f>
        <v/>
      </c>
      <c r="AC763">
        <f>HYPERLINK("https://klasma.github.io/Logging_2161/tillsyn/A 30296-2025 tillsynsbegäran.docx", "A 30296-2025")</f>
        <v/>
      </c>
      <c r="AD763">
        <f>HYPERLINK("https://klasma.github.io/Logging_2161/tillsynsmail/A 30296-2025 tillsynsbegäran mail.docx", "A 30296-2025")</f>
        <v/>
      </c>
    </row>
    <row r="764" ht="15" customHeight="1">
      <c r="A764" t="inlineStr">
        <is>
          <t>A 3140-2026</t>
        </is>
      </c>
      <c r="B764" t="inlineStr">
        <is>
          <t>avverkningsanmälan</t>
        </is>
      </c>
      <c r="C764" t="inlineStr">
        <is>
          <t>Föryngringsavverkning</t>
        </is>
      </c>
      <c r="D764" s="1" t="n">
        <v>46041</v>
      </c>
      <c r="E764" s="1" t="n">
        <v>46326</v>
      </c>
      <c r="F764" t="inlineStr">
        <is>
          <t>GÄVLEBORGS LÄN</t>
        </is>
      </c>
      <c r="G764" t="inlineStr">
        <is>
          <t>BOLLNÄS</t>
        </is>
      </c>
      <c r="I764" t="n">
        <v>4.5</v>
      </c>
      <c r="J764" t="n">
        <v>0</v>
      </c>
      <c r="K764" t="n">
        <v>0</v>
      </c>
      <c r="L764" t="n">
        <v>0</v>
      </c>
      <c r="M764" t="n">
        <v>0</v>
      </c>
      <c r="N764" t="n">
        <v>0</v>
      </c>
      <c r="O764" t="n">
        <v>1</v>
      </c>
      <c r="P764" t="n">
        <v>0</v>
      </c>
      <c r="Q764" t="n">
        <v>1</v>
      </c>
      <c r="R764" t="n">
        <v>1</v>
      </c>
      <c r="S764" t="n">
        <v>1</v>
      </c>
      <c r="T764" t="n">
        <v>1</v>
      </c>
      <c r="U764" t="n">
        <v>0</v>
      </c>
      <c r="V764" s="2" t="inlineStr">
        <is>
          <t>Flodkräfta</t>
        </is>
      </c>
      <c r="W764">
        <f>HYPERLINK("https://klasma.github.io/Logging_2183/artfynd/A 3140-2026 artfynd.xlsx", "A 3140-2026")</f>
        <v/>
      </c>
      <c r="X764">
        <f>HYPERLINK("https://klasma.github.io/Logging_2183/kartor/A 3140-2026 karta.png", "A 3140-2026")</f>
        <v/>
      </c>
      <c r="Y764">
        <f>HYPERLINK("https://klasma.github.io/Logging_2183/kartor_geotiff/A 3140-2026 georefererad karta.tif", "A 3140-2026")</f>
        <v/>
      </c>
      <c r="AA764">
        <f>HYPERLINK("https://klasma.github.io/Logging_2183/klagomål/A 3140-2026 FSC-klagomål.docx", "A 3140-2026")</f>
        <v/>
      </c>
      <c r="AB764">
        <f>HYPERLINK("https://klasma.github.io/Logging_2183/klagomålsmail/A 3140-2026 FSC-klagomål mail.docx", "A 3140-2026")</f>
        <v/>
      </c>
      <c r="AC764">
        <f>HYPERLINK("https://klasma.github.io/Logging_2183/tillsyn/A 3140-2026 tillsynsbegäran.docx", "A 3140-2026")</f>
        <v/>
      </c>
      <c r="AD764">
        <f>HYPERLINK("https://klasma.github.io/Logging_2183/tillsynsmail/A 3140-2026 tillsynsbegäran mail.docx", "A 3140-2026")</f>
        <v/>
      </c>
    </row>
    <row r="765" ht="15" customHeight="1">
      <c r="A765" t="inlineStr">
        <is>
          <t>A 63095-2025</t>
        </is>
      </c>
      <c r="B765" t="inlineStr">
        <is>
          <t>avverkningsanmälan</t>
        </is>
      </c>
      <c r="C765" t="inlineStr">
        <is>
          <t>Föryngringsavverkning</t>
        </is>
      </c>
      <c r="D765" s="1" t="n">
        <v>46009</v>
      </c>
      <c r="E765" s="1" t="n">
        <v>46326</v>
      </c>
      <c r="F765" t="inlineStr">
        <is>
          <t>GÄVLEBORGS LÄN</t>
        </is>
      </c>
      <c r="G765" t="inlineStr">
        <is>
          <t>LJUSDAL</t>
        </is>
      </c>
      <c r="H765" t="inlineStr">
        <is>
          <t>Kommuner</t>
        </is>
      </c>
      <c r="I765" t="n">
        <v>5.7</v>
      </c>
      <c r="J765" t="n">
        <v>1</v>
      </c>
      <c r="K765" t="n">
        <v>1</v>
      </c>
      <c r="L765" t="n">
        <v>0</v>
      </c>
      <c r="M765" t="n">
        <v>0</v>
      </c>
      <c r="N765" t="n">
        <v>0</v>
      </c>
      <c r="O765" t="n">
        <v>0</v>
      </c>
      <c r="P765" t="n">
        <v>0</v>
      </c>
      <c r="Q765" t="n">
        <v>0</v>
      </c>
      <c r="R765" t="n">
        <v>0</v>
      </c>
      <c r="S765" t="n">
        <v>1</v>
      </c>
      <c r="T765" t="n">
        <v>1</v>
      </c>
      <c r="U765" t="n">
        <v>1</v>
      </c>
      <c r="V765" s="2" t="inlineStr">
        <is>
          <t>Plattlummer</t>
        </is>
      </c>
      <c r="W765">
        <f>HYPERLINK("https://klasma.github.io/Logging_2161/artfynd/A 63095-2025 artfynd.xlsx", "A 63095-2025")</f>
        <v/>
      </c>
      <c r="X765">
        <f>HYPERLINK("https://klasma.github.io/Logging_2161/kartor/A 63095-2025 karta.png", "A 63095-2025")</f>
        <v/>
      </c>
      <c r="Y765">
        <f>HYPERLINK("https://klasma.github.io/Logging_2161/kartor_geotiff/A 63095-2025 georefererad karta.tif", "A 63095-2025")</f>
        <v/>
      </c>
      <c r="AA765">
        <f>HYPERLINK("https://klasma.github.io/Logging_2161/klagomål/A 63095-2025 FSC-klagomål.docx", "A 63095-2025")</f>
        <v/>
      </c>
      <c r="AB765">
        <f>HYPERLINK("https://klasma.github.io/Logging_2161/klagomålsmail/A 63095-2025 FSC-klagomål mail.docx", "A 63095-2025")</f>
        <v/>
      </c>
      <c r="AC765">
        <f>HYPERLINK("https://klasma.github.io/Logging_2161/tillsyn/A 63095-2025 tillsynsbegäran.docx", "A 63095-2025")</f>
        <v/>
      </c>
      <c r="AD765">
        <f>HYPERLINK("https://klasma.github.io/Logging_2161/tillsynsmail/A 63095-2025 tillsynsbegäran mail.docx", "A 63095-2025")</f>
        <v/>
      </c>
    </row>
    <row r="766" ht="15" customHeight="1">
      <c r="A766" t="inlineStr">
        <is>
          <t>A 41211-2025</t>
        </is>
      </c>
      <c r="B766" t="inlineStr">
        <is>
          <t>avverkningsanmälan</t>
        </is>
      </c>
      <c r="C766" t="inlineStr">
        <is>
          <t>Föryngringsavverkning</t>
        </is>
      </c>
      <c r="D766" s="1" t="n">
        <v>45898</v>
      </c>
      <c r="E766" s="1" t="n">
        <v>46326</v>
      </c>
      <c r="F766" t="inlineStr">
        <is>
          <t>GÄVLEBORGS LÄN</t>
        </is>
      </c>
      <c r="G766" t="inlineStr">
        <is>
          <t>LJUSDAL</t>
        </is>
      </c>
      <c r="H766" t="inlineStr">
        <is>
          <t>Sveaskog</t>
        </is>
      </c>
      <c r="I766" t="n">
        <v>4.9</v>
      </c>
      <c r="J766" t="n">
        <v>0</v>
      </c>
      <c r="K766" t="n">
        <v>0</v>
      </c>
      <c r="L766" t="n">
        <v>1</v>
      </c>
      <c r="M766" t="n">
        <v>0</v>
      </c>
      <c r="N766" t="n">
        <v>0</v>
      </c>
      <c r="O766" t="n">
        <v>0</v>
      </c>
      <c r="P766" t="n">
        <v>0</v>
      </c>
      <c r="Q766" t="n">
        <v>1</v>
      </c>
      <c r="R766" t="n">
        <v>0</v>
      </c>
      <c r="S766" t="n">
        <v>1</v>
      </c>
      <c r="T766" t="n">
        <v>1</v>
      </c>
      <c r="U766" t="n">
        <v>1</v>
      </c>
      <c r="V766" s="2" t="inlineStr">
        <is>
          <t>Lunglav</t>
        </is>
      </c>
      <c r="W766">
        <f>HYPERLINK("https://klasma.github.io/Logging_2161/artfynd/A 41211-2025 artfynd.xlsx", "A 41211-2025")</f>
        <v/>
      </c>
      <c r="X766">
        <f>HYPERLINK("https://klasma.github.io/Logging_2161/kartor/A 41211-2025 karta.png", "A 41211-2025")</f>
        <v/>
      </c>
      <c r="Y766">
        <f>HYPERLINK("https://klasma.github.io/Logging_2161/kartor_geotiff/A 41211-2025 georefererad karta.tif", "A 41211-2025")</f>
        <v/>
      </c>
      <c r="AA766">
        <f>HYPERLINK("https://klasma.github.io/Logging_2161/klagomål/A 41211-2025 FSC-klagomål.docx", "A 41211-2025")</f>
        <v/>
      </c>
      <c r="AB766">
        <f>HYPERLINK("https://klasma.github.io/Logging_2161/klagomålsmail/A 41211-2025 FSC-klagomål mail.docx", "A 41211-2025")</f>
        <v/>
      </c>
      <c r="AC766">
        <f>HYPERLINK("https://klasma.github.io/Logging_2161/tillsyn/A 41211-2025 tillsynsbegäran.docx", "A 41211-2025")</f>
        <v/>
      </c>
      <c r="AD766">
        <f>HYPERLINK("https://klasma.github.io/Logging_2161/tillsynsmail/A 41211-2025 tillsynsbegäran mail.docx", "A 41211-2025")</f>
        <v/>
      </c>
    </row>
    <row r="767" ht="15" customHeight="1">
      <c r="A767" t="inlineStr">
        <is>
          <t>A 41010-2025</t>
        </is>
      </c>
      <c r="B767" t="inlineStr">
        <is>
          <t>avverkningsanmälan</t>
        </is>
      </c>
      <c r="C767" t="inlineStr">
        <is>
          <t>Föryngringsavverkning</t>
        </is>
      </c>
      <c r="D767" s="1" t="n">
        <v>45898</v>
      </c>
      <c r="E767" s="1" t="n">
        <v>46326</v>
      </c>
      <c r="F767" t="inlineStr">
        <is>
          <t>GÄVLEBORGS LÄN</t>
        </is>
      </c>
      <c r="G767" t="inlineStr">
        <is>
          <t>LJUSDAL</t>
        </is>
      </c>
      <c r="H767" t="inlineStr">
        <is>
          <t>Sveaskog</t>
        </is>
      </c>
      <c r="I767" t="n">
        <v>10.1</v>
      </c>
      <c r="J767" t="n">
        <v>1</v>
      </c>
      <c r="K767" t="n">
        <v>0</v>
      </c>
      <c r="L767" t="n">
        <v>0</v>
      </c>
      <c r="M767" t="n">
        <v>1</v>
      </c>
      <c r="N767" t="n">
        <v>0</v>
      </c>
      <c r="O767" t="n">
        <v>0</v>
      </c>
      <c r="P767" t="n">
        <v>0</v>
      </c>
      <c r="Q767" t="n">
        <v>1</v>
      </c>
      <c r="R767" t="n">
        <v>1</v>
      </c>
      <c r="S767" t="n">
        <v>1</v>
      </c>
      <c r="T767" t="n">
        <v>1</v>
      </c>
      <c r="U767" t="n">
        <v>0</v>
      </c>
      <c r="V767" s="2" t="inlineStr">
        <is>
          <t>Knärot</t>
        </is>
      </c>
      <c r="W767">
        <f>HYPERLINK("https://klasma.github.io/Logging_2161/artfynd/A 41010-2025 artfynd.xlsx", "A 41010-2025")</f>
        <v/>
      </c>
      <c r="X767">
        <f>HYPERLINK("https://klasma.github.io/Logging_2161/kartor/A 41010-2025 karta.png", "A 41010-2025")</f>
        <v/>
      </c>
      <c r="Y767">
        <f>HYPERLINK("https://klasma.github.io/Logging_2161/kartor_geotiff/A 41010-2025 georefererad karta.tif", "A 41010-2025")</f>
        <v/>
      </c>
      <c r="Z767">
        <f>HYPERLINK("https://klasma.github.io/Logging_2161/knärot/A 41010-2025 karta knärot.png", "A 41010-2025")</f>
        <v/>
      </c>
      <c r="AA767">
        <f>HYPERLINK("https://klasma.github.io/Logging_2161/klagomål/A 41010-2025 FSC-klagomål.docx", "A 41010-2025")</f>
        <v/>
      </c>
      <c r="AB767">
        <f>HYPERLINK("https://klasma.github.io/Logging_2161/klagomålsmail/A 41010-2025 FSC-klagomål mail.docx", "A 41010-2025")</f>
        <v/>
      </c>
      <c r="AC767">
        <f>HYPERLINK("https://klasma.github.io/Logging_2161/tillsyn/A 41010-2025 tillsynsbegäran.docx", "A 41010-2025")</f>
        <v/>
      </c>
      <c r="AD767">
        <f>HYPERLINK("https://klasma.github.io/Logging_2161/tillsynsmail/A 41010-2025 tillsynsbegäran mail.docx", "A 41010-2025")</f>
        <v/>
      </c>
    </row>
    <row r="768" ht="15" customHeight="1">
      <c r="A768" t="inlineStr">
        <is>
          <t>A 2923-2026</t>
        </is>
      </c>
      <c r="B768" t="inlineStr">
        <is>
          <t>avverkningsanmälan</t>
        </is>
      </c>
      <c r="C768" t="inlineStr">
        <is>
          <t>Föryngringsavverkning</t>
        </is>
      </c>
      <c r="D768" s="1" t="n">
        <v>46038</v>
      </c>
      <c r="E768" s="1" t="n">
        <v>46326</v>
      </c>
      <c r="F768" t="inlineStr">
        <is>
          <t>GÄVLEBORGS LÄN</t>
        </is>
      </c>
      <c r="G768" t="inlineStr">
        <is>
          <t>OCKELBO</t>
        </is>
      </c>
      <c r="I768" t="n">
        <v>2.8</v>
      </c>
      <c r="J768" t="n">
        <v>1</v>
      </c>
      <c r="K768" t="n">
        <v>0</v>
      </c>
      <c r="L768" t="n">
        <v>0</v>
      </c>
      <c r="M768" t="n">
        <v>1</v>
      </c>
      <c r="N768" t="n">
        <v>0</v>
      </c>
      <c r="O768" t="n">
        <v>0</v>
      </c>
      <c r="P768" t="n">
        <v>0</v>
      </c>
      <c r="Q768" t="n">
        <v>1</v>
      </c>
      <c r="R768" t="n">
        <v>1</v>
      </c>
      <c r="S768" t="n">
        <v>1</v>
      </c>
      <c r="T768" t="n">
        <v>1</v>
      </c>
      <c r="U768" t="n">
        <v>0</v>
      </c>
      <c r="V768" s="2" t="inlineStr">
        <is>
          <t>Knärot</t>
        </is>
      </c>
      <c r="W768">
        <f>HYPERLINK("https://klasma.github.io/Logging_2101/artfynd/A 2923-2026 artfynd.xlsx", "A 2923-2026")</f>
        <v/>
      </c>
      <c r="X768">
        <f>HYPERLINK("https://klasma.github.io/Logging_2101/kartor/A 2923-2026 karta.png", "A 2923-2026")</f>
        <v/>
      </c>
      <c r="Y768">
        <f>HYPERLINK("https://klasma.github.io/Logging_2101/kartor_geotiff/A 2923-2026 georefererad karta.tif", "A 2923-2026")</f>
        <v/>
      </c>
      <c r="Z768">
        <f>HYPERLINK("https://klasma.github.io/Logging_2101/knärot/A 2923-2026 karta knärot.png", "A 2923-2026")</f>
        <v/>
      </c>
      <c r="AA768">
        <f>HYPERLINK("https://klasma.github.io/Logging_2101/klagomål/A 2923-2026 FSC-klagomål.docx", "A 2923-2026")</f>
        <v/>
      </c>
      <c r="AB768">
        <f>HYPERLINK("https://klasma.github.io/Logging_2101/klagomålsmail/A 2923-2026 FSC-klagomål mail.docx", "A 2923-2026")</f>
        <v/>
      </c>
      <c r="AC768">
        <f>HYPERLINK("https://klasma.github.io/Logging_2101/tillsyn/A 2923-2026 tillsynsbegäran.docx", "A 2923-2026")</f>
        <v/>
      </c>
      <c r="AD768">
        <f>HYPERLINK("https://klasma.github.io/Logging_2101/tillsynsmail/A 2923-2026 tillsynsbegäran mail.docx", "A 2923-2026")</f>
        <v/>
      </c>
    </row>
    <row r="769" ht="15" customHeight="1">
      <c r="A769" t="inlineStr">
        <is>
          <t>A 43682-2024</t>
        </is>
      </c>
      <c r="B769" t="inlineStr">
        <is>
          <t>avverkningsanmälan</t>
        </is>
      </c>
      <c r="C769" t="inlineStr">
        <is>
          <t>Föryngringsavverkning</t>
        </is>
      </c>
      <c r="D769" s="1" t="n">
        <v>45569</v>
      </c>
      <c r="E769" s="1" t="n">
        <v>46326</v>
      </c>
      <c r="F769" t="inlineStr">
        <is>
          <t>GÄVLEBORGS LÄN</t>
        </is>
      </c>
      <c r="G769" t="inlineStr">
        <is>
          <t>SÖDERHAMN</t>
        </is>
      </c>
      <c r="I769" t="n">
        <v>3.8</v>
      </c>
      <c r="J769" t="n">
        <v>0</v>
      </c>
      <c r="K769" t="n">
        <v>0</v>
      </c>
      <c r="L769" t="n">
        <v>0</v>
      </c>
      <c r="M769" t="n">
        <v>1</v>
      </c>
      <c r="N769" t="n">
        <v>0</v>
      </c>
      <c r="O769" t="n">
        <v>0</v>
      </c>
      <c r="P769" t="n">
        <v>0</v>
      </c>
      <c r="Q769" t="n">
        <v>1</v>
      </c>
      <c r="R769" t="n">
        <v>1</v>
      </c>
      <c r="S769" t="n">
        <v>1</v>
      </c>
      <c r="T769" t="n">
        <v>1</v>
      </c>
      <c r="U769" t="n">
        <v>1</v>
      </c>
      <c r="V769" s="2" t="inlineStr">
        <is>
          <t>Garnlav</t>
        </is>
      </c>
      <c r="W769">
        <f>HYPERLINK("https://klasma.github.io/Logging_2182/artfynd/A 43682-2024 artfynd.xlsx", "A 43682-2024")</f>
        <v/>
      </c>
      <c r="X769">
        <f>HYPERLINK("https://klasma.github.io/Logging_2182/kartor/A 43682-2024 karta.png", "A 43682-2024")</f>
        <v/>
      </c>
      <c r="Y769">
        <f>HYPERLINK("https://klasma.github.io/Logging_2182/kartor_geotiff/A 43682-2024 georefererad karta.tif", "A 43682-2024")</f>
        <v/>
      </c>
      <c r="AA769">
        <f>HYPERLINK("https://klasma.github.io/Logging_2182/klagomål/A 43682-2024 FSC-klagomål.docx", "A 43682-2024")</f>
        <v/>
      </c>
      <c r="AB769">
        <f>HYPERLINK("https://klasma.github.io/Logging_2182/klagomålsmail/A 43682-2024 FSC-klagomål mail.docx", "A 43682-2024")</f>
        <v/>
      </c>
      <c r="AC769">
        <f>HYPERLINK("https://klasma.github.io/Logging_2182/tillsyn/A 43682-2024 tillsynsbegäran.docx", "A 43682-2024")</f>
        <v/>
      </c>
      <c r="AD769">
        <f>HYPERLINK("https://klasma.github.io/Logging_2182/tillsynsmail/A 43682-2024 tillsynsbegäran mail.docx", "A 43682-2024")</f>
        <v/>
      </c>
    </row>
    <row r="770" ht="15" customHeight="1">
      <c r="A770" t="inlineStr">
        <is>
          <t>A 57441-2024</t>
        </is>
      </c>
      <c r="B770" t="inlineStr">
        <is>
          <t>avverkningsanmälan</t>
        </is>
      </c>
      <c r="C770" t="inlineStr">
        <is>
          <t>Föryngringsavverkning</t>
        </is>
      </c>
      <c r="D770" s="1" t="n">
        <v>45629</v>
      </c>
      <c r="E770" s="1" t="n">
        <v>46326</v>
      </c>
      <c r="F770" t="inlineStr">
        <is>
          <t>GÄVLEBORGS LÄN</t>
        </is>
      </c>
      <c r="G770" t="inlineStr">
        <is>
          <t>SÖDERHAMN</t>
        </is>
      </c>
      <c r="I770" t="n">
        <v>0.6</v>
      </c>
      <c r="J770" t="n">
        <v>0</v>
      </c>
      <c r="K770" t="n">
        <v>0</v>
      </c>
      <c r="L770" t="n">
        <v>1</v>
      </c>
      <c r="M770" t="n">
        <v>0</v>
      </c>
      <c r="N770" t="n">
        <v>0</v>
      </c>
      <c r="O770" t="n">
        <v>0</v>
      </c>
      <c r="P770" t="n">
        <v>0</v>
      </c>
      <c r="Q770" t="n">
        <v>1</v>
      </c>
      <c r="R770" t="n">
        <v>0</v>
      </c>
      <c r="S770" t="n">
        <v>1</v>
      </c>
      <c r="T770" t="n">
        <v>1</v>
      </c>
      <c r="U770" t="n">
        <v>1</v>
      </c>
      <c r="V770" s="2" t="inlineStr">
        <is>
          <t>Ullticka</t>
        </is>
      </c>
      <c r="W770">
        <f>HYPERLINK("https://klasma.github.io/Logging_2182/artfynd/A 57441-2024 artfynd.xlsx", "A 57441-2024")</f>
        <v/>
      </c>
      <c r="X770">
        <f>HYPERLINK("https://klasma.github.io/Logging_2182/kartor/A 57441-2024 karta.png", "A 57441-2024")</f>
        <v/>
      </c>
      <c r="Y770">
        <f>HYPERLINK("https://klasma.github.io/Logging_2182/kartor_geotiff/A 57441-2024 georefererad karta.tif", "A 57441-2024")</f>
        <v/>
      </c>
      <c r="AA770">
        <f>HYPERLINK("https://klasma.github.io/Logging_2182/klagomål/A 57441-2024 FSC-klagomål.docx", "A 57441-2024")</f>
        <v/>
      </c>
      <c r="AB770">
        <f>HYPERLINK("https://klasma.github.io/Logging_2182/klagomålsmail/A 57441-2024 FSC-klagomål mail.docx", "A 57441-2024")</f>
        <v/>
      </c>
      <c r="AC770">
        <f>HYPERLINK("https://klasma.github.io/Logging_2182/tillsyn/A 57441-2024 tillsynsbegäran.docx", "A 57441-2024")</f>
        <v/>
      </c>
      <c r="AD770">
        <f>HYPERLINK("https://klasma.github.io/Logging_2182/tillsynsmail/A 57441-2024 tillsynsbegäran mail.docx", "A 57441-2024")</f>
        <v/>
      </c>
    </row>
    <row r="771" ht="15" customHeight="1">
      <c r="A771" t="inlineStr">
        <is>
          <t>A 41457-2025</t>
        </is>
      </c>
      <c r="B771" t="inlineStr">
        <is>
          <t>avverkningsanmälan</t>
        </is>
      </c>
      <c r="C771" t="inlineStr">
        <is>
          <t>Föryngringsavverkning</t>
        </is>
      </c>
      <c r="D771" s="1" t="n">
        <v>45901</v>
      </c>
      <c r="E771" s="1" t="n">
        <v>46326</v>
      </c>
      <c r="F771" t="inlineStr">
        <is>
          <t>GÄVLEBORGS LÄN</t>
        </is>
      </c>
      <c r="G771" t="inlineStr">
        <is>
          <t>LJUSDAL</t>
        </is>
      </c>
      <c r="H771" t="inlineStr">
        <is>
          <t>Bergvik skog väst AB</t>
        </is>
      </c>
      <c r="I771" t="n">
        <v>3.2</v>
      </c>
      <c r="J771" t="n">
        <v>0</v>
      </c>
      <c r="K771" t="n">
        <v>0</v>
      </c>
      <c r="L771" t="n">
        <v>0</v>
      </c>
      <c r="M771" t="n">
        <v>1</v>
      </c>
      <c r="N771" t="n">
        <v>0</v>
      </c>
      <c r="O771" t="n">
        <v>0</v>
      </c>
      <c r="P771" t="n">
        <v>0</v>
      </c>
      <c r="Q771" t="n">
        <v>1</v>
      </c>
      <c r="R771" t="n">
        <v>1</v>
      </c>
      <c r="S771" t="n">
        <v>1</v>
      </c>
      <c r="T771" t="n">
        <v>4</v>
      </c>
      <c r="U771" t="n">
        <v>4</v>
      </c>
      <c r="V771" s="2" t="inlineStr">
        <is>
          <t>Garnlav</t>
        </is>
      </c>
      <c r="W771">
        <f>HYPERLINK("https://klasma.github.io/Logging_2161/artfynd/A 41457-2025 artfynd.xlsx", "A 41457-2025")</f>
        <v/>
      </c>
      <c r="X771">
        <f>HYPERLINK("https://klasma.github.io/Logging_2161/kartor/A 41457-2025 karta.png", "A 41457-2025")</f>
        <v/>
      </c>
      <c r="Y771">
        <f>HYPERLINK("https://klasma.github.io/Logging_2161/kartor_geotiff/A 41457-2025 georefererad karta.tif", "A 41457-2025")</f>
        <v/>
      </c>
      <c r="AA771">
        <f>HYPERLINK("https://klasma.github.io/Logging_2161/klagomål/A 41457-2025 FSC-klagomål.docx", "A 41457-2025")</f>
        <v/>
      </c>
      <c r="AB771">
        <f>HYPERLINK("https://klasma.github.io/Logging_2161/klagomålsmail/A 41457-2025 FSC-klagomål mail.docx", "A 41457-2025")</f>
        <v/>
      </c>
      <c r="AC771">
        <f>HYPERLINK("https://klasma.github.io/Logging_2161/tillsyn/A 41457-2025 tillsynsbegäran.docx", "A 41457-2025")</f>
        <v/>
      </c>
      <c r="AD771">
        <f>HYPERLINK("https://klasma.github.io/Logging_2161/tillsynsmail/A 41457-2025 tillsynsbegäran mail.docx", "A 41457-2025")</f>
        <v/>
      </c>
    </row>
    <row r="772" ht="15" customHeight="1">
      <c r="A772" t="inlineStr">
        <is>
          <t>A 3316-2023</t>
        </is>
      </c>
      <c r="B772" t="inlineStr">
        <is>
          <t>avverkningsanmälan</t>
        </is>
      </c>
      <c r="C772" t="inlineStr">
        <is>
          <t>Avverkning för annat ändamål</t>
        </is>
      </c>
      <c r="D772" s="1" t="n">
        <v>44949</v>
      </c>
      <c r="E772" s="1" t="n">
        <v>46326</v>
      </c>
      <c r="F772" t="inlineStr">
        <is>
          <t>GÄVLEBORGS LÄN</t>
        </is>
      </c>
      <c r="G772" t="inlineStr">
        <is>
          <t>SANDVIKEN</t>
        </is>
      </c>
      <c r="I772" t="n">
        <v>0.5</v>
      </c>
      <c r="J772" t="n">
        <v>1</v>
      </c>
      <c r="K772" t="n">
        <v>0</v>
      </c>
      <c r="L772" t="n">
        <v>0</v>
      </c>
      <c r="M772" t="n">
        <v>0</v>
      </c>
      <c r="N772" t="n">
        <v>0</v>
      </c>
      <c r="O772" t="n">
        <v>0</v>
      </c>
      <c r="P772" t="n">
        <v>0</v>
      </c>
      <c r="Q772" t="n">
        <v>0</v>
      </c>
      <c r="R772" t="n">
        <v>0</v>
      </c>
      <c r="S772" t="n">
        <v>1</v>
      </c>
      <c r="T772" t="n">
        <v>1</v>
      </c>
      <c r="U772" t="n">
        <v>1</v>
      </c>
      <c r="V772" s="2" t="inlineStr">
        <is>
          <t>Orre</t>
        </is>
      </c>
      <c r="W772">
        <f>HYPERLINK("https://klasma.github.io/Logging_2181/artfynd/A 3316-2023 artfynd.xlsx", "A 3316-2023")</f>
        <v/>
      </c>
      <c r="X772">
        <f>HYPERLINK("https://klasma.github.io/Logging_2181/kartor/A 3316-2023 karta.png", "A 3316-2023")</f>
        <v/>
      </c>
      <c r="Y772">
        <f>HYPERLINK("https://klasma.github.io/Logging_2181/kartor_geotiff/A 3316-2023 georefererad karta.tif", "A 3316-2023")</f>
        <v/>
      </c>
      <c r="AA772">
        <f>HYPERLINK("https://klasma.github.io/Logging_2181/klagomål/A 3316-2023 FSC-klagomål.docx", "A 3316-2023")</f>
        <v/>
      </c>
      <c r="AB772">
        <f>HYPERLINK("https://klasma.github.io/Logging_2181/klagomålsmail/A 3316-2023 FSC-klagomål mail.docx", "A 3316-2023")</f>
        <v/>
      </c>
      <c r="AC772">
        <f>HYPERLINK("https://klasma.github.io/Logging_2181/tillsyn/A 3316-2023 tillsynsbegäran.docx", "A 3316-2023")</f>
        <v/>
      </c>
      <c r="AD772">
        <f>HYPERLINK("https://klasma.github.io/Logging_2181/tillsynsmail/A 3316-2023 tillsynsbegäran mail.docx", "A 3316-2023")</f>
        <v/>
      </c>
      <c r="AE772">
        <f>HYPERLINK("https://klasma.github.io/Logging_2181/fåglar/A 3316-2023 prioriterade fågelarter.docx", "A 3316-2023")</f>
        <v/>
      </c>
    </row>
    <row r="773" ht="15" customHeight="1">
      <c r="A773" t="inlineStr">
        <is>
          <t>A 3628-2026</t>
        </is>
      </c>
      <c r="B773" t="inlineStr">
        <is>
          <t>avverkningsanmälan</t>
        </is>
      </c>
      <c r="C773" t="inlineStr">
        <is>
          <t>Föryngringsavverkning</t>
        </is>
      </c>
      <c r="D773" s="1" t="n">
        <v>46043</v>
      </c>
      <c r="E773" s="1" t="n">
        <v>46326</v>
      </c>
      <c r="F773" t="inlineStr">
        <is>
          <t>GÄVLEBORGS LÄN</t>
        </is>
      </c>
      <c r="G773" t="inlineStr">
        <is>
          <t>OVANÅKER</t>
        </is>
      </c>
      <c r="I773" t="n">
        <v>20.4</v>
      </c>
      <c r="J773" t="n">
        <v>1</v>
      </c>
      <c r="K773" t="n">
        <v>0</v>
      </c>
      <c r="L773" t="n">
        <v>0</v>
      </c>
      <c r="M773" t="n">
        <v>0</v>
      </c>
      <c r="N773" t="n">
        <v>0</v>
      </c>
      <c r="O773" t="n">
        <v>0</v>
      </c>
      <c r="P773" t="n">
        <v>0</v>
      </c>
      <c r="Q773" t="n">
        <v>0</v>
      </c>
      <c r="R773" t="n">
        <v>0</v>
      </c>
      <c r="S773" t="n">
        <v>1</v>
      </c>
      <c r="T773" t="n">
        <v>1</v>
      </c>
      <c r="U773" t="n">
        <v>0</v>
      </c>
      <c r="V773" s="2" t="inlineStr">
        <is>
          <t>Blåsippa</t>
        </is>
      </c>
      <c r="W773">
        <f>HYPERLINK("https://klasma.github.io/Logging_2121/artfynd/A 3628-2026 artfynd.xlsx", "A 3628-2026")</f>
        <v/>
      </c>
      <c r="X773">
        <f>HYPERLINK("https://klasma.github.io/Logging_2121/kartor/A 3628-2026 karta.png", "A 3628-2026")</f>
        <v/>
      </c>
      <c r="Y773">
        <f>HYPERLINK("https://klasma.github.io/Logging_2121/kartor_geotiff/A 3628-2026 georefererad karta.tif", "A 3628-2026")</f>
        <v/>
      </c>
      <c r="AA773">
        <f>HYPERLINK("https://klasma.github.io/Logging_2121/klagomål/A 3628-2026 FSC-klagomål.docx", "A 3628-2026")</f>
        <v/>
      </c>
      <c r="AB773">
        <f>HYPERLINK("https://klasma.github.io/Logging_2121/klagomålsmail/A 3628-2026 FSC-klagomål mail.docx", "A 3628-2026")</f>
        <v/>
      </c>
      <c r="AC773">
        <f>HYPERLINK("https://klasma.github.io/Logging_2121/tillsyn/A 3628-2026 tillsynsbegäran.docx", "A 3628-2026")</f>
        <v/>
      </c>
      <c r="AD773">
        <f>HYPERLINK("https://klasma.github.io/Logging_2121/tillsynsmail/A 3628-2026 tillsynsbegäran mail.docx", "A 3628-2026")</f>
        <v/>
      </c>
    </row>
    <row r="774" ht="15" customHeight="1">
      <c r="A774" t="inlineStr">
        <is>
          <t>A 23777-2025</t>
        </is>
      </c>
      <c r="B774" t="inlineStr">
        <is>
          <t>avverkningsanmälan</t>
        </is>
      </c>
      <c r="C774" t="inlineStr">
        <is>
          <t>Föryngringsavverkning</t>
        </is>
      </c>
      <c r="D774" s="1" t="n">
        <v>45793</v>
      </c>
      <c r="E774" s="1" t="n">
        <v>46326</v>
      </c>
      <c r="F774" t="inlineStr">
        <is>
          <t>GÄVLEBORGS LÄN</t>
        </is>
      </c>
      <c r="G774" t="inlineStr">
        <is>
          <t>LJUSDAL</t>
        </is>
      </c>
      <c r="H774" t="inlineStr">
        <is>
          <t>Sveaskog</t>
        </is>
      </c>
      <c r="I774" t="n">
        <v>6.7</v>
      </c>
      <c r="J774" t="n">
        <v>1</v>
      </c>
      <c r="K774" t="n">
        <v>0</v>
      </c>
      <c r="L774" t="n">
        <v>0</v>
      </c>
      <c r="M774" t="n">
        <v>1</v>
      </c>
      <c r="N774" t="n">
        <v>0</v>
      </c>
      <c r="O774" t="n">
        <v>0</v>
      </c>
      <c r="P774" t="n">
        <v>0</v>
      </c>
      <c r="Q774" t="n">
        <v>1</v>
      </c>
      <c r="R774" t="n">
        <v>1</v>
      </c>
      <c r="S774" t="n">
        <v>1</v>
      </c>
      <c r="T774" t="n">
        <v>3</v>
      </c>
      <c r="U774" t="n">
        <v>3</v>
      </c>
      <c r="V774" s="2" t="inlineStr">
        <is>
          <t>Knärot</t>
        </is>
      </c>
      <c r="W774">
        <f>HYPERLINK("https://klasma.github.io/Logging_2161/artfynd/A 23777-2025 artfynd.xlsx", "A 23777-2025")</f>
        <v/>
      </c>
      <c r="X774">
        <f>HYPERLINK("https://klasma.github.io/Logging_2161/kartor/A 23777-2025 karta.png", "A 23777-2025")</f>
        <v/>
      </c>
      <c r="Y774">
        <f>HYPERLINK("https://klasma.github.io/Logging_2161/kartor_geotiff/A 23777-2025 georefererad karta.tif", "A 23777-2025")</f>
        <v/>
      </c>
      <c r="Z774">
        <f>HYPERLINK("https://klasma.github.io/Logging_2161/knärot/A 23777-2025 karta knärot.png", "A 23777-2025")</f>
        <v/>
      </c>
      <c r="AA774">
        <f>HYPERLINK("https://klasma.github.io/Logging_2161/klagomål/A 23777-2025 FSC-klagomål.docx", "A 23777-2025")</f>
        <v/>
      </c>
      <c r="AB774">
        <f>HYPERLINK("https://klasma.github.io/Logging_2161/klagomålsmail/A 23777-2025 FSC-klagomål mail.docx", "A 23777-2025")</f>
        <v/>
      </c>
      <c r="AC774">
        <f>HYPERLINK("https://klasma.github.io/Logging_2161/tillsyn/A 23777-2025 tillsynsbegäran.docx", "A 23777-2025")</f>
        <v/>
      </c>
      <c r="AD774">
        <f>HYPERLINK("https://klasma.github.io/Logging_2161/tillsynsmail/A 23777-2025 tillsynsbegäran mail.docx", "A 23777-2025")</f>
        <v/>
      </c>
    </row>
    <row r="775" ht="15" customHeight="1">
      <c r="A775" t="inlineStr">
        <is>
          <t>A 42018-2025</t>
        </is>
      </c>
      <c r="B775" t="inlineStr">
        <is>
          <t>avverkningsanmälan</t>
        </is>
      </c>
      <c r="C775" t="inlineStr">
        <is>
          <t>Föryngringsavverkning</t>
        </is>
      </c>
      <c r="D775" s="1" t="n">
        <v>45903</v>
      </c>
      <c r="E775" s="1" t="n">
        <v>46326</v>
      </c>
      <c r="F775" t="inlineStr">
        <is>
          <t>GÄVLEBORGS LÄN</t>
        </is>
      </c>
      <c r="G775" t="inlineStr">
        <is>
          <t>LJUSDAL</t>
        </is>
      </c>
      <c r="H775" t="inlineStr">
        <is>
          <t>Bergvik skog väst AB</t>
        </is>
      </c>
      <c r="I775" t="n">
        <v>0.7</v>
      </c>
      <c r="J775" t="n">
        <v>0</v>
      </c>
      <c r="K775" t="n">
        <v>0</v>
      </c>
      <c r="L775" t="n">
        <v>1</v>
      </c>
      <c r="M775" t="n">
        <v>0</v>
      </c>
      <c r="N775" t="n">
        <v>0</v>
      </c>
      <c r="O775" t="n">
        <v>0</v>
      </c>
      <c r="P775" t="n">
        <v>0</v>
      </c>
      <c r="Q775" t="n">
        <v>1</v>
      </c>
      <c r="R775" t="n">
        <v>0</v>
      </c>
      <c r="S775" t="n">
        <v>1</v>
      </c>
      <c r="T775" t="n">
        <v>1</v>
      </c>
      <c r="U775" t="n">
        <v>0</v>
      </c>
      <c r="V775" s="2" t="inlineStr">
        <is>
          <t>Skogshare</t>
        </is>
      </c>
      <c r="W775">
        <f>HYPERLINK("https://klasma.github.io/Logging_2161/artfynd/A 42018-2025 artfynd.xlsx", "A 42018-2025")</f>
        <v/>
      </c>
      <c r="X775">
        <f>HYPERLINK("https://klasma.github.io/Logging_2161/kartor/A 42018-2025 karta.png", "A 42018-2025")</f>
        <v/>
      </c>
      <c r="Y775">
        <f>HYPERLINK("https://klasma.github.io/Logging_2161/kartor_geotiff/A 42018-2025 georefererad karta.tif", "A 42018-2025")</f>
        <v/>
      </c>
      <c r="AA775">
        <f>HYPERLINK("https://klasma.github.io/Logging_2161/klagomål/A 42018-2025 FSC-klagomål.docx", "A 42018-2025")</f>
        <v/>
      </c>
      <c r="AB775">
        <f>HYPERLINK("https://klasma.github.io/Logging_2161/klagomålsmail/A 42018-2025 FSC-klagomål mail.docx", "A 42018-2025")</f>
        <v/>
      </c>
      <c r="AC775">
        <f>HYPERLINK("https://klasma.github.io/Logging_2161/tillsyn/A 42018-2025 tillsynsbegäran.docx", "A 42018-2025")</f>
        <v/>
      </c>
      <c r="AD775">
        <f>HYPERLINK("https://klasma.github.io/Logging_2161/tillsynsmail/A 42018-2025 tillsynsbegäran mail.docx", "A 42018-2025")</f>
        <v/>
      </c>
    </row>
    <row r="776" ht="15" customHeight="1">
      <c r="A776" t="inlineStr">
        <is>
          <t>A 32499-2023</t>
        </is>
      </c>
      <c r="B776" t="inlineStr">
        <is>
          <t>avverkningsanmälan</t>
        </is>
      </c>
      <c r="C776" t="inlineStr">
        <is>
          <t>Föryngringsavverkning</t>
        </is>
      </c>
      <c r="D776" s="1" t="n">
        <v>45121</v>
      </c>
      <c r="E776" s="1" t="n">
        <v>46326</v>
      </c>
      <c r="F776" t="inlineStr">
        <is>
          <t>GÄVLEBORGS LÄN</t>
        </is>
      </c>
      <c r="G776" t="inlineStr">
        <is>
          <t>LJUSDAL</t>
        </is>
      </c>
      <c r="H776" t="inlineStr">
        <is>
          <t>Sveaskog</t>
        </is>
      </c>
      <c r="I776" t="n">
        <v>2.6</v>
      </c>
      <c r="J776" t="n">
        <v>1</v>
      </c>
      <c r="K776" t="n">
        <v>0</v>
      </c>
      <c r="L776" t="n">
        <v>0</v>
      </c>
      <c r="M776" t="n">
        <v>1</v>
      </c>
      <c r="N776" t="n">
        <v>0</v>
      </c>
      <c r="O776" t="n">
        <v>0</v>
      </c>
      <c r="P776" t="n">
        <v>0</v>
      </c>
      <c r="Q776" t="n">
        <v>1</v>
      </c>
      <c r="R776" t="n">
        <v>1</v>
      </c>
      <c r="S776" t="n">
        <v>1</v>
      </c>
      <c r="T776" t="n">
        <v>1</v>
      </c>
      <c r="U776" t="n">
        <v>1</v>
      </c>
      <c r="V776" s="2" t="inlineStr">
        <is>
          <t>Knärot</t>
        </is>
      </c>
      <c r="W776">
        <f>HYPERLINK("https://klasma.github.io/Logging_2161/artfynd/A 32499-2023 artfynd.xlsx", "A 32499-2023")</f>
        <v/>
      </c>
      <c r="X776">
        <f>HYPERLINK("https://klasma.github.io/Logging_2161/kartor/A 32499-2023 karta.png", "A 32499-2023")</f>
        <v/>
      </c>
      <c r="Y776">
        <f>HYPERLINK("https://klasma.github.io/Logging_2161/kartor_geotiff/A 32499-2023 georefererad karta.tif", "A 32499-2023")</f>
        <v/>
      </c>
      <c r="Z776">
        <f>HYPERLINK("https://klasma.github.io/Logging_2161/knärot/A 32499-2023 karta knärot.png", "A 32499-2023")</f>
        <v/>
      </c>
      <c r="AA776">
        <f>HYPERLINK("https://klasma.github.io/Logging_2161/klagomål/A 32499-2023 FSC-klagomål.docx", "A 32499-2023")</f>
        <v/>
      </c>
      <c r="AB776">
        <f>HYPERLINK("https://klasma.github.io/Logging_2161/klagomålsmail/A 32499-2023 FSC-klagomål mail.docx", "A 32499-2023")</f>
        <v/>
      </c>
      <c r="AC776">
        <f>HYPERLINK("https://klasma.github.io/Logging_2161/tillsyn/A 32499-2023 tillsynsbegäran.docx", "A 32499-2023")</f>
        <v/>
      </c>
      <c r="AD776">
        <f>HYPERLINK("https://klasma.github.io/Logging_2161/tillsynsmail/A 32499-2023 tillsynsbegäran mail.docx", "A 32499-2023")</f>
        <v/>
      </c>
    </row>
    <row r="777" ht="15" customHeight="1">
      <c r="A777" t="inlineStr">
        <is>
          <t>A 44856-2024</t>
        </is>
      </c>
      <c r="B777" t="inlineStr">
        <is>
          <t>avverkningsanmälan</t>
        </is>
      </c>
      <c r="C777" t="inlineStr">
        <is>
          <t>Föryngringsavverkning</t>
        </is>
      </c>
      <c r="D777" s="1" t="n">
        <v>45575</v>
      </c>
      <c r="E777" s="1" t="n">
        <v>46326</v>
      </c>
      <c r="F777" t="inlineStr">
        <is>
          <t>GÄVLEBORGS LÄN</t>
        </is>
      </c>
      <c r="G777" t="inlineStr">
        <is>
          <t>LJUSDAL</t>
        </is>
      </c>
      <c r="I777" t="n">
        <v>2.3</v>
      </c>
      <c r="J777" t="n">
        <v>0</v>
      </c>
      <c r="K777" t="n">
        <v>1</v>
      </c>
      <c r="L777" t="n">
        <v>0</v>
      </c>
      <c r="M777" t="n">
        <v>0</v>
      </c>
      <c r="N777" t="n">
        <v>0</v>
      </c>
      <c r="O777" t="n">
        <v>0</v>
      </c>
      <c r="P777" t="n">
        <v>0</v>
      </c>
      <c r="Q777" t="n">
        <v>0</v>
      </c>
      <c r="R777" t="n">
        <v>0</v>
      </c>
      <c r="S777" t="n">
        <v>1</v>
      </c>
      <c r="T777" t="n">
        <v>1</v>
      </c>
      <c r="U777" t="n">
        <v>0</v>
      </c>
      <c r="V777" s="2" t="inlineStr">
        <is>
          <t>Nästlav</t>
        </is>
      </c>
      <c r="W777">
        <f>HYPERLINK("https://klasma.github.io/Logging_2161/artfynd/A 44856-2024 artfynd.xlsx", "A 44856-2024")</f>
        <v/>
      </c>
      <c r="X777">
        <f>HYPERLINK("https://klasma.github.io/Logging_2161/kartor/A 44856-2024 karta.png", "A 44856-2024")</f>
        <v/>
      </c>
      <c r="Y777">
        <f>HYPERLINK("https://klasma.github.io/Logging_2161/kartor_geotiff/A 44856-2024 georefererad karta.tif", "A 44856-2024")</f>
        <v/>
      </c>
      <c r="AA777">
        <f>HYPERLINK("https://klasma.github.io/Logging_2161/klagomål/A 44856-2024 FSC-klagomål.docx", "A 44856-2024")</f>
        <v/>
      </c>
      <c r="AB777">
        <f>HYPERLINK("https://klasma.github.io/Logging_2161/klagomålsmail/A 44856-2024 FSC-klagomål mail.docx", "A 44856-2024")</f>
        <v/>
      </c>
      <c r="AC777">
        <f>HYPERLINK("https://klasma.github.io/Logging_2161/tillsyn/A 44856-2024 tillsynsbegäran.docx", "A 44856-2024")</f>
        <v/>
      </c>
      <c r="AD777">
        <f>HYPERLINK("https://klasma.github.io/Logging_2161/tillsynsmail/A 44856-2024 tillsynsbegäran mail.docx", "A 44856-2024")</f>
        <v/>
      </c>
    </row>
    <row r="778" ht="15" customHeight="1">
      <c r="A778" t="inlineStr">
        <is>
          <t>A 23354-2024</t>
        </is>
      </c>
      <c r="B778" t="inlineStr">
        <is>
          <t>avverkningsanmälan</t>
        </is>
      </c>
      <c r="C778" t="inlineStr">
        <is>
          <t>Föryngringsavverkning</t>
        </is>
      </c>
      <c r="D778" s="1" t="n">
        <v>45453</v>
      </c>
      <c r="E778" s="1" t="n">
        <v>46326</v>
      </c>
      <c r="F778" t="inlineStr">
        <is>
          <t>GÄVLEBORGS LÄN</t>
        </is>
      </c>
      <c r="G778" t="inlineStr">
        <is>
          <t>HOFORS</t>
        </is>
      </c>
      <c r="H778" t="inlineStr">
        <is>
          <t>Sveaskog</t>
        </is>
      </c>
      <c r="I778" t="n">
        <v>2</v>
      </c>
      <c r="J778" t="n">
        <v>1</v>
      </c>
      <c r="K778" t="n">
        <v>0</v>
      </c>
      <c r="L778" t="n">
        <v>0</v>
      </c>
      <c r="M778" t="n">
        <v>0</v>
      </c>
      <c r="N778" t="n">
        <v>0</v>
      </c>
      <c r="O778" t="n">
        <v>0</v>
      </c>
      <c r="P778" t="n">
        <v>0</v>
      </c>
      <c r="Q778" t="n">
        <v>0</v>
      </c>
      <c r="R778" t="n">
        <v>0</v>
      </c>
      <c r="S778" t="n">
        <v>1</v>
      </c>
      <c r="T778" t="n">
        <v>1</v>
      </c>
      <c r="U778" t="n">
        <v>1</v>
      </c>
      <c r="V778" s="2" t="inlineStr">
        <is>
          <t>Fläcknycklar</t>
        </is>
      </c>
      <c r="W778">
        <f>HYPERLINK("https://klasma.github.io/Logging_2104/artfynd/A 23354-2024 artfynd.xlsx", "A 23354-2024")</f>
        <v/>
      </c>
      <c r="X778">
        <f>HYPERLINK("https://klasma.github.io/Logging_2104/kartor/A 23354-2024 karta.png", "A 23354-2024")</f>
        <v/>
      </c>
      <c r="Y778">
        <f>HYPERLINK("https://klasma.github.io/Logging_2104/kartor_geotiff/A 23354-2024 georefererad karta.tif", "A 23354-2024")</f>
        <v/>
      </c>
      <c r="AA778">
        <f>HYPERLINK("https://klasma.github.io/Logging_2104/klagomål/A 23354-2024 FSC-klagomål.docx", "A 23354-2024")</f>
        <v/>
      </c>
      <c r="AB778">
        <f>HYPERLINK("https://klasma.github.io/Logging_2104/klagomålsmail/A 23354-2024 FSC-klagomål mail.docx", "A 23354-2024")</f>
        <v/>
      </c>
      <c r="AC778">
        <f>HYPERLINK("https://klasma.github.io/Logging_2104/tillsyn/A 23354-2024 tillsynsbegäran.docx", "A 23354-2024")</f>
        <v/>
      </c>
      <c r="AD778">
        <f>HYPERLINK("https://klasma.github.io/Logging_2104/tillsynsmail/A 23354-2024 tillsynsbegäran mail.docx", "A 23354-2024")</f>
        <v/>
      </c>
    </row>
    <row r="779" ht="15" customHeight="1">
      <c r="A779" t="inlineStr">
        <is>
          <t>A 3587-2025</t>
        </is>
      </c>
      <c r="B779" t="inlineStr">
        <is>
          <t>avverkningsanmälan</t>
        </is>
      </c>
      <c r="C779" t="inlineStr">
        <is>
          <t>Föryngringsavverkning</t>
        </is>
      </c>
      <c r="D779" s="1" t="n">
        <v>45680</v>
      </c>
      <c r="E779" s="1" t="n">
        <v>46326</v>
      </c>
      <c r="F779" t="inlineStr">
        <is>
          <t>GÄVLEBORGS LÄN</t>
        </is>
      </c>
      <c r="G779" t="inlineStr">
        <is>
          <t>OVANÅKER</t>
        </is>
      </c>
      <c r="I779" t="n">
        <v>11.4</v>
      </c>
      <c r="J779" t="n">
        <v>1</v>
      </c>
      <c r="K779" t="n">
        <v>0</v>
      </c>
      <c r="L779" t="n">
        <v>0</v>
      </c>
      <c r="M779" t="n">
        <v>0</v>
      </c>
      <c r="N779" t="n">
        <v>0</v>
      </c>
      <c r="O779" t="n">
        <v>0</v>
      </c>
      <c r="P779" t="n">
        <v>0</v>
      </c>
      <c r="Q779" t="n">
        <v>0</v>
      </c>
      <c r="R779" t="n">
        <v>0</v>
      </c>
      <c r="S779" t="n">
        <v>1</v>
      </c>
      <c r="T779" t="n">
        <v>1</v>
      </c>
      <c r="U779" t="n">
        <v>1</v>
      </c>
      <c r="V779" s="2" t="inlineStr">
        <is>
          <t>Järpe</t>
        </is>
      </c>
      <c r="W779">
        <f>HYPERLINK("https://klasma.github.io/Logging_2121/artfynd/A 3587-2025 artfynd.xlsx", "A 3587-2025")</f>
        <v/>
      </c>
      <c r="X779">
        <f>HYPERLINK("https://klasma.github.io/Logging_2121/kartor/A 3587-2025 karta.png", "A 3587-2025")</f>
        <v/>
      </c>
      <c r="Y779">
        <f>HYPERLINK("https://klasma.github.io/Logging_2121/kartor_geotiff/A 3587-2025 georefererad karta.tif", "A 3587-2025")</f>
        <v/>
      </c>
      <c r="AA779">
        <f>HYPERLINK("https://klasma.github.io/Logging_2121/klagomål/A 3587-2025 FSC-klagomål.docx", "A 3587-2025")</f>
        <v/>
      </c>
      <c r="AB779">
        <f>HYPERLINK("https://klasma.github.io/Logging_2121/klagomålsmail/A 3587-2025 FSC-klagomål mail.docx", "A 3587-2025")</f>
        <v/>
      </c>
      <c r="AC779">
        <f>HYPERLINK("https://klasma.github.io/Logging_2121/tillsyn/A 3587-2025 tillsynsbegäran.docx", "A 3587-2025")</f>
        <v/>
      </c>
      <c r="AD779">
        <f>HYPERLINK("https://klasma.github.io/Logging_2121/tillsynsmail/A 3587-2025 tillsynsbegäran mail.docx", "A 3587-2025")</f>
        <v/>
      </c>
      <c r="AE779">
        <f>HYPERLINK("https://klasma.github.io/Logging_2121/fåglar/A 3587-2025 prioriterade fågelarter.docx", "A 3587-2025")</f>
        <v/>
      </c>
    </row>
    <row r="780" ht="15" customHeight="1">
      <c r="A780" t="inlineStr">
        <is>
          <t>A 29712-2023</t>
        </is>
      </c>
      <c r="B780" t="inlineStr">
        <is>
          <t>avverkningsanmälan</t>
        </is>
      </c>
      <c r="C780" t="inlineStr">
        <is>
          <t>Föryngringsavverkning</t>
        </is>
      </c>
      <c r="D780" s="1" t="n">
        <v>45107</v>
      </c>
      <c r="E780" s="1" t="n">
        <v>46326</v>
      </c>
      <c r="F780" t="inlineStr">
        <is>
          <t>GÄVLEBORGS LÄN</t>
        </is>
      </c>
      <c r="G780" t="inlineStr">
        <is>
          <t>BOLLNÄS</t>
        </is>
      </c>
      <c r="H780" t="inlineStr">
        <is>
          <t>Sveaskog</t>
        </is>
      </c>
      <c r="I780" t="n">
        <v>1.9</v>
      </c>
      <c r="J780" t="n">
        <v>1</v>
      </c>
      <c r="K780" t="n">
        <v>0</v>
      </c>
      <c r="L780" t="n">
        <v>1</v>
      </c>
      <c r="M780" t="n">
        <v>0</v>
      </c>
      <c r="N780" t="n">
        <v>0</v>
      </c>
      <c r="O780" t="n">
        <v>0</v>
      </c>
      <c r="P780" t="n">
        <v>0</v>
      </c>
      <c r="Q780" t="n">
        <v>1</v>
      </c>
      <c r="R780" t="n">
        <v>0</v>
      </c>
      <c r="S780" t="n">
        <v>1</v>
      </c>
      <c r="T780" t="n">
        <v>1</v>
      </c>
      <c r="U780" t="n">
        <v>0</v>
      </c>
      <c r="V780" s="2" t="inlineStr">
        <is>
          <t>Nordfladdermus</t>
        </is>
      </c>
      <c r="W780">
        <f>HYPERLINK("https://klasma.github.io/Logging_2183/artfynd/A 29712-2023 artfynd.xlsx", "A 29712-2023")</f>
        <v/>
      </c>
      <c r="X780">
        <f>HYPERLINK("https://klasma.github.io/Logging_2183/kartor/A 29712-2023 karta.png", "A 29712-2023")</f>
        <v/>
      </c>
      <c r="Y780">
        <f>HYPERLINK("https://klasma.github.io/Logging_2183/kartor_geotiff/A 29712-2023 georefererad karta.tif", "A 29712-2023")</f>
        <v/>
      </c>
      <c r="AA780">
        <f>HYPERLINK("https://klasma.github.io/Logging_2183/klagomål/A 29712-2023 FSC-klagomål.docx", "A 29712-2023")</f>
        <v/>
      </c>
      <c r="AB780">
        <f>HYPERLINK("https://klasma.github.io/Logging_2183/klagomålsmail/A 29712-2023 FSC-klagomål mail.docx", "A 29712-2023")</f>
        <v/>
      </c>
      <c r="AC780">
        <f>HYPERLINK("https://klasma.github.io/Logging_2183/tillsyn/A 29712-2023 tillsynsbegäran.docx", "A 29712-2023")</f>
        <v/>
      </c>
      <c r="AD780">
        <f>HYPERLINK("https://klasma.github.io/Logging_2183/tillsynsmail/A 29712-2023 tillsynsbegäran mail.docx", "A 29712-2023")</f>
        <v/>
      </c>
    </row>
    <row r="781" ht="15" customHeight="1">
      <c r="A781" t="inlineStr">
        <is>
          <t>A 31828-2025</t>
        </is>
      </c>
      <c r="B781" t="inlineStr">
        <is>
          <t>avverkningsanmälan</t>
        </is>
      </c>
      <c r="C781" t="inlineStr">
        <is>
          <t>Föryngringsavverkning</t>
        </is>
      </c>
      <c r="D781" s="1" t="n">
        <v>45834</v>
      </c>
      <c r="E781" s="1" t="n">
        <v>46326</v>
      </c>
      <c r="F781" t="inlineStr">
        <is>
          <t>GÄVLEBORGS LÄN</t>
        </is>
      </c>
      <c r="G781" t="inlineStr">
        <is>
          <t>LJUSDAL</t>
        </is>
      </c>
      <c r="H781" t="inlineStr">
        <is>
          <t>Sveaskog</t>
        </is>
      </c>
      <c r="I781" t="n">
        <v>4</v>
      </c>
      <c r="J781" t="n">
        <v>0</v>
      </c>
      <c r="K781" t="n">
        <v>0</v>
      </c>
      <c r="L781" t="n">
        <v>1</v>
      </c>
      <c r="M781" t="n">
        <v>0</v>
      </c>
      <c r="N781" t="n">
        <v>0</v>
      </c>
      <c r="O781" t="n">
        <v>0</v>
      </c>
      <c r="P781" t="n">
        <v>0</v>
      </c>
      <c r="Q781" t="n">
        <v>1</v>
      </c>
      <c r="R781" t="n">
        <v>0</v>
      </c>
      <c r="S781" t="n">
        <v>1</v>
      </c>
      <c r="T781" t="n">
        <v>1</v>
      </c>
      <c r="U781" t="n">
        <v>0</v>
      </c>
      <c r="V781" s="2" t="inlineStr">
        <is>
          <t>Blå taggsvamp</t>
        </is>
      </c>
      <c r="W781">
        <f>HYPERLINK("https://klasma.github.io/Logging_2161/artfynd/A 31828-2025 artfynd.xlsx", "A 31828-2025")</f>
        <v/>
      </c>
      <c r="X781">
        <f>HYPERLINK("https://klasma.github.io/Logging_2161/kartor/A 31828-2025 karta.png", "A 31828-2025")</f>
        <v/>
      </c>
      <c r="Y781">
        <f>HYPERLINK("https://klasma.github.io/Logging_2161/kartor_geotiff/A 31828-2025 georefererad karta.tif", "A 31828-2025")</f>
        <v/>
      </c>
      <c r="AA781">
        <f>HYPERLINK("https://klasma.github.io/Logging_2161/klagomål/A 31828-2025 FSC-klagomål.docx", "A 31828-2025")</f>
        <v/>
      </c>
      <c r="AB781">
        <f>HYPERLINK("https://klasma.github.io/Logging_2161/klagomålsmail/A 31828-2025 FSC-klagomål mail.docx", "A 31828-2025")</f>
        <v/>
      </c>
      <c r="AC781">
        <f>HYPERLINK("https://klasma.github.io/Logging_2161/tillsyn/A 31828-2025 tillsynsbegäran.docx", "A 31828-2025")</f>
        <v/>
      </c>
      <c r="AD781">
        <f>HYPERLINK("https://klasma.github.io/Logging_2161/tillsynsmail/A 31828-2025 tillsynsbegäran mail.docx", "A 31828-2025")</f>
        <v/>
      </c>
    </row>
    <row r="782" ht="15" customHeight="1">
      <c r="A782" t="inlineStr">
        <is>
          <t>A 31845-2025</t>
        </is>
      </c>
      <c r="B782" t="inlineStr">
        <is>
          <t>avverkningsanmälan</t>
        </is>
      </c>
      <c r="C782" t="inlineStr">
        <is>
          <t>Föryngringsavverkning</t>
        </is>
      </c>
      <c r="D782" s="1" t="n">
        <v>45834</v>
      </c>
      <c r="E782" s="1" t="n">
        <v>46326</v>
      </c>
      <c r="F782" t="inlineStr">
        <is>
          <t>GÄVLEBORGS LÄN</t>
        </is>
      </c>
      <c r="G782" t="inlineStr">
        <is>
          <t>NORDANSTIG</t>
        </is>
      </c>
      <c r="H782" t="inlineStr">
        <is>
          <t>Holmen skog AB</t>
        </is>
      </c>
      <c r="I782" t="n">
        <v>14</v>
      </c>
      <c r="J782" t="n">
        <v>0</v>
      </c>
      <c r="K782" t="n">
        <v>1</v>
      </c>
      <c r="L782" t="n">
        <v>0</v>
      </c>
      <c r="M782" t="n">
        <v>0</v>
      </c>
      <c r="N782" t="n">
        <v>0</v>
      </c>
      <c r="O782" t="n">
        <v>0</v>
      </c>
      <c r="P782" t="n">
        <v>0</v>
      </c>
      <c r="Q782" t="n">
        <v>0</v>
      </c>
      <c r="R782" t="n">
        <v>0</v>
      </c>
      <c r="S782" t="n">
        <v>1</v>
      </c>
      <c r="T782" t="n">
        <v>1</v>
      </c>
      <c r="U782" t="n">
        <v>1</v>
      </c>
      <c r="V782" s="2" t="inlineStr">
        <is>
          <t>Skinnlav</t>
        </is>
      </c>
      <c r="W782">
        <f>HYPERLINK("https://klasma.github.io/Logging_2132/artfynd/A 31845-2025 artfynd.xlsx", "A 31845-2025")</f>
        <v/>
      </c>
      <c r="X782">
        <f>HYPERLINK("https://klasma.github.io/Logging_2132/kartor/A 31845-2025 karta.png", "A 31845-2025")</f>
        <v/>
      </c>
      <c r="Y782">
        <f>HYPERLINK("https://klasma.github.io/Logging_2132/kartor_geotiff/A 31845-2025 georefererad karta.tif", "A 31845-2025")</f>
        <v/>
      </c>
      <c r="AA782">
        <f>HYPERLINK("https://klasma.github.io/Logging_2132/klagomål/A 31845-2025 FSC-klagomål.docx", "A 31845-2025")</f>
        <v/>
      </c>
      <c r="AB782">
        <f>HYPERLINK("https://klasma.github.io/Logging_2132/klagomålsmail/A 31845-2025 FSC-klagomål mail.docx", "A 31845-2025")</f>
        <v/>
      </c>
      <c r="AC782">
        <f>HYPERLINK("https://klasma.github.io/Logging_2132/tillsyn/A 31845-2025 tillsynsbegäran.docx", "A 31845-2025")</f>
        <v/>
      </c>
      <c r="AD782">
        <f>HYPERLINK("https://klasma.github.io/Logging_2132/tillsynsmail/A 31845-2025 tillsynsbegäran mail.docx", "A 31845-2025")</f>
        <v/>
      </c>
    </row>
    <row r="783" ht="15" customHeight="1">
      <c r="A783" t="inlineStr">
        <is>
          <t>A 36170-2023</t>
        </is>
      </c>
      <c r="B783" t="inlineStr">
        <is>
          <t>avverkningsanmälan</t>
        </is>
      </c>
      <c r="C783" t="inlineStr">
        <is>
          <t>Föryngringsavverkning</t>
        </is>
      </c>
      <c r="D783" s="1" t="n">
        <v>45149</v>
      </c>
      <c r="E783" s="1" t="n">
        <v>46326</v>
      </c>
      <c r="F783" t="inlineStr">
        <is>
          <t>GÄVLEBORGS LÄN</t>
        </is>
      </c>
      <c r="G783" t="inlineStr">
        <is>
          <t>LJUSDAL</t>
        </is>
      </c>
      <c r="H783" t="inlineStr">
        <is>
          <t>Sveaskog</t>
        </is>
      </c>
      <c r="I783" t="n">
        <v>9.4</v>
      </c>
      <c r="J783" t="n">
        <v>0</v>
      </c>
      <c r="K783" t="n">
        <v>0</v>
      </c>
      <c r="L783" t="n">
        <v>1</v>
      </c>
      <c r="M783" t="n">
        <v>0</v>
      </c>
      <c r="N783" t="n">
        <v>0</v>
      </c>
      <c r="O783" t="n">
        <v>0</v>
      </c>
      <c r="P783" t="n">
        <v>0</v>
      </c>
      <c r="Q783" t="n">
        <v>1</v>
      </c>
      <c r="R783" t="n">
        <v>0</v>
      </c>
      <c r="S783" t="n">
        <v>1</v>
      </c>
      <c r="T783" t="n">
        <v>1</v>
      </c>
      <c r="U783" t="n">
        <v>1</v>
      </c>
      <c r="V783" s="2" t="inlineStr">
        <is>
          <t>Vedflamlav</t>
        </is>
      </c>
      <c r="W783">
        <f>HYPERLINK("https://klasma.github.io/Logging_2161/artfynd/A 36170-2023 artfynd.xlsx", "A 36170-2023")</f>
        <v/>
      </c>
      <c r="X783">
        <f>HYPERLINK("https://klasma.github.io/Logging_2161/kartor/A 36170-2023 karta.png", "A 36170-2023")</f>
        <v/>
      </c>
      <c r="Y783">
        <f>HYPERLINK("https://klasma.github.io/Logging_2161/kartor_geotiff/A 36170-2023 georefererad karta.tif", "A 36170-2023")</f>
        <v/>
      </c>
      <c r="AA783">
        <f>HYPERLINK("https://klasma.github.io/Logging_2161/klagomål/A 36170-2023 FSC-klagomål.docx", "A 36170-2023")</f>
        <v/>
      </c>
      <c r="AB783">
        <f>HYPERLINK("https://klasma.github.io/Logging_2161/klagomålsmail/A 36170-2023 FSC-klagomål mail.docx", "A 36170-2023")</f>
        <v/>
      </c>
      <c r="AC783">
        <f>HYPERLINK("https://klasma.github.io/Logging_2161/tillsyn/A 36170-2023 tillsynsbegäran.docx", "A 36170-2023")</f>
        <v/>
      </c>
      <c r="AD783">
        <f>HYPERLINK("https://klasma.github.io/Logging_2161/tillsynsmail/A 36170-2023 tillsynsbegäran mail.docx", "A 36170-2023")</f>
        <v/>
      </c>
    </row>
    <row r="784" ht="15" customHeight="1">
      <c r="A784" t="inlineStr">
        <is>
          <t>A 2584-2025</t>
        </is>
      </c>
      <c r="B784" t="inlineStr">
        <is>
          <t>avverkningsanmälan</t>
        </is>
      </c>
      <c r="C784" t="inlineStr">
        <is>
          <t>Föryngringsavverkning</t>
        </is>
      </c>
      <c r="D784" s="1" t="n">
        <v>45674</v>
      </c>
      <c r="E784" s="1" t="n">
        <v>46326</v>
      </c>
      <c r="F784" t="inlineStr">
        <is>
          <t>GÄVLEBORGS LÄN</t>
        </is>
      </c>
      <c r="G784" t="inlineStr">
        <is>
          <t>LJUSDAL</t>
        </is>
      </c>
      <c r="H784" t="inlineStr">
        <is>
          <t>Sveaskog</t>
        </is>
      </c>
      <c r="I784" t="n">
        <v>4.1</v>
      </c>
      <c r="J784" t="n">
        <v>0</v>
      </c>
      <c r="K784" t="n">
        <v>0</v>
      </c>
      <c r="L784" t="n">
        <v>0</v>
      </c>
      <c r="M784" t="n">
        <v>0</v>
      </c>
      <c r="N784" t="n">
        <v>0</v>
      </c>
      <c r="O784" t="n">
        <v>1</v>
      </c>
      <c r="P784" t="n">
        <v>0</v>
      </c>
      <c r="Q784" t="n">
        <v>1</v>
      </c>
      <c r="R784" t="n">
        <v>1</v>
      </c>
      <c r="S784" t="n">
        <v>1</v>
      </c>
      <c r="T784" t="n">
        <v>1</v>
      </c>
      <c r="U784" t="n">
        <v>1</v>
      </c>
      <c r="V784" s="2" t="inlineStr">
        <is>
          <t>Flodkräfta</t>
        </is>
      </c>
      <c r="W784">
        <f>HYPERLINK("https://klasma.github.io/Logging_2161/artfynd/A 2584-2025 artfynd.xlsx", "A 2584-2025")</f>
        <v/>
      </c>
      <c r="X784">
        <f>HYPERLINK("https://klasma.github.io/Logging_2161/kartor/A 2584-2025 karta.png", "A 2584-2025")</f>
        <v/>
      </c>
      <c r="Y784">
        <f>HYPERLINK("https://klasma.github.io/Logging_2161/kartor_geotiff/A 2584-2025 georefererad karta.tif", "A 2584-2025")</f>
        <v/>
      </c>
      <c r="AA784">
        <f>HYPERLINK("https://klasma.github.io/Logging_2161/klagomål/A 2584-2025 FSC-klagomål.docx", "A 2584-2025")</f>
        <v/>
      </c>
      <c r="AB784">
        <f>HYPERLINK("https://klasma.github.io/Logging_2161/klagomålsmail/A 2584-2025 FSC-klagomål mail.docx", "A 2584-2025")</f>
        <v/>
      </c>
      <c r="AC784">
        <f>HYPERLINK("https://klasma.github.io/Logging_2161/tillsyn/A 2584-2025 tillsynsbegäran.docx", "A 2584-2025")</f>
        <v/>
      </c>
      <c r="AD784">
        <f>HYPERLINK("https://klasma.github.io/Logging_2161/tillsynsmail/A 2584-2025 tillsynsbegäran mail.docx", "A 2584-2025")</f>
        <v/>
      </c>
    </row>
    <row r="785" ht="15" customHeight="1">
      <c r="A785" t="inlineStr">
        <is>
          <t>A 38495-2025</t>
        </is>
      </c>
      <c r="B785" t="inlineStr">
        <is>
          <t>avverkningsanmälan</t>
        </is>
      </c>
      <c r="C785" t="inlineStr">
        <is>
          <t>Föryngringsavverkning</t>
        </is>
      </c>
      <c r="D785" s="1" t="n">
        <v>45884</v>
      </c>
      <c r="E785" s="1" t="n">
        <v>46326</v>
      </c>
      <c r="F785" t="inlineStr">
        <is>
          <t>GÄVLEBORGS LÄN</t>
        </is>
      </c>
      <c r="G785" t="inlineStr">
        <is>
          <t>LJUSDAL</t>
        </is>
      </c>
      <c r="H785" t="inlineStr">
        <is>
          <t>Sveaskog</t>
        </is>
      </c>
      <c r="I785" t="n">
        <v>3.3</v>
      </c>
      <c r="J785" t="n">
        <v>0</v>
      </c>
      <c r="K785" t="n">
        <v>0</v>
      </c>
      <c r="L785" t="n">
        <v>1</v>
      </c>
      <c r="M785" t="n">
        <v>0</v>
      </c>
      <c r="N785" t="n">
        <v>0</v>
      </c>
      <c r="O785" t="n">
        <v>0</v>
      </c>
      <c r="P785" t="n">
        <v>0</v>
      </c>
      <c r="Q785" t="n">
        <v>1</v>
      </c>
      <c r="R785" t="n">
        <v>0</v>
      </c>
      <c r="S785" t="n">
        <v>1</v>
      </c>
      <c r="T785" t="n">
        <v>1</v>
      </c>
      <c r="U785" t="n">
        <v>1</v>
      </c>
      <c r="V785" s="2" t="inlineStr">
        <is>
          <t>Kolflarnlav</t>
        </is>
      </c>
      <c r="W785">
        <f>HYPERLINK("https://klasma.github.io/Logging_2161/artfynd/A 38495-2025 artfynd.xlsx", "A 38495-2025")</f>
        <v/>
      </c>
      <c r="X785">
        <f>HYPERLINK("https://klasma.github.io/Logging_2161/kartor/A 38495-2025 karta.png", "A 38495-2025")</f>
        <v/>
      </c>
      <c r="Y785">
        <f>HYPERLINK("https://klasma.github.io/Logging_2161/kartor_geotiff/A 38495-2025 georefererad karta.tif", "A 38495-2025")</f>
        <v/>
      </c>
      <c r="AA785">
        <f>HYPERLINK("https://klasma.github.io/Logging_2161/klagomål/A 38495-2025 FSC-klagomål.docx", "A 38495-2025")</f>
        <v/>
      </c>
      <c r="AB785">
        <f>HYPERLINK("https://klasma.github.io/Logging_2161/klagomålsmail/A 38495-2025 FSC-klagomål mail.docx", "A 38495-2025")</f>
        <v/>
      </c>
      <c r="AC785">
        <f>HYPERLINK("https://klasma.github.io/Logging_2161/tillsyn/A 38495-2025 tillsynsbegäran.docx", "A 38495-2025")</f>
        <v/>
      </c>
      <c r="AD785">
        <f>HYPERLINK("https://klasma.github.io/Logging_2161/tillsynsmail/A 38495-2025 tillsynsbegäran mail.docx", "A 38495-2025")</f>
        <v/>
      </c>
    </row>
    <row r="786" ht="15" customHeight="1">
      <c r="A786" t="inlineStr">
        <is>
          <t>A 32411-2025</t>
        </is>
      </c>
      <c r="B786" t="inlineStr">
        <is>
          <t>avverkningsanmälan</t>
        </is>
      </c>
      <c r="C786" t="inlineStr">
        <is>
          <t>Föryngringsavverkning</t>
        </is>
      </c>
      <c r="D786" s="1" t="n">
        <v>45838</v>
      </c>
      <c r="E786" s="1" t="n">
        <v>46326</v>
      </c>
      <c r="F786" t="inlineStr">
        <is>
          <t>GÄVLEBORGS LÄN</t>
        </is>
      </c>
      <c r="G786" t="inlineStr">
        <is>
          <t>BOLLNÄS</t>
        </is>
      </c>
      <c r="H786" t="inlineStr">
        <is>
          <t>Bergvik skog väst AB</t>
        </is>
      </c>
      <c r="I786" t="n">
        <v>2.9</v>
      </c>
      <c r="J786" t="n">
        <v>0</v>
      </c>
      <c r="K786" t="n">
        <v>0</v>
      </c>
      <c r="L786" t="n">
        <v>1</v>
      </c>
      <c r="M786" t="n">
        <v>0</v>
      </c>
      <c r="N786" t="n">
        <v>0</v>
      </c>
      <c r="O786" t="n">
        <v>0</v>
      </c>
      <c r="P786" t="n">
        <v>0</v>
      </c>
      <c r="Q786" t="n">
        <v>1</v>
      </c>
      <c r="R786" t="n">
        <v>0</v>
      </c>
      <c r="S786" t="n">
        <v>1</v>
      </c>
      <c r="T786" t="n">
        <v>1</v>
      </c>
      <c r="U786" t="n">
        <v>0</v>
      </c>
      <c r="V786" s="2" t="inlineStr">
        <is>
          <t>Älg</t>
        </is>
      </c>
      <c r="W786">
        <f>HYPERLINK("https://klasma.github.io/Logging_2183/artfynd/A 32411-2025 artfynd.xlsx", "A 32411-2025")</f>
        <v/>
      </c>
      <c r="X786">
        <f>HYPERLINK("https://klasma.github.io/Logging_2183/kartor/A 32411-2025 karta.png", "A 32411-2025")</f>
        <v/>
      </c>
      <c r="Y786">
        <f>HYPERLINK("https://klasma.github.io/Logging_2183/kartor_geotiff/A 32411-2025 georefererad karta.tif", "A 32411-2025")</f>
        <v/>
      </c>
      <c r="AA786">
        <f>HYPERLINK("https://klasma.github.io/Logging_2183/klagomål/A 32411-2025 FSC-klagomål.docx", "A 32411-2025")</f>
        <v/>
      </c>
      <c r="AB786">
        <f>HYPERLINK("https://klasma.github.io/Logging_2183/klagomålsmail/A 32411-2025 FSC-klagomål mail.docx", "A 32411-2025")</f>
        <v/>
      </c>
      <c r="AC786">
        <f>HYPERLINK("https://klasma.github.io/Logging_2183/tillsyn/A 32411-2025 tillsynsbegäran.docx", "A 32411-2025")</f>
        <v/>
      </c>
      <c r="AD786">
        <f>HYPERLINK("https://klasma.github.io/Logging_2183/tillsynsmail/A 32411-2025 tillsynsbegäran mail.docx", "A 32411-2025")</f>
        <v/>
      </c>
    </row>
    <row r="787" ht="15" customHeight="1">
      <c r="A787" t="inlineStr">
        <is>
          <t>A 32815-2025</t>
        </is>
      </c>
      <c r="B787" t="inlineStr">
        <is>
          <t>avverkningsanmälan</t>
        </is>
      </c>
      <c r="C787" t="inlineStr">
        <is>
          <t>Föryngringsavverkning</t>
        </is>
      </c>
      <c r="D787" s="1" t="n">
        <v>45839</v>
      </c>
      <c r="E787" s="1" t="n">
        <v>46326</v>
      </c>
      <c r="F787" t="inlineStr">
        <is>
          <t>GÄVLEBORGS LÄN</t>
        </is>
      </c>
      <c r="G787" t="inlineStr">
        <is>
          <t>LJUSDAL</t>
        </is>
      </c>
      <c r="H787" t="inlineStr">
        <is>
          <t>Sveaskog</t>
        </is>
      </c>
      <c r="I787" t="n">
        <v>2.1</v>
      </c>
      <c r="J787" t="n">
        <v>1</v>
      </c>
      <c r="K787" t="n">
        <v>0</v>
      </c>
      <c r="L787" t="n">
        <v>0</v>
      </c>
      <c r="M787" t="n">
        <v>0</v>
      </c>
      <c r="N787" t="n">
        <v>0</v>
      </c>
      <c r="O787" t="n">
        <v>0</v>
      </c>
      <c r="P787" t="n">
        <v>0</v>
      </c>
      <c r="Q787" t="n">
        <v>0</v>
      </c>
      <c r="R787" t="n">
        <v>0</v>
      </c>
      <c r="S787" t="n">
        <v>1</v>
      </c>
      <c r="T787" t="n">
        <v>1</v>
      </c>
      <c r="U787" t="n">
        <v>1</v>
      </c>
      <c r="V787" s="2" t="inlineStr">
        <is>
          <t>Fläcknycklar</t>
        </is>
      </c>
      <c r="W787">
        <f>HYPERLINK("https://klasma.github.io/Logging_2161/artfynd/A 32815-2025 artfynd.xlsx", "A 32815-2025")</f>
        <v/>
      </c>
      <c r="X787">
        <f>HYPERLINK("https://klasma.github.io/Logging_2161/kartor/A 32815-2025 karta.png", "A 32815-2025")</f>
        <v/>
      </c>
      <c r="Y787">
        <f>HYPERLINK("https://klasma.github.io/Logging_2161/kartor_geotiff/A 32815-2025 georefererad karta.tif", "A 32815-2025")</f>
        <v/>
      </c>
      <c r="AA787">
        <f>HYPERLINK("https://klasma.github.io/Logging_2161/klagomål/A 32815-2025 FSC-klagomål.docx", "A 32815-2025")</f>
        <v/>
      </c>
      <c r="AB787">
        <f>HYPERLINK("https://klasma.github.io/Logging_2161/klagomålsmail/A 32815-2025 FSC-klagomål mail.docx", "A 32815-2025")</f>
        <v/>
      </c>
      <c r="AC787">
        <f>HYPERLINK("https://klasma.github.io/Logging_2161/tillsyn/A 32815-2025 tillsynsbegäran.docx", "A 32815-2025")</f>
        <v/>
      </c>
      <c r="AD787">
        <f>HYPERLINK("https://klasma.github.io/Logging_2161/tillsynsmail/A 32815-2025 tillsynsbegäran mail.docx", "A 32815-2025")</f>
        <v/>
      </c>
    </row>
    <row r="788" ht="15" customHeight="1">
      <c r="A788" t="inlineStr">
        <is>
          <t>A 33338-2025</t>
        </is>
      </c>
      <c r="B788" t="inlineStr">
        <is>
          <t>avverkningsanmälan</t>
        </is>
      </c>
      <c r="C788" t="inlineStr">
        <is>
          <t>Föryngringsavverkning</t>
        </is>
      </c>
      <c r="D788" s="1" t="n">
        <v>45841</v>
      </c>
      <c r="E788" s="1" t="n">
        <v>46326</v>
      </c>
      <c r="F788" t="inlineStr">
        <is>
          <t>GÄVLEBORGS LÄN</t>
        </is>
      </c>
      <c r="G788" t="inlineStr">
        <is>
          <t>LJUSDAL</t>
        </is>
      </c>
      <c r="H788" t="inlineStr">
        <is>
          <t>Sveaskog</t>
        </is>
      </c>
      <c r="I788" t="n">
        <v>1.6</v>
      </c>
      <c r="J788" t="n">
        <v>1</v>
      </c>
      <c r="K788" t="n">
        <v>0</v>
      </c>
      <c r="L788" t="n">
        <v>0</v>
      </c>
      <c r="M788" t="n">
        <v>0</v>
      </c>
      <c r="N788" t="n">
        <v>0</v>
      </c>
      <c r="O788" t="n">
        <v>0</v>
      </c>
      <c r="P788" t="n">
        <v>0</v>
      </c>
      <c r="Q788" t="n">
        <v>0</v>
      </c>
      <c r="R788" t="n">
        <v>0</v>
      </c>
      <c r="S788" t="n">
        <v>1</v>
      </c>
      <c r="T788" t="n">
        <v>1</v>
      </c>
      <c r="U788" t="n">
        <v>1</v>
      </c>
      <c r="V788" s="2" t="inlineStr">
        <is>
          <t>Fläcknycklar</t>
        </is>
      </c>
      <c r="W788">
        <f>HYPERLINK("https://klasma.github.io/Logging_2161/artfynd/A 33338-2025 artfynd.xlsx", "A 33338-2025")</f>
        <v/>
      </c>
      <c r="X788">
        <f>HYPERLINK("https://klasma.github.io/Logging_2161/kartor/A 33338-2025 karta.png", "A 33338-2025")</f>
        <v/>
      </c>
      <c r="Y788">
        <f>HYPERLINK("https://klasma.github.io/Logging_2161/kartor_geotiff/A 33338-2025 georefererad karta.tif", "A 33338-2025")</f>
        <v/>
      </c>
      <c r="AA788">
        <f>HYPERLINK("https://klasma.github.io/Logging_2161/klagomål/A 33338-2025 FSC-klagomål.docx", "A 33338-2025")</f>
        <v/>
      </c>
      <c r="AB788">
        <f>HYPERLINK("https://klasma.github.io/Logging_2161/klagomålsmail/A 33338-2025 FSC-klagomål mail.docx", "A 33338-2025")</f>
        <v/>
      </c>
      <c r="AC788">
        <f>HYPERLINK("https://klasma.github.io/Logging_2161/tillsyn/A 33338-2025 tillsynsbegäran.docx", "A 33338-2025")</f>
        <v/>
      </c>
      <c r="AD788">
        <f>HYPERLINK("https://klasma.github.io/Logging_2161/tillsynsmail/A 33338-2025 tillsynsbegäran mail.docx", "A 33338-2025")</f>
        <v/>
      </c>
    </row>
    <row r="789" ht="15" customHeight="1">
      <c r="A789" t="inlineStr">
        <is>
          <t>A 44445-2025</t>
        </is>
      </c>
      <c r="B789" t="inlineStr">
        <is>
          <t>avverkningsanmälan</t>
        </is>
      </c>
      <c r="C789" t="inlineStr">
        <is>
          <t>Föryngringsavverkning</t>
        </is>
      </c>
      <c r="D789" s="1" t="n">
        <v>45916</v>
      </c>
      <c r="E789" s="1" t="n">
        <v>46326</v>
      </c>
      <c r="F789" t="inlineStr">
        <is>
          <t>GÄVLEBORGS LÄN</t>
        </is>
      </c>
      <c r="G789" t="inlineStr">
        <is>
          <t>LJUSDAL</t>
        </is>
      </c>
      <c r="H789" t="inlineStr">
        <is>
          <t>Sveaskog</t>
        </is>
      </c>
      <c r="I789" t="n">
        <v>4.4</v>
      </c>
      <c r="J789" t="n">
        <v>1</v>
      </c>
      <c r="K789" t="n">
        <v>1</v>
      </c>
      <c r="L789" t="n">
        <v>0</v>
      </c>
      <c r="M789" t="n">
        <v>0</v>
      </c>
      <c r="N789" t="n">
        <v>0</v>
      </c>
      <c r="O789" t="n">
        <v>0</v>
      </c>
      <c r="P789" t="n">
        <v>0</v>
      </c>
      <c r="Q789" t="n">
        <v>0</v>
      </c>
      <c r="R789" t="n">
        <v>0</v>
      </c>
      <c r="S789" t="n">
        <v>1</v>
      </c>
      <c r="T789" t="n">
        <v>1</v>
      </c>
      <c r="U789" t="n">
        <v>0</v>
      </c>
      <c r="V789" s="2" t="inlineStr">
        <is>
          <t>Spindelblomster</t>
        </is>
      </c>
      <c r="W789">
        <f>HYPERLINK("https://klasma.github.io/Logging_2161/artfynd/A 44445-2025 artfynd.xlsx", "A 44445-2025")</f>
        <v/>
      </c>
      <c r="X789">
        <f>HYPERLINK("https://klasma.github.io/Logging_2161/kartor/A 44445-2025 karta.png", "A 44445-2025")</f>
        <v/>
      </c>
      <c r="Y789">
        <f>HYPERLINK("https://klasma.github.io/Logging_2161/kartor_geotiff/A 44445-2025 georefererad karta.tif", "A 44445-2025")</f>
        <v/>
      </c>
      <c r="AA789">
        <f>HYPERLINK("https://klasma.github.io/Logging_2161/klagomål/A 44445-2025 FSC-klagomål.docx", "A 44445-2025")</f>
        <v/>
      </c>
      <c r="AB789">
        <f>HYPERLINK("https://klasma.github.io/Logging_2161/klagomålsmail/A 44445-2025 FSC-klagomål mail.docx", "A 44445-2025")</f>
        <v/>
      </c>
      <c r="AC789">
        <f>HYPERLINK("https://klasma.github.io/Logging_2161/tillsyn/A 44445-2025 tillsynsbegäran.docx", "A 44445-2025")</f>
        <v/>
      </c>
      <c r="AD789">
        <f>HYPERLINK("https://klasma.github.io/Logging_2161/tillsynsmail/A 44445-2025 tillsynsbegäran mail.docx", "A 44445-2025")</f>
        <v/>
      </c>
    </row>
    <row r="790" ht="15" customHeight="1">
      <c r="A790" t="inlineStr">
        <is>
          <t>A 44694-2025</t>
        </is>
      </c>
      <c r="B790" t="inlineStr">
        <is>
          <t>avverkningsanmälan</t>
        </is>
      </c>
      <c r="C790" t="inlineStr">
        <is>
          <t>Föryngringsavverkning</t>
        </is>
      </c>
      <c r="D790" s="1" t="n">
        <v>45917</v>
      </c>
      <c r="E790" s="1" t="n">
        <v>46326</v>
      </c>
      <c r="F790" t="inlineStr">
        <is>
          <t>GÄVLEBORGS LÄN</t>
        </is>
      </c>
      <c r="G790" t="inlineStr">
        <is>
          <t>HOFORS</t>
        </is>
      </c>
      <c r="H790" t="inlineStr">
        <is>
          <t>Sveaskog</t>
        </is>
      </c>
      <c r="I790" t="n">
        <v>12.1</v>
      </c>
      <c r="J790" t="n">
        <v>0</v>
      </c>
      <c r="K790" t="n">
        <v>0</v>
      </c>
      <c r="L790" t="n">
        <v>1</v>
      </c>
      <c r="M790" t="n">
        <v>0</v>
      </c>
      <c r="N790" t="n">
        <v>0</v>
      </c>
      <c r="O790" t="n">
        <v>0</v>
      </c>
      <c r="P790" t="n">
        <v>0</v>
      </c>
      <c r="Q790" t="n">
        <v>1</v>
      </c>
      <c r="R790" t="n">
        <v>0</v>
      </c>
      <c r="S790" t="n">
        <v>1</v>
      </c>
      <c r="T790" t="n">
        <v>1</v>
      </c>
      <c r="U790" t="n">
        <v>0</v>
      </c>
      <c r="V790" s="2" t="inlineStr">
        <is>
          <t>Brunklöver</t>
        </is>
      </c>
      <c r="W790">
        <f>HYPERLINK("https://klasma.github.io/Logging_2104/artfynd/A 44694-2025 artfynd.xlsx", "A 44694-2025")</f>
        <v/>
      </c>
      <c r="X790">
        <f>HYPERLINK("https://klasma.github.io/Logging_2104/kartor/A 44694-2025 karta.png", "A 44694-2025")</f>
        <v/>
      </c>
      <c r="Y790">
        <f>HYPERLINK("https://klasma.github.io/Logging_2104/kartor_geotiff/A 44694-2025 georefererad karta.tif", "A 44694-2025")</f>
        <v/>
      </c>
      <c r="AA790">
        <f>HYPERLINK("https://klasma.github.io/Logging_2104/klagomål/A 44694-2025 FSC-klagomål.docx", "A 44694-2025")</f>
        <v/>
      </c>
      <c r="AB790">
        <f>HYPERLINK("https://klasma.github.io/Logging_2104/klagomålsmail/A 44694-2025 FSC-klagomål mail.docx", "A 44694-2025")</f>
        <v/>
      </c>
      <c r="AC790">
        <f>HYPERLINK("https://klasma.github.io/Logging_2104/tillsyn/A 44694-2025 tillsynsbegäran.docx", "A 44694-2025")</f>
        <v/>
      </c>
      <c r="AD790">
        <f>HYPERLINK("https://klasma.github.io/Logging_2104/tillsynsmail/A 44694-2025 tillsynsbegäran mail.docx", "A 44694-2025")</f>
        <v/>
      </c>
    </row>
    <row r="791" ht="15" customHeight="1">
      <c r="A791" t="inlineStr">
        <is>
          <t>A 4473-2026</t>
        </is>
      </c>
      <c r="B791" t="inlineStr">
        <is>
          <t>avverkningsanmälan</t>
        </is>
      </c>
      <c r="C791" t="inlineStr">
        <is>
          <t>Föryngringsavverkning</t>
        </is>
      </c>
      <c r="D791" s="1" t="n">
        <v>46045</v>
      </c>
      <c r="E791" s="1" t="n">
        <v>46326</v>
      </c>
      <c r="F791" t="inlineStr">
        <is>
          <t>GÄVLEBORGS LÄN</t>
        </is>
      </c>
      <c r="G791" t="inlineStr">
        <is>
          <t>HUDIKSVALL</t>
        </is>
      </c>
      <c r="I791" t="n">
        <v>6.6</v>
      </c>
      <c r="J791" t="n">
        <v>0</v>
      </c>
      <c r="K791" t="n">
        <v>1</v>
      </c>
      <c r="L791" t="n">
        <v>0</v>
      </c>
      <c r="M791" t="n">
        <v>0</v>
      </c>
      <c r="N791" t="n">
        <v>0</v>
      </c>
      <c r="O791" t="n">
        <v>0</v>
      </c>
      <c r="P791" t="n">
        <v>0</v>
      </c>
      <c r="Q791" t="n">
        <v>0</v>
      </c>
      <c r="R791" t="n">
        <v>0</v>
      </c>
      <c r="S791" t="n">
        <v>1</v>
      </c>
      <c r="T791" t="n">
        <v>1</v>
      </c>
      <c r="U791" t="n">
        <v>0</v>
      </c>
      <c r="V791" s="2" t="inlineStr">
        <is>
          <t>Tibast</t>
        </is>
      </c>
      <c r="W791">
        <f>HYPERLINK("https://klasma.github.io/Logging_2184/artfynd/A 4473-2026 artfynd.xlsx", "A 4473-2026")</f>
        <v/>
      </c>
      <c r="X791">
        <f>HYPERLINK("https://klasma.github.io/Logging_2184/kartor/A 4473-2026 karta.png", "A 4473-2026")</f>
        <v/>
      </c>
      <c r="Y791">
        <f>HYPERLINK("https://klasma.github.io/Logging_2184/kartor_geotiff/A 4473-2026 georefererad karta.tif", "A 4473-2026")</f>
        <v/>
      </c>
      <c r="AA791">
        <f>HYPERLINK("https://klasma.github.io/Logging_2184/klagomål/A 4473-2026 FSC-klagomål.docx", "A 4473-2026")</f>
        <v/>
      </c>
      <c r="AB791">
        <f>HYPERLINK("https://klasma.github.io/Logging_2184/klagomålsmail/A 4473-2026 FSC-klagomål mail.docx", "A 4473-2026")</f>
        <v/>
      </c>
      <c r="AC791">
        <f>HYPERLINK("https://klasma.github.io/Logging_2184/tillsyn/A 4473-2026 tillsynsbegäran.docx", "A 4473-2026")</f>
        <v/>
      </c>
      <c r="AD791">
        <f>HYPERLINK("https://klasma.github.io/Logging_2184/tillsynsmail/A 4473-2026 tillsynsbegäran mail.docx", "A 4473-2026")</f>
        <v/>
      </c>
    </row>
    <row r="792" ht="15" customHeight="1">
      <c r="A792" t="inlineStr">
        <is>
          <t>A 5370-2025</t>
        </is>
      </c>
      <c r="B792" t="inlineStr">
        <is>
          <t>avverkningsanmälan</t>
        </is>
      </c>
      <c r="C792" t="inlineStr">
        <is>
          <t>Föryngringsavverkning</t>
        </is>
      </c>
      <c r="D792" s="1" t="n">
        <v>45692</v>
      </c>
      <c r="E792" s="1" t="n">
        <v>46326</v>
      </c>
      <c r="F792" t="inlineStr">
        <is>
          <t>GÄVLEBORGS LÄN</t>
        </is>
      </c>
      <c r="G792" t="inlineStr">
        <is>
          <t>BOLLNÄS</t>
        </is>
      </c>
      <c r="I792" t="n">
        <v>2.5</v>
      </c>
      <c r="J792" t="n">
        <v>0</v>
      </c>
      <c r="K792" t="n">
        <v>0</v>
      </c>
      <c r="L792" t="n">
        <v>1</v>
      </c>
      <c r="M792" t="n">
        <v>0</v>
      </c>
      <c r="N792" t="n">
        <v>0</v>
      </c>
      <c r="O792" t="n">
        <v>0</v>
      </c>
      <c r="P792" t="n">
        <v>0</v>
      </c>
      <c r="Q792" t="n">
        <v>1</v>
      </c>
      <c r="R792" t="n">
        <v>0</v>
      </c>
      <c r="S792" t="n">
        <v>1</v>
      </c>
      <c r="T792" t="n">
        <v>1</v>
      </c>
      <c r="U792" t="n">
        <v>0</v>
      </c>
      <c r="V792" s="2" t="inlineStr">
        <is>
          <t>Ullticka</t>
        </is>
      </c>
      <c r="W792">
        <f>HYPERLINK("https://klasma.github.io/Logging_2183/artfynd/A 5370-2025 artfynd.xlsx", "A 5370-2025")</f>
        <v/>
      </c>
      <c r="X792">
        <f>HYPERLINK("https://klasma.github.io/Logging_2183/kartor/A 5370-2025 karta.png", "A 5370-2025")</f>
        <v/>
      </c>
      <c r="Y792">
        <f>HYPERLINK("https://klasma.github.io/Logging_2183/kartor_geotiff/A 5370-2025 georefererad karta.tif", "A 5370-2025")</f>
        <v/>
      </c>
      <c r="AA792">
        <f>HYPERLINK("https://klasma.github.io/Logging_2183/klagomål/A 5370-2025 FSC-klagomål.docx", "A 5370-2025")</f>
        <v/>
      </c>
      <c r="AB792">
        <f>HYPERLINK("https://klasma.github.io/Logging_2183/klagomålsmail/A 5370-2025 FSC-klagomål mail.docx", "A 5370-2025")</f>
        <v/>
      </c>
      <c r="AC792">
        <f>HYPERLINK("https://klasma.github.io/Logging_2183/tillsyn/A 5370-2025 tillsynsbegäran.docx", "A 5370-2025")</f>
        <v/>
      </c>
      <c r="AD792">
        <f>HYPERLINK("https://klasma.github.io/Logging_2183/tillsynsmail/A 5370-2025 tillsynsbegäran mail.docx", "A 5370-2025")</f>
        <v/>
      </c>
    </row>
    <row r="793" ht="15" customHeight="1">
      <c r="A793" t="inlineStr">
        <is>
          <t>A 20441-2023</t>
        </is>
      </c>
      <c r="B793" t="inlineStr">
        <is>
          <t>avverkningsanmälan</t>
        </is>
      </c>
      <c r="C793" t="inlineStr">
        <is>
          <t>Föryngringsavverkning</t>
        </is>
      </c>
      <c r="D793" s="1" t="n">
        <v>45056</v>
      </c>
      <c r="E793" s="1" t="n">
        <v>46326</v>
      </c>
      <c r="F793" t="inlineStr">
        <is>
          <t>GÄVLEBORGS LÄN</t>
        </is>
      </c>
      <c r="G793" t="inlineStr">
        <is>
          <t>NORDANSTIG</t>
        </is>
      </c>
      <c r="H793" t="inlineStr">
        <is>
          <t>Holmen skog AB</t>
        </is>
      </c>
      <c r="I793" t="n">
        <v>3.7</v>
      </c>
      <c r="J793" t="n">
        <v>1</v>
      </c>
      <c r="K793" t="n">
        <v>0</v>
      </c>
      <c r="L793" t="n">
        <v>0</v>
      </c>
      <c r="M793" t="n">
        <v>0</v>
      </c>
      <c r="N793" t="n">
        <v>0</v>
      </c>
      <c r="O793" t="n">
        <v>0</v>
      </c>
      <c r="P793" t="n">
        <v>0</v>
      </c>
      <c r="Q793" t="n">
        <v>0</v>
      </c>
      <c r="R793" t="n">
        <v>0</v>
      </c>
      <c r="S793" t="n">
        <v>1</v>
      </c>
      <c r="T793" t="n">
        <v>2</v>
      </c>
      <c r="U793" t="n">
        <v>2</v>
      </c>
      <c r="V793" s="2" t="inlineStr">
        <is>
          <t>Orre</t>
        </is>
      </c>
      <c r="W793">
        <f>HYPERLINK("https://klasma.github.io/Logging_2132/artfynd/A 20441-2023 artfynd.xlsx", "A 20441-2023")</f>
        <v/>
      </c>
      <c r="X793">
        <f>HYPERLINK("https://klasma.github.io/Logging_2132/kartor/A 20441-2023 karta.png", "A 20441-2023")</f>
        <v/>
      </c>
      <c r="Y793">
        <f>HYPERLINK("https://klasma.github.io/Logging_2132/kartor_geotiff/A 20441-2023 georefererad karta.tif", "A 20441-2023")</f>
        <v/>
      </c>
      <c r="AA793">
        <f>HYPERLINK("https://klasma.github.io/Logging_2132/klagomål/A 20441-2023 FSC-klagomål.docx", "A 20441-2023")</f>
        <v/>
      </c>
      <c r="AB793">
        <f>HYPERLINK("https://klasma.github.io/Logging_2132/klagomålsmail/A 20441-2023 FSC-klagomål mail.docx", "A 20441-2023")</f>
        <v/>
      </c>
      <c r="AC793">
        <f>HYPERLINK("https://klasma.github.io/Logging_2132/tillsyn/A 20441-2023 tillsynsbegäran.docx", "A 20441-2023")</f>
        <v/>
      </c>
      <c r="AD793">
        <f>HYPERLINK("https://klasma.github.io/Logging_2132/tillsynsmail/A 20441-2023 tillsynsbegäran mail.docx", "A 20441-2023")</f>
        <v/>
      </c>
      <c r="AE793">
        <f>HYPERLINK("https://klasma.github.io/Logging_2132/fåglar/A 20441-2023 prioriterade fågelarter.docx", "A 20441-2023")</f>
        <v/>
      </c>
    </row>
    <row r="794" ht="15" customHeight="1">
      <c r="A794" t="inlineStr">
        <is>
          <t>A 12419-2025</t>
        </is>
      </c>
      <c r="B794" t="inlineStr">
        <is>
          <t>avverkningsanmälan</t>
        </is>
      </c>
      <c r="C794" t="inlineStr">
        <is>
          <t>Föryngringsavverkning</t>
        </is>
      </c>
      <c r="D794" s="1" t="n">
        <v>45730</v>
      </c>
      <c r="E794" s="1" t="n">
        <v>46326</v>
      </c>
      <c r="F794" t="inlineStr">
        <is>
          <t>GÄVLEBORGS LÄN</t>
        </is>
      </c>
      <c r="G794" t="inlineStr">
        <is>
          <t>SANDVIKEN</t>
        </is>
      </c>
      <c r="H794" t="inlineStr">
        <is>
          <t>Bergvik skog öst AB</t>
        </is>
      </c>
      <c r="I794" t="n">
        <v>3</v>
      </c>
      <c r="J794" t="n">
        <v>0</v>
      </c>
      <c r="K794" t="n">
        <v>0</v>
      </c>
      <c r="L794" t="n">
        <v>1</v>
      </c>
      <c r="M794" t="n">
        <v>0</v>
      </c>
      <c r="N794" t="n">
        <v>0</v>
      </c>
      <c r="O794" t="n">
        <v>0</v>
      </c>
      <c r="P794" t="n">
        <v>0</v>
      </c>
      <c r="Q794" t="n">
        <v>1</v>
      </c>
      <c r="R794" t="n">
        <v>0</v>
      </c>
      <c r="S794" t="n">
        <v>1</v>
      </c>
      <c r="T794" t="n">
        <v>1</v>
      </c>
      <c r="U794" t="n">
        <v>1</v>
      </c>
      <c r="V794" s="2" t="inlineStr">
        <is>
          <t>Månlåsbräken</t>
        </is>
      </c>
      <c r="W794">
        <f>HYPERLINK("https://klasma.github.io/Logging_2181/artfynd/A 12419-2025 artfynd.xlsx", "A 12419-2025")</f>
        <v/>
      </c>
      <c r="X794">
        <f>HYPERLINK("https://klasma.github.io/Logging_2181/kartor/A 12419-2025 karta.png", "A 12419-2025")</f>
        <v/>
      </c>
      <c r="Y794">
        <f>HYPERLINK("https://klasma.github.io/Logging_2181/kartor_geotiff/A 12419-2025 georefererad karta.tif", "A 12419-2025")</f>
        <v/>
      </c>
      <c r="AA794">
        <f>HYPERLINK("https://klasma.github.io/Logging_2181/klagomål/A 12419-2025 FSC-klagomål.docx", "A 12419-2025")</f>
        <v/>
      </c>
      <c r="AB794">
        <f>HYPERLINK("https://klasma.github.io/Logging_2181/klagomålsmail/A 12419-2025 FSC-klagomål mail.docx", "A 12419-2025")</f>
        <v/>
      </c>
      <c r="AC794">
        <f>HYPERLINK("https://klasma.github.io/Logging_2181/tillsyn/A 12419-2025 tillsynsbegäran.docx", "A 12419-2025")</f>
        <v/>
      </c>
      <c r="AD794">
        <f>HYPERLINK("https://klasma.github.io/Logging_2181/tillsynsmail/A 12419-2025 tillsynsbegäran mail.docx", "A 12419-2025")</f>
        <v/>
      </c>
    </row>
    <row r="795" ht="15" customHeight="1">
      <c r="A795" t="inlineStr">
        <is>
          <t>A 5130-2026</t>
        </is>
      </c>
      <c r="B795" t="inlineStr">
        <is>
          <t>avverkningsanmälan</t>
        </is>
      </c>
      <c r="C795" t="inlineStr">
        <is>
          <t>Föryngringsavverkning</t>
        </is>
      </c>
      <c r="D795" s="1" t="n">
        <v>46049</v>
      </c>
      <c r="E795" s="1" t="n">
        <v>46326</v>
      </c>
      <c r="F795" t="inlineStr">
        <is>
          <t>GÄVLEBORGS LÄN</t>
        </is>
      </c>
      <c r="G795" t="inlineStr">
        <is>
          <t>BOLLNÄS</t>
        </is>
      </c>
      <c r="I795" t="n">
        <v>8.4</v>
      </c>
      <c r="J795" t="n">
        <v>1</v>
      </c>
      <c r="K795" t="n">
        <v>0</v>
      </c>
      <c r="L795" t="n">
        <v>1</v>
      </c>
      <c r="M795" t="n">
        <v>0</v>
      </c>
      <c r="N795" t="n">
        <v>0</v>
      </c>
      <c r="O795" t="n">
        <v>0</v>
      </c>
      <c r="P795" t="n">
        <v>0</v>
      </c>
      <c r="Q795" t="n">
        <v>1</v>
      </c>
      <c r="R795" t="n">
        <v>0</v>
      </c>
      <c r="S795" t="n">
        <v>1</v>
      </c>
      <c r="T795" t="n">
        <v>2</v>
      </c>
      <c r="U795" t="n">
        <v>0</v>
      </c>
      <c r="V795" s="2" t="inlineStr">
        <is>
          <t>Nordfladdermus</t>
        </is>
      </c>
      <c r="W795">
        <f>HYPERLINK("https://klasma.github.io/Logging_2183/artfynd/A 5130-2026 artfynd.xlsx", "A 5130-2026")</f>
        <v/>
      </c>
      <c r="X795">
        <f>HYPERLINK("https://klasma.github.io/Logging_2183/kartor/A 5130-2026 karta.png", "A 5130-2026")</f>
        <v/>
      </c>
      <c r="Y795">
        <f>HYPERLINK("https://klasma.github.io/Logging_2183/kartor_geotiff/A 5130-2026 georefererad karta.tif", "A 5130-2026")</f>
        <v/>
      </c>
      <c r="AA795">
        <f>HYPERLINK("https://klasma.github.io/Logging_2183/klagomål/A 5130-2026 FSC-klagomål.docx", "A 5130-2026")</f>
        <v/>
      </c>
      <c r="AB795">
        <f>HYPERLINK("https://klasma.github.io/Logging_2183/klagomålsmail/A 5130-2026 FSC-klagomål mail.docx", "A 5130-2026")</f>
        <v/>
      </c>
      <c r="AC795">
        <f>HYPERLINK("https://klasma.github.io/Logging_2183/tillsyn/A 5130-2026 tillsynsbegäran.docx", "A 5130-2026")</f>
        <v/>
      </c>
      <c r="AD795">
        <f>HYPERLINK("https://klasma.github.io/Logging_2183/tillsynsmail/A 5130-2026 tillsynsbegäran mail.docx", "A 5130-2026")</f>
        <v/>
      </c>
    </row>
    <row r="796" ht="15" customHeight="1">
      <c r="A796" t="inlineStr">
        <is>
          <t>A 44835-2025</t>
        </is>
      </c>
      <c r="B796" t="inlineStr">
        <is>
          <t>avverkningsanmälan</t>
        </is>
      </c>
      <c r="C796" t="inlineStr">
        <is>
          <t>Föryngringsavverkning</t>
        </is>
      </c>
      <c r="D796" s="1" t="n">
        <v>45918</v>
      </c>
      <c r="E796" s="1" t="n">
        <v>46326</v>
      </c>
      <c r="F796" t="inlineStr">
        <is>
          <t>GÄVLEBORGS LÄN</t>
        </is>
      </c>
      <c r="G796" t="inlineStr">
        <is>
          <t>LJUSDAL</t>
        </is>
      </c>
      <c r="H796" t="inlineStr">
        <is>
          <t>Sveaskog</t>
        </is>
      </c>
      <c r="I796" t="n">
        <v>7.7</v>
      </c>
      <c r="J796" t="n">
        <v>0</v>
      </c>
      <c r="K796" t="n">
        <v>0</v>
      </c>
      <c r="L796" t="n">
        <v>1</v>
      </c>
      <c r="M796" t="n">
        <v>0</v>
      </c>
      <c r="N796" t="n">
        <v>0</v>
      </c>
      <c r="O796" t="n">
        <v>0</v>
      </c>
      <c r="P796" t="n">
        <v>0</v>
      </c>
      <c r="Q796" t="n">
        <v>1</v>
      </c>
      <c r="R796" t="n">
        <v>0</v>
      </c>
      <c r="S796" t="n">
        <v>1</v>
      </c>
      <c r="T796" t="n">
        <v>1</v>
      </c>
      <c r="U796" t="n">
        <v>1</v>
      </c>
      <c r="V796" s="2" t="inlineStr">
        <is>
          <t>Skarp dropptaggsvamp</t>
        </is>
      </c>
      <c r="W796">
        <f>HYPERLINK("https://klasma.github.io/Logging_2161/artfynd/A 44835-2025 artfynd.xlsx", "A 44835-2025")</f>
        <v/>
      </c>
      <c r="X796">
        <f>HYPERLINK("https://klasma.github.io/Logging_2161/kartor/A 44835-2025 karta.png", "A 44835-2025")</f>
        <v/>
      </c>
      <c r="Y796">
        <f>HYPERLINK("https://klasma.github.io/Logging_2161/kartor_geotiff/A 44835-2025 georefererad karta.tif", "A 44835-2025")</f>
        <v/>
      </c>
      <c r="AA796">
        <f>HYPERLINK("https://klasma.github.io/Logging_2161/klagomål/A 44835-2025 FSC-klagomål.docx", "A 44835-2025")</f>
        <v/>
      </c>
      <c r="AB796">
        <f>HYPERLINK("https://klasma.github.io/Logging_2161/klagomålsmail/A 44835-2025 FSC-klagomål mail.docx", "A 44835-2025")</f>
        <v/>
      </c>
      <c r="AC796">
        <f>HYPERLINK("https://klasma.github.io/Logging_2161/tillsyn/A 44835-2025 tillsynsbegäran.docx", "A 44835-2025")</f>
        <v/>
      </c>
      <c r="AD796">
        <f>HYPERLINK("https://klasma.github.io/Logging_2161/tillsynsmail/A 44835-2025 tillsynsbegäran mail.docx", "A 44835-2025")</f>
        <v/>
      </c>
    </row>
    <row r="797" ht="15" customHeight="1">
      <c r="A797" t="inlineStr">
        <is>
          <t>A 15729-2022</t>
        </is>
      </c>
      <c r="B797" t="inlineStr">
        <is>
          <t>avverkningsanmälan</t>
        </is>
      </c>
      <c r="C797" t="inlineStr">
        <is>
          <t>Föryngringsavverkning</t>
        </is>
      </c>
      <c r="D797" s="1" t="n">
        <v>44663</v>
      </c>
      <c r="E797" s="1" t="n">
        <v>46326</v>
      </c>
      <c r="F797" t="inlineStr">
        <is>
          <t>GÄVLEBORGS LÄN</t>
        </is>
      </c>
      <c r="G797" t="inlineStr">
        <is>
          <t>SANDVIKEN</t>
        </is>
      </c>
      <c r="I797" t="n">
        <v>2.1</v>
      </c>
      <c r="J797" t="n">
        <v>1</v>
      </c>
      <c r="K797" t="n">
        <v>0</v>
      </c>
      <c r="L797" t="n">
        <v>0</v>
      </c>
      <c r="M797" t="n">
        <v>1</v>
      </c>
      <c r="N797" t="n">
        <v>0</v>
      </c>
      <c r="O797" t="n">
        <v>0</v>
      </c>
      <c r="P797" t="n">
        <v>0</v>
      </c>
      <c r="Q797" t="n">
        <v>1</v>
      </c>
      <c r="R797" t="n">
        <v>1</v>
      </c>
      <c r="S797" t="n">
        <v>1</v>
      </c>
      <c r="T797" t="n">
        <v>1</v>
      </c>
      <c r="U797" t="n">
        <v>1</v>
      </c>
      <c r="V797" s="2" t="inlineStr">
        <is>
          <t>Knärot</t>
        </is>
      </c>
      <c r="W797">
        <f>HYPERLINK("https://klasma.github.io/Logging_2181/artfynd/A 15729-2022 artfynd.xlsx", "A 15729-2022")</f>
        <v/>
      </c>
      <c r="X797">
        <f>HYPERLINK("https://klasma.github.io/Logging_2181/kartor/A 15729-2022 karta.png", "A 15729-2022")</f>
        <v/>
      </c>
      <c r="Y797">
        <f>HYPERLINK("https://klasma.github.io/Logging_2181/kartor_geotiff/A 15729-2022 georefererad karta.tif", "A 15729-2022")</f>
        <v/>
      </c>
      <c r="Z797">
        <f>HYPERLINK("https://klasma.github.io/Logging_2181/knärot/A 15729-2022 karta knärot.png", "A 15729-2022")</f>
        <v/>
      </c>
      <c r="AA797">
        <f>HYPERLINK("https://klasma.github.io/Logging_2181/klagomål/A 15729-2022 FSC-klagomål.docx", "A 15729-2022")</f>
        <v/>
      </c>
      <c r="AB797">
        <f>HYPERLINK("https://klasma.github.io/Logging_2181/klagomålsmail/A 15729-2022 FSC-klagomål mail.docx", "A 15729-2022")</f>
        <v/>
      </c>
      <c r="AC797">
        <f>HYPERLINK("https://klasma.github.io/Logging_2181/tillsyn/A 15729-2022 tillsynsbegäran.docx", "A 15729-2022")</f>
        <v/>
      </c>
      <c r="AD797">
        <f>HYPERLINK("https://klasma.github.io/Logging_2181/tillsynsmail/A 15729-2022 tillsynsbegäran mail.docx", "A 15729-2022")</f>
        <v/>
      </c>
    </row>
    <row r="798" ht="15" customHeight="1">
      <c r="A798" t="inlineStr">
        <is>
          <t>A 45241-2022</t>
        </is>
      </c>
      <c r="B798" t="inlineStr">
        <is>
          <t>avverkningsanmälan</t>
        </is>
      </c>
      <c r="C798" t="inlineStr">
        <is>
          <t>Föryngringsavverkning</t>
        </is>
      </c>
      <c r="D798" s="1" t="n">
        <v>44840</v>
      </c>
      <c r="E798" s="1" t="n">
        <v>46326</v>
      </c>
      <c r="F798" t="inlineStr">
        <is>
          <t>GÄVLEBORGS LÄN</t>
        </is>
      </c>
      <c r="G798" t="inlineStr">
        <is>
          <t>GÄVLE</t>
        </is>
      </c>
      <c r="H798" t="inlineStr">
        <is>
          <t>Bergvik skog väst AB</t>
        </is>
      </c>
      <c r="I798" t="n">
        <v>22</v>
      </c>
      <c r="J798" t="n">
        <v>1</v>
      </c>
      <c r="K798" t="n">
        <v>0</v>
      </c>
      <c r="L798" t="n">
        <v>0</v>
      </c>
      <c r="M798" t="n">
        <v>0</v>
      </c>
      <c r="N798" t="n">
        <v>0</v>
      </c>
      <c r="O798" t="n">
        <v>0</v>
      </c>
      <c r="P798" t="n">
        <v>0</v>
      </c>
      <c r="Q798" t="n">
        <v>0</v>
      </c>
      <c r="R798" t="n">
        <v>0</v>
      </c>
      <c r="S798" t="n">
        <v>1</v>
      </c>
      <c r="T798" t="n">
        <v>1</v>
      </c>
      <c r="U798" t="n">
        <v>1</v>
      </c>
      <c r="V798" s="2" t="inlineStr">
        <is>
          <t>Blåsippa</t>
        </is>
      </c>
      <c r="W798">
        <f>HYPERLINK("https://klasma.github.io/Logging_2180/artfynd/A 45241-2022 artfynd.xlsx", "A 45241-2022")</f>
        <v/>
      </c>
      <c r="X798">
        <f>HYPERLINK("https://klasma.github.io/Logging_2180/kartor/A 45241-2022 karta.png", "A 45241-2022")</f>
        <v/>
      </c>
      <c r="Y798">
        <f>HYPERLINK("https://klasma.github.io/Logging_2180/kartor_geotiff/A 45241-2022 georefererad karta.tif", "A 45241-2022")</f>
        <v/>
      </c>
      <c r="AA798">
        <f>HYPERLINK("https://klasma.github.io/Logging_2180/klagomål/A 45241-2022 FSC-klagomål.docx", "A 45241-2022")</f>
        <v/>
      </c>
      <c r="AB798">
        <f>HYPERLINK("https://klasma.github.io/Logging_2180/klagomålsmail/A 45241-2022 FSC-klagomål mail.docx", "A 45241-2022")</f>
        <v/>
      </c>
      <c r="AC798">
        <f>HYPERLINK("https://klasma.github.io/Logging_2180/tillsyn/A 45241-2022 tillsynsbegäran.docx", "A 45241-2022")</f>
        <v/>
      </c>
      <c r="AD798">
        <f>HYPERLINK("https://klasma.github.io/Logging_2180/tillsynsmail/A 45241-2022 tillsynsbegäran mail.docx", "A 45241-2022")</f>
        <v/>
      </c>
    </row>
    <row r="799" ht="15" customHeight="1">
      <c r="A799" t="inlineStr">
        <is>
          <t>A 5711-2024</t>
        </is>
      </c>
      <c r="B799" t="inlineStr">
        <is>
          <t>avverkningsanmälan</t>
        </is>
      </c>
      <c r="C799" t="inlineStr">
        <is>
          <t>Föryngringsavverkning</t>
        </is>
      </c>
      <c r="D799" s="1" t="n">
        <v>45334</v>
      </c>
      <c r="E799" s="1" t="n">
        <v>46326</v>
      </c>
      <c r="F799" t="inlineStr">
        <is>
          <t>GÄVLEBORGS LÄN</t>
        </is>
      </c>
      <c r="G799" t="inlineStr">
        <is>
          <t>HUDIKSVALL</t>
        </is>
      </c>
      <c r="H799" t="inlineStr">
        <is>
          <t>Holmen skog AB</t>
        </is>
      </c>
      <c r="I799" t="n">
        <v>14.5</v>
      </c>
      <c r="J799" t="n">
        <v>1</v>
      </c>
      <c r="K799" t="n">
        <v>0</v>
      </c>
      <c r="L799" t="n">
        <v>0</v>
      </c>
      <c r="M799" t="n">
        <v>0</v>
      </c>
      <c r="N799" t="n">
        <v>0</v>
      </c>
      <c r="O799" t="n">
        <v>0</v>
      </c>
      <c r="P799" t="n">
        <v>0</v>
      </c>
      <c r="Q799" t="n">
        <v>0</v>
      </c>
      <c r="R799" t="n">
        <v>0</v>
      </c>
      <c r="S799" t="n">
        <v>1</v>
      </c>
      <c r="T799" t="n">
        <v>1</v>
      </c>
      <c r="U799" t="n">
        <v>0</v>
      </c>
      <c r="V799" s="2" t="inlineStr">
        <is>
          <t>Revlummer</t>
        </is>
      </c>
      <c r="W799">
        <f>HYPERLINK("https://klasma.github.io/Logging_2184/artfynd/A 5711-2024 artfynd.xlsx", "A 5711-2024")</f>
        <v/>
      </c>
      <c r="X799">
        <f>HYPERLINK("https://klasma.github.io/Logging_2184/kartor/A 5711-2024 karta.png", "A 5711-2024")</f>
        <v/>
      </c>
      <c r="Y799">
        <f>HYPERLINK("https://klasma.github.io/Logging_2184/kartor_geotiff/A 5711-2024 georefererad karta.tif", "A 5711-2024")</f>
        <v/>
      </c>
      <c r="AA799">
        <f>HYPERLINK("https://klasma.github.io/Logging_2184/klagomål/A 5711-2024 FSC-klagomål.docx", "A 5711-2024")</f>
        <v/>
      </c>
      <c r="AB799">
        <f>HYPERLINK("https://klasma.github.io/Logging_2184/klagomålsmail/A 5711-2024 FSC-klagomål mail.docx", "A 5711-2024")</f>
        <v/>
      </c>
      <c r="AC799">
        <f>HYPERLINK("https://klasma.github.io/Logging_2184/tillsyn/A 5711-2024 tillsynsbegäran.docx", "A 5711-2024")</f>
        <v/>
      </c>
      <c r="AD799">
        <f>HYPERLINK("https://klasma.github.io/Logging_2184/tillsynsmail/A 5711-2024 tillsynsbegäran mail.docx", "A 5711-2024")</f>
        <v/>
      </c>
    </row>
    <row r="800" ht="15" customHeight="1">
      <c r="A800" t="inlineStr">
        <is>
          <t>A 8157-2025</t>
        </is>
      </c>
      <c r="B800" t="inlineStr">
        <is>
          <t>avverkningsanmälan</t>
        </is>
      </c>
      <c r="C800" t="inlineStr">
        <is>
          <t>Föryngringsavverkning</t>
        </is>
      </c>
      <c r="D800" s="1" t="n">
        <v>45708</v>
      </c>
      <c r="E800" s="1" t="n">
        <v>46326</v>
      </c>
      <c r="F800" t="inlineStr">
        <is>
          <t>GÄVLEBORGS LÄN</t>
        </is>
      </c>
      <c r="G800" t="inlineStr">
        <is>
          <t>HUDIKSVALL</t>
        </is>
      </c>
      <c r="I800" t="n">
        <v>7.7</v>
      </c>
      <c r="J800" t="n">
        <v>1</v>
      </c>
      <c r="K800" t="n">
        <v>0</v>
      </c>
      <c r="L800" t="n">
        <v>0</v>
      </c>
      <c r="M800" t="n">
        <v>0</v>
      </c>
      <c r="N800" t="n">
        <v>0</v>
      </c>
      <c r="O800" t="n">
        <v>0</v>
      </c>
      <c r="P800" t="n">
        <v>0</v>
      </c>
      <c r="Q800" t="n">
        <v>0</v>
      </c>
      <c r="R800" t="n">
        <v>0</v>
      </c>
      <c r="S800" t="n">
        <v>1</v>
      </c>
      <c r="T800" t="n">
        <v>1</v>
      </c>
      <c r="U800" t="n">
        <v>1</v>
      </c>
      <c r="V800" s="2" t="inlineStr">
        <is>
          <t>Fläcknycklar</t>
        </is>
      </c>
      <c r="W800">
        <f>HYPERLINK("https://klasma.github.io/Logging_2184/artfynd/A 8157-2025 artfynd.xlsx", "A 8157-2025")</f>
        <v/>
      </c>
      <c r="X800">
        <f>HYPERLINK("https://klasma.github.io/Logging_2184/kartor/A 8157-2025 karta.png", "A 8157-2025")</f>
        <v/>
      </c>
      <c r="Y800">
        <f>HYPERLINK("https://klasma.github.io/Logging_2184/kartor_geotiff/A 8157-2025 georefererad karta.tif", "A 8157-2025")</f>
        <v/>
      </c>
      <c r="AA800">
        <f>HYPERLINK("https://klasma.github.io/Logging_2184/klagomål/A 8157-2025 FSC-klagomål.docx", "A 8157-2025")</f>
        <v/>
      </c>
      <c r="AB800">
        <f>HYPERLINK("https://klasma.github.io/Logging_2184/klagomålsmail/A 8157-2025 FSC-klagomål mail.docx", "A 8157-2025")</f>
        <v/>
      </c>
      <c r="AC800">
        <f>HYPERLINK("https://klasma.github.io/Logging_2184/tillsyn/A 8157-2025 tillsynsbegäran.docx", "A 8157-2025")</f>
        <v/>
      </c>
      <c r="AD800">
        <f>HYPERLINK("https://klasma.github.io/Logging_2184/tillsynsmail/A 8157-2025 tillsynsbegäran mail.docx", "A 8157-2025")</f>
        <v/>
      </c>
    </row>
    <row r="801" ht="15" customHeight="1">
      <c r="A801" t="inlineStr">
        <is>
          <t>A 4844-2026</t>
        </is>
      </c>
      <c r="B801" t="inlineStr">
        <is>
          <t>avverkningsanmälan</t>
        </is>
      </c>
      <c r="C801" t="inlineStr">
        <is>
          <t>Föryngringsavverkning</t>
        </is>
      </c>
      <c r="D801" s="1" t="n">
        <v>46048</v>
      </c>
      <c r="E801" s="1" t="n">
        <v>46326</v>
      </c>
      <c r="F801" t="inlineStr">
        <is>
          <t>GÄVLEBORGS LÄN</t>
        </is>
      </c>
      <c r="G801" t="inlineStr">
        <is>
          <t>HUDIKSVALL</t>
        </is>
      </c>
      <c r="I801" t="n">
        <v>9.1</v>
      </c>
      <c r="J801" t="n">
        <v>0</v>
      </c>
      <c r="K801" t="n">
        <v>1</v>
      </c>
      <c r="L801" t="n">
        <v>0</v>
      </c>
      <c r="M801" t="n">
        <v>0</v>
      </c>
      <c r="N801" t="n">
        <v>0</v>
      </c>
      <c r="O801" t="n">
        <v>0</v>
      </c>
      <c r="P801" t="n">
        <v>0</v>
      </c>
      <c r="Q801" t="n">
        <v>0</v>
      </c>
      <c r="R801" t="n">
        <v>0</v>
      </c>
      <c r="S801" t="n">
        <v>1</v>
      </c>
      <c r="T801" t="n">
        <v>1</v>
      </c>
      <c r="U801" t="n">
        <v>0</v>
      </c>
      <c r="V801" s="2" t="inlineStr">
        <is>
          <t>Skinnlav</t>
        </is>
      </c>
      <c r="W801">
        <f>HYPERLINK("https://klasma.github.io/Logging_2184/artfynd/A 4844-2026 artfynd.xlsx", "A 4844-2026")</f>
        <v/>
      </c>
      <c r="X801">
        <f>HYPERLINK("https://klasma.github.io/Logging_2184/kartor/A 4844-2026 karta.png", "A 4844-2026")</f>
        <v/>
      </c>
      <c r="Y801">
        <f>HYPERLINK("https://klasma.github.io/Logging_2184/kartor_geotiff/A 4844-2026 georefererad karta.tif", "A 4844-2026")</f>
        <v/>
      </c>
      <c r="AA801">
        <f>HYPERLINK("https://klasma.github.io/Logging_2184/klagomål/A 4844-2026 FSC-klagomål.docx", "A 4844-2026")</f>
        <v/>
      </c>
      <c r="AB801">
        <f>HYPERLINK("https://klasma.github.io/Logging_2184/klagomålsmail/A 4844-2026 FSC-klagomål mail.docx", "A 4844-2026")</f>
        <v/>
      </c>
      <c r="AC801">
        <f>HYPERLINK("https://klasma.github.io/Logging_2184/tillsyn/A 4844-2026 tillsynsbegäran.docx", "A 4844-2026")</f>
        <v/>
      </c>
      <c r="AD801">
        <f>HYPERLINK("https://klasma.github.io/Logging_2184/tillsynsmail/A 4844-2026 tillsynsbegäran mail.docx", "A 4844-2026")</f>
        <v/>
      </c>
    </row>
    <row r="802" ht="15" customHeight="1">
      <c r="A802" t="inlineStr">
        <is>
          <t>A 4713-2026</t>
        </is>
      </c>
      <c r="B802" t="inlineStr">
        <is>
          <t>avverkningsanmälan</t>
        </is>
      </c>
      <c r="C802" t="inlineStr">
        <is>
          <t>Föryngringsavverkning</t>
        </is>
      </c>
      <c r="D802" s="1" t="n">
        <v>46048</v>
      </c>
      <c r="E802" s="1" t="n">
        <v>46326</v>
      </c>
      <c r="F802" t="inlineStr">
        <is>
          <t>GÄVLEBORGS LÄN</t>
        </is>
      </c>
      <c r="G802" t="inlineStr">
        <is>
          <t>OVANÅKER</t>
        </is>
      </c>
      <c r="I802" t="n">
        <v>4.1</v>
      </c>
      <c r="J802" t="n">
        <v>1</v>
      </c>
      <c r="K802" t="n">
        <v>0</v>
      </c>
      <c r="L802" t="n">
        <v>0</v>
      </c>
      <c r="M802" t="n">
        <v>0</v>
      </c>
      <c r="N802" t="n">
        <v>0</v>
      </c>
      <c r="O802" t="n">
        <v>0</v>
      </c>
      <c r="P802" t="n">
        <v>0</v>
      </c>
      <c r="Q802" t="n">
        <v>0</v>
      </c>
      <c r="R802" t="n">
        <v>0</v>
      </c>
      <c r="S802" t="n">
        <v>1</v>
      </c>
      <c r="T802" t="n">
        <v>1</v>
      </c>
      <c r="U802" t="n">
        <v>0</v>
      </c>
      <c r="V802" s="2" t="inlineStr">
        <is>
          <t>Kungsfågel</t>
        </is>
      </c>
      <c r="W802">
        <f>HYPERLINK("https://klasma.github.io/Logging_2121/artfynd/A 4713-2026 artfynd.xlsx", "A 4713-2026")</f>
        <v/>
      </c>
      <c r="X802">
        <f>HYPERLINK("https://klasma.github.io/Logging_2121/kartor/A 4713-2026 karta.png", "A 4713-2026")</f>
        <v/>
      </c>
      <c r="Y802">
        <f>HYPERLINK("https://klasma.github.io/Logging_2121/kartor_geotiff/A 4713-2026 georefererad karta.tif", "A 4713-2026")</f>
        <v/>
      </c>
      <c r="AA802">
        <f>HYPERLINK("https://klasma.github.io/Logging_2121/klagomål/A 4713-2026 FSC-klagomål.docx", "A 4713-2026")</f>
        <v/>
      </c>
      <c r="AB802">
        <f>HYPERLINK("https://klasma.github.io/Logging_2121/klagomålsmail/A 4713-2026 FSC-klagomål mail.docx", "A 4713-2026")</f>
        <v/>
      </c>
      <c r="AC802">
        <f>HYPERLINK("https://klasma.github.io/Logging_2121/tillsyn/A 4713-2026 tillsynsbegäran.docx", "A 4713-2026")</f>
        <v/>
      </c>
      <c r="AD802">
        <f>HYPERLINK("https://klasma.github.io/Logging_2121/tillsynsmail/A 4713-2026 tillsynsbegäran mail.docx", "A 4713-2026")</f>
        <v/>
      </c>
    </row>
    <row r="803" ht="15" customHeight="1">
      <c r="A803" t="inlineStr">
        <is>
          <t>A 46741-2025</t>
        </is>
      </c>
      <c r="B803" t="inlineStr">
        <is>
          <t>avverkningsanmälan</t>
        </is>
      </c>
      <c r="C803" t="inlineStr">
        <is>
          <t>Föryngringsavverkning</t>
        </is>
      </c>
      <c r="D803" s="1" t="n">
        <v>45926</v>
      </c>
      <c r="E803" s="1" t="n">
        <v>46326</v>
      </c>
      <c r="F803" t="inlineStr">
        <is>
          <t>GÄVLEBORGS LÄN</t>
        </is>
      </c>
      <c r="G803" t="inlineStr">
        <is>
          <t>LJUSDAL</t>
        </is>
      </c>
      <c r="H803" t="inlineStr">
        <is>
          <t>Sveaskog</t>
        </is>
      </c>
      <c r="I803" t="n">
        <v>5.5</v>
      </c>
      <c r="J803" t="n">
        <v>0</v>
      </c>
      <c r="K803" t="n">
        <v>0</v>
      </c>
      <c r="L803" t="n">
        <v>1</v>
      </c>
      <c r="M803" t="n">
        <v>0</v>
      </c>
      <c r="N803" t="n">
        <v>0</v>
      </c>
      <c r="O803" t="n">
        <v>0</v>
      </c>
      <c r="P803" t="n">
        <v>0</v>
      </c>
      <c r="Q803" t="n">
        <v>1</v>
      </c>
      <c r="R803" t="n">
        <v>0</v>
      </c>
      <c r="S803" t="n">
        <v>1</v>
      </c>
      <c r="T803" t="n">
        <v>1</v>
      </c>
      <c r="U803" t="n">
        <v>0</v>
      </c>
      <c r="V803" s="2" t="inlineStr">
        <is>
          <t>Vedskivlav</t>
        </is>
      </c>
      <c r="W803">
        <f>HYPERLINK("https://klasma.github.io/Logging_2161/artfynd/A 46741-2025 artfynd.xlsx", "A 46741-2025")</f>
        <v/>
      </c>
      <c r="X803">
        <f>HYPERLINK("https://klasma.github.io/Logging_2161/kartor/A 46741-2025 karta.png", "A 46741-2025")</f>
        <v/>
      </c>
      <c r="Y803">
        <f>HYPERLINK("https://klasma.github.io/Logging_2161/kartor_geotiff/A 46741-2025 georefererad karta.tif", "A 46741-2025")</f>
        <v/>
      </c>
      <c r="AA803">
        <f>HYPERLINK("https://klasma.github.io/Logging_2161/klagomål/A 46741-2025 FSC-klagomål.docx", "A 46741-2025")</f>
        <v/>
      </c>
      <c r="AB803">
        <f>HYPERLINK("https://klasma.github.io/Logging_2161/klagomålsmail/A 46741-2025 FSC-klagomål mail.docx", "A 46741-2025")</f>
        <v/>
      </c>
      <c r="AC803">
        <f>HYPERLINK("https://klasma.github.io/Logging_2161/tillsyn/A 46741-2025 tillsynsbegäran.docx", "A 46741-2025")</f>
        <v/>
      </c>
      <c r="AD803">
        <f>HYPERLINK("https://klasma.github.io/Logging_2161/tillsynsmail/A 46741-2025 tillsynsbegäran mail.docx", "A 46741-2025")</f>
        <v/>
      </c>
    </row>
    <row r="804" ht="15" customHeight="1">
      <c r="A804" t="inlineStr">
        <is>
          <t>A 35743-2025</t>
        </is>
      </c>
      <c r="B804" t="inlineStr">
        <is>
          <t>avverkningsanmälan</t>
        </is>
      </c>
      <c r="C804" t="inlineStr">
        <is>
          <t>Föryngringsavverkning</t>
        </is>
      </c>
      <c r="D804" s="1" t="n">
        <v>45860</v>
      </c>
      <c r="E804" s="1" t="n">
        <v>46326</v>
      </c>
      <c r="F804" t="inlineStr">
        <is>
          <t>GÄVLEBORGS LÄN</t>
        </is>
      </c>
      <c r="G804" t="inlineStr">
        <is>
          <t>HOFORS</t>
        </is>
      </c>
      <c r="H804" t="inlineStr">
        <is>
          <t>Sveaskog</t>
        </is>
      </c>
      <c r="I804" t="n">
        <v>1.4</v>
      </c>
      <c r="J804" t="n">
        <v>1</v>
      </c>
      <c r="K804" t="n">
        <v>0</v>
      </c>
      <c r="L804" t="n">
        <v>0</v>
      </c>
      <c r="M804" t="n">
        <v>0</v>
      </c>
      <c r="N804" t="n">
        <v>0</v>
      </c>
      <c r="O804" t="n">
        <v>0</v>
      </c>
      <c r="P804" t="n">
        <v>0</v>
      </c>
      <c r="Q804" t="n">
        <v>0</v>
      </c>
      <c r="R804" t="n">
        <v>0</v>
      </c>
      <c r="S804" t="n">
        <v>1</v>
      </c>
      <c r="T804" t="n">
        <v>1</v>
      </c>
      <c r="U804" t="n">
        <v>0</v>
      </c>
      <c r="V804" s="2" t="inlineStr">
        <is>
          <t>Mattlummer</t>
        </is>
      </c>
      <c r="W804">
        <f>HYPERLINK("https://klasma.github.io/Logging_2104/artfynd/A 35743-2025 artfynd.xlsx", "A 35743-2025")</f>
        <v/>
      </c>
      <c r="X804">
        <f>HYPERLINK("https://klasma.github.io/Logging_2104/kartor/A 35743-2025 karta.png", "A 35743-2025")</f>
        <v/>
      </c>
      <c r="Y804">
        <f>HYPERLINK("https://klasma.github.io/Logging_2104/kartor_geotiff/A 35743-2025 georefererad karta.tif", "A 35743-2025")</f>
        <v/>
      </c>
      <c r="AA804">
        <f>HYPERLINK("https://klasma.github.io/Logging_2104/klagomål/A 35743-2025 FSC-klagomål.docx", "A 35743-2025")</f>
        <v/>
      </c>
      <c r="AB804">
        <f>HYPERLINK("https://klasma.github.io/Logging_2104/klagomålsmail/A 35743-2025 FSC-klagomål mail.docx", "A 35743-2025")</f>
        <v/>
      </c>
      <c r="AC804">
        <f>HYPERLINK("https://klasma.github.io/Logging_2104/tillsyn/A 35743-2025 tillsynsbegäran.docx", "A 35743-2025")</f>
        <v/>
      </c>
      <c r="AD804">
        <f>HYPERLINK("https://klasma.github.io/Logging_2104/tillsynsmail/A 35743-2025 tillsynsbegäran mail.docx", "A 35743-2025")</f>
        <v/>
      </c>
    </row>
    <row r="805" ht="15" customHeight="1">
      <c r="A805" t="inlineStr">
        <is>
          <t>A 57946-2023</t>
        </is>
      </c>
      <c r="B805" t="inlineStr">
        <is>
          <t>avverkningsanmälan</t>
        </is>
      </c>
      <c r="C805" t="inlineStr">
        <is>
          <t>Föryngringsavverkning</t>
        </is>
      </c>
      <c r="D805" s="1" t="n">
        <v>45247</v>
      </c>
      <c r="E805" s="1" t="n">
        <v>46326</v>
      </c>
      <c r="F805" t="inlineStr">
        <is>
          <t>GÄVLEBORGS LÄN</t>
        </is>
      </c>
      <c r="G805" t="inlineStr">
        <is>
          <t>OCKELBO</t>
        </is>
      </c>
      <c r="H805" t="inlineStr">
        <is>
          <t>Bergvik skog väst AB</t>
        </is>
      </c>
      <c r="I805" t="n">
        <v>2.4</v>
      </c>
      <c r="J805" t="n">
        <v>1</v>
      </c>
      <c r="K805" t="n">
        <v>0</v>
      </c>
      <c r="L805" t="n">
        <v>0</v>
      </c>
      <c r="M805" t="n">
        <v>0</v>
      </c>
      <c r="N805" t="n">
        <v>0</v>
      </c>
      <c r="O805" t="n">
        <v>0</v>
      </c>
      <c r="P805" t="n">
        <v>0</v>
      </c>
      <c r="Q805" t="n">
        <v>0</v>
      </c>
      <c r="R805" t="n">
        <v>0</v>
      </c>
      <c r="S805" t="n">
        <v>1</v>
      </c>
      <c r="T805" t="n">
        <v>1</v>
      </c>
      <c r="U805" t="n">
        <v>1</v>
      </c>
      <c r="V805" s="2" t="inlineStr">
        <is>
          <t>Revlummer</t>
        </is>
      </c>
      <c r="W805">
        <f>HYPERLINK("https://klasma.github.io/Logging_2101/artfynd/A 57946-2023 artfynd.xlsx", "A 57946-2023")</f>
        <v/>
      </c>
      <c r="X805">
        <f>HYPERLINK("https://klasma.github.io/Logging_2101/kartor/A 57946-2023 karta.png", "A 57946-2023")</f>
        <v/>
      </c>
      <c r="Y805">
        <f>HYPERLINK("https://klasma.github.io/Logging_2101/kartor_geotiff/A 57946-2023 georefererad karta.tif", "A 57946-2023")</f>
        <v/>
      </c>
      <c r="AA805">
        <f>HYPERLINK("https://klasma.github.io/Logging_2101/klagomål/A 57946-2023 FSC-klagomål.docx", "A 57946-2023")</f>
        <v/>
      </c>
      <c r="AB805">
        <f>HYPERLINK("https://klasma.github.io/Logging_2101/klagomålsmail/A 57946-2023 FSC-klagomål mail.docx", "A 57946-2023")</f>
        <v/>
      </c>
      <c r="AC805">
        <f>HYPERLINK("https://klasma.github.io/Logging_2101/tillsyn/A 57946-2023 tillsynsbegäran.docx", "A 57946-2023")</f>
        <v/>
      </c>
      <c r="AD805">
        <f>HYPERLINK("https://klasma.github.io/Logging_2101/tillsynsmail/A 57946-2023 tillsynsbegäran mail.docx", "A 57946-2023")</f>
        <v/>
      </c>
    </row>
    <row r="806" ht="15" customHeight="1">
      <c r="A806" t="inlineStr">
        <is>
          <t>A 46997-2025</t>
        </is>
      </c>
      <c r="B806" t="inlineStr">
        <is>
          <t>avverkningsanmälan</t>
        </is>
      </c>
      <c r="C806" t="inlineStr">
        <is>
          <t>Föryngringsavverkning</t>
        </is>
      </c>
      <c r="D806" s="1" t="n">
        <v>45929</v>
      </c>
      <c r="E806" s="1" t="n">
        <v>46326</v>
      </c>
      <c r="F806" t="inlineStr">
        <is>
          <t>GÄVLEBORGS LÄN</t>
        </is>
      </c>
      <c r="G806" t="inlineStr">
        <is>
          <t>BOLLNÄS</t>
        </is>
      </c>
      <c r="I806" t="n">
        <v>2.1</v>
      </c>
      <c r="J806" t="n">
        <v>0</v>
      </c>
      <c r="K806" t="n">
        <v>0</v>
      </c>
      <c r="L806" t="n">
        <v>0</v>
      </c>
      <c r="M806" t="n">
        <v>1</v>
      </c>
      <c r="N806" t="n">
        <v>0</v>
      </c>
      <c r="O806" t="n">
        <v>0</v>
      </c>
      <c r="P806" t="n">
        <v>0</v>
      </c>
      <c r="Q806" t="n">
        <v>1</v>
      </c>
      <c r="R806" t="n">
        <v>1</v>
      </c>
      <c r="S806" t="n">
        <v>1</v>
      </c>
      <c r="T806" t="n">
        <v>1</v>
      </c>
      <c r="U806" t="n">
        <v>0</v>
      </c>
      <c r="V806" s="2" t="inlineStr">
        <is>
          <t>Ryl</t>
        </is>
      </c>
      <c r="W806">
        <f>HYPERLINK("https://klasma.github.io/Logging_2183/artfynd/A 46997-2025 artfynd.xlsx", "A 46997-2025")</f>
        <v/>
      </c>
      <c r="X806">
        <f>HYPERLINK("https://klasma.github.io/Logging_2183/kartor/A 46997-2025 karta.png", "A 46997-2025")</f>
        <v/>
      </c>
      <c r="Y806">
        <f>HYPERLINK("https://klasma.github.io/Logging_2183/kartor_geotiff/A 46997-2025 georefererad karta.tif", "A 46997-2025")</f>
        <v/>
      </c>
      <c r="AA806">
        <f>HYPERLINK("https://klasma.github.io/Logging_2183/klagomål/A 46997-2025 FSC-klagomål.docx", "A 46997-2025")</f>
        <v/>
      </c>
      <c r="AB806">
        <f>HYPERLINK("https://klasma.github.io/Logging_2183/klagomålsmail/A 46997-2025 FSC-klagomål mail.docx", "A 46997-2025")</f>
        <v/>
      </c>
      <c r="AC806">
        <f>HYPERLINK("https://klasma.github.io/Logging_2183/tillsyn/A 46997-2025 tillsynsbegäran.docx", "A 46997-2025")</f>
        <v/>
      </c>
      <c r="AD806">
        <f>HYPERLINK("https://klasma.github.io/Logging_2183/tillsynsmail/A 46997-2025 tillsynsbegäran mail.docx", "A 46997-2025")</f>
        <v/>
      </c>
    </row>
    <row r="807" ht="15" customHeight="1">
      <c r="A807" t="inlineStr">
        <is>
          <t>A 46481-2024</t>
        </is>
      </c>
      <c r="B807" t="inlineStr">
        <is>
          <t>avverkningsanmälan</t>
        </is>
      </c>
      <c r="C807" t="inlineStr">
        <is>
          <t>Föryngringsavverkning</t>
        </is>
      </c>
      <c r="D807" s="1" t="n">
        <v>45582</v>
      </c>
      <c r="E807" s="1" t="n">
        <v>46326</v>
      </c>
      <c r="F807" t="inlineStr">
        <is>
          <t>GÄVLEBORGS LÄN</t>
        </is>
      </c>
      <c r="G807" t="inlineStr">
        <is>
          <t>OCKELBO</t>
        </is>
      </c>
      <c r="H807" t="inlineStr">
        <is>
          <t>Bergvik skog väst AB</t>
        </is>
      </c>
      <c r="I807" t="n">
        <v>2</v>
      </c>
      <c r="J807" t="n">
        <v>0</v>
      </c>
      <c r="K807" t="n">
        <v>0</v>
      </c>
      <c r="L807" t="n">
        <v>1</v>
      </c>
      <c r="M807" t="n">
        <v>0</v>
      </c>
      <c r="N807" t="n">
        <v>0</v>
      </c>
      <c r="O807" t="n">
        <v>0</v>
      </c>
      <c r="P807" t="n">
        <v>0</v>
      </c>
      <c r="Q807" t="n">
        <v>1</v>
      </c>
      <c r="R807" t="n">
        <v>0</v>
      </c>
      <c r="S807" t="n">
        <v>1</v>
      </c>
      <c r="T807" t="n">
        <v>1</v>
      </c>
      <c r="U807" t="n">
        <v>0</v>
      </c>
      <c r="V807" s="2" t="inlineStr">
        <is>
          <t>Dropptaggsvamp</t>
        </is>
      </c>
      <c r="W807">
        <f>HYPERLINK("https://klasma.github.io/Logging_2101/artfynd/A 46481-2024 artfynd.xlsx", "A 46481-2024")</f>
        <v/>
      </c>
      <c r="X807">
        <f>HYPERLINK("https://klasma.github.io/Logging_2101/kartor/A 46481-2024 karta.png", "A 46481-2024")</f>
        <v/>
      </c>
      <c r="Y807">
        <f>HYPERLINK("https://klasma.github.io/Logging_2101/kartor_geotiff/A 46481-2024 georefererad karta.tif", "A 46481-2024")</f>
        <v/>
      </c>
      <c r="AA807">
        <f>HYPERLINK("https://klasma.github.io/Logging_2101/klagomål/A 46481-2024 FSC-klagomål.docx", "A 46481-2024")</f>
        <v/>
      </c>
      <c r="AB807">
        <f>HYPERLINK("https://klasma.github.io/Logging_2101/klagomålsmail/A 46481-2024 FSC-klagomål mail.docx", "A 46481-2024")</f>
        <v/>
      </c>
      <c r="AC807">
        <f>HYPERLINK("https://klasma.github.io/Logging_2101/tillsyn/A 46481-2024 tillsynsbegäran.docx", "A 46481-2024")</f>
        <v/>
      </c>
      <c r="AD807">
        <f>HYPERLINK("https://klasma.github.io/Logging_2101/tillsynsmail/A 46481-2024 tillsynsbegäran mail.docx", "A 46481-2024")</f>
        <v/>
      </c>
    </row>
    <row r="808" ht="15" customHeight="1">
      <c r="A808" t="inlineStr">
        <is>
          <t>A 36058-2025</t>
        </is>
      </c>
      <c r="B808" t="inlineStr">
        <is>
          <t>avverkningsanmälan</t>
        </is>
      </c>
      <c r="C808" t="inlineStr">
        <is>
          <t>Föryngringsavverkning</t>
        </is>
      </c>
      <c r="D808" s="1" t="n">
        <v>45866</v>
      </c>
      <c r="E808" s="1" t="n">
        <v>46326</v>
      </c>
      <c r="F808" t="inlineStr">
        <is>
          <t>GÄVLEBORGS LÄN</t>
        </is>
      </c>
      <c r="G808" t="inlineStr">
        <is>
          <t>LJUSDAL</t>
        </is>
      </c>
      <c r="H808" t="inlineStr">
        <is>
          <t>Bergvik skog väst AB</t>
        </is>
      </c>
      <c r="I808" t="n">
        <v>6.2</v>
      </c>
      <c r="J808" t="n">
        <v>0</v>
      </c>
      <c r="K808" t="n">
        <v>0</v>
      </c>
      <c r="L808" t="n">
        <v>0</v>
      </c>
      <c r="M808" t="n">
        <v>1</v>
      </c>
      <c r="N808" t="n">
        <v>0</v>
      </c>
      <c r="O808" t="n">
        <v>0</v>
      </c>
      <c r="P808" t="n">
        <v>0</v>
      </c>
      <c r="Q808" t="n">
        <v>1</v>
      </c>
      <c r="R808" t="n">
        <v>1</v>
      </c>
      <c r="S808" t="n">
        <v>1</v>
      </c>
      <c r="T808" t="n">
        <v>1</v>
      </c>
      <c r="U808" t="n">
        <v>1</v>
      </c>
      <c r="V808" s="2" t="inlineStr">
        <is>
          <t>Garnlav</t>
        </is>
      </c>
      <c r="W808">
        <f>HYPERLINK("https://klasma.github.io/Logging_2161/artfynd/A 36058-2025 artfynd.xlsx", "A 36058-2025")</f>
        <v/>
      </c>
      <c r="X808">
        <f>HYPERLINK("https://klasma.github.io/Logging_2161/kartor/A 36058-2025 karta.png", "A 36058-2025")</f>
        <v/>
      </c>
      <c r="Y808">
        <f>HYPERLINK("https://klasma.github.io/Logging_2161/kartor_geotiff/A 36058-2025 georefererad karta.tif", "A 36058-2025")</f>
        <v/>
      </c>
      <c r="AA808">
        <f>HYPERLINK("https://klasma.github.io/Logging_2161/klagomål/A 36058-2025 FSC-klagomål.docx", "A 36058-2025")</f>
        <v/>
      </c>
      <c r="AB808">
        <f>HYPERLINK("https://klasma.github.io/Logging_2161/klagomålsmail/A 36058-2025 FSC-klagomål mail.docx", "A 36058-2025")</f>
        <v/>
      </c>
      <c r="AC808">
        <f>HYPERLINK("https://klasma.github.io/Logging_2161/tillsyn/A 36058-2025 tillsynsbegäran.docx", "A 36058-2025")</f>
        <v/>
      </c>
      <c r="AD808">
        <f>HYPERLINK("https://klasma.github.io/Logging_2161/tillsynsmail/A 36058-2025 tillsynsbegäran mail.docx", "A 36058-2025")</f>
        <v/>
      </c>
    </row>
    <row r="809" ht="15" customHeight="1">
      <c r="A809" t="inlineStr">
        <is>
          <t>A 47000-2025</t>
        </is>
      </c>
      <c r="B809" t="inlineStr">
        <is>
          <t>avverkningsanmälan</t>
        </is>
      </c>
      <c r="C809" t="inlineStr">
        <is>
          <t>Föryngringsavverkning</t>
        </is>
      </c>
      <c r="D809" s="1" t="n">
        <v>45929</v>
      </c>
      <c r="E809" s="1" t="n">
        <v>46326</v>
      </c>
      <c r="F809" t="inlineStr">
        <is>
          <t>GÄVLEBORGS LÄN</t>
        </is>
      </c>
      <c r="G809" t="inlineStr">
        <is>
          <t>BOLLNÄS</t>
        </is>
      </c>
      <c r="I809" t="n">
        <v>1.8</v>
      </c>
      <c r="J809" t="n">
        <v>1</v>
      </c>
      <c r="K809" t="n">
        <v>0</v>
      </c>
      <c r="L809" t="n">
        <v>0</v>
      </c>
      <c r="M809" t="n">
        <v>0</v>
      </c>
      <c r="N809" t="n">
        <v>0</v>
      </c>
      <c r="O809" t="n">
        <v>0</v>
      </c>
      <c r="P809" t="n">
        <v>0</v>
      </c>
      <c r="Q809" t="n">
        <v>0</v>
      </c>
      <c r="R809" t="n">
        <v>0</v>
      </c>
      <c r="S809" t="n">
        <v>1</v>
      </c>
      <c r="T809" t="n">
        <v>1</v>
      </c>
      <c r="U809" t="n">
        <v>1</v>
      </c>
      <c r="V809" s="2" t="inlineStr">
        <is>
          <t>Fläcknycklar</t>
        </is>
      </c>
      <c r="W809">
        <f>HYPERLINK("https://klasma.github.io/Logging_2183/artfynd/A 47000-2025 artfynd.xlsx", "A 47000-2025")</f>
        <v/>
      </c>
      <c r="X809">
        <f>HYPERLINK("https://klasma.github.io/Logging_2183/kartor/A 47000-2025 karta.png", "A 47000-2025")</f>
        <v/>
      </c>
      <c r="Y809">
        <f>HYPERLINK("https://klasma.github.io/Logging_2183/kartor_geotiff/A 47000-2025 georefererad karta.tif", "A 47000-2025")</f>
        <v/>
      </c>
      <c r="AA809">
        <f>HYPERLINK("https://klasma.github.io/Logging_2183/klagomål/A 47000-2025 FSC-klagomål.docx", "A 47000-2025")</f>
        <v/>
      </c>
      <c r="AB809">
        <f>HYPERLINK("https://klasma.github.io/Logging_2183/klagomålsmail/A 47000-2025 FSC-klagomål mail.docx", "A 47000-2025")</f>
        <v/>
      </c>
      <c r="AC809">
        <f>HYPERLINK("https://klasma.github.io/Logging_2183/tillsyn/A 47000-2025 tillsynsbegäran.docx", "A 47000-2025")</f>
        <v/>
      </c>
      <c r="AD809">
        <f>HYPERLINK("https://klasma.github.io/Logging_2183/tillsynsmail/A 47000-2025 tillsynsbegäran mail.docx", "A 47000-2025")</f>
        <v/>
      </c>
    </row>
    <row r="810" ht="15" customHeight="1">
      <c r="A810" t="inlineStr">
        <is>
          <t>A 45427-2023</t>
        </is>
      </c>
      <c r="B810" t="inlineStr">
        <is>
          <t>avverkningsanmälan</t>
        </is>
      </c>
      <c r="C810" t="inlineStr">
        <is>
          <t>Föryngringsavverkning</t>
        </is>
      </c>
      <c r="D810" s="1" t="n">
        <v>45194</v>
      </c>
      <c r="E810" s="1" t="n">
        <v>46326</v>
      </c>
      <c r="F810" t="inlineStr">
        <is>
          <t>GÄVLEBORGS LÄN</t>
        </is>
      </c>
      <c r="G810" t="inlineStr">
        <is>
          <t>SANDVIKEN</t>
        </is>
      </c>
      <c r="H810" t="inlineStr">
        <is>
          <t>Bergvik skog öst AB</t>
        </is>
      </c>
      <c r="I810" t="n">
        <v>3.5</v>
      </c>
      <c r="J810" t="n">
        <v>1</v>
      </c>
      <c r="K810" t="n">
        <v>0</v>
      </c>
      <c r="L810" t="n">
        <v>0</v>
      </c>
      <c r="M810" t="n">
        <v>0</v>
      </c>
      <c r="N810" t="n">
        <v>0</v>
      </c>
      <c r="O810" t="n">
        <v>0</v>
      </c>
      <c r="P810" t="n">
        <v>0</v>
      </c>
      <c r="Q810" t="n">
        <v>0</v>
      </c>
      <c r="R810" t="n">
        <v>0</v>
      </c>
      <c r="S810" t="n">
        <v>1</v>
      </c>
      <c r="T810" t="n">
        <v>1</v>
      </c>
      <c r="U810" t="n">
        <v>1</v>
      </c>
      <c r="V810" s="2" t="inlineStr">
        <is>
          <t>Mattlummer</t>
        </is>
      </c>
      <c r="W810">
        <f>HYPERLINK("https://klasma.github.io/Logging_2181/artfynd/A 45427-2023 artfynd.xlsx", "A 45427-2023")</f>
        <v/>
      </c>
      <c r="X810">
        <f>HYPERLINK("https://klasma.github.io/Logging_2181/kartor/A 45427-2023 karta.png", "A 45427-2023")</f>
        <v/>
      </c>
      <c r="Y810">
        <f>HYPERLINK("https://klasma.github.io/Logging_2181/kartor_geotiff/A 45427-2023 georefererad karta.tif", "A 45427-2023")</f>
        <v/>
      </c>
      <c r="AA810">
        <f>HYPERLINK("https://klasma.github.io/Logging_2181/klagomål/A 45427-2023 FSC-klagomål.docx", "A 45427-2023")</f>
        <v/>
      </c>
      <c r="AB810">
        <f>HYPERLINK("https://klasma.github.io/Logging_2181/klagomålsmail/A 45427-2023 FSC-klagomål mail.docx", "A 45427-2023")</f>
        <v/>
      </c>
      <c r="AC810">
        <f>HYPERLINK("https://klasma.github.io/Logging_2181/tillsyn/A 45427-2023 tillsynsbegäran.docx", "A 45427-2023")</f>
        <v/>
      </c>
      <c r="AD810">
        <f>HYPERLINK("https://klasma.github.io/Logging_2181/tillsynsmail/A 45427-2023 tillsynsbegäran mail.docx", "A 45427-2023")</f>
        <v/>
      </c>
    </row>
    <row r="811" ht="15" customHeight="1">
      <c r="A811" t="inlineStr">
        <is>
          <t>A 18967-2025</t>
        </is>
      </c>
      <c r="B811" t="inlineStr">
        <is>
          <t>avverkningsanmälan</t>
        </is>
      </c>
      <c r="C811" t="inlineStr">
        <is>
          <t>Föryngringsavverkning</t>
        </is>
      </c>
      <c r="D811" s="1" t="n">
        <v>45764</v>
      </c>
      <c r="E811" s="1" t="n">
        <v>46326</v>
      </c>
      <c r="F811" t="inlineStr">
        <is>
          <t>GÄVLEBORGS LÄN</t>
        </is>
      </c>
      <c r="G811" t="inlineStr">
        <is>
          <t>LJUSDAL</t>
        </is>
      </c>
      <c r="H811" t="inlineStr">
        <is>
          <t>Sveaskog</t>
        </is>
      </c>
      <c r="I811" t="n">
        <v>6.8</v>
      </c>
      <c r="J811" t="n">
        <v>0</v>
      </c>
      <c r="K811" t="n">
        <v>0</v>
      </c>
      <c r="L811" t="n">
        <v>1</v>
      </c>
      <c r="M811" t="n">
        <v>0</v>
      </c>
      <c r="N811" t="n">
        <v>0</v>
      </c>
      <c r="O811" t="n">
        <v>0</v>
      </c>
      <c r="P811" t="n">
        <v>0</v>
      </c>
      <c r="Q811" t="n">
        <v>1</v>
      </c>
      <c r="R811" t="n">
        <v>0</v>
      </c>
      <c r="S811" t="n">
        <v>1</v>
      </c>
      <c r="T811" t="n">
        <v>1</v>
      </c>
      <c r="U811" t="n">
        <v>1</v>
      </c>
      <c r="V811" s="2" t="inlineStr">
        <is>
          <t>Lunglav</t>
        </is>
      </c>
      <c r="W811">
        <f>HYPERLINK("https://klasma.github.io/Logging_2161/artfynd/A 18967-2025 artfynd.xlsx", "A 18967-2025")</f>
        <v/>
      </c>
      <c r="X811">
        <f>HYPERLINK("https://klasma.github.io/Logging_2161/kartor/A 18967-2025 karta.png", "A 18967-2025")</f>
        <v/>
      </c>
      <c r="Y811">
        <f>HYPERLINK("https://klasma.github.io/Logging_2161/kartor_geotiff/A 18967-2025 georefererad karta.tif", "A 18967-2025")</f>
        <v/>
      </c>
      <c r="AA811">
        <f>HYPERLINK("https://klasma.github.io/Logging_2161/klagomål/A 18967-2025 FSC-klagomål.docx", "A 18967-2025")</f>
        <v/>
      </c>
      <c r="AB811">
        <f>HYPERLINK("https://klasma.github.io/Logging_2161/klagomålsmail/A 18967-2025 FSC-klagomål mail.docx", "A 18967-2025")</f>
        <v/>
      </c>
      <c r="AC811">
        <f>HYPERLINK("https://klasma.github.io/Logging_2161/tillsyn/A 18967-2025 tillsynsbegäran.docx", "A 18967-2025")</f>
        <v/>
      </c>
      <c r="AD811">
        <f>HYPERLINK("https://klasma.github.io/Logging_2161/tillsynsmail/A 18967-2025 tillsynsbegäran mail.docx", "A 18967-2025")</f>
        <v/>
      </c>
    </row>
    <row r="812" ht="15" customHeight="1">
      <c r="A812" t="inlineStr">
        <is>
          <t>A 55048-2022</t>
        </is>
      </c>
      <c r="B812" t="inlineStr">
        <is>
          <t>avverkningsanmälan</t>
        </is>
      </c>
      <c r="C812" t="inlineStr">
        <is>
          <t>Föryngringsavverkning</t>
        </is>
      </c>
      <c r="D812" s="1" t="n">
        <v>44886</v>
      </c>
      <c r="E812" s="1" t="n">
        <v>46326</v>
      </c>
      <c r="F812" t="inlineStr">
        <is>
          <t>GÄVLEBORGS LÄN</t>
        </is>
      </c>
      <c r="G812" t="inlineStr">
        <is>
          <t>BOLLNÄS</t>
        </is>
      </c>
      <c r="H812" t="inlineStr">
        <is>
          <t>Sveaskog</t>
        </is>
      </c>
      <c r="I812" t="n">
        <v>0.5</v>
      </c>
      <c r="J812" t="n">
        <v>1</v>
      </c>
      <c r="K812" t="n">
        <v>0</v>
      </c>
      <c r="L812" t="n">
        <v>0</v>
      </c>
      <c r="M812" t="n">
        <v>0</v>
      </c>
      <c r="N812" t="n">
        <v>0</v>
      </c>
      <c r="O812" t="n">
        <v>0</v>
      </c>
      <c r="P812" t="n">
        <v>0</v>
      </c>
      <c r="Q812" t="n">
        <v>0</v>
      </c>
      <c r="R812" t="n">
        <v>0</v>
      </c>
      <c r="S812" t="n">
        <v>1</v>
      </c>
      <c r="T812" t="n">
        <v>1</v>
      </c>
      <c r="U812" t="n">
        <v>1</v>
      </c>
      <c r="V812" s="2" t="inlineStr">
        <is>
          <t>Fläcknycklar</t>
        </is>
      </c>
      <c r="W812">
        <f>HYPERLINK("https://klasma.github.io/Logging_2183/artfynd/A 55048-2022 artfynd.xlsx", "A 55048-2022")</f>
        <v/>
      </c>
      <c r="X812">
        <f>HYPERLINK("https://klasma.github.io/Logging_2183/kartor/A 55048-2022 karta.png", "A 55048-2022")</f>
        <v/>
      </c>
      <c r="Y812">
        <f>HYPERLINK("https://klasma.github.io/Logging_2183/kartor_geotiff/A 55048-2022 georefererad karta.tif", "A 55048-2022")</f>
        <v/>
      </c>
      <c r="AA812">
        <f>HYPERLINK("https://klasma.github.io/Logging_2183/klagomål/A 55048-2022 FSC-klagomål.docx", "A 55048-2022")</f>
        <v/>
      </c>
      <c r="AB812">
        <f>HYPERLINK("https://klasma.github.io/Logging_2183/klagomålsmail/A 55048-2022 FSC-klagomål mail.docx", "A 55048-2022")</f>
        <v/>
      </c>
      <c r="AC812">
        <f>HYPERLINK("https://klasma.github.io/Logging_2183/tillsyn/A 55048-2022 tillsynsbegäran.docx", "A 55048-2022")</f>
        <v/>
      </c>
      <c r="AD812">
        <f>HYPERLINK("https://klasma.github.io/Logging_2183/tillsynsmail/A 55048-2022 tillsynsbegäran mail.docx", "A 55048-2022")</f>
        <v/>
      </c>
    </row>
    <row r="813" ht="15" customHeight="1">
      <c r="A813" t="inlineStr">
        <is>
          <t>A 47174-2025</t>
        </is>
      </c>
      <c r="B813" t="inlineStr">
        <is>
          <t>avverkningsanmälan</t>
        </is>
      </c>
      <c r="C813" t="inlineStr">
        <is>
          <t>Föryngringsavverkning</t>
        </is>
      </c>
      <c r="D813" s="1" t="n">
        <v>45930</v>
      </c>
      <c r="E813" s="1" t="n">
        <v>46326</v>
      </c>
      <c r="F813" t="inlineStr">
        <is>
          <t>GÄVLEBORGS LÄN</t>
        </is>
      </c>
      <c r="G813" t="inlineStr">
        <is>
          <t>SANDVIKEN</t>
        </is>
      </c>
      <c r="I813" t="n">
        <v>0.8</v>
      </c>
      <c r="J813" t="n">
        <v>0</v>
      </c>
      <c r="K813" t="n">
        <v>0</v>
      </c>
      <c r="L813" t="n">
        <v>0</v>
      </c>
      <c r="M813" t="n">
        <v>1</v>
      </c>
      <c r="N813" t="n">
        <v>0</v>
      </c>
      <c r="O813" t="n">
        <v>0</v>
      </c>
      <c r="P813" t="n">
        <v>0</v>
      </c>
      <c r="Q813" t="n">
        <v>1</v>
      </c>
      <c r="R813" t="n">
        <v>1</v>
      </c>
      <c r="S813" t="n">
        <v>1</v>
      </c>
      <c r="T813" t="n">
        <v>1</v>
      </c>
      <c r="U813" t="n">
        <v>1</v>
      </c>
      <c r="V813" s="2" t="inlineStr">
        <is>
          <t>Garnlav</t>
        </is>
      </c>
      <c r="W813">
        <f>HYPERLINK("https://klasma.github.io/Logging_2181/artfynd/A 47174-2025 artfynd.xlsx", "A 47174-2025")</f>
        <v/>
      </c>
      <c r="X813">
        <f>HYPERLINK("https://klasma.github.io/Logging_2181/kartor/A 47174-2025 karta.png", "A 47174-2025")</f>
        <v/>
      </c>
      <c r="Y813">
        <f>HYPERLINK("https://klasma.github.io/Logging_2181/kartor_geotiff/A 47174-2025 georefererad karta.tif", "A 47174-2025")</f>
        <v/>
      </c>
      <c r="AA813">
        <f>HYPERLINK("https://klasma.github.io/Logging_2181/klagomål/A 47174-2025 FSC-klagomål.docx", "A 47174-2025")</f>
        <v/>
      </c>
      <c r="AB813">
        <f>HYPERLINK("https://klasma.github.io/Logging_2181/klagomålsmail/A 47174-2025 FSC-klagomål mail.docx", "A 47174-2025")</f>
        <v/>
      </c>
      <c r="AC813">
        <f>HYPERLINK("https://klasma.github.io/Logging_2181/tillsyn/A 47174-2025 tillsynsbegäran.docx", "A 47174-2025")</f>
        <v/>
      </c>
      <c r="AD813">
        <f>HYPERLINK("https://klasma.github.io/Logging_2181/tillsynsmail/A 47174-2025 tillsynsbegäran mail.docx", "A 47174-2025")</f>
        <v/>
      </c>
    </row>
    <row r="814" ht="15" customHeight="1">
      <c r="A814" t="inlineStr">
        <is>
          <t>A 36417-2025</t>
        </is>
      </c>
      <c r="B814" t="inlineStr">
        <is>
          <t>avverkningsanmälan</t>
        </is>
      </c>
      <c r="C814" t="inlineStr">
        <is>
          <t>Föryngringsavverkning</t>
        </is>
      </c>
      <c r="D814" s="1" t="n">
        <v>45868</v>
      </c>
      <c r="E814" s="1" t="n">
        <v>46326</v>
      </c>
      <c r="F814" t="inlineStr">
        <is>
          <t>GÄVLEBORGS LÄN</t>
        </is>
      </c>
      <c r="G814" t="inlineStr">
        <is>
          <t>SANDVIKEN</t>
        </is>
      </c>
      <c r="H814" t="inlineStr">
        <is>
          <t>Sveaskog</t>
        </is>
      </c>
      <c r="I814" t="n">
        <v>3.9</v>
      </c>
      <c r="J814" t="n">
        <v>1</v>
      </c>
      <c r="K814" t="n">
        <v>0</v>
      </c>
      <c r="L814" t="n">
        <v>0</v>
      </c>
      <c r="M814" t="n">
        <v>1</v>
      </c>
      <c r="N814" t="n">
        <v>0</v>
      </c>
      <c r="O814" t="n">
        <v>0</v>
      </c>
      <c r="P814" t="n">
        <v>0</v>
      </c>
      <c r="Q814" t="n">
        <v>1</v>
      </c>
      <c r="R814" t="n">
        <v>1</v>
      </c>
      <c r="S814" t="n">
        <v>1</v>
      </c>
      <c r="T814" t="n">
        <v>1</v>
      </c>
      <c r="U814" t="n">
        <v>0</v>
      </c>
      <c r="V814" s="2" t="inlineStr">
        <is>
          <t>Knärot</t>
        </is>
      </c>
      <c r="W814">
        <f>HYPERLINK("https://klasma.github.io/Logging_2181/artfynd/A 36417-2025 artfynd.xlsx", "A 36417-2025")</f>
        <v/>
      </c>
      <c r="X814">
        <f>HYPERLINK("https://klasma.github.io/Logging_2181/kartor/A 36417-2025 karta.png", "A 36417-2025")</f>
        <v/>
      </c>
      <c r="Y814">
        <f>HYPERLINK("https://klasma.github.io/Logging_2181/kartor_geotiff/A 36417-2025 georefererad karta.tif", "A 36417-2025")</f>
        <v/>
      </c>
      <c r="Z814">
        <f>HYPERLINK("https://klasma.github.io/Logging_2181/knärot/A 36417-2025 karta knärot.png", "A 36417-2025")</f>
        <v/>
      </c>
      <c r="AA814">
        <f>HYPERLINK("https://klasma.github.io/Logging_2181/klagomål/A 36417-2025 FSC-klagomål.docx", "A 36417-2025")</f>
        <v/>
      </c>
      <c r="AB814">
        <f>HYPERLINK("https://klasma.github.io/Logging_2181/klagomålsmail/A 36417-2025 FSC-klagomål mail.docx", "A 36417-2025")</f>
        <v/>
      </c>
      <c r="AC814">
        <f>HYPERLINK("https://klasma.github.io/Logging_2181/tillsyn/A 36417-2025 tillsynsbegäran.docx", "A 36417-2025")</f>
        <v/>
      </c>
      <c r="AD814">
        <f>HYPERLINK("https://klasma.github.io/Logging_2181/tillsynsmail/A 36417-2025 tillsynsbegäran mail.docx", "A 36417-2025")</f>
        <v/>
      </c>
    </row>
    <row r="815" ht="15" customHeight="1">
      <c r="A815" t="inlineStr">
        <is>
          <t>A 48300-2025</t>
        </is>
      </c>
      <c r="B815" t="inlineStr">
        <is>
          <t>avverkningsanmälan</t>
        </is>
      </c>
      <c r="C815" t="inlineStr">
        <is>
          <t>Föryngringsavverkning</t>
        </is>
      </c>
      <c r="D815" s="1" t="n">
        <v>45933</v>
      </c>
      <c r="E815" s="1" t="n">
        <v>46326</v>
      </c>
      <c r="F815" t="inlineStr">
        <is>
          <t>GÄVLEBORGS LÄN</t>
        </is>
      </c>
      <c r="G815" t="inlineStr">
        <is>
          <t>LJUSDAL</t>
        </is>
      </c>
      <c r="H815" t="inlineStr">
        <is>
          <t>Sveaskog</t>
        </is>
      </c>
      <c r="I815" t="n">
        <v>8.800000000000001</v>
      </c>
      <c r="J815" t="n">
        <v>0</v>
      </c>
      <c r="K815" t="n">
        <v>0</v>
      </c>
      <c r="L815" t="n">
        <v>0</v>
      </c>
      <c r="M815" t="n">
        <v>1</v>
      </c>
      <c r="N815" t="n">
        <v>0</v>
      </c>
      <c r="O815" t="n">
        <v>0</v>
      </c>
      <c r="P815" t="n">
        <v>0</v>
      </c>
      <c r="Q815" t="n">
        <v>1</v>
      </c>
      <c r="R815" t="n">
        <v>1</v>
      </c>
      <c r="S815" t="n">
        <v>1</v>
      </c>
      <c r="T815" t="n">
        <v>1</v>
      </c>
      <c r="U815" t="n">
        <v>1</v>
      </c>
      <c r="V815" s="2" t="inlineStr">
        <is>
          <t>Garnlav</t>
        </is>
      </c>
      <c r="W815">
        <f>HYPERLINK("https://klasma.github.io/Logging_2161/artfynd/A 48300-2025 artfynd.xlsx", "A 48300-2025")</f>
        <v/>
      </c>
      <c r="X815">
        <f>HYPERLINK("https://klasma.github.io/Logging_2161/kartor/A 48300-2025 karta.png", "A 48300-2025")</f>
        <v/>
      </c>
      <c r="Y815">
        <f>HYPERLINK("https://klasma.github.io/Logging_2161/kartor_geotiff/A 48300-2025 georefererad karta.tif", "A 48300-2025")</f>
        <v/>
      </c>
      <c r="AA815">
        <f>HYPERLINK("https://klasma.github.io/Logging_2161/klagomål/A 48300-2025 FSC-klagomål.docx", "A 48300-2025")</f>
        <v/>
      </c>
      <c r="AB815">
        <f>HYPERLINK("https://klasma.github.io/Logging_2161/klagomålsmail/A 48300-2025 FSC-klagomål mail.docx", "A 48300-2025")</f>
        <v/>
      </c>
      <c r="AC815">
        <f>HYPERLINK("https://klasma.github.io/Logging_2161/tillsyn/A 48300-2025 tillsynsbegäran.docx", "A 48300-2025")</f>
        <v/>
      </c>
      <c r="AD815">
        <f>HYPERLINK("https://klasma.github.io/Logging_2161/tillsynsmail/A 48300-2025 tillsynsbegäran mail.docx", "A 48300-2025")</f>
        <v/>
      </c>
    </row>
    <row r="816" ht="15" customHeight="1">
      <c r="A816" t="inlineStr">
        <is>
          <t>A 28875-2025</t>
        </is>
      </c>
      <c r="B816" t="inlineStr">
        <is>
          <t>avverkningsanmälan</t>
        </is>
      </c>
      <c r="C816" t="inlineStr">
        <is>
          <t>Föryngringsavverkning</t>
        </is>
      </c>
      <c r="D816" s="1" t="n">
        <v>45820</v>
      </c>
      <c r="E816" s="1" t="n">
        <v>46326</v>
      </c>
      <c r="F816" t="inlineStr">
        <is>
          <t>GÄVLEBORGS LÄN</t>
        </is>
      </c>
      <c r="G816" t="inlineStr">
        <is>
          <t>GÄVLE</t>
        </is>
      </c>
      <c r="H816" t="inlineStr">
        <is>
          <t>Bergvik skog väst AB</t>
        </is>
      </c>
      <c r="I816" t="n">
        <v>43.3</v>
      </c>
      <c r="J816" t="n">
        <v>1</v>
      </c>
      <c r="K816" t="n">
        <v>0</v>
      </c>
      <c r="L816" t="n">
        <v>0</v>
      </c>
      <c r="M816" t="n">
        <v>0</v>
      </c>
      <c r="N816" t="n">
        <v>0</v>
      </c>
      <c r="O816" t="n">
        <v>0</v>
      </c>
      <c r="P816" t="n">
        <v>0</v>
      </c>
      <c r="Q816" t="n">
        <v>0</v>
      </c>
      <c r="R816" t="n">
        <v>0</v>
      </c>
      <c r="S816" t="n">
        <v>1</v>
      </c>
      <c r="T816" t="n">
        <v>1</v>
      </c>
      <c r="U816" t="n">
        <v>1</v>
      </c>
      <c r="V816" s="2" t="inlineStr">
        <is>
          <t>Revlummer</t>
        </is>
      </c>
      <c r="W816">
        <f>HYPERLINK("https://klasma.github.io/Logging_2180/artfynd/A 28875-2025 artfynd.xlsx", "A 28875-2025")</f>
        <v/>
      </c>
      <c r="X816">
        <f>HYPERLINK("https://klasma.github.io/Logging_2180/kartor/A 28875-2025 karta.png", "A 28875-2025")</f>
        <v/>
      </c>
      <c r="Y816">
        <f>HYPERLINK("https://klasma.github.io/Logging_2180/kartor_geotiff/A 28875-2025 georefererad karta.tif", "A 28875-2025")</f>
        <v/>
      </c>
      <c r="AA816">
        <f>HYPERLINK("https://klasma.github.io/Logging_2180/klagomål/A 28875-2025 FSC-klagomål.docx", "A 28875-2025")</f>
        <v/>
      </c>
      <c r="AB816">
        <f>HYPERLINK("https://klasma.github.io/Logging_2180/klagomålsmail/A 28875-2025 FSC-klagomål mail.docx", "A 28875-2025")</f>
        <v/>
      </c>
      <c r="AC816">
        <f>HYPERLINK("https://klasma.github.io/Logging_2180/tillsyn/A 28875-2025 tillsynsbegäran.docx", "A 28875-2025")</f>
        <v/>
      </c>
      <c r="AD816">
        <f>HYPERLINK("https://klasma.github.io/Logging_2180/tillsynsmail/A 28875-2025 tillsynsbegäran mail.docx", "A 28875-2025")</f>
        <v/>
      </c>
    </row>
    <row r="817" ht="15" customHeight="1">
      <c r="A817" t="inlineStr">
        <is>
          <t>A 36606-2025</t>
        </is>
      </c>
      <c r="B817" t="inlineStr">
        <is>
          <t>avverkningsanmälan</t>
        </is>
      </c>
      <c r="C817" t="inlineStr">
        <is>
          <t>Föryngringsavverkning</t>
        </is>
      </c>
      <c r="D817" s="1" t="n">
        <v>45870</v>
      </c>
      <c r="E817" s="1" t="n">
        <v>46326</v>
      </c>
      <c r="F817" t="inlineStr">
        <is>
          <t>GÄVLEBORGS LÄN</t>
        </is>
      </c>
      <c r="G817" t="inlineStr">
        <is>
          <t>HOFORS</t>
        </is>
      </c>
      <c r="H817" t="inlineStr">
        <is>
          <t>Sveaskog</t>
        </is>
      </c>
      <c r="I817" t="n">
        <v>13.3</v>
      </c>
      <c r="J817" t="n">
        <v>0</v>
      </c>
      <c r="K817" t="n">
        <v>0</v>
      </c>
      <c r="L817" t="n">
        <v>1</v>
      </c>
      <c r="M817" t="n">
        <v>0</v>
      </c>
      <c r="N817" t="n">
        <v>0</v>
      </c>
      <c r="O817" t="n">
        <v>0</v>
      </c>
      <c r="P817" t="n">
        <v>0</v>
      </c>
      <c r="Q817" t="n">
        <v>1</v>
      </c>
      <c r="R817" t="n">
        <v>0</v>
      </c>
      <c r="S817" t="n">
        <v>1</v>
      </c>
      <c r="T817" t="n">
        <v>1</v>
      </c>
      <c r="U817" t="n">
        <v>0</v>
      </c>
      <c r="V817" s="2" t="inlineStr">
        <is>
          <t>Brunklöver</t>
        </is>
      </c>
      <c r="W817">
        <f>HYPERLINK("https://klasma.github.io/Logging_2104/artfynd/A 36606-2025 artfynd.xlsx", "A 36606-2025")</f>
        <v/>
      </c>
      <c r="X817">
        <f>HYPERLINK("https://klasma.github.io/Logging_2104/kartor/A 36606-2025 karta.png", "A 36606-2025")</f>
        <v/>
      </c>
      <c r="Y817">
        <f>HYPERLINK("https://klasma.github.io/Logging_2104/kartor_geotiff/A 36606-2025 georefererad karta.tif", "A 36606-2025")</f>
        <v/>
      </c>
      <c r="AA817">
        <f>HYPERLINK("https://klasma.github.io/Logging_2104/klagomål/A 36606-2025 FSC-klagomål.docx", "A 36606-2025")</f>
        <v/>
      </c>
      <c r="AB817">
        <f>HYPERLINK("https://klasma.github.io/Logging_2104/klagomålsmail/A 36606-2025 FSC-klagomål mail.docx", "A 36606-2025")</f>
        <v/>
      </c>
      <c r="AC817">
        <f>HYPERLINK("https://klasma.github.io/Logging_2104/tillsyn/A 36606-2025 tillsynsbegäran.docx", "A 36606-2025")</f>
        <v/>
      </c>
      <c r="AD817">
        <f>HYPERLINK("https://klasma.github.io/Logging_2104/tillsynsmail/A 36606-2025 tillsynsbegäran mail.docx", "A 36606-2025")</f>
        <v/>
      </c>
    </row>
    <row r="818" ht="15" customHeight="1">
      <c r="A818" t="inlineStr">
        <is>
          <t>A 11411-2025</t>
        </is>
      </c>
      <c r="B818" t="inlineStr">
        <is>
          <t>avverkningsanmälan</t>
        </is>
      </c>
      <c r="C818" t="inlineStr">
        <is>
          <t>Föryngringsavverkning</t>
        </is>
      </c>
      <c r="D818" s="1" t="n">
        <v>45726</v>
      </c>
      <c r="E818" s="1" t="n">
        <v>46326</v>
      </c>
      <c r="F818" t="inlineStr">
        <is>
          <t>GÄVLEBORGS LÄN</t>
        </is>
      </c>
      <c r="G818" t="inlineStr">
        <is>
          <t>GÄVLE</t>
        </is>
      </c>
      <c r="I818" t="n">
        <v>2.4</v>
      </c>
      <c r="J818" t="n">
        <v>1</v>
      </c>
      <c r="K818" t="n">
        <v>0</v>
      </c>
      <c r="L818" t="n">
        <v>0</v>
      </c>
      <c r="M818" t="n">
        <v>0</v>
      </c>
      <c r="N818" t="n">
        <v>0</v>
      </c>
      <c r="O818" t="n">
        <v>0</v>
      </c>
      <c r="P818" t="n">
        <v>0</v>
      </c>
      <c r="Q818" t="n">
        <v>0</v>
      </c>
      <c r="R818" t="n">
        <v>0</v>
      </c>
      <c r="S818" t="n">
        <v>1</v>
      </c>
      <c r="T818" t="n">
        <v>1</v>
      </c>
      <c r="U818" t="n">
        <v>1</v>
      </c>
      <c r="V818" s="2" t="inlineStr">
        <is>
          <t>Blåsippa</t>
        </is>
      </c>
      <c r="W818">
        <f>HYPERLINK("https://klasma.github.io/Logging_2180/artfynd/A 11411-2025 artfynd.xlsx", "A 11411-2025")</f>
        <v/>
      </c>
      <c r="X818">
        <f>HYPERLINK("https://klasma.github.io/Logging_2180/kartor/A 11411-2025 karta.png", "A 11411-2025")</f>
        <v/>
      </c>
      <c r="Y818">
        <f>HYPERLINK("https://klasma.github.io/Logging_2180/kartor_geotiff/A 11411-2025 georefererad karta.tif", "A 11411-2025")</f>
        <v/>
      </c>
      <c r="AA818">
        <f>HYPERLINK("https://klasma.github.io/Logging_2180/klagomål/A 11411-2025 FSC-klagomål.docx", "A 11411-2025")</f>
        <v/>
      </c>
      <c r="AB818">
        <f>HYPERLINK("https://klasma.github.io/Logging_2180/klagomålsmail/A 11411-2025 FSC-klagomål mail.docx", "A 11411-2025")</f>
        <v/>
      </c>
      <c r="AC818">
        <f>HYPERLINK("https://klasma.github.io/Logging_2180/tillsyn/A 11411-2025 tillsynsbegäran.docx", "A 11411-2025")</f>
        <v/>
      </c>
      <c r="AD818">
        <f>HYPERLINK("https://klasma.github.io/Logging_2180/tillsynsmail/A 11411-2025 tillsynsbegäran mail.docx", "A 11411-2025")</f>
        <v/>
      </c>
    </row>
    <row r="819" ht="15" customHeight="1">
      <c r="A819" t="inlineStr">
        <is>
          <t>A 37012-2025</t>
        </is>
      </c>
      <c r="B819" t="inlineStr">
        <is>
          <t>avverkningsanmälan</t>
        </is>
      </c>
      <c r="C819" t="inlineStr">
        <is>
          <t>Föryngringsavverkning</t>
        </is>
      </c>
      <c r="D819" s="1" t="n">
        <v>45874</v>
      </c>
      <c r="E819" s="1" t="n">
        <v>46326</v>
      </c>
      <c r="F819" t="inlineStr">
        <is>
          <t>GÄVLEBORGS LÄN</t>
        </is>
      </c>
      <c r="G819" t="inlineStr">
        <is>
          <t>HOFORS</t>
        </is>
      </c>
      <c r="H819" t="inlineStr">
        <is>
          <t>Sveaskog</t>
        </is>
      </c>
      <c r="I819" t="n">
        <v>3.7</v>
      </c>
      <c r="J819" t="n">
        <v>0</v>
      </c>
      <c r="K819" t="n">
        <v>0</v>
      </c>
      <c r="L819" t="n">
        <v>1</v>
      </c>
      <c r="M819" t="n">
        <v>0</v>
      </c>
      <c r="N819" t="n">
        <v>0</v>
      </c>
      <c r="O819" t="n">
        <v>0</v>
      </c>
      <c r="P819" t="n">
        <v>0</v>
      </c>
      <c r="Q819" t="n">
        <v>1</v>
      </c>
      <c r="R819" t="n">
        <v>0</v>
      </c>
      <c r="S819" t="n">
        <v>1</v>
      </c>
      <c r="T819" t="n">
        <v>1</v>
      </c>
      <c r="U819" t="n">
        <v>1</v>
      </c>
      <c r="V819" s="2" t="inlineStr">
        <is>
          <t>Motaggsvamp</t>
        </is>
      </c>
      <c r="W819">
        <f>HYPERLINK("https://klasma.github.io/Logging_2104/artfynd/A 37012-2025 artfynd.xlsx", "A 37012-2025")</f>
        <v/>
      </c>
      <c r="X819">
        <f>HYPERLINK("https://klasma.github.io/Logging_2104/kartor/A 37012-2025 karta.png", "A 37012-2025")</f>
        <v/>
      </c>
      <c r="Y819">
        <f>HYPERLINK("https://klasma.github.io/Logging_2104/kartor_geotiff/A 37012-2025 georefererad karta.tif", "A 37012-2025")</f>
        <v/>
      </c>
      <c r="AA819">
        <f>HYPERLINK("https://klasma.github.io/Logging_2104/klagomål/A 37012-2025 FSC-klagomål.docx", "A 37012-2025")</f>
        <v/>
      </c>
      <c r="AB819">
        <f>HYPERLINK("https://klasma.github.io/Logging_2104/klagomålsmail/A 37012-2025 FSC-klagomål mail.docx", "A 37012-2025")</f>
        <v/>
      </c>
      <c r="AC819">
        <f>HYPERLINK("https://klasma.github.io/Logging_2104/tillsyn/A 37012-2025 tillsynsbegäran.docx", "A 37012-2025")</f>
        <v/>
      </c>
      <c r="AD819">
        <f>HYPERLINK("https://klasma.github.io/Logging_2104/tillsynsmail/A 37012-2025 tillsynsbegäran mail.docx", "A 37012-2025")</f>
        <v/>
      </c>
    </row>
    <row r="820" ht="15" customHeight="1">
      <c r="A820" t="inlineStr">
        <is>
          <t>A 41258-2022</t>
        </is>
      </c>
      <c r="B820" t="inlineStr">
        <is>
          <t>avverkningsanmälan</t>
        </is>
      </c>
      <c r="C820" t="inlineStr">
        <is>
          <t>Föryngringsavverkning</t>
        </is>
      </c>
      <c r="D820" s="1" t="n">
        <v>44826</v>
      </c>
      <c r="E820" s="1" t="n">
        <v>46326</v>
      </c>
      <c r="F820" t="inlineStr">
        <is>
          <t>GÄVLEBORGS LÄN</t>
        </is>
      </c>
      <c r="G820" t="inlineStr">
        <is>
          <t>SÖDERHAMN</t>
        </is>
      </c>
      <c r="I820" t="n">
        <v>0.8</v>
      </c>
      <c r="J820" t="n">
        <v>0</v>
      </c>
      <c r="K820" t="n">
        <v>0</v>
      </c>
      <c r="L820" t="n">
        <v>1</v>
      </c>
      <c r="M820" t="n">
        <v>0</v>
      </c>
      <c r="N820" t="n">
        <v>0</v>
      </c>
      <c r="O820" t="n">
        <v>0</v>
      </c>
      <c r="P820" t="n">
        <v>0</v>
      </c>
      <c r="Q820" t="n">
        <v>1</v>
      </c>
      <c r="R820" t="n">
        <v>0</v>
      </c>
      <c r="S820" t="n">
        <v>1</v>
      </c>
      <c r="T820" t="n">
        <v>1</v>
      </c>
      <c r="U820" t="n">
        <v>0</v>
      </c>
      <c r="V820" s="2" t="inlineStr">
        <is>
          <t>Rosenticka</t>
        </is>
      </c>
      <c r="W820">
        <f>HYPERLINK("https://klasma.github.io/Logging_2182/artfynd/A 41258-2022 artfynd.xlsx", "A 41258-2022")</f>
        <v/>
      </c>
      <c r="X820">
        <f>HYPERLINK("https://klasma.github.io/Logging_2182/kartor/A 41258-2022 karta.png", "A 41258-2022")</f>
        <v/>
      </c>
      <c r="Y820">
        <f>HYPERLINK("https://klasma.github.io/Logging_2182/kartor_geotiff/A 41258-2022 georefererad karta.tif", "A 41258-2022")</f>
        <v/>
      </c>
      <c r="AA820">
        <f>HYPERLINK("https://klasma.github.io/Logging_2182/klagomål/A 41258-2022 FSC-klagomål.docx", "A 41258-2022")</f>
        <v/>
      </c>
      <c r="AB820">
        <f>HYPERLINK("https://klasma.github.io/Logging_2182/klagomålsmail/A 41258-2022 FSC-klagomål mail.docx", "A 41258-2022")</f>
        <v/>
      </c>
      <c r="AC820">
        <f>HYPERLINK("https://klasma.github.io/Logging_2182/tillsyn/A 41258-2022 tillsynsbegäran.docx", "A 41258-2022")</f>
        <v/>
      </c>
      <c r="AD820">
        <f>HYPERLINK("https://klasma.github.io/Logging_2182/tillsynsmail/A 41258-2022 tillsynsbegäran mail.docx", "A 41258-2022")</f>
        <v/>
      </c>
    </row>
    <row r="821" ht="15" customHeight="1">
      <c r="A821" t="inlineStr">
        <is>
          <t>A 58239-2024</t>
        </is>
      </c>
      <c r="B821" t="inlineStr">
        <is>
          <t>avverkningsanmälan</t>
        </is>
      </c>
      <c r="C821" t="inlineStr">
        <is>
          <t>Föryngringsavverkning</t>
        </is>
      </c>
      <c r="D821" s="1" t="n">
        <v>45632</v>
      </c>
      <c r="E821" s="1" t="n">
        <v>46326</v>
      </c>
      <c r="F821" t="inlineStr">
        <is>
          <t>GÄVLEBORGS LÄN</t>
        </is>
      </c>
      <c r="G821" t="inlineStr">
        <is>
          <t>HUDIKSVALL</t>
        </is>
      </c>
      <c r="H821" t="inlineStr">
        <is>
          <t>Holmen skog AB</t>
        </is>
      </c>
      <c r="I821" t="n">
        <v>4.3</v>
      </c>
      <c r="J821" t="n">
        <v>1</v>
      </c>
      <c r="K821" t="n">
        <v>0</v>
      </c>
      <c r="L821" t="n">
        <v>1</v>
      </c>
      <c r="M821" t="n">
        <v>0</v>
      </c>
      <c r="N821" t="n">
        <v>0</v>
      </c>
      <c r="O821" t="n">
        <v>0</v>
      </c>
      <c r="P821" t="n">
        <v>0</v>
      </c>
      <c r="Q821" t="n">
        <v>1</v>
      </c>
      <c r="R821" t="n">
        <v>0</v>
      </c>
      <c r="S821" t="n">
        <v>1</v>
      </c>
      <c r="T821" t="n">
        <v>1</v>
      </c>
      <c r="U821" t="n">
        <v>0</v>
      </c>
      <c r="V821" s="2" t="inlineStr">
        <is>
          <t>Kungsörn</t>
        </is>
      </c>
      <c r="W821">
        <f>HYPERLINK("https://klasma.github.io/Logging_2184/artfynd/A 58239-2024 artfynd.xlsx", "A 58239-2024")</f>
        <v/>
      </c>
      <c r="X821">
        <f>HYPERLINK("https://klasma.github.io/Logging_2184/kartor/A 58239-2024 karta.png", "A 58239-2024")</f>
        <v/>
      </c>
      <c r="Y821">
        <f>HYPERLINK("https://klasma.github.io/Logging_2184/kartor_geotiff/A 58239-2024 georefererad karta.tif", "A 58239-2024")</f>
        <v/>
      </c>
      <c r="AA821">
        <f>HYPERLINK("https://klasma.github.io/Logging_2184/klagomål/A 58239-2024 FSC-klagomål.docx", "A 58239-2024")</f>
        <v/>
      </c>
      <c r="AB821">
        <f>HYPERLINK("https://klasma.github.io/Logging_2184/klagomålsmail/A 58239-2024 FSC-klagomål mail.docx", "A 58239-2024")</f>
        <v/>
      </c>
      <c r="AC821">
        <f>HYPERLINK("https://klasma.github.io/Logging_2184/tillsyn/A 58239-2024 tillsynsbegäran.docx", "A 58239-2024")</f>
        <v/>
      </c>
      <c r="AD821">
        <f>HYPERLINK("https://klasma.github.io/Logging_2184/tillsynsmail/A 58239-2024 tillsynsbegäran mail.docx", "A 58239-2024")</f>
        <v/>
      </c>
      <c r="AE821">
        <f>HYPERLINK("https://klasma.github.io/Logging_2184/fåglar/A 58239-2024 prioriterade fågelarter.docx", "A 58239-2024")</f>
        <v/>
      </c>
    </row>
    <row r="822" ht="15" customHeight="1">
      <c r="A822" t="inlineStr">
        <is>
          <t>A 47605-2025</t>
        </is>
      </c>
      <c r="B822" t="inlineStr">
        <is>
          <t>avverkningsanmälan</t>
        </is>
      </c>
      <c r="C822" t="inlineStr">
        <is>
          <t>Föryngringsavverkning</t>
        </is>
      </c>
      <c r="D822" s="1" t="n">
        <v>45931</v>
      </c>
      <c r="E822" s="1" t="n">
        <v>46326</v>
      </c>
      <c r="F822" t="inlineStr">
        <is>
          <t>GÄVLEBORGS LÄN</t>
        </is>
      </c>
      <c r="G822" t="inlineStr">
        <is>
          <t>NORDANSTIG</t>
        </is>
      </c>
      <c r="H822" t="inlineStr">
        <is>
          <t>Holmen skog AB</t>
        </is>
      </c>
      <c r="I822" t="n">
        <v>11.7</v>
      </c>
      <c r="J822" t="n">
        <v>1</v>
      </c>
      <c r="K822" t="n">
        <v>0</v>
      </c>
      <c r="L822" t="n">
        <v>0</v>
      </c>
      <c r="M822" t="n">
        <v>0</v>
      </c>
      <c r="N822" t="n">
        <v>0</v>
      </c>
      <c r="O822" t="n">
        <v>0</v>
      </c>
      <c r="P822" t="n">
        <v>0</v>
      </c>
      <c r="Q822" t="n">
        <v>0</v>
      </c>
      <c r="R822" t="n">
        <v>0</v>
      </c>
      <c r="S822" t="n">
        <v>1</v>
      </c>
      <c r="T822" t="n">
        <v>3</v>
      </c>
      <c r="U822" t="n">
        <v>1</v>
      </c>
      <c r="V822" s="2" t="inlineStr">
        <is>
          <t>Tjäder</t>
        </is>
      </c>
      <c r="W822">
        <f>HYPERLINK("https://klasma.github.io/Logging_2132/artfynd/A 47605-2025 artfynd.xlsx", "A 47605-2025")</f>
        <v/>
      </c>
      <c r="X822">
        <f>HYPERLINK("https://klasma.github.io/Logging_2132/kartor/A 47605-2025 karta.png", "A 47605-2025")</f>
        <v/>
      </c>
      <c r="Y822">
        <f>HYPERLINK("https://klasma.github.io/Logging_2132/kartor_geotiff/A 47605-2025 georefererad karta.tif", "A 47605-2025")</f>
        <v/>
      </c>
      <c r="AA822">
        <f>HYPERLINK("https://klasma.github.io/Logging_2132/klagomål/A 47605-2025 FSC-klagomål.docx", "A 47605-2025")</f>
        <v/>
      </c>
      <c r="AB822">
        <f>HYPERLINK("https://klasma.github.io/Logging_2132/klagomålsmail/A 47605-2025 FSC-klagomål mail.docx", "A 47605-2025")</f>
        <v/>
      </c>
      <c r="AC822">
        <f>HYPERLINK("https://klasma.github.io/Logging_2132/tillsyn/A 47605-2025 tillsynsbegäran.docx", "A 47605-2025")</f>
        <v/>
      </c>
      <c r="AD822">
        <f>HYPERLINK("https://klasma.github.io/Logging_2132/tillsynsmail/A 47605-2025 tillsynsbegäran mail.docx", "A 47605-2025")</f>
        <v/>
      </c>
      <c r="AE822">
        <f>HYPERLINK("https://klasma.github.io/Logging_2132/fåglar/A 47605-2025 prioriterade fågelarter.docx", "A 47605-2025")</f>
        <v/>
      </c>
    </row>
    <row r="823" ht="15" customHeight="1">
      <c r="A823" t="inlineStr">
        <is>
          <t>A 30008-2024</t>
        </is>
      </c>
      <c r="B823" t="inlineStr">
        <is>
          <t>avverkningsanmälan</t>
        </is>
      </c>
      <c r="C823" t="inlineStr">
        <is>
          <t>Föryngringsavverkning</t>
        </is>
      </c>
      <c r="D823" s="1" t="n">
        <v>45488</v>
      </c>
      <c r="E823" s="1" t="n">
        <v>46326</v>
      </c>
      <c r="F823" t="inlineStr">
        <is>
          <t>GÄVLEBORGS LÄN</t>
        </is>
      </c>
      <c r="G823" t="inlineStr">
        <is>
          <t>HOFORS</t>
        </is>
      </c>
      <c r="H823" t="inlineStr">
        <is>
          <t>Sveaskog</t>
        </is>
      </c>
      <c r="I823" t="n">
        <v>0.8</v>
      </c>
      <c r="J823" t="n">
        <v>0</v>
      </c>
      <c r="K823" t="n">
        <v>1</v>
      </c>
      <c r="L823" t="n">
        <v>0</v>
      </c>
      <c r="M823" t="n">
        <v>0</v>
      </c>
      <c r="N823" t="n">
        <v>0</v>
      </c>
      <c r="O823" t="n">
        <v>0</v>
      </c>
      <c r="P823" t="n">
        <v>0</v>
      </c>
      <c r="Q823" t="n">
        <v>0</v>
      </c>
      <c r="R823" t="n">
        <v>0</v>
      </c>
      <c r="S823" t="n">
        <v>1</v>
      </c>
      <c r="T823" t="n">
        <v>1</v>
      </c>
      <c r="U823" t="n">
        <v>1</v>
      </c>
      <c r="V823" s="2" t="inlineStr">
        <is>
          <t>Tibast</t>
        </is>
      </c>
      <c r="W823">
        <f>HYPERLINK("https://klasma.github.io/Logging_2104/artfynd/A 30008-2024 artfynd.xlsx", "A 30008-2024")</f>
        <v/>
      </c>
      <c r="X823">
        <f>HYPERLINK("https://klasma.github.io/Logging_2104/kartor/A 30008-2024 karta.png", "A 30008-2024")</f>
        <v/>
      </c>
      <c r="Y823">
        <f>HYPERLINK("https://klasma.github.io/Logging_2104/kartor_geotiff/A 30008-2024 georefererad karta.tif", "A 30008-2024")</f>
        <v/>
      </c>
      <c r="AA823">
        <f>HYPERLINK("https://klasma.github.io/Logging_2104/klagomål/A 30008-2024 FSC-klagomål.docx", "A 30008-2024")</f>
        <v/>
      </c>
      <c r="AB823">
        <f>HYPERLINK("https://klasma.github.io/Logging_2104/klagomålsmail/A 30008-2024 FSC-klagomål mail.docx", "A 30008-2024")</f>
        <v/>
      </c>
      <c r="AC823">
        <f>HYPERLINK("https://klasma.github.io/Logging_2104/tillsyn/A 30008-2024 tillsynsbegäran.docx", "A 30008-2024")</f>
        <v/>
      </c>
      <c r="AD823">
        <f>HYPERLINK("https://klasma.github.io/Logging_2104/tillsynsmail/A 30008-2024 tillsynsbegäran mail.docx", "A 30008-2024")</f>
        <v/>
      </c>
    </row>
    <row r="824" ht="15" customHeight="1">
      <c r="A824" t="inlineStr">
        <is>
          <t>A 49393-2025</t>
        </is>
      </c>
      <c r="B824" t="inlineStr">
        <is>
          <t>avverkningsanmälan</t>
        </is>
      </c>
      <c r="C824" t="inlineStr">
        <is>
          <t>Föryngringsavverkning</t>
        </is>
      </c>
      <c r="D824" s="1" t="n">
        <v>45938</v>
      </c>
      <c r="E824" s="1" t="n">
        <v>46326</v>
      </c>
      <c r="F824" t="inlineStr">
        <is>
          <t>GÄVLEBORGS LÄN</t>
        </is>
      </c>
      <c r="G824" t="inlineStr">
        <is>
          <t>GÄVLE</t>
        </is>
      </c>
      <c r="H824" t="inlineStr">
        <is>
          <t>Bergvik skog väst AB</t>
        </is>
      </c>
      <c r="I824" t="n">
        <v>1.9</v>
      </c>
      <c r="J824" t="n">
        <v>1</v>
      </c>
      <c r="K824" t="n">
        <v>0</v>
      </c>
      <c r="L824" t="n">
        <v>0</v>
      </c>
      <c r="M824" t="n">
        <v>0</v>
      </c>
      <c r="N824" t="n">
        <v>0</v>
      </c>
      <c r="O824" t="n">
        <v>0</v>
      </c>
      <c r="P824" t="n">
        <v>0</v>
      </c>
      <c r="Q824" t="n">
        <v>0</v>
      </c>
      <c r="R824" t="n">
        <v>0</v>
      </c>
      <c r="S824" t="n">
        <v>1</v>
      </c>
      <c r="T824" t="n">
        <v>1</v>
      </c>
      <c r="U824" t="n">
        <v>0</v>
      </c>
      <c r="V824" s="2" t="inlineStr">
        <is>
          <t>Revlummer</t>
        </is>
      </c>
      <c r="W824">
        <f>HYPERLINK("https://klasma.github.io/Logging_2180/artfynd/A 49393-2025 artfynd.xlsx", "A 49393-2025")</f>
        <v/>
      </c>
      <c r="X824">
        <f>HYPERLINK("https://klasma.github.io/Logging_2180/kartor/A 49393-2025 karta.png", "A 49393-2025")</f>
        <v/>
      </c>
      <c r="Y824">
        <f>HYPERLINK("https://klasma.github.io/Logging_2180/kartor_geotiff/A 49393-2025 georefererad karta.tif", "A 49393-2025")</f>
        <v/>
      </c>
      <c r="AA824">
        <f>HYPERLINK("https://klasma.github.io/Logging_2180/klagomål/A 49393-2025 FSC-klagomål.docx", "A 49393-2025")</f>
        <v/>
      </c>
      <c r="AB824">
        <f>HYPERLINK("https://klasma.github.io/Logging_2180/klagomålsmail/A 49393-2025 FSC-klagomål mail.docx", "A 49393-2025")</f>
        <v/>
      </c>
      <c r="AC824">
        <f>HYPERLINK("https://klasma.github.io/Logging_2180/tillsyn/A 49393-2025 tillsynsbegäran.docx", "A 49393-2025")</f>
        <v/>
      </c>
      <c r="AD824">
        <f>HYPERLINK("https://klasma.github.io/Logging_2180/tillsynsmail/A 49393-2025 tillsynsbegäran mail.docx", "A 49393-2025")</f>
        <v/>
      </c>
    </row>
    <row r="825" ht="15" customHeight="1">
      <c r="A825" t="inlineStr">
        <is>
          <t>A 49815-2024</t>
        </is>
      </c>
      <c r="B825" t="inlineStr">
        <is>
          <t>avverkningsanmälan</t>
        </is>
      </c>
      <c r="C825" t="inlineStr">
        <is>
          <t>Föryngringsavverkning</t>
        </is>
      </c>
      <c r="D825" s="1" t="n">
        <v>45597</v>
      </c>
      <c r="E825" s="1" t="n">
        <v>46326</v>
      </c>
      <c r="F825" t="inlineStr">
        <is>
          <t>GÄVLEBORGS LÄN</t>
        </is>
      </c>
      <c r="G825" t="inlineStr">
        <is>
          <t>HOFORS</t>
        </is>
      </c>
      <c r="I825" t="n">
        <v>0.9</v>
      </c>
      <c r="J825" t="n">
        <v>0</v>
      </c>
      <c r="K825" t="n">
        <v>0</v>
      </c>
      <c r="L825" t="n">
        <v>1</v>
      </c>
      <c r="M825" t="n">
        <v>0</v>
      </c>
      <c r="N825" t="n">
        <v>0</v>
      </c>
      <c r="O825" t="n">
        <v>0</v>
      </c>
      <c r="P825" t="n">
        <v>0</v>
      </c>
      <c r="Q825" t="n">
        <v>1</v>
      </c>
      <c r="R825" t="n">
        <v>0</v>
      </c>
      <c r="S825" t="n">
        <v>1</v>
      </c>
      <c r="T825" t="n">
        <v>1</v>
      </c>
      <c r="U825" t="n">
        <v>0</v>
      </c>
      <c r="V825" s="2" t="inlineStr">
        <is>
          <t>Brunklöver</t>
        </is>
      </c>
      <c r="W825">
        <f>HYPERLINK("https://klasma.github.io/Logging_2104/artfynd/A 49815-2024 artfynd.xlsx", "A 49815-2024")</f>
        <v/>
      </c>
      <c r="X825">
        <f>HYPERLINK("https://klasma.github.io/Logging_2104/kartor/A 49815-2024 karta.png", "A 49815-2024")</f>
        <v/>
      </c>
      <c r="Y825">
        <f>HYPERLINK("https://klasma.github.io/Logging_2104/kartor_geotiff/A 49815-2024 georefererad karta.tif", "A 49815-2024")</f>
        <v/>
      </c>
      <c r="AA825">
        <f>HYPERLINK("https://klasma.github.io/Logging_2104/klagomål/A 49815-2024 FSC-klagomål.docx", "A 49815-2024")</f>
        <v/>
      </c>
      <c r="AB825">
        <f>HYPERLINK("https://klasma.github.io/Logging_2104/klagomålsmail/A 49815-2024 FSC-klagomål mail.docx", "A 49815-2024")</f>
        <v/>
      </c>
      <c r="AC825">
        <f>HYPERLINK("https://klasma.github.io/Logging_2104/tillsyn/A 49815-2024 tillsynsbegäran.docx", "A 49815-2024")</f>
        <v/>
      </c>
      <c r="AD825">
        <f>HYPERLINK("https://klasma.github.io/Logging_2104/tillsynsmail/A 49815-2024 tillsynsbegäran mail.docx", "A 49815-2024")</f>
        <v/>
      </c>
    </row>
    <row r="826" ht="15" customHeight="1">
      <c r="A826" t="inlineStr">
        <is>
          <t>A 268-2025</t>
        </is>
      </c>
      <c r="B826" t="inlineStr">
        <is>
          <t>avverkningsanmälan</t>
        </is>
      </c>
      <c r="C826" t="inlineStr">
        <is>
          <t>Föryngringsavverkning</t>
        </is>
      </c>
      <c r="D826" s="1" t="n">
        <v>45660</v>
      </c>
      <c r="E826" s="1" t="n">
        <v>46326</v>
      </c>
      <c r="F826" t="inlineStr">
        <is>
          <t>GÄVLEBORGS LÄN</t>
        </is>
      </c>
      <c r="G826" t="inlineStr">
        <is>
          <t>LJUSDAL</t>
        </is>
      </c>
      <c r="I826" t="n">
        <v>4</v>
      </c>
      <c r="J826" t="n">
        <v>0</v>
      </c>
      <c r="K826" t="n">
        <v>0</v>
      </c>
      <c r="L826" t="n">
        <v>1</v>
      </c>
      <c r="M826" t="n">
        <v>0</v>
      </c>
      <c r="N826" t="n">
        <v>0</v>
      </c>
      <c r="O826" t="n">
        <v>0</v>
      </c>
      <c r="P826" t="n">
        <v>0</v>
      </c>
      <c r="Q826" t="n">
        <v>1</v>
      </c>
      <c r="R826" t="n">
        <v>0</v>
      </c>
      <c r="S826" t="n">
        <v>1</v>
      </c>
      <c r="T826" t="n">
        <v>1</v>
      </c>
      <c r="U826" t="n">
        <v>0</v>
      </c>
      <c r="V826" s="2" t="inlineStr">
        <is>
          <t>Brunklöver</t>
        </is>
      </c>
      <c r="W826">
        <f>HYPERLINK("https://klasma.github.io/Logging_2161/artfynd/A 268-2025 artfynd.xlsx", "A 268-2025")</f>
        <v/>
      </c>
      <c r="X826">
        <f>HYPERLINK("https://klasma.github.io/Logging_2161/kartor/A 268-2025 karta.png", "A 268-2025")</f>
        <v/>
      </c>
      <c r="Y826">
        <f>HYPERLINK("https://klasma.github.io/Logging_2161/kartor_geotiff/A 268-2025 georefererad karta.tif", "A 268-2025")</f>
        <v/>
      </c>
      <c r="AA826">
        <f>HYPERLINK("https://klasma.github.io/Logging_2161/klagomål/A 268-2025 FSC-klagomål.docx", "A 268-2025")</f>
        <v/>
      </c>
      <c r="AB826">
        <f>HYPERLINK("https://klasma.github.io/Logging_2161/klagomålsmail/A 268-2025 FSC-klagomål mail.docx", "A 268-2025")</f>
        <v/>
      </c>
      <c r="AC826">
        <f>HYPERLINK("https://klasma.github.io/Logging_2161/tillsyn/A 268-2025 tillsynsbegäran.docx", "A 268-2025")</f>
        <v/>
      </c>
      <c r="AD826">
        <f>HYPERLINK("https://klasma.github.io/Logging_2161/tillsynsmail/A 268-2025 tillsynsbegäran mail.docx", "A 268-2025")</f>
        <v/>
      </c>
    </row>
    <row r="827" ht="15" customHeight="1">
      <c r="A827" t="inlineStr">
        <is>
          <t>A 6121-2026</t>
        </is>
      </c>
      <c r="B827" t="inlineStr">
        <is>
          <t>avverkningsanmälan</t>
        </is>
      </c>
      <c r="C827" t="inlineStr">
        <is>
          <t>Föryngringsavverkning</t>
        </is>
      </c>
      <c r="D827" s="1" t="n">
        <v>46053</v>
      </c>
      <c r="E827" s="1" t="n">
        <v>46326</v>
      </c>
      <c r="F827" t="inlineStr">
        <is>
          <t>GÄVLEBORGS LÄN</t>
        </is>
      </c>
      <c r="G827" t="inlineStr">
        <is>
          <t>OCKELBO</t>
        </is>
      </c>
      <c r="I827" t="n">
        <v>2.6</v>
      </c>
      <c r="J827" t="n">
        <v>1</v>
      </c>
      <c r="K827" t="n">
        <v>0</v>
      </c>
      <c r="L827" t="n">
        <v>0</v>
      </c>
      <c r="M827" t="n">
        <v>0</v>
      </c>
      <c r="N827" t="n">
        <v>0</v>
      </c>
      <c r="O827" t="n">
        <v>0</v>
      </c>
      <c r="P827" t="n">
        <v>0</v>
      </c>
      <c r="Q827" t="n">
        <v>0</v>
      </c>
      <c r="R827" t="n">
        <v>0</v>
      </c>
      <c r="S827" t="n">
        <v>1</v>
      </c>
      <c r="T827" t="n">
        <v>1</v>
      </c>
      <c r="U827" t="n">
        <v>0</v>
      </c>
      <c r="V827" s="2" t="inlineStr">
        <is>
          <t>Tjäder</t>
        </is>
      </c>
      <c r="W827">
        <f>HYPERLINK("https://klasma.github.io/Logging_2101/artfynd/A 6121-2026 artfynd.xlsx", "A 6121-2026")</f>
        <v/>
      </c>
      <c r="X827">
        <f>HYPERLINK("https://klasma.github.io/Logging_2101/kartor/A 6121-2026 karta.png", "A 6121-2026")</f>
        <v/>
      </c>
      <c r="Y827">
        <f>HYPERLINK("https://klasma.github.io/Logging_2101/kartor_geotiff/A 6121-2026 georefererad karta.tif", "A 6121-2026")</f>
        <v/>
      </c>
      <c r="AA827">
        <f>HYPERLINK("https://klasma.github.io/Logging_2101/klagomål/A 6121-2026 FSC-klagomål.docx", "A 6121-2026")</f>
        <v/>
      </c>
      <c r="AB827">
        <f>HYPERLINK("https://klasma.github.io/Logging_2101/klagomålsmail/A 6121-2026 FSC-klagomål mail.docx", "A 6121-2026")</f>
        <v/>
      </c>
      <c r="AC827">
        <f>HYPERLINK("https://klasma.github.io/Logging_2101/tillsyn/A 6121-2026 tillsynsbegäran.docx", "A 6121-2026")</f>
        <v/>
      </c>
      <c r="AD827">
        <f>HYPERLINK("https://klasma.github.io/Logging_2101/tillsynsmail/A 6121-2026 tillsynsbegäran mail.docx", "A 6121-2026")</f>
        <v/>
      </c>
      <c r="AE827">
        <f>HYPERLINK("https://klasma.github.io/Logging_2101/fåglar/A 6121-2026 prioriterade fågelarter.docx", "A 6121-2026")</f>
        <v/>
      </c>
    </row>
    <row r="828" ht="15" customHeight="1">
      <c r="A828" t="inlineStr">
        <is>
          <t>A 5946-2026</t>
        </is>
      </c>
      <c r="B828" t="inlineStr">
        <is>
          <t>avverkningsanmälan</t>
        </is>
      </c>
      <c r="C828" t="inlineStr">
        <is>
          <t>Föryngringsavverkning</t>
        </is>
      </c>
      <c r="D828" s="1" t="n">
        <v>46052</v>
      </c>
      <c r="E828" s="1" t="n">
        <v>46326</v>
      </c>
      <c r="F828" t="inlineStr">
        <is>
          <t>GÄVLEBORGS LÄN</t>
        </is>
      </c>
      <c r="G828" t="inlineStr">
        <is>
          <t>SÖDERHAMN</t>
        </is>
      </c>
      <c r="I828" t="n">
        <v>8.800000000000001</v>
      </c>
      <c r="J828" t="n">
        <v>0</v>
      </c>
      <c r="K828" t="n">
        <v>1</v>
      </c>
      <c r="L828" t="n">
        <v>0</v>
      </c>
      <c r="M828" t="n">
        <v>0</v>
      </c>
      <c r="N828" t="n">
        <v>0</v>
      </c>
      <c r="O828" t="n">
        <v>0</v>
      </c>
      <c r="P828" t="n">
        <v>0</v>
      </c>
      <c r="Q828" t="n">
        <v>0</v>
      </c>
      <c r="R828" t="n">
        <v>0</v>
      </c>
      <c r="S828" t="n">
        <v>1</v>
      </c>
      <c r="T828" t="n">
        <v>1</v>
      </c>
      <c r="U828" t="n">
        <v>0</v>
      </c>
      <c r="V828" s="2" t="inlineStr">
        <is>
          <t>Stor aspticka</t>
        </is>
      </c>
      <c r="W828">
        <f>HYPERLINK("https://klasma.github.io/Logging_2182/artfynd/A 5946-2026 artfynd.xlsx", "A 5946-2026")</f>
        <v/>
      </c>
      <c r="X828">
        <f>HYPERLINK("https://klasma.github.io/Logging_2182/kartor/A 5946-2026 karta.png", "A 5946-2026")</f>
        <v/>
      </c>
      <c r="Y828">
        <f>HYPERLINK("https://klasma.github.io/Logging_2182/kartor_geotiff/A 5946-2026 georefererad karta.tif", "A 5946-2026")</f>
        <v/>
      </c>
      <c r="AA828">
        <f>HYPERLINK("https://klasma.github.io/Logging_2182/klagomål/A 5946-2026 FSC-klagomål.docx", "A 5946-2026")</f>
        <v/>
      </c>
      <c r="AB828">
        <f>HYPERLINK("https://klasma.github.io/Logging_2182/klagomålsmail/A 5946-2026 FSC-klagomål mail.docx", "A 5946-2026")</f>
        <v/>
      </c>
      <c r="AC828">
        <f>HYPERLINK("https://klasma.github.io/Logging_2182/tillsyn/A 5946-2026 tillsynsbegäran.docx", "A 5946-2026")</f>
        <v/>
      </c>
      <c r="AD828">
        <f>HYPERLINK("https://klasma.github.io/Logging_2182/tillsynsmail/A 5946-2026 tillsynsbegäran mail.docx", "A 5946-2026")</f>
        <v/>
      </c>
    </row>
    <row r="829" ht="15" customHeight="1">
      <c r="A829" t="inlineStr">
        <is>
          <t>A 35514-2024</t>
        </is>
      </c>
      <c r="B829" t="inlineStr">
        <is>
          <t>avverkningsanmälan</t>
        </is>
      </c>
      <c r="C829" t="inlineStr">
        <is>
          <t>Föryngringsavverkning</t>
        </is>
      </c>
      <c r="D829" s="1" t="n">
        <v>45531</v>
      </c>
      <c r="E829" s="1" t="n">
        <v>46326</v>
      </c>
      <c r="F829" t="inlineStr">
        <is>
          <t>GÄVLEBORGS LÄN</t>
        </is>
      </c>
      <c r="G829" t="inlineStr">
        <is>
          <t>HOFORS</t>
        </is>
      </c>
      <c r="H829" t="inlineStr">
        <is>
          <t>Sveaskog</t>
        </is>
      </c>
      <c r="I829" t="n">
        <v>6.5</v>
      </c>
      <c r="J829" t="n">
        <v>1</v>
      </c>
      <c r="K829" t="n">
        <v>0</v>
      </c>
      <c r="L829" t="n">
        <v>1</v>
      </c>
      <c r="M829" t="n">
        <v>0</v>
      </c>
      <c r="N829" t="n">
        <v>0</v>
      </c>
      <c r="O829" t="n">
        <v>0</v>
      </c>
      <c r="P829" t="n">
        <v>0</v>
      </c>
      <c r="Q829" t="n">
        <v>1</v>
      </c>
      <c r="R829" t="n">
        <v>0</v>
      </c>
      <c r="S829" t="n">
        <v>1</v>
      </c>
      <c r="T829" t="n">
        <v>1</v>
      </c>
      <c r="U829" t="n">
        <v>0</v>
      </c>
      <c r="V829" s="2" t="inlineStr">
        <is>
          <t>Talltita</t>
        </is>
      </c>
      <c r="W829">
        <f>HYPERLINK("https://klasma.github.io/Logging_2104/artfynd/A 35514-2024 artfynd.xlsx", "A 35514-2024")</f>
        <v/>
      </c>
      <c r="X829">
        <f>HYPERLINK("https://klasma.github.io/Logging_2104/kartor/A 35514-2024 karta.png", "A 35514-2024")</f>
        <v/>
      </c>
      <c r="Y829">
        <f>HYPERLINK("https://klasma.github.io/Logging_2104/kartor_geotiff/A 35514-2024 georefererad karta.tif", "A 35514-2024")</f>
        <v/>
      </c>
      <c r="AA829">
        <f>HYPERLINK("https://klasma.github.io/Logging_2104/klagomål/A 35514-2024 FSC-klagomål.docx", "A 35514-2024")</f>
        <v/>
      </c>
      <c r="AB829">
        <f>HYPERLINK("https://klasma.github.io/Logging_2104/klagomålsmail/A 35514-2024 FSC-klagomål mail.docx", "A 35514-2024")</f>
        <v/>
      </c>
      <c r="AC829">
        <f>HYPERLINK("https://klasma.github.io/Logging_2104/tillsyn/A 35514-2024 tillsynsbegäran.docx", "A 35514-2024")</f>
        <v/>
      </c>
      <c r="AD829">
        <f>HYPERLINK("https://klasma.github.io/Logging_2104/tillsynsmail/A 35514-2024 tillsynsbegäran mail.docx", "A 35514-2024")</f>
        <v/>
      </c>
      <c r="AE829">
        <f>HYPERLINK("https://klasma.github.io/Logging_2104/fåglar/A 35514-2024 prioriterade fågelarter.docx", "A 35514-2024")</f>
        <v/>
      </c>
    </row>
    <row r="830" ht="15" customHeight="1">
      <c r="A830" t="inlineStr">
        <is>
          <t>A 55289-2024</t>
        </is>
      </c>
      <c r="B830" t="inlineStr">
        <is>
          <t>avverkningsanmälan</t>
        </is>
      </c>
      <c r="C830" t="inlineStr">
        <is>
          <t>Föryngringsavverkning</t>
        </is>
      </c>
      <c r="D830" s="1" t="n">
        <v>45621</v>
      </c>
      <c r="E830" s="1" t="n">
        <v>46326</v>
      </c>
      <c r="F830" t="inlineStr">
        <is>
          <t>GÄVLEBORGS LÄN</t>
        </is>
      </c>
      <c r="G830" t="inlineStr">
        <is>
          <t>LJUSDAL</t>
        </is>
      </c>
      <c r="H830" t="inlineStr">
        <is>
          <t>Sveaskog</t>
        </is>
      </c>
      <c r="I830" t="n">
        <v>3.3</v>
      </c>
      <c r="J830" t="n">
        <v>0</v>
      </c>
      <c r="K830" t="n">
        <v>0</v>
      </c>
      <c r="L830" t="n">
        <v>0</v>
      </c>
      <c r="M830" t="n">
        <v>1</v>
      </c>
      <c r="N830" t="n">
        <v>0</v>
      </c>
      <c r="O830" t="n">
        <v>0</v>
      </c>
      <c r="P830" t="n">
        <v>0</v>
      </c>
      <c r="Q830" t="n">
        <v>1</v>
      </c>
      <c r="R830" t="n">
        <v>1</v>
      </c>
      <c r="S830" t="n">
        <v>1</v>
      </c>
      <c r="T830" t="n">
        <v>1</v>
      </c>
      <c r="U830" t="n">
        <v>0</v>
      </c>
      <c r="V830" s="2" t="inlineStr">
        <is>
          <t>Garnlav</t>
        </is>
      </c>
      <c r="W830">
        <f>HYPERLINK("https://klasma.github.io/Logging_2161/artfynd/A 55289-2024 artfynd.xlsx", "A 55289-2024")</f>
        <v/>
      </c>
      <c r="X830">
        <f>HYPERLINK("https://klasma.github.io/Logging_2161/kartor/A 55289-2024 karta.png", "A 55289-2024")</f>
        <v/>
      </c>
      <c r="Y830">
        <f>HYPERLINK("https://klasma.github.io/Logging_2161/kartor_geotiff/A 55289-2024 georefererad karta.tif", "A 55289-2024")</f>
        <v/>
      </c>
      <c r="AA830">
        <f>HYPERLINK("https://klasma.github.io/Logging_2161/klagomål/A 55289-2024 FSC-klagomål.docx", "A 55289-2024")</f>
        <v/>
      </c>
      <c r="AB830">
        <f>HYPERLINK("https://klasma.github.io/Logging_2161/klagomålsmail/A 55289-2024 FSC-klagomål mail.docx", "A 55289-2024")</f>
        <v/>
      </c>
      <c r="AC830">
        <f>HYPERLINK("https://klasma.github.io/Logging_2161/tillsyn/A 55289-2024 tillsynsbegäran.docx", "A 55289-2024")</f>
        <v/>
      </c>
      <c r="AD830">
        <f>HYPERLINK("https://klasma.github.io/Logging_2161/tillsynsmail/A 55289-2024 tillsynsbegäran mail.docx", "A 55289-2024")</f>
        <v/>
      </c>
    </row>
    <row r="831" ht="15" customHeight="1">
      <c r="A831" t="inlineStr">
        <is>
          <t>A 50315-2025</t>
        </is>
      </c>
      <c r="B831" t="inlineStr">
        <is>
          <t>avverkningsanmälan</t>
        </is>
      </c>
      <c r="C831" t="inlineStr">
        <is>
          <t>Föryngringsavverkning</t>
        </is>
      </c>
      <c r="D831" s="1" t="n">
        <v>45944</v>
      </c>
      <c r="E831" s="1" t="n">
        <v>46326</v>
      </c>
      <c r="F831" t="inlineStr">
        <is>
          <t>GÄVLEBORGS LÄN</t>
        </is>
      </c>
      <c r="G831" t="inlineStr">
        <is>
          <t>LJUSDAL</t>
        </is>
      </c>
      <c r="H831" t="inlineStr">
        <is>
          <t>Bergvik skog väst AB</t>
        </is>
      </c>
      <c r="I831" t="n">
        <v>11.2</v>
      </c>
      <c r="J831" t="n">
        <v>0</v>
      </c>
      <c r="K831" t="n">
        <v>0</v>
      </c>
      <c r="L831" t="n">
        <v>0</v>
      </c>
      <c r="M831" t="n">
        <v>1</v>
      </c>
      <c r="N831" t="n">
        <v>0</v>
      </c>
      <c r="O831" t="n">
        <v>0</v>
      </c>
      <c r="P831" t="n">
        <v>0</v>
      </c>
      <c r="Q831" t="n">
        <v>1</v>
      </c>
      <c r="R831" t="n">
        <v>1</v>
      </c>
      <c r="S831" t="n">
        <v>1</v>
      </c>
      <c r="T831" t="n">
        <v>1</v>
      </c>
      <c r="U831" t="n">
        <v>1</v>
      </c>
      <c r="V831" s="2" t="inlineStr">
        <is>
          <t>Garnlav</t>
        </is>
      </c>
      <c r="W831">
        <f>HYPERLINK("https://klasma.github.io/Logging_2161/artfynd/A 50315-2025 artfynd.xlsx", "A 50315-2025")</f>
        <v/>
      </c>
      <c r="X831">
        <f>HYPERLINK("https://klasma.github.io/Logging_2161/kartor/A 50315-2025 karta.png", "A 50315-2025")</f>
        <v/>
      </c>
      <c r="Y831">
        <f>HYPERLINK("https://klasma.github.io/Logging_2161/kartor_geotiff/A 50315-2025 georefererad karta.tif", "A 50315-2025")</f>
        <v/>
      </c>
      <c r="AA831">
        <f>HYPERLINK("https://klasma.github.io/Logging_2161/klagomål/A 50315-2025 FSC-klagomål.docx", "A 50315-2025")</f>
        <v/>
      </c>
      <c r="AB831">
        <f>HYPERLINK("https://klasma.github.io/Logging_2161/klagomålsmail/A 50315-2025 FSC-klagomål mail.docx", "A 50315-2025")</f>
        <v/>
      </c>
      <c r="AC831">
        <f>HYPERLINK("https://klasma.github.io/Logging_2161/tillsyn/A 50315-2025 tillsynsbegäran.docx", "A 50315-2025")</f>
        <v/>
      </c>
      <c r="AD831">
        <f>HYPERLINK("https://klasma.github.io/Logging_2161/tillsynsmail/A 50315-2025 tillsynsbegäran mail.docx", "A 50315-2025")</f>
        <v/>
      </c>
    </row>
    <row r="832" ht="15" customHeight="1">
      <c r="A832" t="inlineStr">
        <is>
          <t>A 6907-2026</t>
        </is>
      </c>
      <c r="B832" t="inlineStr">
        <is>
          <t>avverkningsanmälan</t>
        </is>
      </c>
      <c r="C832" t="inlineStr">
        <is>
          <t>Föryngringsavverkning</t>
        </is>
      </c>
      <c r="D832" s="1" t="n">
        <v>46057</v>
      </c>
      <c r="E832" s="1" t="n">
        <v>46326</v>
      </c>
      <c r="F832" t="inlineStr">
        <is>
          <t>GÄVLEBORGS LÄN</t>
        </is>
      </c>
      <c r="G832" t="inlineStr">
        <is>
          <t>LJUSDAL</t>
        </is>
      </c>
      <c r="H832" t="inlineStr">
        <is>
          <t>Sveaskog</t>
        </is>
      </c>
      <c r="I832" t="n">
        <v>6.2</v>
      </c>
      <c r="J832" t="n">
        <v>0</v>
      </c>
      <c r="K832" t="n">
        <v>0</v>
      </c>
      <c r="L832" t="n">
        <v>1</v>
      </c>
      <c r="M832" t="n">
        <v>0</v>
      </c>
      <c r="N832" t="n">
        <v>0</v>
      </c>
      <c r="O832" t="n">
        <v>0</v>
      </c>
      <c r="P832" t="n">
        <v>0</v>
      </c>
      <c r="Q832" t="n">
        <v>1</v>
      </c>
      <c r="R832" t="n">
        <v>0</v>
      </c>
      <c r="S832" t="n">
        <v>1</v>
      </c>
      <c r="T832" t="n">
        <v>1</v>
      </c>
      <c r="U832" t="n">
        <v>1</v>
      </c>
      <c r="V832" s="2" t="inlineStr">
        <is>
          <t>Lunglav</t>
        </is>
      </c>
      <c r="W832">
        <f>HYPERLINK("https://klasma.github.io/Logging_2161/artfynd/A 6907-2026 artfynd.xlsx", "A 6907-2026")</f>
        <v/>
      </c>
      <c r="X832">
        <f>HYPERLINK("https://klasma.github.io/Logging_2161/kartor/A 6907-2026 karta.png", "A 6907-2026")</f>
        <v/>
      </c>
      <c r="Y832">
        <f>HYPERLINK("https://klasma.github.io/Logging_2161/kartor_geotiff/A 6907-2026 georefererad karta.tif", "A 6907-2026")</f>
        <v/>
      </c>
      <c r="AA832">
        <f>HYPERLINK("https://klasma.github.io/Logging_2161/klagomål/A 6907-2026 FSC-klagomål.docx", "A 6907-2026")</f>
        <v/>
      </c>
      <c r="AB832">
        <f>HYPERLINK("https://klasma.github.io/Logging_2161/klagomålsmail/A 6907-2026 FSC-klagomål mail.docx", "A 6907-2026")</f>
        <v/>
      </c>
      <c r="AC832">
        <f>HYPERLINK("https://klasma.github.io/Logging_2161/tillsyn/A 6907-2026 tillsynsbegäran.docx", "A 6907-2026")</f>
        <v/>
      </c>
      <c r="AD832">
        <f>HYPERLINK("https://klasma.github.io/Logging_2161/tillsynsmail/A 6907-2026 tillsynsbegäran mail.docx", "A 6907-2026")</f>
        <v/>
      </c>
    </row>
    <row r="833" ht="15" customHeight="1">
      <c r="A833" t="inlineStr">
        <is>
          <t>A 34919-2024</t>
        </is>
      </c>
      <c r="B833" t="inlineStr">
        <is>
          <t>avverkningsanmälan</t>
        </is>
      </c>
      <c r="C833" t="inlineStr">
        <is>
          <t>Föryngringsavverkning</t>
        </is>
      </c>
      <c r="D833" s="1" t="n">
        <v>45527</v>
      </c>
      <c r="E833" s="1" t="n">
        <v>46326</v>
      </c>
      <c r="F833" t="inlineStr">
        <is>
          <t>GÄVLEBORGS LÄN</t>
        </is>
      </c>
      <c r="G833" t="inlineStr">
        <is>
          <t>LJUSDAL</t>
        </is>
      </c>
      <c r="H833" t="inlineStr">
        <is>
          <t>Holmen skog AB</t>
        </is>
      </c>
      <c r="I833" t="n">
        <v>2.3</v>
      </c>
      <c r="J833" t="n">
        <v>1</v>
      </c>
      <c r="K833" t="n">
        <v>0</v>
      </c>
      <c r="L833" t="n">
        <v>0</v>
      </c>
      <c r="M833" t="n">
        <v>0</v>
      </c>
      <c r="N833" t="n">
        <v>0</v>
      </c>
      <c r="O833" t="n">
        <v>0</v>
      </c>
      <c r="P833" t="n">
        <v>0</v>
      </c>
      <c r="Q833" t="n">
        <v>0</v>
      </c>
      <c r="R833" t="n">
        <v>0</v>
      </c>
      <c r="S833" t="n">
        <v>1</v>
      </c>
      <c r="T833" t="n">
        <v>1</v>
      </c>
      <c r="U833" t="n">
        <v>0</v>
      </c>
      <c r="V833" s="2" t="inlineStr">
        <is>
          <t>Revlummer</t>
        </is>
      </c>
      <c r="W833">
        <f>HYPERLINK("https://klasma.github.io/Logging_2161/artfynd/A 34919-2024 artfynd.xlsx", "A 34919-2024")</f>
        <v/>
      </c>
      <c r="X833">
        <f>HYPERLINK("https://klasma.github.io/Logging_2161/kartor/A 34919-2024 karta.png", "A 34919-2024")</f>
        <v/>
      </c>
      <c r="Y833">
        <f>HYPERLINK("https://klasma.github.io/Logging_2161/kartor_geotiff/A 34919-2024 georefererad karta.tif", "A 34919-2024")</f>
        <v/>
      </c>
      <c r="AA833">
        <f>HYPERLINK("https://klasma.github.io/Logging_2161/klagomål/A 34919-2024 FSC-klagomål.docx", "A 34919-2024")</f>
        <v/>
      </c>
      <c r="AB833">
        <f>HYPERLINK("https://klasma.github.io/Logging_2161/klagomålsmail/A 34919-2024 FSC-klagomål mail.docx", "A 34919-2024")</f>
        <v/>
      </c>
      <c r="AC833">
        <f>HYPERLINK("https://klasma.github.io/Logging_2161/tillsyn/A 34919-2024 tillsynsbegäran.docx", "A 34919-2024")</f>
        <v/>
      </c>
      <c r="AD833">
        <f>HYPERLINK("https://klasma.github.io/Logging_2161/tillsynsmail/A 34919-2024 tillsynsbegäran mail.docx", "A 34919-2024")</f>
        <v/>
      </c>
    </row>
    <row r="834" ht="15" customHeight="1">
      <c r="A834" t="inlineStr">
        <is>
          <t>A 37988-2025</t>
        </is>
      </c>
      <c r="B834" t="inlineStr">
        <is>
          <t>avverkningsanmälan</t>
        </is>
      </c>
      <c r="C834" t="inlineStr">
        <is>
          <t>Föryngringsavverkning</t>
        </is>
      </c>
      <c r="D834" s="1" t="n">
        <v>45881</v>
      </c>
      <c r="E834" s="1" t="n">
        <v>46326</v>
      </c>
      <c r="F834" t="inlineStr">
        <is>
          <t>GÄVLEBORGS LÄN</t>
        </is>
      </c>
      <c r="G834" t="inlineStr">
        <is>
          <t>HOFORS</t>
        </is>
      </c>
      <c r="H834" t="inlineStr">
        <is>
          <t>Sveaskog</t>
        </is>
      </c>
      <c r="I834" t="n">
        <v>5.7</v>
      </c>
      <c r="J834" t="n">
        <v>0</v>
      </c>
      <c r="K834" t="n">
        <v>0</v>
      </c>
      <c r="L834" t="n">
        <v>1</v>
      </c>
      <c r="M834" t="n">
        <v>0</v>
      </c>
      <c r="N834" t="n">
        <v>0</v>
      </c>
      <c r="O834" t="n">
        <v>0</v>
      </c>
      <c r="P834" t="n">
        <v>0</v>
      </c>
      <c r="Q834" t="n">
        <v>1</v>
      </c>
      <c r="R834" t="n">
        <v>0</v>
      </c>
      <c r="S834" t="n">
        <v>1</v>
      </c>
      <c r="T834" t="n">
        <v>1</v>
      </c>
      <c r="U834" t="n">
        <v>1</v>
      </c>
      <c r="V834" s="2" t="inlineStr">
        <is>
          <t>Backruta</t>
        </is>
      </c>
      <c r="W834">
        <f>HYPERLINK("https://klasma.github.io/Logging_2104/artfynd/A 37988-2025 artfynd.xlsx", "A 37988-2025")</f>
        <v/>
      </c>
      <c r="X834">
        <f>HYPERLINK("https://klasma.github.io/Logging_2104/kartor/A 37988-2025 karta.png", "A 37988-2025")</f>
        <v/>
      </c>
      <c r="Y834">
        <f>HYPERLINK("https://klasma.github.io/Logging_2104/kartor_geotiff/A 37988-2025 georefererad karta.tif", "A 37988-2025")</f>
        <v/>
      </c>
      <c r="AA834">
        <f>HYPERLINK("https://klasma.github.io/Logging_2104/klagomål/A 37988-2025 FSC-klagomål.docx", "A 37988-2025")</f>
        <v/>
      </c>
      <c r="AB834">
        <f>HYPERLINK("https://klasma.github.io/Logging_2104/klagomålsmail/A 37988-2025 FSC-klagomål mail.docx", "A 37988-2025")</f>
        <v/>
      </c>
      <c r="AC834">
        <f>HYPERLINK("https://klasma.github.io/Logging_2104/tillsyn/A 37988-2025 tillsynsbegäran.docx", "A 37988-2025")</f>
        <v/>
      </c>
      <c r="AD834">
        <f>HYPERLINK("https://klasma.github.io/Logging_2104/tillsynsmail/A 37988-2025 tillsynsbegäran mail.docx", "A 37988-2025")</f>
        <v/>
      </c>
    </row>
    <row r="835" ht="15" customHeight="1">
      <c r="A835" t="inlineStr">
        <is>
          <t>A 63036-2023</t>
        </is>
      </c>
      <c r="B835" t="inlineStr">
        <is>
          <t>avverkningsanmälan</t>
        </is>
      </c>
      <c r="C835" t="inlineStr">
        <is>
          <t>Föryngringsavverkning</t>
        </is>
      </c>
      <c r="D835" s="1" t="n">
        <v>45272</v>
      </c>
      <c r="E835" s="1" t="n">
        <v>46326</v>
      </c>
      <c r="F835" t="inlineStr">
        <is>
          <t>GÄVLEBORGS LÄN</t>
        </is>
      </c>
      <c r="G835" t="inlineStr">
        <is>
          <t>GÄVLE</t>
        </is>
      </c>
      <c r="I835" t="n">
        <v>12.7</v>
      </c>
      <c r="J835" t="n">
        <v>0</v>
      </c>
      <c r="K835" t="n">
        <v>0</v>
      </c>
      <c r="L835" t="n">
        <v>1</v>
      </c>
      <c r="M835" t="n">
        <v>0</v>
      </c>
      <c r="N835" t="n">
        <v>0</v>
      </c>
      <c r="O835" t="n">
        <v>0</v>
      </c>
      <c r="P835" t="n">
        <v>0</v>
      </c>
      <c r="Q835" t="n">
        <v>1</v>
      </c>
      <c r="R835" t="n">
        <v>0</v>
      </c>
      <c r="S835" t="n">
        <v>1</v>
      </c>
      <c r="T835" t="n">
        <v>1</v>
      </c>
      <c r="U835" t="n">
        <v>0</v>
      </c>
      <c r="V835" s="2" t="inlineStr">
        <is>
          <t>Kattfotslav</t>
        </is>
      </c>
      <c r="W835">
        <f>HYPERLINK("https://klasma.github.io/Logging_2180/artfynd/A 63036-2023 artfynd.xlsx", "A 63036-2023")</f>
        <v/>
      </c>
      <c r="X835">
        <f>HYPERLINK("https://klasma.github.io/Logging_2180/kartor/A 63036-2023 karta.png", "A 63036-2023")</f>
        <v/>
      </c>
      <c r="Y835">
        <f>HYPERLINK("https://klasma.github.io/Logging_2180/kartor_geotiff/A 63036-2023 georefererad karta.tif", "A 63036-2023")</f>
        <v/>
      </c>
      <c r="AA835">
        <f>HYPERLINK("https://klasma.github.io/Logging_2180/klagomål/A 63036-2023 FSC-klagomål.docx", "A 63036-2023")</f>
        <v/>
      </c>
      <c r="AB835">
        <f>HYPERLINK("https://klasma.github.io/Logging_2180/klagomålsmail/A 63036-2023 FSC-klagomål mail.docx", "A 63036-2023")</f>
        <v/>
      </c>
      <c r="AC835">
        <f>HYPERLINK("https://klasma.github.io/Logging_2180/tillsyn/A 63036-2023 tillsynsbegäran.docx", "A 63036-2023")</f>
        <v/>
      </c>
      <c r="AD835">
        <f>HYPERLINK("https://klasma.github.io/Logging_2180/tillsynsmail/A 63036-2023 tillsynsbegäran mail.docx", "A 63036-2023")</f>
        <v/>
      </c>
    </row>
    <row r="836" ht="15" customHeight="1">
      <c r="A836" t="inlineStr">
        <is>
          <t>A 6586-2026</t>
        </is>
      </c>
      <c r="B836" t="inlineStr">
        <is>
          <t>avverkningsanmälan</t>
        </is>
      </c>
      <c r="C836" t="inlineStr">
        <is>
          <t>Föryngringsavverkning</t>
        </is>
      </c>
      <c r="D836" s="1" t="n">
        <v>46056</v>
      </c>
      <c r="E836" s="1" t="n">
        <v>46326</v>
      </c>
      <c r="F836" t="inlineStr">
        <is>
          <t>GÄVLEBORGS LÄN</t>
        </is>
      </c>
      <c r="G836" t="inlineStr">
        <is>
          <t>OCKELBO</t>
        </is>
      </c>
      <c r="I836" t="n">
        <v>1.6</v>
      </c>
      <c r="J836" t="n">
        <v>0</v>
      </c>
      <c r="K836" t="n">
        <v>0</v>
      </c>
      <c r="L836" t="n">
        <v>0</v>
      </c>
      <c r="M836" t="n">
        <v>1</v>
      </c>
      <c r="N836" t="n">
        <v>0</v>
      </c>
      <c r="O836" t="n">
        <v>0</v>
      </c>
      <c r="P836" t="n">
        <v>0</v>
      </c>
      <c r="Q836" t="n">
        <v>1</v>
      </c>
      <c r="R836" t="n">
        <v>1</v>
      </c>
      <c r="S836" t="n">
        <v>1</v>
      </c>
      <c r="T836" t="n">
        <v>1</v>
      </c>
      <c r="U836" t="n">
        <v>0</v>
      </c>
      <c r="V836" s="2" t="inlineStr">
        <is>
          <t>Igelkott</t>
        </is>
      </c>
      <c r="W836">
        <f>HYPERLINK("https://klasma.github.io/Logging_2101/artfynd/A 6586-2026 artfynd.xlsx", "A 6586-2026")</f>
        <v/>
      </c>
      <c r="X836">
        <f>HYPERLINK("https://klasma.github.io/Logging_2101/kartor/A 6586-2026 karta.png", "A 6586-2026")</f>
        <v/>
      </c>
      <c r="Y836">
        <f>HYPERLINK("https://klasma.github.io/Logging_2101/kartor_geotiff/A 6586-2026 georefererad karta.tif", "A 6586-2026")</f>
        <v/>
      </c>
      <c r="AA836">
        <f>HYPERLINK("https://klasma.github.io/Logging_2101/klagomål/A 6586-2026 FSC-klagomål.docx", "A 6586-2026")</f>
        <v/>
      </c>
      <c r="AB836">
        <f>HYPERLINK("https://klasma.github.io/Logging_2101/klagomålsmail/A 6586-2026 FSC-klagomål mail.docx", "A 6586-2026")</f>
        <v/>
      </c>
      <c r="AC836">
        <f>HYPERLINK("https://klasma.github.io/Logging_2101/tillsyn/A 6586-2026 tillsynsbegäran.docx", "A 6586-2026")</f>
        <v/>
      </c>
      <c r="AD836">
        <f>HYPERLINK("https://klasma.github.io/Logging_2101/tillsynsmail/A 6586-2026 tillsynsbegäran mail.docx", "A 6586-2026")</f>
        <v/>
      </c>
    </row>
    <row r="837" ht="15" customHeight="1">
      <c r="A837" t="inlineStr">
        <is>
          <t>A 41494-2024</t>
        </is>
      </c>
      <c r="B837" t="inlineStr">
        <is>
          <t>avverkningsanmälan</t>
        </is>
      </c>
      <c r="C837" t="inlineStr">
        <is>
          <t>Föryngringsavverkning</t>
        </is>
      </c>
      <c r="D837" s="1" t="n">
        <v>45560</v>
      </c>
      <c r="E837" s="1" t="n">
        <v>46326</v>
      </c>
      <c r="F837" t="inlineStr">
        <is>
          <t>GÄVLEBORGS LÄN</t>
        </is>
      </c>
      <c r="G837" t="inlineStr">
        <is>
          <t>HUDIKSVALL</t>
        </is>
      </c>
      <c r="H837" t="inlineStr">
        <is>
          <t>Holmen skog AB</t>
        </is>
      </c>
      <c r="I837" t="n">
        <v>20.9</v>
      </c>
      <c r="J837" t="n">
        <v>0</v>
      </c>
      <c r="K837" t="n">
        <v>0</v>
      </c>
      <c r="L837" t="n">
        <v>1</v>
      </c>
      <c r="M837" t="n">
        <v>0</v>
      </c>
      <c r="N837" t="n">
        <v>0</v>
      </c>
      <c r="O837" t="n">
        <v>0</v>
      </c>
      <c r="P837" t="n">
        <v>0</v>
      </c>
      <c r="Q837" t="n">
        <v>1</v>
      </c>
      <c r="R837" t="n">
        <v>0</v>
      </c>
      <c r="S837" t="n">
        <v>1</v>
      </c>
      <c r="T837" t="n">
        <v>1</v>
      </c>
      <c r="U837" t="n">
        <v>0</v>
      </c>
      <c r="V837" s="2" t="inlineStr">
        <is>
          <t>Lunglav</t>
        </is>
      </c>
      <c r="W837">
        <f>HYPERLINK("https://klasma.github.io/Logging_2184/artfynd/A 41494-2024 artfynd.xlsx", "A 41494-2024")</f>
        <v/>
      </c>
      <c r="X837">
        <f>HYPERLINK("https://klasma.github.io/Logging_2184/kartor/A 41494-2024 karta.png", "A 41494-2024")</f>
        <v/>
      </c>
      <c r="Y837">
        <f>HYPERLINK("https://klasma.github.io/Logging_2184/kartor_geotiff/A 41494-2024 georefererad karta.tif", "A 41494-2024")</f>
        <v/>
      </c>
      <c r="AA837">
        <f>HYPERLINK("https://klasma.github.io/Logging_2184/klagomål/A 41494-2024 FSC-klagomål.docx", "A 41494-2024")</f>
        <v/>
      </c>
      <c r="AB837">
        <f>HYPERLINK("https://klasma.github.io/Logging_2184/klagomålsmail/A 41494-2024 FSC-klagomål mail.docx", "A 41494-2024")</f>
        <v/>
      </c>
      <c r="AC837">
        <f>HYPERLINK("https://klasma.github.io/Logging_2184/tillsyn/A 41494-2024 tillsynsbegäran.docx", "A 41494-2024")</f>
        <v/>
      </c>
      <c r="AD837">
        <f>HYPERLINK("https://klasma.github.io/Logging_2184/tillsynsmail/A 41494-2024 tillsynsbegäran mail.docx", "A 41494-2024")</f>
        <v/>
      </c>
    </row>
    <row r="838" ht="15" customHeight="1">
      <c r="A838" t="inlineStr">
        <is>
          <t>A 38350-2025</t>
        </is>
      </c>
      <c r="B838" t="inlineStr">
        <is>
          <t>avverkningsanmälan</t>
        </is>
      </c>
      <c r="C838" t="inlineStr">
        <is>
          <t>Föryngringsavverkning</t>
        </is>
      </c>
      <c r="D838" s="1" t="n">
        <v>45883</v>
      </c>
      <c r="E838" s="1" t="n">
        <v>46326</v>
      </c>
      <c r="F838" t="inlineStr">
        <is>
          <t>GÄVLEBORGS LÄN</t>
        </is>
      </c>
      <c r="G838" t="inlineStr">
        <is>
          <t>SANDVIKEN</t>
        </is>
      </c>
      <c r="H838" t="inlineStr">
        <is>
          <t>Bergvik skog väst AB</t>
        </is>
      </c>
      <c r="I838" t="n">
        <v>25</v>
      </c>
      <c r="J838" t="n">
        <v>0</v>
      </c>
      <c r="K838" t="n">
        <v>1</v>
      </c>
      <c r="L838" t="n">
        <v>0</v>
      </c>
      <c r="M838" t="n">
        <v>0</v>
      </c>
      <c r="N838" t="n">
        <v>0</v>
      </c>
      <c r="O838" t="n">
        <v>0</v>
      </c>
      <c r="P838" t="n">
        <v>0</v>
      </c>
      <c r="Q838" t="n">
        <v>0</v>
      </c>
      <c r="R838" t="n">
        <v>0</v>
      </c>
      <c r="S838" t="n">
        <v>1</v>
      </c>
      <c r="T838" t="n">
        <v>1</v>
      </c>
      <c r="U838" t="n">
        <v>1</v>
      </c>
      <c r="V838" s="2" t="inlineStr">
        <is>
          <t>Brandticka</t>
        </is>
      </c>
      <c r="W838">
        <f>HYPERLINK("https://klasma.github.io/Logging_2181/artfynd/A 38350-2025 artfynd.xlsx", "A 38350-2025")</f>
        <v/>
      </c>
      <c r="X838">
        <f>HYPERLINK("https://klasma.github.io/Logging_2181/kartor/A 38350-2025 karta.png", "A 38350-2025")</f>
        <v/>
      </c>
      <c r="Y838">
        <f>HYPERLINK("https://klasma.github.io/Logging_2181/kartor_geotiff/A 38350-2025 georefererad karta.tif", "A 38350-2025")</f>
        <v/>
      </c>
      <c r="AA838">
        <f>HYPERLINK("https://klasma.github.io/Logging_2181/klagomål/A 38350-2025 FSC-klagomål.docx", "A 38350-2025")</f>
        <v/>
      </c>
      <c r="AB838">
        <f>HYPERLINK("https://klasma.github.io/Logging_2181/klagomålsmail/A 38350-2025 FSC-klagomål mail.docx", "A 38350-2025")</f>
        <v/>
      </c>
      <c r="AC838">
        <f>HYPERLINK("https://klasma.github.io/Logging_2181/tillsyn/A 38350-2025 tillsynsbegäran.docx", "A 38350-2025")</f>
        <v/>
      </c>
      <c r="AD838">
        <f>HYPERLINK("https://klasma.github.io/Logging_2181/tillsynsmail/A 38350-2025 tillsynsbegäran mail.docx", "A 38350-2025")</f>
        <v/>
      </c>
    </row>
    <row r="839" ht="15" customHeight="1">
      <c r="A839" t="inlineStr">
        <is>
          <t>A 51157-2025</t>
        </is>
      </c>
      <c r="B839" t="inlineStr">
        <is>
          <t>avverkningsanmälan</t>
        </is>
      </c>
      <c r="C839" t="inlineStr">
        <is>
          <t>Föryngringsavverkning</t>
        </is>
      </c>
      <c r="D839" s="1" t="n">
        <v>45947</v>
      </c>
      <c r="E839" s="1" t="n">
        <v>46326</v>
      </c>
      <c r="F839" t="inlineStr">
        <is>
          <t>GÄVLEBORGS LÄN</t>
        </is>
      </c>
      <c r="G839" t="inlineStr">
        <is>
          <t>SÖDERHAMN</t>
        </is>
      </c>
      <c r="I839" t="n">
        <v>10.2</v>
      </c>
      <c r="J839" t="n">
        <v>1</v>
      </c>
      <c r="K839" t="n">
        <v>0</v>
      </c>
      <c r="L839" t="n">
        <v>0</v>
      </c>
      <c r="M839" t="n">
        <v>0</v>
      </c>
      <c r="N839" t="n">
        <v>0</v>
      </c>
      <c r="O839" t="n">
        <v>0</v>
      </c>
      <c r="P839" t="n">
        <v>0</v>
      </c>
      <c r="Q839" t="n">
        <v>0</v>
      </c>
      <c r="R839" t="n">
        <v>0</v>
      </c>
      <c r="S839" t="n">
        <v>1</v>
      </c>
      <c r="T839" t="n">
        <v>1</v>
      </c>
      <c r="U839" t="n">
        <v>0</v>
      </c>
      <c r="V839" s="2" t="inlineStr">
        <is>
          <t>Gråspett</t>
        </is>
      </c>
      <c r="W839">
        <f>HYPERLINK("https://klasma.github.io/Logging_2182/artfynd/A 51157-2025 artfynd.xlsx", "A 51157-2025")</f>
        <v/>
      </c>
      <c r="X839">
        <f>HYPERLINK("https://klasma.github.io/Logging_2182/kartor/A 51157-2025 karta.png", "A 51157-2025")</f>
        <v/>
      </c>
      <c r="Y839">
        <f>HYPERLINK("https://klasma.github.io/Logging_2182/kartor_geotiff/A 51157-2025 georefererad karta.tif", "A 51157-2025")</f>
        <v/>
      </c>
      <c r="AA839">
        <f>HYPERLINK("https://klasma.github.io/Logging_2182/klagomål/A 51157-2025 FSC-klagomål.docx", "A 51157-2025")</f>
        <v/>
      </c>
      <c r="AB839">
        <f>HYPERLINK("https://klasma.github.io/Logging_2182/klagomålsmail/A 51157-2025 FSC-klagomål mail.docx", "A 51157-2025")</f>
        <v/>
      </c>
      <c r="AC839">
        <f>HYPERLINK("https://klasma.github.io/Logging_2182/tillsyn/A 51157-2025 tillsynsbegäran.docx", "A 51157-2025")</f>
        <v/>
      </c>
      <c r="AD839">
        <f>HYPERLINK("https://klasma.github.io/Logging_2182/tillsynsmail/A 51157-2025 tillsynsbegäran mail.docx", "A 51157-2025")</f>
        <v/>
      </c>
      <c r="AE839">
        <f>HYPERLINK("https://klasma.github.io/Logging_2182/fåglar/A 51157-2025 prioriterade fågelarter.docx", "A 51157-2025")</f>
        <v/>
      </c>
    </row>
    <row r="840" ht="15" customHeight="1">
      <c r="A840" t="inlineStr">
        <is>
          <t>A 47738-2025</t>
        </is>
      </c>
      <c r="B840" t="inlineStr">
        <is>
          <t>avverkningsanmälan</t>
        </is>
      </c>
      <c r="C840" t="inlineStr">
        <is>
          <t>Föryngringsavverkning</t>
        </is>
      </c>
      <c r="D840" s="1" t="n">
        <v>45931</v>
      </c>
      <c r="E840" s="1" t="n">
        <v>46326</v>
      </c>
      <c r="F840" t="inlineStr">
        <is>
          <t>GÄVLEBORGS LÄN</t>
        </is>
      </c>
      <c r="G840" t="inlineStr">
        <is>
          <t>OVANÅKER</t>
        </is>
      </c>
      <c r="I840" t="n">
        <v>0.6</v>
      </c>
      <c r="J840" t="n">
        <v>0</v>
      </c>
      <c r="K840" t="n">
        <v>0</v>
      </c>
      <c r="L840" t="n">
        <v>1</v>
      </c>
      <c r="M840" t="n">
        <v>0</v>
      </c>
      <c r="N840" t="n">
        <v>0</v>
      </c>
      <c r="O840" t="n">
        <v>0</v>
      </c>
      <c r="P840" t="n">
        <v>0</v>
      </c>
      <c r="Q840" t="n">
        <v>1</v>
      </c>
      <c r="R840" t="n">
        <v>0</v>
      </c>
      <c r="S840" t="n">
        <v>1</v>
      </c>
      <c r="T840" t="n">
        <v>1</v>
      </c>
      <c r="U840" t="n">
        <v>0</v>
      </c>
      <c r="V840" s="2" t="inlineStr">
        <is>
          <t>Myskmåra</t>
        </is>
      </c>
      <c r="W840">
        <f>HYPERLINK("https://klasma.github.io/Logging_2121/artfynd/A 47738-2025 artfynd.xlsx", "A 47738-2025")</f>
        <v/>
      </c>
      <c r="X840">
        <f>HYPERLINK("https://klasma.github.io/Logging_2121/kartor/A 47738-2025 karta.png", "A 47738-2025")</f>
        <v/>
      </c>
      <c r="Y840">
        <f>HYPERLINK("https://klasma.github.io/Logging_2121/kartor_geotiff/A 47738-2025 georefererad karta.tif", "A 47738-2025")</f>
        <v/>
      </c>
      <c r="AA840">
        <f>HYPERLINK("https://klasma.github.io/Logging_2121/klagomål/A 47738-2025 FSC-klagomål.docx", "A 47738-2025")</f>
        <v/>
      </c>
      <c r="AB840">
        <f>HYPERLINK("https://klasma.github.io/Logging_2121/klagomålsmail/A 47738-2025 FSC-klagomål mail.docx", "A 47738-2025")</f>
        <v/>
      </c>
      <c r="AC840">
        <f>HYPERLINK("https://klasma.github.io/Logging_2121/tillsyn/A 47738-2025 tillsynsbegäran.docx", "A 47738-2025")</f>
        <v/>
      </c>
      <c r="AD840">
        <f>HYPERLINK("https://klasma.github.io/Logging_2121/tillsynsmail/A 47738-2025 tillsynsbegäran mail.docx", "A 47738-2025")</f>
        <v/>
      </c>
    </row>
    <row r="841" ht="15" customHeight="1">
      <c r="A841" t="inlineStr">
        <is>
          <t>A 7053-2026</t>
        </is>
      </c>
      <c r="B841" t="inlineStr">
        <is>
          <t>avverkningsanmälan</t>
        </is>
      </c>
      <c r="C841" t="inlineStr">
        <is>
          <t>Föryngringsavverkning</t>
        </is>
      </c>
      <c r="D841" s="1" t="n">
        <v>46057</v>
      </c>
      <c r="E841" s="1" t="n">
        <v>46326</v>
      </c>
      <c r="F841" t="inlineStr">
        <is>
          <t>GÄVLEBORGS LÄN</t>
        </is>
      </c>
      <c r="G841" t="inlineStr">
        <is>
          <t>HUDIKSVALL</t>
        </is>
      </c>
      <c r="H841" t="inlineStr">
        <is>
          <t>Holmen skog AB</t>
        </is>
      </c>
      <c r="I841" t="n">
        <v>2.5</v>
      </c>
      <c r="J841" t="n">
        <v>0</v>
      </c>
      <c r="K841" t="n">
        <v>1</v>
      </c>
      <c r="L841" t="n">
        <v>0</v>
      </c>
      <c r="M841" t="n">
        <v>0</v>
      </c>
      <c r="N841" t="n">
        <v>0</v>
      </c>
      <c r="O841" t="n">
        <v>0</v>
      </c>
      <c r="P841" t="n">
        <v>0</v>
      </c>
      <c r="Q841" t="n">
        <v>0</v>
      </c>
      <c r="R841" t="n">
        <v>0</v>
      </c>
      <c r="S841" t="n">
        <v>1</v>
      </c>
      <c r="T841" t="n">
        <v>1</v>
      </c>
      <c r="U841" t="n">
        <v>0</v>
      </c>
      <c r="V841" s="2" t="inlineStr">
        <is>
          <t>Stuplav</t>
        </is>
      </c>
      <c r="W841">
        <f>HYPERLINK("https://klasma.github.io/Logging_2184/artfynd/A 7053-2026 artfynd.xlsx", "A 7053-2026")</f>
        <v/>
      </c>
      <c r="X841">
        <f>HYPERLINK("https://klasma.github.io/Logging_2184/kartor/A 7053-2026 karta.png", "A 7053-2026")</f>
        <v/>
      </c>
      <c r="Y841">
        <f>HYPERLINK("https://klasma.github.io/Logging_2184/kartor_geotiff/A 7053-2026 georefererad karta.tif", "A 7053-2026")</f>
        <v/>
      </c>
      <c r="AA841">
        <f>HYPERLINK("https://klasma.github.io/Logging_2184/klagomål/A 7053-2026 FSC-klagomål.docx", "A 7053-2026")</f>
        <v/>
      </c>
      <c r="AB841">
        <f>HYPERLINK("https://klasma.github.io/Logging_2184/klagomålsmail/A 7053-2026 FSC-klagomål mail.docx", "A 7053-2026")</f>
        <v/>
      </c>
      <c r="AC841">
        <f>HYPERLINK("https://klasma.github.io/Logging_2184/tillsyn/A 7053-2026 tillsynsbegäran.docx", "A 7053-2026")</f>
        <v/>
      </c>
      <c r="AD841">
        <f>HYPERLINK("https://klasma.github.io/Logging_2184/tillsynsmail/A 7053-2026 tillsynsbegäran mail.docx", "A 7053-2026")</f>
        <v/>
      </c>
    </row>
    <row r="842" ht="15" customHeight="1">
      <c r="A842" t="inlineStr">
        <is>
          <t>A 6109-2023</t>
        </is>
      </c>
      <c r="B842" t="inlineStr">
        <is>
          <t>avverkningsanmälan</t>
        </is>
      </c>
      <c r="C842" t="inlineStr">
        <is>
          <t>Avverkning för annat ändamål</t>
        </is>
      </c>
      <c r="D842" s="1" t="n">
        <v>44964</v>
      </c>
      <c r="E842" s="1" t="n">
        <v>46326</v>
      </c>
      <c r="F842" t="inlineStr">
        <is>
          <t>GÄVLEBORGS LÄN</t>
        </is>
      </c>
      <c r="G842" t="inlineStr">
        <is>
          <t>NORDANSTIG</t>
        </is>
      </c>
      <c r="I842" t="n">
        <v>0.1</v>
      </c>
      <c r="J842" t="n">
        <v>1</v>
      </c>
      <c r="K842" t="n">
        <v>0</v>
      </c>
      <c r="L842" t="n">
        <v>0</v>
      </c>
      <c r="M842" t="n">
        <v>0</v>
      </c>
      <c r="N842" t="n">
        <v>0</v>
      </c>
      <c r="O842" t="n">
        <v>0</v>
      </c>
      <c r="P842" t="n">
        <v>0</v>
      </c>
      <c r="Q842" t="n">
        <v>0</v>
      </c>
      <c r="R842" t="n">
        <v>0</v>
      </c>
      <c r="S842" t="n">
        <v>1</v>
      </c>
      <c r="T842" t="n">
        <v>1</v>
      </c>
      <c r="U842" t="n">
        <v>1</v>
      </c>
      <c r="V842" s="2" t="inlineStr">
        <is>
          <t>Mattlummer</t>
        </is>
      </c>
      <c r="W842">
        <f>HYPERLINK("https://klasma.github.io/Logging_2132/artfynd/A 6109-2023 artfynd.xlsx", "A 6109-2023")</f>
        <v/>
      </c>
      <c r="X842">
        <f>HYPERLINK("https://klasma.github.io/Logging_2132/kartor/A 6109-2023 karta.png", "A 6109-2023")</f>
        <v/>
      </c>
      <c r="Y842">
        <f>HYPERLINK("https://klasma.github.io/Logging_2132/kartor_geotiff/A 6109-2023 georefererad karta.tif", "A 6109-2023")</f>
        <v/>
      </c>
      <c r="AA842">
        <f>HYPERLINK("https://klasma.github.io/Logging_2132/klagomål/A 6109-2023 FSC-klagomål.docx", "A 6109-2023")</f>
        <v/>
      </c>
      <c r="AB842">
        <f>HYPERLINK("https://klasma.github.io/Logging_2132/klagomålsmail/A 6109-2023 FSC-klagomål mail.docx", "A 6109-2023")</f>
        <v/>
      </c>
      <c r="AC842">
        <f>HYPERLINK("https://klasma.github.io/Logging_2132/tillsyn/A 6109-2023 tillsynsbegäran.docx", "A 6109-2023")</f>
        <v/>
      </c>
      <c r="AD842">
        <f>HYPERLINK("https://klasma.github.io/Logging_2132/tillsynsmail/A 6109-2023 tillsynsbegäran mail.docx", "A 6109-2023")</f>
        <v/>
      </c>
    </row>
    <row r="843" ht="15" customHeight="1">
      <c r="A843" t="inlineStr">
        <is>
          <t>A 7393-2026</t>
        </is>
      </c>
      <c r="B843" t="inlineStr">
        <is>
          <t>avverkningsanmälan</t>
        </is>
      </c>
      <c r="C843" t="inlineStr">
        <is>
          <t>Föryngringsavverkning</t>
        </is>
      </c>
      <c r="D843" s="1" t="n">
        <v>46059</v>
      </c>
      <c r="E843" s="1" t="n">
        <v>46326</v>
      </c>
      <c r="F843" t="inlineStr">
        <is>
          <t>GÄVLEBORGS LÄN</t>
        </is>
      </c>
      <c r="G843" t="inlineStr">
        <is>
          <t>SANDVIKEN</t>
        </is>
      </c>
      <c r="I843" t="n">
        <v>6.7</v>
      </c>
      <c r="J843" t="n">
        <v>0</v>
      </c>
      <c r="K843" t="n">
        <v>0</v>
      </c>
      <c r="L843" t="n">
        <v>1</v>
      </c>
      <c r="M843" t="n">
        <v>0</v>
      </c>
      <c r="N843" t="n">
        <v>0</v>
      </c>
      <c r="O843" t="n">
        <v>0</v>
      </c>
      <c r="P843" t="n">
        <v>0</v>
      </c>
      <c r="Q843" t="n">
        <v>1</v>
      </c>
      <c r="R843" t="n">
        <v>0</v>
      </c>
      <c r="S843" t="n">
        <v>1</v>
      </c>
      <c r="T843" t="n">
        <v>1</v>
      </c>
      <c r="U843" t="n">
        <v>0</v>
      </c>
      <c r="V843" s="2" t="inlineStr">
        <is>
          <t>Brunklöver</t>
        </is>
      </c>
      <c r="W843">
        <f>HYPERLINK("https://klasma.github.io/Logging_2181/artfynd/A 7393-2026 artfynd.xlsx", "A 7393-2026")</f>
        <v/>
      </c>
      <c r="X843">
        <f>HYPERLINK("https://klasma.github.io/Logging_2181/kartor/A 7393-2026 karta.png", "A 7393-2026")</f>
        <v/>
      </c>
      <c r="Y843">
        <f>HYPERLINK("https://klasma.github.io/Logging_2181/kartor_geotiff/A 7393-2026 georefererad karta.tif", "A 7393-2026")</f>
        <v/>
      </c>
      <c r="AA843">
        <f>HYPERLINK("https://klasma.github.io/Logging_2181/klagomål/A 7393-2026 FSC-klagomål.docx", "A 7393-2026")</f>
        <v/>
      </c>
      <c r="AB843">
        <f>HYPERLINK("https://klasma.github.io/Logging_2181/klagomålsmail/A 7393-2026 FSC-klagomål mail.docx", "A 7393-2026")</f>
        <v/>
      </c>
      <c r="AC843">
        <f>HYPERLINK("https://klasma.github.io/Logging_2181/tillsyn/A 7393-2026 tillsynsbegäran.docx", "A 7393-2026")</f>
        <v/>
      </c>
      <c r="AD843">
        <f>HYPERLINK("https://klasma.github.io/Logging_2181/tillsynsmail/A 7393-2026 tillsynsbegäran mail.docx", "A 7393-2026")</f>
        <v/>
      </c>
    </row>
    <row r="844" ht="15" customHeight="1">
      <c r="A844" t="inlineStr">
        <is>
          <t>A 2739-2025</t>
        </is>
      </c>
      <c r="B844" t="inlineStr">
        <is>
          <t>avverkningsanmälan</t>
        </is>
      </c>
      <c r="C844" t="inlineStr">
        <is>
          <t>Föryngringsavverkning</t>
        </is>
      </c>
      <c r="D844" s="1" t="n">
        <v>45677</v>
      </c>
      <c r="E844" s="1" t="n">
        <v>46326</v>
      </c>
      <c r="F844" t="inlineStr">
        <is>
          <t>GÄVLEBORGS LÄN</t>
        </is>
      </c>
      <c r="G844" t="inlineStr">
        <is>
          <t>HUDIKSVALL</t>
        </is>
      </c>
      <c r="I844" t="n">
        <v>0.7</v>
      </c>
      <c r="J844" t="n">
        <v>1</v>
      </c>
      <c r="K844" t="n">
        <v>0</v>
      </c>
      <c r="L844" t="n">
        <v>1</v>
      </c>
      <c r="M844" t="n">
        <v>0</v>
      </c>
      <c r="N844" t="n">
        <v>0</v>
      </c>
      <c r="O844" t="n">
        <v>0</v>
      </c>
      <c r="P844" t="n">
        <v>0</v>
      </c>
      <c r="Q844" t="n">
        <v>1</v>
      </c>
      <c r="R844" t="n">
        <v>0</v>
      </c>
      <c r="S844" t="n">
        <v>1</v>
      </c>
      <c r="T844" t="n">
        <v>1</v>
      </c>
      <c r="U844" t="n">
        <v>1</v>
      </c>
      <c r="V844" s="2" t="inlineStr">
        <is>
          <t>Talltita</t>
        </is>
      </c>
      <c r="W844">
        <f>HYPERLINK("https://klasma.github.io/Logging_2184/artfynd/A 2739-2025 artfynd.xlsx", "A 2739-2025")</f>
        <v/>
      </c>
      <c r="X844">
        <f>HYPERLINK("https://klasma.github.io/Logging_2184/kartor/A 2739-2025 karta.png", "A 2739-2025")</f>
        <v/>
      </c>
      <c r="Y844">
        <f>HYPERLINK("https://klasma.github.io/Logging_2184/kartor_geotiff/A 2739-2025 georefererad karta.tif", "A 2739-2025")</f>
        <v/>
      </c>
      <c r="AA844">
        <f>HYPERLINK("https://klasma.github.io/Logging_2184/klagomål/A 2739-2025 FSC-klagomål.docx", "A 2739-2025")</f>
        <v/>
      </c>
      <c r="AB844">
        <f>HYPERLINK("https://klasma.github.io/Logging_2184/klagomålsmail/A 2739-2025 FSC-klagomål mail.docx", "A 2739-2025")</f>
        <v/>
      </c>
      <c r="AC844">
        <f>HYPERLINK("https://klasma.github.io/Logging_2184/tillsyn/A 2739-2025 tillsynsbegäran.docx", "A 2739-2025")</f>
        <v/>
      </c>
      <c r="AD844">
        <f>HYPERLINK("https://klasma.github.io/Logging_2184/tillsynsmail/A 2739-2025 tillsynsbegäran mail.docx", "A 2739-2025")</f>
        <v/>
      </c>
      <c r="AE844">
        <f>HYPERLINK("https://klasma.github.io/Logging_2184/fåglar/A 2739-2025 prioriterade fågelarter.docx", "A 2739-2025")</f>
        <v/>
      </c>
    </row>
    <row r="845" ht="15" customHeight="1">
      <c r="A845" t="inlineStr">
        <is>
          <t>A 47933-2025</t>
        </is>
      </c>
      <c r="B845" t="inlineStr">
        <is>
          <t>avverkningsanmälan</t>
        </is>
      </c>
      <c r="C845" t="inlineStr">
        <is>
          <t>Avverkning för annat ändamål</t>
        </is>
      </c>
      <c r="D845" s="1" t="n">
        <v>45932</v>
      </c>
      <c r="E845" s="1" t="n">
        <v>46326</v>
      </c>
      <c r="F845" t="inlineStr">
        <is>
          <t>GÄVLEBORGS LÄN</t>
        </is>
      </c>
      <c r="G845" t="inlineStr">
        <is>
          <t>LJUSDAL</t>
        </is>
      </c>
      <c r="I845" t="n">
        <v>1.8</v>
      </c>
      <c r="J845" t="n">
        <v>0</v>
      </c>
      <c r="K845" t="n">
        <v>0</v>
      </c>
      <c r="L845" t="n">
        <v>1</v>
      </c>
      <c r="M845" t="n">
        <v>0</v>
      </c>
      <c r="N845" t="n">
        <v>0</v>
      </c>
      <c r="O845" t="n">
        <v>0</v>
      </c>
      <c r="P845" t="n">
        <v>0</v>
      </c>
      <c r="Q845" t="n">
        <v>1</v>
      </c>
      <c r="R845" t="n">
        <v>0</v>
      </c>
      <c r="S845" t="n">
        <v>1</v>
      </c>
      <c r="T845" t="n">
        <v>1</v>
      </c>
      <c r="U845" t="n">
        <v>0</v>
      </c>
      <c r="V845" s="2" t="inlineStr">
        <is>
          <t>Vitfläckig guldvinge</t>
        </is>
      </c>
      <c r="W845">
        <f>HYPERLINK("https://klasma.github.io/Logging_2161/artfynd/A 47933-2025 artfynd.xlsx", "A 47933-2025")</f>
        <v/>
      </c>
      <c r="X845">
        <f>HYPERLINK("https://klasma.github.io/Logging_2161/kartor/A 47933-2025 karta.png", "A 47933-2025")</f>
        <v/>
      </c>
      <c r="Y845">
        <f>HYPERLINK("https://klasma.github.io/Logging_2161/kartor_geotiff/A 47933-2025 georefererad karta.tif", "A 47933-2025")</f>
        <v/>
      </c>
      <c r="AA845">
        <f>HYPERLINK("https://klasma.github.io/Logging_2161/klagomål/A 47933-2025 FSC-klagomål.docx", "A 47933-2025")</f>
        <v/>
      </c>
      <c r="AB845">
        <f>HYPERLINK("https://klasma.github.io/Logging_2161/klagomålsmail/A 47933-2025 FSC-klagomål mail.docx", "A 47933-2025")</f>
        <v/>
      </c>
      <c r="AC845">
        <f>HYPERLINK("https://klasma.github.io/Logging_2161/tillsyn/A 47933-2025 tillsynsbegäran.docx", "A 47933-2025")</f>
        <v/>
      </c>
      <c r="AD845">
        <f>HYPERLINK("https://klasma.github.io/Logging_2161/tillsynsmail/A 47933-2025 tillsynsbegäran mail.docx", "A 47933-2025")</f>
        <v/>
      </c>
    </row>
    <row r="846" ht="15" customHeight="1">
      <c r="A846" t="inlineStr">
        <is>
          <t>A 52035-2025</t>
        </is>
      </c>
      <c r="B846" t="inlineStr">
        <is>
          <t>avverkningsanmälan</t>
        </is>
      </c>
      <c r="C846" t="inlineStr">
        <is>
          <t>Avverkning för att bevara och utveckla /försöksver</t>
        </is>
      </c>
      <c r="D846" s="1" t="n">
        <v>45952</v>
      </c>
      <c r="E846" s="1" t="n">
        <v>46326</v>
      </c>
      <c r="F846" t="inlineStr">
        <is>
          <t>GÄVLEBORGS LÄN</t>
        </is>
      </c>
      <c r="G846" t="inlineStr">
        <is>
          <t>BOLLNÄS</t>
        </is>
      </c>
      <c r="H846" t="inlineStr">
        <is>
          <t>Sveaskog</t>
        </is>
      </c>
      <c r="I846" t="n">
        <v>1.3</v>
      </c>
      <c r="J846" t="n">
        <v>0</v>
      </c>
      <c r="K846" t="n">
        <v>0</v>
      </c>
      <c r="L846" t="n">
        <v>1</v>
      </c>
      <c r="M846" t="n">
        <v>0</v>
      </c>
      <c r="N846" t="n">
        <v>0</v>
      </c>
      <c r="O846" t="n">
        <v>0</v>
      </c>
      <c r="P846" t="n">
        <v>0</v>
      </c>
      <c r="Q846" t="n">
        <v>1</v>
      </c>
      <c r="R846" t="n">
        <v>0</v>
      </c>
      <c r="S846" t="n">
        <v>1</v>
      </c>
      <c r="T846" t="n">
        <v>1</v>
      </c>
      <c r="U846" t="n">
        <v>0</v>
      </c>
      <c r="V846" s="2" t="inlineStr">
        <is>
          <t>Ullticka</t>
        </is>
      </c>
      <c r="W846">
        <f>HYPERLINK("https://klasma.github.io/Logging_2183/artfynd/A 52035-2025 artfynd.xlsx", "A 52035-2025")</f>
        <v/>
      </c>
      <c r="X846">
        <f>HYPERLINK("https://klasma.github.io/Logging_2183/kartor/A 52035-2025 karta.png", "A 52035-2025")</f>
        <v/>
      </c>
      <c r="Y846">
        <f>HYPERLINK("https://klasma.github.io/Logging_2183/kartor_geotiff/A 52035-2025 georefererad karta.tif", "A 52035-2025")</f>
        <v/>
      </c>
      <c r="AA846">
        <f>HYPERLINK("https://klasma.github.io/Logging_2183/klagomål/A 52035-2025 FSC-klagomål.docx", "A 52035-2025")</f>
        <v/>
      </c>
      <c r="AB846">
        <f>HYPERLINK("https://klasma.github.io/Logging_2183/klagomålsmail/A 52035-2025 FSC-klagomål mail.docx", "A 52035-2025")</f>
        <v/>
      </c>
      <c r="AC846">
        <f>HYPERLINK("https://klasma.github.io/Logging_2183/tillsyn/A 52035-2025 tillsynsbegäran.docx", "A 52035-2025")</f>
        <v/>
      </c>
      <c r="AD846">
        <f>HYPERLINK("https://klasma.github.io/Logging_2183/tillsynsmail/A 52035-2025 tillsynsbegäran mail.docx", "A 52035-2025")</f>
        <v/>
      </c>
    </row>
    <row r="847" ht="15" customHeight="1">
      <c r="A847" t="inlineStr">
        <is>
          <t>A 31803-2024</t>
        </is>
      </c>
      <c r="B847" t="inlineStr">
        <is>
          <t>avverkningsanmälan</t>
        </is>
      </c>
      <c r="C847" t="inlineStr">
        <is>
          <t>Föryngringsavverkning</t>
        </is>
      </c>
      <c r="D847" s="1" t="n">
        <v>45509</v>
      </c>
      <c r="E847" s="1" t="n">
        <v>46326</v>
      </c>
      <c r="F847" t="inlineStr">
        <is>
          <t>GÄVLEBORGS LÄN</t>
        </is>
      </c>
      <c r="G847" t="inlineStr">
        <is>
          <t>SÖDERHAMN</t>
        </is>
      </c>
      <c r="I847" t="n">
        <v>3.4</v>
      </c>
      <c r="J847" t="n">
        <v>1</v>
      </c>
      <c r="K847" t="n">
        <v>0</v>
      </c>
      <c r="L847" t="n">
        <v>0</v>
      </c>
      <c r="M847" t="n">
        <v>1</v>
      </c>
      <c r="N847" t="n">
        <v>0</v>
      </c>
      <c r="O847" t="n">
        <v>0</v>
      </c>
      <c r="P847" t="n">
        <v>0</v>
      </c>
      <c r="Q847" t="n">
        <v>1</v>
      </c>
      <c r="R847" t="n">
        <v>1</v>
      </c>
      <c r="S847" t="n">
        <v>1</v>
      </c>
      <c r="T847" t="n">
        <v>5</v>
      </c>
      <c r="U847" t="n">
        <v>5</v>
      </c>
      <c r="V847" s="2" t="inlineStr">
        <is>
          <t>Knärot</t>
        </is>
      </c>
      <c r="W847">
        <f>HYPERLINK("https://klasma.github.io/Logging_2182/artfynd/A 31803-2024 artfynd.xlsx", "A 31803-2024")</f>
        <v/>
      </c>
      <c r="X847">
        <f>HYPERLINK("https://klasma.github.io/Logging_2182/kartor/A 31803-2024 karta.png", "A 31803-2024")</f>
        <v/>
      </c>
      <c r="Y847">
        <f>HYPERLINK("https://klasma.github.io/Logging_2182/kartor_geotiff/A 31803-2024 georefererad karta.tif", "A 31803-2024")</f>
        <v/>
      </c>
      <c r="Z847">
        <f>HYPERLINK("https://klasma.github.io/Logging_2182/knärot/A 31803-2024 karta knärot.png", "A 31803-2024")</f>
        <v/>
      </c>
      <c r="AA847">
        <f>HYPERLINK("https://klasma.github.io/Logging_2182/klagomål/A 31803-2024 FSC-klagomål.docx", "A 31803-2024")</f>
        <v/>
      </c>
      <c r="AB847">
        <f>HYPERLINK("https://klasma.github.io/Logging_2182/klagomålsmail/A 31803-2024 FSC-klagomål mail.docx", "A 31803-2024")</f>
        <v/>
      </c>
      <c r="AC847">
        <f>HYPERLINK("https://klasma.github.io/Logging_2182/tillsyn/A 31803-2024 tillsynsbegäran.docx", "A 31803-2024")</f>
        <v/>
      </c>
      <c r="AD847">
        <f>HYPERLINK("https://klasma.github.io/Logging_2182/tillsynsmail/A 31803-2024 tillsynsbegäran mail.docx", "A 31803-2024")</f>
        <v/>
      </c>
    </row>
    <row r="848" ht="15" customHeight="1">
      <c r="A848" t="inlineStr">
        <is>
          <t>A 8200-2026</t>
        </is>
      </c>
      <c r="B848" t="inlineStr">
        <is>
          <t>avverkningsanmälan</t>
        </is>
      </c>
      <c r="C848" t="inlineStr">
        <is>
          <t>Föryngringsavverkning</t>
        </is>
      </c>
      <c r="D848" s="1" t="n">
        <v>46064</v>
      </c>
      <c r="E848" s="1" t="n">
        <v>46326</v>
      </c>
      <c r="F848" t="inlineStr">
        <is>
          <t>GÄVLEBORGS LÄN</t>
        </is>
      </c>
      <c r="G848" t="inlineStr">
        <is>
          <t>BOLLNÄS</t>
        </is>
      </c>
      <c r="I848" t="n">
        <v>28.4</v>
      </c>
      <c r="J848" t="n">
        <v>1</v>
      </c>
      <c r="K848" t="n">
        <v>0</v>
      </c>
      <c r="L848" t="n">
        <v>1</v>
      </c>
      <c r="M848" t="n">
        <v>0</v>
      </c>
      <c r="N848" t="n">
        <v>0</v>
      </c>
      <c r="O848" t="n">
        <v>0</v>
      </c>
      <c r="P848" t="n">
        <v>0</v>
      </c>
      <c r="Q848" t="n">
        <v>1</v>
      </c>
      <c r="R848" t="n">
        <v>0</v>
      </c>
      <c r="S848" t="n">
        <v>1</v>
      </c>
      <c r="T848" t="n">
        <v>1</v>
      </c>
      <c r="U848" t="n">
        <v>0</v>
      </c>
      <c r="V848" s="2" t="inlineStr">
        <is>
          <t>Nordfladdermus</t>
        </is>
      </c>
      <c r="W848">
        <f>HYPERLINK("https://klasma.github.io/Logging_2183/artfynd/A 8200-2026 artfynd.xlsx", "A 8200-2026")</f>
        <v/>
      </c>
      <c r="X848">
        <f>HYPERLINK("https://klasma.github.io/Logging_2183/kartor/A 8200-2026 karta.png", "A 8200-2026")</f>
        <v/>
      </c>
      <c r="Y848">
        <f>HYPERLINK("https://klasma.github.io/Logging_2183/kartor_geotiff/A 8200-2026 georefererad karta.tif", "A 8200-2026")</f>
        <v/>
      </c>
      <c r="AA848">
        <f>HYPERLINK("https://klasma.github.io/Logging_2183/klagomål/A 8200-2026 FSC-klagomål.docx", "A 8200-2026")</f>
        <v/>
      </c>
      <c r="AB848">
        <f>HYPERLINK("https://klasma.github.io/Logging_2183/klagomålsmail/A 8200-2026 FSC-klagomål mail.docx", "A 8200-2026")</f>
        <v/>
      </c>
      <c r="AC848">
        <f>HYPERLINK("https://klasma.github.io/Logging_2183/tillsyn/A 8200-2026 tillsynsbegäran.docx", "A 8200-2026")</f>
        <v/>
      </c>
      <c r="AD848">
        <f>HYPERLINK("https://klasma.github.io/Logging_2183/tillsynsmail/A 8200-2026 tillsynsbegäran mail.docx", "A 8200-2026")</f>
        <v/>
      </c>
    </row>
    <row r="849" ht="15" customHeight="1">
      <c r="A849" t="inlineStr">
        <is>
          <t>A 16809-2022</t>
        </is>
      </c>
      <c r="B849" t="inlineStr">
        <is>
          <t>avverkningsanmälan</t>
        </is>
      </c>
      <c r="C849" t="inlineStr">
        <is>
          <t>Föryngringsavverkning</t>
        </is>
      </c>
      <c r="D849" s="1" t="n">
        <v>44673</v>
      </c>
      <c r="E849" s="1" t="n">
        <v>46326</v>
      </c>
      <c r="F849" t="inlineStr">
        <is>
          <t>GÄVLEBORGS LÄN</t>
        </is>
      </c>
      <c r="G849" t="inlineStr">
        <is>
          <t>NORDANSTIG</t>
        </is>
      </c>
      <c r="I849" t="n">
        <v>4.4</v>
      </c>
      <c r="J849" t="n">
        <v>0</v>
      </c>
      <c r="K849" t="n">
        <v>0</v>
      </c>
      <c r="L849" t="n">
        <v>0</v>
      </c>
      <c r="M849" t="n">
        <v>1</v>
      </c>
      <c r="N849" t="n">
        <v>0</v>
      </c>
      <c r="O849" t="n">
        <v>0</v>
      </c>
      <c r="P849" t="n">
        <v>0</v>
      </c>
      <c r="Q849" t="n">
        <v>1</v>
      </c>
      <c r="R849" t="n">
        <v>1</v>
      </c>
      <c r="S849" t="n">
        <v>1</v>
      </c>
      <c r="T849" t="n">
        <v>1</v>
      </c>
      <c r="U849" t="n">
        <v>0</v>
      </c>
      <c r="V849" s="2" t="inlineStr">
        <is>
          <t>Garnlav</t>
        </is>
      </c>
      <c r="W849">
        <f>HYPERLINK("https://klasma.github.io/Logging_2132/artfynd/A 16809-2022 artfynd.xlsx", "A 16809-2022")</f>
        <v/>
      </c>
      <c r="X849">
        <f>HYPERLINK("https://klasma.github.io/Logging_2132/kartor/A 16809-2022 karta.png", "A 16809-2022")</f>
        <v/>
      </c>
      <c r="Y849">
        <f>HYPERLINK("https://klasma.github.io/Logging_2132/kartor_geotiff/A 16809-2022 georefererad karta.tif", "A 16809-2022")</f>
        <v/>
      </c>
      <c r="AA849">
        <f>HYPERLINK("https://klasma.github.io/Logging_2132/klagomål/A 16809-2022 FSC-klagomål.docx", "A 16809-2022")</f>
        <v/>
      </c>
      <c r="AB849">
        <f>HYPERLINK("https://klasma.github.io/Logging_2132/klagomålsmail/A 16809-2022 FSC-klagomål mail.docx", "A 16809-2022")</f>
        <v/>
      </c>
      <c r="AC849">
        <f>HYPERLINK("https://klasma.github.io/Logging_2132/tillsyn/A 16809-2022 tillsynsbegäran.docx", "A 16809-2022")</f>
        <v/>
      </c>
      <c r="AD849">
        <f>HYPERLINK("https://klasma.github.io/Logging_2132/tillsynsmail/A 16809-2022 tillsynsbegäran mail.docx", "A 16809-2022")</f>
        <v/>
      </c>
    </row>
    <row r="850" ht="15" customHeight="1">
      <c r="A850" t="inlineStr">
        <is>
          <t>A 52787-2024</t>
        </is>
      </c>
      <c r="B850" t="inlineStr">
        <is>
          <t>avverkningsanmälan</t>
        </is>
      </c>
      <c r="C850" t="inlineStr">
        <is>
          <t>Föryngringsavverkning</t>
        </is>
      </c>
      <c r="D850" s="1" t="n">
        <v>45610</v>
      </c>
      <c r="E850" s="1" t="n">
        <v>46326</v>
      </c>
      <c r="F850" t="inlineStr">
        <is>
          <t>GÄVLEBORGS LÄN</t>
        </is>
      </c>
      <c r="G850" t="inlineStr">
        <is>
          <t>LJUSDAL</t>
        </is>
      </c>
      <c r="H850" t="inlineStr">
        <is>
          <t>SCA</t>
        </is>
      </c>
      <c r="I850" t="n">
        <v>4.7</v>
      </c>
      <c r="J850" t="n">
        <v>1</v>
      </c>
      <c r="K850" t="n">
        <v>0</v>
      </c>
      <c r="L850" t="n">
        <v>0</v>
      </c>
      <c r="M850" t="n">
        <v>0</v>
      </c>
      <c r="N850" t="n">
        <v>0</v>
      </c>
      <c r="O850" t="n">
        <v>0</v>
      </c>
      <c r="P850" t="n">
        <v>0</v>
      </c>
      <c r="Q850" t="n">
        <v>0</v>
      </c>
      <c r="R850" t="n">
        <v>0</v>
      </c>
      <c r="S850" t="n">
        <v>1</v>
      </c>
      <c r="T850" t="n">
        <v>1</v>
      </c>
      <c r="U850" t="n">
        <v>1</v>
      </c>
      <c r="V850" s="2" t="inlineStr">
        <is>
          <t>Fiskgjuse</t>
        </is>
      </c>
      <c r="W850">
        <f>HYPERLINK("https://klasma.github.io/Logging_2161/artfynd/A 52787-2024 artfynd.xlsx", "A 52787-2024")</f>
        <v/>
      </c>
      <c r="X850">
        <f>HYPERLINK("https://klasma.github.io/Logging_2161/kartor/A 52787-2024 karta.png", "A 52787-2024")</f>
        <v/>
      </c>
      <c r="Y850">
        <f>HYPERLINK("https://klasma.github.io/Logging_2161/kartor_geotiff/A 52787-2024 georefererad karta.tif", "A 52787-2024")</f>
        <v/>
      </c>
      <c r="AA850">
        <f>HYPERLINK("https://klasma.github.io/Logging_2161/klagomål/A 52787-2024 FSC-klagomål.docx", "A 52787-2024")</f>
        <v/>
      </c>
      <c r="AB850">
        <f>HYPERLINK("https://klasma.github.io/Logging_2161/klagomålsmail/A 52787-2024 FSC-klagomål mail.docx", "A 52787-2024")</f>
        <v/>
      </c>
      <c r="AC850">
        <f>HYPERLINK("https://klasma.github.io/Logging_2161/tillsyn/A 52787-2024 tillsynsbegäran.docx", "A 52787-2024")</f>
        <v/>
      </c>
      <c r="AD850">
        <f>HYPERLINK("https://klasma.github.io/Logging_2161/tillsynsmail/A 52787-2024 tillsynsbegäran mail.docx", "A 52787-2024")</f>
        <v/>
      </c>
      <c r="AE850">
        <f>HYPERLINK("https://klasma.github.io/Logging_2161/fåglar/A 52787-2024 prioriterade fågelarter.docx", "A 52787-2024")</f>
        <v/>
      </c>
    </row>
    <row r="851" ht="15" customHeight="1">
      <c r="A851" t="inlineStr">
        <is>
          <t>A 38545-2025</t>
        </is>
      </c>
      <c r="B851" t="inlineStr">
        <is>
          <t>avverkningsanmälan</t>
        </is>
      </c>
      <c r="C851" t="inlineStr">
        <is>
          <t>Föryngringsavverkning</t>
        </is>
      </c>
      <c r="D851" s="1" t="n">
        <v>45884</v>
      </c>
      <c r="E851" s="1" t="n">
        <v>46326</v>
      </c>
      <c r="F851" t="inlineStr">
        <is>
          <t>GÄVLEBORGS LÄN</t>
        </is>
      </c>
      <c r="G851" t="inlineStr">
        <is>
          <t>SÖDERHAMN</t>
        </is>
      </c>
      <c r="I851" t="n">
        <v>2.3</v>
      </c>
      <c r="J851" t="n">
        <v>1</v>
      </c>
      <c r="K851" t="n">
        <v>0</v>
      </c>
      <c r="L851" t="n">
        <v>0</v>
      </c>
      <c r="M851" t="n">
        <v>1</v>
      </c>
      <c r="N851" t="n">
        <v>0</v>
      </c>
      <c r="O851" t="n">
        <v>0</v>
      </c>
      <c r="P851" t="n">
        <v>0</v>
      </c>
      <c r="Q851" t="n">
        <v>1</v>
      </c>
      <c r="R851" t="n">
        <v>1</v>
      </c>
      <c r="S851" t="n">
        <v>1</v>
      </c>
      <c r="T851" t="n">
        <v>1</v>
      </c>
      <c r="U851" t="n">
        <v>1</v>
      </c>
      <c r="V851" s="2" t="inlineStr">
        <is>
          <t>Knärot</t>
        </is>
      </c>
      <c r="W851">
        <f>HYPERLINK("https://klasma.github.io/Logging_2182/artfynd/A 38545-2025 artfynd.xlsx", "A 38545-2025")</f>
        <v/>
      </c>
      <c r="X851">
        <f>HYPERLINK("https://klasma.github.io/Logging_2182/kartor/A 38545-2025 karta.png", "A 38545-2025")</f>
        <v/>
      </c>
      <c r="Y851">
        <f>HYPERLINK("https://klasma.github.io/Logging_2182/kartor_geotiff/A 38545-2025 georefererad karta.tif", "A 38545-2025")</f>
        <v/>
      </c>
      <c r="Z851">
        <f>HYPERLINK("https://klasma.github.io/Logging_2182/knärot/A 38545-2025 karta knärot.png", "A 38545-2025")</f>
        <v/>
      </c>
      <c r="AA851">
        <f>HYPERLINK("https://klasma.github.io/Logging_2182/klagomål/A 38545-2025 FSC-klagomål.docx", "A 38545-2025")</f>
        <v/>
      </c>
      <c r="AB851">
        <f>HYPERLINK("https://klasma.github.io/Logging_2182/klagomålsmail/A 38545-2025 FSC-klagomål mail.docx", "A 38545-2025")</f>
        <v/>
      </c>
      <c r="AC851">
        <f>HYPERLINK("https://klasma.github.io/Logging_2182/tillsyn/A 38545-2025 tillsynsbegäran.docx", "A 38545-2025")</f>
        <v/>
      </c>
      <c r="AD851">
        <f>HYPERLINK("https://klasma.github.io/Logging_2182/tillsynsmail/A 38545-2025 tillsynsbegäran mail.docx", "A 38545-2025")</f>
        <v/>
      </c>
    </row>
    <row r="852" ht="15" customHeight="1">
      <c r="A852" t="inlineStr">
        <is>
          <t>A 9267-2026</t>
        </is>
      </c>
      <c r="B852" t="inlineStr">
        <is>
          <t>avverkningsanmälan</t>
        </is>
      </c>
      <c r="C852" t="inlineStr">
        <is>
          <t>Föryngringsavverkning</t>
        </is>
      </c>
      <c r="D852" s="1" t="n">
        <v>46069</v>
      </c>
      <c r="E852" s="1" t="n">
        <v>46326</v>
      </c>
      <c r="F852" t="inlineStr">
        <is>
          <t>GÄVLEBORGS LÄN</t>
        </is>
      </c>
      <c r="G852" t="inlineStr">
        <is>
          <t>SANDVIKEN</t>
        </is>
      </c>
      <c r="I852" t="n">
        <v>1</v>
      </c>
      <c r="J852" t="n">
        <v>0</v>
      </c>
      <c r="K852" t="n">
        <v>0</v>
      </c>
      <c r="L852" t="n">
        <v>1</v>
      </c>
      <c r="M852" t="n">
        <v>0</v>
      </c>
      <c r="N852" t="n">
        <v>0</v>
      </c>
      <c r="O852" t="n">
        <v>0</v>
      </c>
      <c r="P852" t="n">
        <v>0</v>
      </c>
      <c r="Q852" t="n">
        <v>1</v>
      </c>
      <c r="R852" t="n">
        <v>0</v>
      </c>
      <c r="S852" t="n">
        <v>1</v>
      </c>
      <c r="T852" t="n">
        <v>1</v>
      </c>
      <c r="U852" t="n">
        <v>0</v>
      </c>
      <c r="V852" s="2" t="inlineStr">
        <is>
          <t>Gullpudra</t>
        </is>
      </c>
      <c r="W852">
        <f>HYPERLINK("https://klasma.github.io/Logging_2181/artfynd/A 9267-2026 artfynd.xlsx", "A 9267-2026")</f>
        <v/>
      </c>
      <c r="X852">
        <f>HYPERLINK("https://klasma.github.io/Logging_2181/kartor/A 9267-2026 karta.png", "A 9267-2026")</f>
        <v/>
      </c>
      <c r="Y852">
        <f>HYPERLINK("https://klasma.github.io/Logging_2181/kartor_geotiff/A 9267-2026 georefererad karta.tif", "A 9267-2026")</f>
        <v/>
      </c>
      <c r="AA852">
        <f>HYPERLINK("https://klasma.github.io/Logging_2181/klagomål/A 9267-2026 FSC-klagomål.docx", "A 9267-2026")</f>
        <v/>
      </c>
      <c r="AB852">
        <f>HYPERLINK("https://klasma.github.io/Logging_2181/klagomålsmail/A 9267-2026 FSC-klagomål mail.docx", "A 9267-2026")</f>
        <v/>
      </c>
      <c r="AC852">
        <f>HYPERLINK("https://klasma.github.io/Logging_2181/tillsyn/A 9267-2026 tillsynsbegäran.docx", "A 9267-2026")</f>
        <v/>
      </c>
      <c r="AD852">
        <f>HYPERLINK("https://klasma.github.io/Logging_2181/tillsynsmail/A 9267-2026 tillsynsbegäran mail.docx", "A 9267-2026")</f>
        <v/>
      </c>
    </row>
    <row r="853" ht="15" customHeight="1">
      <c r="A853" t="inlineStr">
        <is>
          <t>A 9284-2026</t>
        </is>
      </c>
      <c r="B853" t="inlineStr">
        <is>
          <t>avverkningsanmälan</t>
        </is>
      </c>
      <c r="C853" t="inlineStr">
        <is>
          <t>Föryngringsavverkning</t>
        </is>
      </c>
      <c r="D853" s="1" t="n">
        <v>46070</v>
      </c>
      <c r="E853" s="1" t="n">
        <v>46326</v>
      </c>
      <c r="F853" t="inlineStr">
        <is>
          <t>GÄVLEBORGS LÄN</t>
        </is>
      </c>
      <c r="G853" t="inlineStr">
        <is>
          <t>SÖDERHAMN</t>
        </is>
      </c>
      <c r="I853" t="n">
        <v>0.2</v>
      </c>
      <c r="J853" t="n">
        <v>1</v>
      </c>
      <c r="K853" t="n">
        <v>0</v>
      </c>
      <c r="L853" t="n">
        <v>0</v>
      </c>
      <c r="M853" t="n">
        <v>1</v>
      </c>
      <c r="N853" t="n">
        <v>0</v>
      </c>
      <c r="O853" t="n">
        <v>0</v>
      </c>
      <c r="P853" t="n">
        <v>0</v>
      </c>
      <c r="Q853" t="n">
        <v>1</v>
      </c>
      <c r="R853" t="n">
        <v>1</v>
      </c>
      <c r="S853" t="n">
        <v>1</v>
      </c>
      <c r="T853" t="n">
        <v>1</v>
      </c>
      <c r="U853" t="n">
        <v>0</v>
      </c>
      <c r="V853" s="2" t="inlineStr">
        <is>
          <t>Knärot</t>
        </is>
      </c>
      <c r="W853">
        <f>HYPERLINK("https://klasma.github.io/Logging_2182/artfynd/A 9284-2026 artfynd.xlsx", "A 9284-2026")</f>
        <v/>
      </c>
      <c r="X853">
        <f>HYPERLINK("https://klasma.github.io/Logging_2182/kartor/A 9284-2026 karta.png", "A 9284-2026")</f>
        <v/>
      </c>
      <c r="Y853">
        <f>HYPERLINK("https://klasma.github.io/Logging_2182/kartor_geotiff/A 9284-2026 georefererad karta.tif", "A 9284-2026")</f>
        <v/>
      </c>
      <c r="Z853">
        <f>HYPERLINK("https://klasma.github.io/Logging_2182/knärot/A 9284-2026 karta knärot.png", "A 9284-2026")</f>
        <v/>
      </c>
      <c r="AA853">
        <f>HYPERLINK("https://klasma.github.io/Logging_2182/klagomål/A 9284-2026 FSC-klagomål.docx", "A 9284-2026")</f>
        <v/>
      </c>
      <c r="AB853">
        <f>HYPERLINK("https://klasma.github.io/Logging_2182/klagomålsmail/A 9284-2026 FSC-klagomål mail.docx", "A 9284-2026")</f>
        <v/>
      </c>
      <c r="AC853">
        <f>HYPERLINK("https://klasma.github.io/Logging_2182/tillsyn/A 9284-2026 tillsynsbegäran.docx", "A 9284-2026")</f>
        <v/>
      </c>
      <c r="AD853">
        <f>HYPERLINK("https://klasma.github.io/Logging_2182/tillsynsmail/A 9284-2026 tillsynsbegäran mail.docx", "A 9284-2026")</f>
        <v/>
      </c>
    </row>
    <row r="854" ht="15" customHeight="1">
      <c r="A854" t="inlineStr">
        <is>
          <t>A 54963-2025</t>
        </is>
      </c>
      <c r="B854" t="inlineStr">
        <is>
          <t>avverkningsanmälan</t>
        </is>
      </c>
      <c r="C854" t="inlineStr">
        <is>
          <t>Föryngringsavverkning</t>
        </is>
      </c>
      <c r="D854" s="1" t="n">
        <v>45967</v>
      </c>
      <c r="E854" s="1" t="n">
        <v>46326</v>
      </c>
      <c r="F854" t="inlineStr">
        <is>
          <t>GÄVLEBORGS LÄN</t>
        </is>
      </c>
      <c r="G854" t="inlineStr">
        <is>
          <t>GÄVLE</t>
        </is>
      </c>
      <c r="H854" t="inlineStr">
        <is>
          <t>Bergvik skog öst AB</t>
        </is>
      </c>
      <c r="I854" t="n">
        <v>7.9</v>
      </c>
      <c r="J854" t="n">
        <v>1</v>
      </c>
      <c r="K854" t="n">
        <v>0</v>
      </c>
      <c r="L854" t="n">
        <v>0</v>
      </c>
      <c r="M854" t="n">
        <v>0</v>
      </c>
      <c r="N854" t="n">
        <v>0</v>
      </c>
      <c r="O854" t="n">
        <v>0</v>
      </c>
      <c r="P854" t="n">
        <v>0</v>
      </c>
      <c r="Q854" t="n">
        <v>0</v>
      </c>
      <c r="R854" t="n">
        <v>0</v>
      </c>
      <c r="S854" t="n">
        <v>1</v>
      </c>
      <c r="T854" t="n">
        <v>1</v>
      </c>
      <c r="U854" t="n">
        <v>0</v>
      </c>
      <c r="V854" s="2" t="inlineStr">
        <is>
          <t>Revlummer</t>
        </is>
      </c>
      <c r="W854">
        <f>HYPERLINK("https://klasma.github.io/Logging_2180/artfynd/A 54963-2025 artfynd.xlsx", "A 54963-2025")</f>
        <v/>
      </c>
      <c r="X854">
        <f>HYPERLINK("https://klasma.github.io/Logging_2180/kartor/A 54963-2025 karta.png", "A 54963-2025")</f>
        <v/>
      </c>
      <c r="Y854">
        <f>HYPERLINK("https://klasma.github.io/Logging_2180/kartor_geotiff/A 54963-2025 georefererad karta.tif", "A 54963-2025")</f>
        <v/>
      </c>
      <c r="AA854">
        <f>HYPERLINK("https://klasma.github.io/Logging_2180/klagomål/A 54963-2025 FSC-klagomål.docx", "A 54963-2025")</f>
        <v/>
      </c>
      <c r="AB854">
        <f>HYPERLINK("https://klasma.github.io/Logging_2180/klagomålsmail/A 54963-2025 FSC-klagomål mail.docx", "A 54963-2025")</f>
        <v/>
      </c>
      <c r="AC854">
        <f>HYPERLINK("https://klasma.github.io/Logging_2180/tillsyn/A 54963-2025 tillsynsbegäran.docx", "A 54963-2025")</f>
        <v/>
      </c>
      <c r="AD854">
        <f>HYPERLINK("https://klasma.github.io/Logging_2180/tillsynsmail/A 54963-2025 tillsynsbegäran mail.docx", "A 54963-2025")</f>
        <v/>
      </c>
    </row>
    <row r="855" ht="15" customHeight="1">
      <c r="A855" t="inlineStr">
        <is>
          <t>A 10484-2026</t>
        </is>
      </c>
      <c r="B855" t="inlineStr">
        <is>
          <t>avverkningsanmälan</t>
        </is>
      </c>
      <c r="C855" t="inlineStr">
        <is>
          <t>Föryngringsavverkning</t>
        </is>
      </c>
      <c r="D855" s="1" t="n">
        <v>46077</v>
      </c>
      <c r="E855" s="1" t="n">
        <v>46326</v>
      </c>
      <c r="F855" t="inlineStr">
        <is>
          <t>GÄVLEBORGS LÄN</t>
        </is>
      </c>
      <c r="G855" t="inlineStr">
        <is>
          <t>OCKELBO</t>
        </is>
      </c>
      <c r="I855" t="n">
        <v>1.8</v>
      </c>
      <c r="J855" t="n">
        <v>0</v>
      </c>
      <c r="K855" t="n">
        <v>0</v>
      </c>
      <c r="L855" t="n">
        <v>1</v>
      </c>
      <c r="M855" t="n">
        <v>0</v>
      </c>
      <c r="N855" t="n">
        <v>0</v>
      </c>
      <c r="O855" t="n">
        <v>0</v>
      </c>
      <c r="P855" t="n">
        <v>0</v>
      </c>
      <c r="Q855" t="n">
        <v>1</v>
      </c>
      <c r="R855" t="n">
        <v>0</v>
      </c>
      <c r="S855" t="n">
        <v>1</v>
      </c>
      <c r="T855" t="n">
        <v>2</v>
      </c>
      <c r="U855" t="n">
        <v>0</v>
      </c>
      <c r="V855" s="2" t="inlineStr">
        <is>
          <t>Ullticka</t>
        </is>
      </c>
      <c r="W855">
        <f>HYPERLINK("https://klasma.github.io/Logging_2101/artfynd/A 10484-2026 artfynd.xlsx", "A 10484-2026")</f>
        <v/>
      </c>
      <c r="X855">
        <f>HYPERLINK("https://klasma.github.io/Logging_2101/kartor/A 10484-2026 karta.png", "A 10484-2026")</f>
        <v/>
      </c>
      <c r="Y855">
        <f>HYPERLINK("https://klasma.github.io/Logging_2101/kartor_geotiff/A 10484-2026 georefererad karta.tif", "A 10484-2026")</f>
        <v/>
      </c>
      <c r="AA855">
        <f>HYPERLINK("https://klasma.github.io/Logging_2101/klagomål/A 10484-2026 FSC-klagomål.docx", "A 10484-2026")</f>
        <v/>
      </c>
      <c r="AB855">
        <f>HYPERLINK("https://klasma.github.io/Logging_2101/klagomålsmail/A 10484-2026 FSC-klagomål mail.docx", "A 10484-2026")</f>
        <v/>
      </c>
      <c r="AC855">
        <f>HYPERLINK("https://klasma.github.io/Logging_2101/tillsyn/A 10484-2026 tillsynsbegäran.docx", "A 10484-2026")</f>
        <v/>
      </c>
      <c r="AD855">
        <f>HYPERLINK("https://klasma.github.io/Logging_2101/tillsynsmail/A 10484-2026 tillsynsbegäran mail.docx", "A 10484-2026")</f>
        <v/>
      </c>
    </row>
    <row r="856" ht="15" customHeight="1">
      <c r="A856" t="inlineStr">
        <is>
          <t>A 54772-2022</t>
        </is>
      </c>
      <c r="B856" t="inlineStr">
        <is>
          <t>avverkningsanmälan</t>
        </is>
      </c>
      <c r="C856" t="inlineStr">
        <is>
          <t>Föryngringsavverkning</t>
        </is>
      </c>
      <c r="D856" s="1" t="n">
        <v>44883</v>
      </c>
      <c r="E856" s="1" t="n">
        <v>46326</v>
      </c>
      <c r="F856" t="inlineStr">
        <is>
          <t>GÄVLEBORGS LÄN</t>
        </is>
      </c>
      <c r="G856" t="inlineStr">
        <is>
          <t>BOLLNÄS</t>
        </is>
      </c>
      <c r="I856" t="n">
        <v>12.5</v>
      </c>
      <c r="J856" t="n">
        <v>1</v>
      </c>
      <c r="K856" t="n">
        <v>0</v>
      </c>
      <c r="L856" t="n">
        <v>1</v>
      </c>
      <c r="M856" t="n">
        <v>0</v>
      </c>
      <c r="N856" t="n">
        <v>0</v>
      </c>
      <c r="O856" t="n">
        <v>0</v>
      </c>
      <c r="P856" t="n">
        <v>0</v>
      </c>
      <c r="Q856" t="n">
        <v>1</v>
      </c>
      <c r="R856" t="n">
        <v>0</v>
      </c>
      <c r="S856" t="n">
        <v>1</v>
      </c>
      <c r="T856" t="n">
        <v>1</v>
      </c>
      <c r="U856" t="n">
        <v>0</v>
      </c>
      <c r="V856" s="2" t="inlineStr">
        <is>
          <t>Lavskrika</t>
        </is>
      </c>
      <c r="W856">
        <f>HYPERLINK("https://klasma.github.io/Logging_2183/artfynd/A 54772-2022 artfynd.xlsx", "A 54772-2022")</f>
        <v/>
      </c>
      <c r="X856">
        <f>HYPERLINK("https://klasma.github.io/Logging_2183/kartor/A 54772-2022 karta.png", "A 54772-2022")</f>
        <v/>
      </c>
      <c r="Y856">
        <f>HYPERLINK("https://klasma.github.io/Logging_2183/kartor_geotiff/A 54772-2022 georefererad karta.tif", "A 54772-2022")</f>
        <v/>
      </c>
      <c r="AA856">
        <f>HYPERLINK("https://klasma.github.io/Logging_2183/klagomål/A 54772-2022 FSC-klagomål.docx", "A 54772-2022")</f>
        <v/>
      </c>
      <c r="AB856">
        <f>HYPERLINK("https://klasma.github.io/Logging_2183/klagomålsmail/A 54772-2022 FSC-klagomål mail.docx", "A 54772-2022")</f>
        <v/>
      </c>
      <c r="AC856">
        <f>HYPERLINK("https://klasma.github.io/Logging_2183/tillsyn/A 54772-2022 tillsynsbegäran.docx", "A 54772-2022")</f>
        <v/>
      </c>
      <c r="AD856">
        <f>HYPERLINK("https://klasma.github.io/Logging_2183/tillsynsmail/A 54772-2022 tillsynsbegäran mail.docx", "A 54772-2022")</f>
        <v/>
      </c>
      <c r="AE856">
        <f>HYPERLINK("https://klasma.github.io/Logging_2183/fåglar/A 54772-2022 prioriterade fågelarter.docx", "A 54772-2022")</f>
        <v/>
      </c>
    </row>
    <row r="857" ht="15" customHeight="1">
      <c r="A857" t="inlineStr">
        <is>
          <t>A 10587-2022</t>
        </is>
      </c>
      <c r="B857" t="inlineStr">
        <is>
          <t>avverkningsanmälan</t>
        </is>
      </c>
      <c r="C857" t="inlineStr">
        <is>
          <t>Föryngringsavverkning</t>
        </is>
      </c>
      <c r="D857" s="1" t="n">
        <v>44624</v>
      </c>
      <c r="E857" s="1" t="n">
        <v>46326</v>
      </c>
      <c r="F857" t="inlineStr">
        <is>
          <t>GÄVLEBORGS LÄN</t>
        </is>
      </c>
      <c r="G857" t="inlineStr">
        <is>
          <t>HOFORS</t>
        </is>
      </c>
      <c r="I857" t="n">
        <v>5</v>
      </c>
      <c r="J857" t="n">
        <v>1</v>
      </c>
      <c r="K857" t="n">
        <v>0</v>
      </c>
      <c r="L857" t="n">
        <v>0</v>
      </c>
      <c r="M857" t="n">
        <v>0</v>
      </c>
      <c r="N857" t="n">
        <v>0</v>
      </c>
      <c r="O857" t="n">
        <v>0</v>
      </c>
      <c r="P857" t="n">
        <v>0</v>
      </c>
      <c r="Q857" t="n">
        <v>0</v>
      </c>
      <c r="R857" t="n">
        <v>0</v>
      </c>
      <c r="S857" t="n">
        <v>1</v>
      </c>
      <c r="T857" t="n">
        <v>4</v>
      </c>
      <c r="U857" t="n">
        <v>3</v>
      </c>
      <c r="V857" s="2" t="inlineStr">
        <is>
          <t>Fläcknycklar</t>
        </is>
      </c>
      <c r="W857">
        <f>HYPERLINK("https://klasma.github.io/Logging_2104/artfynd/A 10587-2022 artfynd.xlsx", "A 10587-2022")</f>
        <v/>
      </c>
      <c r="X857">
        <f>HYPERLINK("https://klasma.github.io/Logging_2104/kartor/A 10587-2022 karta.png", "A 10587-2022")</f>
        <v/>
      </c>
      <c r="Y857">
        <f>HYPERLINK("https://klasma.github.io/Logging_2104/kartor_geotiff/A 10587-2022 georefererad karta.tif", "A 10587-2022")</f>
        <v/>
      </c>
      <c r="AA857">
        <f>HYPERLINK("https://klasma.github.io/Logging_2104/klagomål/A 10587-2022 FSC-klagomål.docx", "A 10587-2022")</f>
        <v/>
      </c>
      <c r="AB857">
        <f>HYPERLINK("https://klasma.github.io/Logging_2104/klagomålsmail/A 10587-2022 FSC-klagomål mail.docx", "A 10587-2022")</f>
        <v/>
      </c>
      <c r="AC857">
        <f>HYPERLINK("https://klasma.github.io/Logging_2104/tillsyn/A 10587-2022 tillsynsbegäran.docx", "A 10587-2022")</f>
        <v/>
      </c>
      <c r="AD857">
        <f>HYPERLINK("https://klasma.github.io/Logging_2104/tillsynsmail/A 10587-2022 tillsynsbegäran mail.docx", "A 10587-2022")</f>
        <v/>
      </c>
    </row>
    <row r="858" ht="15" customHeight="1">
      <c r="A858" t="inlineStr">
        <is>
          <t>A 55476-2025</t>
        </is>
      </c>
      <c r="B858" t="inlineStr">
        <is>
          <t>avverkningsanmälan</t>
        </is>
      </c>
      <c r="C858" t="inlineStr">
        <is>
          <t>Föryngringsavverkning</t>
        </is>
      </c>
      <c r="D858" s="1" t="n">
        <v>45971</v>
      </c>
      <c r="E858" s="1" t="n">
        <v>46326</v>
      </c>
      <c r="F858" t="inlineStr">
        <is>
          <t>GÄVLEBORGS LÄN</t>
        </is>
      </c>
      <c r="G858" t="inlineStr">
        <is>
          <t>NORDANSTIG</t>
        </is>
      </c>
      <c r="H858" t="inlineStr">
        <is>
          <t>Holmen skog AB</t>
        </is>
      </c>
      <c r="I858" t="n">
        <v>6.9</v>
      </c>
      <c r="J858" t="n">
        <v>1</v>
      </c>
      <c r="K858" t="n">
        <v>0</v>
      </c>
      <c r="L858" t="n">
        <v>0</v>
      </c>
      <c r="M858" t="n">
        <v>0</v>
      </c>
      <c r="N858" t="n">
        <v>0</v>
      </c>
      <c r="O858" t="n">
        <v>0</v>
      </c>
      <c r="P858" t="n">
        <v>0</v>
      </c>
      <c r="Q858" t="n">
        <v>0</v>
      </c>
      <c r="R858" t="n">
        <v>0</v>
      </c>
      <c r="S858" t="n">
        <v>1</v>
      </c>
      <c r="T858" t="n">
        <v>1</v>
      </c>
      <c r="U858" t="n">
        <v>0</v>
      </c>
      <c r="V858" s="2" t="inlineStr">
        <is>
          <t>Blåsippa</t>
        </is>
      </c>
      <c r="W858">
        <f>HYPERLINK("https://klasma.github.io/Logging_2132/artfynd/A 55476-2025 artfynd.xlsx", "A 55476-2025")</f>
        <v/>
      </c>
      <c r="X858">
        <f>HYPERLINK("https://klasma.github.io/Logging_2132/kartor/A 55476-2025 karta.png", "A 55476-2025")</f>
        <v/>
      </c>
      <c r="Y858">
        <f>HYPERLINK("https://klasma.github.io/Logging_2132/kartor_geotiff/A 55476-2025 georefererad karta.tif", "A 55476-2025")</f>
        <v/>
      </c>
      <c r="AA858">
        <f>HYPERLINK("https://klasma.github.io/Logging_2132/klagomål/A 55476-2025 FSC-klagomål.docx", "A 55476-2025")</f>
        <v/>
      </c>
      <c r="AB858">
        <f>HYPERLINK("https://klasma.github.io/Logging_2132/klagomålsmail/A 55476-2025 FSC-klagomål mail.docx", "A 55476-2025")</f>
        <v/>
      </c>
      <c r="AC858">
        <f>HYPERLINK("https://klasma.github.io/Logging_2132/tillsyn/A 55476-2025 tillsynsbegäran.docx", "A 55476-2025")</f>
        <v/>
      </c>
      <c r="AD858">
        <f>HYPERLINK("https://klasma.github.io/Logging_2132/tillsynsmail/A 55476-2025 tillsynsbegäran mail.docx", "A 55476-2025")</f>
        <v/>
      </c>
    </row>
    <row r="859" ht="15" customHeight="1">
      <c r="A859" t="inlineStr">
        <is>
          <t>A 58820-2022</t>
        </is>
      </c>
      <c r="B859" t="inlineStr">
        <is>
          <t>avverkningsanmälan</t>
        </is>
      </c>
      <c r="C859" t="inlineStr">
        <is>
          <t>Föryngringsavverkning</t>
        </is>
      </c>
      <c r="D859" s="1" t="n">
        <v>44903</v>
      </c>
      <c r="E859" s="1" t="n">
        <v>46326</v>
      </c>
      <c r="F859" t="inlineStr">
        <is>
          <t>GÄVLEBORGS LÄN</t>
        </is>
      </c>
      <c r="G859" t="inlineStr">
        <is>
          <t>LJUSDAL</t>
        </is>
      </c>
      <c r="H859" t="inlineStr">
        <is>
          <t>Kyrkan</t>
        </is>
      </c>
      <c r="I859" t="n">
        <v>13</v>
      </c>
      <c r="J859" t="n">
        <v>1</v>
      </c>
      <c r="K859" t="n">
        <v>0</v>
      </c>
      <c r="L859" t="n">
        <v>0</v>
      </c>
      <c r="M859" t="n">
        <v>0</v>
      </c>
      <c r="N859" t="n">
        <v>0</v>
      </c>
      <c r="O859" t="n">
        <v>0</v>
      </c>
      <c r="P859" t="n">
        <v>0</v>
      </c>
      <c r="Q859" t="n">
        <v>0</v>
      </c>
      <c r="R859" t="n">
        <v>0</v>
      </c>
      <c r="S859" t="n">
        <v>1</v>
      </c>
      <c r="T859" t="n">
        <v>2</v>
      </c>
      <c r="U859" t="n">
        <v>0</v>
      </c>
      <c r="V859" s="2" t="inlineStr">
        <is>
          <t>Tjäder</t>
        </is>
      </c>
      <c r="W859">
        <f>HYPERLINK("https://klasma.github.io/Logging_2161/artfynd/A 58820-2022 artfynd.xlsx", "A 58820-2022")</f>
        <v/>
      </c>
      <c r="X859">
        <f>HYPERLINK("https://klasma.github.io/Logging_2161/kartor/A 58820-2022 karta.png", "A 58820-2022")</f>
        <v/>
      </c>
      <c r="Y859">
        <f>HYPERLINK("https://klasma.github.io/Logging_2161/kartor_geotiff/A 58820-2022 georefererad karta.tif", "A 58820-2022")</f>
        <v/>
      </c>
      <c r="AA859">
        <f>HYPERLINK("https://klasma.github.io/Logging_2161/klagomål/A 58820-2022 FSC-klagomål.docx", "A 58820-2022")</f>
        <v/>
      </c>
      <c r="AB859">
        <f>HYPERLINK("https://klasma.github.io/Logging_2161/klagomålsmail/A 58820-2022 FSC-klagomål mail.docx", "A 58820-2022")</f>
        <v/>
      </c>
      <c r="AC859">
        <f>HYPERLINK("https://klasma.github.io/Logging_2161/tillsyn/A 58820-2022 tillsynsbegäran.docx", "A 58820-2022")</f>
        <v/>
      </c>
      <c r="AD859">
        <f>HYPERLINK("https://klasma.github.io/Logging_2161/tillsynsmail/A 58820-2022 tillsynsbegäran mail.docx", "A 58820-2022")</f>
        <v/>
      </c>
      <c r="AE859">
        <f>HYPERLINK("https://klasma.github.io/Logging_2161/fåglar/A 58820-2022 prioriterade fågelarter.docx", "A 58820-2022")</f>
        <v/>
      </c>
    </row>
    <row r="860" ht="15" customHeight="1">
      <c r="A860" t="inlineStr">
        <is>
          <t>A 61718-2023</t>
        </is>
      </c>
      <c r="B860" t="inlineStr">
        <is>
          <t>avverkningsanmälan</t>
        </is>
      </c>
      <c r="C860" t="inlineStr">
        <is>
          <t>Avverkning för annat ändamål</t>
        </is>
      </c>
      <c r="D860" s="1" t="n">
        <v>45265</v>
      </c>
      <c r="E860" s="1" t="n">
        <v>46326</v>
      </c>
      <c r="F860" t="inlineStr">
        <is>
          <t>GÄVLEBORGS LÄN</t>
        </is>
      </c>
      <c r="G860" t="inlineStr">
        <is>
          <t>LJUSDAL</t>
        </is>
      </c>
      <c r="H860" t="inlineStr">
        <is>
          <t>Kommuner</t>
        </is>
      </c>
      <c r="I860" t="n">
        <v>0.9</v>
      </c>
      <c r="J860" t="n">
        <v>1</v>
      </c>
      <c r="K860" t="n">
        <v>0</v>
      </c>
      <c r="L860" t="n">
        <v>0</v>
      </c>
      <c r="M860" t="n">
        <v>0</v>
      </c>
      <c r="N860" t="n">
        <v>1</v>
      </c>
      <c r="O860" t="n">
        <v>0</v>
      </c>
      <c r="P860" t="n">
        <v>0</v>
      </c>
      <c r="Q860" t="n">
        <v>1</v>
      </c>
      <c r="R860" t="n">
        <v>1</v>
      </c>
      <c r="S860" t="n">
        <v>1</v>
      </c>
      <c r="T860" t="n">
        <v>1</v>
      </c>
      <c r="U860" t="n">
        <v>0</v>
      </c>
      <c r="V860" s="2" t="inlineStr">
        <is>
          <t>Mosippa</t>
        </is>
      </c>
      <c r="W860">
        <f>HYPERLINK("https://klasma.github.io/Logging_2161/artfynd/A 61718-2023 artfynd.xlsx", "A 61718-2023")</f>
        <v/>
      </c>
      <c r="X860">
        <f>HYPERLINK("https://klasma.github.io/Logging_2161/kartor/A 61718-2023 karta.png", "A 61718-2023")</f>
        <v/>
      </c>
      <c r="Y860">
        <f>HYPERLINK("https://klasma.github.io/Logging_2161/kartor_geotiff/A 61718-2023 georefererad karta.tif", "A 61718-2023")</f>
        <v/>
      </c>
      <c r="AA860">
        <f>HYPERLINK("https://klasma.github.io/Logging_2161/klagomål/A 61718-2023 FSC-klagomål.docx", "A 61718-2023")</f>
        <v/>
      </c>
      <c r="AB860">
        <f>HYPERLINK("https://klasma.github.io/Logging_2161/klagomålsmail/A 61718-2023 FSC-klagomål mail.docx", "A 61718-2023")</f>
        <v/>
      </c>
      <c r="AC860">
        <f>HYPERLINK("https://klasma.github.io/Logging_2161/tillsyn/A 61718-2023 tillsynsbegäran.docx", "A 61718-2023")</f>
        <v/>
      </c>
      <c r="AD860">
        <f>HYPERLINK("https://klasma.github.io/Logging_2161/tillsynsmail/A 61718-2023 tillsynsbegäran mail.docx", "A 61718-2023")</f>
        <v/>
      </c>
    </row>
    <row r="861" ht="15" customHeight="1">
      <c r="A861" t="inlineStr">
        <is>
          <t>A 55778-2025</t>
        </is>
      </c>
      <c r="B861" t="inlineStr">
        <is>
          <t>avverkningsanmälan</t>
        </is>
      </c>
      <c r="C861" t="inlineStr">
        <is>
          <t>Föryngringsavverkning</t>
        </is>
      </c>
      <c r="D861" s="1" t="n">
        <v>45972</v>
      </c>
      <c r="E861" s="1" t="n">
        <v>46326</v>
      </c>
      <c r="F861" t="inlineStr">
        <is>
          <t>GÄVLEBORGS LÄN</t>
        </is>
      </c>
      <c r="G861" t="inlineStr">
        <is>
          <t>OCKELBO</t>
        </is>
      </c>
      <c r="H861" t="inlineStr">
        <is>
          <t>Bergvik skog väst AB</t>
        </is>
      </c>
      <c r="I861" t="n">
        <v>12.3</v>
      </c>
      <c r="J861" t="n">
        <v>1</v>
      </c>
      <c r="K861" t="n">
        <v>0</v>
      </c>
      <c r="L861" t="n">
        <v>0</v>
      </c>
      <c r="M861" t="n">
        <v>0</v>
      </c>
      <c r="N861" t="n">
        <v>0</v>
      </c>
      <c r="O861" t="n">
        <v>0</v>
      </c>
      <c r="P861" t="n">
        <v>0</v>
      </c>
      <c r="Q861" t="n">
        <v>0</v>
      </c>
      <c r="R861" t="n">
        <v>0</v>
      </c>
      <c r="S861" t="n">
        <v>1</v>
      </c>
      <c r="T861" t="n">
        <v>1</v>
      </c>
      <c r="U861" t="n">
        <v>0</v>
      </c>
      <c r="V861" s="2" t="inlineStr">
        <is>
          <t>Fläcknycklar</t>
        </is>
      </c>
      <c r="W861">
        <f>HYPERLINK("https://klasma.github.io/Logging_2101/artfynd/A 55778-2025 artfynd.xlsx", "A 55778-2025")</f>
        <v/>
      </c>
      <c r="X861">
        <f>HYPERLINK("https://klasma.github.io/Logging_2101/kartor/A 55778-2025 karta.png", "A 55778-2025")</f>
        <v/>
      </c>
      <c r="Y861">
        <f>HYPERLINK("https://klasma.github.io/Logging_2101/kartor_geotiff/A 55778-2025 georefererad karta.tif", "A 55778-2025")</f>
        <v/>
      </c>
      <c r="AA861">
        <f>HYPERLINK("https://klasma.github.io/Logging_2101/klagomål/A 55778-2025 FSC-klagomål.docx", "A 55778-2025")</f>
        <v/>
      </c>
      <c r="AB861">
        <f>HYPERLINK("https://klasma.github.io/Logging_2101/klagomålsmail/A 55778-2025 FSC-klagomål mail.docx", "A 55778-2025")</f>
        <v/>
      </c>
      <c r="AC861">
        <f>HYPERLINK("https://klasma.github.io/Logging_2101/tillsyn/A 55778-2025 tillsynsbegäran.docx", "A 55778-2025")</f>
        <v/>
      </c>
      <c r="AD861">
        <f>HYPERLINK("https://klasma.github.io/Logging_2101/tillsynsmail/A 55778-2025 tillsynsbegäran mail.docx", "A 55778-2025")</f>
        <v/>
      </c>
    </row>
    <row r="862" ht="15" customHeight="1">
      <c r="A862" t="inlineStr">
        <is>
          <t>A 61603-2022</t>
        </is>
      </c>
      <c r="B862" t="inlineStr">
        <is>
          <t>avverkningsanmälan</t>
        </is>
      </c>
      <c r="C862" t="inlineStr">
        <is>
          <t>Avverkning för annat ändamål</t>
        </is>
      </c>
      <c r="D862" s="1" t="n">
        <v>44916</v>
      </c>
      <c r="E862" s="1" t="n">
        <v>46326</v>
      </c>
      <c r="F862" t="inlineStr">
        <is>
          <t>GÄVLEBORGS LÄN</t>
        </is>
      </c>
      <c r="G862" t="inlineStr">
        <is>
          <t>LJUSDAL</t>
        </is>
      </c>
      <c r="I862" t="n">
        <v>1.2</v>
      </c>
      <c r="J862" t="n">
        <v>1</v>
      </c>
      <c r="K862" t="n">
        <v>0</v>
      </c>
      <c r="L862" t="n">
        <v>1</v>
      </c>
      <c r="M862" t="n">
        <v>0</v>
      </c>
      <c r="N862" t="n">
        <v>0</v>
      </c>
      <c r="O862" t="n">
        <v>0</v>
      </c>
      <c r="P862" t="n">
        <v>0</v>
      </c>
      <c r="Q862" t="n">
        <v>1</v>
      </c>
      <c r="R862" t="n">
        <v>0</v>
      </c>
      <c r="S862" t="n">
        <v>1</v>
      </c>
      <c r="T862" t="n">
        <v>1</v>
      </c>
      <c r="U862" t="n">
        <v>1</v>
      </c>
      <c r="V862" s="2" t="inlineStr">
        <is>
          <t>Lavskrika</t>
        </is>
      </c>
      <c r="W862">
        <f>HYPERLINK("https://klasma.github.io/Logging_2161/artfynd/A 61603-2022 artfynd.xlsx", "A 61603-2022")</f>
        <v/>
      </c>
      <c r="X862">
        <f>HYPERLINK("https://klasma.github.io/Logging_2161/kartor/A 61603-2022 karta.png", "A 61603-2022")</f>
        <v/>
      </c>
      <c r="Y862">
        <f>HYPERLINK("https://klasma.github.io/Logging_2161/kartor_geotiff/A 61603-2022 georefererad karta.tif", "A 61603-2022")</f>
        <v/>
      </c>
      <c r="AA862">
        <f>HYPERLINK("https://klasma.github.io/Logging_2161/klagomål/A 61603-2022 FSC-klagomål.docx", "A 61603-2022")</f>
        <v/>
      </c>
      <c r="AB862">
        <f>HYPERLINK("https://klasma.github.io/Logging_2161/klagomålsmail/A 61603-2022 FSC-klagomål mail.docx", "A 61603-2022")</f>
        <v/>
      </c>
      <c r="AC862">
        <f>HYPERLINK("https://klasma.github.io/Logging_2161/tillsyn/A 61603-2022 tillsynsbegäran.docx", "A 61603-2022")</f>
        <v/>
      </c>
      <c r="AD862">
        <f>HYPERLINK("https://klasma.github.io/Logging_2161/tillsynsmail/A 61603-2022 tillsynsbegäran mail.docx", "A 61603-2022")</f>
        <v/>
      </c>
      <c r="AE862">
        <f>HYPERLINK("https://klasma.github.io/Logging_2161/fåglar/A 61603-2022 prioriterade fågelarter.docx", "A 61603-2022")</f>
        <v/>
      </c>
    </row>
    <row r="863" ht="15" customHeight="1">
      <c r="A863" t="inlineStr">
        <is>
          <t>A 57186-2025</t>
        </is>
      </c>
      <c r="B863" t="inlineStr">
        <is>
          <t>avverkningsanmälan</t>
        </is>
      </c>
      <c r="C863" t="inlineStr">
        <is>
          <t>Föryngringsavverkning</t>
        </is>
      </c>
      <c r="D863" s="1" t="n">
        <v>45979</v>
      </c>
      <c r="E863" s="1" t="n">
        <v>46326</v>
      </c>
      <c r="F863" t="inlineStr">
        <is>
          <t>GÄVLEBORGS LÄN</t>
        </is>
      </c>
      <c r="G863" t="inlineStr">
        <is>
          <t>NORDANSTIG</t>
        </is>
      </c>
      <c r="I863" t="n">
        <v>5.1</v>
      </c>
      <c r="J863" t="n">
        <v>0</v>
      </c>
      <c r="K863" t="n">
        <v>0</v>
      </c>
      <c r="L863" t="n">
        <v>0</v>
      </c>
      <c r="M863" t="n">
        <v>0</v>
      </c>
      <c r="N863" t="n">
        <v>0</v>
      </c>
      <c r="O863" t="n">
        <v>0</v>
      </c>
      <c r="P863" t="n">
        <v>0</v>
      </c>
      <c r="Q863" t="n">
        <v>0</v>
      </c>
      <c r="R863" t="n">
        <v>0</v>
      </c>
      <c r="S863" t="n">
        <v>1</v>
      </c>
      <c r="T863" t="n">
        <v>1</v>
      </c>
      <c r="U863" t="n">
        <v>1</v>
      </c>
      <c r="V863" s="2" t="inlineStr">
        <is>
          <t>Stjärnstarr</t>
        </is>
      </c>
      <c r="W863">
        <f>HYPERLINK("https://klasma.github.io/Logging_2132/artfynd/A 57186-2025 artfynd.xlsx", "A 57186-2025")</f>
        <v/>
      </c>
      <c r="X863">
        <f>HYPERLINK("https://klasma.github.io/Logging_2132/kartor/A 57186-2025 karta.png", "A 57186-2025")</f>
        <v/>
      </c>
      <c r="Y863">
        <f>HYPERLINK("https://klasma.github.io/Logging_2132/kartor_geotiff/A 57186-2025 georefererad karta.tif", "A 57186-2025")</f>
        <v/>
      </c>
      <c r="AA863">
        <f>HYPERLINK("https://klasma.github.io/Logging_2132/klagomål/A 57186-2025 FSC-klagomål.docx", "A 57186-2025")</f>
        <v/>
      </c>
      <c r="AB863">
        <f>HYPERLINK("https://klasma.github.io/Logging_2132/klagomålsmail/A 57186-2025 FSC-klagomål mail.docx", "A 57186-2025")</f>
        <v/>
      </c>
      <c r="AC863">
        <f>HYPERLINK("https://klasma.github.io/Logging_2132/tillsyn/A 57186-2025 tillsynsbegäran.docx", "A 57186-2025")</f>
        <v/>
      </c>
      <c r="AD863">
        <f>HYPERLINK("https://klasma.github.io/Logging_2132/tillsynsmail/A 57186-2025 tillsynsbegäran mail.docx", "A 57186-2025")</f>
        <v/>
      </c>
    </row>
    <row r="864" ht="15" customHeight="1">
      <c r="A864" t="inlineStr">
        <is>
          <t>A 21316-2024</t>
        </is>
      </c>
      <c r="B864" t="inlineStr">
        <is>
          <t>avverkningsanmälan</t>
        </is>
      </c>
      <c r="C864" t="inlineStr">
        <is>
          <t>Föryngringsavverkning</t>
        </is>
      </c>
      <c r="D864" s="1" t="n">
        <v>45440</v>
      </c>
      <c r="E864" s="1" t="n">
        <v>46326</v>
      </c>
      <c r="F864" t="inlineStr">
        <is>
          <t>GÄVLEBORGS LÄN</t>
        </is>
      </c>
      <c r="G864" t="inlineStr">
        <is>
          <t>SÖDERHAMN</t>
        </is>
      </c>
      <c r="H864" t="inlineStr">
        <is>
          <t>Kommuner</t>
        </is>
      </c>
      <c r="I864" t="n">
        <v>2.3</v>
      </c>
      <c r="J864" t="n">
        <v>0</v>
      </c>
      <c r="K864" t="n">
        <v>0</v>
      </c>
      <c r="L864" t="n">
        <v>0</v>
      </c>
      <c r="M864" t="n">
        <v>1</v>
      </c>
      <c r="N864" t="n">
        <v>0</v>
      </c>
      <c r="O864" t="n">
        <v>0</v>
      </c>
      <c r="P864" t="n">
        <v>0</v>
      </c>
      <c r="Q864" t="n">
        <v>1</v>
      </c>
      <c r="R864" t="n">
        <v>1</v>
      </c>
      <c r="S864" t="n">
        <v>1</v>
      </c>
      <c r="T864" t="n">
        <v>1</v>
      </c>
      <c r="U864" t="n">
        <v>1</v>
      </c>
      <c r="V864" s="2" t="inlineStr">
        <is>
          <t>Brunfläckig pärlemorfjäril</t>
        </is>
      </c>
      <c r="W864">
        <f>HYPERLINK("https://klasma.github.io/Logging_2182/artfynd/A 21316-2024 artfynd.xlsx", "A 21316-2024")</f>
        <v/>
      </c>
      <c r="X864">
        <f>HYPERLINK("https://klasma.github.io/Logging_2182/kartor/A 21316-2024 karta.png", "A 21316-2024")</f>
        <v/>
      </c>
      <c r="Y864">
        <f>HYPERLINK("https://klasma.github.io/Logging_2182/kartor_geotiff/A 21316-2024 georefererad karta.tif", "A 21316-2024")</f>
        <v/>
      </c>
      <c r="AA864">
        <f>HYPERLINK("https://klasma.github.io/Logging_2182/klagomål/A 21316-2024 FSC-klagomål.docx", "A 21316-2024")</f>
        <v/>
      </c>
      <c r="AB864">
        <f>HYPERLINK("https://klasma.github.io/Logging_2182/klagomålsmail/A 21316-2024 FSC-klagomål mail.docx", "A 21316-2024")</f>
        <v/>
      </c>
      <c r="AC864">
        <f>HYPERLINK("https://klasma.github.io/Logging_2182/tillsyn/A 21316-2024 tillsynsbegäran.docx", "A 21316-2024")</f>
        <v/>
      </c>
      <c r="AD864">
        <f>HYPERLINK("https://klasma.github.io/Logging_2182/tillsynsmail/A 21316-2024 tillsynsbegäran mail.docx", "A 21316-2024")</f>
        <v/>
      </c>
    </row>
    <row r="865" ht="15" customHeight="1">
      <c r="A865" t="inlineStr">
        <is>
          <t>A 56822-2025</t>
        </is>
      </c>
      <c r="B865" t="inlineStr">
        <is>
          <t>avverkningsanmälan</t>
        </is>
      </c>
      <c r="C865" t="inlineStr">
        <is>
          <t>Föryngringsavverkning</t>
        </is>
      </c>
      <c r="D865" s="1" t="n">
        <v>45978</v>
      </c>
      <c r="E865" s="1" t="n">
        <v>46326</v>
      </c>
      <c r="F865" t="inlineStr">
        <is>
          <t>GÄVLEBORGS LÄN</t>
        </is>
      </c>
      <c r="G865" t="inlineStr">
        <is>
          <t>LJUSDAL</t>
        </is>
      </c>
      <c r="H865" t="inlineStr">
        <is>
          <t>Allmännings- och besparingsskogar</t>
        </is>
      </c>
      <c r="I865" t="n">
        <v>17.2</v>
      </c>
      <c r="J865" t="n">
        <v>1</v>
      </c>
      <c r="K865" t="n">
        <v>0</v>
      </c>
      <c r="L865" t="n">
        <v>0</v>
      </c>
      <c r="M865" t="n">
        <v>1</v>
      </c>
      <c r="N865" t="n">
        <v>0</v>
      </c>
      <c r="O865" t="n">
        <v>0</v>
      </c>
      <c r="P865" t="n">
        <v>0</v>
      </c>
      <c r="Q865" t="n">
        <v>1</v>
      </c>
      <c r="R865" t="n">
        <v>1</v>
      </c>
      <c r="S865" t="n">
        <v>1</v>
      </c>
      <c r="T865" t="n">
        <v>4</v>
      </c>
      <c r="U865" t="n">
        <v>4</v>
      </c>
      <c r="V865" s="2" t="inlineStr">
        <is>
          <t>Knärot</t>
        </is>
      </c>
      <c r="W865">
        <f>HYPERLINK("https://klasma.github.io/Logging_2161/artfynd/A 56822-2025 artfynd.xlsx", "A 56822-2025")</f>
        <v/>
      </c>
      <c r="X865">
        <f>HYPERLINK("https://klasma.github.io/Logging_2161/kartor/A 56822-2025 karta.png", "A 56822-2025")</f>
        <v/>
      </c>
      <c r="Y865">
        <f>HYPERLINK("https://klasma.github.io/Logging_2161/kartor_geotiff/A 56822-2025 georefererad karta.tif", "A 56822-2025")</f>
        <v/>
      </c>
      <c r="Z865">
        <f>HYPERLINK("https://klasma.github.io/Logging_2161/knärot/A 56822-2025 karta knärot.png", "A 56822-2025")</f>
        <v/>
      </c>
      <c r="AA865">
        <f>HYPERLINK("https://klasma.github.io/Logging_2161/klagomål/A 56822-2025 FSC-klagomål.docx", "A 56822-2025")</f>
        <v/>
      </c>
      <c r="AB865">
        <f>HYPERLINK("https://klasma.github.io/Logging_2161/klagomålsmail/A 56822-2025 FSC-klagomål mail.docx", "A 56822-2025")</f>
        <v/>
      </c>
      <c r="AC865">
        <f>HYPERLINK("https://klasma.github.io/Logging_2161/tillsyn/A 56822-2025 tillsynsbegäran.docx", "A 56822-2025")</f>
        <v/>
      </c>
      <c r="AD865">
        <f>HYPERLINK("https://klasma.github.io/Logging_2161/tillsynsmail/A 56822-2025 tillsynsbegäran mail.docx", "A 56822-2025")</f>
        <v/>
      </c>
    </row>
    <row r="866" ht="15" customHeight="1">
      <c r="A866" t="inlineStr">
        <is>
          <t>A 11784-2026</t>
        </is>
      </c>
      <c r="B866" t="inlineStr">
        <is>
          <t>avverkningsanmälan</t>
        </is>
      </c>
      <c r="C866" t="inlineStr">
        <is>
          <t>Föryngringsavverkning</t>
        </is>
      </c>
      <c r="D866" s="1" t="n">
        <v>46084</v>
      </c>
      <c r="E866" s="1" t="n">
        <v>46326</v>
      </c>
      <c r="F866" t="inlineStr">
        <is>
          <t>GÄVLEBORGS LÄN</t>
        </is>
      </c>
      <c r="G866" t="inlineStr">
        <is>
          <t>SANDVIKEN</t>
        </is>
      </c>
      <c r="I866" t="n">
        <v>1.5</v>
      </c>
      <c r="J866" t="n">
        <v>1</v>
      </c>
      <c r="K866" t="n">
        <v>0</v>
      </c>
      <c r="L866" t="n">
        <v>0</v>
      </c>
      <c r="M866" t="n">
        <v>0</v>
      </c>
      <c r="N866" t="n">
        <v>0</v>
      </c>
      <c r="O866" t="n">
        <v>0</v>
      </c>
      <c r="P866" t="n">
        <v>0</v>
      </c>
      <c r="Q866" t="n">
        <v>0</v>
      </c>
      <c r="R866" t="n">
        <v>0</v>
      </c>
      <c r="S866" t="n">
        <v>1</v>
      </c>
      <c r="T866" t="n">
        <v>1</v>
      </c>
      <c r="U866" t="n">
        <v>0</v>
      </c>
      <c r="V866" s="2" t="inlineStr">
        <is>
          <t>Revlummer</t>
        </is>
      </c>
      <c r="W866">
        <f>HYPERLINK("https://klasma.github.io/Logging_2181/artfynd/A 11784-2026 artfynd.xlsx", "A 11784-2026")</f>
        <v/>
      </c>
      <c r="X866">
        <f>HYPERLINK("https://klasma.github.io/Logging_2181/kartor/A 11784-2026 karta.png", "A 11784-2026")</f>
        <v/>
      </c>
      <c r="Y866">
        <f>HYPERLINK("https://klasma.github.io/Logging_2181/kartor_geotiff/A 11784-2026 georefererad karta.tif", "A 11784-2026")</f>
        <v/>
      </c>
      <c r="AA866">
        <f>HYPERLINK("https://klasma.github.io/Logging_2181/klagomål/A 11784-2026 FSC-klagomål.docx", "A 11784-2026")</f>
        <v/>
      </c>
      <c r="AB866">
        <f>HYPERLINK("https://klasma.github.io/Logging_2181/klagomålsmail/A 11784-2026 FSC-klagomål mail.docx", "A 11784-2026")</f>
        <v/>
      </c>
      <c r="AC866">
        <f>HYPERLINK("https://klasma.github.io/Logging_2181/tillsyn/A 11784-2026 tillsynsbegäran.docx", "A 11784-2026")</f>
        <v/>
      </c>
      <c r="AD866">
        <f>HYPERLINK("https://klasma.github.io/Logging_2181/tillsynsmail/A 11784-2026 tillsynsbegäran mail.docx", "A 11784-2026")</f>
        <v/>
      </c>
    </row>
    <row r="867" ht="15" customHeight="1">
      <c r="A867" t="inlineStr">
        <is>
          <t>A 46058-2025</t>
        </is>
      </c>
      <c r="B867" t="inlineStr">
        <is>
          <t>avverkningsanmälan</t>
        </is>
      </c>
      <c r="C867" t="inlineStr">
        <is>
          <t>Föryngringsavverkning</t>
        </is>
      </c>
      <c r="D867" s="1" t="n">
        <v>45924</v>
      </c>
      <c r="E867" s="1" t="n">
        <v>46326</v>
      </c>
      <c r="F867" t="inlineStr">
        <is>
          <t>GÄVLEBORGS LÄN</t>
        </is>
      </c>
      <c r="G867" t="inlineStr">
        <is>
          <t>HOFORS</t>
        </is>
      </c>
      <c r="H867" t="inlineStr">
        <is>
          <t>Övriga statliga verk och myndigheter</t>
        </is>
      </c>
      <c r="I867" t="n">
        <v>1.6</v>
      </c>
      <c r="J867" t="n">
        <v>0</v>
      </c>
      <c r="K867" t="n">
        <v>0</v>
      </c>
      <c r="L867" t="n">
        <v>1</v>
      </c>
      <c r="M867" t="n">
        <v>0</v>
      </c>
      <c r="N867" t="n">
        <v>0</v>
      </c>
      <c r="O867" t="n">
        <v>0</v>
      </c>
      <c r="P867" t="n">
        <v>0</v>
      </c>
      <c r="Q867" t="n">
        <v>1</v>
      </c>
      <c r="R867" t="n">
        <v>0</v>
      </c>
      <c r="S867" t="n">
        <v>1</v>
      </c>
      <c r="T867" t="n">
        <v>2</v>
      </c>
      <c r="U867" t="n">
        <v>0</v>
      </c>
      <c r="V867" s="2" t="inlineStr">
        <is>
          <t>Skarp dropptaggsvamp</t>
        </is>
      </c>
      <c r="W867">
        <f>HYPERLINK("https://klasma.github.io/Logging_2104/artfynd/A 46058-2025 artfynd.xlsx", "A 46058-2025")</f>
        <v/>
      </c>
      <c r="X867">
        <f>HYPERLINK("https://klasma.github.io/Logging_2104/kartor/A 46058-2025 karta.png", "A 46058-2025")</f>
        <v/>
      </c>
      <c r="Y867">
        <f>HYPERLINK("https://klasma.github.io/Logging_2104/kartor_geotiff/A 46058-2025 georefererad karta.tif", "A 46058-2025")</f>
        <v/>
      </c>
      <c r="AA867">
        <f>HYPERLINK("https://klasma.github.io/Logging_2104/klagomål/A 46058-2025 FSC-klagomål.docx", "A 46058-2025")</f>
        <v/>
      </c>
      <c r="AB867">
        <f>HYPERLINK("https://klasma.github.io/Logging_2104/klagomålsmail/A 46058-2025 FSC-klagomål mail.docx", "A 46058-2025")</f>
        <v/>
      </c>
      <c r="AC867">
        <f>HYPERLINK("https://klasma.github.io/Logging_2104/tillsyn/A 46058-2025 tillsynsbegäran.docx", "A 46058-2025")</f>
        <v/>
      </c>
      <c r="AD867">
        <f>HYPERLINK("https://klasma.github.io/Logging_2104/tillsynsmail/A 46058-2025 tillsynsbegäran mail.docx", "A 46058-2025")</f>
        <v/>
      </c>
    </row>
    <row r="868" ht="15" customHeight="1">
      <c r="A868" t="inlineStr">
        <is>
          <t>A 50052-2025</t>
        </is>
      </c>
      <c r="B868" t="inlineStr">
        <is>
          <t>avverkningsanmälan</t>
        </is>
      </c>
      <c r="C868" t="inlineStr">
        <is>
          <t>Föryngringsavverkning</t>
        </is>
      </c>
      <c r="D868" s="1" t="n">
        <v>45943</v>
      </c>
      <c r="E868" s="1" t="n">
        <v>46326</v>
      </c>
      <c r="F868" t="inlineStr">
        <is>
          <t>GÄVLEBORGS LÄN</t>
        </is>
      </c>
      <c r="G868" t="inlineStr">
        <is>
          <t>GÄVLE</t>
        </is>
      </c>
      <c r="I868" t="n">
        <v>1.9</v>
      </c>
      <c r="J868" t="n">
        <v>1</v>
      </c>
      <c r="K868" t="n">
        <v>0</v>
      </c>
      <c r="L868" t="n">
        <v>0</v>
      </c>
      <c r="M868" t="n">
        <v>0</v>
      </c>
      <c r="N868" t="n">
        <v>1</v>
      </c>
      <c r="O868" t="n">
        <v>0</v>
      </c>
      <c r="P868" t="n">
        <v>0</v>
      </c>
      <c r="Q868" t="n">
        <v>1</v>
      </c>
      <c r="R868" t="n">
        <v>1</v>
      </c>
      <c r="S868" t="n">
        <v>1</v>
      </c>
      <c r="T868" t="n">
        <v>3</v>
      </c>
      <c r="U868" t="n">
        <v>0</v>
      </c>
      <c r="V868" s="2" t="inlineStr">
        <is>
          <t>Mosippa</t>
        </is>
      </c>
      <c r="W868">
        <f>HYPERLINK("https://klasma.github.io/Logging_2180/artfynd/A 50052-2025 artfynd.xlsx", "A 50052-2025")</f>
        <v/>
      </c>
      <c r="X868">
        <f>HYPERLINK("https://klasma.github.io/Logging_2180/kartor/A 50052-2025 karta.png", "A 50052-2025")</f>
        <v/>
      </c>
      <c r="Y868">
        <f>HYPERLINK("https://klasma.github.io/Logging_2180/kartor_geotiff/A 50052-2025 georefererad karta.tif", "A 50052-2025")</f>
        <v/>
      </c>
      <c r="AA868">
        <f>HYPERLINK("https://klasma.github.io/Logging_2180/klagomål/A 50052-2025 FSC-klagomål.docx", "A 50052-2025")</f>
        <v/>
      </c>
      <c r="AB868">
        <f>HYPERLINK("https://klasma.github.io/Logging_2180/klagomålsmail/A 50052-2025 FSC-klagomål mail.docx", "A 50052-2025")</f>
        <v/>
      </c>
      <c r="AC868">
        <f>HYPERLINK("https://klasma.github.io/Logging_2180/tillsyn/A 50052-2025 tillsynsbegäran.docx", "A 50052-2025")</f>
        <v/>
      </c>
      <c r="AD868">
        <f>HYPERLINK("https://klasma.github.io/Logging_2180/tillsynsmail/A 50052-2025 tillsynsbegäran mail.docx", "A 50052-2025")</f>
        <v/>
      </c>
    </row>
    <row r="869" ht="15" customHeight="1">
      <c r="A869" t="inlineStr">
        <is>
          <t>A 25479-2023</t>
        </is>
      </c>
      <c r="B869" t="inlineStr">
        <is>
          <t>avverkningsanmälan</t>
        </is>
      </c>
      <c r="C869" t="inlineStr">
        <is>
          <t>Föryngringsavverkning</t>
        </is>
      </c>
      <c r="D869" s="1" t="n">
        <v>45089</v>
      </c>
      <c r="E869" s="1" t="n">
        <v>46326</v>
      </c>
      <c r="F869" t="inlineStr">
        <is>
          <t>GÄVLEBORGS LÄN</t>
        </is>
      </c>
      <c r="G869" t="inlineStr">
        <is>
          <t>SANDVIKEN</t>
        </is>
      </c>
      <c r="I869" t="n">
        <v>4.1</v>
      </c>
      <c r="J869" t="n">
        <v>0</v>
      </c>
      <c r="K869" t="n">
        <v>1</v>
      </c>
      <c r="L869" t="n">
        <v>0</v>
      </c>
      <c r="M869" t="n">
        <v>0</v>
      </c>
      <c r="N869" t="n">
        <v>0</v>
      </c>
      <c r="O869" t="n">
        <v>0</v>
      </c>
      <c r="P869" t="n">
        <v>0</v>
      </c>
      <c r="Q869" t="n">
        <v>0</v>
      </c>
      <c r="R869" t="n">
        <v>0</v>
      </c>
      <c r="S869" t="n">
        <v>1</v>
      </c>
      <c r="T869" t="n">
        <v>1</v>
      </c>
      <c r="U869" t="n">
        <v>1</v>
      </c>
      <c r="V869" s="2" t="inlineStr">
        <is>
          <t>Grönpyrola</t>
        </is>
      </c>
      <c r="W869">
        <f>HYPERLINK("https://klasma.github.io/Logging_2181/artfynd/A 25479-2023 artfynd.xlsx", "A 25479-2023")</f>
        <v/>
      </c>
      <c r="X869">
        <f>HYPERLINK("https://klasma.github.io/Logging_2181/kartor/A 25479-2023 karta.png", "A 25479-2023")</f>
        <v/>
      </c>
      <c r="Y869">
        <f>HYPERLINK("https://klasma.github.io/Logging_2181/kartor_geotiff/A 25479-2023 georefererad karta.tif", "A 25479-2023")</f>
        <v/>
      </c>
      <c r="AA869">
        <f>HYPERLINK("https://klasma.github.io/Logging_2181/klagomål/A 25479-2023 FSC-klagomål.docx", "A 25479-2023")</f>
        <v/>
      </c>
      <c r="AB869">
        <f>HYPERLINK("https://klasma.github.io/Logging_2181/klagomålsmail/A 25479-2023 FSC-klagomål mail.docx", "A 25479-2023")</f>
        <v/>
      </c>
      <c r="AC869">
        <f>HYPERLINK("https://klasma.github.io/Logging_2181/tillsyn/A 25479-2023 tillsynsbegäran.docx", "A 25479-2023")</f>
        <v/>
      </c>
      <c r="AD869">
        <f>HYPERLINK("https://klasma.github.io/Logging_2181/tillsynsmail/A 25479-2023 tillsynsbegäran mail.docx", "A 25479-2023")</f>
        <v/>
      </c>
    </row>
    <row r="870" ht="15" customHeight="1">
      <c r="A870" t="inlineStr">
        <is>
          <t>A 34974-2024</t>
        </is>
      </c>
      <c r="B870" t="inlineStr">
        <is>
          <t>avverkningsanmälan</t>
        </is>
      </c>
      <c r="C870" t="inlineStr">
        <is>
          <t>Föryngringsavverkning</t>
        </is>
      </c>
      <c r="D870" s="1" t="n">
        <v>45527</v>
      </c>
      <c r="E870" s="1" t="n">
        <v>46326</v>
      </c>
      <c r="F870" t="inlineStr">
        <is>
          <t>GÄVLEBORGS LÄN</t>
        </is>
      </c>
      <c r="G870" t="inlineStr">
        <is>
          <t>LJUSDAL</t>
        </is>
      </c>
      <c r="H870" t="inlineStr">
        <is>
          <t>Sveaskog</t>
        </is>
      </c>
      <c r="I870" t="n">
        <v>4.6</v>
      </c>
      <c r="J870" t="n">
        <v>0</v>
      </c>
      <c r="K870" t="n">
        <v>0</v>
      </c>
      <c r="L870" t="n">
        <v>1</v>
      </c>
      <c r="M870" t="n">
        <v>0</v>
      </c>
      <c r="N870" t="n">
        <v>0</v>
      </c>
      <c r="O870" t="n">
        <v>0</v>
      </c>
      <c r="P870" t="n">
        <v>0</v>
      </c>
      <c r="Q870" t="n">
        <v>1</v>
      </c>
      <c r="R870" t="n">
        <v>0</v>
      </c>
      <c r="S870" t="n">
        <v>1</v>
      </c>
      <c r="T870" t="n">
        <v>2</v>
      </c>
      <c r="U870" t="n">
        <v>0</v>
      </c>
      <c r="V870" s="2" t="inlineStr">
        <is>
          <t>Kolflarnlav</t>
        </is>
      </c>
      <c r="W870">
        <f>HYPERLINK("https://klasma.github.io/Logging_2161/artfynd/A 34974-2024 artfynd.xlsx", "A 34974-2024")</f>
        <v/>
      </c>
      <c r="X870">
        <f>HYPERLINK("https://klasma.github.io/Logging_2161/kartor/A 34974-2024 karta.png", "A 34974-2024")</f>
        <v/>
      </c>
      <c r="Y870">
        <f>HYPERLINK("https://klasma.github.io/Logging_2161/kartor_geotiff/A 34974-2024 georefererad karta.tif", "A 34974-2024")</f>
        <v/>
      </c>
      <c r="AA870">
        <f>HYPERLINK("https://klasma.github.io/Logging_2161/klagomål/A 34974-2024 FSC-klagomål.docx", "A 34974-2024")</f>
        <v/>
      </c>
      <c r="AB870">
        <f>HYPERLINK("https://klasma.github.io/Logging_2161/klagomålsmail/A 34974-2024 FSC-klagomål mail.docx", "A 34974-2024")</f>
        <v/>
      </c>
      <c r="AC870">
        <f>HYPERLINK("https://klasma.github.io/Logging_2161/tillsyn/A 34974-2024 tillsynsbegäran.docx", "A 34974-2024")</f>
        <v/>
      </c>
      <c r="AD870">
        <f>HYPERLINK("https://klasma.github.io/Logging_2161/tillsynsmail/A 34974-2024 tillsynsbegäran mail.docx", "A 34974-2024")</f>
        <v/>
      </c>
    </row>
    <row r="871" ht="15" customHeight="1">
      <c r="A871" t="inlineStr">
        <is>
          <t>A 57934-2025</t>
        </is>
      </c>
      <c r="B871" t="inlineStr">
        <is>
          <t>avverkningsanmälan</t>
        </is>
      </c>
      <c r="C871" t="inlineStr">
        <is>
          <t>Föryngringsavverkning</t>
        </is>
      </c>
      <c r="D871" s="1" t="n">
        <v>45981</v>
      </c>
      <c r="E871" s="1" t="n">
        <v>46326</v>
      </c>
      <c r="F871" t="inlineStr">
        <is>
          <t>GÄVLEBORGS LÄN</t>
        </is>
      </c>
      <c r="G871" t="inlineStr">
        <is>
          <t>SANDVIKEN</t>
        </is>
      </c>
      <c r="I871" t="n">
        <v>0.8</v>
      </c>
      <c r="J871" t="n">
        <v>1</v>
      </c>
      <c r="K871" t="n">
        <v>0</v>
      </c>
      <c r="L871" t="n">
        <v>0</v>
      </c>
      <c r="M871" t="n">
        <v>0</v>
      </c>
      <c r="N871" t="n">
        <v>0</v>
      </c>
      <c r="O871" t="n">
        <v>0</v>
      </c>
      <c r="P871" t="n">
        <v>0</v>
      </c>
      <c r="Q871" t="n">
        <v>0</v>
      </c>
      <c r="R871" t="n">
        <v>0</v>
      </c>
      <c r="S871" t="n">
        <v>1</v>
      </c>
      <c r="T871" t="n">
        <v>1</v>
      </c>
      <c r="U871" t="n">
        <v>0</v>
      </c>
      <c r="V871" s="2" t="inlineStr">
        <is>
          <t>Grönsiska</t>
        </is>
      </c>
      <c r="W871">
        <f>HYPERLINK("https://klasma.github.io/Logging_2181/artfynd/A 57934-2025 artfynd.xlsx", "A 57934-2025")</f>
        <v/>
      </c>
      <c r="X871">
        <f>HYPERLINK("https://klasma.github.io/Logging_2181/kartor/A 57934-2025 karta.png", "A 57934-2025")</f>
        <v/>
      </c>
      <c r="Y871">
        <f>HYPERLINK("https://klasma.github.io/Logging_2181/kartor_geotiff/A 57934-2025 georefererad karta.tif", "A 57934-2025")</f>
        <v/>
      </c>
      <c r="AA871">
        <f>HYPERLINK("https://klasma.github.io/Logging_2181/klagomål/A 57934-2025 FSC-klagomål.docx", "A 57934-2025")</f>
        <v/>
      </c>
      <c r="AB871">
        <f>HYPERLINK("https://klasma.github.io/Logging_2181/klagomålsmail/A 57934-2025 FSC-klagomål mail.docx", "A 57934-2025")</f>
        <v/>
      </c>
      <c r="AC871">
        <f>HYPERLINK("https://klasma.github.io/Logging_2181/tillsyn/A 57934-2025 tillsynsbegäran.docx", "A 57934-2025")</f>
        <v/>
      </c>
      <c r="AD871">
        <f>HYPERLINK("https://klasma.github.io/Logging_2181/tillsynsmail/A 57934-2025 tillsynsbegäran mail.docx", "A 57934-2025")</f>
        <v/>
      </c>
    </row>
    <row r="872" ht="15" customHeight="1">
      <c r="A872" t="inlineStr">
        <is>
          <t>A 58204-2025</t>
        </is>
      </c>
      <c r="B872" t="inlineStr">
        <is>
          <t>avverkningsanmälan</t>
        </is>
      </c>
      <c r="C872" t="inlineStr">
        <is>
          <t>Föryngringsavverkning</t>
        </is>
      </c>
      <c r="D872" s="1" t="n">
        <v>45984</v>
      </c>
      <c r="E872" s="1" t="n">
        <v>46326</v>
      </c>
      <c r="F872" t="inlineStr">
        <is>
          <t>GÄVLEBORGS LÄN</t>
        </is>
      </c>
      <c r="G872" t="inlineStr">
        <is>
          <t>GÄVLE</t>
        </is>
      </c>
      <c r="I872" t="n">
        <v>4.4</v>
      </c>
      <c r="J872" t="n">
        <v>1</v>
      </c>
      <c r="K872" t="n">
        <v>0</v>
      </c>
      <c r="L872" t="n">
        <v>0</v>
      </c>
      <c r="M872" t="n">
        <v>0</v>
      </c>
      <c r="N872" t="n">
        <v>0</v>
      </c>
      <c r="O872" t="n">
        <v>0</v>
      </c>
      <c r="P872" t="n">
        <v>0</v>
      </c>
      <c r="Q872" t="n">
        <v>0</v>
      </c>
      <c r="R872" t="n">
        <v>0</v>
      </c>
      <c r="S872" t="n">
        <v>1</v>
      </c>
      <c r="T872" t="n">
        <v>1</v>
      </c>
      <c r="U872" t="n">
        <v>0</v>
      </c>
      <c r="V872" s="2" t="inlineStr">
        <is>
          <t>Spillkråka</t>
        </is>
      </c>
      <c r="W872">
        <f>HYPERLINK("https://klasma.github.io/Logging_2180/artfynd/A 58204-2025 artfynd.xlsx", "A 58204-2025")</f>
        <v/>
      </c>
      <c r="X872">
        <f>HYPERLINK("https://klasma.github.io/Logging_2180/kartor/A 58204-2025 karta.png", "A 58204-2025")</f>
        <v/>
      </c>
      <c r="Y872">
        <f>HYPERLINK("https://klasma.github.io/Logging_2180/kartor_geotiff/A 58204-2025 georefererad karta.tif", "A 58204-2025")</f>
        <v/>
      </c>
      <c r="AA872">
        <f>HYPERLINK("https://klasma.github.io/Logging_2180/klagomål/A 58204-2025 FSC-klagomål.docx", "A 58204-2025")</f>
        <v/>
      </c>
      <c r="AB872">
        <f>HYPERLINK("https://klasma.github.io/Logging_2180/klagomålsmail/A 58204-2025 FSC-klagomål mail.docx", "A 58204-2025")</f>
        <v/>
      </c>
      <c r="AC872">
        <f>HYPERLINK("https://klasma.github.io/Logging_2180/tillsyn/A 58204-2025 tillsynsbegäran.docx", "A 58204-2025")</f>
        <v/>
      </c>
      <c r="AD872">
        <f>HYPERLINK("https://klasma.github.io/Logging_2180/tillsynsmail/A 58204-2025 tillsynsbegäran mail.docx", "A 58204-2025")</f>
        <v/>
      </c>
      <c r="AE872">
        <f>HYPERLINK("https://klasma.github.io/Logging_2180/fåglar/A 58204-2025 prioriterade fågelarter.docx", "A 58204-2025")</f>
        <v/>
      </c>
    </row>
    <row r="873" ht="15" customHeight="1">
      <c r="A873" t="inlineStr">
        <is>
          <t>A 17228-2023</t>
        </is>
      </c>
      <c r="B873" t="inlineStr">
        <is>
          <t>avverkningsanmälan</t>
        </is>
      </c>
      <c r="C873" t="inlineStr">
        <is>
          <t>Föryngringsavverkning</t>
        </is>
      </c>
      <c r="D873" s="1" t="n">
        <v>45035</v>
      </c>
      <c r="E873" s="1" t="n">
        <v>46326</v>
      </c>
      <c r="F873" t="inlineStr">
        <is>
          <t>GÄVLEBORGS LÄN</t>
        </is>
      </c>
      <c r="G873" t="inlineStr">
        <is>
          <t>LJUSDAL</t>
        </is>
      </c>
      <c r="H873" t="inlineStr">
        <is>
          <t>Holmen skog AB</t>
        </is>
      </c>
      <c r="I873" t="n">
        <v>1.8</v>
      </c>
      <c r="J873" t="n">
        <v>0</v>
      </c>
      <c r="K873" t="n">
        <v>0</v>
      </c>
      <c r="L873" t="n">
        <v>0</v>
      </c>
      <c r="M873" t="n">
        <v>1</v>
      </c>
      <c r="N873" t="n">
        <v>0</v>
      </c>
      <c r="O873" t="n">
        <v>0</v>
      </c>
      <c r="P873" t="n">
        <v>0</v>
      </c>
      <c r="Q873" t="n">
        <v>1</v>
      </c>
      <c r="R873" t="n">
        <v>1</v>
      </c>
      <c r="S873" t="n">
        <v>1</v>
      </c>
      <c r="T873" t="n">
        <v>1</v>
      </c>
      <c r="U873" t="n">
        <v>0</v>
      </c>
      <c r="V873" s="2" t="inlineStr">
        <is>
          <t>Garnlav</t>
        </is>
      </c>
      <c r="W873">
        <f>HYPERLINK("https://klasma.github.io/Logging_2161/artfynd/A 17228-2023 artfynd.xlsx", "A 17228-2023")</f>
        <v/>
      </c>
      <c r="X873">
        <f>HYPERLINK("https://klasma.github.io/Logging_2161/kartor/A 17228-2023 karta.png", "A 17228-2023")</f>
        <v/>
      </c>
      <c r="Y873">
        <f>HYPERLINK("https://klasma.github.io/Logging_2161/kartor_geotiff/A 17228-2023 georefererad karta.tif", "A 17228-2023")</f>
        <v/>
      </c>
      <c r="Z873">
        <f>HYPERLINK("https://klasma.github.io/Logging_2161/knärot/A 17228-2023 karta knärot.png", "A 17228-2023")</f>
        <v/>
      </c>
      <c r="AA873">
        <f>HYPERLINK("https://klasma.github.io/Logging_2161/klagomål/A 17228-2023 FSC-klagomål.docx", "A 17228-2023")</f>
        <v/>
      </c>
      <c r="AB873">
        <f>HYPERLINK("https://klasma.github.io/Logging_2161/klagomålsmail/A 17228-2023 FSC-klagomål mail.docx", "A 17228-2023")</f>
        <v/>
      </c>
      <c r="AC873">
        <f>HYPERLINK("https://klasma.github.io/Logging_2161/tillsyn/A 17228-2023 tillsynsbegäran.docx", "A 17228-2023")</f>
        <v/>
      </c>
      <c r="AD873">
        <f>HYPERLINK("https://klasma.github.io/Logging_2161/tillsynsmail/A 17228-2023 tillsynsbegäran mail.docx", "A 17228-2023")</f>
        <v/>
      </c>
    </row>
    <row r="874" ht="15" customHeight="1">
      <c r="A874" t="inlineStr">
        <is>
          <t>A 59848-2025</t>
        </is>
      </c>
      <c r="B874" t="inlineStr">
        <is>
          <t>avverkningsanmälan</t>
        </is>
      </c>
      <c r="C874" t="inlineStr">
        <is>
          <t>Föryngringsavverkning</t>
        </is>
      </c>
      <c r="D874" s="1" t="n">
        <v>45992</v>
      </c>
      <c r="E874" s="1" t="n">
        <v>46326</v>
      </c>
      <c r="F874" t="inlineStr">
        <is>
          <t>GÄVLEBORGS LÄN</t>
        </is>
      </c>
      <c r="G874" t="inlineStr">
        <is>
          <t>SÖDERHAMN</t>
        </is>
      </c>
      <c r="I874" t="n">
        <v>2</v>
      </c>
      <c r="J874" t="n">
        <v>1</v>
      </c>
      <c r="K874" t="n">
        <v>0</v>
      </c>
      <c r="L874" t="n">
        <v>0</v>
      </c>
      <c r="M874" t="n">
        <v>0</v>
      </c>
      <c r="N874" t="n">
        <v>0</v>
      </c>
      <c r="O874" t="n">
        <v>0</v>
      </c>
      <c r="P874" t="n">
        <v>0</v>
      </c>
      <c r="Q874" t="n">
        <v>0</v>
      </c>
      <c r="R874" t="n">
        <v>0</v>
      </c>
      <c r="S874" t="n">
        <v>1</v>
      </c>
      <c r="T874" t="n">
        <v>2</v>
      </c>
      <c r="U874" t="n">
        <v>1</v>
      </c>
      <c r="V874" s="2" t="inlineStr">
        <is>
          <t>Revlummer</t>
        </is>
      </c>
      <c r="W874">
        <f>HYPERLINK("https://klasma.github.io/Logging_2182/artfynd/A 59848-2025 artfynd.xlsx", "A 59848-2025")</f>
        <v/>
      </c>
      <c r="X874">
        <f>HYPERLINK("https://klasma.github.io/Logging_2182/kartor/A 59848-2025 karta.png", "A 59848-2025")</f>
        <v/>
      </c>
      <c r="Y874">
        <f>HYPERLINK("https://klasma.github.io/Logging_2182/kartor_geotiff/A 59848-2025 georefererad karta.tif", "A 59848-2025")</f>
        <v/>
      </c>
      <c r="AA874">
        <f>HYPERLINK("https://klasma.github.io/Logging_2182/klagomål/A 59848-2025 FSC-klagomål.docx", "A 59848-2025")</f>
        <v/>
      </c>
      <c r="AB874">
        <f>HYPERLINK("https://klasma.github.io/Logging_2182/klagomålsmail/A 59848-2025 FSC-klagomål mail.docx", "A 59848-2025")</f>
        <v/>
      </c>
      <c r="AC874">
        <f>HYPERLINK("https://klasma.github.io/Logging_2182/tillsyn/A 59848-2025 tillsynsbegäran.docx", "A 59848-2025")</f>
        <v/>
      </c>
      <c r="AD874">
        <f>HYPERLINK("https://klasma.github.io/Logging_2182/tillsynsmail/A 59848-2025 tillsynsbegäran mail.docx", "A 59848-2025")</f>
        <v/>
      </c>
    </row>
    <row r="875" ht="15" customHeight="1">
      <c r="A875" t="inlineStr">
        <is>
          <t>A 3692-2022</t>
        </is>
      </c>
      <c r="B875" t="inlineStr">
        <is>
          <t>avverkningsanmälan</t>
        </is>
      </c>
      <c r="C875" t="inlineStr">
        <is>
          <t>Avverkning för att bevara och utveckla /försöksver</t>
        </is>
      </c>
      <c r="D875" s="1" t="n">
        <v>44586</v>
      </c>
      <c r="E875" s="1" t="n">
        <v>46326</v>
      </c>
      <c r="F875" t="inlineStr">
        <is>
          <t>GÄVLEBORGS LÄN</t>
        </is>
      </c>
      <c r="G875" t="inlineStr">
        <is>
          <t>NORDANSTIG</t>
        </is>
      </c>
      <c r="H875" t="inlineStr">
        <is>
          <t>Holmen skog AB</t>
        </is>
      </c>
      <c r="I875" t="n">
        <v>2.2</v>
      </c>
      <c r="J875" t="n">
        <v>0</v>
      </c>
      <c r="K875" t="n">
        <v>0</v>
      </c>
      <c r="L875" t="n">
        <v>1</v>
      </c>
      <c r="M875" t="n">
        <v>0</v>
      </c>
      <c r="N875" t="n">
        <v>0</v>
      </c>
      <c r="O875" t="n">
        <v>0</v>
      </c>
      <c r="P875" t="n">
        <v>0</v>
      </c>
      <c r="Q875" t="n">
        <v>1</v>
      </c>
      <c r="R875" t="n">
        <v>0</v>
      </c>
      <c r="S875" t="n">
        <v>1</v>
      </c>
      <c r="T875" t="n">
        <v>1</v>
      </c>
      <c r="U875" t="n">
        <v>1</v>
      </c>
      <c r="V875" s="2" t="inlineStr">
        <is>
          <t>Lunglav</t>
        </is>
      </c>
      <c r="W875">
        <f>HYPERLINK("https://klasma.github.io/Logging_2132/artfynd/A 3692-2022 artfynd.xlsx", "A 3692-2022")</f>
        <v/>
      </c>
      <c r="X875">
        <f>HYPERLINK("https://klasma.github.io/Logging_2132/kartor/A 3692-2022 karta.png", "A 3692-2022")</f>
        <v/>
      </c>
      <c r="Y875">
        <f>HYPERLINK("https://klasma.github.io/Logging_2132/kartor_geotiff/A 3692-2022 georefererad karta.tif", "A 3692-2022")</f>
        <v/>
      </c>
      <c r="AA875">
        <f>HYPERLINK("https://klasma.github.io/Logging_2132/klagomål/A 3692-2022 FSC-klagomål.docx", "A 3692-2022")</f>
        <v/>
      </c>
      <c r="AB875">
        <f>HYPERLINK("https://klasma.github.io/Logging_2132/klagomålsmail/A 3692-2022 FSC-klagomål mail.docx", "A 3692-2022")</f>
        <v/>
      </c>
      <c r="AC875">
        <f>HYPERLINK("https://klasma.github.io/Logging_2132/tillsyn/A 3692-2022 tillsynsbegäran.docx", "A 3692-2022")</f>
        <v/>
      </c>
      <c r="AD875">
        <f>HYPERLINK("https://klasma.github.io/Logging_2132/tillsynsmail/A 3692-2022 tillsynsbegäran mail.docx", "A 3692-2022")</f>
        <v/>
      </c>
    </row>
    <row r="876" ht="15" customHeight="1">
      <c r="A876" t="inlineStr">
        <is>
          <t>A 60301-2025</t>
        </is>
      </c>
      <c r="B876" t="inlineStr">
        <is>
          <t>avverkningsanmälan</t>
        </is>
      </c>
      <c r="C876" t="inlineStr">
        <is>
          <t>Föryngringsavverkning</t>
        </is>
      </c>
      <c r="D876" s="1" t="n">
        <v>45994</v>
      </c>
      <c r="E876" s="1" t="n">
        <v>46326</v>
      </c>
      <c r="F876" t="inlineStr">
        <is>
          <t>GÄVLEBORGS LÄN</t>
        </is>
      </c>
      <c r="G876" t="inlineStr">
        <is>
          <t>SÖDERHAMN</t>
        </is>
      </c>
      <c r="I876" t="n">
        <v>1.5</v>
      </c>
      <c r="J876" t="n">
        <v>1</v>
      </c>
      <c r="K876" t="n">
        <v>0</v>
      </c>
      <c r="L876" t="n">
        <v>0</v>
      </c>
      <c r="M876" t="n">
        <v>0</v>
      </c>
      <c r="N876" t="n">
        <v>0</v>
      </c>
      <c r="O876" t="n">
        <v>0</v>
      </c>
      <c r="P876" t="n">
        <v>0</v>
      </c>
      <c r="Q876" t="n">
        <v>0</v>
      </c>
      <c r="R876" t="n">
        <v>0</v>
      </c>
      <c r="S876" t="n">
        <v>1</v>
      </c>
      <c r="T876" t="n">
        <v>1</v>
      </c>
      <c r="U876" t="n">
        <v>1</v>
      </c>
      <c r="V876" s="2" t="inlineStr">
        <is>
          <t>Revlummer</t>
        </is>
      </c>
      <c r="W876">
        <f>HYPERLINK("https://klasma.github.io/Logging_2182/artfynd/A 60301-2025 artfynd.xlsx", "A 60301-2025")</f>
        <v/>
      </c>
      <c r="X876">
        <f>HYPERLINK("https://klasma.github.io/Logging_2182/kartor/A 60301-2025 karta.png", "A 60301-2025")</f>
        <v/>
      </c>
      <c r="Y876">
        <f>HYPERLINK("https://klasma.github.io/Logging_2182/kartor_geotiff/A 60301-2025 georefererad karta.tif", "A 60301-2025")</f>
        <v/>
      </c>
      <c r="AA876">
        <f>HYPERLINK("https://klasma.github.io/Logging_2182/klagomål/A 60301-2025 FSC-klagomål.docx", "A 60301-2025")</f>
        <v/>
      </c>
      <c r="AB876">
        <f>HYPERLINK("https://klasma.github.io/Logging_2182/klagomålsmail/A 60301-2025 FSC-klagomål mail.docx", "A 60301-2025")</f>
        <v/>
      </c>
      <c r="AC876">
        <f>HYPERLINK("https://klasma.github.io/Logging_2182/tillsyn/A 60301-2025 tillsynsbegäran.docx", "A 60301-2025")</f>
        <v/>
      </c>
      <c r="AD876">
        <f>HYPERLINK("https://klasma.github.io/Logging_2182/tillsynsmail/A 60301-2025 tillsynsbegäran mail.docx", "A 60301-2025")</f>
        <v/>
      </c>
    </row>
    <row r="877" ht="15" customHeight="1">
      <c r="A877" t="inlineStr">
        <is>
          <t>A 60371-2025</t>
        </is>
      </c>
      <c r="B877" t="inlineStr">
        <is>
          <t>avverkningsanmälan</t>
        </is>
      </c>
      <c r="C877" t="inlineStr">
        <is>
          <t>Föryngringsavverkning</t>
        </is>
      </c>
      <c r="D877" s="1" t="n">
        <v>45995</v>
      </c>
      <c r="E877" s="1" t="n">
        <v>46326</v>
      </c>
      <c r="F877" t="inlineStr">
        <is>
          <t>GÄVLEBORGS LÄN</t>
        </is>
      </c>
      <c r="G877" t="inlineStr">
        <is>
          <t>NORDANSTIG</t>
        </is>
      </c>
      <c r="I877" t="n">
        <v>3.5</v>
      </c>
      <c r="J877" t="n">
        <v>1</v>
      </c>
      <c r="K877" t="n">
        <v>0</v>
      </c>
      <c r="L877" t="n">
        <v>0</v>
      </c>
      <c r="M877" t="n">
        <v>0</v>
      </c>
      <c r="N877" t="n">
        <v>0</v>
      </c>
      <c r="O877" t="n">
        <v>0</v>
      </c>
      <c r="P877" t="n">
        <v>0</v>
      </c>
      <c r="Q877" t="n">
        <v>0</v>
      </c>
      <c r="R877" t="n">
        <v>0</v>
      </c>
      <c r="S877" t="n">
        <v>1</v>
      </c>
      <c r="T877" t="n">
        <v>1</v>
      </c>
      <c r="U877" t="n">
        <v>0</v>
      </c>
      <c r="V877" s="2" t="inlineStr">
        <is>
          <t>Nattviol</t>
        </is>
      </c>
      <c r="W877">
        <f>HYPERLINK("https://klasma.github.io/Logging_2132/artfynd/A 60371-2025 artfynd.xlsx", "A 60371-2025")</f>
        <v/>
      </c>
      <c r="X877">
        <f>HYPERLINK("https://klasma.github.io/Logging_2132/kartor/A 60371-2025 karta.png", "A 60371-2025")</f>
        <v/>
      </c>
      <c r="Y877">
        <f>HYPERLINK("https://klasma.github.io/Logging_2132/kartor_geotiff/A 60371-2025 georefererad karta.tif", "A 60371-2025")</f>
        <v/>
      </c>
      <c r="AA877">
        <f>HYPERLINK("https://klasma.github.io/Logging_2132/klagomål/A 60371-2025 FSC-klagomål.docx", "A 60371-2025")</f>
        <v/>
      </c>
      <c r="AB877">
        <f>HYPERLINK("https://klasma.github.io/Logging_2132/klagomålsmail/A 60371-2025 FSC-klagomål mail.docx", "A 60371-2025")</f>
        <v/>
      </c>
      <c r="AC877">
        <f>HYPERLINK("https://klasma.github.io/Logging_2132/tillsyn/A 60371-2025 tillsynsbegäran.docx", "A 60371-2025")</f>
        <v/>
      </c>
      <c r="AD877">
        <f>HYPERLINK("https://klasma.github.io/Logging_2132/tillsynsmail/A 60371-2025 tillsynsbegäran mail.docx", "A 60371-2025")</f>
        <v/>
      </c>
    </row>
    <row r="878" ht="15" customHeight="1">
      <c r="A878" t="inlineStr">
        <is>
          <t>A 60318-2025</t>
        </is>
      </c>
      <c r="B878" t="inlineStr">
        <is>
          <t>avverkningsanmälan</t>
        </is>
      </c>
      <c r="C878" t="inlineStr">
        <is>
          <t>Föryngringsavverkning</t>
        </is>
      </c>
      <c r="D878" s="1" t="n">
        <v>45994</v>
      </c>
      <c r="E878" s="1" t="n">
        <v>46326</v>
      </c>
      <c r="F878" t="inlineStr">
        <is>
          <t>GÄVLEBORGS LÄN</t>
        </is>
      </c>
      <c r="G878" t="inlineStr">
        <is>
          <t>SÖDERHAMN</t>
        </is>
      </c>
      <c r="I878" t="n">
        <v>1.6</v>
      </c>
      <c r="J878" t="n">
        <v>1</v>
      </c>
      <c r="K878" t="n">
        <v>0</v>
      </c>
      <c r="L878" t="n">
        <v>0</v>
      </c>
      <c r="M878" t="n">
        <v>0</v>
      </c>
      <c r="N878" t="n">
        <v>0</v>
      </c>
      <c r="O878" t="n">
        <v>0</v>
      </c>
      <c r="P878" t="n">
        <v>0</v>
      </c>
      <c r="Q878" t="n">
        <v>0</v>
      </c>
      <c r="R878" t="n">
        <v>0</v>
      </c>
      <c r="S878" t="n">
        <v>1</v>
      </c>
      <c r="T878" t="n">
        <v>2</v>
      </c>
      <c r="U878" t="n">
        <v>1</v>
      </c>
      <c r="V878" s="2" t="inlineStr">
        <is>
          <t>Revlummer</t>
        </is>
      </c>
      <c r="W878">
        <f>HYPERLINK("https://klasma.github.io/Logging_2182/artfynd/A 60318-2025 artfynd.xlsx", "A 60318-2025")</f>
        <v/>
      </c>
      <c r="X878">
        <f>HYPERLINK("https://klasma.github.io/Logging_2182/kartor/A 60318-2025 karta.png", "A 60318-2025")</f>
        <v/>
      </c>
      <c r="Y878">
        <f>HYPERLINK("https://klasma.github.io/Logging_2182/kartor_geotiff/A 60318-2025 georefererad karta.tif", "A 60318-2025")</f>
        <v/>
      </c>
      <c r="AA878">
        <f>HYPERLINK("https://klasma.github.io/Logging_2182/klagomål/A 60318-2025 FSC-klagomål.docx", "A 60318-2025")</f>
        <v/>
      </c>
      <c r="AB878">
        <f>HYPERLINK("https://klasma.github.io/Logging_2182/klagomålsmail/A 60318-2025 FSC-klagomål mail.docx", "A 60318-2025")</f>
        <v/>
      </c>
      <c r="AC878">
        <f>HYPERLINK("https://klasma.github.io/Logging_2182/tillsyn/A 60318-2025 tillsynsbegäran.docx", "A 60318-2025")</f>
        <v/>
      </c>
      <c r="AD878">
        <f>HYPERLINK("https://klasma.github.io/Logging_2182/tillsynsmail/A 60318-2025 tillsynsbegäran mail.docx", "A 60318-2025")</f>
        <v/>
      </c>
    </row>
    <row r="879" ht="15" customHeight="1">
      <c r="A879" t="inlineStr">
        <is>
          <t>A 12780-2026</t>
        </is>
      </c>
      <c r="B879" t="inlineStr">
        <is>
          <t>avverkningsanmälan</t>
        </is>
      </c>
      <c r="C879" t="inlineStr">
        <is>
          <t>Föryngringsavverkning</t>
        </is>
      </c>
      <c r="D879" s="1" t="n">
        <v>46091</v>
      </c>
      <c r="E879" s="1" t="n">
        <v>46326</v>
      </c>
      <c r="F879" t="inlineStr">
        <is>
          <t>GÄVLEBORGS LÄN</t>
        </is>
      </c>
      <c r="G879" t="inlineStr">
        <is>
          <t>HOFORS</t>
        </is>
      </c>
      <c r="I879" t="n">
        <v>2.9</v>
      </c>
      <c r="J879" t="n">
        <v>1</v>
      </c>
      <c r="K879" t="n">
        <v>0</v>
      </c>
      <c r="L879" t="n">
        <v>0</v>
      </c>
      <c r="M879" t="n">
        <v>0</v>
      </c>
      <c r="N879" t="n">
        <v>0</v>
      </c>
      <c r="O879" t="n">
        <v>0</v>
      </c>
      <c r="P879" t="n">
        <v>0</v>
      </c>
      <c r="Q879" t="n">
        <v>0</v>
      </c>
      <c r="R879" t="n">
        <v>0</v>
      </c>
      <c r="S879" t="n">
        <v>1</v>
      </c>
      <c r="T879" t="n">
        <v>8</v>
      </c>
      <c r="U879" t="n">
        <v>0</v>
      </c>
      <c r="V879" s="2" t="inlineStr">
        <is>
          <t>Tjäder</t>
        </is>
      </c>
      <c r="W879">
        <f>HYPERLINK("https://klasma.github.io/Logging_2104/artfynd/A 12780-2026 artfynd.xlsx", "A 12780-2026")</f>
        <v/>
      </c>
      <c r="X879">
        <f>HYPERLINK("https://klasma.github.io/Logging_2104/kartor/A 12780-2026 karta.png", "A 12780-2026")</f>
        <v/>
      </c>
      <c r="Y879">
        <f>HYPERLINK("https://klasma.github.io/Logging_2104/kartor_geotiff/A 12780-2026 georefererad karta.tif", "A 12780-2026")</f>
        <v/>
      </c>
      <c r="AA879">
        <f>HYPERLINK("https://klasma.github.io/Logging_2104/klagomål/A 12780-2026 FSC-klagomål.docx", "A 12780-2026")</f>
        <v/>
      </c>
      <c r="AB879">
        <f>HYPERLINK("https://klasma.github.io/Logging_2104/klagomålsmail/A 12780-2026 FSC-klagomål mail.docx", "A 12780-2026")</f>
        <v/>
      </c>
      <c r="AC879">
        <f>HYPERLINK("https://klasma.github.io/Logging_2104/tillsyn/A 12780-2026 tillsynsbegäran.docx", "A 12780-2026")</f>
        <v/>
      </c>
      <c r="AD879">
        <f>HYPERLINK("https://klasma.github.io/Logging_2104/tillsynsmail/A 12780-2026 tillsynsbegäran mail.docx", "A 12780-2026")</f>
        <v/>
      </c>
      <c r="AE879">
        <f>HYPERLINK("https://klasma.github.io/Logging_2104/fåglar/A 12780-2026 prioriterade fågelarter.docx", "A 12780-2026")</f>
        <v/>
      </c>
    </row>
    <row r="880" ht="15" customHeight="1">
      <c r="A880" t="inlineStr">
        <is>
          <t>A 12962-2026</t>
        </is>
      </c>
      <c r="B880" t="inlineStr">
        <is>
          <t>avverkningsanmälan</t>
        </is>
      </c>
      <c r="C880" t="inlineStr">
        <is>
          <t>Föryngringsavverkning</t>
        </is>
      </c>
      <c r="D880" s="1" t="n">
        <v>46092</v>
      </c>
      <c r="E880" s="1" t="n">
        <v>46326</v>
      </c>
      <c r="F880" t="inlineStr">
        <is>
          <t>GÄVLEBORGS LÄN</t>
        </is>
      </c>
      <c r="G880" t="inlineStr">
        <is>
          <t>BOLLNÄS</t>
        </is>
      </c>
      <c r="I880" t="n">
        <v>0.6</v>
      </c>
      <c r="J880" t="n">
        <v>0</v>
      </c>
      <c r="K880" t="n">
        <v>0</v>
      </c>
      <c r="L880" t="n">
        <v>0</v>
      </c>
      <c r="M880" t="n">
        <v>1</v>
      </c>
      <c r="N880" t="n">
        <v>0</v>
      </c>
      <c r="O880" t="n">
        <v>0</v>
      </c>
      <c r="P880" t="n">
        <v>0</v>
      </c>
      <c r="Q880" t="n">
        <v>1</v>
      </c>
      <c r="R880" t="n">
        <v>1</v>
      </c>
      <c r="S880" t="n">
        <v>1</v>
      </c>
      <c r="T880" t="n">
        <v>1</v>
      </c>
      <c r="U880" t="n">
        <v>0</v>
      </c>
      <c r="V880" s="2" t="inlineStr">
        <is>
          <t>Ryl</t>
        </is>
      </c>
      <c r="W880">
        <f>HYPERLINK("https://klasma.github.io/Logging_2183/artfynd/A 12962-2026 artfynd.xlsx", "A 12962-2026")</f>
        <v/>
      </c>
      <c r="X880">
        <f>HYPERLINK("https://klasma.github.io/Logging_2183/kartor/A 12962-2026 karta.png", "A 12962-2026")</f>
        <v/>
      </c>
      <c r="Y880">
        <f>HYPERLINK("https://klasma.github.io/Logging_2183/kartor_geotiff/A 12962-2026 georefererad karta.tif", "A 12962-2026")</f>
        <v/>
      </c>
      <c r="AA880">
        <f>HYPERLINK("https://klasma.github.io/Logging_2183/klagomål/A 12962-2026 FSC-klagomål.docx", "A 12962-2026")</f>
        <v/>
      </c>
      <c r="AB880">
        <f>HYPERLINK("https://klasma.github.io/Logging_2183/klagomålsmail/A 12962-2026 FSC-klagomål mail.docx", "A 12962-2026")</f>
        <v/>
      </c>
      <c r="AC880">
        <f>HYPERLINK("https://klasma.github.io/Logging_2183/tillsyn/A 12962-2026 tillsynsbegäran.docx", "A 12962-2026")</f>
        <v/>
      </c>
      <c r="AD880">
        <f>HYPERLINK("https://klasma.github.io/Logging_2183/tillsynsmail/A 12962-2026 tillsynsbegäran mail.docx", "A 12962-2026")</f>
        <v/>
      </c>
    </row>
    <row r="881" ht="15" customHeight="1">
      <c r="A881" t="inlineStr">
        <is>
          <t>A 58796-2022</t>
        </is>
      </c>
      <c r="B881" t="inlineStr">
        <is>
          <t>avverkningsanmälan</t>
        </is>
      </c>
      <c r="C881" t="inlineStr">
        <is>
          <t>Föryngringsavverkning</t>
        </is>
      </c>
      <c r="D881" s="1" t="n">
        <v>44903</v>
      </c>
      <c r="E881" s="1" t="n">
        <v>46326</v>
      </c>
      <c r="F881" t="inlineStr">
        <is>
          <t>GÄVLEBORGS LÄN</t>
        </is>
      </c>
      <c r="G881" t="inlineStr">
        <is>
          <t>LJUSDAL</t>
        </is>
      </c>
      <c r="H881" t="inlineStr">
        <is>
          <t>Kyrkan</t>
        </is>
      </c>
      <c r="I881" t="n">
        <v>6.8</v>
      </c>
      <c r="J881" t="n">
        <v>1</v>
      </c>
      <c r="K881" t="n">
        <v>0</v>
      </c>
      <c r="L881" t="n">
        <v>0</v>
      </c>
      <c r="M881" t="n">
        <v>1</v>
      </c>
      <c r="N881" t="n">
        <v>0</v>
      </c>
      <c r="O881" t="n">
        <v>0</v>
      </c>
      <c r="P881" t="n">
        <v>0</v>
      </c>
      <c r="Q881" t="n">
        <v>1</v>
      </c>
      <c r="R881" t="n">
        <v>1</v>
      </c>
      <c r="S881" t="n">
        <v>1</v>
      </c>
      <c r="T881" t="n">
        <v>1</v>
      </c>
      <c r="U881" t="n">
        <v>0</v>
      </c>
      <c r="V881" s="2" t="inlineStr">
        <is>
          <t>Knärot</t>
        </is>
      </c>
      <c r="W881">
        <f>HYPERLINK("https://klasma.github.io/Logging_2161/artfynd/A 58796-2022 artfynd.xlsx", "A 58796-2022")</f>
        <v/>
      </c>
      <c r="X881">
        <f>HYPERLINK("https://klasma.github.io/Logging_2161/kartor/A 58796-2022 karta.png", "A 58796-2022")</f>
        <v/>
      </c>
      <c r="Y881">
        <f>HYPERLINK("https://klasma.github.io/Logging_2161/kartor_geotiff/A 58796-2022 georefererad karta.tif", "A 58796-2022")</f>
        <v/>
      </c>
      <c r="Z881">
        <f>HYPERLINK("https://klasma.github.io/Logging_2161/knärot/A 58796-2022 karta knärot.png", "A 58796-2022")</f>
        <v/>
      </c>
      <c r="AA881">
        <f>HYPERLINK("https://klasma.github.io/Logging_2161/klagomål/A 58796-2022 FSC-klagomål.docx", "A 58796-2022")</f>
        <v/>
      </c>
      <c r="AB881">
        <f>HYPERLINK("https://klasma.github.io/Logging_2161/klagomålsmail/A 58796-2022 FSC-klagomål mail.docx", "A 58796-2022")</f>
        <v/>
      </c>
      <c r="AC881">
        <f>HYPERLINK("https://klasma.github.io/Logging_2161/tillsyn/A 58796-2022 tillsynsbegäran.docx", "A 58796-2022")</f>
        <v/>
      </c>
      <c r="AD881">
        <f>HYPERLINK("https://klasma.github.io/Logging_2161/tillsynsmail/A 58796-2022 tillsynsbegäran mail.docx", "A 58796-2022")</f>
        <v/>
      </c>
    </row>
    <row r="882" ht="15" customHeight="1">
      <c r="A882" t="inlineStr">
        <is>
          <t>A 13640-2026</t>
        </is>
      </c>
      <c r="B882" t="inlineStr">
        <is>
          <t>avverkningsanmälan</t>
        </is>
      </c>
      <c r="C882" t="inlineStr">
        <is>
          <t>Föryngringsavverkning</t>
        </is>
      </c>
      <c r="D882" s="1" t="n">
        <v>46097</v>
      </c>
      <c r="E882" s="1" t="n">
        <v>46326</v>
      </c>
      <c r="F882" t="inlineStr">
        <is>
          <t>GÄVLEBORGS LÄN</t>
        </is>
      </c>
      <c r="G882" t="inlineStr">
        <is>
          <t>OCKELBO</t>
        </is>
      </c>
      <c r="H882" t="inlineStr">
        <is>
          <t>Bergvik skog väst AB</t>
        </is>
      </c>
      <c r="I882" t="n">
        <v>3.8</v>
      </c>
      <c r="J882" t="n">
        <v>1</v>
      </c>
      <c r="K882" t="n">
        <v>0</v>
      </c>
      <c r="L882" t="n">
        <v>0</v>
      </c>
      <c r="M882" t="n">
        <v>0</v>
      </c>
      <c r="N882" t="n">
        <v>0</v>
      </c>
      <c r="O882" t="n">
        <v>0</v>
      </c>
      <c r="P882" t="n">
        <v>0</v>
      </c>
      <c r="Q882" t="n">
        <v>0</v>
      </c>
      <c r="R882" t="n">
        <v>0</v>
      </c>
      <c r="S882" t="n">
        <v>1</v>
      </c>
      <c r="T882" t="n">
        <v>1</v>
      </c>
      <c r="U882" t="n">
        <v>0</v>
      </c>
      <c r="V882" s="2" t="inlineStr">
        <is>
          <t>Mattlummer</t>
        </is>
      </c>
      <c r="W882">
        <f>HYPERLINK("https://klasma.github.io/Logging_2101/artfynd/A 13640-2026 artfynd.xlsx", "A 13640-2026")</f>
        <v/>
      </c>
      <c r="X882">
        <f>HYPERLINK("https://klasma.github.io/Logging_2101/kartor/A 13640-2026 karta.png", "A 13640-2026")</f>
        <v/>
      </c>
      <c r="Y882">
        <f>HYPERLINK("https://klasma.github.io/Logging_2101/kartor_geotiff/A 13640-2026 georefererad karta.tif", "A 13640-2026")</f>
        <v/>
      </c>
      <c r="AA882">
        <f>HYPERLINK("https://klasma.github.io/Logging_2101/klagomål/A 13640-2026 FSC-klagomål.docx", "A 13640-2026")</f>
        <v/>
      </c>
      <c r="AB882">
        <f>HYPERLINK("https://klasma.github.io/Logging_2101/klagomålsmail/A 13640-2026 FSC-klagomål mail.docx", "A 13640-2026")</f>
        <v/>
      </c>
      <c r="AC882">
        <f>HYPERLINK("https://klasma.github.io/Logging_2101/tillsyn/A 13640-2026 tillsynsbegäran.docx", "A 13640-2026")</f>
        <v/>
      </c>
      <c r="AD882">
        <f>HYPERLINK("https://klasma.github.io/Logging_2101/tillsynsmail/A 13640-2026 tillsynsbegäran mail.docx", "A 13640-2026")</f>
        <v/>
      </c>
    </row>
    <row r="883" ht="15" customHeight="1">
      <c r="A883" t="inlineStr">
        <is>
          <t>A 377-2024</t>
        </is>
      </c>
      <c r="B883" t="inlineStr">
        <is>
          <t>avverkningsanmälan</t>
        </is>
      </c>
      <c r="C883" t="inlineStr">
        <is>
          <t>Föryngringsavverkning</t>
        </is>
      </c>
      <c r="D883" s="1" t="n">
        <v>45296</v>
      </c>
      <c r="E883" s="1" t="n">
        <v>46326</v>
      </c>
      <c r="F883" t="inlineStr">
        <is>
          <t>GÄVLEBORGS LÄN</t>
        </is>
      </c>
      <c r="G883" t="inlineStr">
        <is>
          <t>NORDANSTIG</t>
        </is>
      </c>
      <c r="H883" t="inlineStr">
        <is>
          <t>Holmen skog AB</t>
        </is>
      </c>
      <c r="I883" t="n">
        <v>2.2</v>
      </c>
      <c r="J883" t="n">
        <v>1</v>
      </c>
      <c r="K883" t="n">
        <v>0</v>
      </c>
      <c r="L883" t="n">
        <v>0</v>
      </c>
      <c r="M883" t="n">
        <v>0</v>
      </c>
      <c r="N883" t="n">
        <v>0</v>
      </c>
      <c r="O883" t="n">
        <v>0</v>
      </c>
      <c r="P883" t="n">
        <v>0</v>
      </c>
      <c r="Q883" t="n">
        <v>0</v>
      </c>
      <c r="R883" t="n">
        <v>0</v>
      </c>
      <c r="S883" t="n">
        <v>1</v>
      </c>
      <c r="T883" t="n">
        <v>1</v>
      </c>
      <c r="U883" t="n">
        <v>1</v>
      </c>
      <c r="V883" s="2" t="inlineStr">
        <is>
          <t>Havsörn</t>
        </is>
      </c>
      <c r="W883">
        <f>HYPERLINK("https://klasma.github.io/Logging_2132/artfynd/A 377-2024 artfynd.xlsx", "A 377-2024")</f>
        <v/>
      </c>
      <c r="X883">
        <f>HYPERLINK("https://klasma.github.io/Logging_2132/kartor/A 377-2024 karta.png", "A 377-2024")</f>
        <v/>
      </c>
      <c r="Y883">
        <f>HYPERLINK("https://klasma.github.io/Logging_2132/kartor_geotiff/A 377-2024 georefererad karta.tif", "A 377-2024")</f>
        <v/>
      </c>
      <c r="AA883">
        <f>HYPERLINK("https://klasma.github.io/Logging_2132/klagomål/A 377-2024 FSC-klagomål.docx", "A 377-2024")</f>
        <v/>
      </c>
      <c r="AB883">
        <f>HYPERLINK("https://klasma.github.io/Logging_2132/klagomålsmail/A 377-2024 FSC-klagomål mail.docx", "A 377-2024")</f>
        <v/>
      </c>
      <c r="AC883">
        <f>HYPERLINK("https://klasma.github.io/Logging_2132/tillsyn/A 377-2024 tillsynsbegäran.docx", "A 377-2024")</f>
        <v/>
      </c>
      <c r="AD883">
        <f>HYPERLINK("https://klasma.github.io/Logging_2132/tillsynsmail/A 377-2024 tillsynsbegäran mail.docx", "A 377-2024")</f>
        <v/>
      </c>
      <c r="AE883">
        <f>HYPERLINK("https://klasma.github.io/Logging_2132/fåglar/A 377-2024 prioriterade fågelarter.docx", "A 377-2024")</f>
        <v/>
      </c>
    </row>
    <row r="884" ht="15" customHeight="1">
      <c r="A884" t="inlineStr">
        <is>
          <t>A 5983-2025</t>
        </is>
      </c>
      <c r="B884" t="inlineStr">
        <is>
          <t>avverkningsanmälan</t>
        </is>
      </c>
      <c r="C884" t="inlineStr">
        <is>
          <t>Föryngringsavverkning</t>
        </is>
      </c>
      <c r="D884" s="1" t="n">
        <v>45695</v>
      </c>
      <c r="E884" s="1" t="n">
        <v>46326</v>
      </c>
      <c r="F884" t="inlineStr">
        <is>
          <t>GÄVLEBORGS LÄN</t>
        </is>
      </c>
      <c r="G884" t="inlineStr">
        <is>
          <t>HUDIKSVALL</t>
        </is>
      </c>
      <c r="I884" t="n">
        <v>3.9</v>
      </c>
      <c r="J884" t="n">
        <v>1</v>
      </c>
      <c r="K884" t="n">
        <v>0</v>
      </c>
      <c r="L884" t="n">
        <v>1</v>
      </c>
      <c r="M884" t="n">
        <v>0</v>
      </c>
      <c r="N884" t="n">
        <v>0</v>
      </c>
      <c r="O884" t="n">
        <v>0</v>
      </c>
      <c r="P884" t="n">
        <v>0</v>
      </c>
      <c r="Q884" t="n">
        <v>1</v>
      </c>
      <c r="R884" t="n">
        <v>0</v>
      </c>
      <c r="S884" t="n">
        <v>1</v>
      </c>
      <c r="T884" t="n">
        <v>1</v>
      </c>
      <c r="U884" t="n">
        <v>0</v>
      </c>
      <c r="V884" s="2" t="inlineStr">
        <is>
          <t>Jorduggla</t>
        </is>
      </c>
      <c r="W884">
        <f>HYPERLINK("https://klasma.github.io/Logging_2184/artfynd/A 5983-2025 artfynd.xlsx", "A 5983-2025")</f>
        <v/>
      </c>
      <c r="X884">
        <f>HYPERLINK("https://klasma.github.io/Logging_2184/kartor/A 5983-2025 karta.png", "A 5983-2025")</f>
        <v/>
      </c>
      <c r="Y884">
        <f>HYPERLINK("https://klasma.github.io/Logging_2184/kartor_geotiff/A 5983-2025 georefererad karta.tif", "A 5983-2025")</f>
        <v/>
      </c>
      <c r="AA884">
        <f>HYPERLINK("https://klasma.github.io/Logging_2184/klagomål/A 5983-2025 FSC-klagomål.docx", "A 5983-2025")</f>
        <v/>
      </c>
      <c r="AB884">
        <f>HYPERLINK("https://klasma.github.io/Logging_2184/klagomålsmail/A 5983-2025 FSC-klagomål mail.docx", "A 5983-2025")</f>
        <v/>
      </c>
      <c r="AC884">
        <f>HYPERLINK("https://klasma.github.io/Logging_2184/tillsyn/A 5983-2025 tillsynsbegäran.docx", "A 5983-2025")</f>
        <v/>
      </c>
      <c r="AD884">
        <f>HYPERLINK("https://klasma.github.io/Logging_2184/tillsynsmail/A 5983-2025 tillsynsbegäran mail.docx", "A 5983-2025")</f>
        <v/>
      </c>
      <c r="AE884">
        <f>HYPERLINK("https://klasma.github.io/Logging_2184/fåglar/A 5983-2025 prioriterade fågelarter.docx", "A 5983-2025")</f>
        <v/>
      </c>
    </row>
    <row r="885" ht="15" customHeight="1">
      <c r="A885" t="inlineStr">
        <is>
          <t>A 63166-2023</t>
        </is>
      </c>
      <c r="B885" t="inlineStr">
        <is>
          <t>avverkningsanmälan</t>
        </is>
      </c>
      <c r="C885" t="inlineStr">
        <is>
          <t>Föryngringsavverkning</t>
        </is>
      </c>
      <c r="D885" s="1" t="n">
        <v>45273</v>
      </c>
      <c r="E885" s="1" t="n">
        <v>46326</v>
      </c>
      <c r="F885" t="inlineStr">
        <is>
          <t>GÄVLEBORGS LÄN</t>
        </is>
      </c>
      <c r="G885" t="inlineStr">
        <is>
          <t>LJUSDAL</t>
        </is>
      </c>
      <c r="I885" t="n">
        <v>3.1</v>
      </c>
      <c r="J885" t="n">
        <v>0</v>
      </c>
      <c r="K885" t="n">
        <v>0</v>
      </c>
      <c r="L885" t="n">
        <v>1</v>
      </c>
      <c r="M885" t="n">
        <v>0</v>
      </c>
      <c r="N885" t="n">
        <v>0</v>
      </c>
      <c r="O885" t="n">
        <v>0</v>
      </c>
      <c r="P885" t="n">
        <v>0</v>
      </c>
      <c r="Q885" t="n">
        <v>1</v>
      </c>
      <c r="R885" t="n">
        <v>0</v>
      </c>
      <c r="S885" t="n">
        <v>1</v>
      </c>
      <c r="T885" t="n">
        <v>2</v>
      </c>
      <c r="U885" t="n">
        <v>2</v>
      </c>
      <c r="V885" s="2" t="inlineStr">
        <is>
          <t>Tallticka</t>
        </is>
      </c>
      <c r="W885">
        <f>HYPERLINK("https://klasma.github.io/Logging_2161/artfynd/A 63166-2023 artfynd.xlsx", "A 63166-2023")</f>
        <v/>
      </c>
      <c r="X885">
        <f>HYPERLINK("https://klasma.github.io/Logging_2161/kartor/A 63166-2023 karta.png", "A 63166-2023")</f>
        <v/>
      </c>
      <c r="Y885">
        <f>HYPERLINK("https://klasma.github.io/Logging_2161/kartor_geotiff/A 63166-2023 georefererad karta.tif", "A 63166-2023")</f>
        <v/>
      </c>
      <c r="AA885">
        <f>HYPERLINK("https://klasma.github.io/Logging_2161/klagomål/A 63166-2023 FSC-klagomål.docx", "A 63166-2023")</f>
        <v/>
      </c>
      <c r="AB885">
        <f>HYPERLINK("https://klasma.github.io/Logging_2161/klagomålsmail/A 63166-2023 FSC-klagomål mail.docx", "A 63166-2023")</f>
        <v/>
      </c>
      <c r="AC885">
        <f>HYPERLINK("https://klasma.github.io/Logging_2161/tillsyn/A 63166-2023 tillsynsbegäran.docx", "A 63166-2023")</f>
        <v/>
      </c>
      <c r="AD885">
        <f>HYPERLINK("https://klasma.github.io/Logging_2161/tillsynsmail/A 63166-2023 tillsynsbegäran mail.docx", "A 63166-2023")</f>
        <v/>
      </c>
    </row>
    <row r="886" ht="15" customHeight="1">
      <c r="A886" t="inlineStr">
        <is>
          <t>A 13684-2026</t>
        </is>
      </c>
      <c r="B886" t="inlineStr">
        <is>
          <t>avverkningsanmälan</t>
        </is>
      </c>
      <c r="C886" t="inlineStr">
        <is>
          <t>Föryngringsavverkning</t>
        </is>
      </c>
      <c r="D886" s="1" t="n">
        <v>46097</v>
      </c>
      <c r="E886" s="1" t="n">
        <v>46326</v>
      </c>
      <c r="F886" t="inlineStr">
        <is>
          <t>GÄVLEBORGS LÄN</t>
        </is>
      </c>
      <c r="G886" t="inlineStr">
        <is>
          <t>GÄVLE</t>
        </is>
      </c>
      <c r="I886" t="n">
        <v>21.3</v>
      </c>
      <c r="J886" t="n">
        <v>0</v>
      </c>
      <c r="K886" t="n">
        <v>0</v>
      </c>
      <c r="L886" t="n">
        <v>0</v>
      </c>
      <c r="M886" t="n">
        <v>1</v>
      </c>
      <c r="N886" t="n">
        <v>0</v>
      </c>
      <c r="O886" t="n">
        <v>0</v>
      </c>
      <c r="P886" t="n">
        <v>0</v>
      </c>
      <c r="Q886" t="n">
        <v>1</v>
      </c>
      <c r="R886" t="n">
        <v>1</v>
      </c>
      <c r="S886" t="n">
        <v>1</v>
      </c>
      <c r="T886" t="n">
        <v>1</v>
      </c>
      <c r="U886" t="n">
        <v>0</v>
      </c>
      <c r="V886" s="2" t="inlineStr">
        <is>
          <t>Igelkott</t>
        </is>
      </c>
      <c r="W886">
        <f>HYPERLINK("https://klasma.github.io/Logging_2180/artfynd/A 13684-2026 artfynd.xlsx", "A 13684-2026")</f>
        <v/>
      </c>
      <c r="X886">
        <f>HYPERLINK("https://klasma.github.io/Logging_2180/kartor/A 13684-2026 karta.png", "A 13684-2026")</f>
        <v/>
      </c>
      <c r="Y886">
        <f>HYPERLINK("https://klasma.github.io/Logging_2180/kartor_geotiff/A 13684-2026 georefererad karta.tif", "A 13684-2026")</f>
        <v/>
      </c>
      <c r="AA886">
        <f>HYPERLINK("https://klasma.github.io/Logging_2180/klagomål/A 13684-2026 FSC-klagomål.docx", "A 13684-2026")</f>
        <v/>
      </c>
      <c r="AB886">
        <f>HYPERLINK("https://klasma.github.io/Logging_2180/klagomålsmail/A 13684-2026 FSC-klagomål mail.docx", "A 13684-2026")</f>
        <v/>
      </c>
      <c r="AC886">
        <f>HYPERLINK("https://klasma.github.io/Logging_2180/tillsyn/A 13684-2026 tillsynsbegäran.docx", "A 13684-2026")</f>
        <v/>
      </c>
      <c r="AD886">
        <f>HYPERLINK("https://klasma.github.io/Logging_2180/tillsynsmail/A 13684-2026 tillsynsbegäran mail.docx", "A 13684-2026")</f>
        <v/>
      </c>
    </row>
    <row r="887" ht="15" customHeight="1">
      <c r="A887" t="inlineStr">
        <is>
          <t>A 13645-2026</t>
        </is>
      </c>
      <c r="B887" t="inlineStr">
        <is>
          <t>avverkningsanmälan</t>
        </is>
      </c>
      <c r="C887" t="inlineStr">
        <is>
          <t>Föryngringsavverkning</t>
        </is>
      </c>
      <c r="D887" s="1" t="n">
        <v>46097</v>
      </c>
      <c r="E887" s="1" t="n">
        <v>46326</v>
      </c>
      <c r="F887" t="inlineStr">
        <is>
          <t>GÄVLEBORGS LÄN</t>
        </is>
      </c>
      <c r="G887" t="inlineStr">
        <is>
          <t>SANDVIKEN</t>
        </is>
      </c>
      <c r="H887" t="inlineStr">
        <is>
          <t>Kommuner</t>
        </is>
      </c>
      <c r="I887" t="n">
        <v>0.8</v>
      </c>
      <c r="J887" t="n">
        <v>1</v>
      </c>
      <c r="K887" t="n">
        <v>0</v>
      </c>
      <c r="L887" t="n">
        <v>0</v>
      </c>
      <c r="M887" t="n">
        <v>0</v>
      </c>
      <c r="N887" t="n">
        <v>0</v>
      </c>
      <c r="O887" t="n">
        <v>0</v>
      </c>
      <c r="P887" t="n">
        <v>0</v>
      </c>
      <c r="Q887" t="n">
        <v>0</v>
      </c>
      <c r="R887" t="n">
        <v>0</v>
      </c>
      <c r="S887" t="n">
        <v>1</v>
      </c>
      <c r="T887" t="n">
        <v>1</v>
      </c>
      <c r="U887" t="n">
        <v>0</v>
      </c>
      <c r="V887" s="2" t="inlineStr">
        <is>
          <t>Tjäder</t>
        </is>
      </c>
      <c r="W887">
        <f>HYPERLINK("https://klasma.github.io/Logging_2181/artfynd/A 13645-2026 artfynd.xlsx", "A 13645-2026")</f>
        <v/>
      </c>
      <c r="X887">
        <f>HYPERLINK("https://klasma.github.io/Logging_2181/kartor/A 13645-2026 karta.png", "A 13645-2026")</f>
        <v/>
      </c>
      <c r="Y887">
        <f>HYPERLINK("https://klasma.github.io/Logging_2181/kartor_geotiff/A 13645-2026 georefererad karta.tif", "A 13645-2026")</f>
        <v/>
      </c>
      <c r="AA887">
        <f>HYPERLINK("https://klasma.github.io/Logging_2181/klagomål/A 13645-2026 FSC-klagomål.docx", "A 13645-2026")</f>
        <v/>
      </c>
      <c r="AB887">
        <f>HYPERLINK("https://klasma.github.io/Logging_2181/klagomålsmail/A 13645-2026 FSC-klagomål mail.docx", "A 13645-2026")</f>
        <v/>
      </c>
      <c r="AC887">
        <f>HYPERLINK("https://klasma.github.io/Logging_2181/tillsyn/A 13645-2026 tillsynsbegäran.docx", "A 13645-2026")</f>
        <v/>
      </c>
      <c r="AD887">
        <f>HYPERLINK("https://klasma.github.io/Logging_2181/tillsynsmail/A 13645-2026 tillsynsbegäran mail.docx", "A 13645-2026")</f>
        <v/>
      </c>
      <c r="AE887">
        <f>HYPERLINK("https://klasma.github.io/Logging_2181/fåglar/A 13645-2026 prioriterade fågelarter.docx", "A 13645-2026")</f>
        <v/>
      </c>
    </row>
    <row r="888" ht="15" customHeight="1">
      <c r="A888" t="inlineStr">
        <is>
          <t>A 62351-2025</t>
        </is>
      </c>
      <c r="B888" t="inlineStr">
        <is>
          <t>avverkningsanmälan</t>
        </is>
      </c>
      <c r="C888" t="inlineStr">
        <is>
          <t>Föryngringsavverkning</t>
        </is>
      </c>
      <c r="D888" s="1" t="n">
        <v>46007</v>
      </c>
      <c r="E888" s="1" t="n">
        <v>46326</v>
      </c>
      <c r="F888" t="inlineStr">
        <is>
          <t>GÄVLEBORGS LÄN</t>
        </is>
      </c>
      <c r="G888" t="inlineStr">
        <is>
          <t>OVANÅKER</t>
        </is>
      </c>
      <c r="I888" t="n">
        <v>0.9</v>
      </c>
      <c r="J888" t="n">
        <v>1</v>
      </c>
      <c r="K888" t="n">
        <v>0</v>
      </c>
      <c r="L888" t="n">
        <v>0</v>
      </c>
      <c r="M888" t="n">
        <v>0</v>
      </c>
      <c r="N888" t="n">
        <v>0</v>
      </c>
      <c r="O888" t="n">
        <v>0</v>
      </c>
      <c r="P888" t="n">
        <v>0</v>
      </c>
      <c r="Q888" t="n">
        <v>0</v>
      </c>
      <c r="R888" t="n">
        <v>0</v>
      </c>
      <c r="S888" t="n">
        <v>1</v>
      </c>
      <c r="T888" t="n">
        <v>1</v>
      </c>
      <c r="U888" t="n">
        <v>1</v>
      </c>
      <c r="V888" s="2" t="inlineStr">
        <is>
          <t>Stjärtmes</t>
        </is>
      </c>
      <c r="W888">
        <f>HYPERLINK("https://klasma.github.io/Logging_2121/artfynd/A 62351-2025 artfynd.xlsx", "A 62351-2025")</f>
        <v/>
      </c>
      <c r="X888">
        <f>HYPERLINK("https://klasma.github.io/Logging_2121/kartor/A 62351-2025 karta.png", "A 62351-2025")</f>
        <v/>
      </c>
      <c r="Y888">
        <f>HYPERLINK("https://klasma.github.io/Logging_2121/kartor_geotiff/A 62351-2025 georefererad karta.tif", "A 62351-2025")</f>
        <v/>
      </c>
      <c r="AA888">
        <f>HYPERLINK("https://klasma.github.io/Logging_2121/klagomål/A 62351-2025 FSC-klagomål.docx", "A 62351-2025")</f>
        <v/>
      </c>
      <c r="AB888">
        <f>HYPERLINK("https://klasma.github.io/Logging_2121/klagomålsmail/A 62351-2025 FSC-klagomål mail.docx", "A 62351-2025")</f>
        <v/>
      </c>
      <c r="AC888">
        <f>HYPERLINK("https://klasma.github.io/Logging_2121/tillsyn/A 62351-2025 tillsynsbegäran.docx", "A 62351-2025")</f>
        <v/>
      </c>
      <c r="AD888">
        <f>HYPERLINK("https://klasma.github.io/Logging_2121/tillsynsmail/A 62351-2025 tillsynsbegäran mail.docx", "A 62351-2025")</f>
        <v/>
      </c>
    </row>
    <row r="889" ht="15" customHeight="1">
      <c r="A889" t="inlineStr">
        <is>
          <t>A 62989-2025</t>
        </is>
      </c>
      <c r="B889" t="inlineStr">
        <is>
          <t>avverkningsanmälan</t>
        </is>
      </c>
      <c r="C889" t="inlineStr">
        <is>
          <t>Föryngringsavverkning</t>
        </is>
      </c>
      <c r="D889" s="1" t="n">
        <v>46009</v>
      </c>
      <c r="E889" s="1" t="n">
        <v>46326</v>
      </c>
      <c r="F889" t="inlineStr">
        <is>
          <t>GÄVLEBORGS LÄN</t>
        </is>
      </c>
      <c r="G889" t="inlineStr">
        <is>
          <t>OCKELBO</t>
        </is>
      </c>
      <c r="I889" t="n">
        <v>1.7</v>
      </c>
      <c r="J889" t="n">
        <v>0</v>
      </c>
      <c r="K889" t="n">
        <v>0</v>
      </c>
      <c r="L889" t="n">
        <v>1</v>
      </c>
      <c r="M889" t="n">
        <v>0</v>
      </c>
      <c r="N889" t="n">
        <v>0</v>
      </c>
      <c r="O889" t="n">
        <v>0</v>
      </c>
      <c r="P889" t="n">
        <v>0</v>
      </c>
      <c r="Q889" t="n">
        <v>1</v>
      </c>
      <c r="R889" t="n">
        <v>0</v>
      </c>
      <c r="S889" t="n">
        <v>1</v>
      </c>
      <c r="T889" t="n">
        <v>1</v>
      </c>
      <c r="U889" t="n">
        <v>0</v>
      </c>
      <c r="V889" s="2" t="inlineStr">
        <is>
          <t>Kortskaftad ärgspik</t>
        </is>
      </c>
      <c r="W889">
        <f>HYPERLINK("https://klasma.github.io/Logging_2101/artfynd/A 62989-2025 artfynd.xlsx", "A 62989-2025")</f>
        <v/>
      </c>
      <c r="X889">
        <f>HYPERLINK("https://klasma.github.io/Logging_2101/kartor/A 62989-2025 karta.png", "A 62989-2025")</f>
        <v/>
      </c>
      <c r="Y889">
        <f>HYPERLINK("https://klasma.github.io/Logging_2101/kartor_geotiff/A 62989-2025 georefererad karta.tif", "A 62989-2025")</f>
        <v/>
      </c>
      <c r="AA889">
        <f>HYPERLINK("https://klasma.github.io/Logging_2101/klagomål/A 62989-2025 FSC-klagomål.docx", "A 62989-2025")</f>
        <v/>
      </c>
      <c r="AB889">
        <f>HYPERLINK("https://klasma.github.io/Logging_2101/klagomålsmail/A 62989-2025 FSC-klagomål mail.docx", "A 62989-2025")</f>
        <v/>
      </c>
      <c r="AC889">
        <f>HYPERLINK("https://klasma.github.io/Logging_2101/tillsyn/A 62989-2025 tillsynsbegäran.docx", "A 62989-2025")</f>
        <v/>
      </c>
      <c r="AD889">
        <f>HYPERLINK("https://klasma.github.io/Logging_2101/tillsynsmail/A 62989-2025 tillsynsbegäran mail.docx", "A 62989-2025")</f>
        <v/>
      </c>
    </row>
    <row r="890" ht="15" customHeight="1">
      <c r="A890" t="inlineStr">
        <is>
          <t>A 14438-2026</t>
        </is>
      </c>
      <c r="B890" t="inlineStr">
        <is>
          <t>avverkningsanmälan</t>
        </is>
      </c>
      <c r="C890" t="inlineStr">
        <is>
          <t>Föryngringsavverkning</t>
        </is>
      </c>
      <c r="D890" s="1" t="n">
        <v>46100</v>
      </c>
      <c r="E890" s="1" t="n">
        <v>46326</v>
      </c>
      <c r="F890" t="inlineStr">
        <is>
          <t>GÄVLEBORGS LÄN</t>
        </is>
      </c>
      <c r="G890" t="inlineStr">
        <is>
          <t>BOLLNÄS</t>
        </is>
      </c>
      <c r="I890" t="n">
        <v>26</v>
      </c>
      <c r="J890" t="n">
        <v>0</v>
      </c>
      <c r="K890" t="n">
        <v>0</v>
      </c>
      <c r="L890" t="n">
        <v>1</v>
      </c>
      <c r="M890" t="n">
        <v>0</v>
      </c>
      <c r="N890" t="n">
        <v>0</v>
      </c>
      <c r="O890" t="n">
        <v>0</v>
      </c>
      <c r="P890" t="n">
        <v>0</v>
      </c>
      <c r="Q890" t="n">
        <v>1</v>
      </c>
      <c r="R890" t="n">
        <v>0</v>
      </c>
      <c r="S890" t="n">
        <v>1</v>
      </c>
      <c r="T890" t="n">
        <v>2</v>
      </c>
      <c r="U890" t="n">
        <v>0</v>
      </c>
      <c r="V890" s="2" t="inlineStr">
        <is>
          <t>Dofttaggsvamp</t>
        </is>
      </c>
      <c r="W890">
        <f>HYPERLINK("https://klasma.github.io/Logging_2183/artfynd/A 14438-2026 artfynd.xlsx", "A 14438-2026")</f>
        <v/>
      </c>
      <c r="X890">
        <f>HYPERLINK("https://klasma.github.io/Logging_2183/kartor/A 14438-2026 karta.png", "A 14438-2026")</f>
        <v/>
      </c>
      <c r="Y890">
        <f>HYPERLINK("https://klasma.github.io/Logging_2183/kartor_geotiff/A 14438-2026 georefererad karta.tif", "A 14438-2026")</f>
        <v/>
      </c>
      <c r="AA890">
        <f>HYPERLINK("https://klasma.github.io/Logging_2183/klagomål/A 14438-2026 FSC-klagomål.docx", "A 14438-2026")</f>
        <v/>
      </c>
      <c r="AB890">
        <f>HYPERLINK("https://klasma.github.io/Logging_2183/klagomålsmail/A 14438-2026 FSC-klagomål mail.docx", "A 14438-2026")</f>
        <v/>
      </c>
      <c r="AC890">
        <f>HYPERLINK("https://klasma.github.io/Logging_2183/tillsyn/A 14438-2026 tillsynsbegäran.docx", "A 14438-2026")</f>
        <v/>
      </c>
      <c r="AD890">
        <f>HYPERLINK("https://klasma.github.io/Logging_2183/tillsynsmail/A 14438-2026 tillsynsbegäran mail.docx", "A 14438-2026")</f>
        <v/>
      </c>
    </row>
    <row r="891" ht="15" customHeight="1">
      <c r="A891" t="inlineStr">
        <is>
          <t>A 18078-2024</t>
        </is>
      </c>
      <c r="B891" t="inlineStr">
        <is>
          <t>avverkningsanmälan</t>
        </is>
      </c>
      <c r="C891" t="inlineStr">
        <is>
          <t>Föryngringsavverkning</t>
        </is>
      </c>
      <c r="D891" s="1" t="n">
        <v>45420</v>
      </c>
      <c r="E891" s="1" t="n">
        <v>46326</v>
      </c>
      <c r="F891" t="inlineStr">
        <is>
          <t>GÄVLEBORGS LÄN</t>
        </is>
      </c>
      <c r="G891" t="inlineStr">
        <is>
          <t>LJUSDAL</t>
        </is>
      </c>
      <c r="H891" t="inlineStr">
        <is>
          <t>Holmen skog AB</t>
        </is>
      </c>
      <c r="I891" t="n">
        <v>0.7</v>
      </c>
      <c r="J891" t="n">
        <v>1</v>
      </c>
      <c r="K891" t="n">
        <v>0</v>
      </c>
      <c r="L891" t="n">
        <v>0</v>
      </c>
      <c r="M891" t="n">
        <v>1</v>
      </c>
      <c r="N891" t="n">
        <v>0</v>
      </c>
      <c r="O891" t="n">
        <v>0</v>
      </c>
      <c r="P891" t="n">
        <v>0</v>
      </c>
      <c r="Q891" t="n">
        <v>1</v>
      </c>
      <c r="R891" t="n">
        <v>1</v>
      </c>
      <c r="S891" t="n">
        <v>1</v>
      </c>
      <c r="T891" t="n">
        <v>1</v>
      </c>
      <c r="U891" t="n">
        <v>1</v>
      </c>
      <c r="V891" s="2" t="inlineStr">
        <is>
          <t>Knärot</t>
        </is>
      </c>
      <c r="W891">
        <f>HYPERLINK("https://klasma.github.io/Logging_2161/artfynd/A 18078-2024 artfynd.xlsx", "A 18078-2024")</f>
        <v/>
      </c>
      <c r="X891">
        <f>HYPERLINK("https://klasma.github.io/Logging_2161/kartor/A 18078-2024 karta.png", "A 18078-2024")</f>
        <v/>
      </c>
      <c r="Y891">
        <f>HYPERLINK("https://klasma.github.io/Logging_2161/kartor_geotiff/A 18078-2024 georefererad karta.tif", "A 18078-2024")</f>
        <v/>
      </c>
      <c r="Z891">
        <f>HYPERLINK("https://klasma.github.io/Logging_2161/knärot/A 18078-2024 karta knärot.png", "A 18078-2024")</f>
        <v/>
      </c>
      <c r="AA891">
        <f>HYPERLINK("https://klasma.github.io/Logging_2161/klagomål/A 18078-2024 FSC-klagomål.docx", "A 18078-2024")</f>
        <v/>
      </c>
      <c r="AB891">
        <f>HYPERLINK("https://klasma.github.io/Logging_2161/klagomålsmail/A 18078-2024 FSC-klagomål mail.docx", "A 18078-2024")</f>
        <v/>
      </c>
      <c r="AC891">
        <f>HYPERLINK("https://klasma.github.io/Logging_2161/tillsyn/A 18078-2024 tillsynsbegäran.docx", "A 18078-2024")</f>
        <v/>
      </c>
      <c r="AD891">
        <f>HYPERLINK("https://klasma.github.io/Logging_2161/tillsynsmail/A 18078-2024 tillsynsbegäran mail.docx", "A 18078-2024")</f>
        <v/>
      </c>
    </row>
    <row r="892" ht="15" customHeight="1">
      <c r="A892" t="inlineStr">
        <is>
          <t>A 34744-2024</t>
        </is>
      </c>
      <c r="B892" t="inlineStr">
        <is>
          <t>avverkningsanmälan</t>
        </is>
      </c>
      <c r="C892" t="inlineStr">
        <is>
          <t>Föryngringsavverkning</t>
        </is>
      </c>
      <c r="D892" s="1" t="n">
        <v>45526</v>
      </c>
      <c r="E892" s="1" t="n">
        <v>46326</v>
      </c>
      <c r="F892" t="inlineStr">
        <is>
          <t>GÄVLEBORGS LÄN</t>
        </is>
      </c>
      <c r="G892" t="inlineStr">
        <is>
          <t>LJUSDAL</t>
        </is>
      </c>
      <c r="H892" t="inlineStr">
        <is>
          <t>Sveaskog</t>
        </is>
      </c>
      <c r="I892" t="n">
        <v>9.9</v>
      </c>
      <c r="J892" t="n">
        <v>0</v>
      </c>
      <c r="K892" t="n">
        <v>0</v>
      </c>
      <c r="L892" t="n">
        <v>1</v>
      </c>
      <c r="M892" t="n">
        <v>0</v>
      </c>
      <c r="N892" t="n">
        <v>0</v>
      </c>
      <c r="O892" t="n">
        <v>0</v>
      </c>
      <c r="P892" t="n">
        <v>0</v>
      </c>
      <c r="Q892" t="n">
        <v>1</v>
      </c>
      <c r="R892" t="n">
        <v>0</v>
      </c>
      <c r="S892" t="n">
        <v>1</v>
      </c>
      <c r="T892" t="n">
        <v>1</v>
      </c>
      <c r="U892" t="n">
        <v>1</v>
      </c>
      <c r="V892" s="2" t="inlineStr">
        <is>
          <t>Lunglav</t>
        </is>
      </c>
      <c r="W892">
        <f>HYPERLINK("https://klasma.github.io/Logging_2161/artfynd/A 34744-2024 artfynd.xlsx", "A 34744-2024")</f>
        <v/>
      </c>
      <c r="X892">
        <f>HYPERLINK("https://klasma.github.io/Logging_2161/kartor/A 34744-2024 karta.png", "A 34744-2024")</f>
        <v/>
      </c>
      <c r="Y892">
        <f>HYPERLINK("https://klasma.github.io/Logging_2161/kartor_geotiff/A 34744-2024 georefererad karta.tif", "A 34744-2024")</f>
        <v/>
      </c>
      <c r="AA892">
        <f>HYPERLINK("https://klasma.github.io/Logging_2161/klagomål/A 34744-2024 FSC-klagomål.docx", "A 34744-2024")</f>
        <v/>
      </c>
      <c r="AB892">
        <f>HYPERLINK("https://klasma.github.io/Logging_2161/klagomålsmail/A 34744-2024 FSC-klagomål mail.docx", "A 34744-2024")</f>
        <v/>
      </c>
      <c r="AC892">
        <f>HYPERLINK("https://klasma.github.io/Logging_2161/tillsyn/A 34744-2024 tillsynsbegäran.docx", "A 34744-2024")</f>
        <v/>
      </c>
      <c r="AD892">
        <f>HYPERLINK("https://klasma.github.io/Logging_2161/tillsynsmail/A 34744-2024 tillsynsbegäran mail.docx", "A 34744-2024")</f>
        <v/>
      </c>
    </row>
    <row r="893" ht="15" customHeight="1">
      <c r="A893" t="inlineStr">
        <is>
          <t>A 14479-2026</t>
        </is>
      </c>
      <c r="B893" t="inlineStr">
        <is>
          <t>avverkningsanmälan</t>
        </is>
      </c>
      <c r="C893" t="inlineStr">
        <is>
          <t>Föryngringsavverkning</t>
        </is>
      </c>
      <c r="D893" s="1" t="n">
        <v>46100</v>
      </c>
      <c r="E893" s="1" t="n">
        <v>46326</v>
      </c>
      <c r="F893" t="inlineStr">
        <is>
          <t>GÄVLEBORGS LÄN</t>
        </is>
      </c>
      <c r="G893" t="inlineStr">
        <is>
          <t>OCKELBO</t>
        </is>
      </c>
      <c r="I893" t="n">
        <v>4.8</v>
      </c>
      <c r="J893" t="n">
        <v>0</v>
      </c>
      <c r="K893" t="n">
        <v>0</v>
      </c>
      <c r="L893" t="n">
        <v>0</v>
      </c>
      <c r="M893" t="n">
        <v>1</v>
      </c>
      <c r="N893" t="n">
        <v>0</v>
      </c>
      <c r="O893" t="n">
        <v>0</v>
      </c>
      <c r="P893" t="n">
        <v>0</v>
      </c>
      <c r="Q893" t="n">
        <v>1</v>
      </c>
      <c r="R893" t="n">
        <v>1</v>
      </c>
      <c r="S893" t="n">
        <v>1</v>
      </c>
      <c r="T893" t="n">
        <v>1</v>
      </c>
      <c r="U893" t="n">
        <v>0</v>
      </c>
      <c r="V893" s="2" t="inlineStr">
        <is>
          <t>Igelkott</t>
        </is>
      </c>
      <c r="W893">
        <f>HYPERLINK("https://klasma.github.io/Logging_2101/artfynd/A 14479-2026 artfynd.xlsx", "A 14479-2026")</f>
        <v/>
      </c>
      <c r="X893">
        <f>HYPERLINK("https://klasma.github.io/Logging_2101/kartor/A 14479-2026 karta.png", "A 14479-2026")</f>
        <v/>
      </c>
      <c r="Y893">
        <f>HYPERLINK("https://klasma.github.io/Logging_2101/kartor_geotiff/A 14479-2026 georefererad karta.tif", "A 14479-2026")</f>
        <v/>
      </c>
      <c r="AA893">
        <f>HYPERLINK("https://klasma.github.io/Logging_2101/klagomål/A 14479-2026 FSC-klagomål.docx", "A 14479-2026")</f>
        <v/>
      </c>
      <c r="AB893">
        <f>HYPERLINK("https://klasma.github.io/Logging_2101/klagomålsmail/A 14479-2026 FSC-klagomål mail.docx", "A 14479-2026")</f>
        <v/>
      </c>
      <c r="AC893">
        <f>HYPERLINK("https://klasma.github.io/Logging_2101/tillsyn/A 14479-2026 tillsynsbegäran.docx", "A 14479-2026")</f>
        <v/>
      </c>
      <c r="AD893">
        <f>HYPERLINK("https://klasma.github.io/Logging_2101/tillsynsmail/A 14479-2026 tillsynsbegäran mail.docx", "A 14479-2026")</f>
        <v/>
      </c>
    </row>
    <row r="894" ht="15" customHeight="1">
      <c r="A894" t="inlineStr">
        <is>
          <t>A 14638-2026</t>
        </is>
      </c>
      <c r="B894" t="inlineStr">
        <is>
          <t>avverkningsanmälan</t>
        </is>
      </c>
      <c r="C894" t="inlineStr">
        <is>
          <t>Föryngringsavverkning</t>
        </is>
      </c>
      <c r="D894" s="1" t="n">
        <v>46101</v>
      </c>
      <c r="E894" s="1" t="n">
        <v>46326</v>
      </c>
      <c r="F894" t="inlineStr">
        <is>
          <t>GÄVLEBORGS LÄN</t>
        </is>
      </c>
      <c r="G894" t="inlineStr">
        <is>
          <t>LJUSDAL</t>
        </is>
      </c>
      <c r="H894" t="inlineStr">
        <is>
          <t>Holmen skog AB</t>
        </is>
      </c>
      <c r="I894" t="n">
        <v>31.7</v>
      </c>
      <c r="J894" t="n">
        <v>1</v>
      </c>
      <c r="K894" t="n">
        <v>0</v>
      </c>
      <c r="L894" t="n">
        <v>1</v>
      </c>
      <c r="M894" t="n">
        <v>0</v>
      </c>
      <c r="N894" t="n">
        <v>0</v>
      </c>
      <c r="O894" t="n">
        <v>0</v>
      </c>
      <c r="P894" t="n">
        <v>0</v>
      </c>
      <c r="Q894" t="n">
        <v>1</v>
      </c>
      <c r="R894" t="n">
        <v>0</v>
      </c>
      <c r="S894" t="n">
        <v>1</v>
      </c>
      <c r="T894" t="n">
        <v>1</v>
      </c>
      <c r="U894" t="n">
        <v>0</v>
      </c>
      <c r="V894" s="2" t="inlineStr">
        <is>
          <t>Lavskrika</t>
        </is>
      </c>
      <c r="W894">
        <f>HYPERLINK("https://klasma.github.io/Logging_2161/artfynd/A 14638-2026 artfynd.xlsx", "A 14638-2026")</f>
        <v/>
      </c>
      <c r="X894">
        <f>HYPERLINK("https://klasma.github.io/Logging_2161/kartor/A 14638-2026 karta.png", "A 14638-2026")</f>
        <v/>
      </c>
      <c r="Y894">
        <f>HYPERLINK("https://klasma.github.io/Logging_2161/kartor_geotiff/A 14638-2026 georefererad karta.tif", "A 14638-2026")</f>
        <v/>
      </c>
      <c r="AA894">
        <f>HYPERLINK("https://klasma.github.io/Logging_2161/klagomål/A 14638-2026 FSC-klagomål.docx", "A 14638-2026")</f>
        <v/>
      </c>
      <c r="AB894">
        <f>HYPERLINK("https://klasma.github.io/Logging_2161/klagomålsmail/A 14638-2026 FSC-klagomål mail.docx", "A 14638-2026")</f>
        <v/>
      </c>
      <c r="AC894">
        <f>HYPERLINK("https://klasma.github.io/Logging_2161/tillsyn/A 14638-2026 tillsynsbegäran.docx", "A 14638-2026")</f>
        <v/>
      </c>
      <c r="AD894">
        <f>HYPERLINK("https://klasma.github.io/Logging_2161/tillsynsmail/A 14638-2026 tillsynsbegäran mail.docx", "A 14638-2026")</f>
        <v/>
      </c>
      <c r="AE894">
        <f>HYPERLINK("https://klasma.github.io/Logging_2161/fåglar/A 14638-2026 prioriterade fågelarter.docx", "A 14638-2026")</f>
        <v/>
      </c>
    </row>
    <row r="895" ht="15" customHeight="1">
      <c r="A895" t="inlineStr">
        <is>
          <t>A 14664-2026</t>
        </is>
      </c>
      <c r="B895" t="inlineStr">
        <is>
          <t>avverkningsanmälan</t>
        </is>
      </c>
      <c r="C895" t="inlineStr">
        <is>
          <t>Föryngringsavverkning</t>
        </is>
      </c>
      <c r="D895" s="1" t="n">
        <v>46101</v>
      </c>
      <c r="E895" s="1" t="n">
        <v>46326</v>
      </c>
      <c r="F895" t="inlineStr">
        <is>
          <t>GÄVLEBORGS LÄN</t>
        </is>
      </c>
      <c r="G895" t="inlineStr">
        <is>
          <t>OCKELBO</t>
        </is>
      </c>
      <c r="H895" t="inlineStr">
        <is>
          <t>Bergvik skog väst AB</t>
        </is>
      </c>
      <c r="I895" t="n">
        <v>11.5</v>
      </c>
      <c r="J895" t="n">
        <v>1</v>
      </c>
      <c r="K895" t="n">
        <v>0</v>
      </c>
      <c r="L895" t="n">
        <v>0</v>
      </c>
      <c r="M895" t="n">
        <v>0</v>
      </c>
      <c r="N895" t="n">
        <v>0</v>
      </c>
      <c r="O895" t="n">
        <v>0</v>
      </c>
      <c r="P895" t="n">
        <v>0</v>
      </c>
      <c r="Q895" t="n">
        <v>0</v>
      </c>
      <c r="R895" t="n">
        <v>0</v>
      </c>
      <c r="S895" t="n">
        <v>1</v>
      </c>
      <c r="T895" t="n">
        <v>2</v>
      </c>
      <c r="U895" t="n">
        <v>0</v>
      </c>
      <c r="V895" s="2" t="inlineStr">
        <is>
          <t>Tjäder</t>
        </is>
      </c>
      <c r="W895">
        <f>HYPERLINK("https://klasma.github.io/Logging_2101/artfynd/A 14664-2026 artfynd.xlsx", "A 14664-2026")</f>
        <v/>
      </c>
      <c r="X895">
        <f>HYPERLINK("https://klasma.github.io/Logging_2101/kartor/A 14664-2026 karta.png", "A 14664-2026")</f>
        <v/>
      </c>
      <c r="Y895">
        <f>HYPERLINK("https://klasma.github.io/Logging_2101/kartor_geotiff/A 14664-2026 georefererad karta.tif", "A 14664-2026")</f>
        <v/>
      </c>
      <c r="AA895">
        <f>HYPERLINK("https://klasma.github.io/Logging_2101/klagomål/A 14664-2026 FSC-klagomål.docx", "A 14664-2026")</f>
        <v/>
      </c>
      <c r="AB895">
        <f>HYPERLINK("https://klasma.github.io/Logging_2101/klagomålsmail/A 14664-2026 FSC-klagomål mail.docx", "A 14664-2026")</f>
        <v/>
      </c>
      <c r="AC895">
        <f>HYPERLINK("https://klasma.github.io/Logging_2101/tillsyn/A 14664-2026 tillsynsbegäran.docx", "A 14664-2026")</f>
        <v/>
      </c>
      <c r="AD895">
        <f>HYPERLINK("https://klasma.github.io/Logging_2101/tillsynsmail/A 14664-2026 tillsynsbegäran mail.docx", "A 14664-2026")</f>
        <v/>
      </c>
      <c r="AE895">
        <f>HYPERLINK("https://klasma.github.io/Logging_2101/fåglar/A 14664-2026 prioriterade fågelarter.docx", "A 14664-2026")</f>
        <v/>
      </c>
    </row>
    <row r="896" ht="15" customHeight="1">
      <c r="A896" t="inlineStr">
        <is>
          <t>A 14835-2026</t>
        </is>
      </c>
      <c r="B896" t="inlineStr">
        <is>
          <t>avverkningsanmälan</t>
        </is>
      </c>
      <c r="C896" t="inlineStr">
        <is>
          <t>Föryngringsavverkning</t>
        </is>
      </c>
      <c r="D896" s="1" t="n">
        <v>46104</v>
      </c>
      <c r="E896" s="1" t="n">
        <v>46326</v>
      </c>
      <c r="F896" t="inlineStr">
        <is>
          <t>GÄVLEBORGS LÄN</t>
        </is>
      </c>
      <c r="G896" t="inlineStr">
        <is>
          <t>SANDVIKEN</t>
        </is>
      </c>
      <c r="H896" t="inlineStr">
        <is>
          <t>Bergvik skog öst AB</t>
        </is>
      </c>
      <c r="I896" t="n">
        <v>2.5</v>
      </c>
      <c r="J896" t="n">
        <v>1</v>
      </c>
      <c r="K896" t="n">
        <v>0</v>
      </c>
      <c r="L896" t="n">
        <v>1</v>
      </c>
      <c r="M896" t="n">
        <v>0</v>
      </c>
      <c r="N896" t="n">
        <v>0</v>
      </c>
      <c r="O896" t="n">
        <v>0</v>
      </c>
      <c r="P896" t="n">
        <v>0</v>
      </c>
      <c r="Q896" t="n">
        <v>1</v>
      </c>
      <c r="R896" t="n">
        <v>0</v>
      </c>
      <c r="S896" t="n">
        <v>1</v>
      </c>
      <c r="T896" t="n">
        <v>1</v>
      </c>
      <c r="U896" t="n">
        <v>0</v>
      </c>
      <c r="V896" s="2" t="inlineStr">
        <is>
          <t>Höstlåsbräken</t>
        </is>
      </c>
      <c r="W896">
        <f>HYPERLINK("https://klasma.github.io/Logging_2181/artfynd/A 14835-2026 artfynd.xlsx", "A 14835-2026")</f>
        <v/>
      </c>
      <c r="X896">
        <f>HYPERLINK("https://klasma.github.io/Logging_2181/kartor/A 14835-2026 karta.png", "A 14835-2026")</f>
        <v/>
      </c>
      <c r="Y896">
        <f>HYPERLINK("https://klasma.github.io/Logging_2181/kartor_geotiff/A 14835-2026 georefererad karta.tif", "A 14835-2026")</f>
        <v/>
      </c>
      <c r="AA896">
        <f>HYPERLINK("https://klasma.github.io/Logging_2181/klagomål/A 14835-2026 FSC-klagomål.docx", "A 14835-2026")</f>
        <v/>
      </c>
      <c r="AB896">
        <f>HYPERLINK("https://klasma.github.io/Logging_2181/klagomålsmail/A 14835-2026 FSC-klagomål mail.docx", "A 14835-2026")</f>
        <v/>
      </c>
      <c r="AC896">
        <f>HYPERLINK("https://klasma.github.io/Logging_2181/tillsyn/A 14835-2026 tillsynsbegäran.docx", "A 14835-2026")</f>
        <v/>
      </c>
      <c r="AD896">
        <f>HYPERLINK("https://klasma.github.io/Logging_2181/tillsynsmail/A 14835-2026 tillsynsbegäran mail.docx", "A 14835-2026")</f>
        <v/>
      </c>
    </row>
    <row r="897" ht="15" customHeight="1">
      <c r="A897" t="inlineStr">
        <is>
          <t>A 448-2026</t>
        </is>
      </c>
      <c r="B897" t="inlineStr">
        <is>
          <t>avverkningsanmälan</t>
        </is>
      </c>
      <c r="C897" t="inlineStr">
        <is>
          <t>Föryngringsavverkning</t>
        </is>
      </c>
      <c r="D897" s="1" t="n">
        <v>46021</v>
      </c>
      <c r="E897" s="1" t="n">
        <v>46326</v>
      </c>
      <c r="F897" t="inlineStr">
        <is>
          <t>GÄVLEBORGS LÄN</t>
        </is>
      </c>
      <c r="G897" t="inlineStr">
        <is>
          <t>SANDVIKEN</t>
        </is>
      </c>
      <c r="I897" t="n">
        <v>1</v>
      </c>
      <c r="J897" t="n">
        <v>0</v>
      </c>
      <c r="K897" t="n">
        <v>1</v>
      </c>
      <c r="L897" t="n">
        <v>0</v>
      </c>
      <c r="M897" t="n">
        <v>0</v>
      </c>
      <c r="N897" t="n">
        <v>0</v>
      </c>
      <c r="O897" t="n">
        <v>0</v>
      </c>
      <c r="P897" t="n">
        <v>0</v>
      </c>
      <c r="Q897" t="n">
        <v>0</v>
      </c>
      <c r="R897" t="n">
        <v>0</v>
      </c>
      <c r="S897" t="n">
        <v>1</v>
      </c>
      <c r="T897" t="n">
        <v>1</v>
      </c>
      <c r="U897" t="n">
        <v>0</v>
      </c>
      <c r="V897" s="2" t="inlineStr">
        <is>
          <t>Dvärghäxört</t>
        </is>
      </c>
      <c r="W897">
        <f>HYPERLINK("https://klasma.github.io/Logging_2181/artfynd/A 448-2026 artfynd.xlsx", "A 448-2026")</f>
        <v/>
      </c>
      <c r="X897">
        <f>HYPERLINK("https://klasma.github.io/Logging_2181/kartor/A 448-2026 karta.png", "A 448-2026")</f>
        <v/>
      </c>
      <c r="Y897">
        <f>HYPERLINK("https://klasma.github.io/Logging_2181/kartor_geotiff/A 448-2026 georefererad karta.tif", "A 448-2026")</f>
        <v/>
      </c>
      <c r="AA897">
        <f>HYPERLINK("https://klasma.github.io/Logging_2181/klagomål/A 448-2026 FSC-klagomål.docx", "A 448-2026")</f>
        <v/>
      </c>
      <c r="AB897">
        <f>HYPERLINK("https://klasma.github.io/Logging_2181/klagomålsmail/A 448-2026 FSC-klagomål mail.docx", "A 448-2026")</f>
        <v/>
      </c>
      <c r="AC897">
        <f>HYPERLINK("https://klasma.github.io/Logging_2181/tillsyn/A 448-2026 tillsynsbegäran.docx", "A 448-2026")</f>
        <v/>
      </c>
      <c r="AD897">
        <f>HYPERLINK("https://klasma.github.io/Logging_2181/tillsynsmail/A 448-2026 tillsynsbegäran mail.docx", "A 448-2026")</f>
        <v/>
      </c>
    </row>
    <row r="898" ht="15" customHeight="1">
      <c r="A898" t="inlineStr">
        <is>
          <t>A 35349-2024</t>
        </is>
      </c>
      <c r="B898" t="inlineStr">
        <is>
          <t>avverkningsanmälan</t>
        </is>
      </c>
      <c r="C898" t="inlineStr">
        <is>
          <t>Avverkning för att bevara och utveckla /försöksver</t>
        </is>
      </c>
      <c r="D898" s="1" t="n">
        <v>45531</v>
      </c>
      <c r="E898" s="1" t="n">
        <v>46326</v>
      </c>
      <c r="F898" t="inlineStr">
        <is>
          <t>GÄVLEBORGS LÄN</t>
        </is>
      </c>
      <c r="G898" t="inlineStr">
        <is>
          <t>OVANÅKER</t>
        </is>
      </c>
      <c r="H898" t="inlineStr">
        <is>
          <t>Sveaskog</t>
        </is>
      </c>
      <c r="I898" t="n">
        <v>10.4</v>
      </c>
      <c r="J898" t="n">
        <v>1</v>
      </c>
      <c r="K898" t="n">
        <v>0</v>
      </c>
      <c r="L898" t="n">
        <v>0</v>
      </c>
      <c r="M898" t="n">
        <v>0</v>
      </c>
      <c r="N898" t="n">
        <v>0</v>
      </c>
      <c r="O898" t="n">
        <v>0</v>
      </c>
      <c r="P898" t="n">
        <v>0</v>
      </c>
      <c r="Q898" t="n">
        <v>0</v>
      </c>
      <c r="R898" t="n">
        <v>0</v>
      </c>
      <c r="S898" t="n">
        <v>1</v>
      </c>
      <c r="T898" t="n">
        <v>1</v>
      </c>
      <c r="U898" t="n">
        <v>1</v>
      </c>
      <c r="V898" s="2" t="inlineStr">
        <is>
          <t>Nattviol</t>
        </is>
      </c>
      <c r="W898">
        <f>HYPERLINK("https://klasma.github.io/Logging_2121/artfynd/A 35349-2024 artfynd.xlsx", "A 35349-2024")</f>
        <v/>
      </c>
      <c r="X898">
        <f>HYPERLINK("https://klasma.github.io/Logging_2121/kartor/A 35349-2024 karta.png", "A 35349-2024")</f>
        <v/>
      </c>
      <c r="Y898">
        <f>HYPERLINK("https://klasma.github.io/Logging_2121/kartor_geotiff/A 35349-2024 georefererad karta.tif", "A 35349-2024")</f>
        <v/>
      </c>
      <c r="AA898">
        <f>HYPERLINK("https://klasma.github.io/Logging_2121/klagomål/A 35349-2024 FSC-klagomål.docx", "A 35349-2024")</f>
        <v/>
      </c>
      <c r="AB898">
        <f>HYPERLINK("https://klasma.github.io/Logging_2121/klagomålsmail/A 35349-2024 FSC-klagomål mail.docx", "A 35349-2024")</f>
        <v/>
      </c>
      <c r="AC898">
        <f>HYPERLINK("https://klasma.github.io/Logging_2121/tillsyn/A 35349-2024 tillsynsbegäran.docx", "A 35349-2024")</f>
        <v/>
      </c>
      <c r="AD898">
        <f>HYPERLINK("https://klasma.github.io/Logging_2121/tillsynsmail/A 35349-2024 tillsynsbegäran mail.docx", "A 35349-2024")</f>
        <v/>
      </c>
    </row>
    <row r="899" ht="15" customHeight="1">
      <c r="A899" t="inlineStr">
        <is>
          <t>A 35373-2024</t>
        </is>
      </c>
      <c r="B899" t="inlineStr">
        <is>
          <t>avverkningsanmälan</t>
        </is>
      </c>
      <c r="C899" t="inlineStr">
        <is>
          <t>Avverkning för att bevara och utveckla /försöksver</t>
        </is>
      </c>
      <c r="D899" s="1" t="n">
        <v>45531</v>
      </c>
      <c r="E899" s="1" t="n">
        <v>46326</v>
      </c>
      <c r="F899" t="inlineStr">
        <is>
          <t>GÄVLEBORGS LÄN</t>
        </is>
      </c>
      <c r="G899" t="inlineStr">
        <is>
          <t>OVANÅKER</t>
        </is>
      </c>
      <c r="H899" t="inlineStr">
        <is>
          <t>Sveaskog</t>
        </is>
      </c>
      <c r="I899" t="n">
        <v>2.3</v>
      </c>
      <c r="J899" t="n">
        <v>0</v>
      </c>
      <c r="K899" t="n">
        <v>0</v>
      </c>
      <c r="L899" t="n">
        <v>1</v>
      </c>
      <c r="M899" t="n">
        <v>0</v>
      </c>
      <c r="N899" t="n">
        <v>0</v>
      </c>
      <c r="O899" t="n">
        <v>0</v>
      </c>
      <c r="P899" t="n">
        <v>0</v>
      </c>
      <c r="Q899" t="n">
        <v>1</v>
      </c>
      <c r="R899" t="n">
        <v>0</v>
      </c>
      <c r="S899" t="n">
        <v>1</v>
      </c>
      <c r="T899" t="n">
        <v>1</v>
      </c>
      <c r="U899" t="n">
        <v>0</v>
      </c>
      <c r="V899" s="2" t="inlineStr">
        <is>
          <t>Vedtrappmossa</t>
        </is>
      </c>
      <c r="W899">
        <f>HYPERLINK("https://klasma.github.io/Logging_2121/artfynd/A 35373-2024 artfynd.xlsx", "A 35373-2024")</f>
        <v/>
      </c>
      <c r="X899">
        <f>HYPERLINK("https://klasma.github.io/Logging_2121/kartor/A 35373-2024 karta.png", "A 35373-2024")</f>
        <v/>
      </c>
      <c r="Y899">
        <f>HYPERLINK("https://klasma.github.io/Logging_2121/kartor_geotiff/A 35373-2024 georefererad karta.tif", "A 35373-2024")</f>
        <v/>
      </c>
      <c r="AA899">
        <f>HYPERLINK("https://klasma.github.io/Logging_2121/klagomål/A 35373-2024 FSC-klagomål.docx", "A 35373-2024")</f>
        <v/>
      </c>
      <c r="AB899">
        <f>HYPERLINK("https://klasma.github.io/Logging_2121/klagomålsmail/A 35373-2024 FSC-klagomål mail.docx", "A 35373-2024")</f>
        <v/>
      </c>
      <c r="AC899">
        <f>HYPERLINK("https://klasma.github.io/Logging_2121/tillsyn/A 35373-2024 tillsynsbegäran.docx", "A 35373-2024")</f>
        <v/>
      </c>
      <c r="AD899">
        <f>HYPERLINK("https://klasma.github.io/Logging_2121/tillsynsmail/A 35373-2024 tillsynsbegäran mail.docx", "A 35373-2024")</f>
        <v/>
      </c>
    </row>
    <row r="900" ht="15" customHeight="1">
      <c r="A900" t="inlineStr">
        <is>
          <t>A 51508-2024</t>
        </is>
      </c>
      <c r="B900" t="inlineStr">
        <is>
          <t>avverkningsanmälan</t>
        </is>
      </c>
      <c r="C900" t="inlineStr">
        <is>
          <t>Föryngringsavverkning</t>
        </is>
      </c>
      <c r="D900" s="1" t="n">
        <v>45604</v>
      </c>
      <c r="E900" s="1" t="n">
        <v>46326</v>
      </c>
      <c r="F900" t="inlineStr">
        <is>
          <t>GÄVLEBORGS LÄN</t>
        </is>
      </c>
      <c r="G900" t="inlineStr">
        <is>
          <t>GÄVLE</t>
        </is>
      </c>
      <c r="I900" t="n">
        <v>0.9</v>
      </c>
      <c r="J900" t="n">
        <v>0</v>
      </c>
      <c r="K900" t="n">
        <v>1</v>
      </c>
      <c r="L900" t="n">
        <v>0</v>
      </c>
      <c r="M900" t="n">
        <v>0</v>
      </c>
      <c r="N900" t="n">
        <v>0</v>
      </c>
      <c r="O900" t="n">
        <v>0</v>
      </c>
      <c r="P900" t="n">
        <v>0</v>
      </c>
      <c r="Q900" t="n">
        <v>0</v>
      </c>
      <c r="R900" t="n">
        <v>0</v>
      </c>
      <c r="S900" t="n">
        <v>1</v>
      </c>
      <c r="T900" t="n">
        <v>1</v>
      </c>
      <c r="U900" t="n">
        <v>1</v>
      </c>
      <c r="V900" s="2" t="inlineStr">
        <is>
          <t>Tibast</t>
        </is>
      </c>
      <c r="W900">
        <f>HYPERLINK("https://klasma.github.io/Logging_2180/artfynd/A 51508-2024 artfynd.xlsx", "A 51508-2024")</f>
        <v/>
      </c>
      <c r="X900">
        <f>HYPERLINK("https://klasma.github.io/Logging_2180/kartor/A 51508-2024 karta.png", "A 51508-2024")</f>
        <v/>
      </c>
      <c r="Y900">
        <f>HYPERLINK("https://klasma.github.io/Logging_2180/kartor_geotiff/A 51508-2024 georefererad karta.tif", "A 51508-2024")</f>
        <v/>
      </c>
      <c r="AA900">
        <f>HYPERLINK("https://klasma.github.io/Logging_2180/klagomål/A 51508-2024 FSC-klagomål.docx", "A 51508-2024")</f>
        <v/>
      </c>
      <c r="AB900">
        <f>HYPERLINK("https://klasma.github.io/Logging_2180/klagomålsmail/A 51508-2024 FSC-klagomål mail.docx", "A 51508-2024")</f>
        <v/>
      </c>
      <c r="AC900">
        <f>HYPERLINK("https://klasma.github.io/Logging_2180/tillsyn/A 51508-2024 tillsynsbegäran.docx", "A 51508-2024")</f>
        <v/>
      </c>
      <c r="AD900">
        <f>HYPERLINK("https://klasma.github.io/Logging_2180/tillsynsmail/A 51508-2024 tillsynsbegäran mail.docx", "A 51508-2024")</f>
        <v/>
      </c>
    </row>
    <row r="901" ht="15" customHeight="1">
      <c r="A901" t="inlineStr">
        <is>
          <t>A 15121-2026</t>
        </is>
      </c>
      <c r="B901" t="inlineStr">
        <is>
          <t>avverkningsanmälan</t>
        </is>
      </c>
      <c r="C901" t="inlineStr">
        <is>
          <t>Föryngringsavverkning</t>
        </is>
      </c>
      <c r="D901" s="1" t="n">
        <v>46105</v>
      </c>
      <c r="E901" s="1" t="n">
        <v>46326</v>
      </c>
      <c r="F901" t="inlineStr">
        <is>
          <t>GÄVLEBORGS LÄN</t>
        </is>
      </c>
      <c r="G901" t="inlineStr">
        <is>
          <t>SANDVIKEN</t>
        </is>
      </c>
      <c r="I901" t="n">
        <v>2.7</v>
      </c>
      <c r="J901" t="n">
        <v>0</v>
      </c>
      <c r="K901" t="n">
        <v>1</v>
      </c>
      <c r="L901" t="n">
        <v>0</v>
      </c>
      <c r="M901" t="n">
        <v>0</v>
      </c>
      <c r="N901" t="n">
        <v>0</v>
      </c>
      <c r="O901" t="n">
        <v>0</v>
      </c>
      <c r="P901" t="n">
        <v>0</v>
      </c>
      <c r="Q901" t="n">
        <v>0</v>
      </c>
      <c r="R901" t="n">
        <v>0</v>
      </c>
      <c r="S901" t="n">
        <v>1</v>
      </c>
      <c r="T901" t="n">
        <v>1</v>
      </c>
      <c r="U901" t="n">
        <v>0</v>
      </c>
      <c r="V901" s="2" t="inlineStr">
        <is>
          <t>Brandticka</t>
        </is>
      </c>
      <c r="W901">
        <f>HYPERLINK("https://klasma.github.io/Logging_2181/artfynd/A 15121-2026 artfynd.xlsx", "A 15121-2026")</f>
        <v/>
      </c>
      <c r="X901">
        <f>HYPERLINK("https://klasma.github.io/Logging_2181/kartor/A 15121-2026 karta.png", "A 15121-2026")</f>
        <v/>
      </c>
      <c r="Y901">
        <f>HYPERLINK("https://klasma.github.io/Logging_2181/kartor_geotiff/A 15121-2026 georefererad karta.tif", "A 15121-2026")</f>
        <v/>
      </c>
      <c r="AA901">
        <f>HYPERLINK("https://klasma.github.io/Logging_2181/klagomål/A 15121-2026 FSC-klagomål.docx", "A 15121-2026")</f>
        <v/>
      </c>
      <c r="AB901">
        <f>HYPERLINK("https://klasma.github.io/Logging_2181/klagomålsmail/A 15121-2026 FSC-klagomål mail.docx", "A 15121-2026")</f>
        <v/>
      </c>
      <c r="AC901">
        <f>HYPERLINK("https://klasma.github.io/Logging_2181/tillsyn/A 15121-2026 tillsynsbegäran.docx", "A 15121-2026")</f>
        <v/>
      </c>
      <c r="AD901">
        <f>HYPERLINK("https://klasma.github.io/Logging_2181/tillsynsmail/A 15121-2026 tillsynsbegäran mail.docx", "A 15121-2026")</f>
        <v/>
      </c>
    </row>
    <row r="902" ht="15" customHeight="1">
      <c r="A902" t="inlineStr">
        <is>
          <t>A 40097-2024</t>
        </is>
      </c>
      <c r="B902" t="inlineStr">
        <is>
          <t>avverkningsanmälan</t>
        </is>
      </c>
      <c r="C902" t="inlineStr">
        <is>
          <t>Föryngringsavverkning</t>
        </is>
      </c>
      <c r="D902" s="1" t="n">
        <v>45554</v>
      </c>
      <c r="E902" s="1" t="n">
        <v>46326</v>
      </c>
      <c r="F902" t="inlineStr">
        <is>
          <t>GÄVLEBORGS LÄN</t>
        </is>
      </c>
      <c r="G902" t="inlineStr">
        <is>
          <t>SÖDERHAMN</t>
        </is>
      </c>
      <c r="I902" t="n">
        <v>0.7</v>
      </c>
      <c r="J902" t="n">
        <v>1</v>
      </c>
      <c r="K902" t="n">
        <v>0</v>
      </c>
      <c r="L902" t="n">
        <v>0</v>
      </c>
      <c r="M902" t="n">
        <v>0</v>
      </c>
      <c r="N902" t="n">
        <v>0</v>
      </c>
      <c r="O902" t="n">
        <v>0</v>
      </c>
      <c r="P902" t="n">
        <v>0</v>
      </c>
      <c r="Q902" t="n">
        <v>0</v>
      </c>
      <c r="R902" t="n">
        <v>0</v>
      </c>
      <c r="S902" t="n">
        <v>1</v>
      </c>
      <c r="T902" t="n">
        <v>1</v>
      </c>
      <c r="U902" t="n">
        <v>1</v>
      </c>
      <c r="V902" s="2" t="inlineStr">
        <is>
          <t>Fläcknycklar</t>
        </is>
      </c>
      <c r="W902">
        <f>HYPERLINK("https://klasma.github.io/Logging_2182/artfynd/A 40097-2024 artfynd.xlsx", "A 40097-2024")</f>
        <v/>
      </c>
      <c r="X902">
        <f>HYPERLINK("https://klasma.github.io/Logging_2182/kartor/A 40097-2024 karta.png", "A 40097-2024")</f>
        <v/>
      </c>
      <c r="Y902">
        <f>HYPERLINK("https://klasma.github.io/Logging_2182/kartor_geotiff/A 40097-2024 georefererad karta.tif", "A 40097-2024")</f>
        <v/>
      </c>
      <c r="AA902">
        <f>HYPERLINK("https://klasma.github.io/Logging_2182/klagomål/A 40097-2024 FSC-klagomål.docx", "A 40097-2024")</f>
        <v/>
      </c>
      <c r="AB902">
        <f>HYPERLINK("https://klasma.github.io/Logging_2182/klagomålsmail/A 40097-2024 FSC-klagomål mail.docx", "A 40097-2024")</f>
        <v/>
      </c>
      <c r="AC902">
        <f>HYPERLINK("https://klasma.github.io/Logging_2182/tillsyn/A 40097-2024 tillsynsbegäran.docx", "A 40097-2024")</f>
        <v/>
      </c>
      <c r="AD902">
        <f>HYPERLINK("https://klasma.github.io/Logging_2182/tillsynsmail/A 40097-2024 tillsynsbegäran mail.docx", "A 40097-2024")</f>
        <v/>
      </c>
    </row>
    <row r="903" ht="15" customHeight="1">
      <c r="A903" t="inlineStr">
        <is>
          <t>A 17062-2026</t>
        </is>
      </c>
      <c r="B903" t="inlineStr">
        <is>
          <t>avverkningsanmälan</t>
        </is>
      </c>
      <c r="C903" t="inlineStr">
        <is>
          <t>Föryngringsavverkning</t>
        </is>
      </c>
      <c r="D903" s="1" t="n">
        <v>46114</v>
      </c>
      <c r="E903" s="1" t="n">
        <v>46326</v>
      </c>
      <c r="F903" t="inlineStr">
        <is>
          <t>GÄVLEBORGS LÄN</t>
        </is>
      </c>
      <c r="G903" t="inlineStr">
        <is>
          <t>SANDVIKEN</t>
        </is>
      </c>
      <c r="H903" t="inlineStr">
        <is>
          <t>Bergvik skog öst AB</t>
        </is>
      </c>
      <c r="I903" t="n">
        <v>5.7</v>
      </c>
      <c r="J903" t="n">
        <v>0</v>
      </c>
      <c r="K903" t="n">
        <v>0</v>
      </c>
      <c r="L903" t="n">
        <v>1</v>
      </c>
      <c r="M903" t="n">
        <v>0</v>
      </c>
      <c r="N903" t="n">
        <v>0</v>
      </c>
      <c r="O903" t="n">
        <v>0</v>
      </c>
      <c r="P903" t="n">
        <v>0</v>
      </c>
      <c r="Q903" t="n">
        <v>1</v>
      </c>
      <c r="R903" t="n">
        <v>0</v>
      </c>
      <c r="S903" t="n">
        <v>1</v>
      </c>
      <c r="T903" t="n">
        <v>1</v>
      </c>
      <c r="U903" t="n">
        <v>0</v>
      </c>
      <c r="V903" s="2" t="inlineStr">
        <is>
          <t>Vårärt</t>
        </is>
      </c>
      <c r="W903">
        <f>HYPERLINK("https://klasma.github.io/Logging_2181/artfynd/A 17062-2026 artfynd.xlsx", "A 17062-2026")</f>
        <v/>
      </c>
      <c r="X903">
        <f>HYPERLINK("https://klasma.github.io/Logging_2181/kartor/A 17062-2026 karta.png", "A 17062-2026")</f>
        <v/>
      </c>
      <c r="Y903">
        <f>HYPERLINK("https://klasma.github.io/Logging_2181/kartor_geotiff/A 17062-2026 georefererad karta.tif", "A 17062-2026")</f>
        <v/>
      </c>
      <c r="AA903">
        <f>HYPERLINK("https://klasma.github.io/Logging_2181/klagomål/A 17062-2026 FSC-klagomål.docx", "A 17062-2026")</f>
        <v/>
      </c>
      <c r="AB903">
        <f>HYPERLINK("https://klasma.github.io/Logging_2181/klagomålsmail/A 17062-2026 FSC-klagomål mail.docx", "A 17062-2026")</f>
        <v/>
      </c>
      <c r="AC903">
        <f>HYPERLINK("https://klasma.github.io/Logging_2181/tillsyn/A 17062-2026 tillsynsbegäran.docx", "A 17062-2026")</f>
        <v/>
      </c>
      <c r="AD903">
        <f>HYPERLINK("https://klasma.github.io/Logging_2181/tillsynsmail/A 17062-2026 tillsynsbegäran mail.docx", "A 17062-2026")</f>
        <v/>
      </c>
    </row>
    <row r="904" ht="15" customHeight="1">
      <c r="A904" t="inlineStr">
        <is>
          <t>A 17364-2026</t>
        </is>
      </c>
      <c r="B904" t="inlineStr">
        <is>
          <t>avverkningsanmälan</t>
        </is>
      </c>
      <c r="C904" t="inlineStr">
        <is>
          <t>Föryngringsavverkning</t>
        </is>
      </c>
      <c r="D904" s="1" t="n">
        <v>46119</v>
      </c>
      <c r="E904" s="1" t="n">
        <v>46326</v>
      </c>
      <c r="F904" t="inlineStr">
        <is>
          <t>GÄVLEBORGS LÄN</t>
        </is>
      </c>
      <c r="G904" t="inlineStr">
        <is>
          <t>SANDVIKEN</t>
        </is>
      </c>
      <c r="H904" t="inlineStr">
        <is>
          <t>Bergvik skog öst AB</t>
        </is>
      </c>
      <c r="I904" t="n">
        <v>3.2</v>
      </c>
      <c r="J904" t="n">
        <v>1</v>
      </c>
      <c r="K904" t="n">
        <v>0</v>
      </c>
      <c r="L904" t="n">
        <v>1</v>
      </c>
      <c r="M904" t="n">
        <v>0</v>
      </c>
      <c r="N904" t="n">
        <v>0</v>
      </c>
      <c r="O904" t="n">
        <v>0</v>
      </c>
      <c r="P904" t="n">
        <v>0</v>
      </c>
      <c r="Q904" t="n">
        <v>1</v>
      </c>
      <c r="R904" t="n">
        <v>0</v>
      </c>
      <c r="S904" t="n">
        <v>1</v>
      </c>
      <c r="T904" t="n">
        <v>1</v>
      </c>
      <c r="U904" t="n">
        <v>0</v>
      </c>
      <c r="V904" s="2" t="inlineStr">
        <is>
          <t>Höstlåsbräken</t>
        </is>
      </c>
      <c r="W904">
        <f>HYPERLINK("https://klasma.github.io/Logging_2181/artfynd/A 17364-2026 artfynd.xlsx", "A 17364-2026")</f>
        <v/>
      </c>
      <c r="X904">
        <f>HYPERLINK("https://klasma.github.io/Logging_2181/kartor/A 17364-2026 karta.png", "A 17364-2026")</f>
        <v/>
      </c>
      <c r="Y904">
        <f>HYPERLINK("https://klasma.github.io/Logging_2181/kartor_geotiff/A 17364-2026 georefererad karta.tif", "A 17364-2026")</f>
        <v/>
      </c>
      <c r="AA904">
        <f>HYPERLINK("https://klasma.github.io/Logging_2181/klagomål/A 17364-2026 FSC-klagomål.docx", "A 17364-2026")</f>
        <v/>
      </c>
      <c r="AB904">
        <f>HYPERLINK("https://klasma.github.io/Logging_2181/klagomålsmail/A 17364-2026 FSC-klagomål mail.docx", "A 17364-2026")</f>
        <v/>
      </c>
      <c r="AC904">
        <f>HYPERLINK("https://klasma.github.io/Logging_2181/tillsyn/A 17364-2026 tillsynsbegäran.docx", "A 17364-2026")</f>
        <v/>
      </c>
      <c r="AD904">
        <f>HYPERLINK("https://klasma.github.io/Logging_2181/tillsynsmail/A 17364-2026 tillsynsbegäran mail.docx", "A 17364-2026")</f>
        <v/>
      </c>
    </row>
    <row r="905" ht="15" customHeight="1">
      <c r="A905" t="inlineStr">
        <is>
          <t>A 35080-2023</t>
        </is>
      </c>
      <c r="B905" t="inlineStr">
        <is>
          <t>avverkningsanmälan</t>
        </is>
      </c>
      <c r="C905" t="inlineStr">
        <is>
          <t>Föryngringsavverkning</t>
        </is>
      </c>
      <c r="D905" s="1" t="n">
        <v>45145</v>
      </c>
      <c r="E905" s="1" t="n">
        <v>46326</v>
      </c>
      <c r="F905" t="inlineStr">
        <is>
          <t>GÄVLEBORGS LÄN</t>
        </is>
      </c>
      <c r="G905" t="inlineStr">
        <is>
          <t>LJUSDAL</t>
        </is>
      </c>
      <c r="H905" t="inlineStr">
        <is>
          <t>Sveaskog</t>
        </is>
      </c>
      <c r="I905" t="n">
        <v>2.9</v>
      </c>
      <c r="J905" t="n">
        <v>0</v>
      </c>
      <c r="K905" t="n">
        <v>0</v>
      </c>
      <c r="L905" t="n">
        <v>1</v>
      </c>
      <c r="M905" t="n">
        <v>0</v>
      </c>
      <c r="N905" t="n">
        <v>0</v>
      </c>
      <c r="O905" t="n">
        <v>0</v>
      </c>
      <c r="P905" t="n">
        <v>0</v>
      </c>
      <c r="Q905" t="n">
        <v>1</v>
      </c>
      <c r="R905" t="n">
        <v>0</v>
      </c>
      <c r="S905" t="n">
        <v>1</v>
      </c>
      <c r="T905" t="n">
        <v>1</v>
      </c>
      <c r="U905" t="n">
        <v>1</v>
      </c>
      <c r="V905" s="2" t="inlineStr">
        <is>
          <t>Vedflamlav</t>
        </is>
      </c>
      <c r="W905">
        <f>HYPERLINK("https://klasma.github.io/Logging_2161/artfynd/A 35080-2023 artfynd.xlsx", "A 35080-2023")</f>
        <v/>
      </c>
      <c r="X905">
        <f>HYPERLINK("https://klasma.github.io/Logging_2161/kartor/A 35080-2023 karta.png", "A 35080-2023")</f>
        <v/>
      </c>
      <c r="Y905">
        <f>HYPERLINK("https://klasma.github.io/Logging_2161/kartor_geotiff/A 35080-2023 georefererad karta.tif", "A 35080-2023")</f>
        <v/>
      </c>
      <c r="AA905">
        <f>HYPERLINK("https://klasma.github.io/Logging_2161/klagomål/A 35080-2023 FSC-klagomål.docx", "A 35080-2023")</f>
        <v/>
      </c>
      <c r="AB905">
        <f>HYPERLINK("https://klasma.github.io/Logging_2161/klagomålsmail/A 35080-2023 FSC-klagomål mail.docx", "A 35080-2023")</f>
        <v/>
      </c>
      <c r="AC905">
        <f>HYPERLINK("https://klasma.github.io/Logging_2161/tillsyn/A 35080-2023 tillsynsbegäran.docx", "A 35080-2023")</f>
        <v/>
      </c>
      <c r="AD905">
        <f>HYPERLINK("https://klasma.github.io/Logging_2161/tillsynsmail/A 35080-2023 tillsynsbegäran mail.docx", "A 35080-2023")</f>
        <v/>
      </c>
    </row>
    <row r="906" ht="15" customHeight="1">
      <c r="A906" t="inlineStr">
        <is>
          <t>A 12437-2024</t>
        </is>
      </c>
      <c r="B906" t="inlineStr">
        <is>
          <t>avverkningsanmälan</t>
        </is>
      </c>
      <c r="C906" t="inlineStr">
        <is>
          <t>Föryngringsavverkning</t>
        </is>
      </c>
      <c r="D906" s="1" t="n">
        <v>45379</v>
      </c>
      <c r="E906" s="1" t="n">
        <v>46326</v>
      </c>
      <c r="F906" t="inlineStr">
        <is>
          <t>GÄVLEBORGS LÄN</t>
        </is>
      </c>
      <c r="G906" t="inlineStr">
        <is>
          <t>GÄVLE</t>
        </is>
      </c>
      <c r="H906" t="inlineStr">
        <is>
          <t>Bergvik skog öst AB</t>
        </is>
      </c>
      <c r="I906" t="n">
        <v>7.4</v>
      </c>
      <c r="J906" t="n">
        <v>0</v>
      </c>
      <c r="K906" t="n">
        <v>0</v>
      </c>
      <c r="L906" t="n">
        <v>0</v>
      </c>
      <c r="M906" t="n">
        <v>1</v>
      </c>
      <c r="N906" t="n">
        <v>0</v>
      </c>
      <c r="O906" t="n">
        <v>0</v>
      </c>
      <c r="P906" t="n">
        <v>0</v>
      </c>
      <c r="Q906" t="n">
        <v>1</v>
      </c>
      <c r="R906" t="n">
        <v>1</v>
      </c>
      <c r="S906" t="n">
        <v>1</v>
      </c>
      <c r="T906" t="n">
        <v>1</v>
      </c>
      <c r="U906" t="n">
        <v>0</v>
      </c>
      <c r="V906" s="2" t="inlineStr">
        <is>
          <t>Mindre bastardsvärmare</t>
        </is>
      </c>
      <c r="W906">
        <f>HYPERLINK("https://klasma.github.io/Logging_2180/artfynd/A 12437-2024 artfynd.xlsx", "A 12437-2024")</f>
        <v/>
      </c>
      <c r="X906">
        <f>HYPERLINK("https://klasma.github.io/Logging_2180/kartor/A 12437-2024 karta.png", "A 12437-2024")</f>
        <v/>
      </c>
      <c r="Y906">
        <f>HYPERLINK("https://klasma.github.io/Logging_2180/kartor_geotiff/A 12437-2024 georefererad karta.tif", "A 12437-2024")</f>
        <v/>
      </c>
      <c r="AA906">
        <f>HYPERLINK("https://klasma.github.io/Logging_2180/klagomål/A 12437-2024 FSC-klagomål.docx", "A 12437-2024")</f>
        <v/>
      </c>
      <c r="AB906">
        <f>HYPERLINK("https://klasma.github.io/Logging_2180/klagomålsmail/A 12437-2024 FSC-klagomål mail.docx", "A 12437-2024")</f>
        <v/>
      </c>
      <c r="AC906">
        <f>HYPERLINK("https://klasma.github.io/Logging_2180/tillsyn/A 12437-2024 tillsynsbegäran.docx", "A 12437-2024")</f>
        <v/>
      </c>
      <c r="AD906">
        <f>HYPERLINK("https://klasma.github.io/Logging_2180/tillsynsmail/A 12437-2024 tillsynsbegäran mail.docx", "A 12437-2024")</f>
        <v/>
      </c>
    </row>
    <row r="907" ht="15" customHeight="1">
      <c r="A907" t="inlineStr">
        <is>
          <t>A 22275-2024</t>
        </is>
      </c>
      <c r="B907" t="inlineStr">
        <is>
          <t>avverkningsanmälan</t>
        </is>
      </c>
      <c r="C907" t="inlineStr">
        <is>
          <t>Föryngringsavverkning</t>
        </is>
      </c>
      <c r="D907" s="1" t="n">
        <v>45446</v>
      </c>
      <c r="E907" s="1" t="n">
        <v>46326</v>
      </c>
      <c r="F907" t="inlineStr">
        <is>
          <t>GÄVLEBORGS LÄN</t>
        </is>
      </c>
      <c r="G907" t="inlineStr">
        <is>
          <t>SANDVIKEN</t>
        </is>
      </c>
      <c r="I907" t="n">
        <v>1.5</v>
      </c>
      <c r="J907" t="n">
        <v>0</v>
      </c>
      <c r="K907" t="n">
        <v>0</v>
      </c>
      <c r="L907" t="n">
        <v>0</v>
      </c>
      <c r="M907" t="n">
        <v>0</v>
      </c>
      <c r="N907" t="n">
        <v>0</v>
      </c>
      <c r="O907" t="n">
        <v>0</v>
      </c>
      <c r="P907" t="n">
        <v>0</v>
      </c>
      <c r="Q907" t="n">
        <v>0</v>
      </c>
      <c r="R907" t="n">
        <v>0</v>
      </c>
      <c r="S907" t="n">
        <v>1</v>
      </c>
      <c r="T907" t="n">
        <v>1</v>
      </c>
      <c r="U907" t="n">
        <v>1</v>
      </c>
      <c r="V907" s="2" t="inlineStr">
        <is>
          <t>Ekorrbär</t>
        </is>
      </c>
      <c r="W907">
        <f>HYPERLINK("https://klasma.github.io/Logging_2181/artfynd/A 22275-2024 artfynd.xlsx", "A 22275-2024")</f>
        <v/>
      </c>
      <c r="X907">
        <f>HYPERLINK("https://klasma.github.io/Logging_2181/kartor/A 22275-2024 karta.png", "A 22275-2024")</f>
        <v/>
      </c>
      <c r="Y907">
        <f>HYPERLINK("https://klasma.github.io/Logging_2181/kartor_geotiff/A 22275-2024 georefererad karta.tif", "A 22275-2024")</f>
        <v/>
      </c>
      <c r="AA907">
        <f>HYPERLINK("https://klasma.github.io/Logging_2181/klagomål/A 22275-2024 FSC-klagomål.docx", "A 22275-2024")</f>
        <v/>
      </c>
      <c r="AB907">
        <f>HYPERLINK("https://klasma.github.io/Logging_2181/klagomålsmail/A 22275-2024 FSC-klagomål mail.docx", "A 22275-2024")</f>
        <v/>
      </c>
      <c r="AC907">
        <f>HYPERLINK("https://klasma.github.io/Logging_2181/tillsyn/A 22275-2024 tillsynsbegäran.docx", "A 22275-2024")</f>
        <v/>
      </c>
      <c r="AD907">
        <f>HYPERLINK("https://klasma.github.io/Logging_2181/tillsynsmail/A 22275-2024 tillsynsbegäran mail.docx", "A 22275-2024")</f>
        <v/>
      </c>
    </row>
    <row r="908" ht="15" customHeight="1">
      <c r="A908" t="inlineStr">
        <is>
          <t>A 18188-2026</t>
        </is>
      </c>
      <c r="B908" t="inlineStr">
        <is>
          <t>avverkningsanmälan</t>
        </is>
      </c>
      <c r="C908" t="inlineStr">
        <is>
          <t>Föryngringsavverkning</t>
        </is>
      </c>
      <c r="D908" s="1" t="n">
        <v>46125</v>
      </c>
      <c r="E908" s="1" t="n">
        <v>46326</v>
      </c>
      <c r="F908" t="inlineStr">
        <is>
          <t>GÄVLEBORGS LÄN</t>
        </is>
      </c>
      <c r="G908" t="inlineStr">
        <is>
          <t>OCKELBO</t>
        </is>
      </c>
      <c r="H908" t="inlineStr">
        <is>
          <t>Bergvik skog väst AB</t>
        </is>
      </c>
      <c r="I908" t="n">
        <v>32.9</v>
      </c>
      <c r="J908" t="n">
        <v>1</v>
      </c>
      <c r="K908" t="n">
        <v>0</v>
      </c>
      <c r="L908" t="n">
        <v>0</v>
      </c>
      <c r="M908" t="n">
        <v>0</v>
      </c>
      <c r="N908" t="n">
        <v>0</v>
      </c>
      <c r="O908" t="n">
        <v>0</v>
      </c>
      <c r="P908" t="n">
        <v>0</v>
      </c>
      <c r="Q908" t="n">
        <v>0</v>
      </c>
      <c r="R908" t="n">
        <v>0</v>
      </c>
      <c r="S908" t="n">
        <v>1</v>
      </c>
      <c r="T908" t="n">
        <v>1</v>
      </c>
      <c r="U908" t="n">
        <v>0</v>
      </c>
      <c r="V908" s="2" t="inlineStr">
        <is>
          <t>Järpe</t>
        </is>
      </c>
      <c r="W908">
        <f>HYPERLINK("https://klasma.github.io/Logging_2101/artfynd/A 18188-2026 artfynd.xlsx", "A 18188-2026")</f>
        <v/>
      </c>
      <c r="X908">
        <f>HYPERLINK("https://klasma.github.io/Logging_2101/kartor/A 18188-2026 karta.png", "A 18188-2026")</f>
        <v/>
      </c>
      <c r="Y908">
        <f>HYPERLINK("https://klasma.github.io/Logging_2101/kartor_geotiff/A 18188-2026 georefererad karta.tif", "A 18188-2026")</f>
        <v/>
      </c>
      <c r="AA908">
        <f>HYPERLINK("https://klasma.github.io/Logging_2101/klagomål/A 18188-2026 FSC-klagomål.docx", "A 18188-2026")</f>
        <v/>
      </c>
      <c r="AB908">
        <f>HYPERLINK("https://klasma.github.io/Logging_2101/klagomålsmail/A 18188-2026 FSC-klagomål mail.docx", "A 18188-2026")</f>
        <v/>
      </c>
      <c r="AC908">
        <f>HYPERLINK("https://klasma.github.io/Logging_2101/tillsyn/A 18188-2026 tillsynsbegäran.docx", "A 18188-2026")</f>
        <v/>
      </c>
      <c r="AD908">
        <f>HYPERLINK("https://klasma.github.io/Logging_2101/tillsynsmail/A 18188-2026 tillsynsbegäran mail.docx", "A 18188-2026")</f>
        <v/>
      </c>
      <c r="AE908">
        <f>HYPERLINK("https://klasma.github.io/Logging_2101/fåglar/A 18188-2026 prioriterade fågelarter.docx", "A 18188-2026")</f>
        <v/>
      </c>
    </row>
    <row r="909" ht="15" customHeight="1">
      <c r="A909" t="inlineStr">
        <is>
          <t>A 16309-2026</t>
        </is>
      </c>
      <c r="B909" t="inlineStr">
        <is>
          <t>avverkningsanmälan</t>
        </is>
      </c>
      <c r="C909" t="inlineStr">
        <is>
          <t>Föryngringsavverkning</t>
        </is>
      </c>
      <c r="D909" s="1" t="n">
        <v>46111</v>
      </c>
      <c r="E909" s="1" t="n">
        <v>46326</v>
      </c>
      <c r="F909" t="inlineStr">
        <is>
          <t>GÄVLEBORGS LÄN</t>
        </is>
      </c>
      <c r="G909" t="inlineStr">
        <is>
          <t>OVANÅKER</t>
        </is>
      </c>
      <c r="H909" t="inlineStr">
        <is>
          <t>Bergvik skog öst AB</t>
        </is>
      </c>
      <c r="I909" t="n">
        <v>1.1</v>
      </c>
      <c r="J909" t="n">
        <v>0</v>
      </c>
      <c r="K909" t="n">
        <v>1</v>
      </c>
      <c r="L909" t="n">
        <v>0</v>
      </c>
      <c r="M909" t="n">
        <v>0</v>
      </c>
      <c r="N909" t="n">
        <v>0</v>
      </c>
      <c r="O909" t="n">
        <v>0</v>
      </c>
      <c r="P909" t="n">
        <v>0</v>
      </c>
      <c r="Q909" t="n">
        <v>0</v>
      </c>
      <c r="R909" t="n">
        <v>0</v>
      </c>
      <c r="S909" t="n">
        <v>1</v>
      </c>
      <c r="T909" t="n">
        <v>1</v>
      </c>
      <c r="U909" t="n">
        <v>0</v>
      </c>
      <c r="V909" s="2" t="inlineStr">
        <is>
          <t>Vedticka</t>
        </is>
      </c>
      <c r="W909">
        <f>HYPERLINK("https://klasma.github.io/Logging_2121/artfynd/A 16309-2026 artfynd.xlsx", "A 16309-2026")</f>
        <v/>
      </c>
      <c r="X909">
        <f>HYPERLINK("https://klasma.github.io/Logging_2121/kartor/A 16309-2026 karta.png", "A 16309-2026")</f>
        <v/>
      </c>
      <c r="Y909">
        <f>HYPERLINK("https://klasma.github.io/Logging_2121/kartor_geotiff/A 16309-2026 georefererad karta.tif", "A 16309-2026")</f>
        <v/>
      </c>
      <c r="AA909">
        <f>HYPERLINK("https://klasma.github.io/Logging_2121/klagomål/A 16309-2026 FSC-klagomål.docx", "A 16309-2026")</f>
        <v/>
      </c>
      <c r="AB909">
        <f>HYPERLINK("https://klasma.github.io/Logging_2121/klagomålsmail/A 16309-2026 FSC-klagomål mail.docx", "A 16309-2026")</f>
        <v/>
      </c>
      <c r="AC909">
        <f>HYPERLINK("https://klasma.github.io/Logging_2121/tillsyn/A 16309-2026 tillsynsbegäran.docx", "A 16309-2026")</f>
        <v/>
      </c>
      <c r="AD909">
        <f>HYPERLINK("https://klasma.github.io/Logging_2121/tillsynsmail/A 16309-2026 tillsynsbegäran mail.docx", "A 16309-2026")</f>
        <v/>
      </c>
    </row>
    <row r="910" ht="15" customHeight="1">
      <c r="A910" t="inlineStr">
        <is>
          <t>A 12777-2026</t>
        </is>
      </c>
      <c r="B910" t="inlineStr">
        <is>
          <t>avverkningsanmälan</t>
        </is>
      </c>
      <c r="C910" t="inlineStr">
        <is>
          <t>Föryngringsavverkning</t>
        </is>
      </c>
      <c r="D910" s="1" t="n">
        <v>46091</v>
      </c>
      <c r="E910" s="1" t="n">
        <v>46326</v>
      </c>
      <c r="F910" t="inlineStr">
        <is>
          <t>GÄVLEBORGS LÄN</t>
        </is>
      </c>
      <c r="G910" t="inlineStr">
        <is>
          <t>OCKELBO</t>
        </is>
      </c>
      <c r="I910" t="n">
        <v>4.2</v>
      </c>
      <c r="J910" t="n">
        <v>1</v>
      </c>
      <c r="K910" t="n">
        <v>0</v>
      </c>
      <c r="L910" t="n">
        <v>0</v>
      </c>
      <c r="M910" t="n">
        <v>0</v>
      </c>
      <c r="N910" t="n">
        <v>0</v>
      </c>
      <c r="O910" t="n">
        <v>0</v>
      </c>
      <c r="P910" t="n">
        <v>0</v>
      </c>
      <c r="Q910" t="n">
        <v>0</v>
      </c>
      <c r="R910" t="n">
        <v>0</v>
      </c>
      <c r="S910" t="n">
        <v>1</v>
      </c>
      <c r="T910" t="n">
        <v>1</v>
      </c>
      <c r="U910" t="n">
        <v>0</v>
      </c>
      <c r="V910" s="2" t="inlineStr">
        <is>
          <t>Spillkråka</t>
        </is>
      </c>
      <c r="W910">
        <f>HYPERLINK("https://klasma.github.io/Logging_2101/artfynd/A 12777-2026 artfynd.xlsx", "A 12777-2026")</f>
        <v/>
      </c>
      <c r="X910">
        <f>HYPERLINK("https://klasma.github.io/Logging_2101/kartor/A 12777-2026 karta.png", "A 12777-2026")</f>
        <v/>
      </c>
      <c r="Y910">
        <f>HYPERLINK("https://klasma.github.io/Logging_2101/kartor_geotiff/A 12777-2026 georefererad karta.tif", "A 12777-2026")</f>
        <v/>
      </c>
      <c r="AA910">
        <f>HYPERLINK("https://klasma.github.io/Logging_2101/klagomål/A 12777-2026 FSC-klagomål.docx", "A 12777-2026")</f>
        <v/>
      </c>
      <c r="AB910">
        <f>HYPERLINK("https://klasma.github.io/Logging_2101/klagomålsmail/A 12777-2026 FSC-klagomål mail.docx", "A 12777-2026")</f>
        <v/>
      </c>
      <c r="AC910">
        <f>HYPERLINK("https://klasma.github.io/Logging_2101/tillsyn/A 12777-2026 tillsynsbegäran.docx", "A 12777-2026")</f>
        <v/>
      </c>
      <c r="AD910">
        <f>HYPERLINK("https://klasma.github.io/Logging_2101/tillsynsmail/A 12777-2026 tillsynsbegäran mail.docx", "A 12777-2026")</f>
        <v/>
      </c>
      <c r="AE910">
        <f>HYPERLINK("https://klasma.github.io/Logging_2101/fåglar/A 12777-2026 prioriterade fågelarter.docx", "A 12777-2026")</f>
        <v/>
      </c>
    </row>
    <row r="911" ht="15" customHeight="1">
      <c r="A911" t="inlineStr">
        <is>
          <t>A 5015-2023</t>
        </is>
      </c>
      <c r="B911" t="inlineStr">
        <is>
          <t>avverkningsanmälan</t>
        </is>
      </c>
      <c r="C911" t="inlineStr">
        <is>
          <t>Föryngringsavverkning</t>
        </is>
      </c>
      <c r="D911" s="1" t="n">
        <v>44958</v>
      </c>
      <c r="E911" s="1" t="n">
        <v>46326</v>
      </c>
      <c r="F911" t="inlineStr">
        <is>
          <t>GÄVLEBORGS LÄN</t>
        </is>
      </c>
      <c r="G911" t="inlineStr">
        <is>
          <t>SANDVIKEN</t>
        </is>
      </c>
      <c r="I911" t="n">
        <v>7.8</v>
      </c>
      <c r="J911" t="n">
        <v>0</v>
      </c>
      <c r="K911" t="n">
        <v>0</v>
      </c>
      <c r="L911" t="n">
        <v>1</v>
      </c>
      <c r="M911" t="n">
        <v>0</v>
      </c>
      <c r="N911" t="n">
        <v>0</v>
      </c>
      <c r="O911" t="n">
        <v>0</v>
      </c>
      <c r="P911" t="n">
        <v>0</v>
      </c>
      <c r="Q911" t="n">
        <v>1</v>
      </c>
      <c r="R911" t="n">
        <v>0</v>
      </c>
      <c r="S911" t="n">
        <v>1</v>
      </c>
      <c r="T911" t="n">
        <v>1</v>
      </c>
      <c r="U911" t="n">
        <v>1</v>
      </c>
      <c r="V911" s="2" t="inlineStr">
        <is>
          <t>Slåtterfibbla</t>
        </is>
      </c>
      <c r="W911">
        <f>HYPERLINK("https://klasma.github.io/Logging_2181/artfynd/A 5015-2023 artfynd.xlsx", "A 5015-2023")</f>
        <v/>
      </c>
      <c r="X911">
        <f>HYPERLINK("https://klasma.github.io/Logging_2181/kartor/A 5015-2023 karta.png", "A 5015-2023")</f>
        <v/>
      </c>
      <c r="Y911">
        <f>HYPERLINK("https://klasma.github.io/Logging_2181/kartor_geotiff/A 5015-2023 georefererad karta.tif", "A 5015-2023")</f>
        <v/>
      </c>
      <c r="AA911">
        <f>HYPERLINK("https://klasma.github.io/Logging_2181/klagomål/A 5015-2023 FSC-klagomål.docx", "A 5015-2023")</f>
        <v/>
      </c>
      <c r="AB911">
        <f>HYPERLINK("https://klasma.github.io/Logging_2181/klagomålsmail/A 5015-2023 FSC-klagomål mail.docx", "A 5015-2023")</f>
        <v/>
      </c>
      <c r="AC911">
        <f>HYPERLINK("https://klasma.github.io/Logging_2181/tillsyn/A 5015-2023 tillsynsbegäran.docx", "A 5015-2023")</f>
        <v/>
      </c>
      <c r="AD911">
        <f>HYPERLINK("https://klasma.github.io/Logging_2181/tillsynsmail/A 5015-2023 tillsynsbegäran mail.docx", "A 5015-2023")</f>
        <v/>
      </c>
    </row>
    <row r="912" ht="15" customHeight="1">
      <c r="A912" t="inlineStr">
        <is>
          <t>A 10333-2025</t>
        </is>
      </c>
      <c r="B912" t="inlineStr">
        <is>
          <t>avverkningsanmälan</t>
        </is>
      </c>
      <c r="C912" t="inlineStr">
        <is>
          <t>Föryngringsavverkning</t>
        </is>
      </c>
      <c r="D912" s="1" t="n">
        <v>45720</v>
      </c>
      <c r="E912" s="1" t="n">
        <v>46326</v>
      </c>
      <c r="F912" t="inlineStr">
        <is>
          <t>GÄVLEBORGS LÄN</t>
        </is>
      </c>
      <c r="G912" t="inlineStr">
        <is>
          <t>GÄVLE</t>
        </is>
      </c>
      <c r="H912" t="inlineStr">
        <is>
          <t>Bergvik skog öst AB</t>
        </is>
      </c>
      <c r="I912" t="n">
        <v>0.9</v>
      </c>
      <c r="J912" t="n">
        <v>1</v>
      </c>
      <c r="K912" t="n">
        <v>0</v>
      </c>
      <c r="L912" t="n">
        <v>0</v>
      </c>
      <c r="M912" t="n">
        <v>0</v>
      </c>
      <c r="N912" t="n">
        <v>0</v>
      </c>
      <c r="O912" t="n">
        <v>0</v>
      </c>
      <c r="P912" t="n">
        <v>0</v>
      </c>
      <c r="Q912" t="n">
        <v>0</v>
      </c>
      <c r="R912" t="n">
        <v>0</v>
      </c>
      <c r="S912" t="n">
        <v>1</v>
      </c>
      <c r="T912" t="n">
        <v>2</v>
      </c>
      <c r="U912" t="n">
        <v>2</v>
      </c>
      <c r="V912" s="2" t="inlineStr">
        <is>
          <t>Tjäder</t>
        </is>
      </c>
      <c r="W912">
        <f>HYPERLINK("https://klasma.github.io/Logging_2180/artfynd/A 10333-2025 artfynd.xlsx", "A 10333-2025")</f>
        <v/>
      </c>
      <c r="X912">
        <f>HYPERLINK("https://klasma.github.io/Logging_2180/kartor/A 10333-2025 karta.png", "A 10333-2025")</f>
        <v/>
      </c>
      <c r="Y912">
        <f>HYPERLINK("https://klasma.github.io/Logging_2180/kartor_geotiff/A 10333-2025 georefererad karta.tif", "A 10333-2025")</f>
        <v/>
      </c>
      <c r="AA912">
        <f>HYPERLINK("https://klasma.github.io/Logging_2180/klagomål/A 10333-2025 FSC-klagomål.docx", "A 10333-2025")</f>
        <v/>
      </c>
      <c r="AB912">
        <f>HYPERLINK("https://klasma.github.io/Logging_2180/klagomålsmail/A 10333-2025 FSC-klagomål mail.docx", "A 10333-2025")</f>
        <v/>
      </c>
      <c r="AC912">
        <f>HYPERLINK("https://klasma.github.io/Logging_2180/tillsyn/A 10333-2025 tillsynsbegäran.docx", "A 10333-2025")</f>
        <v/>
      </c>
      <c r="AD912">
        <f>HYPERLINK("https://klasma.github.io/Logging_2180/tillsynsmail/A 10333-2025 tillsynsbegäran mail.docx", "A 10333-2025")</f>
        <v/>
      </c>
      <c r="AE912">
        <f>HYPERLINK("https://klasma.github.io/Logging_2180/fåglar/A 10333-2025 prioriterade fågelarter.docx", "A 10333-2025")</f>
        <v/>
      </c>
    </row>
    <row r="913" ht="15" customHeight="1">
      <c r="A913" t="inlineStr">
        <is>
          <t>A 10145-2026</t>
        </is>
      </c>
      <c r="B913" t="inlineStr">
        <is>
          <t>avverkningsanmälan</t>
        </is>
      </c>
      <c r="C913" t="inlineStr">
        <is>
          <t>Föryngringsavverkning</t>
        </is>
      </c>
      <c r="D913" s="1" t="n">
        <v>46076</v>
      </c>
      <c r="E913" s="1" t="n">
        <v>46326</v>
      </c>
      <c r="F913" t="inlineStr">
        <is>
          <t>GÄVLEBORGS LÄN</t>
        </is>
      </c>
      <c r="G913" t="inlineStr">
        <is>
          <t>OCKELBO</t>
        </is>
      </c>
      <c r="H913" t="inlineStr">
        <is>
          <t>Bergvik skog öst AB</t>
        </is>
      </c>
      <c r="I913" t="n">
        <v>10.5</v>
      </c>
      <c r="J913" t="n">
        <v>1</v>
      </c>
      <c r="K913" t="n">
        <v>0</v>
      </c>
      <c r="L913" t="n">
        <v>0</v>
      </c>
      <c r="M913" t="n">
        <v>0</v>
      </c>
      <c r="N913" t="n">
        <v>0</v>
      </c>
      <c r="O913" t="n">
        <v>0</v>
      </c>
      <c r="P913" t="n">
        <v>0</v>
      </c>
      <c r="Q913" t="n">
        <v>0</v>
      </c>
      <c r="R913" t="n">
        <v>0</v>
      </c>
      <c r="S913" t="n">
        <v>1</v>
      </c>
      <c r="T913" t="n">
        <v>2</v>
      </c>
      <c r="U913" t="n">
        <v>0</v>
      </c>
      <c r="V913" s="2" t="inlineStr">
        <is>
          <t>Fläcknycklar</t>
        </is>
      </c>
      <c r="W913">
        <f>HYPERLINK("https://klasma.github.io/Logging_2101/artfynd/A 10145-2026 artfynd.xlsx", "A 10145-2026")</f>
        <v/>
      </c>
      <c r="X913">
        <f>HYPERLINK("https://klasma.github.io/Logging_2101/kartor/A 10145-2026 karta.png", "A 10145-2026")</f>
        <v/>
      </c>
      <c r="Y913">
        <f>HYPERLINK("https://klasma.github.io/Logging_2101/kartor_geotiff/A 10145-2026 georefererad karta.tif", "A 10145-2026")</f>
        <v/>
      </c>
      <c r="Z913">
        <f>HYPERLINK("https://klasma.github.io/Logging_2101/knärot/A 10145-2026 karta knärot.png", "A 10145-2026")</f>
        <v/>
      </c>
      <c r="AA913">
        <f>HYPERLINK("https://klasma.github.io/Logging_2101/klagomål/A 10145-2026 FSC-klagomål.docx", "A 10145-2026")</f>
        <v/>
      </c>
      <c r="AB913">
        <f>HYPERLINK("https://klasma.github.io/Logging_2101/klagomålsmail/A 10145-2026 FSC-klagomål mail.docx", "A 10145-2026")</f>
        <v/>
      </c>
      <c r="AC913">
        <f>HYPERLINK("https://klasma.github.io/Logging_2101/tillsyn/A 10145-2026 tillsynsbegäran.docx", "A 10145-2026")</f>
        <v/>
      </c>
      <c r="AD913">
        <f>HYPERLINK("https://klasma.github.io/Logging_2101/tillsynsmail/A 10145-2026 tillsynsbegäran mail.docx", "A 10145-2026")</f>
        <v/>
      </c>
    </row>
    <row r="914" ht="15" customHeight="1">
      <c r="A914" t="inlineStr">
        <is>
          <t>A 58261-2024</t>
        </is>
      </c>
      <c r="B914" t="inlineStr">
        <is>
          <t>avverkningsanmälan</t>
        </is>
      </c>
      <c r="C914" t="inlineStr">
        <is>
          <t>Föryngringsavverkning</t>
        </is>
      </c>
      <c r="D914" s="1" t="n">
        <v>45632</v>
      </c>
      <c r="E914" s="1" t="n">
        <v>46326</v>
      </c>
      <c r="F914" t="inlineStr">
        <is>
          <t>GÄVLEBORGS LÄN</t>
        </is>
      </c>
      <c r="G914" t="inlineStr">
        <is>
          <t>SÖDERHAMN</t>
        </is>
      </c>
      <c r="H914" t="inlineStr">
        <is>
          <t>Bergvik skog väst AB</t>
        </is>
      </c>
      <c r="I914" t="n">
        <v>2.3</v>
      </c>
      <c r="J914" t="n">
        <v>1</v>
      </c>
      <c r="K914" t="n">
        <v>0</v>
      </c>
      <c r="L914" t="n">
        <v>0</v>
      </c>
      <c r="M914" t="n">
        <v>0</v>
      </c>
      <c r="N914" t="n">
        <v>0</v>
      </c>
      <c r="O914" t="n">
        <v>0</v>
      </c>
      <c r="P914" t="n">
        <v>0</v>
      </c>
      <c r="Q914" t="n">
        <v>0</v>
      </c>
      <c r="R914" t="n">
        <v>0</v>
      </c>
      <c r="S914" t="n">
        <v>1</v>
      </c>
      <c r="T914" t="n">
        <v>1</v>
      </c>
      <c r="U914" t="n">
        <v>1</v>
      </c>
      <c r="V914" s="2" t="inlineStr">
        <is>
          <t>Fläcknycklar</t>
        </is>
      </c>
      <c r="W914">
        <f>HYPERLINK("https://klasma.github.io/Logging_2182/artfynd/A 58261-2024 artfynd.xlsx", "A 58261-2024")</f>
        <v/>
      </c>
      <c r="X914">
        <f>HYPERLINK("https://klasma.github.io/Logging_2182/kartor/A 58261-2024 karta.png", "A 58261-2024")</f>
        <v/>
      </c>
      <c r="Y914">
        <f>HYPERLINK("https://klasma.github.io/Logging_2182/kartor_geotiff/A 58261-2024 georefererad karta.tif", "A 58261-2024")</f>
        <v/>
      </c>
      <c r="AA914">
        <f>HYPERLINK("https://klasma.github.io/Logging_2182/klagomål/A 58261-2024 FSC-klagomål.docx", "A 58261-2024")</f>
        <v/>
      </c>
      <c r="AB914">
        <f>HYPERLINK("https://klasma.github.io/Logging_2182/klagomålsmail/A 58261-2024 FSC-klagomål mail.docx", "A 58261-2024")</f>
        <v/>
      </c>
      <c r="AC914">
        <f>HYPERLINK("https://klasma.github.io/Logging_2182/tillsyn/A 58261-2024 tillsynsbegäran.docx", "A 58261-2024")</f>
        <v/>
      </c>
      <c r="AD914">
        <f>HYPERLINK("https://klasma.github.io/Logging_2182/tillsynsmail/A 58261-2024 tillsynsbegäran mail.docx", "A 58261-2024")</f>
        <v/>
      </c>
    </row>
    <row r="915" ht="15" customHeight="1">
      <c r="A915" t="inlineStr">
        <is>
          <t>A 51760-2025</t>
        </is>
      </c>
      <c r="B915" t="inlineStr">
        <is>
          <t>avverkningsanmälan</t>
        </is>
      </c>
      <c r="C915" t="inlineStr">
        <is>
          <t>Föryngringsavverkning</t>
        </is>
      </c>
      <c r="D915" s="1" t="n">
        <v>45951</v>
      </c>
      <c r="E915" s="1" t="n">
        <v>46326</v>
      </c>
      <c r="F915" t="inlineStr">
        <is>
          <t>GÄVLEBORGS LÄN</t>
        </is>
      </c>
      <c r="G915" t="inlineStr">
        <is>
          <t>HUDIKSVALL</t>
        </is>
      </c>
      <c r="I915" t="n">
        <v>2.7</v>
      </c>
      <c r="J915" t="n">
        <v>1</v>
      </c>
      <c r="K915" t="n">
        <v>0</v>
      </c>
      <c r="L915" t="n">
        <v>0</v>
      </c>
      <c r="M915" t="n">
        <v>0</v>
      </c>
      <c r="N915" t="n">
        <v>0</v>
      </c>
      <c r="O915" t="n">
        <v>0</v>
      </c>
      <c r="P915" t="n">
        <v>0</v>
      </c>
      <c r="Q915" t="n">
        <v>0</v>
      </c>
      <c r="R915" t="n">
        <v>0</v>
      </c>
      <c r="S915" t="n">
        <v>1</v>
      </c>
      <c r="T915" t="n">
        <v>1</v>
      </c>
      <c r="U915" t="n">
        <v>0</v>
      </c>
      <c r="V915" s="2" t="inlineStr">
        <is>
          <t>Vanlig groda</t>
        </is>
      </c>
      <c r="W915">
        <f>HYPERLINK("https://klasma.github.io/Logging_2184/artfynd/A 51760-2025 artfynd.xlsx", "A 51760-2025")</f>
        <v/>
      </c>
      <c r="X915">
        <f>HYPERLINK("https://klasma.github.io/Logging_2184/kartor/A 51760-2025 karta.png", "A 51760-2025")</f>
        <v/>
      </c>
      <c r="Y915">
        <f>HYPERLINK("https://klasma.github.io/Logging_2184/kartor_geotiff/A 51760-2025 georefererad karta.tif", "A 51760-2025")</f>
        <v/>
      </c>
      <c r="AA915">
        <f>HYPERLINK("https://klasma.github.io/Logging_2184/klagomål/A 51760-2025 FSC-klagomål.docx", "A 51760-2025")</f>
        <v/>
      </c>
      <c r="AB915">
        <f>HYPERLINK("https://klasma.github.io/Logging_2184/klagomålsmail/A 51760-2025 FSC-klagomål mail.docx", "A 51760-2025")</f>
        <v/>
      </c>
      <c r="AC915">
        <f>HYPERLINK("https://klasma.github.io/Logging_2184/tillsyn/A 51760-2025 tillsynsbegäran.docx", "A 51760-2025")</f>
        <v/>
      </c>
      <c r="AD915">
        <f>HYPERLINK("https://klasma.github.io/Logging_2184/tillsynsmail/A 51760-2025 tillsynsbegäran mail.docx", "A 51760-2025")</f>
        <v/>
      </c>
    </row>
    <row r="916" ht="15" customHeight="1">
      <c r="A916" t="inlineStr">
        <is>
          <t>A 19272-2026</t>
        </is>
      </c>
      <c r="B916" t="inlineStr">
        <is>
          <t>avverkningsanmälan</t>
        </is>
      </c>
      <c r="C916" t="inlineStr">
        <is>
          <t>Föryngringsavverkning</t>
        </is>
      </c>
      <c r="D916" s="1" t="n">
        <v>46133</v>
      </c>
      <c r="E916" s="1" t="n">
        <v>46326</v>
      </c>
      <c r="F916" t="inlineStr">
        <is>
          <t>GÄVLEBORGS LÄN</t>
        </is>
      </c>
      <c r="G916" t="inlineStr">
        <is>
          <t>SANDVIKEN</t>
        </is>
      </c>
      <c r="H916" t="inlineStr">
        <is>
          <t>Bergvik skog öst AB</t>
        </is>
      </c>
      <c r="I916" t="n">
        <v>9.4</v>
      </c>
      <c r="J916" t="n">
        <v>1</v>
      </c>
      <c r="K916" t="n">
        <v>0</v>
      </c>
      <c r="L916" t="n">
        <v>0</v>
      </c>
      <c r="M916" t="n">
        <v>0</v>
      </c>
      <c r="N916" t="n">
        <v>0</v>
      </c>
      <c r="O916" t="n">
        <v>0</v>
      </c>
      <c r="P916" t="n">
        <v>0</v>
      </c>
      <c r="Q916" t="n">
        <v>0</v>
      </c>
      <c r="R916" t="n">
        <v>0</v>
      </c>
      <c r="S916" t="n">
        <v>1</v>
      </c>
      <c r="T916" t="n">
        <v>1</v>
      </c>
      <c r="U916" t="n">
        <v>0</v>
      </c>
      <c r="V916" s="2" t="inlineStr">
        <is>
          <t>Nattviol</t>
        </is>
      </c>
      <c r="W916">
        <f>HYPERLINK("https://klasma.github.io/Logging_2181/artfynd/A 19272-2026 artfynd.xlsx", "A 19272-2026")</f>
        <v/>
      </c>
      <c r="X916">
        <f>HYPERLINK("https://klasma.github.io/Logging_2181/kartor/A 19272-2026 karta.png", "A 19272-2026")</f>
        <v/>
      </c>
      <c r="Y916">
        <f>HYPERLINK("https://klasma.github.io/Logging_2181/kartor_geotiff/A 19272-2026 georefererad karta.tif", "A 19272-2026")</f>
        <v/>
      </c>
      <c r="AA916">
        <f>HYPERLINK("https://klasma.github.io/Logging_2181/klagomål/A 19272-2026 FSC-klagomål.docx", "A 19272-2026")</f>
        <v/>
      </c>
      <c r="AB916">
        <f>HYPERLINK("https://klasma.github.io/Logging_2181/klagomålsmail/A 19272-2026 FSC-klagomål mail.docx", "A 19272-2026")</f>
        <v/>
      </c>
      <c r="AC916">
        <f>HYPERLINK("https://klasma.github.io/Logging_2181/tillsyn/A 19272-2026 tillsynsbegäran.docx", "A 19272-2026")</f>
        <v/>
      </c>
      <c r="AD916">
        <f>HYPERLINK("https://klasma.github.io/Logging_2181/tillsynsmail/A 19272-2026 tillsynsbegäran mail.docx", "A 19272-2026")</f>
        <v/>
      </c>
    </row>
    <row r="917" ht="15" customHeight="1">
      <c r="A917" t="inlineStr">
        <is>
          <t>A 19099-2026</t>
        </is>
      </c>
      <c r="B917" t="inlineStr">
        <is>
          <t>avverkningsanmälan</t>
        </is>
      </c>
      <c r="C917" t="inlineStr">
        <is>
          <t>Föryngringsavverkning</t>
        </is>
      </c>
      <c r="D917" s="1" t="n">
        <v>46132</v>
      </c>
      <c r="E917" s="1" t="n">
        <v>46326</v>
      </c>
      <c r="F917" t="inlineStr">
        <is>
          <t>GÄVLEBORGS LÄN</t>
        </is>
      </c>
      <c r="G917" t="inlineStr">
        <is>
          <t>LJUSDAL</t>
        </is>
      </c>
      <c r="H917" t="inlineStr">
        <is>
          <t>Sveaskog</t>
        </is>
      </c>
      <c r="I917" t="n">
        <v>16.1</v>
      </c>
      <c r="J917" t="n">
        <v>1</v>
      </c>
      <c r="K917" t="n">
        <v>0</v>
      </c>
      <c r="L917" t="n">
        <v>0</v>
      </c>
      <c r="M917" t="n">
        <v>1</v>
      </c>
      <c r="N917" t="n">
        <v>0</v>
      </c>
      <c r="O917" t="n">
        <v>0</v>
      </c>
      <c r="P917" t="n">
        <v>0</v>
      </c>
      <c r="Q917" t="n">
        <v>1</v>
      </c>
      <c r="R917" t="n">
        <v>1</v>
      </c>
      <c r="S917" t="n">
        <v>1</v>
      </c>
      <c r="T917" t="n">
        <v>1</v>
      </c>
      <c r="U917" t="n">
        <v>1</v>
      </c>
      <c r="V917" s="2" t="inlineStr">
        <is>
          <t>Knärot</t>
        </is>
      </c>
      <c r="W917">
        <f>HYPERLINK("https://klasma.github.io/Logging_2161/artfynd/A 19099-2026 artfynd.xlsx", "A 19099-2026")</f>
        <v/>
      </c>
      <c r="X917">
        <f>HYPERLINK("https://klasma.github.io/Logging_2161/kartor/A 19099-2026 karta.png", "A 19099-2026")</f>
        <v/>
      </c>
      <c r="Y917">
        <f>HYPERLINK("https://klasma.github.io/Logging_2161/kartor_geotiff/A 19099-2026 georefererad karta.tif", "A 19099-2026")</f>
        <v/>
      </c>
      <c r="Z917">
        <f>HYPERLINK("https://klasma.github.io/Logging_2161/knärot/A 19099-2026 karta knärot.png", "A 19099-2026")</f>
        <v/>
      </c>
      <c r="AA917">
        <f>HYPERLINK("https://klasma.github.io/Logging_2161/klagomål/A 19099-2026 FSC-klagomål.docx", "A 19099-2026")</f>
        <v/>
      </c>
      <c r="AB917">
        <f>HYPERLINK("https://klasma.github.io/Logging_2161/klagomålsmail/A 19099-2026 FSC-klagomål mail.docx", "A 19099-2026")</f>
        <v/>
      </c>
      <c r="AC917">
        <f>HYPERLINK("https://klasma.github.io/Logging_2161/tillsyn/A 19099-2026 tillsynsbegäran.docx", "A 19099-2026")</f>
        <v/>
      </c>
      <c r="AD917">
        <f>HYPERLINK("https://klasma.github.io/Logging_2161/tillsynsmail/A 19099-2026 tillsynsbegäran mail.docx", "A 19099-2026")</f>
        <v/>
      </c>
    </row>
    <row r="918" ht="15" customHeight="1">
      <c r="A918" t="inlineStr">
        <is>
          <t>A 19427-2025</t>
        </is>
      </c>
      <c r="B918" t="inlineStr">
        <is>
          <t>avverkningsanmälan</t>
        </is>
      </c>
      <c r="C918" t="inlineStr">
        <is>
          <t>Föryngringsavverkning</t>
        </is>
      </c>
      <c r="D918" s="1" t="n">
        <v>45769</v>
      </c>
      <c r="E918" s="1" t="n">
        <v>46326</v>
      </c>
      <c r="F918" t="inlineStr">
        <is>
          <t>GÄVLEBORGS LÄN</t>
        </is>
      </c>
      <c r="G918" t="inlineStr">
        <is>
          <t>HUDIKSVALL</t>
        </is>
      </c>
      <c r="H918" t="inlineStr">
        <is>
          <t>Holmen skog AB</t>
        </is>
      </c>
      <c r="I918" t="n">
        <v>3.1</v>
      </c>
      <c r="J918" t="n">
        <v>0</v>
      </c>
      <c r="K918" t="n">
        <v>0</v>
      </c>
      <c r="L918" t="n">
        <v>0</v>
      </c>
      <c r="M918" t="n">
        <v>1</v>
      </c>
      <c r="N918" t="n">
        <v>0</v>
      </c>
      <c r="O918" t="n">
        <v>0</v>
      </c>
      <c r="P918" t="n">
        <v>0</v>
      </c>
      <c r="Q918" t="n">
        <v>1</v>
      </c>
      <c r="R918" t="n">
        <v>1</v>
      </c>
      <c r="S918" t="n">
        <v>1</v>
      </c>
      <c r="T918" t="n">
        <v>2</v>
      </c>
      <c r="U918" t="n">
        <v>2</v>
      </c>
      <c r="V918" s="2" t="inlineStr">
        <is>
          <t>Garnlav</t>
        </is>
      </c>
      <c r="W918">
        <f>HYPERLINK("https://klasma.github.io/Logging_2184/artfynd/A 19427-2025 artfynd.xlsx", "A 19427-2025")</f>
        <v/>
      </c>
      <c r="X918">
        <f>HYPERLINK("https://klasma.github.io/Logging_2184/kartor/A 19427-2025 karta.png", "A 19427-2025")</f>
        <v/>
      </c>
      <c r="Y918">
        <f>HYPERLINK("https://klasma.github.io/Logging_2184/kartor_geotiff/A 19427-2025 georefererad karta.tif", "A 19427-2025")</f>
        <v/>
      </c>
      <c r="AA918">
        <f>HYPERLINK("https://klasma.github.io/Logging_2184/klagomål/A 19427-2025 FSC-klagomål.docx", "A 19427-2025")</f>
        <v/>
      </c>
      <c r="AB918">
        <f>HYPERLINK("https://klasma.github.io/Logging_2184/klagomålsmail/A 19427-2025 FSC-klagomål mail.docx", "A 19427-2025")</f>
        <v/>
      </c>
      <c r="AC918">
        <f>HYPERLINK("https://klasma.github.io/Logging_2184/tillsyn/A 19427-2025 tillsynsbegäran.docx", "A 19427-2025")</f>
        <v/>
      </c>
      <c r="AD918">
        <f>HYPERLINK("https://klasma.github.io/Logging_2184/tillsynsmail/A 19427-2025 tillsynsbegäran mail.docx", "A 19427-2025")</f>
        <v/>
      </c>
    </row>
    <row r="919" ht="15" customHeight="1">
      <c r="A919" t="inlineStr">
        <is>
          <t>A 34597-2024</t>
        </is>
      </c>
      <c r="B919" t="inlineStr">
        <is>
          <t>avverkningsanmälan</t>
        </is>
      </c>
      <c r="C919" t="inlineStr">
        <is>
          <t>Föryngringsavverkning</t>
        </is>
      </c>
      <c r="D919" s="1" t="n">
        <v>45526</v>
      </c>
      <c r="E919" s="1" t="n">
        <v>46326</v>
      </c>
      <c r="F919" t="inlineStr">
        <is>
          <t>GÄVLEBORGS LÄN</t>
        </is>
      </c>
      <c r="G919" t="inlineStr">
        <is>
          <t>LJUSDAL</t>
        </is>
      </c>
      <c r="H919" t="inlineStr">
        <is>
          <t>Sveaskog</t>
        </is>
      </c>
      <c r="I919" t="n">
        <v>2.1</v>
      </c>
      <c r="J919" t="n">
        <v>0</v>
      </c>
      <c r="K919" t="n">
        <v>0</v>
      </c>
      <c r="L919" t="n">
        <v>0</v>
      </c>
      <c r="M919" t="n">
        <v>1</v>
      </c>
      <c r="N919" t="n">
        <v>0</v>
      </c>
      <c r="O919" t="n">
        <v>0</v>
      </c>
      <c r="P919" t="n">
        <v>0</v>
      </c>
      <c r="Q919" t="n">
        <v>1</v>
      </c>
      <c r="R919" t="n">
        <v>1</v>
      </c>
      <c r="S919" t="n">
        <v>1</v>
      </c>
      <c r="T919" t="n">
        <v>1</v>
      </c>
      <c r="U919" t="n">
        <v>1</v>
      </c>
      <c r="V919" s="2" t="inlineStr">
        <is>
          <t>Garnlav</t>
        </is>
      </c>
      <c r="W919">
        <f>HYPERLINK("https://klasma.github.io/Logging_2161/artfynd/A 34597-2024 artfynd.xlsx", "A 34597-2024")</f>
        <v/>
      </c>
      <c r="X919">
        <f>HYPERLINK("https://klasma.github.io/Logging_2161/kartor/A 34597-2024 karta.png", "A 34597-2024")</f>
        <v/>
      </c>
      <c r="Y919">
        <f>HYPERLINK("https://klasma.github.io/Logging_2161/kartor_geotiff/A 34597-2024 georefererad karta.tif", "A 34597-2024")</f>
        <v/>
      </c>
      <c r="AA919">
        <f>HYPERLINK("https://klasma.github.io/Logging_2161/klagomål/A 34597-2024 FSC-klagomål.docx", "A 34597-2024")</f>
        <v/>
      </c>
      <c r="AB919">
        <f>HYPERLINK("https://klasma.github.io/Logging_2161/klagomålsmail/A 34597-2024 FSC-klagomål mail.docx", "A 34597-2024")</f>
        <v/>
      </c>
      <c r="AC919">
        <f>HYPERLINK("https://klasma.github.io/Logging_2161/tillsyn/A 34597-2024 tillsynsbegäran.docx", "A 34597-2024")</f>
        <v/>
      </c>
      <c r="AD919">
        <f>HYPERLINK("https://klasma.github.io/Logging_2161/tillsynsmail/A 34597-2024 tillsynsbegäran mail.docx", "A 34597-2024")</f>
        <v/>
      </c>
    </row>
    <row r="920" ht="15" customHeight="1">
      <c r="A920" t="inlineStr">
        <is>
          <t>A 4839-2024</t>
        </is>
      </c>
      <c r="B920" t="inlineStr">
        <is>
          <t>avverkningsanmälan</t>
        </is>
      </c>
      <c r="C920" t="inlineStr">
        <is>
          <t>Föryngringsavverkning</t>
        </is>
      </c>
      <c r="D920" s="1" t="n">
        <v>45329</v>
      </c>
      <c r="E920" s="1" t="n">
        <v>46326</v>
      </c>
      <c r="F920" t="inlineStr">
        <is>
          <t>GÄVLEBORGS LÄN</t>
        </is>
      </c>
      <c r="G920" t="inlineStr">
        <is>
          <t>LJUSDAL</t>
        </is>
      </c>
      <c r="I920" t="n">
        <v>2.5</v>
      </c>
      <c r="J920" t="n">
        <v>1</v>
      </c>
      <c r="K920" t="n">
        <v>0</v>
      </c>
      <c r="L920" t="n">
        <v>0</v>
      </c>
      <c r="M920" t="n">
        <v>1</v>
      </c>
      <c r="N920" t="n">
        <v>0</v>
      </c>
      <c r="O920" t="n">
        <v>0</v>
      </c>
      <c r="P920" t="n">
        <v>0</v>
      </c>
      <c r="Q920" t="n">
        <v>1</v>
      </c>
      <c r="R920" t="n">
        <v>1</v>
      </c>
      <c r="S920" t="n">
        <v>1</v>
      </c>
      <c r="T920" t="n">
        <v>1</v>
      </c>
      <c r="U920" t="n">
        <v>0</v>
      </c>
      <c r="V920" s="2" t="inlineStr">
        <is>
          <t>Ävjepilört</t>
        </is>
      </c>
      <c r="W920">
        <f>HYPERLINK("https://klasma.github.io/Logging_2161/artfynd/A 4839-2024 artfynd.xlsx", "A 4839-2024")</f>
        <v/>
      </c>
      <c r="X920">
        <f>HYPERLINK("https://klasma.github.io/Logging_2161/kartor/A 4839-2024 karta.png", "A 4839-2024")</f>
        <v/>
      </c>
      <c r="Y920">
        <f>HYPERLINK("https://klasma.github.io/Logging_2161/kartor_geotiff/A 4839-2024 georefererad karta.tif", "A 4839-2024")</f>
        <v/>
      </c>
      <c r="AA920">
        <f>HYPERLINK("https://klasma.github.io/Logging_2161/klagomål/A 4839-2024 FSC-klagomål.docx", "A 4839-2024")</f>
        <v/>
      </c>
      <c r="AB920">
        <f>HYPERLINK("https://klasma.github.io/Logging_2161/klagomålsmail/A 4839-2024 FSC-klagomål mail.docx", "A 4839-2024")</f>
        <v/>
      </c>
      <c r="AC920">
        <f>HYPERLINK("https://klasma.github.io/Logging_2161/tillsyn/A 4839-2024 tillsynsbegäran.docx", "A 4839-2024")</f>
        <v/>
      </c>
      <c r="AD920">
        <f>HYPERLINK("https://klasma.github.io/Logging_2161/tillsynsmail/A 4839-2024 tillsynsbegäran mail.docx", "A 4839-2024")</f>
        <v/>
      </c>
    </row>
    <row r="921" ht="15" customHeight="1">
      <c r="A921" t="inlineStr">
        <is>
          <t>A 19648-2026</t>
        </is>
      </c>
      <c r="B921" t="inlineStr">
        <is>
          <t>avverkningsanmälan</t>
        </is>
      </c>
      <c r="C921" t="inlineStr">
        <is>
          <t>Föryngringsavverkning</t>
        </is>
      </c>
      <c r="D921" s="1" t="n">
        <v>46134</v>
      </c>
      <c r="E921" s="1" t="n">
        <v>46326</v>
      </c>
      <c r="F921" t="inlineStr">
        <is>
          <t>GÄVLEBORGS LÄN</t>
        </is>
      </c>
      <c r="G921" t="inlineStr">
        <is>
          <t>BOLLNÄS</t>
        </is>
      </c>
      <c r="I921" t="n">
        <v>3.4</v>
      </c>
      <c r="J921" t="n">
        <v>1</v>
      </c>
      <c r="K921" t="n">
        <v>0</v>
      </c>
      <c r="L921" t="n">
        <v>0</v>
      </c>
      <c r="M921" t="n">
        <v>1</v>
      </c>
      <c r="N921" t="n">
        <v>0</v>
      </c>
      <c r="O921" t="n">
        <v>0</v>
      </c>
      <c r="P921" t="n">
        <v>0</v>
      </c>
      <c r="Q921" t="n">
        <v>1</v>
      </c>
      <c r="R921" t="n">
        <v>1</v>
      </c>
      <c r="S921" t="n">
        <v>1</v>
      </c>
      <c r="T921" t="n">
        <v>1</v>
      </c>
      <c r="U921" t="n">
        <v>0</v>
      </c>
      <c r="V921" s="2" t="inlineStr">
        <is>
          <t>Lappuggla</t>
        </is>
      </c>
      <c r="W921">
        <f>HYPERLINK("https://klasma.github.io/Logging_2183/artfynd/A 19648-2026 artfynd.xlsx", "A 19648-2026")</f>
        <v/>
      </c>
      <c r="X921">
        <f>HYPERLINK("https://klasma.github.io/Logging_2183/kartor/A 19648-2026 karta.png", "A 19648-2026")</f>
        <v/>
      </c>
      <c r="Y921">
        <f>HYPERLINK("https://klasma.github.io/Logging_2183/kartor_geotiff/A 19648-2026 georefererad karta.tif", "A 19648-2026")</f>
        <v/>
      </c>
      <c r="AA921">
        <f>HYPERLINK("https://klasma.github.io/Logging_2183/klagomål/A 19648-2026 FSC-klagomål.docx", "A 19648-2026")</f>
        <v/>
      </c>
      <c r="AB921">
        <f>HYPERLINK("https://klasma.github.io/Logging_2183/klagomålsmail/A 19648-2026 FSC-klagomål mail.docx", "A 19648-2026")</f>
        <v/>
      </c>
      <c r="AC921">
        <f>HYPERLINK("https://klasma.github.io/Logging_2183/tillsyn/A 19648-2026 tillsynsbegäran.docx", "A 19648-2026")</f>
        <v/>
      </c>
      <c r="AD921">
        <f>HYPERLINK("https://klasma.github.io/Logging_2183/tillsynsmail/A 19648-2026 tillsynsbegäran mail.docx", "A 19648-2026")</f>
        <v/>
      </c>
      <c r="AE921">
        <f>HYPERLINK("https://klasma.github.io/Logging_2183/fåglar/A 19648-2026 prioriterade fågelarter.docx", "A 19648-2026")</f>
        <v/>
      </c>
    </row>
    <row r="922" ht="15" customHeight="1">
      <c r="A922" t="inlineStr">
        <is>
          <t>A 37115-2025</t>
        </is>
      </c>
      <c r="B922" t="inlineStr">
        <is>
          <t>avverkningsanmälan</t>
        </is>
      </c>
      <c r="C922" t="inlineStr">
        <is>
          <t>Föryngringsavverkning</t>
        </is>
      </c>
      <c r="D922" s="1" t="n">
        <v>45875</v>
      </c>
      <c r="E922" s="1" t="n">
        <v>46326</v>
      </c>
      <c r="F922" t="inlineStr">
        <is>
          <t>GÄVLEBORGS LÄN</t>
        </is>
      </c>
      <c r="G922" t="inlineStr">
        <is>
          <t>LJUSDAL</t>
        </is>
      </c>
      <c r="H922" t="inlineStr">
        <is>
          <t>SCA</t>
        </is>
      </c>
      <c r="I922" t="n">
        <v>1.9</v>
      </c>
      <c r="J922" t="n">
        <v>1</v>
      </c>
      <c r="K922" t="n">
        <v>0</v>
      </c>
      <c r="L922" t="n">
        <v>0</v>
      </c>
      <c r="M922" t="n">
        <v>1</v>
      </c>
      <c r="N922" t="n">
        <v>0</v>
      </c>
      <c r="O922" t="n">
        <v>0</v>
      </c>
      <c r="P922" t="n">
        <v>0</v>
      </c>
      <c r="Q922" t="n">
        <v>1</v>
      </c>
      <c r="R922" t="n">
        <v>1</v>
      </c>
      <c r="S922" t="n">
        <v>1</v>
      </c>
      <c r="T922" t="n">
        <v>1</v>
      </c>
      <c r="U922" t="n">
        <v>0</v>
      </c>
      <c r="V922" s="2" t="inlineStr">
        <is>
          <t>Violett guldvinge</t>
        </is>
      </c>
      <c r="W922">
        <f>HYPERLINK("https://klasma.github.io/Logging_2161/artfynd/A 37115-2025 artfynd.xlsx", "A 37115-2025")</f>
        <v/>
      </c>
      <c r="X922">
        <f>HYPERLINK("https://klasma.github.io/Logging_2161/kartor/A 37115-2025 karta.png", "A 37115-2025")</f>
        <v/>
      </c>
      <c r="Y922">
        <f>HYPERLINK("https://klasma.github.io/Logging_2161/kartor_geotiff/A 37115-2025 georefererad karta.tif", "A 37115-2025")</f>
        <v/>
      </c>
      <c r="AA922">
        <f>HYPERLINK("https://klasma.github.io/Logging_2161/klagomål/A 37115-2025 FSC-klagomål.docx", "A 37115-2025")</f>
        <v/>
      </c>
      <c r="AB922">
        <f>HYPERLINK("https://klasma.github.io/Logging_2161/klagomålsmail/A 37115-2025 FSC-klagomål mail.docx", "A 37115-2025")</f>
        <v/>
      </c>
      <c r="AC922">
        <f>HYPERLINK("https://klasma.github.io/Logging_2161/tillsyn/A 37115-2025 tillsynsbegäran.docx", "A 37115-2025")</f>
        <v/>
      </c>
      <c r="AD922">
        <f>HYPERLINK("https://klasma.github.io/Logging_2161/tillsynsmail/A 37115-2025 tillsynsbegäran mail.docx", "A 37115-2025")</f>
        <v/>
      </c>
    </row>
    <row r="923" ht="15" customHeight="1">
      <c r="A923" t="inlineStr">
        <is>
          <t>A 58077-2024</t>
        </is>
      </c>
      <c r="B923" t="inlineStr">
        <is>
          <t>avverkningsanmälan</t>
        </is>
      </c>
      <c r="C923" t="inlineStr">
        <is>
          <t>Föryngringsavverkning</t>
        </is>
      </c>
      <c r="D923" s="1" t="n">
        <v>45632</v>
      </c>
      <c r="E923" s="1" t="n">
        <v>46326</v>
      </c>
      <c r="F923" t="inlineStr">
        <is>
          <t>GÄVLEBORGS LÄN</t>
        </is>
      </c>
      <c r="G923" t="inlineStr">
        <is>
          <t>SÖDERHAMN</t>
        </is>
      </c>
      <c r="H923" t="inlineStr">
        <is>
          <t>Bergvik skog väst AB</t>
        </is>
      </c>
      <c r="I923" t="n">
        <v>4</v>
      </c>
      <c r="J923" t="n">
        <v>0</v>
      </c>
      <c r="K923" t="n">
        <v>0</v>
      </c>
      <c r="L923" t="n">
        <v>1</v>
      </c>
      <c r="M923" t="n">
        <v>0</v>
      </c>
      <c r="N923" t="n">
        <v>0</v>
      </c>
      <c r="O923" t="n">
        <v>0</v>
      </c>
      <c r="P923" t="n">
        <v>0</v>
      </c>
      <c r="Q923" t="n">
        <v>1</v>
      </c>
      <c r="R923" t="n">
        <v>0</v>
      </c>
      <c r="S923" t="n">
        <v>1</v>
      </c>
      <c r="T923" t="n">
        <v>1</v>
      </c>
      <c r="U923" t="n">
        <v>1</v>
      </c>
      <c r="V923" s="2" t="inlineStr">
        <is>
          <t>Motaggsvamp</t>
        </is>
      </c>
      <c r="W923">
        <f>HYPERLINK("https://klasma.github.io/Logging_2182/artfynd/A 58077-2024 artfynd.xlsx", "A 58077-2024")</f>
        <v/>
      </c>
      <c r="X923">
        <f>HYPERLINK("https://klasma.github.io/Logging_2182/kartor/A 58077-2024 karta.png", "A 58077-2024")</f>
        <v/>
      </c>
      <c r="Y923">
        <f>HYPERLINK("https://klasma.github.io/Logging_2182/kartor_geotiff/A 58077-2024 georefererad karta.tif", "A 58077-2024")</f>
        <v/>
      </c>
      <c r="AA923">
        <f>HYPERLINK("https://klasma.github.io/Logging_2182/klagomål/A 58077-2024 FSC-klagomål.docx", "A 58077-2024")</f>
        <v/>
      </c>
      <c r="AB923">
        <f>HYPERLINK("https://klasma.github.io/Logging_2182/klagomålsmail/A 58077-2024 FSC-klagomål mail.docx", "A 58077-2024")</f>
        <v/>
      </c>
      <c r="AC923">
        <f>HYPERLINK("https://klasma.github.io/Logging_2182/tillsyn/A 58077-2024 tillsynsbegäran.docx", "A 58077-2024")</f>
        <v/>
      </c>
      <c r="AD923">
        <f>HYPERLINK("https://klasma.github.io/Logging_2182/tillsynsmail/A 58077-2024 tillsynsbegäran mail.docx", "A 58077-2024")</f>
        <v/>
      </c>
    </row>
    <row r="924" ht="15" customHeight="1">
      <c r="A924" t="inlineStr">
        <is>
          <t>A 13396-2026</t>
        </is>
      </c>
      <c r="B924" t="inlineStr">
        <is>
          <t>avverkningsanmälan</t>
        </is>
      </c>
      <c r="C924" t="inlineStr">
        <is>
          <t>Föryngringsavverkning</t>
        </is>
      </c>
      <c r="D924" s="1" t="n">
        <v>46094</v>
      </c>
      <c r="E924" s="1" t="n">
        <v>46326</v>
      </c>
      <c r="F924" t="inlineStr">
        <is>
          <t>GÄVLEBORGS LÄN</t>
        </is>
      </c>
      <c r="G924" t="inlineStr">
        <is>
          <t>GÄVLE</t>
        </is>
      </c>
      <c r="H924" t="inlineStr">
        <is>
          <t>Bergvik skog öst AB</t>
        </is>
      </c>
      <c r="I924" t="n">
        <v>0.9</v>
      </c>
      <c r="J924" t="n">
        <v>1</v>
      </c>
      <c r="K924" t="n">
        <v>0</v>
      </c>
      <c r="L924" t="n">
        <v>0</v>
      </c>
      <c r="M924" t="n">
        <v>0</v>
      </c>
      <c r="N924" t="n">
        <v>0</v>
      </c>
      <c r="O924" t="n">
        <v>0</v>
      </c>
      <c r="P924" t="n">
        <v>0</v>
      </c>
      <c r="Q924" t="n">
        <v>0</v>
      </c>
      <c r="R924" t="n">
        <v>0</v>
      </c>
      <c r="S924" t="n">
        <v>1</v>
      </c>
      <c r="T924" t="n">
        <v>1</v>
      </c>
      <c r="U924" t="n">
        <v>0</v>
      </c>
      <c r="V924" s="2" t="inlineStr">
        <is>
          <t>Fläcknycklar</t>
        </is>
      </c>
      <c r="W924">
        <f>HYPERLINK("https://klasma.github.io/Logging_2180/artfynd/A 13396-2026 artfynd.xlsx", "A 13396-2026")</f>
        <v/>
      </c>
      <c r="X924">
        <f>HYPERLINK("https://klasma.github.io/Logging_2180/kartor/A 13396-2026 karta.png", "A 13396-2026")</f>
        <v/>
      </c>
      <c r="Y924">
        <f>HYPERLINK("https://klasma.github.io/Logging_2180/kartor_geotiff/A 13396-2026 georefererad karta.tif", "A 13396-2026")</f>
        <v/>
      </c>
      <c r="AA924">
        <f>HYPERLINK("https://klasma.github.io/Logging_2180/klagomål/A 13396-2026 FSC-klagomål.docx", "A 13396-2026")</f>
        <v/>
      </c>
      <c r="AB924">
        <f>HYPERLINK("https://klasma.github.io/Logging_2180/klagomålsmail/A 13396-2026 FSC-klagomål mail.docx", "A 13396-2026")</f>
        <v/>
      </c>
      <c r="AC924">
        <f>HYPERLINK("https://klasma.github.io/Logging_2180/tillsyn/A 13396-2026 tillsynsbegäran.docx", "A 13396-2026")</f>
        <v/>
      </c>
      <c r="AD924">
        <f>HYPERLINK("https://klasma.github.io/Logging_2180/tillsynsmail/A 13396-2026 tillsynsbegäran mail.docx", "A 13396-2026")</f>
        <v/>
      </c>
    </row>
    <row r="925" ht="15" customHeight="1">
      <c r="A925" t="inlineStr">
        <is>
          <t>A 3090-2026</t>
        </is>
      </c>
      <c r="B925" t="inlineStr">
        <is>
          <t>avverkningsanmälan</t>
        </is>
      </c>
      <c r="C925" t="inlineStr">
        <is>
          <t>Föryngringsavverkning</t>
        </is>
      </c>
      <c r="D925" s="1" t="n">
        <v>46040</v>
      </c>
      <c r="E925" s="1" t="n">
        <v>46326</v>
      </c>
      <c r="F925" t="inlineStr">
        <is>
          <t>GÄVLEBORGS LÄN</t>
        </is>
      </c>
      <c r="G925" t="inlineStr">
        <is>
          <t>BOLLNÄS</t>
        </is>
      </c>
      <c r="I925" t="n">
        <v>11.8</v>
      </c>
      <c r="J925" t="n">
        <v>1</v>
      </c>
      <c r="K925" t="n">
        <v>0</v>
      </c>
      <c r="L925" t="n">
        <v>0</v>
      </c>
      <c r="M925" t="n">
        <v>0</v>
      </c>
      <c r="N925" t="n">
        <v>0</v>
      </c>
      <c r="O925" t="n">
        <v>0</v>
      </c>
      <c r="P925" t="n">
        <v>0</v>
      </c>
      <c r="Q925" t="n">
        <v>0</v>
      </c>
      <c r="R925" t="n">
        <v>0</v>
      </c>
      <c r="S925" t="n">
        <v>1</v>
      </c>
      <c r="T925" t="n">
        <v>1</v>
      </c>
      <c r="U925" t="n">
        <v>0</v>
      </c>
      <c r="V925" s="2" t="inlineStr">
        <is>
          <t>Spillkråka</t>
        </is>
      </c>
      <c r="W925">
        <f>HYPERLINK("https://klasma.github.io/Logging_2183/artfynd/A 3090-2026 artfynd.xlsx", "A 3090-2026")</f>
        <v/>
      </c>
      <c r="X925">
        <f>HYPERLINK("https://klasma.github.io/Logging_2183/kartor/A 3090-2026 karta.png", "A 3090-2026")</f>
        <v/>
      </c>
      <c r="Y925">
        <f>HYPERLINK("https://klasma.github.io/Logging_2183/kartor_geotiff/A 3090-2026 georefererad karta.tif", "A 3090-2026")</f>
        <v/>
      </c>
      <c r="AA925">
        <f>HYPERLINK("https://klasma.github.io/Logging_2183/klagomål/A 3090-2026 FSC-klagomål.docx", "A 3090-2026")</f>
        <v/>
      </c>
      <c r="AB925">
        <f>HYPERLINK("https://klasma.github.io/Logging_2183/klagomålsmail/A 3090-2026 FSC-klagomål mail.docx", "A 3090-2026")</f>
        <v/>
      </c>
      <c r="AC925">
        <f>HYPERLINK("https://klasma.github.io/Logging_2183/tillsyn/A 3090-2026 tillsynsbegäran.docx", "A 3090-2026")</f>
        <v/>
      </c>
      <c r="AD925">
        <f>HYPERLINK("https://klasma.github.io/Logging_2183/tillsynsmail/A 3090-2026 tillsynsbegäran mail.docx", "A 3090-2026")</f>
        <v/>
      </c>
      <c r="AE925">
        <f>HYPERLINK("https://klasma.github.io/Logging_2183/fåglar/A 3090-2026 prioriterade fågelarter.docx", "A 3090-2026")</f>
        <v/>
      </c>
    </row>
    <row r="926" ht="15" customHeight="1">
      <c r="A926" t="inlineStr">
        <is>
          <t>A 20002-2026</t>
        </is>
      </c>
      <c r="B926" t="inlineStr">
        <is>
          <t>avverkningsanmälan</t>
        </is>
      </c>
      <c r="C926" t="inlineStr">
        <is>
          <t>Föryngringsavverkning</t>
        </is>
      </c>
      <c r="D926" s="1" t="n">
        <v>46136</v>
      </c>
      <c r="E926" s="1" t="n">
        <v>46326</v>
      </c>
      <c r="F926" t="inlineStr">
        <is>
          <t>GÄVLEBORGS LÄN</t>
        </is>
      </c>
      <c r="G926" t="inlineStr">
        <is>
          <t>LJUSDAL</t>
        </is>
      </c>
      <c r="H926" t="inlineStr">
        <is>
          <t>Sveaskog</t>
        </is>
      </c>
      <c r="I926" t="n">
        <v>2.3</v>
      </c>
      <c r="J926" t="n">
        <v>0</v>
      </c>
      <c r="K926" t="n">
        <v>0</v>
      </c>
      <c r="L926" t="n">
        <v>1</v>
      </c>
      <c r="M926" t="n">
        <v>0</v>
      </c>
      <c r="N926" t="n">
        <v>0</v>
      </c>
      <c r="O926" t="n">
        <v>0</v>
      </c>
      <c r="P926" t="n">
        <v>0</v>
      </c>
      <c r="Q926" t="n">
        <v>1</v>
      </c>
      <c r="R926" t="n">
        <v>0</v>
      </c>
      <c r="S926" t="n">
        <v>1</v>
      </c>
      <c r="T926" t="n">
        <v>1</v>
      </c>
      <c r="U926" t="n">
        <v>1</v>
      </c>
      <c r="V926" s="2" t="inlineStr">
        <is>
          <t>Kolflarnlav</t>
        </is>
      </c>
      <c r="W926">
        <f>HYPERLINK("https://klasma.github.io/Logging_2161/artfynd/A 20002-2026 artfynd.xlsx", "A 20002-2026")</f>
        <v/>
      </c>
      <c r="X926">
        <f>HYPERLINK("https://klasma.github.io/Logging_2161/kartor/A 20002-2026 karta.png", "A 20002-2026")</f>
        <v/>
      </c>
      <c r="Y926">
        <f>HYPERLINK("https://klasma.github.io/Logging_2161/kartor_geotiff/A 20002-2026 georefererad karta.tif", "A 20002-2026")</f>
        <v/>
      </c>
      <c r="AA926">
        <f>HYPERLINK("https://klasma.github.io/Logging_2161/klagomål/A 20002-2026 FSC-klagomål.docx", "A 20002-2026")</f>
        <v/>
      </c>
      <c r="AB926">
        <f>HYPERLINK("https://klasma.github.io/Logging_2161/klagomålsmail/A 20002-2026 FSC-klagomål mail.docx", "A 20002-2026")</f>
        <v/>
      </c>
      <c r="AC926">
        <f>HYPERLINK("https://klasma.github.io/Logging_2161/tillsyn/A 20002-2026 tillsynsbegäran.docx", "A 20002-2026")</f>
        <v/>
      </c>
      <c r="AD926">
        <f>HYPERLINK("https://klasma.github.io/Logging_2161/tillsynsmail/A 20002-2026 tillsynsbegäran mail.docx", "A 20002-2026")</f>
        <v/>
      </c>
    </row>
    <row r="927" ht="15" customHeight="1">
      <c r="A927" t="inlineStr">
        <is>
          <t>A 14730-2026</t>
        </is>
      </c>
      <c r="B927" t="inlineStr">
        <is>
          <t>avverkningsanmälan</t>
        </is>
      </c>
      <c r="C927" t="inlineStr">
        <is>
          <t>Föryngringsavverkning</t>
        </is>
      </c>
      <c r="D927" s="1" t="n">
        <v>46101</v>
      </c>
      <c r="E927" s="1" t="n">
        <v>46326</v>
      </c>
      <c r="F927" t="inlineStr">
        <is>
          <t>GÄVLEBORGS LÄN</t>
        </is>
      </c>
      <c r="G927" t="inlineStr">
        <is>
          <t>GÄVLE</t>
        </is>
      </c>
      <c r="H927" t="inlineStr">
        <is>
          <t>Bergvik skog öst AB</t>
        </is>
      </c>
      <c r="I927" t="n">
        <v>8.199999999999999</v>
      </c>
      <c r="J927" t="n">
        <v>1</v>
      </c>
      <c r="K927" t="n">
        <v>0</v>
      </c>
      <c r="L927" t="n">
        <v>0</v>
      </c>
      <c r="M927" t="n">
        <v>0</v>
      </c>
      <c r="N927" t="n">
        <v>0</v>
      </c>
      <c r="O927" t="n">
        <v>0</v>
      </c>
      <c r="P927" t="n">
        <v>0</v>
      </c>
      <c r="Q927" t="n">
        <v>0</v>
      </c>
      <c r="R927" t="n">
        <v>0</v>
      </c>
      <c r="S927" t="n">
        <v>1</v>
      </c>
      <c r="T927" t="n">
        <v>1</v>
      </c>
      <c r="U927" t="n">
        <v>0</v>
      </c>
      <c r="V927" s="2" t="inlineStr">
        <is>
          <t>Tjäder</t>
        </is>
      </c>
      <c r="W927">
        <f>HYPERLINK("https://klasma.github.io/Logging_2180/artfynd/A 14730-2026 artfynd.xlsx", "A 14730-2026")</f>
        <v/>
      </c>
      <c r="X927">
        <f>HYPERLINK("https://klasma.github.io/Logging_2180/kartor/A 14730-2026 karta.png", "A 14730-2026")</f>
        <v/>
      </c>
      <c r="Y927">
        <f>HYPERLINK("https://klasma.github.io/Logging_2180/kartor_geotiff/A 14730-2026 georefererad karta.tif", "A 14730-2026")</f>
        <v/>
      </c>
      <c r="AA927">
        <f>HYPERLINK("https://klasma.github.io/Logging_2180/klagomål/A 14730-2026 FSC-klagomål.docx", "A 14730-2026")</f>
        <v/>
      </c>
      <c r="AB927">
        <f>HYPERLINK("https://klasma.github.io/Logging_2180/klagomålsmail/A 14730-2026 FSC-klagomål mail.docx", "A 14730-2026")</f>
        <v/>
      </c>
      <c r="AC927">
        <f>HYPERLINK("https://klasma.github.io/Logging_2180/tillsyn/A 14730-2026 tillsynsbegäran.docx", "A 14730-2026")</f>
        <v/>
      </c>
      <c r="AD927">
        <f>HYPERLINK("https://klasma.github.io/Logging_2180/tillsynsmail/A 14730-2026 tillsynsbegäran mail.docx", "A 14730-2026")</f>
        <v/>
      </c>
      <c r="AE927">
        <f>HYPERLINK("https://klasma.github.io/Logging_2180/fåglar/A 14730-2026 prioriterade fågelarter.docx", "A 14730-2026")</f>
        <v/>
      </c>
    </row>
    <row r="928" ht="15" customHeight="1">
      <c r="A928" t="inlineStr">
        <is>
          <t>A 14979-2026</t>
        </is>
      </c>
      <c r="B928" t="inlineStr">
        <is>
          <t>avverkningsanmälan</t>
        </is>
      </c>
      <c r="C928" t="inlineStr">
        <is>
          <t>Föryngringsavverkning</t>
        </is>
      </c>
      <c r="D928" s="1" t="n">
        <v>46104</v>
      </c>
      <c r="E928" s="1" t="n">
        <v>46326</v>
      </c>
      <c r="F928" t="inlineStr">
        <is>
          <t>GÄVLEBORGS LÄN</t>
        </is>
      </c>
      <c r="G928" t="inlineStr">
        <is>
          <t>BOLLNÄS</t>
        </is>
      </c>
      <c r="I928" t="n">
        <v>25.1</v>
      </c>
      <c r="J928" t="n">
        <v>1</v>
      </c>
      <c r="K928" t="n">
        <v>0</v>
      </c>
      <c r="L928" t="n">
        <v>0</v>
      </c>
      <c r="M928" t="n">
        <v>0</v>
      </c>
      <c r="N928" t="n">
        <v>0</v>
      </c>
      <c r="O928" t="n">
        <v>0</v>
      </c>
      <c r="P928" t="n">
        <v>0</v>
      </c>
      <c r="Q928" t="n">
        <v>0</v>
      </c>
      <c r="R928" t="n">
        <v>0</v>
      </c>
      <c r="S928" t="n">
        <v>1</v>
      </c>
      <c r="T928" t="n">
        <v>1</v>
      </c>
      <c r="U928" t="n">
        <v>0</v>
      </c>
      <c r="V928" s="2" t="inlineStr">
        <is>
          <t>Fläcknycklar</t>
        </is>
      </c>
      <c r="W928">
        <f>HYPERLINK("https://klasma.github.io/Logging_2183/artfynd/A 14979-2026 artfynd.xlsx", "A 14979-2026")</f>
        <v/>
      </c>
      <c r="X928">
        <f>HYPERLINK("https://klasma.github.io/Logging_2183/kartor/A 14979-2026 karta.png", "A 14979-2026")</f>
        <v/>
      </c>
      <c r="Y928">
        <f>HYPERLINK("https://klasma.github.io/Logging_2183/kartor_geotiff/A 14979-2026 georefererad karta.tif", "A 14979-2026")</f>
        <v/>
      </c>
      <c r="AA928">
        <f>HYPERLINK("https://klasma.github.io/Logging_2183/klagomål/A 14979-2026 FSC-klagomål.docx", "A 14979-2026")</f>
        <v/>
      </c>
      <c r="AB928">
        <f>HYPERLINK("https://klasma.github.io/Logging_2183/klagomålsmail/A 14979-2026 FSC-klagomål mail.docx", "A 14979-2026")</f>
        <v/>
      </c>
      <c r="AC928">
        <f>HYPERLINK("https://klasma.github.io/Logging_2183/tillsyn/A 14979-2026 tillsynsbegäran.docx", "A 14979-2026")</f>
        <v/>
      </c>
      <c r="AD928">
        <f>HYPERLINK("https://klasma.github.io/Logging_2183/tillsynsmail/A 14979-2026 tillsynsbegäran mail.docx", "A 14979-2026")</f>
        <v/>
      </c>
    </row>
    <row r="929" ht="15" customHeight="1">
      <c r="A929" t="inlineStr">
        <is>
          <t>A 48063-2024</t>
        </is>
      </c>
      <c r="B929" t="inlineStr">
        <is>
          <t>avverkningsanmälan</t>
        </is>
      </c>
      <c r="C929" t="inlineStr">
        <is>
          <t>Föryngringsavverkning</t>
        </is>
      </c>
      <c r="D929" s="1" t="n">
        <v>45589</v>
      </c>
      <c r="E929" s="1" t="n">
        <v>46326</v>
      </c>
      <c r="F929" t="inlineStr">
        <is>
          <t>GÄVLEBORGS LÄN</t>
        </is>
      </c>
      <c r="G929" t="inlineStr">
        <is>
          <t>HOFORS</t>
        </is>
      </c>
      <c r="I929" t="n">
        <v>3.9</v>
      </c>
      <c r="J929" t="n">
        <v>1</v>
      </c>
      <c r="K929" t="n">
        <v>1</v>
      </c>
      <c r="L929" t="n">
        <v>0</v>
      </c>
      <c r="M929" t="n">
        <v>0</v>
      </c>
      <c r="N929" t="n">
        <v>0</v>
      </c>
      <c r="O929" t="n">
        <v>0</v>
      </c>
      <c r="P929" t="n">
        <v>0</v>
      </c>
      <c r="Q929" t="n">
        <v>0</v>
      </c>
      <c r="R929" t="n">
        <v>0</v>
      </c>
      <c r="S929" t="n">
        <v>1</v>
      </c>
      <c r="T929" t="n">
        <v>1</v>
      </c>
      <c r="U929" t="n">
        <v>0</v>
      </c>
      <c r="V929" s="2" t="inlineStr">
        <is>
          <t>Tvåblad</t>
        </is>
      </c>
      <c r="W929">
        <f>HYPERLINK("https://klasma.github.io/Logging_2104/artfynd/A 48063-2024 artfynd.xlsx", "A 48063-2024")</f>
        <v/>
      </c>
      <c r="X929">
        <f>HYPERLINK("https://klasma.github.io/Logging_2104/kartor/A 48063-2024 karta.png", "A 48063-2024")</f>
        <v/>
      </c>
      <c r="Y929">
        <f>HYPERLINK("https://klasma.github.io/Logging_2104/kartor_geotiff/A 48063-2024 georefererad karta.tif", "A 48063-2024")</f>
        <v/>
      </c>
      <c r="AA929">
        <f>HYPERLINK("https://klasma.github.io/Logging_2104/klagomål/A 48063-2024 FSC-klagomål.docx", "A 48063-2024")</f>
        <v/>
      </c>
      <c r="AB929">
        <f>HYPERLINK("https://klasma.github.io/Logging_2104/klagomålsmail/A 48063-2024 FSC-klagomål mail.docx", "A 48063-2024")</f>
        <v/>
      </c>
      <c r="AC929">
        <f>HYPERLINK("https://klasma.github.io/Logging_2104/tillsyn/A 48063-2024 tillsynsbegäran.docx", "A 48063-2024")</f>
        <v/>
      </c>
      <c r="AD929">
        <f>HYPERLINK("https://klasma.github.io/Logging_2104/tillsynsmail/A 48063-2024 tillsynsbegäran mail.docx", "A 48063-2024")</f>
        <v/>
      </c>
    </row>
    <row r="930" ht="15" customHeight="1">
      <c r="A930" t="inlineStr">
        <is>
          <t>A 4324-2026</t>
        </is>
      </c>
      <c r="B930" t="inlineStr">
        <is>
          <t>avverkningsanmälan</t>
        </is>
      </c>
      <c r="C930" t="inlineStr">
        <is>
          <t>Föryngringsavverkning</t>
        </is>
      </c>
      <c r="D930" s="1" t="n">
        <v>46045</v>
      </c>
      <c r="E930" s="1" t="n">
        <v>46326</v>
      </c>
      <c r="F930" t="inlineStr">
        <is>
          <t>GÄVLEBORGS LÄN</t>
        </is>
      </c>
      <c r="G930" t="inlineStr">
        <is>
          <t>SANDVIKEN</t>
        </is>
      </c>
      <c r="H930" t="inlineStr">
        <is>
          <t>Kommuner</t>
        </is>
      </c>
      <c r="I930" t="n">
        <v>11.2</v>
      </c>
      <c r="J930" t="n">
        <v>1</v>
      </c>
      <c r="K930" t="n">
        <v>0</v>
      </c>
      <c r="L930" t="n">
        <v>0</v>
      </c>
      <c r="M930" t="n">
        <v>0</v>
      </c>
      <c r="N930" t="n">
        <v>0</v>
      </c>
      <c r="O930" t="n">
        <v>0</v>
      </c>
      <c r="P930" t="n">
        <v>0</v>
      </c>
      <c r="Q930" t="n">
        <v>0</v>
      </c>
      <c r="R930" t="n">
        <v>0</v>
      </c>
      <c r="S930" t="n">
        <v>1</v>
      </c>
      <c r="T930" t="n">
        <v>1</v>
      </c>
      <c r="U930" t="n">
        <v>1</v>
      </c>
      <c r="V930" s="2" t="inlineStr">
        <is>
          <t>Järpe</t>
        </is>
      </c>
      <c r="W930">
        <f>HYPERLINK("https://klasma.github.io/Logging_2181/artfynd/A 4324-2026 artfynd.xlsx", "A 4324-2026")</f>
        <v/>
      </c>
      <c r="X930">
        <f>HYPERLINK("https://klasma.github.io/Logging_2181/kartor/A 4324-2026 karta.png", "A 4324-2026")</f>
        <v/>
      </c>
      <c r="Y930">
        <f>HYPERLINK("https://klasma.github.io/Logging_2181/kartor_geotiff/A 4324-2026 georefererad karta.tif", "A 4324-2026")</f>
        <v/>
      </c>
      <c r="AA930">
        <f>HYPERLINK("https://klasma.github.io/Logging_2181/klagomål/A 4324-2026 FSC-klagomål.docx", "A 4324-2026")</f>
        <v/>
      </c>
      <c r="AB930">
        <f>HYPERLINK("https://klasma.github.io/Logging_2181/klagomålsmail/A 4324-2026 FSC-klagomål mail.docx", "A 4324-2026")</f>
        <v/>
      </c>
      <c r="AC930">
        <f>HYPERLINK("https://klasma.github.io/Logging_2181/tillsyn/A 4324-2026 tillsynsbegäran.docx", "A 4324-2026")</f>
        <v/>
      </c>
      <c r="AD930">
        <f>HYPERLINK("https://klasma.github.io/Logging_2181/tillsynsmail/A 4324-2026 tillsynsbegäran mail.docx", "A 4324-2026")</f>
        <v/>
      </c>
      <c r="AE930">
        <f>HYPERLINK("https://klasma.github.io/Logging_2181/fåglar/A 4324-2026 prioriterade fågelarter.docx", "A 4324-2026")</f>
        <v/>
      </c>
    </row>
    <row r="931" ht="15" customHeight="1">
      <c r="A931" t="inlineStr">
        <is>
          <t>A 13658-2026</t>
        </is>
      </c>
      <c r="B931" t="inlineStr">
        <is>
          <t>avverkningsanmälan</t>
        </is>
      </c>
      <c r="C931" t="inlineStr">
        <is>
          <t>Föryngringsavverkning</t>
        </is>
      </c>
      <c r="D931" s="1" t="n">
        <v>46097</v>
      </c>
      <c r="E931" s="1" t="n">
        <v>46326</v>
      </c>
      <c r="F931" t="inlineStr">
        <is>
          <t>GÄVLEBORGS LÄN</t>
        </is>
      </c>
      <c r="G931" t="inlineStr">
        <is>
          <t>OVANÅKER</t>
        </is>
      </c>
      <c r="I931" t="n">
        <v>6</v>
      </c>
      <c r="J931" t="n">
        <v>0</v>
      </c>
      <c r="K931" t="n">
        <v>0</v>
      </c>
      <c r="L931" t="n">
        <v>1</v>
      </c>
      <c r="M931" t="n">
        <v>0</v>
      </c>
      <c r="N931" t="n">
        <v>0</v>
      </c>
      <c r="O931" t="n">
        <v>0</v>
      </c>
      <c r="P931" t="n">
        <v>0</v>
      </c>
      <c r="Q931" t="n">
        <v>1</v>
      </c>
      <c r="R931" t="n">
        <v>0</v>
      </c>
      <c r="S931" t="n">
        <v>1</v>
      </c>
      <c r="T931" t="n">
        <v>1</v>
      </c>
      <c r="U931" t="n">
        <v>0</v>
      </c>
      <c r="V931" s="2" t="inlineStr">
        <is>
          <t>Brunklöver</t>
        </is>
      </c>
      <c r="W931">
        <f>HYPERLINK("https://klasma.github.io/Logging_2121/artfynd/A 13658-2026 artfynd.xlsx", "A 13658-2026")</f>
        <v/>
      </c>
      <c r="X931">
        <f>HYPERLINK("https://klasma.github.io/Logging_2121/kartor/A 13658-2026 karta.png", "A 13658-2026")</f>
        <v/>
      </c>
      <c r="Y931">
        <f>HYPERLINK("https://klasma.github.io/Logging_2121/kartor_geotiff/A 13658-2026 georefererad karta.tif", "A 13658-2026")</f>
        <v/>
      </c>
      <c r="AA931">
        <f>HYPERLINK("https://klasma.github.io/Logging_2121/klagomål/A 13658-2026 FSC-klagomål.docx", "A 13658-2026")</f>
        <v/>
      </c>
      <c r="AB931">
        <f>HYPERLINK("https://klasma.github.io/Logging_2121/klagomålsmail/A 13658-2026 FSC-klagomål mail.docx", "A 13658-2026")</f>
        <v/>
      </c>
      <c r="AC931">
        <f>HYPERLINK("https://klasma.github.io/Logging_2121/tillsyn/A 13658-2026 tillsynsbegäran.docx", "A 13658-2026")</f>
        <v/>
      </c>
      <c r="AD931">
        <f>HYPERLINK("https://klasma.github.io/Logging_2121/tillsynsmail/A 13658-2026 tillsynsbegäran mail.docx", "A 13658-2026")</f>
        <v/>
      </c>
    </row>
    <row r="932" ht="15" customHeight="1">
      <c r="A932" t="inlineStr">
        <is>
          <t>A 1214-2024</t>
        </is>
      </c>
      <c r="B932" t="inlineStr">
        <is>
          <t>avverkningsanmälan</t>
        </is>
      </c>
      <c r="C932" t="inlineStr">
        <is>
          <t>Föryngringsavverkning</t>
        </is>
      </c>
      <c r="D932" s="1" t="n">
        <v>45302</v>
      </c>
      <c r="E932" s="1" t="n">
        <v>46326</v>
      </c>
      <c r="F932" t="inlineStr">
        <is>
          <t>GÄVLEBORGS LÄN</t>
        </is>
      </c>
      <c r="G932" t="inlineStr">
        <is>
          <t>OVANÅKER</t>
        </is>
      </c>
      <c r="H932" t="inlineStr">
        <is>
          <t>Bergvik skog väst AB</t>
        </is>
      </c>
      <c r="I932" t="n">
        <v>3.2</v>
      </c>
      <c r="J932" t="n">
        <v>1</v>
      </c>
      <c r="K932" t="n">
        <v>0</v>
      </c>
      <c r="L932" t="n">
        <v>0</v>
      </c>
      <c r="M932" t="n">
        <v>0</v>
      </c>
      <c r="N932" t="n">
        <v>0</v>
      </c>
      <c r="O932" t="n">
        <v>0</v>
      </c>
      <c r="P932" t="n">
        <v>0</v>
      </c>
      <c r="Q932" t="n">
        <v>0</v>
      </c>
      <c r="R932" t="n">
        <v>0</v>
      </c>
      <c r="S932" t="n">
        <v>1</v>
      </c>
      <c r="T932" t="n">
        <v>1</v>
      </c>
      <c r="U932" t="n">
        <v>1</v>
      </c>
      <c r="V932" s="2" t="inlineStr">
        <is>
          <t>Fläcknycklar</t>
        </is>
      </c>
      <c r="W932">
        <f>HYPERLINK("https://klasma.github.io/Logging_2121/artfynd/A 1214-2024 artfynd.xlsx", "A 1214-2024")</f>
        <v/>
      </c>
      <c r="X932">
        <f>HYPERLINK("https://klasma.github.io/Logging_2121/kartor/A 1214-2024 karta.png", "A 1214-2024")</f>
        <v/>
      </c>
      <c r="Y932">
        <f>HYPERLINK("https://klasma.github.io/Logging_2121/kartor_geotiff/A 1214-2024 georefererad karta.tif", "A 1214-2024")</f>
        <v/>
      </c>
      <c r="AA932">
        <f>HYPERLINK("https://klasma.github.io/Logging_2121/klagomål/A 1214-2024 FSC-klagomål.docx", "A 1214-2024")</f>
        <v/>
      </c>
      <c r="AB932">
        <f>HYPERLINK("https://klasma.github.io/Logging_2121/klagomålsmail/A 1214-2024 FSC-klagomål mail.docx", "A 1214-2024")</f>
        <v/>
      </c>
      <c r="AC932">
        <f>HYPERLINK("https://klasma.github.io/Logging_2121/tillsyn/A 1214-2024 tillsynsbegäran.docx", "A 1214-2024")</f>
        <v/>
      </c>
      <c r="AD932">
        <f>HYPERLINK("https://klasma.github.io/Logging_2121/tillsynsmail/A 1214-2024 tillsynsbegäran mail.docx", "A 1214-2024")</f>
        <v/>
      </c>
    </row>
    <row r="933" ht="15" customHeight="1">
      <c r="A933" t="inlineStr">
        <is>
          <t>A 6985-2025</t>
        </is>
      </c>
      <c r="B933" t="inlineStr">
        <is>
          <t>avverkningsanmälan</t>
        </is>
      </c>
      <c r="C933" t="inlineStr">
        <is>
          <t>Föryngringsavverkning</t>
        </is>
      </c>
      <c r="D933" s="1" t="n">
        <v>45701</v>
      </c>
      <c r="E933" s="1" t="n">
        <v>46326</v>
      </c>
      <c r="F933" t="inlineStr">
        <is>
          <t>GÄVLEBORGS LÄN</t>
        </is>
      </c>
      <c r="G933" t="inlineStr">
        <is>
          <t>HUDIKSVALL</t>
        </is>
      </c>
      <c r="I933" t="n">
        <v>6.7</v>
      </c>
      <c r="J933" t="n">
        <v>1</v>
      </c>
      <c r="K933" t="n">
        <v>0</v>
      </c>
      <c r="L933" t="n">
        <v>0</v>
      </c>
      <c r="M933" t="n">
        <v>0</v>
      </c>
      <c r="N933" t="n">
        <v>0</v>
      </c>
      <c r="O933" t="n">
        <v>0</v>
      </c>
      <c r="P933" t="n">
        <v>0</v>
      </c>
      <c r="Q933" t="n">
        <v>0</v>
      </c>
      <c r="R933" t="n">
        <v>0</v>
      </c>
      <c r="S933" t="n">
        <v>1</v>
      </c>
      <c r="T933" t="n">
        <v>1</v>
      </c>
      <c r="U933" t="n">
        <v>1</v>
      </c>
      <c r="V933" s="2" t="inlineStr">
        <is>
          <t>Tjäder</t>
        </is>
      </c>
      <c r="W933">
        <f>HYPERLINK("https://klasma.github.io/Logging_2184/artfynd/A 6985-2025 artfynd.xlsx", "A 6985-2025")</f>
        <v/>
      </c>
      <c r="X933">
        <f>HYPERLINK("https://klasma.github.io/Logging_2184/kartor/A 6985-2025 karta.png", "A 6985-2025")</f>
        <v/>
      </c>
      <c r="Y933">
        <f>HYPERLINK("https://klasma.github.io/Logging_2184/kartor_geotiff/A 6985-2025 georefererad karta.tif", "A 6985-2025")</f>
        <v/>
      </c>
      <c r="AA933">
        <f>HYPERLINK("https://klasma.github.io/Logging_2184/klagomål/A 6985-2025 FSC-klagomål.docx", "A 6985-2025")</f>
        <v/>
      </c>
      <c r="AB933">
        <f>HYPERLINK("https://klasma.github.io/Logging_2184/klagomålsmail/A 6985-2025 FSC-klagomål mail.docx", "A 6985-2025")</f>
        <v/>
      </c>
      <c r="AC933">
        <f>HYPERLINK("https://klasma.github.io/Logging_2184/tillsyn/A 6985-2025 tillsynsbegäran.docx", "A 6985-2025")</f>
        <v/>
      </c>
      <c r="AD933">
        <f>HYPERLINK("https://klasma.github.io/Logging_2184/tillsynsmail/A 6985-2025 tillsynsbegäran mail.docx", "A 6985-2025")</f>
        <v/>
      </c>
      <c r="AE933">
        <f>HYPERLINK("https://klasma.github.io/Logging_2184/fåglar/A 6985-2025 prioriterade fågelarter.docx", "A 6985-2025")</f>
        <v/>
      </c>
    </row>
    <row r="934" ht="15" customHeight="1">
      <c r="A934" t="inlineStr">
        <is>
          <t>A 22821-2024</t>
        </is>
      </c>
      <c r="B934" t="inlineStr">
        <is>
          <t>avverkningsanmälan</t>
        </is>
      </c>
      <c r="C934" t="inlineStr">
        <is>
          <t>Föryngringsavverkning</t>
        </is>
      </c>
      <c r="D934" s="1" t="n">
        <v>45448</v>
      </c>
      <c r="E934" s="1" t="n">
        <v>46326</v>
      </c>
      <c r="F934" t="inlineStr">
        <is>
          <t>GÄVLEBORGS LÄN</t>
        </is>
      </c>
      <c r="G934" t="inlineStr">
        <is>
          <t>OCKELBO</t>
        </is>
      </c>
      <c r="H934" t="inlineStr">
        <is>
          <t>Bergvik skog väst AB</t>
        </is>
      </c>
      <c r="I934" t="n">
        <v>2.5</v>
      </c>
      <c r="J934" t="n">
        <v>0</v>
      </c>
      <c r="K934" t="n">
        <v>1</v>
      </c>
      <c r="L934" t="n">
        <v>0</v>
      </c>
      <c r="M934" t="n">
        <v>0</v>
      </c>
      <c r="N934" t="n">
        <v>0</v>
      </c>
      <c r="O934" t="n">
        <v>0</v>
      </c>
      <c r="P934" t="n">
        <v>0</v>
      </c>
      <c r="Q934" t="n">
        <v>0</v>
      </c>
      <c r="R934" t="n">
        <v>0</v>
      </c>
      <c r="S934" t="n">
        <v>1</v>
      </c>
      <c r="T934" t="n">
        <v>1</v>
      </c>
      <c r="U934" t="n">
        <v>1</v>
      </c>
      <c r="V934" s="2" t="inlineStr">
        <is>
          <t>Tibast</t>
        </is>
      </c>
      <c r="W934">
        <f>HYPERLINK("https://klasma.github.io/Logging_2101/artfynd/A 22821-2024 artfynd.xlsx", "A 22821-2024")</f>
        <v/>
      </c>
      <c r="X934">
        <f>HYPERLINK("https://klasma.github.io/Logging_2101/kartor/A 22821-2024 karta.png", "A 22821-2024")</f>
        <v/>
      </c>
      <c r="Y934">
        <f>HYPERLINK("https://klasma.github.io/Logging_2101/kartor_geotiff/A 22821-2024 georefererad karta.tif", "A 22821-2024")</f>
        <v/>
      </c>
      <c r="AA934">
        <f>HYPERLINK("https://klasma.github.io/Logging_2101/klagomål/A 22821-2024 FSC-klagomål.docx", "A 22821-2024")</f>
        <v/>
      </c>
      <c r="AB934">
        <f>HYPERLINK("https://klasma.github.io/Logging_2101/klagomålsmail/A 22821-2024 FSC-klagomål mail.docx", "A 22821-2024")</f>
        <v/>
      </c>
      <c r="AC934">
        <f>HYPERLINK("https://klasma.github.io/Logging_2101/tillsyn/A 22821-2024 tillsynsbegäran.docx", "A 22821-2024")</f>
        <v/>
      </c>
      <c r="AD934">
        <f>HYPERLINK("https://klasma.github.io/Logging_2101/tillsynsmail/A 22821-2024 tillsynsbegäran mail.docx", "A 22821-2024")</f>
        <v/>
      </c>
    </row>
    <row r="935" ht="15" customHeight="1">
      <c r="A935" t="inlineStr">
        <is>
          <t>A 31023-2023</t>
        </is>
      </c>
      <c r="B935" t="inlineStr">
        <is>
          <t>avverkningsanmälan</t>
        </is>
      </c>
      <c r="C935" t="inlineStr">
        <is>
          <t>Föryngringsavverkning</t>
        </is>
      </c>
      <c r="D935" s="1" t="n">
        <v>45113</v>
      </c>
      <c r="E935" s="1" t="n">
        <v>46326</v>
      </c>
      <c r="F935" t="inlineStr">
        <is>
          <t>GÄVLEBORGS LÄN</t>
        </is>
      </c>
      <c r="G935" t="inlineStr">
        <is>
          <t>OVANÅKER</t>
        </is>
      </c>
      <c r="I935" t="n">
        <v>2.3</v>
      </c>
      <c r="J935" t="n">
        <v>1</v>
      </c>
      <c r="K935" t="n">
        <v>0</v>
      </c>
      <c r="L935" t="n">
        <v>0</v>
      </c>
      <c r="M935" t="n">
        <v>0</v>
      </c>
      <c r="N935" t="n">
        <v>0</v>
      </c>
      <c r="O935" t="n">
        <v>0</v>
      </c>
      <c r="P935" t="n">
        <v>0</v>
      </c>
      <c r="Q935" t="n">
        <v>0</v>
      </c>
      <c r="R935" t="n">
        <v>0</v>
      </c>
      <c r="S935" t="n">
        <v>1</v>
      </c>
      <c r="T935" t="n">
        <v>1</v>
      </c>
      <c r="U935" t="n">
        <v>1</v>
      </c>
      <c r="V935" s="2" t="inlineStr">
        <is>
          <t>Spillkråka</t>
        </is>
      </c>
      <c r="W935">
        <f>HYPERLINK("https://klasma.github.io/Logging_2121/artfynd/A 31023-2023 artfynd.xlsx", "A 31023-2023")</f>
        <v/>
      </c>
      <c r="X935">
        <f>HYPERLINK("https://klasma.github.io/Logging_2121/kartor/A 31023-2023 karta.png", "A 31023-2023")</f>
        <v/>
      </c>
      <c r="Y935">
        <f>HYPERLINK("https://klasma.github.io/Logging_2121/kartor_geotiff/A 31023-2023 georefererad karta.tif", "A 31023-2023")</f>
        <v/>
      </c>
      <c r="AA935">
        <f>HYPERLINK("https://klasma.github.io/Logging_2121/klagomål/A 31023-2023 FSC-klagomål.docx", "A 31023-2023")</f>
        <v/>
      </c>
      <c r="AB935">
        <f>HYPERLINK("https://klasma.github.io/Logging_2121/klagomålsmail/A 31023-2023 FSC-klagomål mail.docx", "A 31023-2023")</f>
        <v/>
      </c>
      <c r="AC935">
        <f>HYPERLINK("https://klasma.github.io/Logging_2121/tillsyn/A 31023-2023 tillsynsbegäran.docx", "A 31023-2023")</f>
        <v/>
      </c>
      <c r="AD935">
        <f>HYPERLINK("https://klasma.github.io/Logging_2121/tillsynsmail/A 31023-2023 tillsynsbegäran mail.docx", "A 31023-2023")</f>
        <v/>
      </c>
      <c r="AE935">
        <f>HYPERLINK("https://klasma.github.io/Logging_2121/fåglar/A 31023-2023 prioriterade fågelarter.docx", "A 31023-2023")</f>
        <v/>
      </c>
    </row>
    <row r="936" ht="15" customHeight="1">
      <c r="A936" t="inlineStr">
        <is>
          <t>A 9155-2026</t>
        </is>
      </c>
      <c r="B936" t="inlineStr">
        <is>
          <t>avverkningsanmälan</t>
        </is>
      </c>
      <c r="C936" t="inlineStr">
        <is>
          <t>Föryngringsavverkning</t>
        </is>
      </c>
      <c r="D936" s="1" t="n">
        <v>46070</v>
      </c>
      <c r="E936" s="1" t="n">
        <v>46326</v>
      </c>
      <c r="F936" t="inlineStr">
        <is>
          <t>GÄVLEBORGS LÄN</t>
        </is>
      </c>
      <c r="G936" t="inlineStr">
        <is>
          <t>OCKELBO</t>
        </is>
      </c>
      <c r="H936" t="inlineStr">
        <is>
          <t>Bergvik skog väst AB</t>
        </is>
      </c>
      <c r="I936" t="n">
        <v>4.2</v>
      </c>
      <c r="J936" t="n">
        <v>0</v>
      </c>
      <c r="K936" t="n">
        <v>0</v>
      </c>
      <c r="L936" t="n">
        <v>1</v>
      </c>
      <c r="M936" t="n">
        <v>0</v>
      </c>
      <c r="N936" t="n">
        <v>0</v>
      </c>
      <c r="O936" t="n">
        <v>0</v>
      </c>
      <c r="P936" t="n">
        <v>0</v>
      </c>
      <c r="Q936" t="n">
        <v>1</v>
      </c>
      <c r="R936" t="n">
        <v>0</v>
      </c>
      <c r="S936" t="n">
        <v>1</v>
      </c>
      <c r="T936" t="n">
        <v>1</v>
      </c>
      <c r="U936" t="n">
        <v>0</v>
      </c>
      <c r="V936" s="2" t="inlineStr">
        <is>
          <t>Kolflarnlav</t>
        </is>
      </c>
      <c r="W936">
        <f>HYPERLINK("https://klasma.github.io/Logging_2101/artfynd/A 9155-2026 artfynd.xlsx", "A 9155-2026")</f>
        <v/>
      </c>
      <c r="X936">
        <f>HYPERLINK("https://klasma.github.io/Logging_2101/kartor/A 9155-2026 karta.png", "A 9155-2026")</f>
        <v/>
      </c>
      <c r="Y936">
        <f>HYPERLINK("https://klasma.github.io/Logging_2101/kartor_geotiff/A 9155-2026 georefererad karta.tif", "A 9155-2026")</f>
        <v/>
      </c>
      <c r="AA936">
        <f>HYPERLINK("https://klasma.github.io/Logging_2101/klagomål/A 9155-2026 FSC-klagomål.docx", "A 9155-2026")</f>
        <v/>
      </c>
      <c r="AB936">
        <f>HYPERLINK("https://klasma.github.io/Logging_2101/klagomålsmail/A 9155-2026 FSC-klagomål mail.docx", "A 9155-2026")</f>
        <v/>
      </c>
      <c r="AC936">
        <f>HYPERLINK("https://klasma.github.io/Logging_2101/tillsyn/A 9155-2026 tillsynsbegäran.docx", "A 9155-2026")</f>
        <v/>
      </c>
      <c r="AD936">
        <f>HYPERLINK("https://klasma.github.io/Logging_2101/tillsynsmail/A 9155-2026 tillsynsbegäran mail.docx", "A 9155-2026")</f>
        <v/>
      </c>
    </row>
    <row r="937" ht="15" customHeight="1">
      <c r="A937" t="inlineStr">
        <is>
          <t>A 26448-2024</t>
        </is>
      </c>
      <c r="B937" t="inlineStr">
        <is>
          <t>avverkningsanmälan</t>
        </is>
      </c>
      <c r="C937" t="inlineStr">
        <is>
          <t>Föryngringsavverkning</t>
        </is>
      </c>
      <c r="D937" s="1" t="n">
        <v>45469</v>
      </c>
      <c r="E937" s="1" t="n">
        <v>46326</v>
      </c>
      <c r="F937" t="inlineStr">
        <is>
          <t>GÄVLEBORGS LÄN</t>
        </is>
      </c>
      <c r="G937" t="inlineStr">
        <is>
          <t>OCKELBO</t>
        </is>
      </c>
      <c r="H937" t="inlineStr">
        <is>
          <t>Bergvik skog väst AB</t>
        </is>
      </c>
      <c r="I937" t="n">
        <v>4.5</v>
      </c>
      <c r="J937" t="n">
        <v>1</v>
      </c>
      <c r="K937" t="n">
        <v>0</v>
      </c>
      <c r="L937" t="n">
        <v>0</v>
      </c>
      <c r="M937" t="n">
        <v>0</v>
      </c>
      <c r="N937" t="n">
        <v>0</v>
      </c>
      <c r="O937" t="n">
        <v>0</v>
      </c>
      <c r="P937" t="n">
        <v>0</v>
      </c>
      <c r="Q937" t="n">
        <v>0</v>
      </c>
      <c r="R937" t="n">
        <v>0</v>
      </c>
      <c r="S937" t="n">
        <v>1</v>
      </c>
      <c r="T937" t="n">
        <v>1</v>
      </c>
      <c r="U937" t="n">
        <v>1</v>
      </c>
      <c r="V937" s="2" t="inlineStr">
        <is>
          <t>Fläcknycklar</t>
        </is>
      </c>
      <c r="W937">
        <f>HYPERLINK("https://klasma.github.io/Logging_2101/artfynd/A 26448-2024 artfynd.xlsx", "A 26448-2024")</f>
        <v/>
      </c>
      <c r="X937">
        <f>HYPERLINK("https://klasma.github.io/Logging_2101/kartor/A 26448-2024 karta.png", "A 26448-2024")</f>
        <v/>
      </c>
      <c r="Y937">
        <f>HYPERLINK("https://klasma.github.io/Logging_2101/kartor_geotiff/A 26448-2024 georefererad karta.tif", "A 26448-2024")</f>
        <v/>
      </c>
      <c r="AA937">
        <f>HYPERLINK("https://klasma.github.io/Logging_2101/klagomål/A 26448-2024 FSC-klagomål.docx", "A 26448-2024")</f>
        <v/>
      </c>
      <c r="AB937">
        <f>HYPERLINK("https://klasma.github.io/Logging_2101/klagomålsmail/A 26448-2024 FSC-klagomål mail.docx", "A 26448-2024")</f>
        <v/>
      </c>
      <c r="AC937">
        <f>HYPERLINK("https://klasma.github.io/Logging_2101/tillsyn/A 26448-2024 tillsynsbegäran.docx", "A 26448-2024")</f>
        <v/>
      </c>
      <c r="AD937">
        <f>HYPERLINK("https://klasma.github.io/Logging_2101/tillsynsmail/A 26448-2024 tillsynsbegäran mail.docx", "A 26448-2024")</f>
        <v/>
      </c>
    </row>
    <row r="938" ht="15" customHeight="1">
      <c r="A938" t="inlineStr">
        <is>
          <t>A 20233-2026</t>
        </is>
      </c>
      <c r="B938" t="inlineStr">
        <is>
          <t>avverkningsanmälan</t>
        </is>
      </c>
      <c r="C938" t="inlineStr">
        <is>
          <t>Föryngringsavverkning</t>
        </is>
      </c>
      <c r="D938" s="1" t="n">
        <v>46139</v>
      </c>
      <c r="E938" s="1" t="n">
        <v>46326</v>
      </c>
      <c r="F938" t="inlineStr">
        <is>
          <t>GÄVLEBORGS LÄN</t>
        </is>
      </c>
      <c r="G938" t="inlineStr">
        <is>
          <t>OCKELBO</t>
        </is>
      </c>
      <c r="H938" t="inlineStr">
        <is>
          <t>Bergvik skog väst AB</t>
        </is>
      </c>
      <c r="I938" t="n">
        <v>17.9</v>
      </c>
      <c r="J938" t="n">
        <v>0</v>
      </c>
      <c r="K938" t="n">
        <v>1</v>
      </c>
      <c r="L938" t="n">
        <v>0</v>
      </c>
      <c r="M938" t="n">
        <v>0</v>
      </c>
      <c r="N938" t="n">
        <v>0</v>
      </c>
      <c r="O938" t="n">
        <v>0</v>
      </c>
      <c r="P938" t="n">
        <v>0</v>
      </c>
      <c r="Q938" t="n">
        <v>0</v>
      </c>
      <c r="R938" t="n">
        <v>0</v>
      </c>
      <c r="S938" t="n">
        <v>1</v>
      </c>
      <c r="T938" t="n">
        <v>3</v>
      </c>
      <c r="U938" t="n">
        <v>0</v>
      </c>
      <c r="V938" s="2" t="inlineStr">
        <is>
          <t>Tibast</t>
        </is>
      </c>
      <c r="W938">
        <f>HYPERLINK("https://klasma.github.io/Logging_2101/artfynd/A 20233-2026 artfynd.xlsx", "A 20233-2026")</f>
        <v/>
      </c>
      <c r="X938">
        <f>HYPERLINK("https://klasma.github.io/Logging_2101/kartor/A 20233-2026 karta.png", "A 20233-2026")</f>
        <v/>
      </c>
      <c r="Y938">
        <f>HYPERLINK("https://klasma.github.io/Logging_2101/kartor_geotiff/A 20233-2026 georefererad karta.tif", "A 20233-2026")</f>
        <v/>
      </c>
      <c r="AA938">
        <f>HYPERLINK("https://klasma.github.io/Logging_2101/klagomål/A 20233-2026 FSC-klagomål.docx", "A 20233-2026")</f>
        <v/>
      </c>
      <c r="AB938">
        <f>HYPERLINK("https://klasma.github.io/Logging_2101/klagomålsmail/A 20233-2026 FSC-klagomål mail.docx", "A 20233-2026")</f>
        <v/>
      </c>
      <c r="AC938">
        <f>HYPERLINK("https://klasma.github.io/Logging_2101/tillsyn/A 20233-2026 tillsynsbegäran.docx", "A 20233-2026")</f>
        <v/>
      </c>
      <c r="AD938">
        <f>HYPERLINK("https://klasma.github.io/Logging_2101/tillsynsmail/A 20233-2026 tillsynsbegäran mail.docx", "A 20233-2026")</f>
        <v/>
      </c>
    </row>
    <row r="939" ht="15" customHeight="1">
      <c r="A939" t="inlineStr">
        <is>
          <t>A 5078-2026</t>
        </is>
      </c>
      <c r="B939" t="inlineStr">
        <is>
          <t>avverkningsanmälan</t>
        </is>
      </c>
      <c r="C939" t="inlineStr">
        <is>
          <t>Föryngringsavverkning</t>
        </is>
      </c>
      <c r="D939" s="1" t="n">
        <v>46049</v>
      </c>
      <c r="E939" s="1" t="n">
        <v>46326</v>
      </c>
      <c r="F939" t="inlineStr">
        <is>
          <t>GÄVLEBORGS LÄN</t>
        </is>
      </c>
      <c r="G939" t="inlineStr">
        <is>
          <t>OVANÅKER</t>
        </is>
      </c>
      <c r="I939" t="n">
        <v>8.5</v>
      </c>
      <c r="J939" t="n">
        <v>1</v>
      </c>
      <c r="K939" t="n">
        <v>0</v>
      </c>
      <c r="L939" t="n">
        <v>0</v>
      </c>
      <c r="M939" t="n">
        <v>1</v>
      </c>
      <c r="N939" t="n">
        <v>0</v>
      </c>
      <c r="O939" t="n">
        <v>0</v>
      </c>
      <c r="P939" t="n">
        <v>0</v>
      </c>
      <c r="Q939" t="n">
        <v>1</v>
      </c>
      <c r="R939" t="n">
        <v>1</v>
      </c>
      <c r="S939" t="n">
        <v>1</v>
      </c>
      <c r="T939" t="n">
        <v>1</v>
      </c>
      <c r="U939" t="n">
        <v>0</v>
      </c>
      <c r="V939" s="2" t="inlineStr">
        <is>
          <t>Knärot</t>
        </is>
      </c>
      <c r="W939">
        <f>HYPERLINK("https://klasma.github.io/Logging_2121/artfynd/A 5078-2026 artfynd.xlsx", "A 5078-2026")</f>
        <v/>
      </c>
      <c r="X939">
        <f>HYPERLINK("https://klasma.github.io/Logging_2121/kartor/A 5078-2026 karta.png", "A 5078-2026")</f>
        <v/>
      </c>
      <c r="Y939">
        <f>HYPERLINK("https://klasma.github.io/Logging_2121/kartor_geotiff/A 5078-2026 georefererad karta.tif", "A 5078-2026")</f>
        <v/>
      </c>
      <c r="Z939">
        <f>HYPERLINK("https://klasma.github.io/Logging_2121/knärot/A 5078-2026 karta knärot.png", "A 5078-2026")</f>
        <v/>
      </c>
      <c r="AA939">
        <f>HYPERLINK("https://klasma.github.io/Logging_2121/klagomål/A 5078-2026 FSC-klagomål.docx", "A 5078-2026")</f>
        <v/>
      </c>
      <c r="AB939">
        <f>HYPERLINK("https://klasma.github.io/Logging_2121/klagomålsmail/A 5078-2026 FSC-klagomål mail.docx", "A 5078-2026")</f>
        <v/>
      </c>
      <c r="AC939">
        <f>HYPERLINK("https://klasma.github.io/Logging_2121/tillsyn/A 5078-2026 tillsynsbegäran.docx", "A 5078-2026")</f>
        <v/>
      </c>
      <c r="AD939">
        <f>HYPERLINK("https://klasma.github.io/Logging_2121/tillsynsmail/A 5078-2026 tillsynsbegäran mail.docx", "A 5078-2026")</f>
        <v/>
      </c>
    </row>
    <row r="940" ht="15" customHeight="1">
      <c r="A940" t="inlineStr">
        <is>
          <t>A 14392-2025</t>
        </is>
      </c>
      <c r="B940" t="inlineStr">
        <is>
          <t>avverkningsanmälan</t>
        </is>
      </c>
      <c r="C940" t="inlineStr">
        <is>
          <t>Föryngringsavverkning</t>
        </is>
      </c>
      <c r="D940" s="1" t="n">
        <v>45741</v>
      </c>
      <c r="E940" s="1" t="n">
        <v>46326</v>
      </c>
      <c r="F940" t="inlineStr">
        <is>
          <t>GÄVLEBORGS LÄN</t>
        </is>
      </c>
      <c r="G940" t="inlineStr">
        <is>
          <t>NORDANSTIG</t>
        </is>
      </c>
      <c r="I940" t="n">
        <v>28.6</v>
      </c>
      <c r="J940" t="n">
        <v>0</v>
      </c>
      <c r="K940" t="n">
        <v>0</v>
      </c>
      <c r="L940" t="n">
        <v>1</v>
      </c>
      <c r="M940" t="n">
        <v>0</v>
      </c>
      <c r="N940" t="n">
        <v>0</v>
      </c>
      <c r="O940" t="n">
        <v>0</v>
      </c>
      <c r="P940" t="n">
        <v>0</v>
      </c>
      <c r="Q940" t="n">
        <v>1</v>
      </c>
      <c r="R940" t="n">
        <v>0</v>
      </c>
      <c r="S940" t="n">
        <v>1</v>
      </c>
      <c r="T940" t="n">
        <v>1</v>
      </c>
      <c r="U940" t="n">
        <v>0</v>
      </c>
      <c r="V940" s="2" t="inlineStr">
        <is>
          <t>Violettgrå tagellav</t>
        </is>
      </c>
      <c r="W940">
        <f>HYPERLINK("https://klasma.github.io/Logging_2132/artfynd/A 14392-2025 artfynd.xlsx", "A 14392-2025")</f>
        <v/>
      </c>
      <c r="X940">
        <f>HYPERLINK("https://klasma.github.io/Logging_2132/kartor/A 14392-2025 karta.png", "A 14392-2025")</f>
        <v/>
      </c>
      <c r="Y940">
        <f>HYPERLINK("https://klasma.github.io/Logging_2132/kartor_geotiff/A 14392-2025 georefererad karta.tif", "A 14392-2025")</f>
        <v/>
      </c>
      <c r="AA940">
        <f>HYPERLINK("https://klasma.github.io/Logging_2132/klagomål/A 14392-2025 FSC-klagomål.docx", "A 14392-2025")</f>
        <v/>
      </c>
      <c r="AB940">
        <f>HYPERLINK("https://klasma.github.io/Logging_2132/klagomålsmail/A 14392-2025 FSC-klagomål mail.docx", "A 14392-2025")</f>
        <v/>
      </c>
      <c r="AC940">
        <f>HYPERLINK("https://klasma.github.io/Logging_2132/tillsyn/A 14392-2025 tillsynsbegäran.docx", "A 14392-2025")</f>
        <v/>
      </c>
      <c r="AD940">
        <f>HYPERLINK("https://klasma.github.io/Logging_2132/tillsynsmail/A 14392-2025 tillsynsbegäran mail.docx", "A 14392-2025")</f>
        <v/>
      </c>
    </row>
    <row r="941" ht="15" customHeight="1">
      <c r="A941" t="inlineStr">
        <is>
          <t>A 31515-2025</t>
        </is>
      </c>
      <c r="B941" t="inlineStr">
        <is>
          <t>avverkningsanmälan</t>
        </is>
      </c>
      <c r="C941" t="inlineStr">
        <is>
          <t>Föryngringsavverkning</t>
        </is>
      </c>
      <c r="D941" s="1" t="n">
        <v>45833</v>
      </c>
      <c r="E941" s="1" t="n">
        <v>46326</v>
      </c>
      <c r="F941" t="inlineStr">
        <is>
          <t>GÄVLEBORGS LÄN</t>
        </is>
      </c>
      <c r="G941" t="inlineStr">
        <is>
          <t>LJUSDAL</t>
        </is>
      </c>
      <c r="I941" t="n">
        <v>4.6</v>
      </c>
      <c r="J941" t="n">
        <v>0</v>
      </c>
      <c r="K941" t="n">
        <v>0</v>
      </c>
      <c r="L941" t="n">
        <v>0</v>
      </c>
      <c r="M941" t="n">
        <v>1</v>
      </c>
      <c r="N941" t="n">
        <v>0</v>
      </c>
      <c r="O941" t="n">
        <v>0</v>
      </c>
      <c r="P941" t="n">
        <v>0</v>
      </c>
      <c r="Q941" t="n">
        <v>1</v>
      </c>
      <c r="R941" t="n">
        <v>1</v>
      </c>
      <c r="S941" t="n">
        <v>1</v>
      </c>
      <c r="T941" t="n">
        <v>1</v>
      </c>
      <c r="U941" t="n">
        <v>0</v>
      </c>
      <c r="V941" s="2" t="inlineStr">
        <is>
          <t>Garnlav</t>
        </is>
      </c>
      <c r="W941">
        <f>HYPERLINK("https://klasma.github.io/Logging_2161/artfynd/A 31515-2025 artfynd.xlsx", "A 31515-2025")</f>
        <v/>
      </c>
      <c r="X941">
        <f>HYPERLINK("https://klasma.github.io/Logging_2161/kartor/A 31515-2025 karta.png", "A 31515-2025")</f>
        <v/>
      </c>
      <c r="Y941">
        <f>HYPERLINK("https://klasma.github.io/Logging_2161/kartor_geotiff/A 31515-2025 georefererad karta.tif", "A 31515-2025")</f>
        <v/>
      </c>
      <c r="AA941">
        <f>HYPERLINK("https://klasma.github.io/Logging_2161/klagomål/A 31515-2025 FSC-klagomål.docx", "A 31515-2025")</f>
        <v/>
      </c>
      <c r="AB941">
        <f>HYPERLINK("https://klasma.github.io/Logging_2161/klagomålsmail/A 31515-2025 FSC-klagomål mail.docx", "A 31515-2025")</f>
        <v/>
      </c>
      <c r="AC941">
        <f>HYPERLINK("https://klasma.github.io/Logging_2161/tillsyn/A 31515-2025 tillsynsbegäran.docx", "A 31515-2025")</f>
        <v/>
      </c>
      <c r="AD941">
        <f>HYPERLINK("https://klasma.github.io/Logging_2161/tillsynsmail/A 31515-2025 tillsynsbegäran mail.docx", "A 31515-2025")</f>
        <v/>
      </c>
    </row>
    <row r="942" ht="15" customHeight="1">
      <c r="A942" t="inlineStr">
        <is>
          <t>A 14714-2026</t>
        </is>
      </c>
      <c r="B942" t="inlineStr">
        <is>
          <t>avverkningsanmälan</t>
        </is>
      </c>
      <c r="C942" t="inlineStr">
        <is>
          <t>Föryngringsavverkning</t>
        </is>
      </c>
      <c r="D942" s="1" t="n">
        <v>46101</v>
      </c>
      <c r="E942" s="1" t="n">
        <v>46326</v>
      </c>
      <c r="F942" t="inlineStr">
        <is>
          <t>GÄVLEBORGS LÄN</t>
        </is>
      </c>
      <c r="G942" t="inlineStr">
        <is>
          <t>GÄVLE</t>
        </is>
      </c>
      <c r="H942" t="inlineStr">
        <is>
          <t>Bergvik skog öst AB</t>
        </is>
      </c>
      <c r="I942" t="n">
        <v>1.8</v>
      </c>
      <c r="J942" t="n">
        <v>1</v>
      </c>
      <c r="K942" t="n">
        <v>0</v>
      </c>
      <c r="L942" t="n">
        <v>0</v>
      </c>
      <c r="M942" t="n">
        <v>0</v>
      </c>
      <c r="N942" t="n">
        <v>0</v>
      </c>
      <c r="O942" t="n">
        <v>0</v>
      </c>
      <c r="P942" t="n">
        <v>0</v>
      </c>
      <c r="Q942" t="n">
        <v>0</v>
      </c>
      <c r="R942" t="n">
        <v>0</v>
      </c>
      <c r="S942" t="n">
        <v>1</v>
      </c>
      <c r="T942" t="n">
        <v>2</v>
      </c>
      <c r="U942" t="n">
        <v>0</v>
      </c>
      <c r="V942" s="2" t="inlineStr">
        <is>
          <t>Tjäder</t>
        </is>
      </c>
      <c r="W942">
        <f>HYPERLINK("https://klasma.github.io/Logging_2180/artfynd/A 14714-2026 artfynd.xlsx", "A 14714-2026")</f>
        <v/>
      </c>
      <c r="X942">
        <f>HYPERLINK("https://klasma.github.io/Logging_2180/kartor/A 14714-2026 karta.png", "A 14714-2026")</f>
        <v/>
      </c>
      <c r="Y942">
        <f>HYPERLINK("https://klasma.github.io/Logging_2180/kartor_geotiff/A 14714-2026 georefererad karta.tif", "A 14714-2026")</f>
        <v/>
      </c>
      <c r="AA942">
        <f>HYPERLINK("https://klasma.github.io/Logging_2180/klagomål/A 14714-2026 FSC-klagomål.docx", "A 14714-2026")</f>
        <v/>
      </c>
      <c r="AB942">
        <f>HYPERLINK("https://klasma.github.io/Logging_2180/klagomålsmail/A 14714-2026 FSC-klagomål mail.docx", "A 14714-2026")</f>
        <v/>
      </c>
      <c r="AC942">
        <f>HYPERLINK("https://klasma.github.io/Logging_2180/tillsyn/A 14714-2026 tillsynsbegäran.docx", "A 14714-2026")</f>
        <v/>
      </c>
      <c r="AD942">
        <f>HYPERLINK("https://klasma.github.io/Logging_2180/tillsynsmail/A 14714-2026 tillsynsbegäran mail.docx", "A 14714-2026")</f>
        <v/>
      </c>
      <c r="AE942">
        <f>HYPERLINK("https://klasma.github.io/Logging_2180/fåglar/A 14714-2026 prioriterade fågelarter.docx", "A 14714-2026")</f>
        <v/>
      </c>
    </row>
    <row r="943" ht="15" customHeight="1">
      <c r="A943" t="inlineStr">
        <is>
          <t>A 30371-2025</t>
        </is>
      </c>
      <c r="B943" t="inlineStr">
        <is>
          <t>avverkningsanmälan</t>
        </is>
      </c>
      <c r="C943" t="inlineStr">
        <is>
          <t>Föryngringsavverkning</t>
        </is>
      </c>
      <c r="D943" s="1" t="n">
        <v>45827</v>
      </c>
      <c r="E943" s="1" t="n">
        <v>46326</v>
      </c>
      <c r="F943" t="inlineStr">
        <is>
          <t>GÄVLEBORGS LÄN</t>
        </is>
      </c>
      <c r="G943" t="inlineStr">
        <is>
          <t>LJUSDAL</t>
        </is>
      </c>
      <c r="H943" t="inlineStr">
        <is>
          <t>Sveaskog</t>
        </is>
      </c>
      <c r="I943" t="n">
        <v>4.6</v>
      </c>
      <c r="J943" t="n">
        <v>0</v>
      </c>
      <c r="K943" t="n">
        <v>0</v>
      </c>
      <c r="L943" t="n">
        <v>1</v>
      </c>
      <c r="M943" t="n">
        <v>0</v>
      </c>
      <c r="N943" t="n">
        <v>0</v>
      </c>
      <c r="O943" t="n">
        <v>0</v>
      </c>
      <c r="P943" t="n">
        <v>0</v>
      </c>
      <c r="Q943" t="n">
        <v>1</v>
      </c>
      <c r="R943" t="n">
        <v>0</v>
      </c>
      <c r="S943" t="n">
        <v>1</v>
      </c>
      <c r="T943" t="n">
        <v>1</v>
      </c>
      <c r="U943" t="n">
        <v>0</v>
      </c>
      <c r="V943" s="2" t="inlineStr">
        <is>
          <t>Kolflarnlav</t>
        </is>
      </c>
      <c r="W943">
        <f>HYPERLINK("https://klasma.github.io/Logging_2161/artfynd/A 30371-2025 artfynd.xlsx", "A 30371-2025")</f>
        <v/>
      </c>
      <c r="X943">
        <f>HYPERLINK("https://klasma.github.io/Logging_2161/kartor/A 30371-2025 karta.png", "A 30371-2025")</f>
        <v/>
      </c>
      <c r="Y943">
        <f>HYPERLINK("https://klasma.github.io/Logging_2161/kartor_geotiff/A 30371-2025 georefererad karta.tif", "A 30371-2025")</f>
        <v/>
      </c>
      <c r="AA943">
        <f>HYPERLINK("https://klasma.github.io/Logging_2161/klagomål/A 30371-2025 FSC-klagomål.docx", "A 30371-2025")</f>
        <v/>
      </c>
      <c r="AB943">
        <f>HYPERLINK("https://klasma.github.io/Logging_2161/klagomålsmail/A 30371-2025 FSC-klagomål mail.docx", "A 30371-2025")</f>
        <v/>
      </c>
      <c r="AC943">
        <f>HYPERLINK("https://klasma.github.io/Logging_2161/tillsyn/A 30371-2025 tillsynsbegäran.docx", "A 30371-2025")</f>
        <v/>
      </c>
      <c r="AD943">
        <f>HYPERLINK("https://klasma.github.io/Logging_2161/tillsynsmail/A 30371-2025 tillsynsbegäran mail.docx", "A 30371-2025")</f>
        <v/>
      </c>
    </row>
    <row r="944" ht="15" customHeight="1">
      <c r="A944" t="inlineStr">
        <is>
          <t>A 6111-2026</t>
        </is>
      </c>
      <c r="B944" t="inlineStr">
        <is>
          <t>avverkningsanmälan</t>
        </is>
      </c>
      <c r="C944" t="inlineStr">
        <is>
          <t>Föryngringsavverkning</t>
        </is>
      </c>
      <c r="D944" s="1" t="n">
        <v>46053</v>
      </c>
      <c r="E944" s="1" t="n">
        <v>46326</v>
      </c>
      <c r="F944" t="inlineStr">
        <is>
          <t>GÄVLEBORGS LÄN</t>
        </is>
      </c>
      <c r="G944" t="inlineStr">
        <is>
          <t>OVANÅKER</t>
        </is>
      </c>
      <c r="I944" t="n">
        <v>1.1</v>
      </c>
      <c r="J944" t="n">
        <v>1</v>
      </c>
      <c r="K944" t="n">
        <v>0</v>
      </c>
      <c r="L944" t="n">
        <v>0</v>
      </c>
      <c r="M944" t="n">
        <v>1</v>
      </c>
      <c r="N944" t="n">
        <v>0</v>
      </c>
      <c r="O944" t="n">
        <v>0</v>
      </c>
      <c r="P944" t="n">
        <v>0</v>
      </c>
      <c r="Q944" t="n">
        <v>1</v>
      </c>
      <c r="R944" t="n">
        <v>1</v>
      </c>
      <c r="S944" t="n">
        <v>1</v>
      </c>
      <c r="T944" t="n">
        <v>1</v>
      </c>
      <c r="U944" t="n">
        <v>0</v>
      </c>
      <c r="V944" s="2" t="inlineStr">
        <is>
          <t>Knärot</t>
        </is>
      </c>
      <c r="W944">
        <f>HYPERLINK("https://klasma.github.io/Logging_2121/artfynd/A 6111-2026 artfynd.xlsx", "A 6111-2026")</f>
        <v/>
      </c>
      <c r="X944">
        <f>HYPERLINK("https://klasma.github.io/Logging_2121/kartor/A 6111-2026 karta.png", "A 6111-2026")</f>
        <v/>
      </c>
      <c r="Y944">
        <f>HYPERLINK("https://klasma.github.io/Logging_2121/kartor_geotiff/A 6111-2026 georefererad karta.tif", "A 6111-2026")</f>
        <v/>
      </c>
      <c r="Z944">
        <f>HYPERLINK("https://klasma.github.io/Logging_2121/knärot/A 6111-2026 karta knärot.png", "A 6111-2026")</f>
        <v/>
      </c>
      <c r="AA944">
        <f>HYPERLINK("https://klasma.github.io/Logging_2121/klagomål/A 6111-2026 FSC-klagomål.docx", "A 6111-2026")</f>
        <v/>
      </c>
      <c r="AB944">
        <f>HYPERLINK("https://klasma.github.io/Logging_2121/klagomålsmail/A 6111-2026 FSC-klagomål mail.docx", "A 6111-2026")</f>
        <v/>
      </c>
      <c r="AC944">
        <f>HYPERLINK("https://klasma.github.io/Logging_2121/tillsyn/A 6111-2026 tillsynsbegäran.docx", "A 6111-2026")</f>
        <v/>
      </c>
      <c r="AD944">
        <f>HYPERLINK("https://klasma.github.io/Logging_2121/tillsynsmail/A 6111-2026 tillsynsbegäran mail.docx", "A 6111-2026")</f>
        <v/>
      </c>
    </row>
    <row r="945" ht="15" customHeight="1">
      <c r="A945" t="inlineStr">
        <is>
          <t>A 22863-2023</t>
        </is>
      </c>
      <c r="B945" t="inlineStr">
        <is>
          <t>avverkningsanmälan</t>
        </is>
      </c>
      <c r="C945" t="inlineStr">
        <is>
          <t>Föryngringsavverkning</t>
        </is>
      </c>
      <c r="D945" s="1" t="n">
        <v>45072</v>
      </c>
      <c r="E945" s="1" t="n">
        <v>46326</v>
      </c>
      <c r="F945" t="inlineStr">
        <is>
          <t>GÄVLEBORGS LÄN</t>
        </is>
      </c>
      <c r="G945" t="inlineStr">
        <is>
          <t>NORDANSTIG</t>
        </is>
      </c>
      <c r="I945" t="n">
        <v>1.9</v>
      </c>
      <c r="J945" t="n">
        <v>0</v>
      </c>
      <c r="K945" t="n">
        <v>0</v>
      </c>
      <c r="L945" t="n">
        <v>0</v>
      </c>
      <c r="M945" t="n">
        <v>1</v>
      </c>
      <c r="N945" t="n">
        <v>0</v>
      </c>
      <c r="O945" t="n">
        <v>0</v>
      </c>
      <c r="P945" t="n">
        <v>0</v>
      </c>
      <c r="Q945" t="n">
        <v>1</v>
      </c>
      <c r="R945" t="n">
        <v>1</v>
      </c>
      <c r="S945" t="n">
        <v>1</v>
      </c>
      <c r="T945" t="n">
        <v>1</v>
      </c>
      <c r="U945" t="n">
        <v>1</v>
      </c>
      <c r="V945" s="2" t="inlineStr">
        <is>
          <t>Igelkott</t>
        </is>
      </c>
      <c r="W945">
        <f>HYPERLINK("https://klasma.github.io/Logging_2132/artfynd/A 22863-2023 artfynd.xlsx", "A 22863-2023")</f>
        <v/>
      </c>
      <c r="X945">
        <f>HYPERLINK("https://klasma.github.io/Logging_2132/kartor/A 22863-2023 karta.png", "A 22863-2023")</f>
        <v/>
      </c>
      <c r="Y945">
        <f>HYPERLINK("https://klasma.github.io/Logging_2132/kartor_geotiff/A 22863-2023 georefererad karta.tif", "A 22863-2023")</f>
        <v/>
      </c>
      <c r="AA945">
        <f>HYPERLINK("https://klasma.github.io/Logging_2132/klagomål/A 22863-2023 FSC-klagomål.docx", "A 22863-2023")</f>
        <v/>
      </c>
      <c r="AB945">
        <f>HYPERLINK("https://klasma.github.io/Logging_2132/klagomålsmail/A 22863-2023 FSC-klagomål mail.docx", "A 22863-2023")</f>
        <v/>
      </c>
      <c r="AC945">
        <f>HYPERLINK("https://klasma.github.io/Logging_2132/tillsyn/A 22863-2023 tillsynsbegäran.docx", "A 22863-2023")</f>
        <v/>
      </c>
      <c r="AD945">
        <f>HYPERLINK("https://klasma.github.io/Logging_2132/tillsynsmail/A 22863-2023 tillsynsbegäran mail.docx", "A 22863-2023")</f>
        <v/>
      </c>
    </row>
    <row r="946" ht="15" customHeight="1">
      <c r="A946" t="inlineStr">
        <is>
          <t>A 12381-2023</t>
        </is>
      </c>
      <c r="B946" t="inlineStr">
        <is>
          <t>avverkningsanmälan</t>
        </is>
      </c>
      <c r="C946" t="inlineStr">
        <is>
          <t>Föryngringsavverkning</t>
        </is>
      </c>
      <c r="D946" s="1" t="n">
        <v>44999</v>
      </c>
      <c r="E946" s="1" t="n">
        <v>46326</v>
      </c>
      <c r="F946" t="inlineStr">
        <is>
          <t>GÄVLEBORGS LÄN</t>
        </is>
      </c>
      <c r="G946" t="inlineStr">
        <is>
          <t>GÄVLE</t>
        </is>
      </c>
      <c r="I946" t="n">
        <v>4</v>
      </c>
      <c r="J946" t="n">
        <v>1</v>
      </c>
      <c r="K946" t="n">
        <v>0</v>
      </c>
      <c r="L946" t="n">
        <v>1</v>
      </c>
      <c r="M946" t="n">
        <v>0</v>
      </c>
      <c r="N946" t="n">
        <v>0</v>
      </c>
      <c r="O946" t="n">
        <v>0</v>
      </c>
      <c r="P946" t="n">
        <v>0</v>
      </c>
      <c r="Q946" t="n">
        <v>1</v>
      </c>
      <c r="R946" t="n">
        <v>0</v>
      </c>
      <c r="S946" t="n">
        <v>1</v>
      </c>
      <c r="T946" t="n">
        <v>1</v>
      </c>
      <c r="U946" t="n">
        <v>1</v>
      </c>
      <c r="V946" s="2" t="inlineStr">
        <is>
          <t>Brunlångöra</t>
        </is>
      </c>
      <c r="W946">
        <f>HYPERLINK("https://klasma.github.io/Logging_2180/artfynd/A 12381-2023 artfynd.xlsx", "A 12381-2023")</f>
        <v/>
      </c>
      <c r="X946">
        <f>HYPERLINK("https://klasma.github.io/Logging_2180/kartor/A 12381-2023 karta.png", "A 12381-2023")</f>
        <v/>
      </c>
      <c r="Y946">
        <f>HYPERLINK("https://klasma.github.io/Logging_2180/kartor_geotiff/A 12381-2023 georefererad karta.tif", "A 12381-2023")</f>
        <v/>
      </c>
      <c r="AA946">
        <f>HYPERLINK("https://klasma.github.io/Logging_2180/klagomål/A 12381-2023 FSC-klagomål.docx", "A 12381-2023")</f>
        <v/>
      </c>
      <c r="AB946">
        <f>HYPERLINK("https://klasma.github.io/Logging_2180/klagomålsmail/A 12381-2023 FSC-klagomål mail.docx", "A 12381-2023")</f>
        <v/>
      </c>
      <c r="AC946">
        <f>HYPERLINK("https://klasma.github.io/Logging_2180/tillsyn/A 12381-2023 tillsynsbegäran.docx", "A 12381-2023")</f>
        <v/>
      </c>
      <c r="AD946">
        <f>HYPERLINK("https://klasma.github.io/Logging_2180/tillsynsmail/A 12381-2023 tillsynsbegäran mail.docx", "A 12381-2023")</f>
        <v/>
      </c>
    </row>
    <row r="947" ht="15" customHeight="1">
      <c r="A947" t="inlineStr">
        <is>
          <t>A 4107-2026</t>
        </is>
      </c>
      <c r="B947" t="inlineStr">
        <is>
          <t>avverkningsanmälan</t>
        </is>
      </c>
      <c r="C947" t="inlineStr">
        <is>
          <t>Föryngringsavverkning</t>
        </is>
      </c>
      <c r="D947" s="1" t="n">
        <v>46044</v>
      </c>
      <c r="E947" s="1" t="n">
        <v>46326</v>
      </c>
      <c r="F947" t="inlineStr">
        <is>
          <t>GÄVLEBORGS LÄN</t>
        </is>
      </c>
      <c r="G947" t="inlineStr">
        <is>
          <t>HUDIKSVALL</t>
        </is>
      </c>
      <c r="I947" t="n">
        <v>0.9</v>
      </c>
      <c r="J947" t="n">
        <v>1</v>
      </c>
      <c r="K947" t="n">
        <v>0</v>
      </c>
      <c r="L947" t="n">
        <v>0</v>
      </c>
      <c r="M947" t="n">
        <v>0</v>
      </c>
      <c r="N947" t="n">
        <v>0</v>
      </c>
      <c r="O947" t="n">
        <v>0</v>
      </c>
      <c r="P947" t="n">
        <v>0</v>
      </c>
      <c r="Q947" t="n">
        <v>0</v>
      </c>
      <c r="R947" t="n">
        <v>0</v>
      </c>
      <c r="S947" t="n">
        <v>1</v>
      </c>
      <c r="T947" t="n">
        <v>1</v>
      </c>
      <c r="U947" t="n">
        <v>0</v>
      </c>
      <c r="V947" s="2" t="inlineStr">
        <is>
          <t>Järpe</t>
        </is>
      </c>
      <c r="W947">
        <f>HYPERLINK("https://klasma.github.io/Logging_2184/artfynd/A 4107-2026 artfynd.xlsx", "A 4107-2026")</f>
        <v/>
      </c>
      <c r="X947">
        <f>HYPERLINK("https://klasma.github.io/Logging_2184/kartor/A 4107-2026 karta.png", "A 4107-2026")</f>
        <v/>
      </c>
      <c r="Y947">
        <f>HYPERLINK("https://klasma.github.io/Logging_2184/kartor_geotiff/A 4107-2026 georefererad karta.tif", "A 4107-2026")</f>
        <v/>
      </c>
      <c r="AA947">
        <f>HYPERLINK("https://klasma.github.io/Logging_2184/klagomål/A 4107-2026 FSC-klagomål.docx", "A 4107-2026")</f>
        <v/>
      </c>
      <c r="AB947">
        <f>HYPERLINK("https://klasma.github.io/Logging_2184/klagomålsmail/A 4107-2026 FSC-klagomål mail.docx", "A 4107-2026")</f>
        <v/>
      </c>
      <c r="AC947">
        <f>HYPERLINK("https://klasma.github.io/Logging_2184/tillsyn/A 4107-2026 tillsynsbegäran.docx", "A 4107-2026")</f>
        <v/>
      </c>
      <c r="AD947">
        <f>HYPERLINK("https://klasma.github.io/Logging_2184/tillsynsmail/A 4107-2026 tillsynsbegäran mail.docx", "A 4107-2026")</f>
        <v/>
      </c>
      <c r="AE947">
        <f>HYPERLINK("https://klasma.github.io/Logging_2184/fåglar/A 4107-2026 prioriterade fågelarter.docx", "A 4107-2026")</f>
        <v/>
      </c>
    </row>
    <row r="948" ht="15" customHeight="1">
      <c r="A948" t="inlineStr">
        <is>
          <t>A 21282-2024</t>
        </is>
      </c>
      <c r="B948" t="inlineStr">
        <is>
          <t>avverkningsanmälan</t>
        </is>
      </c>
      <c r="C948" t="inlineStr">
        <is>
          <t>Föryngringsavverkning</t>
        </is>
      </c>
      <c r="D948" s="1" t="n">
        <v>45440</v>
      </c>
      <c r="E948" s="1" t="n">
        <v>46326</v>
      </c>
      <c r="F948" t="inlineStr">
        <is>
          <t>GÄVLEBORGS LÄN</t>
        </is>
      </c>
      <c r="G948" t="inlineStr">
        <is>
          <t>GÄVLE</t>
        </is>
      </c>
      <c r="I948" t="n">
        <v>7.4</v>
      </c>
      <c r="J948" t="n">
        <v>0</v>
      </c>
      <c r="K948" t="n">
        <v>0</v>
      </c>
      <c r="L948" t="n">
        <v>1</v>
      </c>
      <c r="M948" t="n">
        <v>0</v>
      </c>
      <c r="N948" t="n">
        <v>0</v>
      </c>
      <c r="O948" t="n">
        <v>0</v>
      </c>
      <c r="P948" t="n">
        <v>0</v>
      </c>
      <c r="Q948" t="n">
        <v>1</v>
      </c>
      <c r="R948" t="n">
        <v>0</v>
      </c>
      <c r="S948" t="n">
        <v>1</v>
      </c>
      <c r="T948" t="n">
        <v>2</v>
      </c>
      <c r="U948" t="n">
        <v>1</v>
      </c>
      <c r="V948" s="2" t="inlineStr">
        <is>
          <t>Skogsklocka</t>
        </is>
      </c>
      <c r="W948">
        <f>HYPERLINK("https://klasma.github.io/Logging_2180/artfynd/A 21282-2024 artfynd.xlsx", "A 21282-2024")</f>
        <v/>
      </c>
      <c r="X948">
        <f>HYPERLINK("https://klasma.github.io/Logging_2180/kartor/A 21282-2024 karta.png", "A 21282-2024")</f>
        <v/>
      </c>
      <c r="Y948">
        <f>HYPERLINK("https://klasma.github.io/Logging_2180/kartor_geotiff/A 21282-2024 georefererad karta.tif", "A 21282-2024")</f>
        <v/>
      </c>
      <c r="AA948">
        <f>HYPERLINK("https://klasma.github.io/Logging_2180/klagomål/A 21282-2024 FSC-klagomål.docx", "A 21282-2024")</f>
        <v/>
      </c>
      <c r="AB948">
        <f>HYPERLINK("https://klasma.github.io/Logging_2180/klagomålsmail/A 21282-2024 FSC-klagomål mail.docx", "A 21282-2024")</f>
        <v/>
      </c>
      <c r="AC948">
        <f>HYPERLINK("https://klasma.github.io/Logging_2180/tillsyn/A 21282-2024 tillsynsbegäran.docx", "A 21282-2024")</f>
        <v/>
      </c>
      <c r="AD948">
        <f>HYPERLINK("https://klasma.github.io/Logging_2180/tillsynsmail/A 21282-2024 tillsynsbegäran mail.docx", "A 21282-2024")</f>
        <v/>
      </c>
    </row>
    <row r="949" ht="15" customHeight="1">
      <c r="A949" t="inlineStr">
        <is>
          <t>A 13745-2023</t>
        </is>
      </c>
      <c r="B949" t="inlineStr">
        <is>
          <t>avverkningsanmälan</t>
        </is>
      </c>
      <c r="C949" t="inlineStr">
        <is>
          <t>Föryngringsavverkning</t>
        </is>
      </c>
      <c r="D949" s="1" t="n">
        <v>45007</v>
      </c>
      <c r="E949" s="1" t="n">
        <v>46326</v>
      </c>
      <c r="F949" t="inlineStr">
        <is>
          <t>GÄVLEBORGS LÄN</t>
        </is>
      </c>
      <c r="G949" t="inlineStr">
        <is>
          <t>HOFORS</t>
        </is>
      </c>
      <c r="H949" t="inlineStr">
        <is>
          <t>Övriga statliga verk och myndigheter</t>
        </is>
      </c>
      <c r="I949" t="n">
        <v>0.5</v>
      </c>
      <c r="J949" t="n">
        <v>0</v>
      </c>
      <c r="K949" t="n">
        <v>0</v>
      </c>
      <c r="L949" t="n">
        <v>1</v>
      </c>
      <c r="M949" t="n">
        <v>0</v>
      </c>
      <c r="N949" t="n">
        <v>0</v>
      </c>
      <c r="O949" t="n">
        <v>0</v>
      </c>
      <c r="P949" t="n">
        <v>0</v>
      </c>
      <c r="Q949" t="n">
        <v>1</v>
      </c>
      <c r="R949" t="n">
        <v>0</v>
      </c>
      <c r="S949" t="n">
        <v>1</v>
      </c>
      <c r="T949" t="n">
        <v>1</v>
      </c>
      <c r="U949" t="n">
        <v>1</v>
      </c>
      <c r="V949" s="2" t="inlineStr">
        <is>
          <t>Stiftgelélav</t>
        </is>
      </c>
      <c r="W949">
        <f>HYPERLINK("https://klasma.github.io/Logging_2104/artfynd/A 13745-2023 artfynd.xlsx", "A 13745-2023")</f>
        <v/>
      </c>
      <c r="X949">
        <f>HYPERLINK("https://klasma.github.io/Logging_2104/kartor/A 13745-2023 karta.png", "A 13745-2023")</f>
        <v/>
      </c>
      <c r="Y949">
        <f>HYPERLINK("https://klasma.github.io/Logging_2104/kartor_geotiff/A 13745-2023 georefererad karta.tif", "A 13745-2023")</f>
        <v/>
      </c>
      <c r="AA949">
        <f>HYPERLINK("https://klasma.github.io/Logging_2104/klagomål/A 13745-2023 FSC-klagomål.docx", "A 13745-2023")</f>
        <v/>
      </c>
      <c r="AB949">
        <f>HYPERLINK("https://klasma.github.io/Logging_2104/klagomålsmail/A 13745-2023 FSC-klagomål mail.docx", "A 13745-2023")</f>
        <v/>
      </c>
      <c r="AC949">
        <f>HYPERLINK("https://klasma.github.io/Logging_2104/tillsyn/A 13745-2023 tillsynsbegäran.docx", "A 13745-2023")</f>
        <v/>
      </c>
      <c r="AD949">
        <f>HYPERLINK("https://klasma.github.io/Logging_2104/tillsynsmail/A 13745-2023 tillsynsbegäran mail.docx", "A 13745-2023")</f>
        <v/>
      </c>
    </row>
    <row r="950" ht="15" customHeight="1">
      <c r="A950" t="inlineStr">
        <is>
          <t>A 57932-2024</t>
        </is>
      </c>
      <c r="B950" t="inlineStr">
        <is>
          <t>avverkningsanmälan</t>
        </is>
      </c>
      <c r="C950" t="inlineStr">
        <is>
          <t>Föryngringsavverkning</t>
        </is>
      </c>
      <c r="D950" s="1" t="n">
        <v>45631</v>
      </c>
      <c r="E950" s="1" t="n">
        <v>46326</v>
      </c>
      <c r="F950" t="inlineStr">
        <is>
          <t>GÄVLEBORGS LÄN</t>
        </is>
      </c>
      <c r="G950" t="inlineStr">
        <is>
          <t>GÄVLE</t>
        </is>
      </c>
      <c r="H950" t="inlineStr">
        <is>
          <t>Bergvik skog öst AB</t>
        </is>
      </c>
      <c r="I950" t="n">
        <v>48.7</v>
      </c>
      <c r="J950" t="n">
        <v>1</v>
      </c>
      <c r="K950" t="n">
        <v>0</v>
      </c>
      <c r="L950" t="n">
        <v>0</v>
      </c>
      <c r="M950" t="n">
        <v>0</v>
      </c>
      <c r="N950" t="n">
        <v>0</v>
      </c>
      <c r="O950" t="n">
        <v>0</v>
      </c>
      <c r="P950" t="n">
        <v>0</v>
      </c>
      <c r="Q950" t="n">
        <v>0</v>
      </c>
      <c r="R950" t="n">
        <v>0</v>
      </c>
      <c r="S950" t="n">
        <v>1</v>
      </c>
      <c r="T950" t="n">
        <v>1</v>
      </c>
      <c r="U950" t="n">
        <v>1</v>
      </c>
      <c r="V950" s="2" t="inlineStr">
        <is>
          <t>Tjäder</t>
        </is>
      </c>
      <c r="W950">
        <f>HYPERLINK("https://klasma.github.io/Logging_2180/artfynd/A 57932-2024 artfynd.xlsx", "A 57932-2024")</f>
        <v/>
      </c>
      <c r="X950">
        <f>HYPERLINK("https://klasma.github.io/Logging_2180/kartor/A 57932-2024 karta.png", "A 57932-2024")</f>
        <v/>
      </c>
      <c r="Y950">
        <f>HYPERLINK("https://klasma.github.io/Logging_2180/kartor_geotiff/A 57932-2024 georefererad karta.tif", "A 57932-2024")</f>
        <v/>
      </c>
      <c r="AA950">
        <f>HYPERLINK("https://klasma.github.io/Logging_2180/klagomål/A 57932-2024 FSC-klagomål.docx", "A 57932-2024")</f>
        <v/>
      </c>
      <c r="AB950">
        <f>HYPERLINK("https://klasma.github.io/Logging_2180/klagomålsmail/A 57932-2024 FSC-klagomål mail.docx", "A 57932-2024")</f>
        <v/>
      </c>
      <c r="AC950">
        <f>HYPERLINK("https://klasma.github.io/Logging_2180/tillsyn/A 57932-2024 tillsynsbegäran.docx", "A 57932-2024")</f>
        <v/>
      </c>
      <c r="AD950">
        <f>HYPERLINK("https://klasma.github.io/Logging_2180/tillsynsmail/A 57932-2024 tillsynsbegäran mail.docx", "A 57932-2024")</f>
        <v/>
      </c>
      <c r="AE950">
        <f>HYPERLINK("https://klasma.github.io/Logging_2180/fåglar/A 57932-2024 prioriterade fågelarter.docx", "A 57932-2024")</f>
        <v/>
      </c>
    </row>
    <row r="951" ht="15" customHeight="1">
      <c r="A951" t="inlineStr">
        <is>
          <t>A 14711-2026</t>
        </is>
      </c>
      <c r="B951" t="inlineStr">
        <is>
          <t>avverkningsanmälan</t>
        </is>
      </c>
      <c r="C951" t="inlineStr">
        <is>
          <t>Föryngringsavverkning</t>
        </is>
      </c>
      <c r="D951" s="1" t="n">
        <v>46101</v>
      </c>
      <c r="E951" s="1" t="n">
        <v>46326</v>
      </c>
      <c r="F951" t="inlineStr">
        <is>
          <t>GÄVLEBORGS LÄN</t>
        </is>
      </c>
      <c r="G951" t="inlineStr">
        <is>
          <t>GÄVLE</t>
        </is>
      </c>
      <c r="H951" t="inlineStr">
        <is>
          <t>Bergvik skog öst AB</t>
        </is>
      </c>
      <c r="I951" t="n">
        <v>1.2</v>
      </c>
      <c r="J951" t="n">
        <v>0</v>
      </c>
      <c r="K951" t="n">
        <v>0</v>
      </c>
      <c r="L951" t="n">
        <v>1</v>
      </c>
      <c r="M951" t="n">
        <v>0</v>
      </c>
      <c r="N951" t="n">
        <v>0</v>
      </c>
      <c r="O951" t="n">
        <v>0</v>
      </c>
      <c r="P951" t="n">
        <v>0</v>
      </c>
      <c r="Q951" t="n">
        <v>1</v>
      </c>
      <c r="R951" t="n">
        <v>0</v>
      </c>
      <c r="S951" t="n">
        <v>1</v>
      </c>
      <c r="T951" t="n">
        <v>1</v>
      </c>
      <c r="U951" t="n">
        <v>0</v>
      </c>
      <c r="V951" s="2" t="inlineStr">
        <is>
          <t>Blanksvart spiklav</t>
        </is>
      </c>
      <c r="W951">
        <f>HYPERLINK("https://klasma.github.io/Logging_2180/artfynd/A 14711-2026 artfynd.xlsx", "A 14711-2026")</f>
        <v/>
      </c>
      <c r="X951">
        <f>HYPERLINK("https://klasma.github.io/Logging_2180/kartor/A 14711-2026 karta.png", "A 14711-2026")</f>
        <v/>
      </c>
      <c r="Y951">
        <f>HYPERLINK("https://klasma.github.io/Logging_2180/kartor_geotiff/A 14711-2026 georefererad karta.tif", "A 14711-2026")</f>
        <v/>
      </c>
      <c r="AA951">
        <f>HYPERLINK("https://klasma.github.io/Logging_2180/klagomål/A 14711-2026 FSC-klagomål.docx", "A 14711-2026")</f>
        <v/>
      </c>
      <c r="AB951">
        <f>HYPERLINK("https://klasma.github.io/Logging_2180/klagomålsmail/A 14711-2026 FSC-klagomål mail.docx", "A 14711-2026")</f>
        <v/>
      </c>
      <c r="AC951">
        <f>HYPERLINK("https://klasma.github.io/Logging_2180/tillsyn/A 14711-2026 tillsynsbegäran.docx", "A 14711-2026")</f>
        <v/>
      </c>
      <c r="AD951">
        <f>HYPERLINK("https://klasma.github.io/Logging_2180/tillsynsmail/A 14711-2026 tillsynsbegäran mail.docx", "A 14711-2026")</f>
        <v/>
      </c>
    </row>
    <row r="952" ht="15" customHeight="1">
      <c r="A952" t="inlineStr">
        <is>
          <t>A 47116-2024</t>
        </is>
      </c>
      <c r="B952" t="inlineStr">
        <is>
          <t>avverkningsanmälan</t>
        </is>
      </c>
      <c r="C952" t="inlineStr">
        <is>
          <t>Föryngringsavverkning</t>
        </is>
      </c>
      <c r="D952" s="1" t="n">
        <v>45586</v>
      </c>
      <c r="E952" s="1" t="n">
        <v>46326</v>
      </c>
      <c r="F952" t="inlineStr">
        <is>
          <t>GÄVLEBORGS LÄN</t>
        </is>
      </c>
      <c r="G952" t="inlineStr">
        <is>
          <t>HUDIKSVALL</t>
        </is>
      </c>
      <c r="H952" t="inlineStr">
        <is>
          <t>Holmen skog AB</t>
        </is>
      </c>
      <c r="I952" t="n">
        <v>0.6</v>
      </c>
      <c r="J952" t="n">
        <v>0</v>
      </c>
      <c r="K952" t="n">
        <v>1</v>
      </c>
      <c r="L952" t="n">
        <v>0</v>
      </c>
      <c r="M952" t="n">
        <v>0</v>
      </c>
      <c r="N952" t="n">
        <v>0</v>
      </c>
      <c r="O952" t="n">
        <v>0</v>
      </c>
      <c r="P952" t="n">
        <v>0</v>
      </c>
      <c r="Q952" t="n">
        <v>0</v>
      </c>
      <c r="R952" t="n">
        <v>0</v>
      </c>
      <c r="S952" t="n">
        <v>1</v>
      </c>
      <c r="T952" t="n">
        <v>1</v>
      </c>
      <c r="U952" t="n">
        <v>0</v>
      </c>
      <c r="V952" s="2" t="inlineStr">
        <is>
          <t>Mörk husmossa</t>
        </is>
      </c>
      <c r="W952">
        <f>HYPERLINK("https://klasma.github.io/Logging_2184/artfynd/A 47116-2024 artfynd.xlsx", "A 47116-2024")</f>
        <v/>
      </c>
      <c r="X952">
        <f>HYPERLINK("https://klasma.github.io/Logging_2184/kartor/A 47116-2024 karta.png", "A 47116-2024")</f>
        <v/>
      </c>
      <c r="Y952">
        <f>HYPERLINK("https://klasma.github.io/Logging_2184/kartor_geotiff/A 47116-2024 georefererad karta.tif", "A 47116-2024")</f>
        <v/>
      </c>
      <c r="AA952">
        <f>HYPERLINK("https://klasma.github.io/Logging_2184/klagomål/A 47116-2024 FSC-klagomål.docx", "A 47116-2024")</f>
        <v/>
      </c>
      <c r="AB952">
        <f>HYPERLINK("https://klasma.github.io/Logging_2184/klagomålsmail/A 47116-2024 FSC-klagomål mail.docx", "A 47116-2024")</f>
        <v/>
      </c>
      <c r="AC952">
        <f>HYPERLINK("https://klasma.github.io/Logging_2184/tillsyn/A 47116-2024 tillsynsbegäran.docx", "A 47116-2024")</f>
        <v/>
      </c>
      <c r="AD952">
        <f>HYPERLINK("https://klasma.github.io/Logging_2184/tillsynsmail/A 47116-2024 tillsynsbegäran mail.docx", "A 47116-2024")</f>
        <v/>
      </c>
    </row>
    <row r="953" ht="15" customHeight="1">
      <c r="A953" t="inlineStr">
        <is>
          <t>A 5063-2026</t>
        </is>
      </c>
      <c r="B953" t="inlineStr">
        <is>
          <t>avverkningsanmälan</t>
        </is>
      </c>
      <c r="C953" t="inlineStr">
        <is>
          <t>Föryngringsavverkning</t>
        </is>
      </c>
      <c r="D953" s="1" t="n">
        <v>46049</v>
      </c>
      <c r="E953" s="1" t="n">
        <v>46326</v>
      </c>
      <c r="F953" t="inlineStr">
        <is>
          <t>GÄVLEBORGS LÄN</t>
        </is>
      </c>
      <c r="G953" t="inlineStr">
        <is>
          <t>LJUSDAL</t>
        </is>
      </c>
      <c r="H953" t="inlineStr">
        <is>
          <t>Holmen skog AB</t>
        </is>
      </c>
      <c r="I953" t="n">
        <v>9.5</v>
      </c>
      <c r="J953" t="n">
        <v>1</v>
      </c>
      <c r="K953" t="n">
        <v>1</v>
      </c>
      <c r="L953" t="n">
        <v>0</v>
      </c>
      <c r="M953" t="n">
        <v>0</v>
      </c>
      <c r="N953" t="n">
        <v>0</v>
      </c>
      <c r="O953" t="n">
        <v>0</v>
      </c>
      <c r="P953" t="n">
        <v>0</v>
      </c>
      <c r="Q953" t="n">
        <v>0</v>
      </c>
      <c r="R953" t="n">
        <v>0</v>
      </c>
      <c r="S953" t="n">
        <v>1</v>
      </c>
      <c r="T953" t="n">
        <v>1</v>
      </c>
      <c r="U953" t="n">
        <v>0</v>
      </c>
      <c r="V953" s="2" t="inlineStr">
        <is>
          <t>Plattlummer</t>
        </is>
      </c>
      <c r="W953">
        <f>HYPERLINK("https://klasma.github.io/Logging_2161/artfynd/A 5063-2026 artfynd.xlsx", "A 5063-2026")</f>
        <v/>
      </c>
      <c r="X953">
        <f>HYPERLINK("https://klasma.github.io/Logging_2161/kartor/A 5063-2026 karta.png", "A 5063-2026")</f>
        <v/>
      </c>
      <c r="Y953">
        <f>HYPERLINK("https://klasma.github.io/Logging_2161/kartor_geotiff/A 5063-2026 georefererad karta.tif", "A 5063-2026")</f>
        <v/>
      </c>
      <c r="AA953">
        <f>HYPERLINK("https://klasma.github.io/Logging_2161/klagomål/A 5063-2026 FSC-klagomål.docx", "A 5063-2026")</f>
        <v/>
      </c>
      <c r="AB953">
        <f>HYPERLINK("https://klasma.github.io/Logging_2161/klagomålsmail/A 5063-2026 FSC-klagomål mail.docx", "A 5063-2026")</f>
        <v/>
      </c>
      <c r="AC953">
        <f>HYPERLINK("https://klasma.github.io/Logging_2161/tillsyn/A 5063-2026 tillsynsbegäran.docx", "A 5063-2026")</f>
        <v/>
      </c>
      <c r="AD953">
        <f>HYPERLINK("https://klasma.github.io/Logging_2161/tillsynsmail/A 5063-2026 tillsynsbegäran mail.docx", "A 5063-2026")</f>
        <v/>
      </c>
    </row>
    <row r="954" ht="15" customHeight="1">
      <c r="A954" t="inlineStr">
        <is>
          <t>A 13034-2026</t>
        </is>
      </c>
      <c r="B954" t="inlineStr">
        <is>
          <t>avverkningsanmälan</t>
        </is>
      </c>
      <c r="C954" t="inlineStr">
        <is>
          <t>Föryngringsavverkning</t>
        </is>
      </c>
      <c r="D954" s="1" t="n">
        <v>46093</v>
      </c>
      <c r="E954" s="1" t="n">
        <v>46326</v>
      </c>
      <c r="F954" t="inlineStr">
        <is>
          <t>GÄVLEBORGS LÄN</t>
        </is>
      </c>
      <c r="G954" t="inlineStr">
        <is>
          <t>BOLLNÄS</t>
        </is>
      </c>
      <c r="I954" t="n">
        <v>0.8</v>
      </c>
      <c r="J954" t="n">
        <v>1</v>
      </c>
      <c r="K954" t="n">
        <v>0</v>
      </c>
      <c r="L954" t="n">
        <v>1</v>
      </c>
      <c r="M954" t="n">
        <v>0</v>
      </c>
      <c r="N954" t="n">
        <v>0</v>
      </c>
      <c r="O954" t="n">
        <v>0</v>
      </c>
      <c r="P954" t="n">
        <v>0</v>
      </c>
      <c r="Q954" t="n">
        <v>1</v>
      </c>
      <c r="R954" t="n">
        <v>0</v>
      </c>
      <c r="S954" t="n">
        <v>1</v>
      </c>
      <c r="T954" t="n">
        <v>1</v>
      </c>
      <c r="U954" t="n">
        <v>0</v>
      </c>
      <c r="V954" s="2" t="inlineStr">
        <is>
          <t>Skogsfru</t>
        </is>
      </c>
      <c r="W954">
        <f>HYPERLINK("https://klasma.github.io/Logging_2183/artfynd/A 13034-2026 artfynd.xlsx", "A 13034-2026")</f>
        <v/>
      </c>
      <c r="X954">
        <f>HYPERLINK("https://klasma.github.io/Logging_2183/kartor/A 13034-2026 karta.png", "A 13034-2026")</f>
        <v/>
      </c>
      <c r="Y954">
        <f>HYPERLINK("https://klasma.github.io/Logging_2183/kartor_geotiff/A 13034-2026 georefererad karta.tif", "A 13034-2026")</f>
        <v/>
      </c>
      <c r="AA954">
        <f>HYPERLINK("https://klasma.github.io/Logging_2183/klagomål/A 13034-2026 FSC-klagomål.docx", "A 13034-2026")</f>
        <v/>
      </c>
      <c r="AB954">
        <f>HYPERLINK("https://klasma.github.io/Logging_2183/klagomålsmail/A 13034-2026 FSC-klagomål mail.docx", "A 13034-2026")</f>
        <v/>
      </c>
      <c r="AC954">
        <f>HYPERLINK("https://klasma.github.io/Logging_2183/tillsyn/A 13034-2026 tillsynsbegäran.docx", "A 13034-2026")</f>
        <v/>
      </c>
      <c r="AD954">
        <f>HYPERLINK("https://klasma.github.io/Logging_2183/tillsynsmail/A 13034-2026 tillsynsbegäran mail.docx", "A 13034-2026")</f>
        <v/>
      </c>
    </row>
    <row r="955" ht="15" customHeight="1">
      <c r="A955" t="inlineStr">
        <is>
          <t>A 15039-2026</t>
        </is>
      </c>
      <c r="B955" t="inlineStr">
        <is>
          <t>avverkningsanmälan</t>
        </is>
      </c>
      <c r="C955" t="inlineStr">
        <is>
          <t>Föryngringsavverkning</t>
        </is>
      </c>
      <c r="D955" s="1" t="n">
        <v>46104</v>
      </c>
      <c r="E955" s="1" t="n">
        <v>46326</v>
      </c>
      <c r="F955" t="inlineStr">
        <is>
          <t>GÄVLEBORGS LÄN</t>
        </is>
      </c>
      <c r="G955" t="inlineStr">
        <is>
          <t>OCKELBO</t>
        </is>
      </c>
      <c r="H955" t="inlineStr">
        <is>
          <t>Bergvik skog väst AB</t>
        </is>
      </c>
      <c r="I955" t="n">
        <v>18.2</v>
      </c>
      <c r="J955" t="n">
        <v>1</v>
      </c>
      <c r="K955" t="n">
        <v>0</v>
      </c>
      <c r="L955" t="n">
        <v>0</v>
      </c>
      <c r="M955" t="n">
        <v>0</v>
      </c>
      <c r="N955" t="n">
        <v>0</v>
      </c>
      <c r="O955" t="n">
        <v>0</v>
      </c>
      <c r="P955" t="n">
        <v>0</v>
      </c>
      <c r="Q955" t="n">
        <v>0</v>
      </c>
      <c r="R955" t="n">
        <v>0</v>
      </c>
      <c r="S955" t="n">
        <v>1</v>
      </c>
      <c r="T955" t="n">
        <v>1</v>
      </c>
      <c r="U955" t="n">
        <v>0</v>
      </c>
      <c r="V955" s="2" t="inlineStr">
        <is>
          <t>Tjäder</t>
        </is>
      </c>
      <c r="W955">
        <f>HYPERLINK("https://klasma.github.io/Logging_2101/artfynd/A 15039-2026 artfynd.xlsx", "A 15039-2026")</f>
        <v/>
      </c>
      <c r="X955">
        <f>HYPERLINK("https://klasma.github.io/Logging_2101/kartor/A 15039-2026 karta.png", "A 15039-2026")</f>
        <v/>
      </c>
      <c r="Y955">
        <f>HYPERLINK("https://klasma.github.io/Logging_2101/kartor_geotiff/A 15039-2026 georefererad karta.tif", "A 15039-2026")</f>
        <v/>
      </c>
      <c r="AA955">
        <f>HYPERLINK("https://klasma.github.io/Logging_2101/klagomål/A 15039-2026 FSC-klagomål.docx", "A 15039-2026")</f>
        <v/>
      </c>
      <c r="AB955">
        <f>HYPERLINK("https://klasma.github.io/Logging_2101/klagomålsmail/A 15039-2026 FSC-klagomål mail.docx", "A 15039-2026")</f>
        <v/>
      </c>
      <c r="AC955">
        <f>HYPERLINK("https://klasma.github.io/Logging_2101/tillsyn/A 15039-2026 tillsynsbegäran.docx", "A 15039-2026")</f>
        <v/>
      </c>
      <c r="AD955">
        <f>HYPERLINK("https://klasma.github.io/Logging_2101/tillsynsmail/A 15039-2026 tillsynsbegäran mail.docx", "A 15039-2026")</f>
        <v/>
      </c>
      <c r="AE955">
        <f>HYPERLINK("https://klasma.github.io/Logging_2101/fåglar/A 15039-2026 prioriterade fågelarter.docx", "A 15039-2026")</f>
        <v/>
      </c>
    </row>
    <row r="956" ht="15" customHeight="1">
      <c r="A956" t="inlineStr">
        <is>
          <t>A 10064-2025</t>
        </is>
      </c>
      <c r="B956" t="inlineStr">
        <is>
          <t>avverkningsanmälan</t>
        </is>
      </c>
      <c r="C956" t="inlineStr">
        <is>
          <t>Föryngringsavverkning</t>
        </is>
      </c>
      <c r="D956" s="1" t="n">
        <v>45719</v>
      </c>
      <c r="E956" s="1" t="n">
        <v>46326</v>
      </c>
      <c r="F956" t="inlineStr">
        <is>
          <t>GÄVLEBORGS LÄN</t>
        </is>
      </c>
      <c r="G956" t="inlineStr">
        <is>
          <t>GÄVLE</t>
        </is>
      </c>
      <c r="I956" t="n">
        <v>4.6</v>
      </c>
      <c r="J956" t="n">
        <v>0</v>
      </c>
      <c r="K956" t="n">
        <v>0</v>
      </c>
      <c r="L956" t="n">
        <v>1</v>
      </c>
      <c r="M956" t="n">
        <v>0</v>
      </c>
      <c r="N956" t="n">
        <v>0</v>
      </c>
      <c r="O956" t="n">
        <v>0</v>
      </c>
      <c r="P956" t="n">
        <v>0</v>
      </c>
      <c r="Q956" t="n">
        <v>1</v>
      </c>
      <c r="R956" t="n">
        <v>0</v>
      </c>
      <c r="S956" t="n">
        <v>1</v>
      </c>
      <c r="T956" t="n">
        <v>1</v>
      </c>
      <c r="U956" t="n">
        <v>0</v>
      </c>
      <c r="V956" s="2" t="inlineStr">
        <is>
          <t>Älg</t>
        </is>
      </c>
      <c r="W956">
        <f>HYPERLINK("https://klasma.github.io/Logging_2180/artfynd/A 10064-2025 artfynd.xlsx", "A 10064-2025")</f>
        <v/>
      </c>
      <c r="X956">
        <f>HYPERLINK("https://klasma.github.io/Logging_2180/kartor/A 10064-2025 karta.png", "A 10064-2025")</f>
        <v/>
      </c>
      <c r="Y956">
        <f>HYPERLINK("https://klasma.github.io/Logging_2180/kartor_geotiff/A 10064-2025 georefererad karta.tif", "A 10064-2025")</f>
        <v/>
      </c>
      <c r="AA956">
        <f>HYPERLINK("https://klasma.github.io/Logging_2180/klagomål/A 10064-2025 FSC-klagomål.docx", "A 10064-2025")</f>
        <v/>
      </c>
      <c r="AB956">
        <f>HYPERLINK("https://klasma.github.io/Logging_2180/klagomålsmail/A 10064-2025 FSC-klagomål mail.docx", "A 10064-2025")</f>
        <v/>
      </c>
      <c r="AC956">
        <f>HYPERLINK("https://klasma.github.io/Logging_2180/tillsyn/A 10064-2025 tillsynsbegäran.docx", "A 10064-2025")</f>
        <v/>
      </c>
      <c r="AD956">
        <f>HYPERLINK("https://klasma.github.io/Logging_2180/tillsynsmail/A 10064-2025 tillsynsbegäran mail.docx", "A 10064-2025")</f>
        <v/>
      </c>
    </row>
    <row r="957" ht="15" customHeight="1">
      <c r="A957" t="inlineStr">
        <is>
          <t>A 11970-2026</t>
        </is>
      </c>
      <c r="B957" t="inlineStr">
        <is>
          <t>avverkningsanmälan</t>
        </is>
      </c>
      <c r="C957" t="inlineStr">
        <is>
          <t>Föryngringsavverkning</t>
        </is>
      </c>
      <c r="D957" s="1" t="n">
        <v>46085</v>
      </c>
      <c r="E957" s="1" t="n">
        <v>46326</v>
      </c>
      <c r="F957" t="inlineStr">
        <is>
          <t>GÄVLEBORGS LÄN</t>
        </is>
      </c>
      <c r="G957" t="inlineStr">
        <is>
          <t>OCKELBO</t>
        </is>
      </c>
      <c r="H957" t="inlineStr">
        <is>
          <t>Bergvik skog väst AB</t>
        </is>
      </c>
      <c r="I957" t="n">
        <v>10.9</v>
      </c>
      <c r="J957" t="n">
        <v>1</v>
      </c>
      <c r="K957" t="n">
        <v>0</v>
      </c>
      <c r="L957" t="n">
        <v>0</v>
      </c>
      <c r="M957" t="n">
        <v>0</v>
      </c>
      <c r="N957" t="n">
        <v>0</v>
      </c>
      <c r="O957" t="n">
        <v>0</v>
      </c>
      <c r="P957" t="n">
        <v>0</v>
      </c>
      <c r="Q957" t="n">
        <v>0</v>
      </c>
      <c r="R957" t="n">
        <v>0</v>
      </c>
      <c r="S957" t="n">
        <v>1</v>
      </c>
      <c r="T957" t="n">
        <v>1</v>
      </c>
      <c r="U957" t="n">
        <v>0</v>
      </c>
      <c r="V957" s="2" t="inlineStr">
        <is>
          <t>Järpe</t>
        </is>
      </c>
      <c r="W957">
        <f>HYPERLINK("https://klasma.github.io/Logging_2101/artfynd/A 11970-2026 artfynd.xlsx", "A 11970-2026")</f>
        <v/>
      </c>
      <c r="X957">
        <f>HYPERLINK("https://klasma.github.io/Logging_2101/kartor/A 11970-2026 karta.png", "A 11970-2026")</f>
        <v/>
      </c>
      <c r="Y957">
        <f>HYPERLINK("https://klasma.github.io/Logging_2101/kartor_geotiff/A 11970-2026 georefererad karta.tif", "A 11970-2026")</f>
        <v/>
      </c>
      <c r="AA957">
        <f>HYPERLINK("https://klasma.github.io/Logging_2101/klagomål/A 11970-2026 FSC-klagomål.docx", "A 11970-2026")</f>
        <v/>
      </c>
      <c r="AB957">
        <f>HYPERLINK("https://klasma.github.io/Logging_2101/klagomålsmail/A 11970-2026 FSC-klagomål mail.docx", "A 11970-2026")</f>
        <v/>
      </c>
      <c r="AC957">
        <f>HYPERLINK("https://klasma.github.io/Logging_2101/tillsyn/A 11970-2026 tillsynsbegäran.docx", "A 11970-2026")</f>
        <v/>
      </c>
      <c r="AD957">
        <f>HYPERLINK("https://klasma.github.io/Logging_2101/tillsynsmail/A 11970-2026 tillsynsbegäran mail.docx", "A 11970-2026")</f>
        <v/>
      </c>
      <c r="AE957">
        <f>HYPERLINK("https://klasma.github.io/Logging_2101/fåglar/A 11970-2026 prioriterade fågelarter.docx", "A 11970-2026")</f>
        <v/>
      </c>
    </row>
    <row r="958" ht="15" customHeight="1">
      <c r="A958" t="inlineStr">
        <is>
          <t>A 20640-2026</t>
        </is>
      </c>
      <c r="B958" t="inlineStr">
        <is>
          <t>avverkningsanmälan</t>
        </is>
      </c>
      <c r="C958" t="inlineStr">
        <is>
          <t>Föryngringsavverkning</t>
        </is>
      </c>
      <c r="D958" s="1" t="n">
        <v>46141</v>
      </c>
      <c r="E958" s="1" t="n">
        <v>46326</v>
      </c>
      <c r="F958" t="inlineStr">
        <is>
          <t>GÄVLEBORGS LÄN</t>
        </is>
      </c>
      <c r="G958" t="inlineStr">
        <is>
          <t>HUDIKSVALL</t>
        </is>
      </c>
      <c r="H958" t="inlineStr">
        <is>
          <t>Holmen skog AB</t>
        </is>
      </c>
      <c r="I958" t="n">
        <v>6.8</v>
      </c>
      <c r="J958" t="n">
        <v>1</v>
      </c>
      <c r="K958" t="n">
        <v>0</v>
      </c>
      <c r="L958" t="n">
        <v>0</v>
      </c>
      <c r="M958" t="n">
        <v>1</v>
      </c>
      <c r="N958" t="n">
        <v>0</v>
      </c>
      <c r="O958" t="n">
        <v>0</v>
      </c>
      <c r="P958" t="n">
        <v>0</v>
      </c>
      <c r="Q958" t="n">
        <v>1</v>
      </c>
      <c r="R958" t="n">
        <v>1</v>
      </c>
      <c r="S958" t="n">
        <v>1</v>
      </c>
      <c r="T958" t="n">
        <v>1</v>
      </c>
      <c r="U958" t="n">
        <v>0</v>
      </c>
      <c r="V958" s="2" t="inlineStr">
        <is>
          <t>Knärot</t>
        </is>
      </c>
      <c r="W958">
        <f>HYPERLINK("https://klasma.github.io/Logging_2184/artfynd/A 20640-2026 artfynd.xlsx", "A 20640-2026")</f>
        <v/>
      </c>
      <c r="X958">
        <f>HYPERLINK("https://klasma.github.io/Logging_2184/kartor/A 20640-2026 karta.png", "A 20640-2026")</f>
        <v/>
      </c>
      <c r="Y958">
        <f>HYPERLINK("https://klasma.github.io/Logging_2184/kartor_geotiff/A 20640-2026 georefererad karta.tif", "A 20640-2026")</f>
        <v/>
      </c>
      <c r="Z958">
        <f>HYPERLINK("https://klasma.github.io/Logging_2184/knärot/A 20640-2026 karta knärot.png", "A 20640-2026")</f>
        <v/>
      </c>
      <c r="AA958">
        <f>HYPERLINK("https://klasma.github.io/Logging_2184/klagomål/A 20640-2026 FSC-klagomål.docx", "A 20640-2026")</f>
        <v/>
      </c>
      <c r="AB958">
        <f>HYPERLINK("https://klasma.github.io/Logging_2184/klagomålsmail/A 20640-2026 FSC-klagomål mail.docx", "A 20640-2026")</f>
        <v/>
      </c>
      <c r="AC958">
        <f>HYPERLINK("https://klasma.github.io/Logging_2184/tillsyn/A 20640-2026 tillsynsbegäran.docx", "A 20640-2026")</f>
        <v/>
      </c>
      <c r="AD958">
        <f>HYPERLINK("https://klasma.github.io/Logging_2184/tillsynsmail/A 20640-2026 tillsynsbegäran mail.docx", "A 20640-2026")</f>
        <v/>
      </c>
    </row>
    <row r="959" ht="15" customHeight="1">
      <c r="A959" t="inlineStr">
        <is>
          <t>A 6972-2026</t>
        </is>
      </c>
      <c r="B959" t="inlineStr">
        <is>
          <t>avverkningsanmälan</t>
        </is>
      </c>
      <c r="C959" t="inlineStr">
        <is>
          <t>Föryngringsavverkning</t>
        </is>
      </c>
      <c r="D959" s="1" t="n">
        <v>46057</v>
      </c>
      <c r="E959" s="1" t="n">
        <v>46326</v>
      </c>
      <c r="F959" t="inlineStr">
        <is>
          <t>GÄVLEBORGS LÄN</t>
        </is>
      </c>
      <c r="G959" t="inlineStr">
        <is>
          <t>SANDVIKEN</t>
        </is>
      </c>
      <c r="H959" t="inlineStr">
        <is>
          <t>Naturvårdsverket</t>
        </is>
      </c>
      <c r="I959" t="n">
        <v>2</v>
      </c>
      <c r="J959" t="n">
        <v>1</v>
      </c>
      <c r="K959" t="n">
        <v>0</v>
      </c>
      <c r="L959" t="n">
        <v>0</v>
      </c>
      <c r="M959" t="n">
        <v>0</v>
      </c>
      <c r="N959" t="n">
        <v>0</v>
      </c>
      <c r="O959" t="n">
        <v>0</v>
      </c>
      <c r="P959" t="n">
        <v>0</v>
      </c>
      <c r="Q959" t="n">
        <v>0</v>
      </c>
      <c r="R959" t="n">
        <v>0</v>
      </c>
      <c r="S959" t="n">
        <v>1</v>
      </c>
      <c r="T959" t="n">
        <v>1</v>
      </c>
      <c r="U959" t="n">
        <v>0</v>
      </c>
      <c r="V959" s="2" t="inlineStr">
        <is>
          <t>Svartvit flugsnappare</t>
        </is>
      </c>
      <c r="W959">
        <f>HYPERLINK("https://klasma.github.io/Logging_2181/artfynd/A 6972-2026 artfynd.xlsx", "A 6972-2026")</f>
        <v/>
      </c>
      <c r="X959">
        <f>HYPERLINK("https://klasma.github.io/Logging_2181/kartor/A 6972-2026 karta.png", "A 6972-2026")</f>
        <v/>
      </c>
      <c r="Y959">
        <f>HYPERLINK("https://klasma.github.io/Logging_2181/kartor_geotiff/A 6972-2026 georefererad karta.tif", "A 6972-2026")</f>
        <v/>
      </c>
      <c r="AA959">
        <f>HYPERLINK("https://klasma.github.io/Logging_2181/klagomål/A 6972-2026 FSC-klagomål.docx", "A 6972-2026")</f>
        <v/>
      </c>
      <c r="AB959">
        <f>HYPERLINK("https://klasma.github.io/Logging_2181/klagomålsmail/A 6972-2026 FSC-klagomål mail.docx", "A 6972-2026")</f>
        <v/>
      </c>
      <c r="AC959">
        <f>HYPERLINK("https://klasma.github.io/Logging_2181/tillsyn/A 6972-2026 tillsynsbegäran.docx", "A 6972-2026")</f>
        <v/>
      </c>
      <c r="AD959">
        <f>HYPERLINK("https://klasma.github.io/Logging_2181/tillsynsmail/A 6972-2026 tillsynsbegäran mail.docx", "A 6972-2026")</f>
        <v/>
      </c>
    </row>
    <row r="960" ht="15" customHeight="1">
      <c r="A960" t="inlineStr">
        <is>
          <t>A 41349-2025</t>
        </is>
      </c>
      <c r="B960" t="inlineStr">
        <is>
          <t>avverkningsanmälan</t>
        </is>
      </c>
      <c r="C960" t="inlineStr">
        <is>
          <t>Föryngringsavverkning</t>
        </is>
      </c>
      <c r="D960" s="1" t="n">
        <v>45899</v>
      </c>
      <c r="E960" s="1" t="n">
        <v>46326</v>
      </c>
      <c r="F960" t="inlineStr">
        <is>
          <t>GÄVLEBORGS LÄN</t>
        </is>
      </c>
      <c r="G960" t="inlineStr">
        <is>
          <t>SANDVIKEN</t>
        </is>
      </c>
      <c r="I960" t="n">
        <v>3.7</v>
      </c>
      <c r="J960" t="n">
        <v>0</v>
      </c>
      <c r="K960" t="n">
        <v>0</v>
      </c>
      <c r="L960" t="n">
        <v>1</v>
      </c>
      <c r="M960" t="n">
        <v>0</v>
      </c>
      <c r="N960" t="n">
        <v>0</v>
      </c>
      <c r="O960" t="n">
        <v>0</v>
      </c>
      <c r="P960" t="n">
        <v>0</v>
      </c>
      <c r="Q960" t="n">
        <v>1</v>
      </c>
      <c r="R960" t="n">
        <v>0</v>
      </c>
      <c r="S960" t="n">
        <v>1</v>
      </c>
      <c r="T960" t="n">
        <v>1</v>
      </c>
      <c r="U960" t="n">
        <v>0</v>
      </c>
      <c r="V960" s="2" t="inlineStr">
        <is>
          <t>Skogsklocka</t>
        </is>
      </c>
      <c r="W960">
        <f>HYPERLINK("https://klasma.github.io/Logging_2181/artfynd/A 41349-2025 artfynd.xlsx", "A 41349-2025")</f>
        <v/>
      </c>
      <c r="X960">
        <f>HYPERLINK("https://klasma.github.io/Logging_2181/kartor/A 41349-2025 karta.png", "A 41349-2025")</f>
        <v/>
      </c>
      <c r="Y960">
        <f>HYPERLINK("https://klasma.github.io/Logging_2181/kartor_geotiff/A 41349-2025 georefererad karta.tif", "A 41349-2025")</f>
        <v/>
      </c>
      <c r="AA960">
        <f>HYPERLINK("https://klasma.github.io/Logging_2181/klagomål/A 41349-2025 FSC-klagomål.docx", "A 41349-2025")</f>
        <v/>
      </c>
      <c r="AB960">
        <f>HYPERLINK("https://klasma.github.io/Logging_2181/klagomålsmail/A 41349-2025 FSC-klagomål mail.docx", "A 41349-2025")</f>
        <v/>
      </c>
      <c r="AC960">
        <f>HYPERLINK("https://klasma.github.io/Logging_2181/tillsyn/A 41349-2025 tillsynsbegäran.docx", "A 41349-2025")</f>
        <v/>
      </c>
      <c r="AD960">
        <f>HYPERLINK("https://klasma.github.io/Logging_2181/tillsynsmail/A 41349-2025 tillsynsbegäran mail.docx", "A 41349-2025")</f>
        <v/>
      </c>
    </row>
    <row r="961" ht="15" customHeight="1">
      <c r="A961" t="inlineStr">
        <is>
          <t>A 41663-2025</t>
        </is>
      </c>
      <c r="B961" t="inlineStr">
        <is>
          <t>avverkningsanmälan</t>
        </is>
      </c>
      <c r="C961" t="inlineStr">
        <is>
          <t>Föryngringsavverkning</t>
        </is>
      </c>
      <c r="D961" s="1" t="n">
        <v>45902</v>
      </c>
      <c r="E961" s="1" t="n">
        <v>46326</v>
      </c>
      <c r="F961" t="inlineStr">
        <is>
          <t>GÄVLEBORGS LÄN</t>
        </is>
      </c>
      <c r="G961" t="inlineStr">
        <is>
          <t>BOLLNÄS</t>
        </is>
      </c>
      <c r="I961" t="n">
        <v>5</v>
      </c>
      <c r="J961" t="n">
        <v>0</v>
      </c>
      <c r="K961" t="n">
        <v>0</v>
      </c>
      <c r="L961" t="n">
        <v>1</v>
      </c>
      <c r="M961" t="n">
        <v>0</v>
      </c>
      <c r="N961" t="n">
        <v>0</v>
      </c>
      <c r="O961" t="n">
        <v>0</v>
      </c>
      <c r="P961" t="n">
        <v>0</v>
      </c>
      <c r="Q961" t="n">
        <v>1</v>
      </c>
      <c r="R961" t="n">
        <v>0</v>
      </c>
      <c r="S961" t="n">
        <v>1</v>
      </c>
      <c r="T961" t="n">
        <v>1</v>
      </c>
      <c r="U961" t="n">
        <v>0</v>
      </c>
      <c r="V961" s="2" t="inlineStr">
        <is>
          <t>Lunglav</t>
        </is>
      </c>
      <c r="W961">
        <f>HYPERLINK("https://klasma.github.io/Logging_2183/artfynd/A 41663-2025 artfynd.xlsx", "A 41663-2025")</f>
        <v/>
      </c>
      <c r="X961">
        <f>HYPERLINK("https://klasma.github.io/Logging_2183/kartor/A 41663-2025 karta.png", "A 41663-2025")</f>
        <v/>
      </c>
      <c r="Y961">
        <f>HYPERLINK("https://klasma.github.io/Logging_2183/kartor_geotiff/A 41663-2025 georefererad karta.tif", "A 41663-2025")</f>
        <v/>
      </c>
      <c r="AA961">
        <f>HYPERLINK("https://klasma.github.io/Logging_2183/klagomål/A 41663-2025 FSC-klagomål.docx", "A 41663-2025")</f>
        <v/>
      </c>
      <c r="AB961">
        <f>HYPERLINK("https://klasma.github.io/Logging_2183/klagomålsmail/A 41663-2025 FSC-klagomål mail.docx", "A 41663-2025")</f>
        <v/>
      </c>
      <c r="AC961">
        <f>HYPERLINK("https://klasma.github.io/Logging_2183/tillsyn/A 41663-2025 tillsynsbegäran.docx", "A 41663-2025")</f>
        <v/>
      </c>
      <c r="AD961">
        <f>HYPERLINK("https://klasma.github.io/Logging_2183/tillsynsmail/A 41663-2025 tillsynsbegäran mail.docx", "A 41663-2025")</f>
        <v/>
      </c>
    </row>
    <row r="962" ht="15" customHeight="1">
      <c r="A962" t="inlineStr">
        <is>
          <t>A 20734-2026</t>
        </is>
      </c>
      <c r="B962" t="inlineStr">
        <is>
          <t>avverkningsanmälan</t>
        </is>
      </c>
      <c r="C962" t="inlineStr">
        <is>
          <t>Föryngringsavverkning</t>
        </is>
      </c>
      <c r="D962" s="1" t="n">
        <v>46141</v>
      </c>
      <c r="E962" s="1" t="n">
        <v>46326</v>
      </c>
      <c r="F962" t="inlineStr">
        <is>
          <t>GÄVLEBORGS LÄN</t>
        </is>
      </c>
      <c r="G962" t="inlineStr">
        <is>
          <t>GÄVLE</t>
        </is>
      </c>
      <c r="H962" t="inlineStr">
        <is>
          <t>Bergvik skog öst AB</t>
        </is>
      </c>
      <c r="I962" t="n">
        <v>2.6</v>
      </c>
      <c r="J962" t="n">
        <v>1</v>
      </c>
      <c r="K962" t="n">
        <v>0</v>
      </c>
      <c r="L962" t="n">
        <v>0</v>
      </c>
      <c r="M962" t="n">
        <v>0</v>
      </c>
      <c r="N962" t="n">
        <v>0</v>
      </c>
      <c r="O962" t="n">
        <v>0</v>
      </c>
      <c r="P962" t="n">
        <v>0</v>
      </c>
      <c r="Q962" t="n">
        <v>0</v>
      </c>
      <c r="R962" t="n">
        <v>0</v>
      </c>
      <c r="S962" t="n">
        <v>1</v>
      </c>
      <c r="T962" t="n">
        <v>1</v>
      </c>
      <c r="U962" t="n">
        <v>0</v>
      </c>
      <c r="V962" s="2" t="inlineStr">
        <is>
          <t>Blåsippa</t>
        </is>
      </c>
      <c r="W962">
        <f>HYPERLINK("https://klasma.github.io/Logging_2180/artfynd/A 20734-2026 artfynd.xlsx", "A 20734-2026")</f>
        <v/>
      </c>
      <c r="X962">
        <f>HYPERLINK("https://klasma.github.io/Logging_2180/kartor/A 20734-2026 karta.png", "A 20734-2026")</f>
        <v/>
      </c>
      <c r="Y962">
        <f>HYPERLINK("https://klasma.github.io/Logging_2180/kartor_geotiff/A 20734-2026 georefererad karta.tif", "A 20734-2026")</f>
        <v/>
      </c>
      <c r="AA962">
        <f>HYPERLINK("https://klasma.github.io/Logging_2180/klagomål/A 20734-2026 FSC-klagomål.docx", "A 20734-2026")</f>
        <v/>
      </c>
      <c r="AB962">
        <f>HYPERLINK("https://klasma.github.io/Logging_2180/klagomålsmail/A 20734-2026 FSC-klagomål mail.docx", "A 20734-2026")</f>
        <v/>
      </c>
      <c r="AC962">
        <f>HYPERLINK("https://klasma.github.io/Logging_2180/tillsyn/A 20734-2026 tillsynsbegäran.docx", "A 20734-2026")</f>
        <v/>
      </c>
      <c r="AD962">
        <f>HYPERLINK("https://klasma.github.io/Logging_2180/tillsynsmail/A 20734-2026 tillsynsbegäran mail.docx", "A 20734-2026")</f>
        <v/>
      </c>
    </row>
    <row r="963" ht="15" customHeight="1">
      <c r="A963" t="inlineStr">
        <is>
          <t>A 31802-2025</t>
        </is>
      </c>
      <c r="B963" t="inlineStr">
        <is>
          <t>avverkningsanmälan</t>
        </is>
      </c>
      <c r="C963" t="inlineStr">
        <is>
          <t>Föryngringsavverkning</t>
        </is>
      </c>
      <c r="D963" s="1" t="n">
        <v>45834</v>
      </c>
      <c r="E963" s="1" t="n">
        <v>46326</v>
      </c>
      <c r="F963" t="inlineStr">
        <is>
          <t>GÄVLEBORGS LÄN</t>
        </is>
      </c>
      <c r="G963" t="inlineStr">
        <is>
          <t>HUDIKSVALL</t>
        </is>
      </c>
      <c r="I963" t="n">
        <v>2.2</v>
      </c>
      <c r="J963" t="n">
        <v>0</v>
      </c>
      <c r="K963" t="n">
        <v>1</v>
      </c>
      <c r="L963" t="n">
        <v>0</v>
      </c>
      <c r="M963" t="n">
        <v>0</v>
      </c>
      <c r="N963" t="n">
        <v>0</v>
      </c>
      <c r="O963" t="n">
        <v>0</v>
      </c>
      <c r="P963" t="n">
        <v>0</v>
      </c>
      <c r="Q963" t="n">
        <v>0</v>
      </c>
      <c r="R963" t="n">
        <v>0</v>
      </c>
      <c r="S963" t="n">
        <v>1</v>
      </c>
      <c r="T963" t="n">
        <v>1</v>
      </c>
      <c r="U963" t="n">
        <v>0</v>
      </c>
      <c r="V963" s="2" t="inlineStr">
        <is>
          <t>Stor aspticka</t>
        </is>
      </c>
      <c r="W963">
        <f>HYPERLINK("https://klasma.github.io/Logging_2184/artfynd/A 31802-2025 artfynd.xlsx", "A 31802-2025")</f>
        <v/>
      </c>
      <c r="X963">
        <f>HYPERLINK("https://klasma.github.io/Logging_2184/kartor/A 31802-2025 karta.png", "A 31802-2025")</f>
        <v/>
      </c>
      <c r="Y963">
        <f>HYPERLINK("https://klasma.github.io/Logging_2184/kartor_geotiff/A 31802-2025 georefererad karta.tif", "A 31802-2025")</f>
        <v/>
      </c>
      <c r="AA963">
        <f>HYPERLINK("https://klasma.github.io/Logging_2184/klagomål/A 31802-2025 FSC-klagomål.docx", "A 31802-2025")</f>
        <v/>
      </c>
      <c r="AB963">
        <f>HYPERLINK("https://klasma.github.io/Logging_2184/klagomålsmail/A 31802-2025 FSC-klagomål mail.docx", "A 31802-2025")</f>
        <v/>
      </c>
      <c r="AC963">
        <f>HYPERLINK("https://klasma.github.io/Logging_2184/tillsyn/A 31802-2025 tillsynsbegäran.docx", "A 31802-2025")</f>
        <v/>
      </c>
      <c r="AD963">
        <f>HYPERLINK("https://klasma.github.io/Logging_2184/tillsynsmail/A 31802-2025 tillsynsbegäran mail.docx", "A 31802-2025")</f>
        <v/>
      </c>
    </row>
    <row r="964" ht="15" customHeight="1">
      <c r="A964" t="inlineStr">
        <is>
          <t>A 10448-2026</t>
        </is>
      </c>
      <c r="B964" t="inlineStr">
        <is>
          <t>avverkningsanmälan</t>
        </is>
      </c>
      <c r="C964" t="inlineStr">
        <is>
          <t>Föryngringsavverkning</t>
        </is>
      </c>
      <c r="D964" s="1" t="n">
        <v>46077</v>
      </c>
      <c r="E964" s="1" t="n">
        <v>46326</v>
      </c>
      <c r="F964" t="inlineStr">
        <is>
          <t>GÄVLEBORGS LÄN</t>
        </is>
      </c>
      <c r="G964" t="inlineStr">
        <is>
          <t>OCKELBO</t>
        </is>
      </c>
      <c r="H964" t="inlineStr">
        <is>
          <t>Bergvik skog väst AB</t>
        </is>
      </c>
      <c r="I964" t="n">
        <v>3.6</v>
      </c>
      <c r="J964" t="n">
        <v>1</v>
      </c>
      <c r="K964" t="n">
        <v>1</v>
      </c>
      <c r="L964" t="n">
        <v>0</v>
      </c>
      <c r="M964" t="n">
        <v>0</v>
      </c>
      <c r="N964" t="n">
        <v>0</v>
      </c>
      <c r="O964" t="n">
        <v>0</v>
      </c>
      <c r="P964" t="n">
        <v>0</v>
      </c>
      <c r="Q964" t="n">
        <v>0</v>
      </c>
      <c r="R964" t="n">
        <v>0</v>
      </c>
      <c r="S964" t="n">
        <v>1</v>
      </c>
      <c r="T964" t="n">
        <v>1</v>
      </c>
      <c r="U964" t="n">
        <v>0</v>
      </c>
      <c r="V964" s="2" t="inlineStr">
        <is>
          <t>Plattlummer</t>
        </is>
      </c>
      <c r="W964">
        <f>HYPERLINK("https://klasma.github.io/Logging_2101/artfynd/A 10448-2026 artfynd.xlsx", "A 10448-2026")</f>
        <v/>
      </c>
      <c r="X964">
        <f>HYPERLINK("https://klasma.github.io/Logging_2101/kartor/A 10448-2026 karta.png", "A 10448-2026")</f>
        <v/>
      </c>
      <c r="Y964">
        <f>HYPERLINK("https://klasma.github.io/Logging_2101/kartor_geotiff/A 10448-2026 georefererad karta.tif", "A 10448-2026")</f>
        <v/>
      </c>
      <c r="AA964">
        <f>HYPERLINK("https://klasma.github.io/Logging_2101/klagomål/A 10448-2026 FSC-klagomål.docx", "A 10448-2026")</f>
        <v/>
      </c>
      <c r="AB964">
        <f>HYPERLINK("https://klasma.github.io/Logging_2101/klagomålsmail/A 10448-2026 FSC-klagomål mail.docx", "A 10448-2026")</f>
        <v/>
      </c>
      <c r="AC964">
        <f>HYPERLINK("https://klasma.github.io/Logging_2101/tillsyn/A 10448-2026 tillsynsbegäran.docx", "A 10448-2026")</f>
        <v/>
      </c>
      <c r="AD964">
        <f>HYPERLINK("https://klasma.github.io/Logging_2101/tillsynsmail/A 10448-2026 tillsynsbegäran mail.docx", "A 10448-2026")</f>
        <v/>
      </c>
    </row>
    <row r="965" ht="15" customHeight="1">
      <c r="A965" t="inlineStr">
        <is>
          <t>A 20659-2026</t>
        </is>
      </c>
      <c r="B965" t="inlineStr">
        <is>
          <t>avverkningsanmälan</t>
        </is>
      </c>
      <c r="C965" t="inlineStr">
        <is>
          <t>Föryngringsavverkning</t>
        </is>
      </c>
      <c r="D965" s="1" t="n">
        <v>46141</v>
      </c>
      <c r="E965" s="1" t="n">
        <v>46326</v>
      </c>
      <c r="F965" t="inlineStr">
        <is>
          <t>GÄVLEBORGS LÄN</t>
        </is>
      </c>
      <c r="G965" t="inlineStr">
        <is>
          <t>OVANÅKER</t>
        </is>
      </c>
      <c r="H965" t="inlineStr">
        <is>
          <t>Bergvik skog väst AB</t>
        </is>
      </c>
      <c r="I965" t="n">
        <v>2.2</v>
      </c>
      <c r="J965" t="n">
        <v>1</v>
      </c>
      <c r="K965" t="n">
        <v>0</v>
      </c>
      <c r="L965" t="n">
        <v>0</v>
      </c>
      <c r="M965" t="n">
        <v>0</v>
      </c>
      <c r="N965" t="n">
        <v>0</v>
      </c>
      <c r="O965" t="n">
        <v>0</v>
      </c>
      <c r="P965" t="n">
        <v>0</v>
      </c>
      <c r="Q965" t="n">
        <v>0</v>
      </c>
      <c r="R965" t="n">
        <v>0</v>
      </c>
      <c r="S965" t="n">
        <v>1</v>
      </c>
      <c r="T965" t="n">
        <v>1</v>
      </c>
      <c r="U965" t="n">
        <v>0</v>
      </c>
      <c r="V965" s="2" t="inlineStr">
        <is>
          <t>Skogsduva</t>
        </is>
      </c>
      <c r="W965">
        <f>HYPERLINK("https://klasma.github.io/Logging_2121/artfynd/A 20659-2026 artfynd.xlsx", "A 20659-2026")</f>
        <v/>
      </c>
      <c r="X965">
        <f>HYPERLINK("https://klasma.github.io/Logging_2121/kartor/A 20659-2026 karta.png", "A 20659-2026")</f>
        <v/>
      </c>
      <c r="Y965">
        <f>HYPERLINK("https://klasma.github.io/Logging_2121/kartor_geotiff/A 20659-2026 georefererad karta.tif", "A 20659-2026")</f>
        <v/>
      </c>
      <c r="AA965">
        <f>HYPERLINK("https://klasma.github.io/Logging_2121/klagomål/A 20659-2026 FSC-klagomål.docx", "A 20659-2026")</f>
        <v/>
      </c>
      <c r="AB965">
        <f>HYPERLINK("https://klasma.github.io/Logging_2121/klagomålsmail/A 20659-2026 FSC-klagomål mail.docx", "A 20659-2026")</f>
        <v/>
      </c>
      <c r="AC965">
        <f>HYPERLINK("https://klasma.github.io/Logging_2121/tillsyn/A 20659-2026 tillsynsbegäran.docx", "A 20659-2026")</f>
        <v/>
      </c>
      <c r="AD965">
        <f>HYPERLINK("https://klasma.github.io/Logging_2121/tillsynsmail/A 20659-2026 tillsynsbegäran mail.docx", "A 20659-2026")</f>
        <v/>
      </c>
    </row>
    <row r="966" ht="15" customHeight="1">
      <c r="A966" t="inlineStr">
        <is>
          <t>A 20932-2026</t>
        </is>
      </c>
      <c r="B966" t="inlineStr">
        <is>
          <t>avverkningsanmälan</t>
        </is>
      </c>
      <c r="C966" t="inlineStr">
        <is>
          <t>Föryngringsavverkning</t>
        </is>
      </c>
      <c r="D966" s="1" t="n">
        <v>46142</v>
      </c>
      <c r="E966" s="1" t="n">
        <v>46326</v>
      </c>
      <c r="F966" t="inlineStr">
        <is>
          <t>GÄVLEBORGS LÄN</t>
        </is>
      </c>
      <c r="G966" t="inlineStr">
        <is>
          <t>LJUSDAL</t>
        </is>
      </c>
      <c r="H966" t="inlineStr">
        <is>
          <t>Sveaskog</t>
        </is>
      </c>
      <c r="I966" t="n">
        <v>10.1</v>
      </c>
      <c r="J966" t="n">
        <v>0</v>
      </c>
      <c r="K966" t="n">
        <v>0</v>
      </c>
      <c r="L966" t="n">
        <v>1</v>
      </c>
      <c r="M966" t="n">
        <v>0</v>
      </c>
      <c r="N966" t="n">
        <v>0</v>
      </c>
      <c r="O966" t="n">
        <v>0</v>
      </c>
      <c r="P966" t="n">
        <v>0</v>
      </c>
      <c r="Q966" t="n">
        <v>1</v>
      </c>
      <c r="R966" t="n">
        <v>0</v>
      </c>
      <c r="S966" t="n">
        <v>1</v>
      </c>
      <c r="T966" t="n">
        <v>1</v>
      </c>
      <c r="U966" t="n">
        <v>1</v>
      </c>
      <c r="V966" s="2" t="inlineStr">
        <is>
          <t>Kolflarnlav</t>
        </is>
      </c>
      <c r="W966">
        <f>HYPERLINK("https://klasma.github.io/Logging_2161/artfynd/A 20932-2026 artfynd.xlsx", "A 20932-2026")</f>
        <v/>
      </c>
      <c r="X966">
        <f>HYPERLINK("https://klasma.github.io/Logging_2161/kartor/A 20932-2026 karta.png", "A 20932-2026")</f>
        <v/>
      </c>
      <c r="Y966">
        <f>HYPERLINK("https://klasma.github.io/Logging_2161/kartor_geotiff/A 20932-2026 georefererad karta.tif", "A 20932-2026")</f>
        <v/>
      </c>
      <c r="AA966">
        <f>HYPERLINK("https://klasma.github.io/Logging_2161/klagomål/A 20932-2026 FSC-klagomål.docx", "A 20932-2026")</f>
        <v/>
      </c>
      <c r="AB966">
        <f>HYPERLINK("https://klasma.github.io/Logging_2161/klagomålsmail/A 20932-2026 FSC-klagomål mail.docx", "A 20932-2026")</f>
        <v/>
      </c>
      <c r="AC966">
        <f>HYPERLINK("https://klasma.github.io/Logging_2161/tillsyn/A 20932-2026 tillsynsbegäran.docx", "A 20932-2026")</f>
        <v/>
      </c>
      <c r="AD966">
        <f>HYPERLINK("https://klasma.github.io/Logging_2161/tillsynsmail/A 20932-2026 tillsynsbegäran mail.docx", "A 20932-2026")</f>
        <v/>
      </c>
    </row>
    <row r="967" ht="15" customHeight="1">
      <c r="A967" t="inlineStr">
        <is>
          <t>A 20930-2026</t>
        </is>
      </c>
      <c r="B967" t="inlineStr">
        <is>
          <t>avverkningsanmälan</t>
        </is>
      </c>
      <c r="C967" t="inlineStr">
        <is>
          <t>Föryngringsavverkning</t>
        </is>
      </c>
      <c r="D967" s="1" t="n">
        <v>46142</v>
      </c>
      <c r="E967" s="1" t="n">
        <v>46326</v>
      </c>
      <c r="F967" t="inlineStr">
        <is>
          <t>GÄVLEBORGS LÄN</t>
        </is>
      </c>
      <c r="G967" t="inlineStr">
        <is>
          <t>LJUSDAL</t>
        </is>
      </c>
      <c r="H967" t="inlineStr">
        <is>
          <t>Sveaskog</t>
        </is>
      </c>
      <c r="I967" t="n">
        <v>9.6</v>
      </c>
      <c r="J967" t="n">
        <v>0</v>
      </c>
      <c r="K967" t="n">
        <v>0</v>
      </c>
      <c r="L967" t="n">
        <v>1</v>
      </c>
      <c r="M967" t="n">
        <v>0</v>
      </c>
      <c r="N967" t="n">
        <v>0</v>
      </c>
      <c r="O967" t="n">
        <v>0</v>
      </c>
      <c r="P967" t="n">
        <v>0</v>
      </c>
      <c r="Q967" t="n">
        <v>1</v>
      </c>
      <c r="R967" t="n">
        <v>0</v>
      </c>
      <c r="S967" t="n">
        <v>1</v>
      </c>
      <c r="T967" t="n">
        <v>1</v>
      </c>
      <c r="U967" t="n">
        <v>1</v>
      </c>
      <c r="V967" s="2" t="inlineStr">
        <is>
          <t>Lunglav</t>
        </is>
      </c>
      <c r="W967">
        <f>HYPERLINK("https://klasma.github.io/Logging_2161/artfynd/A 20930-2026 artfynd.xlsx", "A 20930-2026")</f>
        <v/>
      </c>
      <c r="X967">
        <f>HYPERLINK("https://klasma.github.io/Logging_2161/kartor/A 20930-2026 karta.png", "A 20930-2026")</f>
        <v/>
      </c>
      <c r="Y967">
        <f>HYPERLINK("https://klasma.github.io/Logging_2161/kartor_geotiff/A 20930-2026 georefererad karta.tif", "A 20930-2026")</f>
        <v/>
      </c>
      <c r="AA967">
        <f>HYPERLINK("https://klasma.github.io/Logging_2161/klagomål/A 20930-2026 FSC-klagomål.docx", "A 20930-2026")</f>
        <v/>
      </c>
      <c r="AB967">
        <f>HYPERLINK("https://klasma.github.io/Logging_2161/klagomålsmail/A 20930-2026 FSC-klagomål mail.docx", "A 20930-2026")</f>
        <v/>
      </c>
      <c r="AC967">
        <f>HYPERLINK("https://klasma.github.io/Logging_2161/tillsyn/A 20930-2026 tillsynsbegäran.docx", "A 20930-2026")</f>
        <v/>
      </c>
      <c r="AD967">
        <f>HYPERLINK("https://klasma.github.io/Logging_2161/tillsynsmail/A 20930-2026 tillsynsbegäran mail.docx", "A 20930-2026")</f>
        <v/>
      </c>
    </row>
    <row r="968" ht="15" customHeight="1">
      <c r="A968" t="inlineStr">
        <is>
          <t>A 20989-2026</t>
        </is>
      </c>
      <c r="B968" t="inlineStr">
        <is>
          <t>avverkningsanmälan</t>
        </is>
      </c>
      <c r="C968" t="inlineStr">
        <is>
          <t>Föryngringsavverkning</t>
        </is>
      </c>
      <c r="D968" s="1" t="n">
        <v>46142</v>
      </c>
      <c r="E968" s="1" t="n">
        <v>46326</v>
      </c>
      <c r="F968" t="inlineStr">
        <is>
          <t>GÄVLEBORGS LÄN</t>
        </is>
      </c>
      <c r="G968" t="inlineStr">
        <is>
          <t>LJUSDAL</t>
        </is>
      </c>
      <c r="H968" t="inlineStr">
        <is>
          <t>Sveaskog</t>
        </is>
      </c>
      <c r="I968" t="n">
        <v>3.5</v>
      </c>
      <c r="J968" t="n">
        <v>0</v>
      </c>
      <c r="K968" t="n">
        <v>0</v>
      </c>
      <c r="L968" t="n">
        <v>1</v>
      </c>
      <c r="M968" t="n">
        <v>0</v>
      </c>
      <c r="N968" t="n">
        <v>0</v>
      </c>
      <c r="O968" t="n">
        <v>0</v>
      </c>
      <c r="P968" t="n">
        <v>0</v>
      </c>
      <c r="Q968" t="n">
        <v>1</v>
      </c>
      <c r="R968" t="n">
        <v>0</v>
      </c>
      <c r="S968" t="n">
        <v>1</v>
      </c>
      <c r="T968" t="n">
        <v>2</v>
      </c>
      <c r="U968" t="n">
        <v>1</v>
      </c>
      <c r="V968" s="2" t="inlineStr">
        <is>
          <t>Lunglav</t>
        </is>
      </c>
      <c r="W968">
        <f>HYPERLINK("https://klasma.github.io/Logging_2161/artfynd/A 20989-2026 artfynd.xlsx", "A 20989-2026")</f>
        <v/>
      </c>
      <c r="X968">
        <f>HYPERLINK("https://klasma.github.io/Logging_2161/kartor/A 20989-2026 karta.png", "A 20989-2026")</f>
        <v/>
      </c>
      <c r="Y968">
        <f>HYPERLINK("https://klasma.github.io/Logging_2161/kartor_geotiff/A 20989-2026 georefererad karta.tif", "A 20989-2026")</f>
        <v/>
      </c>
      <c r="AA968">
        <f>HYPERLINK("https://klasma.github.io/Logging_2161/klagomål/A 20989-2026 FSC-klagomål.docx", "A 20989-2026")</f>
        <v/>
      </c>
      <c r="AB968">
        <f>HYPERLINK("https://klasma.github.io/Logging_2161/klagomålsmail/A 20989-2026 FSC-klagomål mail.docx", "A 20989-2026")</f>
        <v/>
      </c>
      <c r="AC968">
        <f>HYPERLINK("https://klasma.github.io/Logging_2161/tillsyn/A 20989-2026 tillsynsbegäran.docx", "A 20989-2026")</f>
        <v/>
      </c>
      <c r="AD968">
        <f>HYPERLINK("https://klasma.github.io/Logging_2161/tillsynsmail/A 20989-2026 tillsynsbegäran mail.docx", "A 20989-2026")</f>
        <v/>
      </c>
    </row>
    <row r="969" ht="15" customHeight="1">
      <c r="A969" t="inlineStr">
        <is>
          <t>A 17924-2026</t>
        </is>
      </c>
      <c r="B969" t="inlineStr">
        <is>
          <t>avverkningsanmälan</t>
        </is>
      </c>
      <c r="C969" t="inlineStr">
        <is>
          <t>Föryngringsavverkning</t>
        </is>
      </c>
      <c r="D969" s="1" t="n">
        <v>46122</v>
      </c>
      <c r="E969" s="1" t="n">
        <v>46326</v>
      </c>
      <c r="F969" t="inlineStr">
        <is>
          <t>GÄVLEBORGS LÄN</t>
        </is>
      </c>
      <c r="G969" t="inlineStr">
        <is>
          <t>OVANÅKER</t>
        </is>
      </c>
      <c r="H969" t="inlineStr">
        <is>
          <t>Bergvik skog öst AB</t>
        </is>
      </c>
      <c r="I969" t="n">
        <v>11.2</v>
      </c>
      <c r="J969" t="n">
        <v>1</v>
      </c>
      <c r="K969" t="n">
        <v>0</v>
      </c>
      <c r="L969" t="n">
        <v>1</v>
      </c>
      <c r="M969" t="n">
        <v>0</v>
      </c>
      <c r="N969" t="n">
        <v>0</v>
      </c>
      <c r="O969" t="n">
        <v>0</v>
      </c>
      <c r="P969" t="n">
        <v>0</v>
      </c>
      <c r="Q969" t="n">
        <v>1</v>
      </c>
      <c r="R969" t="n">
        <v>0</v>
      </c>
      <c r="S969" t="n">
        <v>1</v>
      </c>
      <c r="T969" t="n">
        <v>2</v>
      </c>
      <c r="U969" t="n">
        <v>0</v>
      </c>
      <c r="V969" s="2" t="inlineStr">
        <is>
          <t>Varglav</t>
        </is>
      </c>
      <c r="W969">
        <f>HYPERLINK("https://klasma.github.io/Logging_2121/artfynd/A 17924-2026 artfynd.xlsx", "A 17924-2026")</f>
        <v/>
      </c>
      <c r="X969">
        <f>HYPERLINK("https://klasma.github.io/Logging_2121/kartor/A 17924-2026 karta.png", "A 17924-2026")</f>
        <v/>
      </c>
      <c r="Y969">
        <f>HYPERLINK("https://klasma.github.io/Logging_2121/kartor_geotiff/A 17924-2026 georefererad karta.tif", "A 17924-2026")</f>
        <v/>
      </c>
      <c r="AA969">
        <f>HYPERLINK("https://klasma.github.io/Logging_2121/klagomål/A 17924-2026 FSC-klagomål.docx", "A 17924-2026")</f>
        <v/>
      </c>
      <c r="AB969">
        <f>HYPERLINK("https://klasma.github.io/Logging_2121/klagomålsmail/A 17924-2026 FSC-klagomål mail.docx", "A 17924-2026")</f>
        <v/>
      </c>
      <c r="AC969">
        <f>HYPERLINK("https://klasma.github.io/Logging_2121/tillsyn/A 17924-2026 tillsynsbegäran.docx", "A 17924-2026")</f>
        <v/>
      </c>
      <c r="AD969">
        <f>HYPERLINK("https://klasma.github.io/Logging_2121/tillsynsmail/A 17924-2026 tillsynsbegäran mail.docx", "A 17924-2026")</f>
        <v/>
      </c>
    </row>
    <row r="970" ht="15" customHeight="1">
      <c r="A970" t="inlineStr">
        <is>
          <t>A 55768-2025</t>
        </is>
      </c>
      <c r="B970" t="inlineStr">
        <is>
          <t>avverkningsanmälan</t>
        </is>
      </c>
      <c r="C970" t="inlineStr">
        <is>
          <t>Avverkning för annat ändamål</t>
        </is>
      </c>
      <c r="D970" s="1" t="n">
        <v>45972</v>
      </c>
      <c r="E970" s="1" t="n">
        <v>46326</v>
      </c>
      <c r="F970" t="inlineStr">
        <is>
          <t>GÄVLEBORGS LÄN</t>
        </is>
      </c>
      <c r="G970" t="inlineStr">
        <is>
          <t>SÖDERHAMN</t>
        </is>
      </c>
      <c r="I970" t="n">
        <v>0.3</v>
      </c>
      <c r="J970" t="n">
        <v>0</v>
      </c>
      <c r="K970" t="n">
        <v>0</v>
      </c>
      <c r="L970" t="n">
        <v>0</v>
      </c>
      <c r="M970" t="n">
        <v>0</v>
      </c>
      <c r="N970" t="n">
        <v>1</v>
      </c>
      <c r="O970" t="n">
        <v>0</v>
      </c>
      <c r="P970" t="n">
        <v>0</v>
      </c>
      <c r="Q970" t="n">
        <v>1</v>
      </c>
      <c r="R970" t="n">
        <v>1</v>
      </c>
      <c r="S970" t="n">
        <v>1</v>
      </c>
      <c r="T970" t="n">
        <v>1</v>
      </c>
      <c r="U970" t="n">
        <v>0</v>
      </c>
      <c r="V970" s="2" t="inlineStr">
        <is>
          <t>Sydlig ladlav</t>
        </is>
      </c>
      <c r="W970">
        <f>HYPERLINK("https://klasma.github.io/Logging_2182/artfynd/A 55768-2025 artfynd.xlsx", "A 55768-2025")</f>
        <v/>
      </c>
      <c r="X970">
        <f>HYPERLINK("https://klasma.github.io/Logging_2182/kartor/A 55768-2025 karta.png", "A 55768-2025")</f>
        <v/>
      </c>
      <c r="Y970">
        <f>HYPERLINK("https://klasma.github.io/Logging_2182/kartor_geotiff/A 55768-2025 georefererad karta.tif", "A 55768-2025")</f>
        <v/>
      </c>
      <c r="AA970">
        <f>HYPERLINK("https://klasma.github.io/Logging_2182/klagomål/A 55768-2025 FSC-klagomål.docx", "A 55768-2025")</f>
        <v/>
      </c>
      <c r="AB970">
        <f>HYPERLINK("https://klasma.github.io/Logging_2182/klagomålsmail/A 55768-2025 FSC-klagomål mail.docx", "A 55768-2025")</f>
        <v/>
      </c>
      <c r="AC970">
        <f>HYPERLINK("https://klasma.github.io/Logging_2182/tillsyn/A 55768-2025 tillsynsbegäran.docx", "A 55768-2025")</f>
        <v/>
      </c>
      <c r="AD970">
        <f>HYPERLINK("https://klasma.github.io/Logging_2182/tillsynsmail/A 55768-2025 tillsynsbegäran mail.docx", "A 55768-2025")</f>
        <v/>
      </c>
    </row>
    <row r="971" ht="15" customHeight="1">
      <c r="A971" t="inlineStr">
        <is>
          <t>A 55943-2025</t>
        </is>
      </c>
      <c r="B971" t="inlineStr">
        <is>
          <t>avverkningsanmälan</t>
        </is>
      </c>
      <c r="C971" t="inlineStr">
        <is>
          <t>Avverkning för annat ändamål</t>
        </is>
      </c>
      <c r="D971" s="1" t="n">
        <v>45973</v>
      </c>
      <c r="E971" s="1" t="n">
        <v>46326</v>
      </c>
      <c r="F971" t="inlineStr">
        <is>
          <t>GÄVLEBORGS LÄN</t>
        </is>
      </c>
      <c r="G971" t="inlineStr">
        <is>
          <t>LJUSDAL</t>
        </is>
      </c>
      <c r="H971" t="inlineStr">
        <is>
          <t>Bergvik skog väst AB</t>
        </is>
      </c>
      <c r="I971" t="n">
        <v>0.9</v>
      </c>
      <c r="J971" t="n">
        <v>1</v>
      </c>
      <c r="K971" t="n">
        <v>0</v>
      </c>
      <c r="L971" t="n">
        <v>1</v>
      </c>
      <c r="M971" t="n">
        <v>0</v>
      </c>
      <c r="N971" t="n">
        <v>0</v>
      </c>
      <c r="O971" t="n">
        <v>0</v>
      </c>
      <c r="P971" t="n">
        <v>0</v>
      </c>
      <c r="Q971" t="n">
        <v>1</v>
      </c>
      <c r="R971" t="n">
        <v>0</v>
      </c>
      <c r="S971" t="n">
        <v>1</v>
      </c>
      <c r="T971" t="n">
        <v>1</v>
      </c>
      <c r="U971" t="n">
        <v>0</v>
      </c>
      <c r="V971" s="2" t="inlineStr">
        <is>
          <t>Kungsörn</t>
        </is>
      </c>
      <c r="W971">
        <f>HYPERLINK("https://klasma.github.io/Logging_2161/artfynd/A 55943-2025 artfynd.xlsx", "A 55943-2025")</f>
        <v/>
      </c>
      <c r="X971">
        <f>HYPERLINK("https://klasma.github.io/Logging_2161/kartor/A 55943-2025 karta.png", "A 55943-2025")</f>
        <v/>
      </c>
      <c r="Y971">
        <f>HYPERLINK("https://klasma.github.io/Logging_2161/kartor_geotiff/A 55943-2025 georefererad karta.tif", "A 55943-2025")</f>
        <v/>
      </c>
      <c r="AA971">
        <f>HYPERLINK("https://klasma.github.io/Logging_2161/klagomål/A 55943-2025 FSC-klagomål.docx", "A 55943-2025")</f>
        <v/>
      </c>
      <c r="AB971">
        <f>HYPERLINK("https://klasma.github.io/Logging_2161/klagomålsmail/A 55943-2025 FSC-klagomål mail.docx", "A 55943-2025")</f>
        <v/>
      </c>
      <c r="AC971">
        <f>HYPERLINK("https://klasma.github.io/Logging_2161/tillsyn/A 55943-2025 tillsynsbegäran.docx", "A 55943-2025")</f>
        <v/>
      </c>
      <c r="AD971">
        <f>HYPERLINK("https://klasma.github.io/Logging_2161/tillsynsmail/A 55943-2025 tillsynsbegäran mail.docx", "A 55943-2025")</f>
        <v/>
      </c>
      <c r="AE971">
        <f>HYPERLINK("https://klasma.github.io/Logging_2161/fåglar/A 55943-2025 prioriterade fågelarter.docx", "A 55943-2025")</f>
        <v/>
      </c>
    </row>
    <row r="972" ht="15" customHeight="1">
      <c r="A972" t="inlineStr">
        <is>
          <t>A 14703-2026</t>
        </is>
      </c>
      <c r="B972" t="inlineStr">
        <is>
          <t>avverkningsanmälan</t>
        </is>
      </c>
      <c r="C972" t="inlineStr">
        <is>
          <t>Föryngringsavverkning</t>
        </is>
      </c>
      <c r="D972" s="1" t="n">
        <v>46101</v>
      </c>
      <c r="E972" s="1" t="n">
        <v>46326</v>
      </c>
      <c r="F972" t="inlineStr">
        <is>
          <t>GÄVLEBORGS LÄN</t>
        </is>
      </c>
      <c r="G972" t="inlineStr">
        <is>
          <t>GÄVLE</t>
        </is>
      </c>
      <c r="H972" t="inlineStr">
        <is>
          <t>Bergvik skog öst AB</t>
        </is>
      </c>
      <c r="I972" t="n">
        <v>2.8</v>
      </c>
      <c r="J972" t="n">
        <v>1</v>
      </c>
      <c r="K972" t="n">
        <v>0</v>
      </c>
      <c r="L972" t="n">
        <v>0</v>
      </c>
      <c r="M972" t="n">
        <v>0</v>
      </c>
      <c r="N972" t="n">
        <v>0</v>
      </c>
      <c r="O972" t="n">
        <v>0</v>
      </c>
      <c r="P972" t="n">
        <v>0</v>
      </c>
      <c r="Q972" t="n">
        <v>0</v>
      </c>
      <c r="R972" t="n">
        <v>0</v>
      </c>
      <c r="S972" t="n">
        <v>1</v>
      </c>
      <c r="T972" t="n">
        <v>1</v>
      </c>
      <c r="U972" t="n">
        <v>0</v>
      </c>
      <c r="V972" s="2" t="inlineStr">
        <is>
          <t>Tjäder</t>
        </is>
      </c>
      <c r="W972">
        <f>HYPERLINK("https://klasma.github.io/Logging_2180/artfynd/A 14703-2026 artfynd.xlsx", "A 14703-2026")</f>
        <v/>
      </c>
      <c r="X972">
        <f>HYPERLINK("https://klasma.github.io/Logging_2180/kartor/A 14703-2026 karta.png", "A 14703-2026")</f>
        <v/>
      </c>
      <c r="Y972">
        <f>HYPERLINK("https://klasma.github.io/Logging_2180/kartor_geotiff/A 14703-2026 georefererad karta.tif", "A 14703-2026")</f>
        <v/>
      </c>
      <c r="AA972">
        <f>HYPERLINK("https://klasma.github.io/Logging_2180/klagomål/A 14703-2026 FSC-klagomål.docx", "A 14703-2026")</f>
        <v/>
      </c>
      <c r="AB972">
        <f>HYPERLINK("https://klasma.github.io/Logging_2180/klagomålsmail/A 14703-2026 FSC-klagomål mail.docx", "A 14703-2026")</f>
        <v/>
      </c>
      <c r="AC972">
        <f>HYPERLINK("https://klasma.github.io/Logging_2180/tillsyn/A 14703-2026 tillsynsbegäran.docx", "A 14703-2026")</f>
        <v/>
      </c>
      <c r="AD972">
        <f>HYPERLINK("https://klasma.github.io/Logging_2180/tillsynsmail/A 14703-2026 tillsynsbegäran mail.docx", "A 14703-2026")</f>
        <v/>
      </c>
      <c r="AE972">
        <f>HYPERLINK("https://klasma.github.io/Logging_2180/fåglar/A 14703-2026 prioriterade fågelarter.docx", "A 14703-2026")</f>
        <v/>
      </c>
    </row>
    <row r="973" ht="15" customHeight="1">
      <c r="A973" t="inlineStr">
        <is>
          <t>A 21532-2026</t>
        </is>
      </c>
      <c r="B973" t="inlineStr">
        <is>
          <t>avverkningsanmälan</t>
        </is>
      </c>
      <c r="C973" t="inlineStr">
        <is>
          <t>Föryngringsavverkning</t>
        </is>
      </c>
      <c r="D973" s="1" t="n">
        <v>46148</v>
      </c>
      <c r="E973" s="1" t="n">
        <v>46326</v>
      </c>
      <c r="F973" t="inlineStr">
        <is>
          <t>GÄVLEBORGS LÄN</t>
        </is>
      </c>
      <c r="G973" t="inlineStr">
        <is>
          <t>SANDVIKEN</t>
        </is>
      </c>
      <c r="H973" t="inlineStr">
        <is>
          <t>Kommuner</t>
        </is>
      </c>
      <c r="I973" t="n">
        <v>2</v>
      </c>
      <c r="J973" t="n">
        <v>1</v>
      </c>
      <c r="K973" t="n">
        <v>0</v>
      </c>
      <c r="L973" t="n">
        <v>0</v>
      </c>
      <c r="M973" t="n">
        <v>0</v>
      </c>
      <c r="N973" t="n">
        <v>0</v>
      </c>
      <c r="O973" t="n">
        <v>0</v>
      </c>
      <c r="P973" t="n">
        <v>0</v>
      </c>
      <c r="Q973" t="n">
        <v>0</v>
      </c>
      <c r="R973" t="n">
        <v>0</v>
      </c>
      <c r="S973" t="n">
        <v>1</v>
      </c>
      <c r="T973" t="n">
        <v>1</v>
      </c>
      <c r="U973" t="n">
        <v>0</v>
      </c>
      <c r="V973" s="2" t="inlineStr">
        <is>
          <t>Svartvit flugsnappare</t>
        </is>
      </c>
      <c r="W973">
        <f>HYPERLINK("https://klasma.github.io/Logging_2181/artfynd/A 21532-2026 artfynd.xlsx", "A 21532-2026")</f>
        <v/>
      </c>
      <c r="X973">
        <f>HYPERLINK("https://klasma.github.io/Logging_2181/kartor/A 21532-2026 karta.png", "A 21532-2026")</f>
        <v/>
      </c>
      <c r="Y973">
        <f>HYPERLINK("https://klasma.github.io/Logging_2181/kartor_geotiff/A 21532-2026 georefererad karta.tif", "A 21532-2026")</f>
        <v/>
      </c>
      <c r="AA973">
        <f>HYPERLINK("https://klasma.github.io/Logging_2181/klagomål/A 21532-2026 FSC-klagomål.docx", "A 21532-2026")</f>
        <v/>
      </c>
      <c r="AB973">
        <f>HYPERLINK("https://klasma.github.io/Logging_2181/klagomålsmail/A 21532-2026 FSC-klagomål mail.docx", "A 21532-2026")</f>
        <v/>
      </c>
      <c r="AC973">
        <f>HYPERLINK("https://klasma.github.io/Logging_2181/tillsyn/A 21532-2026 tillsynsbegäran.docx", "A 21532-2026")</f>
        <v/>
      </c>
      <c r="AD973">
        <f>HYPERLINK("https://klasma.github.io/Logging_2181/tillsynsmail/A 21532-2026 tillsynsbegäran mail.docx", "A 21532-2026")</f>
        <v/>
      </c>
    </row>
    <row r="974" ht="15" customHeight="1">
      <c r="A974" t="inlineStr">
        <is>
          <t>A 2755-2022</t>
        </is>
      </c>
      <c r="B974" t="inlineStr">
        <is>
          <t>avverkningsanmälan</t>
        </is>
      </c>
      <c r="C974" t="inlineStr">
        <is>
          <t>Föryngringsavverkning</t>
        </is>
      </c>
      <c r="D974" s="1" t="n">
        <v>44580</v>
      </c>
      <c r="E974" s="1" t="n">
        <v>46326</v>
      </c>
      <c r="F974" t="inlineStr">
        <is>
          <t>GÄVLEBORGS LÄN</t>
        </is>
      </c>
      <c r="G974" t="inlineStr">
        <is>
          <t>SÖDERHAMN</t>
        </is>
      </c>
      <c r="I974" t="n">
        <v>5.8</v>
      </c>
      <c r="J974" t="n">
        <v>1</v>
      </c>
      <c r="K974" t="n">
        <v>0</v>
      </c>
      <c r="L974" t="n">
        <v>0</v>
      </c>
      <c r="M974" t="n">
        <v>0</v>
      </c>
      <c r="N974" t="n">
        <v>0</v>
      </c>
      <c r="O974" t="n">
        <v>0</v>
      </c>
      <c r="P974" t="n">
        <v>0</v>
      </c>
      <c r="Q974" t="n">
        <v>0</v>
      </c>
      <c r="R974" t="n">
        <v>0</v>
      </c>
      <c r="S974" t="n">
        <v>1</v>
      </c>
      <c r="T974" t="n">
        <v>4</v>
      </c>
      <c r="U974" t="n">
        <v>4</v>
      </c>
      <c r="V974" s="2" t="inlineStr">
        <is>
          <t>Fläcknycklar</t>
        </is>
      </c>
      <c r="W974">
        <f>HYPERLINK("https://klasma.github.io/Logging_2182/artfynd/A 2755-2022 artfynd.xlsx", "A 2755-2022")</f>
        <v/>
      </c>
      <c r="X974">
        <f>HYPERLINK("https://klasma.github.io/Logging_2182/kartor/A 2755-2022 karta.png", "A 2755-2022")</f>
        <v/>
      </c>
      <c r="Y974">
        <f>HYPERLINK("https://klasma.github.io/Logging_2182/kartor_geotiff/A 2755-2022 georefererad karta.tif", "A 2755-2022")</f>
        <v/>
      </c>
      <c r="AA974">
        <f>HYPERLINK("https://klasma.github.io/Logging_2182/klagomål/A 2755-2022 FSC-klagomål.docx", "A 2755-2022")</f>
        <v/>
      </c>
      <c r="AB974">
        <f>HYPERLINK("https://klasma.github.io/Logging_2182/klagomålsmail/A 2755-2022 FSC-klagomål mail.docx", "A 2755-2022")</f>
        <v/>
      </c>
      <c r="AC974">
        <f>HYPERLINK("https://klasma.github.io/Logging_2182/tillsyn/A 2755-2022 tillsynsbegäran.docx", "A 2755-2022")</f>
        <v/>
      </c>
      <c r="AD974">
        <f>HYPERLINK("https://klasma.github.io/Logging_2182/tillsynsmail/A 2755-2022 tillsynsbegäran mail.docx", "A 2755-2022")</f>
        <v/>
      </c>
    </row>
    <row r="975" ht="15" customHeight="1">
      <c r="A975" t="inlineStr">
        <is>
          <t>A 2254-2025</t>
        </is>
      </c>
      <c r="B975" t="inlineStr">
        <is>
          <t>avverkningsanmälan</t>
        </is>
      </c>
      <c r="C975" t="inlineStr">
        <is>
          <t>Föryngringsavverkning</t>
        </is>
      </c>
      <c r="D975" s="1" t="n">
        <v>45673</v>
      </c>
      <c r="E975" s="1" t="n">
        <v>46326</v>
      </c>
      <c r="F975" t="inlineStr">
        <is>
          <t>GÄVLEBORGS LÄN</t>
        </is>
      </c>
      <c r="G975" t="inlineStr">
        <is>
          <t>NORDANSTIG</t>
        </is>
      </c>
      <c r="H975" t="inlineStr">
        <is>
          <t>Holmen skog AB</t>
        </is>
      </c>
      <c r="I975" t="n">
        <v>1.3</v>
      </c>
      <c r="J975" t="n">
        <v>1</v>
      </c>
      <c r="K975" t="n">
        <v>0</v>
      </c>
      <c r="L975" t="n">
        <v>0</v>
      </c>
      <c r="M975" t="n">
        <v>1</v>
      </c>
      <c r="N975" t="n">
        <v>0</v>
      </c>
      <c r="O975" t="n">
        <v>0</v>
      </c>
      <c r="P975" t="n">
        <v>0</v>
      </c>
      <c r="Q975" t="n">
        <v>1</v>
      </c>
      <c r="R975" t="n">
        <v>1</v>
      </c>
      <c r="S975" t="n">
        <v>1</v>
      </c>
      <c r="T975" t="n">
        <v>4</v>
      </c>
      <c r="U975" t="n">
        <v>0</v>
      </c>
      <c r="V975" s="2" t="inlineStr">
        <is>
          <t>Bredgentiana</t>
        </is>
      </c>
      <c r="W975">
        <f>HYPERLINK("https://klasma.github.io/Logging_2132/artfynd/A 2254-2025 artfynd.xlsx", "A 2254-2025")</f>
        <v/>
      </c>
      <c r="X975">
        <f>HYPERLINK("https://klasma.github.io/Logging_2132/kartor/A 2254-2025 karta.png", "A 2254-2025")</f>
        <v/>
      </c>
      <c r="Y975">
        <f>HYPERLINK("https://klasma.github.io/Logging_2132/kartor_geotiff/A 2254-2025 georefererad karta.tif", "A 2254-2025")</f>
        <v/>
      </c>
      <c r="AA975">
        <f>HYPERLINK("https://klasma.github.io/Logging_2132/klagomål/A 2254-2025 FSC-klagomål.docx", "A 2254-2025")</f>
        <v/>
      </c>
      <c r="AB975">
        <f>HYPERLINK("https://klasma.github.io/Logging_2132/klagomålsmail/A 2254-2025 FSC-klagomål mail.docx", "A 2254-2025")</f>
        <v/>
      </c>
      <c r="AC975">
        <f>HYPERLINK("https://klasma.github.io/Logging_2132/tillsyn/A 2254-2025 tillsynsbegäran.docx", "A 2254-2025")</f>
        <v/>
      </c>
      <c r="AD975">
        <f>HYPERLINK("https://klasma.github.io/Logging_2132/tillsynsmail/A 2254-2025 tillsynsbegäran mail.docx", "A 2254-2025")</f>
        <v/>
      </c>
    </row>
    <row r="976" ht="15" customHeight="1">
      <c r="A976" t="inlineStr">
        <is>
          <t>A 33298-2023</t>
        </is>
      </c>
      <c r="B976" t="inlineStr">
        <is>
          <t>avverkningsanmälan</t>
        </is>
      </c>
      <c r="C976" t="inlineStr">
        <is>
          <t>Föryngringsavverkning</t>
        </is>
      </c>
      <c r="D976" s="1" t="n">
        <v>45127</v>
      </c>
      <c r="E976" s="1" t="n">
        <v>46326</v>
      </c>
      <c r="F976" t="inlineStr">
        <is>
          <t>GÄVLEBORGS LÄN</t>
        </is>
      </c>
      <c r="G976" t="inlineStr">
        <is>
          <t>HOFORS</t>
        </is>
      </c>
      <c r="H976" t="inlineStr">
        <is>
          <t>Sveaskog</t>
        </is>
      </c>
      <c r="I976" t="n">
        <v>5.6</v>
      </c>
      <c r="J976" t="n">
        <v>0</v>
      </c>
      <c r="K976" t="n">
        <v>1</v>
      </c>
      <c r="L976" t="n">
        <v>0</v>
      </c>
      <c r="M976" t="n">
        <v>0</v>
      </c>
      <c r="N976" t="n">
        <v>0</v>
      </c>
      <c r="O976" t="n">
        <v>0</v>
      </c>
      <c r="P976" t="n">
        <v>0</v>
      </c>
      <c r="Q976" t="n">
        <v>0</v>
      </c>
      <c r="R976" t="n">
        <v>0</v>
      </c>
      <c r="S976" t="n">
        <v>1</v>
      </c>
      <c r="T976" t="n">
        <v>1</v>
      </c>
      <c r="U976" t="n">
        <v>1</v>
      </c>
      <c r="V976" s="2" t="inlineStr">
        <is>
          <t>Vedticka</t>
        </is>
      </c>
      <c r="W976">
        <f>HYPERLINK("https://klasma.github.io/Logging_2104/artfynd/A 33298-2023 artfynd.xlsx", "A 33298-2023")</f>
        <v/>
      </c>
      <c r="X976">
        <f>HYPERLINK("https://klasma.github.io/Logging_2104/kartor/A 33298-2023 karta.png", "A 33298-2023")</f>
        <v/>
      </c>
      <c r="Y976">
        <f>HYPERLINK("https://klasma.github.io/Logging_2104/kartor_geotiff/A 33298-2023 georefererad karta.tif", "A 33298-2023")</f>
        <v/>
      </c>
      <c r="AA976">
        <f>HYPERLINK("https://klasma.github.io/Logging_2104/klagomål/A 33298-2023 FSC-klagomål.docx", "A 33298-2023")</f>
        <v/>
      </c>
      <c r="AB976">
        <f>HYPERLINK("https://klasma.github.io/Logging_2104/klagomålsmail/A 33298-2023 FSC-klagomål mail.docx", "A 33298-2023")</f>
        <v/>
      </c>
      <c r="AC976">
        <f>HYPERLINK("https://klasma.github.io/Logging_2104/tillsyn/A 33298-2023 tillsynsbegäran.docx", "A 33298-2023")</f>
        <v/>
      </c>
      <c r="AD976">
        <f>HYPERLINK("https://klasma.github.io/Logging_2104/tillsynsmail/A 33298-2023 tillsynsbegäran mail.docx", "A 33298-2023")</f>
        <v/>
      </c>
    </row>
    <row r="977" ht="15" customHeight="1">
      <c r="A977" t="inlineStr">
        <is>
          <t>A 22052-2026</t>
        </is>
      </c>
      <c r="B977" t="inlineStr">
        <is>
          <t>avverkningsanmälan</t>
        </is>
      </c>
      <c r="C977" t="inlineStr">
        <is>
          <t>Föryngringsavverkning</t>
        </is>
      </c>
      <c r="D977" s="1" t="n">
        <v>46153</v>
      </c>
      <c r="E977" s="1" t="n">
        <v>46326</v>
      </c>
      <c r="F977" t="inlineStr">
        <is>
          <t>GÄVLEBORGS LÄN</t>
        </is>
      </c>
      <c r="G977" t="inlineStr">
        <is>
          <t>GÄVLE</t>
        </is>
      </c>
      <c r="H977" t="inlineStr">
        <is>
          <t>Bergvik skog öst AB</t>
        </is>
      </c>
      <c r="I977" t="n">
        <v>2.8</v>
      </c>
      <c r="J977" t="n">
        <v>0</v>
      </c>
      <c r="K977" t="n">
        <v>0</v>
      </c>
      <c r="L977" t="n">
        <v>1</v>
      </c>
      <c r="M977" t="n">
        <v>0</v>
      </c>
      <c r="N977" t="n">
        <v>0</v>
      </c>
      <c r="O977" t="n">
        <v>0</v>
      </c>
      <c r="P977" t="n">
        <v>0</v>
      </c>
      <c r="Q977" t="n">
        <v>1</v>
      </c>
      <c r="R977" t="n">
        <v>0</v>
      </c>
      <c r="S977" t="n">
        <v>1</v>
      </c>
      <c r="T977" t="n">
        <v>1</v>
      </c>
      <c r="U977" t="n">
        <v>0</v>
      </c>
      <c r="V977" s="2" t="inlineStr">
        <is>
          <t>Gullpudra</t>
        </is>
      </c>
      <c r="W977">
        <f>HYPERLINK("https://klasma.github.io/Logging_2180/artfynd/A 22052-2026 artfynd.xlsx", "A 22052-2026")</f>
        <v/>
      </c>
      <c r="X977">
        <f>HYPERLINK("https://klasma.github.io/Logging_2180/kartor/A 22052-2026 karta.png", "A 22052-2026")</f>
        <v/>
      </c>
      <c r="Y977">
        <f>HYPERLINK("https://klasma.github.io/Logging_2180/kartor_geotiff/A 22052-2026 georefererad karta.tif", "A 22052-2026")</f>
        <v/>
      </c>
      <c r="AA977">
        <f>HYPERLINK("https://klasma.github.io/Logging_2180/klagomål/A 22052-2026 FSC-klagomål.docx", "A 22052-2026")</f>
        <v/>
      </c>
      <c r="AB977">
        <f>HYPERLINK("https://klasma.github.io/Logging_2180/klagomålsmail/A 22052-2026 FSC-klagomål mail.docx", "A 22052-2026")</f>
        <v/>
      </c>
      <c r="AC977">
        <f>HYPERLINK("https://klasma.github.io/Logging_2180/tillsyn/A 22052-2026 tillsynsbegäran.docx", "A 22052-2026")</f>
        <v/>
      </c>
      <c r="AD977">
        <f>HYPERLINK("https://klasma.github.io/Logging_2180/tillsynsmail/A 22052-2026 tillsynsbegäran mail.docx", "A 22052-2026")</f>
        <v/>
      </c>
    </row>
    <row r="978" ht="15" customHeight="1">
      <c r="A978" t="inlineStr">
        <is>
          <t>A 25145-2024</t>
        </is>
      </c>
      <c r="B978" t="inlineStr">
        <is>
          <t>avverkningsanmälan</t>
        </is>
      </c>
      <c r="C978" t="inlineStr">
        <is>
          <t>Avverkning för att bevara och utveckla /försöksver</t>
        </is>
      </c>
      <c r="D978" s="1" t="n">
        <v>45462</v>
      </c>
      <c r="E978" s="1" t="n">
        <v>46326</v>
      </c>
      <c r="F978" t="inlineStr">
        <is>
          <t>GÄVLEBORGS LÄN</t>
        </is>
      </c>
      <c r="G978" t="inlineStr">
        <is>
          <t>HUDIKSVALL</t>
        </is>
      </c>
      <c r="H978" t="inlineStr">
        <is>
          <t>Sveaskog</t>
        </is>
      </c>
      <c r="I978" t="n">
        <v>2.3</v>
      </c>
      <c r="J978" t="n">
        <v>1</v>
      </c>
      <c r="K978" t="n">
        <v>0</v>
      </c>
      <c r="L978" t="n">
        <v>0</v>
      </c>
      <c r="M978" t="n">
        <v>0</v>
      </c>
      <c r="N978" t="n">
        <v>0</v>
      </c>
      <c r="O978" t="n">
        <v>0</v>
      </c>
      <c r="P978" t="n">
        <v>0</v>
      </c>
      <c r="Q978" t="n">
        <v>0</v>
      </c>
      <c r="R978" t="n">
        <v>0</v>
      </c>
      <c r="S978" t="n">
        <v>1</v>
      </c>
      <c r="T978" t="n">
        <v>1</v>
      </c>
      <c r="U978" t="n">
        <v>0</v>
      </c>
      <c r="V978" s="2" t="inlineStr">
        <is>
          <t>Skogsödla</t>
        </is>
      </c>
      <c r="W978">
        <f>HYPERLINK("https://klasma.github.io/Logging_2184/artfynd/A 25145-2024 artfynd.xlsx", "A 25145-2024")</f>
        <v/>
      </c>
      <c r="X978">
        <f>HYPERLINK("https://klasma.github.io/Logging_2184/kartor/A 25145-2024 karta.png", "A 25145-2024")</f>
        <v/>
      </c>
      <c r="Y978">
        <f>HYPERLINK("https://klasma.github.io/Logging_2184/kartor_geotiff/A 25145-2024 georefererad karta.tif", "A 25145-2024")</f>
        <v/>
      </c>
      <c r="AA978">
        <f>HYPERLINK("https://klasma.github.io/Logging_2184/klagomål/A 25145-2024 FSC-klagomål.docx", "A 25145-2024")</f>
        <v/>
      </c>
      <c r="AB978">
        <f>HYPERLINK("https://klasma.github.io/Logging_2184/klagomålsmail/A 25145-2024 FSC-klagomål mail.docx", "A 25145-2024")</f>
        <v/>
      </c>
      <c r="AC978">
        <f>HYPERLINK("https://klasma.github.io/Logging_2184/tillsyn/A 25145-2024 tillsynsbegäran.docx", "A 25145-2024")</f>
        <v/>
      </c>
      <c r="AD978">
        <f>HYPERLINK("https://klasma.github.io/Logging_2184/tillsynsmail/A 25145-2024 tillsynsbegäran mail.docx", "A 25145-2024")</f>
        <v/>
      </c>
    </row>
    <row r="979" ht="15" customHeight="1">
      <c r="A979" t="inlineStr">
        <is>
          <t>A 22400-2026</t>
        </is>
      </c>
      <c r="B979" t="inlineStr">
        <is>
          <t>avverkningsanmälan</t>
        </is>
      </c>
      <c r="C979" t="inlineStr">
        <is>
          <t>Föryngringsavverkning</t>
        </is>
      </c>
      <c r="D979" s="1" t="n">
        <v>46154</v>
      </c>
      <c r="E979" s="1" t="n">
        <v>46326</v>
      </c>
      <c r="F979" t="inlineStr">
        <is>
          <t>GÄVLEBORGS LÄN</t>
        </is>
      </c>
      <c r="G979" t="inlineStr">
        <is>
          <t>LJUSDAL</t>
        </is>
      </c>
      <c r="H979" t="inlineStr">
        <is>
          <t>Sveaskog</t>
        </is>
      </c>
      <c r="I979" t="n">
        <v>3.1</v>
      </c>
      <c r="J979" t="n">
        <v>0</v>
      </c>
      <c r="K979" t="n">
        <v>0</v>
      </c>
      <c r="L979" t="n">
        <v>1</v>
      </c>
      <c r="M979" t="n">
        <v>0</v>
      </c>
      <c r="N979" t="n">
        <v>0</v>
      </c>
      <c r="O979" t="n">
        <v>0</v>
      </c>
      <c r="P979" t="n">
        <v>0</v>
      </c>
      <c r="Q979" t="n">
        <v>1</v>
      </c>
      <c r="R979" t="n">
        <v>0</v>
      </c>
      <c r="S979" t="n">
        <v>1</v>
      </c>
      <c r="T979" t="n">
        <v>1</v>
      </c>
      <c r="U979" t="n">
        <v>1</v>
      </c>
      <c r="V979" s="2" t="inlineStr">
        <is>
          <t>Lunglav</t>
        </is>
      </c>
      <c r="W979">
        <f>HYPERLINK("https://klasma.github.io/Logging_2161/artfynd/A 22400-2026 artfynd.xlsx", "A 22400-2026")</f>
        <v/>
      </c>
      <c r="X979">
        <f>HYPERLINK("https://klasma.github.io/Logging_2161/kartor/A 22400-2026 karta.png", "A 22400-2026")</f>
        <v/>
      </c>
      <c r="Y979">
        <f>HYPERLINK("https://klasma.github.io/Logging_2161/kartor_geotiff/A 22400-2026 georefererad karta.tif", "A 22400-2026")</f>
        <v/>
      </c>
      <c r="AA979">
        <f>HYPERLINK("https://klasma.github.io/Logging_2161/klagomål/A 22400-2026 FSC-klagomål.docx", "A 22400-2026")</f>
        <v/>
      </c>
      <c r="AB979">
        <f>HYPERLINK("https://klasma.github.io/Logging_2161/klagomålsmail/A 22400-2026 FSC-klagomål mail.docx", "A 22400-2026")</f>
        <v/>
      </c>
      <c r="AC979">
        <f>HYPERLINK("https://klasma.github.io/Logging_2161/tillsyn/A 22400-2026 tillsynsbegäran.docx", "A 22400-2026")</f>
        <v/>
      </c>
      <c r="AD979">
        <f>HYPERLINK("https://klasma.github.io/Logging_2161/tillsynsmail/A 22400-2026 tillsynsbegäran mail.docx", "A 22400-2026")</f>
        <v/>
      </c>
    </row>
    <row r="980" ht="15" customHeight="1">
      <c r="A980" t="inlineStr">
        <is>
          <t>A 22041-2022</t>
        </is>
      </c>
      <c r="B980" t="inlineStr">
        <is>
          <t>avverkningsanmälan</t>
        </is>
      </c>
      <c r="C980" t="inlineStr">
        <is>
          <t>Föryngringsavverkning</t>
        </is>
      </c>
      <c r="D980" s="1" t="n">
        <v>44711</v>
      </c>
      <c r="E980" s="1" t="n">
        <v>46326</v>
      </c>
      <c r="F980" t="inlineStr">
        <is>
          <t>GÄVLEBORGS LÄN</t>
        </is>
      </c>
      <c r="G980" t="inlineStr">
        <is>
          <t>NORDANSTIG</t>
        </is>
      </c>
      <c r="H980" t="inlineStr">
        <is>
          <t>Holmen skog AB</t>
        </is>
      </c>
      <c r="I980" t="n">
        <v>6.2</v>
      </c>
      <c r="J980" t="n">
        <v>0</v>
      </c>
      <c r="K980" t="n">
        <v>1</v>
      </c>
      <c r="L980" t="n">
        <v>0</v>
      </c>
      <c r="M980" t="n">
        <v>0</v>
      </c>
      <c r="N980" t="n">
        <v>0</v>
      </c>
      <c r="O980" t="n">
        <v>0</v>
      </c>
      <c r="P980" t="n">
        <v>0</v>
      </c>
      <c r="Q980" t="n">
        <v>0</v>
      </c>
      <c r="R980" t="n">
        <v>0</v>
      </c>
      <c r="S980" t="n">
        <v>1</v>
      </c>
      <c r="T980" t="n">
        <v>1</v>
      </c>
      <c r="U980" t="n">
        <v>1</v>
      </c>
      <c r="V980" s="2" t="inlineStr">
        <is>
          <t>Svavelriska</t>
        </is>
      </c>
      <c r="W980">
        <f>HYPERLINK("https://klasma.github.io/Logging_2132/artfynd/A 22041-2022 artfynd.xlsx", "A 22041-2022")</f>
        <v/>
      </c>
      <c r="X980">
        <f>HYPERLINK("https://klasma.github.io/Logging_2132/kartor/A 22041-2022 karta.png", "A 22041-2022")</f>
        <v/>
      </c>
      <c r="Y980">
        <f>HYPERLINK("https://klasma.github.io/Logging_2132/kartor_geotiff/A 22041-2022 georefererad karta.tif", "A 22041-2022")</f>
        <v/>
      </c>
      <c r="AA980">
        <f>HYPERLINK("https://klasma.github.io/Logging_2132/klagomål/A 22041-2022 FSC-klagomål.docx", "A 22041-2022")</f>
        <v/>
      </c>
      <c r="AB980">
        <f>HYPERLINK("https://klasma.github.io/Logging_2132/klagomålsmail/A 22041-2022 FSC-klagomål mail.docx", "A 22041-2022")</f>
        <v/>
      </c>
      <c r="AC980">
        <f>HYPERLINK("https://klasma.github.io/Logging_2132/tillsyn/A 22041-2022 tillsynsbegäran.docx", "A 22041-2022")</f>
        <v/>
      </c>
      <c r="AD980">
        <f>HYPERLINK("https://klasma.github.io/Logging_2132/tillsynsmail/A 22041-2022 tillsynsbegäran mail.docx", "A 22041-2022")</f>
        <v/>
      </c>
    </row>
    <row r="981" ht="15" customHeight="1">
      <c r="A981" t="inlineStr">
        <is>
          <t>A 22892-2026</t>
        </is>
      </c>
      <c r="B981" t="inlineStr">
        <is>
          <t>avverkningsanmälan</t>
        </is>
      </c>
      <c r="C981" t="inlineStr">
        <is>
          <t>Föryngringsavverkning</t>
        </is>
      </c>
      <c r="D981" s="1" t="n">
        <v>46157</v>
      </c>
      <c r="E981" s="1" t="n">
        <v>46326</v>
      </c>
      <c r="F981" t="inlineStr">
        <is>
          <t>GÄVLEBORGS LÄN</t>
        </is>
      </c>
      <c r="G981" t="inlineStr">
        <is>
          <t>GÄVLE</t>
        </is>
      </c>
      <c r="H981" t="inlineStr">
        <is>
          <t>Bergvik skog väst AB</t>
        </is>
      </c>
      <c r="I981" t="n">
        <v>1.6</v>
      </c>
      <c r="J981" t="n">
        <v>1</v>
      </c>
      <c r="K981" t="n">
        <v>0</v>
      </c>
      <c r="L981" t="n">
        <v>0</v>
      </c>
      <c r="M981" t="n">
        <v>0</v>
      </c>
      <c r="N981" t="n">
        <v>0</v>
      </c>
      <c r="O981" t="n">
        <v>0</v>
      </c>
      <c r="P981" t="n">
        <v>0</v>
      </c>
      <c r="Q981" t="n">
        <v>0</v>
      </c>
      <c r="R981" t="n">
        <v>0</v>
      </c>
      <c r="S981" t="n">
        <v>1</v>
      </c>
      <c r="T981" t="n">
        <v>1</v>
      </c>
      <c r="U981" t="n">
        <v>0</v>
      </c>
      <c r="V981" s="2" t="inlineStr">
        <is>
          <t>Tjäder</t>
        </is>
      </c>
      <c r="W981">
        <f>HYPERLINK("https://klasma.github.io/Logging_2180/artfynd/A 22892-2026 artfynd.xlsx", "A 22892-2026")</f>
        <v/>
      </c>
      <c r="X981">
        <f>HYPERLINK("https://klasma.github.io/Logging_2180/kartor/A 22892-2026 karta.png", "A 22892-2026")</f>
        <v/>
      </c>
      <c r="Y981">
        <f>HYPERLINK("https://klasma.github.io/Logging_2180/kartor_geotiff/A 22892-2026 georefererad karta.tif", "A 22892-2026")</f>
        <v/>
      </c>
      <c r="AA981">
        <f>HYPERLINK("https://klasma.github.io/Logging_2180/klagomål/A 22892-2026 FSC-klagomål.docx", "A 22892-2026")</f>
        <v/>
      </c>
      <c r="AB981">
        <f>HYPERLINK("https://klasma.github.io/Logging_2180/klagomålsmail/A 22892-2026 FSC-klagomål mail.docx", "A 22892-2026")</f>
        <v/>
      </c>
      <c r="AC981">
        <f>HYPERLINK("https://klasma.github.io/Logging_2180/tillsyn/A 22892-2026 tillsynsbegäran.docx", "A 22892-2026")</f>
        <v/>
      </c>
      <c r="AD981">
        <f>HYPERLINK("https://klasma.github.io/Logging_2180/tillsynsmail/A 22892-2026 tillsynsbegäran mail.docx", "A 22892-2026")</f>
        <v/>
      </c>
      <c r="AE981">
        <f>HYPERLINK("https://klasma.github.io/Logging_2180/fåglar/A 22892-2026 prioriterade fågelarter.docx", "A 22892-2026")</f>
        <v/>
      </c>
    </row>
    <row r="982" ht="15" customHeight="1">
      <c r="A982" t="inlineStr">
        <is>
          <t>A 12815-2025</t>
        </is>
      </c>
      <c r="B982" t="inlineStr">
        <is>
          <t>avverkningsanmälan</t>
        </is>
      </c>
      <c r="C982" t="inlineStr">
        <is>
          <t>Föryngringsavverkning</t>
        </is>
      </c>
      <c r="D982" s="1" t="n">
        <v>45733</v>
      </c>
      <c r="E982" s="1" t="n">
        <v>46326</v>
      </c>
      <c r="F982" t="inlineStr">
        <is>
          <t>GÄVLEBORGS LÄN</t>
        </is>
      </c>
      <c r="G982" t="inlineStr">
        <is>
          <t>BOLLNÄS</t>
        </is>
      </c>
      <c r="I982" t="n">
        <v>2.9</v>
      </c>
      <c r="J982" t="n">
        <v>1</v>
      </c>
      <c r="K982" t="n">
        <v>1</v>
      </c>
      <c r="L982" t="n">
        <v>0</v>
      </c>
      <c r="M982" t="n">
        <v>0</v>
      </c>
      <c r="N982" t="n">
        <v>0</v>
      </c>
      <c r="O982" t="n">
        <v>0</v>
      </c>
      <c r="P982" t="n">
        <v>0</v>
      </c>
      <c r="Q982" t="n">
        <v>0</v>
      </c>
      <c r="R982" t="n">
        <v>0</v>
      </c>
      <c r="S982" t="n">
        <v>1</v>
      </c>
      <c r="T982" t="n">
        <v>1</v>
      </c>
      <c r="U982" t="n">
        <v>1</v>
      </c>
      <c r="V982" s="2" t="inlineStr">
        <is>
          <t>Plattlummer</t>
        </is>
      </c>
      <c r="W982">
        <f>HYPERLINK("https://klasma.github.io/Logging_2183/artfynd/A 12815-2025 artfynd.xlsx", "A 12815-2025")</f>
        <v/>
      </c>
      <c r="X982">
        <f>HYPERLINK("https://klasma.github.io/Logging_2183/kartor/A 12815-2025 karta.png", "A 12815-2025")</f>
        <v/>
      </c>
      <c r="Y982">
        <f>HYPERLINK("https://klasma.github.io/Logging_2183/kartor_geotiff/A 12815-2025 georefererad karta.tif", "A 12815-2025")</f>
        <v/>
      </c>
      <c r="AA982">
        <f>HYPERLINK("https://klasma.github.io/Logging_2183/klagomål/A 12815-2025 FSC-klagomål.docx", "A 12815-2025")</f>
        <v/>
      </c>
      <c r="AB982">
        <f>HYPERLINK("https://klasma.github.io/Logging_2183/klagomålsmail/A 12815-2025 FSC-klagomål mail.docx", "A 12815-2025")</f>
        <v/>
      </c>
      <c r="AC982">
        <f>HYPERLINK("https://klasma.github.io/Logging_2183/tillsyn/A 12815-2025 tillsynsbegäran.docx", "A 12815-2025")</f>
        <v/>
      </c>
      <c r="AD982">
        <f>HYPERLINK("https://klasma.github.io/Logging_2183/tillsynsmail/A 12815-2025 tillsynsbegäran mail.docx", "A 12815-2025")</f>
        <v/>
      </c>
    </row>
    <row r="983" ht="15" customHeight="1">
      <c r="A983" t="inlineStr">
        <is>
          <t>A 12817-2025</t>
        </is>
      </c>
      <c r="B983" t="inlineStr">
        <is>
          <t>avverkningsanmälan</t>
        </is>
      </c>
      <c r="C983" t="inlineStr">
        <is>
          <t>Föryngringsavverkning</t>
        </is>
      </c>
      <c r="D983" s="1" t="n">
        <v>45733</v>
      </c>
      <c r="E983" s="1" t="n">
        <v>46326</v>
      </c>
      <c r="F983" t="inlineStr">
        <is>
          <t>GÄVLEBORGS LÄN</t>
        </is>
      </c>
      <c r="G983" t="inlineStr">
        <is>
          <t>BOLLNÄS</t>
        </is>
      </c>
      <c r="I983" t="n">
        <v>1.8</v>
      </c>
      <c r="J983" t="n">
        <v>0</v>
      </c>
      <c r="K983" t="n">
        <v>0</v>
      </c>
      <c r="L983" t="n">
        <v>1</v>
      </c>
      <c r="M983" t="n">
        <v>0</v>
      </c>
      <c r="N983" t="n">
        <v>0</v>
      </c>
      <c r="O983" t="n">
        <v>0</v>
      </c>
      <c r="P983" t="n">
        <v>0</v>
      </c>
      <c r="Q983" t="n">
        <v>1</v>
      </c>
      <c r="R983" t="n">
        <v>0</v>
      </c>
      <c r="S983" t="n">
        <v>1</v>
      </c>
      <c r="T983" t="n">
        <v>1</v>
      </c>
      <c r="U983" t="n">
        <v>0</v>
      </c>
      <c r="V983" s="2" t="inlineStr">
        <is>
          <t>Dropptaggsvamp</t>
        </is>
      </c>
      <c r="W983">
        <f>HYPERLINK("https://klasma.github.io/Logging_2183/artfynd/A 12817-2025 artfynd.xlsx", "A 12817-2025")</f>
        <v/>
      </c>
      <c r="X983">
        <f>HYPERLINK("https://klasma.github.io/Logging_2183/kartor/A 12817-2025 karta.png", "A 12817-2025")</f>
        <v/>
      </c>
      <c r="Y983">
        <f>HYPERLINK("https://klasma.github.io/Logging_2183/kartor_geotiff/A 12817-2025 georefererad karta.tif", "A 12817-2025")</f>
        <v/>
      </c>
      <c r="AA983">
        <f>HYPERLINK("https://klasma.github.io/Logging_2183/klagomål/A 12817-2025 FSC-klagomål.docx", "A 12817-2025")</f>
        <v/>
      </c>
      <c r="AB983">
        <f>HYPERLINK("https://klasma.github.io/Logging_2183/klagomålsmail/A 12817-2025 FSC-klagomål mail.docx", "A 12817-2025")</f>
        <v/>
      </c>
      <c r="AC983">
        <f>HYPERLINK("https://klasma.github.io/Logging_2183/tillsyn/A 12817-2025 tillsynsbegäran.docx", "A 12817-2025")</f>
        <v/>
      </c>
      <c r="AD983">
        <f>HYPERLINK("https://klasma.github.io/Logging_2183/tillsynsmail/A 12817-2025 tillsynsbegäran mail.docx", "A 12817-2025")</f>
        <v/>
      </c>
    </row>
    <row r="984" ht="15" customHeight="1">
      <c r="A984" t="inlineStr">
        <is>
          <t>A 24035-2026</t>
        </is>
      </c>
      <c r="B984" t="inlineStr">
        <is>
          <t>avverkningsanmälan</t>
        </is>
      </c>
      <c r="C984" t="inlineStr">
        <is>
          <t>Föryngringsavverkning</t>
        </is>
      </c>
      <c r="D984" s="1" t="n">
        <v>46167</v>
      </c>
      <c r="E984" s="1" t="n">
        <v>46326</v>
      </c>
      <c r="F984" t="inlineStr">
        <is>
          <t>GÄVLEBORGS LÄN</t>
        </is>
      </c>
      <c r="G984" t="inlineStr">
        <is>
          <t>BOLLNÄS</t>
        </is>
      </c>
      <c r="H984" t="inlineStr">
        <is>
          <t>Bergvik skog väst AB</t>
        </is>
      </c>
      <c r="I984" t="n">
        <v>14.6</v>
      </c>
      <c r="J984" t="n">
        <v>1</v>
      </c>
      <c r="K984" t="n">
        <v>0</v>
      </c>
      <c r="L984" t="n">
        <v>0</v>
      </c>
      <c r="M984" t="n">
        <v>0</v>
      </c>
      <c r="N984" t="n">
        <v>0</v>
      </c>
      <c r="O984" t="n">
        <v>0</v>
      </c>
      <c r="P984" t="n">
        <v>0</v>
      </c>
      <c r="Q984" t="n">
        <v>0</v>
      </c>
      <c r="R984" t="n">
        <v>0</v>
      </c>
      <c r="S984" t="n">
        <v>1</v>
      </c>
      <c r="T984" t="n">
        <v>1</v>
      </c>
      <c r="U984" t="n">
        <v>1</v>
      </c>
      <c r="V984" s="2" t="inlineStr">
        <is>
          <t>Nattviol</t>
        </is>
      </c>
      <c r="W984">
        <f>HYPERLINK("https://klasma.github.io/Logging_2183/artfynd/A 24035-2026 artfynd.xlsx", "A 24035-2026")</f>
        <v/>
      </c>
      <c r="X984">
        <f>HYPERLINK("https://klasma.github.io/Logging_2183/kartor/A 24035-2026 karta.png", "A 24035-2026")</f>
        <v/>
      </c>
      <c r="Y984">
        <f>HYPERLINK("https://klasma.github.io/Logging_2183/kartor_geotiff/A 24035-2026 georefererad karta.tif", "A 24035-2026")</f>
        <v/>
      </c>
      <c r="AA984">
        <f>HYPERLINK("https://klasma.github.io/Logging_2183/klagomål/A 24035-2026 FSC-klagomål.docx", "A 24035-2026")</f>
        <v/>
      </c>
      <c r="AB984">
        <f>HYPERLINK("https://klasma.github.io/Logging_2183/klagomålsmail/A 24035-2026 FSC-klagomål mail.docx", "A 24035-2026")</f>
        <v/>
      </c>
      <c r="AC984">
        <f>HYPERLINK("https://klasma.github.io/Logging_2183/tillsyn/A 24035-2026 tillsynsbegäran.docx", "A 24035-2026")</f>
        <v/>
      </c>
      <c r="AD984">
        <f>HYPERLINK("https://klasma.github.io/Logging_2183/tillsynsmail/A 24035-2026 tillsynsbegäran mail.docx", "A 24035-2026")</f>
        <v/>
      </c>
    </row>
    <row r="985" ht="15" customHeight="1">
      <c r="A985" t="inlineStr">
        <is>
          <t>A 23779-2026</t>
        </is>
      </c>
      <c r="B985" t="inlineStr">
        <is>
          <t>avverkningsanmälan</t>
        </is>
      </c>
      <c r="C985" t="inlineStr">
        <is>
          <t>Föryngringsavverkning</t>
        </is>
      </c>
      <c r="D985" s="1" t="n">
        <v>46164</v>
      </c>
      <c r="E985" s="1" t="n">
        <v>46326</v>
      </c>
      <c r="F985" t="inlineStr">
        <is>
          <t>GÄVLEBORGS LÄN</t>
        </is>
      </c>
      <c r="G985" t="inlineStr">
        <is>
          <t>LJUSDAL</t>
        </is>
      </c>
      <c r="H985" t="inlineStr">
        <is>
          <t>Sveaskog</t>
        </is>
      </c>
      <c r="I985" t="n">
        <v>5.4</v>
      </c>
      <c r="J985" t="n">
        <v>0</v>
      </c>
      <c r="K985" t="n">
        <v>0</v>
      </c>
      <c r="L985" t="n">
        <v>1</v>
      </c>
      <c r="M985" t="n">
        <v>0</v>
      </c>
      <c r="N985" t="n">
        <v>0</v>
      </c>
      <c r="O985" t="n">
        <v>0</v>
      </c>
      <c r="P985" t="n">
        <v>0</v>
      </c>
      <c r="Q985" t="n">
        <v>1</v>
      </c>
      <c r="R985" t="n">
        <v>0</v>
      </c>
      <c r="S985" t="n">
        <v>1</v>
      </c>
      <c r="T985" t="n">
        <v>1</v>
      </c>
      <c r="U985" t="n">
        <v>1</v>
      </c>
      <c r="V985" s="2" t="inlineStr">
        <is>
          <t>Tallticka</t>
        </is>
      </c>
      <c r="W985">
        <f>HYPERLINK("https://klasma.github.io/Logging_2161/artfynd/A 23779-2026 artfynd.xlsx", "A 23779-2026")</f>
        <v/>
      </c>
      <c r="X985">
        <f>HYPERLINK("https://klasma.github.io/Logging_2161/kartor/A 23779-2026 karta.png", "A 23779-2026")</f>
        <v/>
      </c>
      <c r="Y985">
        <f>HYPERLINK("https://klasma.github.io/Logging_2161/kartor_geotiff/A 23779-2026 georefererad karta.tif", "A 23779-2026")</f>
        <v/>
      </c>
      <c r="AA985">
        <f>HYPERLINK("https://klasma.github.io/Logging_2161/klagomål/A 23779-2026 FSC-klagomål.docx", "A 23779-2026")</f>
        <v/>
      </c>
      <c r="AB985">
        <f>HYPERLINK("https://klasma.github.io/Logging_2161/klagomålsmail/A 23779-2026 FSC-klagomål mail.docx", "A 23779-2026")</f>
        <v/>
      </c>
      <c r="AC985">
        <f>HYPERLINK("https://klasma.github.io/Logging_2161/tillsyn/A 23779-2026 tillsynsbegäran.docx", "A 23779-2026")</f>
        <v/>
      </c>
      <c r="AD985">
        <f>HYPERLINK("https://klasma.github.io/Logging_2161/tillsynsmail/A 23779-2026 tillsynsbegäran mail.docx", "A 23779-2026")</f>
        <v/>
      </c>
    </row>
    <row r="986" ht="15" customHeight="1">
      <c r="A986" t="inlineStr">
        <is>
          <t>A 24171-2026</t>
        </is>
      </c>
      <c r="B986" t="inlineStr">
        <is>
          <t>avverkningsanmälan</t>
        </is>
      </c>
      <c r="C986" t="inlineStr">
        <is>
          <t>Föryngringsavverkning</t>
        </is>
      </c>
      <c r="D986" s="1" t="n">
        <v>46168</v>
      </c>
      <c r="E986" s="1" t="n">
        <v>46326</v>
      </c>
      <c r="F986" t="inlineStr">
        <is>
          <t>GÄVLEBORGS LÄN</t>
        </is>
      </c>
      <c r="G986" t="inlineStr">
        <is>
          <t>SANDVIKEN</t>
        </is>
      </c>
      <c r="I986" t="n">
        <v>1.4</v>
      </c>
      <c r="J986" t="n">
        <v>0</v>
      </c>
      <c r="K986" t="n">
        <v>0</v>
      </c>
      <c r="L986" t="n">
        <v>1</v>
      </c>
      <c r="M986" t="n">
        <v>0</v>
      </c>
      <c r="N986" t="n">
        <v>0</v>
      </c>
      <c r="O986" t="n">
        <v>0</v>
      </c>
      <c r="P986" t="n">
        <v>0</v>
      </c>
      <c r="Q986" t="n">
        <v>1</v>
      </c>
      <c r="R986" t="n">
        <v>0</v>
      </c>
      <c r="S986" t="n">
        <v>1</v>
      </c>
      <c r="T986" t="n">
        <v>1</v>
      </c>
      <c r="U986" t="n">
        <v>0</v>
      </c>
      <c r="V986" s="2" t="inlineStr">
        <is>
          <t>Svedjenäva</t>
        </is>
      </c>
      <c r="W986">
        <f>HYPERLINK("https://klasma.github.io/Logging_2181/artfynd/A 24171-2026 artfynd.xlsx", "A 24171-2026")</f>
        <v/>
      </c>
      <c r="X986">
        <f>HYPERLINK("https://klasma.github.io/Logging_2181/kartor/A 24171-2026 karta.png", "A 24171-2026")</f>
        <v/>
      </c>
      <c r="Y986">
        <f>HYPERLINK("https://klasma.github.io/Logging_2181/kartor_geotiff/A 24171-2026 georefererad karta.tif", "A 24171-2026")</f>
        <v/>
      </c>
      <c r="AA986">
        <f>HYPERLINK("https://klasma.github.io/Logging_2181/klagomål/A 24171-2026 FSC-klagomål.docx", "A 24171-2026")</f>
        <v/>
      </c>
      <c r="AB986">
        <f>HYPERLINK("https://klasma.github.io/Logging_2181/klagomålsmail/A 24171-2026 FSC-klagomål mail.docx", "A 24171-2026")</f>
        <v/>
      </c>
      <c r="AC986">
        <f>HYPERLINK("https://klasma.github.io/Logging_2181/tillsyn/A 24171-2026 tillsynsbegäran.docx", "A 24171-2026")</f>
        <v/>
      </c>
      <c r="AD986">
        <f>HYPERLINK("https://klasma.github.io/Logging_2181/tillsynsmail/A 24171-2026 tillsynsbegäran mail.docx", "A 24171-2026")</f>
        <v/>
      </c>
    </row>
    <row r="987" ht="15" customHeight="1">
      <c r="A987" t="inlineStr">
        <is>
          <t>A 60275-2022</t>
        </is>
      </c>
      <c r="B987" t="inlineStr">
        <is>
          <t>avverkningsanmälan</t>
        </is>
      </c>
      <c r="C987" t="inlineStr">
        <is>
          <t>Avverkning för att bevara och utveckla /försöksver</t>
        </is>
      </c>
      <c r="D987" s="1" t="n">
        <v>44910</v>
      </c>
      <c r="E987" s="1" t="n">
        <v>46326</v>
      </c>
      <c r="F987" t="inlineStr">
        <is>
          <t>GÄVLEBORGS LÄN</t>
        </is>
      </c>
      <c r="G987" t="inlineStr">
        <is>
          <t>OVANÅKER</t>
        </is>
      </c>
      <c r="H987" t="inlineStr">
        <is>
          <t>Sveaskog</t>
        </is>
      </c>
      <c r="I987" t="n">
        <v>1</v>
      </c>
      <c r="J987" t="n">
        <v>1</v>
      </c>
      <c r="K987" t="n">
        <v>0</v>
      </c>
      <c r="L987" t="n">
        <v>0</v>
      </c>
      <c r="M987" t="n">
        <v>0</v>
      </c>
      <c r="N987" t="n">
        <v>0</v>
      </c>
      <c r="O987" t="n">
        <v>0</v>
      </c>
      <c r="P987" t="n">
        <v>0</v>
      </c>
      <c r="Q987" t="n">
        <v>0</v>
      </c>
      <c r="R987" t="n">
        <v>0</v>
      </c>
      <c r="S987" t="n">
        <v>1</v>
      </c>
      <c r="T987" t="n">
        <v>1</v>
      </c>
      <c r="U987" t="n">
        <v>1</v>
      </c>
      <c r="V987" s="2" t="inlineStr">
        <is>
          <t>Orre</t>
        </is>
      </c>
      <c r="W987">
        <f>HYPERLINK("https://klasma.github.io/Logging_2121/artfynd/A 60275-2022 artfynd.xlsx", "A 60275-2022")</f>
        <v/>
      </c>
      <c r="X987">
        <f>HYPERLINK("https://klasma.github.io/Logging_2121/kartor/A 60275-2022 karta.png", "A 60275-2022")</f>
        <v/>
      </c>
      <c r="Y987">
        <f>HYPERLINK("https://klasma.github.io/Logging_2121/kartor_geotiff/A 60275-2022 georefererad karta.tif", "A 60275-2022")</f>
        <v/>
      </c>
      <c r="AA987">
        <f>HYPERLINK("https://klasma.github.io/Logging_2121/klagomål/A 60275-2022 FSC-klagomål.docx", "A 60275-2022")</f>
        <v/>
      </c>
      <c r="AB987">
        <f>HYPERLINK("https://klasma.github.io/Logging_2121/klagomålsmail/A 60275-2022 FSC-klagomål mail.docx", "A 60275-2022")</f>
        <v/>
      </c>
      <c r="AC987">
        <f>HYPERLINK("https://klasma.github.io/Logging_2121/tillsyn/A 60275-2022 tillsynsbegäran.docx", "A 60275-2022")</f>
        <v/>
      </c>
      <c r="AD987">
        <f>HYPERLINK("https://klasma.github.io/Logging_2121/tillsynsmail/A 60275-2022 tillsynsbegäran mail.docx", "A 60275-2022")</f>
        <v/>
      </c>
      <c r="AE987">
        <f>HYPERLINK("https://klasma.github.io/Logging_2121/fåglar/A 60275-2022 prioriterade fågelarter.docx", "A 60275-2022")</f>
        <v/>
      </c>
    </row>
    <row r="988" ht="15" customHeight="1">
      <c r="A988" t="inlineStr">
        <is>
          <t>A 25040-2026</t>
        </is>
      </c>
      <c r="B988" t="inlineStr">
        <is>
          <t>avverkningsanmälan</t>
        </is>
      </c>
      <c r="C988" t="inlineStr">
        <is>
          <t>Föryngringsavverkning</t>
        </is>
      </c>
      <c r="D988" s="1" t="n">
        <v>46174</v>
      </c>
      <c r="E988" s="1" t="n">
        <v>46326</v>
      </c>
      <c r="F988" t="inlineStr">
        <is>
          <t>GÄVLEBORGS LÄN</t>
        </is>
      </c>
      <c r="G988" t="inlineStr">
        <is>
          <t>HUDIKSVALL</t>
        </is>
      </c>
      <c r="H988" t="inlineStr">
        <is>
          <t>Holmen skog AB</t>
        </is>
      </c>
      <c r="I988" t="n">
        <v>3.1</v>
      </c>
      <c r="J988" t="n">
        <v>0</v>
      </c>
      <c r="K988" t="n">
        <v>0</v>
      </c>
      <c r="L988" t="n">
        <v>1</v>
      </c>
      <c r="M988" t="n">
        <v>0</v>
      </c>
      <c r="N988" t="n">
        <v>0</v>
      </c>
      <c r="O988" t="n">
        <v>0</v>
      </c>
      <c r="P988" t="n">
        <v>0</v>
      </c>
      <c r="Q988" t="n">
        <v>1</v>
      </c>
      <c r="R988" t="n">
        <v>0</v>
      </c>
      <c r="S988" t="n">
        <v>1</v>
      </c>
      <c r="T988" t="n">
        <v>1</v>
      </c>
      <c r="U988" t="n">
        <v>0</v>
      </c>
      <c r="V988" s="2" t="inlineStr">
        <is>
          <t>Skogssvingel</t>
        </is>
      </c>
      <c r="W988">
        <f>HYPERLINK("https://klasma.github.io/Logging_2184/artfynd/A 25040-2026 artfynd.xlsx", "A 25040-2026")</f>
        <v/>
      </c>
      <c r="X988">
        <f>HYPERLINK("https://klasma.github.io/Logging_2184/kartor/A 25040-2026 karta.png", "A 25040-2026")</f>
        <v/>
      </c>
      <c r="Y988">
        <f>HYPERLINK("https://klasma.github.io/Logging_2184/kartor_geotiff/A 25040-2026 georefererad karta.tif", "A 25040-2026")</f>
        <v/>
      </c>
      <c r="AA988">
        <f>HYPERLINK("https://klasma.github.io/Logging_2184/klagomål/A 25040-2026 FSC-klagomål.docx", "A 25040-2026")</f>
        <v/>
      </c>
      <c r="AB988">
        <f>HYPERLINK("https://klasma.github.io/Logging_2184/klagomålsmail/A 25040-2026 FSC-klagomål mail.docx", "A 25040-2026")</f>
        <v/>
      </c>
      <c r="AC988">
        <f>HYPERLINK("https://klasma.github.io/Logging_2184/tillsyn/A 25040-2026 tillsynsbegäran.docx", "A 25040-2026")</f>
        <v/>
      </c>
      <c r="AD988">
        <f>HYPERLINK("https://klasma.github.io/Logging_2184/tillsynsmail/A 25040-2026 tillsynsbegäran mail.docx", "A 25040-2026")</f>
        <v/>
      </c>
    </row>
    <row r="989" ht="15" customHeight="1">
      <c r="A989" t="inlineStr">
        <is>
          <t>A 11895-2026</t>
        </is>
      </c>
      <c r="B989" t="inlineStr">
        <is>
          <t>avverkningsanmälan</t>
        </is>
      </c>
      <c r="C989" t="inlineStr">
        <is>
          <t>Föryngringsavverkning</t>
        </is>
      </c>
      <c r="D989" s="1" t="n">
        <v>46085</v>
      </c>
      <c r="E989" s="1" t="n">
        <v>46326</v>
      </c>
      <c r="F989" t="inlineStr">
        <is>
          <t>GÄVLEBORGS LÄN</t>
        </is>
      </c>
      <c r="G989" t="inlineStr">
        <is>
          <t>NORDANSTIG</t>
        </is>
      </c>
      <c r="I989" t="n">
        <v>21.2</v>
      </c>
      <c r="J989" t="n">
        <v>1</v>
      </c>
      <c r="K989" t="n">
        <v>0</v>
      </c>
      <c r="L989" t="n">
        <v>1</v>
      </c>
      <c r="M989" t="n">
        <v>0</v>
      </c>
      <c r="N989" t="n">
        <v>0</v>
      </c>
      <c r="O989" t="n">
        <v>0</v>
      </c>
      <c r="P989" t="n">
        <v>0</v>
      </c>
      <c r="Q989" t="n">
        <v>1</v>
      </c>
      <c r="R989" t="n">
        <v>0</v>
      </c>
      <c r="S989" t="n">
        <v>1</v>
      </c>
      <c r="T989" t="n">
        <v>1</v>
      </c>
      <c r="U989" t="n">
        <v>0</v>
      </c>
      <c r="V989" s="2" t="inlineStr">
        <is>
          <t>Sötgräs</t>
        </is>
      </c>
      <c r="W989">
        <f>HYPERLINK("https://klasma.github.io/Logging_2132/artfynd/A 11895-2026 artfynd.xlsx", "A 11895-2026")</f>
        <v/>
      </c>
      <c r="X989">
        <f>HYPERLINK("https://klasma.github.io/Logging_2132/kartor/A 11895-2026 karta.png", "A 11895-2026")</f>
        <v/>
      </c>
      <c r="Y989">
        <f>HYPERLINK("https://klasma.github.io/Logging_2132/kartor_geotiff/A 11895-2026 georefererad karta.tif", "A 11895-2026")</f>
        <v/>
      </c>
      <c r="AA989">
        <f>HYPERLINK("https://klasma.github.io/Logging_2132/klagomål/A 11895-2026 FSC-klagomål.docx", "A 11895-2026")</f>
        <v/>
      </c>
      <c r="AB989">
        <f>HYPERLINK("https://klasma.github.io/Logging_2132/klagomålsmail/A 11895-2026 FSC-klagomål mail.docx", "A 11895-2026")</f>
        <v/>
      </c>
      <c r="AC989">
        <f>HYPERLINK("https://klasma.github.io/Logging_2132/tillsyn/A 11895-2026 tillsynsbegäran.docx", "A 11895-2026")</f>
        <v/>
      </c>
      <c r="AD989">
        <f>HYPERLINK("https://klasma.github.io/Logging_2132/tillsynsmail/A 11895-2026 tillsynsbegäran mail.docx", "A 11895-2026")</f>
        <v/>
      </c>
    </row>
    <row r="990" ht="15" customHeight="1">
      <c r="A990" t="inlineStr">
        <is>
          <t>A 38529-2022</t>
        </is>
      </c>
      <c r="B990" t="inlineStr">
        <is>
          <t>avverkningsanmälan</t>
        </is>
      </c>
      <c r="C990" t="inlineStr">
        <is>
          <t>Föryngringsavverkning</t>
        </is>
      </c>
      <c r="D990" s="1" t="n">
        <v>44813</v>
      </c>
      <c r="E990" s="1" t="n">
        <v>46326</v>
      </c>
      <c r="F990" t="inlineStr">
        <is>
          <t>GÄVLEBORGS LÄN</t>
        </is>
      </c>
      <c r="G990" t="inlineStr">
        <is>
          <t>BOLLNÄS</t>
        </is>
      </c>
      <c r="I990" t="n">
        <v>0.9</v>
      </c>
      <c r="J990" t="n">
        <v>0</v>
      </c>
      <c r="K990" t="n">
        <v>0</v>
      </c>
      <c r="L990" t="n">
        <v>0</v>
      </c>
      <c r="M990" t="n">
        <v>1</v>
      </c>
      <c r="N990" t="n">
        <v>0</v>
      </c>
      <c r="O990" t="n">
        <v>0</v>
      </c>
      <c r="P990" t="n">
        <v>0</v>
      </c>
      <c r="Q990" t="n">
        <v>1</v>
      </c>
      <c r="R990" t="n">
        <v>1</v>
      </c>
      <c r="S990" t="n">
        <v>1</v>
      </c>
      <c r="T990" t="n">
        <v>2</v>
      </c>
      <c r="U990" t="n">
        <v>0</v>
      </c>
      <c r="V990" s="2" t="inlineStr">
        <is>
          <t>Skrovlig taggsvamp</t>
        </is>
      </c>
      <c r="W990">
        <f>HYPERLINK("https://klasma.github.io/Logging_2183/artfynd/A 38529-2022 artfynd.xlsx", "A 38529-2022")</f>
        <v/>
      </c>
      <c r="X990">
        <f>HYPERLINK("https://klasma.github.io/Logging_2183/kartor/A 38529-2022 karta.png", "A 38529-2022")</f>
        <v/>
      </c>
      <c r="Y990">
        <f>HYPERLINK("https://klasma.github.io/Logging_2183/kartor_geotiff/A 38529-2022 georefererad karta.tif", "A 38529-2022")</f>
        <v/>
      </c>
      <c r="AA990">
        <f>HYPERLINK("https://klasma.github.io/Logging_2183/klagomål/A 38529-2022 FSC-klagomål.docx", "A 38529-2022")</f>
        <v/>
      </c>
      <c r="AB990">
        <f>HYPERLINK("https://klasma.github.io/Logging_2183/klagomålsmail/A 38529-2022 FSC-klagomål mail.docx", "A 38529-2022")</f>
        <v/>
      </c>
      <c r="AC990">
        <f>HYPERLINK("https://klasma.github.io/Logging_2183/tillsyn/A 38529-2022 tillsynsbegäran.docx", "A 38529-2022")</f>
        <v/>
      </c>
      <c r="AD990">
        <f>HYPERLINK("https://klasma.github.io/Logging_2183/tillsynsmail/A 38529-2022 tillsynsbegäran mail.docx", "A 38529-2022")</f>
        <v/>
      </c>
    </row>
    <row r="991" ht="15" customHeight="1">
      <c r="A991" t="inlineStr">
        <is>
          <t>A 5977-2025</t>
        </is>
      </c>
      <c r="B991" t="inlineStr">
        <is>
          <t>avverkningsanmälan</t>
        </is>
      </c>
      <c r="C991" t="inlineStr">
        <is>
          <t>Föryngringsavverkning</t>
        </is>
      </c>
      <c r="D991" s="1" t="n">
        <v>45695</v>
      </c>
      <c r="E991" s="1" t="n">
        <v>46326</v>
      </c>
      <c r="F991" t="inlineStr">
        <is>
          <t>GÄVLEBORGS LÄN</t>
        </is>
      </c>
      <c r="G991" t="inlineStr">
        <is>
          <t>HUDIKSVALL</t>
        </is>
      </c>
      <c r="I991" t="n">
        <v>4.9</v>
      </c>
      <c r="J991" t="n">
        <v>1</v>
      </c>
      <c r="K991" t="n">
        <v>0</v>
      </c>
      <c r="L991" t="n">
        <v>1</v>
      </c>
      <c r="M991" t="n">
        <v>0</v>
      </c>
      <c r="N991" t="n">
        <v>0</v>
      </c>
      <c r="O991" t="n">
        <v>0</v>
      </c>
      <c r="P991" t="n">
        <v>0</v>
      </c>
      <c r="Q991" t="n">
        <v>1</v>
      </c>
      <c r="R991" t="n">
        <v>0</v>
      </c>
      <c r="S991" t="n">
        <v>1</v>
      </c>
      <c r="T991" t="n">
        <v>1</v>
      </c>
      <c r="U991" t="n">
        <v>0</v>
      </c>
      <c r="V991" s="2" t="inlineStr">
        <is>
          <t>Jorduggla</t>
        </is>
      </c>
      <c r="W991">
        <f>HYPERLINK("https://klasma.github.io/Logging_2184/artfynd/A 5977-2025 artfynd.xlsx", "A 5977-2025")</f>
        <v/>
      </c>
      <c r="X991">
        <f>HYPERLINK("https://klasma.github.io/Logging_2184/kartor/A 5977-2025 karta.png", "A 5977-2025")</f>
        <v/>
      </c>
      <c r="Y991">
        <f>HYPERLINK("https://klasma.github.io/Logging_2184/kartor_geotiff/A 5977-2025 georefererad karta.tif", "A 5977-2025")</f>
        <v/>
      </c>
      <c r="AA991">
        <f>HYPERLINK("https://klasma.github.io/Logging_2184/klagomål/A 5977-2025 FSC-klagomål.docx", "A 5977-2025")</f>
        <v/>
      </c>
      <c r="AB991">
        <f>HYPERLINK("https://klasma.github.io/Logging_2184/klagomålsmail/A 5977-2025 FSC-klagomål mail.docx", "A 5977-2025")</f>
        <v/>
      </c>
      <c r="AC991">
        <f>HYPERLINK("https://klasma.github.io/Logging_2184/tillsyn/A 5977-2025 tillsynsbegäran.docx", "A 5977-2025")</f>
        <v/>
      </c>
      <c r="AD991">
        <f>HYPERLINK("https://klasma.github.io/Logging_2184/tillsynsmail/A 5977-2025 tillsynsbegäran mail.docx", "A 5977-2025")</f>
        <v/>
      </c>
      <c r="AE991">
        <f>HYPERLINK("https://klasma.github.io/Logging_2184/fåglar/A 5977-2025 prioriterade fågelarter.docx", "A 5977-2025")</f>
        <v/>
      </c>
    </row>
    <row r="992" ht="15" customHeight="1">
      <c r="A992" t="inlineStr">
        <is>
          <t>A 32171-2023</t>
        </is>
      </c>
      <c r="B992" t="inlineStr">
        <is>
          <t>avverkningsanmälan</t>
        </is>
      </c>
      <c r="C992" t="inlineStr">
        <is>
          <t>Föryngringsavverkning</t>
        </is>
      </c>
      <c r="D992" s="1" t="n">
        <v>45107</v>
      </c>
      <c r="E992" s="1" t="n">
        <v>46326</v>
      </c>
      <c r="F992" t="inlineStr">
        <is>
          <t>GÄVLEBORGS LÄN</t>
        </is>
      </c>
      <c r="G992" t="inlineStr">
        <is>
          <t>LJUSDAL</t>
        </is>
      </c>
      <c r="I992" t="n">
        <v>1.5</v>
      </c>
      <c r="J992" t="n">
        <v>1</v>
      </c>
      <c r="K992" t="n">
        <v>0</v>
      </c>
      <c r="L992" t="n">
        <v>1</v>
      </c>
      <c r="M992" t="n">
        <v>0</v>
      </c>
      <c r="N992" t="n">
        <v>0</v>
      </c>
      <c r="O992" t="n">
        <v>0</v>
      </c>
      <c r="P992" t="n">
        <v>0</v>
      </c>
      <c r="Q992" t="n">
        <v>1</v>
      </c>
      <c r="R992" t="n">
        <v>0</v>
      </c>
      <c r="S992" t="n">
        <v>1</v>
      </c>
      <c r="T992" t="n">
        <v>1</v>
      </c>
      <c r="U992" t="n">
        <v>1</v>
      </c>
      <c r="V992" s="2" t="inlineStr">
        <is>
          <t>Talltita</t>
        </is>
      </c>
      <c r="W992">
        <f>HYPERLINK("https://klasma.github.io/Logging_2161/artfynd/A 32171-2023 artfynd.xlsx", "A 32171-2023")</f>
        <v/>
      </c>
      <c r="X992">
        <f>HYPERLINK("https://klasma.github.io/Logging_2161/kartor/A 32171-2023 karta.png", "A 32171-2023")</f>
        <v/>
      </c>
      <c r="Y992">
        <f>HYPERLINK("https://klasma.github.io/Logging_2161/kartor_geotiff/A 32171-2023 georefererad karta.tif", "A 32171-2023")</f>
        <v/>
      </c>
      <c r="AA992">
        <f>HYPERLINK("https://klasma.github.io/Logging_2161/klagomål/A 32171-2023 FSC-klagomål.docx", "A 32171-2023")</f>
        <v/>
      </c>
      <c r="AB992">
        <f>HYPERLINK("https://klasma.github.io/Logging_2161/klagomålsmail/A 32171-2023 FSC-klagomål mail.docx", "A 32171-2023")</f>
        <v/>
      </c>
      <c r="AC992">
        <f>HYPERLINK("https://klasma.github.io/Logging_2161/tillsyn/A 32171-2023 tillsynsbegäran.docx", "A 32171-2023")</f>
        <v/>
      </c>
      <c r="AD992">
        <f>HYPERLINK("https://klasma.github.io/Logging_2161/tillsynsmail/A 32171-2023 tillsynsbegäran mail.docx", "A 32171-2023")</f>
        <v/>
      </c>
      <c r="AE992">
        <f>HYPERLINK("https://klasma.github.io/Logging_2161/fåglar/A 32171-2023 prioriterade fågelarter.docx", "A 32171-2023")</f>
        <v/>
      </c>
    </row>
    <row r="993" ht="15" customHeight="1">
      <c r="A993" t="inlineStr">
        <is>
          <t>A 25247-2026</t>
        </is>
      </c>
      <c r="B993" t="inlineStr">
        <is>
          <t>avverkningsanmälan</t>
        </is>
      </c>
      <c r="C993" t="inlineStr">
        <is>
          <t>Föryngringsavverkning</t>
        </is>
      </c>
      <c r="D993" s="1" t="n">
        <v>46175</v>
      </c>
      <c r="E993" s="1" t="n">
        <v>46326</v>
      </c>
      <c r="F993" t="inlineStr">
        <is>
          <t>GÄVLEBORGS LÄN</t>
        </is>
      </c>
      <c r="G993" t="inlineStr">
        <is>
          <t>SANDVIKEN</t>
        </is>
      </c>
      <c r="I993" t="n">
        <v>2</v>
      </c>
      <c r="J993" t="n">
        <v>0</v>
      </c>
      <c r="K993" t="n">
        <v>1</v>
      </c>
      <c r="L993" t="n">
        <v>0</v>
      </c>
      <c r="M993" t="n">
        <v>0</v>
      </c>
      <c r="N993" t="n">
        <v>0</v>
      </c>
      <c r="O993" t="n">
        <v>0</v>
      </c>
      <c r="P993" t="n">
        <v>0</v>
      </c>
      <c r="Q993" t="n">
        <v>0</v>
      </c>
      <c r="R993" t="n">
        <v>0</v>
      </c>
      <c r="S993" t="n">
        <v>1</v>
      </c>
      <c r="T993" t="n">
        <v>1</v>
      </c>
      <c r="U993" t="n">
        <v>0</v>
      </c>
      <c r="V993" s="2" t="inlineStr">
        <is>
          <t>Skinnlav</t>
        </is>
      </c>
      <c r="W993">
        <f>HYPERLINK("https://klasma.github.io/Logging_2181/artfynd/A 25247-2026 artfynd.xlsx", "A 25247-2026")</f>
        <v/>
      </c>
      <c r="X993">
        <f>HYPERLINK("https://klasma.github.io/Logging_2181/kartor/A 25247-2026 karta.png", "A 25247-2026")</f>
        <v/>
      </c>
      <c r="Y993">
        <f>HYPERLINK("https://klasma.github.io/Logging_2181/kartor_geotiff/A 25247-2026 georefererad karta.tif", "A 25247-2026")</f>
        <v/>
      </c>
      <c r="AA993">
        <f>HYPERLINK("https://klasma.github.io/Logging_2181/klagomål/A 25247-2026 FSC-klagomål.docx", "A 25247-2026")</f>
        <v/>
      </c>
      <c r="AB993">
        <f>HYPERLINK("https://klasma.github.io/Logging_2181/klagomålsmail/A 25247-2026 FSC-klagomål mail.docx", "A 25247-2026")</f>
        <v/>
      </c>
      <c r="AC993">
        <f>HYPERLINK("https://klasma.github.io/Logging_2181/tillsyn/A 25247-2026 tillsynsbegäran.docx", "A 25247-2026")</f>
        <v/>
      </c>
      <c r="AD993">
        <f>HYPERLINK("https://klasma.github.io/Logging_2181/tillsynsmail/A 25247-2026 tillsynsbegäran mail.docx", "A 25247-2026")</f>
        <v/>
      </c>
    </row>
    <row r="994" ht="15" customHeight="1">
      <c r="A994" t="inlineStr">
        <is>
          <t>A 16124-2026</t>
        </is>
      </c>
      <c r="B994" t="inlineStr">
        <is>
          <t>avverkningsanmälan</t>
        </is>
      </c>
      <c r="C994" t="inlineStr">
        <is>
          <t>Föryngringsavverkning</t>
        </is>
      </c>
      <c r="D994" s="1" t="n">
        <v>46108</v>
      </c>
      <c r="E994" s="1" t="n">
        <v>46326</v>
      </c>
      <c r="F994" t="inlineStr">
        <is>
          <t>GÄVLEBORGS LÄN</t>
        </is>
      </c>
      <c r="G994" t="inlineStr">
        <is>
          <t>BOLLNÄS</t>
        </is>
      </c>
      <c r="I994" t="n">
        <v>6.6</v>
      </c>
      <c r="J994" t="n">
        <v>0</v>
      </c>
      <c r="K994" t="n">
        <v>0</v>
      </c>
      <c r="L994" t="n">
        <v>0</v>
      </c>
      <c r="M994" t="n">
        <v>1</v>
      </c>
      <c r="N994" t="n">
        <v>0</v>
      </c>
      <c r="O994" t="n">
        <v>0</v>
      </c>
      <c r="P994" t="n">
        <v>0</v>
      </c>
      <c r="Q994" t="n">
        <v>1</v>
      </c>
      <c r="R994" t="n">
        <v>1</v>
      </c>
      <c r="S994" t="n">
        <v>1</v>
      </c>
      <c r="T994" t="n">
        <v>2</v>
      </c>
      <c r="U994" t="n">
        <v>0</v>
      </c>
      <c r="V994" s="2" t="inlineStr">
        <is>
          <t>Tallgråticka</t>
        </is>
      </c>
      <c r="W994">
        <f>HYPERLINK("https://klasma.github.io/Logging_2183/artfynd/A 16124-2026 artfynd.xlsx", "A 16124-2026")</f>
        <v/>
      </c>
      <c r="X994">
        <f>HYPERLINK("https://klasma.github.io/Logging_2183/kartor/A 16124-2026 karta.png", "A 16124-2026")</f>
        <v/>
      </c>
      <c r="Y994">
        <f>HYPERLINK("https://klasma.github.io/Logging_2183/kartor_geotiff/A 16124-2026 georefererad karta.tif", "A 16124-2026")</f>
        <v/>
      </c>
      <c r="AA994">
        <f>HYPERLINK("https://klasma.github.io/Logging_2183/klagomål/A 16124-2026 FSC-klagomål.docx", "A 16124-2026")</f>
        <v/>
      </c>
      <c r="AB994">
        <f>HYPERLINK("https://klasma.github.io/Logging_2183/klagomålsmail/A 16124-2026 FSC-klagomål mail.docx", "A 16124-2026")</f>
        <v/>
      </c>
      <c r="AC994">
        <f>HYPERLINK("https://klasma.github.io/Logging_2183/tillsyn/A 16124-2026 tillsynsbegäran.docx", "A 16124-2026")</f>
        <v/>
      </c>
      <c r="AD994">
        <f>HYPERLINK("https://klasma.github.io/Logging_2183/tillsynsmail/A 16124-2026 tillsynsbegäran mail.docx", "A 16124-2026")</f>
        <v/>
      </c>
    </row>
    <row r="995" ht="15" customHeight="1">
      <c r="A995" t="inlineStr">
        <is>
          <t>A 25342-2026</t>
        </is>
      </c>
      <c r="B995" t="inlineStr">
        <is>
          <t>avverkningsanmälan</t>
        </is>
      </c>
      <c r="C995" t="inlineStr">
        <is>
          <t>Föryngringsavverkning</t>
        </is>
      </c>
      <c r="D995" s="1" t="n">
        <v>46176</v>
      </c>
      <c r="E995" s="1" t="n">
        <v>46326</v>
      </c>
      <c r="F995" t="inlineStr">
        <is>
          <t>GÄVLEBORGS LÄN</t>
        </is>
      </c>
      <c r="G995" t="inlineStr">
        <is>
          <t>LJUSDAL</t>
        </is>
      </c>
      <c r="H995" t="inlineStr">
        <is>
          <t>Allmännings- och besparingsskogar</t>
        </is>
      </c>
      <c r="I995" t="n">
        <v>4.9</v>
      </c>
      <c r="J995" t="n">
        <v>0</v>
      </c>
      <c r="K995" t="n">
        <v>0</v>
      </c>
      <c r="L995" t="n">
        <v>1</v>
      </c>
      <c r="M995" t="n">
        <v>0</v>
      </c>
      <c r="N995" t="n">
        <v>0</v>
      </c>
      <c r="O995" t="n">
        <v>0</v>
      </c>
      <c r="P995" t="n">
        <v>0</v>
      </c>
      <c r="Q995" t="n">
        <v>1</v>
      </c>
      <c r="R995" t="n">
        <v>0</v>
      </c>
      <c r="S995" t="n">
        <v>1</v>
      </c>
      <c r="T995" t="n">
        <v>1</v>
      </c>
      <c r="U995" t="n">
        <v>1</v>
      </c>
      <c r="V995" s="2" t="inlineStr">
        <is>
          <t>Kolflarnlav</t>
        </is>
      </c>
      <c r="W995">
        <f>HYPERLINK("https://klasma.github.io/Logging_2161/artfynd/A 25342-2026 artfynd.xlsx", "A 25342-2026")</f>
        <v/>
      </c>
      <c r="X995">
        <f>HYPERLINK("https://klasma.github.io/Logging_2161/kartor/A 25342-2026 karta.png", "A 25342-2026")</f>
        <v/>
      </c>
      <c r="Y995">
        <f>HYPERLINK("https://klasma.github.io/Logging_2161/kartor_geotiff/A 25342-2026 georefererad karta.tif", "A 25342-2026")</f>
        <v/>
      </c>
      <c r="AA995">
        <f>HYPERLINK("https://klasma.github.io/Logging_2161/klagomål/A 25342-2026 FSC-klagomål.docx", "A 25342-2026")</f>
        <v/>
      </c>
      <c r="AB995">
        <f>HYPERLINK("https://klasma.github.io/Logging_2161/klagomålsmail/A 25342-2026 FSC-klagomål mail.docx", "A 25342-2026")</f>
        <v/>
      </c>
      <c r="AC995">
        <f>HYPERLINK("https://klasma.github.io/Logging_2161/tillsyn/A 25342-2026 tillsynsbegäran.docx", "A 25342-2026")</f>
        <v/>
      </c>
      <c r="AD995">
        <f>HYPERLINK("https://klasma.github.io/Logging_2161/tillsynsmail/A 25342-2026 tillsynsbegäran mail.docx", "A 25342-2026")</f>
        <v/>
      </c>
    </row>
    <row r="996" ht="15" customHeight="1">
      <c r="A996" t="inlineStr">
        <is>
          <t>A 25625-2026</t>
        </is>
      </c>
      <c r="B996" t="inlineStr">
        <is>
          <t>avverkningsanmälan</t>
        </is>
      </c>
      <c r="C996" t="inlineStr">
        <is>
          <t>Föryngringsavverkning</t>
        </is>
      </c>
      <c r="D996" s="1" t="n">
        <v>46177</v>
      </c>
      <c r="E996" s="1" t="n">
        <v>46326</v>
      </c>
      <c r="F996" t="inlineStr">
        <is>
          <t>GÄVLEBORGS LÄN</t>
        </is>
      </c>
      <c r="G996" t="inlineStr">
        <is>
          <t>NORDANSTIG</t>
        </is>
      </c>
      <c r="H996" t="inlineStr">
        <is>
          <t>SCA</t>
        </is>
      </c>
      <c r="I996" t="n">
        <v>0.7</v>
      </c>
      <c r="J996" t="n">
        <v>1</v>
      </c>
      <c r="K996" t="n">
        <v>1</v>
      </c>
      <c r="L996" t="n">
        <v>0</v>
      </c>
      <c r="M996" t="n">
        <v>0</v>
      </c>
      <c r="N996" t="n">
        <v>0</v>
      </c>
      <c r="O996" t="n">
        <v>0</v>
      </c>
      <c r="P996" t="n">
        <v>0</v>
      </c>
      <c r="Q996" t="n">
        <v>0</v>
      </c>
      <c r="R996" t="n">
        <v>0</v>
      </c>
      <c r="S996" t="n">
        <v>1</v>
      </c>
      <c r="T996" t="n">
        <v>13</v>
      </c>
      <c r="U996" t="n">
        <v>0</v>
      </c>
      <c r="V996" s="2" t="inlineStr">
        <is>
          <t>Skogsknipprot</t>
        </is>
      </c>
      <c r="W996">
        <f>HYPERLINK("https://klasma.github.io/Logging_2132/artfynd/A 25625-2026 artfynd.xlsx", "A 25625-2026")</f>
        <v/>
      </c>
      <c r="X996">
        <f>HYPERLINK("https://klasma.github.io/Logging_2132/kartor/A 25625-2026 karta.png", "A 25625-2026")</f>
        <v/>
      </c>
      <c r="Y996">
        <f>HYPERLINK("https://klasma.github.io/Logging_2132/kartor_geotiff/A 25625-2026 georefererad karta.tif", "A 25625-2026")</f>
        <v/>
      </c>
      <c r="AA996">
        <f>HYPERLINK("https://klasma.github.io/Logging_2132/klagomål/A 25625-2026 FSC-klagomål.docx", "A 25625-2026")</f>
        <v/>
      </c>
      <c r="AB996">
        <f>HYPERLINK("https://klasma.github.io/Logging_2132/klagomålsmail/A 25625-2026 FSC-klagomål mail.docx", "A 25625-2026")</f>
        <v/>
      </c>
      <c r="AC996">
        <f>HYPERLINK("https://klasma.github.io/Logging_2132/tillsyn/A 25625-2026 tillsynsbegäran.docx", "A 25625-2026")</f>
        <v/>
      </c>
      <c r="AD996">
        <f>HYPERLINK("https://klasma.github.io/Logging_2132/tillsynsmail/A 25625-2026 tillsynsbegäran mail.docx", "A 25625-2026")</f>
        <v/>
      </c>
    </row>
    <row r="997" ht="15" customHeight="1">
      <c r="A997" t="inlineStr">
        <is>
          <t>A 8051-2024</t>
        </is>
      </c>
      <c r="B997" t="inlineStr">
        <is>
          <t>avverkningsanmälan</t>
        </is>
      </c>
      <c r="C997" t="inlineStr">
        <is>
          <t>Föryngringsavverkning</t>
        </is>
      </c>
      <c r="D997" s="1" t="n">
        <v>45351</v>
      </c>
      <c r="E997" s="1" t="n">
        <v>46326</v>
      </c>
      <c r="F997" t="inlineStr">
        <is>
          <t>GÄVLEBORGS LÄN</t>
        </is>
      </c>
      <c r="G997" t="inlineStr">
        <is>
          <t>HUDIKSVALL</t>
        </is>
      </c>
      <c r="H997" t="inlineStr">
        <is>
          <t>Holmen skog AB</t>
        </is>
      </c>
      <c r="I997" t="n">
        <v>12.9</v>
      </c>
      <c r="J997" t="n">
        <v>0</v>
      </c>
      <c r="K997" t="n">
        <v>1</v>
      </c>
      <c r="L997" t="n">
        <v>0</v>
      </c>
      <c r="M997" t="n">
        <v>0</v>
      </c>
      <c r="N997" t="n">
        <v>0</v>
      </c>
      <c r="O997" t="n">
        <v>0</v>
      </c>
      <c r="P997" t="n">
        <v>0</v>
      </c>
      <c r="Q997" t="n">
        <v>0</v>
      </c>
      <c r="R997" t="n">
        <v>0</v>
      </c>
      <c r="S997" t="n">
        <v>1</v>
      </c>
      <c r="T997" t="n">
        <v>1</v>
      </c>
      <c r="U997" t="n">
        <v>1</v>
      </c>
      <c r="V997" s="2" t="inlineStr">
        <is>
          <t>Bronshjon</t>
        </is>
      </c>
      <c r="W997">
        <f>HYPERLINK("https://klasma.github.io/Logging_2184/artfynd/A 8051-2024 artfynd.xlsx", "A 8051-2024")</f>
        <v/>
      </c>
      <c r="X997">
        <f>HYPERLINK("https://klasma.github.io/Logging_2184/kartor/A 8051-2024 karta.png", "A 8051-2024")</f>
        <v/>
      </c>
      <c r="Y997">
        <f>HYPERLINK("https://klasma.github.io/Logging_2184/kartor_geotiff/A 8051-2024 georefererad karta.tif", "A 8051-2024")</f>
        <v/>
      </c>
      <c r="AA997">
        <f>HYPERLINK("https://klasma.github.io/Logging_2184/klagomål/A 8051-2024 FSC-klagomål.docx", "A 8051-2024")</f>
        <v/>
      </c>
      <c r="AB997">
        <f>HYPERLINK("https://klasma.github.io/Logging_2184/klagomålsmail/A 8051-2024 FSC-klagomål mail.docx", "A 8051-2024")</f>
        <v/>
      </c>
      <c r="AC997">
        <f>HYPERLINK("https://klasma.github.io/Logging_2184/tillsyn/A 8051-2024 tillsynsbegäran.docx", "A 8051-2024")</f>
        <v/>
      </c>
      <c r="AD997">
        <f>HYPERLINK("https://klasma.github.io/Logging_2184/tillsynsmail/A 8051-2024 tillsynsbegäran mail.docx", "A 8051-2024")</f>
        <v/>
      </c>
    </row>
    <row r="998" ht="15" customHeight="1">
      <c r="A998" t="inlineStr">
        <is>
          <t>A 25854-2026</t>
        </is>
      </c>
      <c r="B998" t="inlineStr">
        <is>
          <t>avverkningsanmälan</t>
        </is>
      </c>
      <c r="C998" t="inlineStr">
        <is>
          <t>Avverkning för att bevara och utveckla /försöksver</t>
        </is>
      </c>
      <c r="D998" s="1" t="n">
        <v>46178</v>
      </c>
      <c r="E998" s="1" t="n">
        <v>46326</v>
      </c>
      <c r="F998" t="inlineStr">
        <is>
          <t>GÄVLEBORGS LÄN</t>
        </is>
      </c>
      <c r="G998" t="inlineStr">
        <is>
          <t>LJUSDAL</t>
        </is>
      </c>
      <c r="H998" t="inlineStr">
        <is>
          <t>Sveaskog</t>
        </is>
      </c>
      <c r="I998" t="n">
        <v>4</v>
      </c>
      <c r="J998" t="n">
        <v>0</v>
      </c>
      <c r="K998" t="n">
        <v>0</v>
      </c>
      <c r="L998" t="n">
        <v>1</v>
      </c>
      <c r="M998" t="n">
        <v>0</v>
      </c>
      <c r="N998" t="n">
        <v>0</v>
      </c>
      <c r="O998" t="n">
        <v>0</v>
      </c>
      <c r="P998" t="n">
        <v>0</v>
      </c>
      <c r="Q998" t="n">
        <v>1</v>
      </c>
      <c r="R998" t="n">
        <v>0</v>
      </c>
      <c r="S998" t="n">
        <v>1</v>
      </c>
      <c r="T998" t="n">
        <v>4</v>
      </c>
      <c r="U998" t="n">
        <v>4</v>
      </c>
      <c r="V998" s="2" t="inlineStr">
        <is>
          <t>Lunglav</t>
        </is>
      </c>
      <c r="W998">
        <f>HYPERLINK("https://klasma.github.io/Logging_2161/artfynd/A 25854-2026 artfynd.xlsx", "A 25854-2026")</f>
        <v/>
      </c>
      <c r="X998">
        <f>HYPERLINK("https://klasma.github.io/Logging_2161/kartor/A 25854-2026 karta.png", "A 25854-2026")</f>
        <v/>
      </c>
      <c r="Y998">
        <f>HYPERLINK("https://klasma.github.io/Logging_2161/kartor_geotiff/A 25854-2026 georefererad karta.tif", "A 25854-2026")</f>
        <v/>
      </c>
      <c r="AA998">
        <f>HYPERLINK("https://klasma.github.io/Logging_2161/klagomål/A 25854-2026 FSC-klagomål.docx", "A 25854-2026")</f>
        <v/>
      </c>
      <c r="AB998">
        <f>HYPERLINK("https://klasma.github.io/Logging_2161/klagomålsmail/A 25854-2026 FSC-klagomål mail.docx", "A 25854-2026")</f>
        <v/>
      </c>
      <c r="AC998">
        <f>HYPERLINK("https://klasma.github.io/Logging_2161/tillsyn/A 25854-2026 tillsynsbegäran.docx", "A 25854-2026")</f>
        <v/>
      </c>
      <c r="AD998">
        <f>HYPERLINK("https://klasma.github.io/Logging_2161/tillsynsmail/A 25854-2026 tillsynsbegäran mail.docx", "A 25854-2026")</f>
        <v/>
      </c>
    </row>
    <row r="999" ht="15" customHeight="1">
      <c r="A999" t="inlineStr">
        <is>
          <t>A 25489-2026</t>
        </is>
      </c>
      <c r="B999" t="inlineStr">
        <is>
          <t>avverkningsanmälan</t>
        </is>
      </c>
      <c r="C999" t="inlineStr">
        <is>
          <t>Föryngringsavverkning</t>
        </is>
      </c>
      <c r="D999" s="1" t="n">
        <v>46177</v>
      </c>
      <c r="E999" s="1" t="n">
        <v>46326</v>
      </c>
      <c r="F999" t="inlineStr">
        <is>
          <t>GÄVLEBORGS LÄN</t>
        </is>
      </c>
      <c r="G999" t="inlineStr">
        <is>
          <t>LJUSDAL</t>
        </is>
      </c>
      <c r="H999" t="inlineStr">
        <is>
          <t>Allmännings- och besparingsskogar</t>
        </is>
      </c>
      <c r="I999" t="n">
        <v>15.8</v>
      </c>
      <c r="J999" t="n">
        <v>0</v>
      </c>
      <c r="K999" t="n">
        <v>0</v>
      </c>
      <c r="L999" t="n">
        <v>1</v>
      </c>
      <c r="M999" t="n">
        <v>0</v>
      </c>
      <c r="N999" t="n">
        <v>0</v>
      </c>
      <c r="O999" t="n">
        <v>0</v>
      </c>
      <c r="P999" t="n">
        <v>0</v>
      </c>
      <c r="Q999" t="n">
        <v>1</v>
      </c>
      <c r="R999" t="n">
        <v>0</v>
      </c>
      <c r="S999" t="n">
        <v>1</v>
      </c>
      <c r="T999" t="n">
        <v>1</v>
      </c>
      <c r="U999" t="n">
        <v>1</v>
      </c>
      <c r="V999" s="2" t="inlineStr">
        <is>
          <t>Kolflarnlav</t>
        </is>
      </c>
      <c r="W999">
        <f>HYPERLINK("https://klasma.github.io/Logging_2161/artfynd/A 25489-2026 artfynd.xlsx", "A 25489-2026")</f>
        <v/>
      </c>
      <c r="X999">
        <f>HYPERLINK("https://klasma.github.io/Logging_2161/kartor/A 25489-2026 karta.png", "A 25489-2026")</f>
        <v/>
      </c>
      <c r="Y999">
        <f>HYPERLINK("https://klasma.github.io/Logging_2161/kartor_geotiff/A 25489-2026 georefererad karta.tif", "A 25489-2026")</f>
        <v/>
      </c>
      <c r="AA999">
        <f>HYPERLINK("https://klasma.github.io/Logging_2161/klagomål/A 25489-2026 FSC-klagomål.docx", "A 25489-2026")</f>
        <v/>
      </c>
      <c r="AB999">
        <f>HYPERLINK("https://klasma.github.io/Logging_2161/klagomålsmail/A 25489-2026 FSC-klagomål mail.docx", "A 25489-2026")</f>
        <v/>
      </c>
      <c r="AC999">
        <f>HYPERLINK("https://klasma.github.io/Logging_2161/tillsyn/A 25489-2026 tillsynsbegäran.docx", "A 25489-2026")</f>
        <v/>
      </c>
      <c r="AD999">
        <f>HYPERLINK("https://klasma.github.io/Logging_2161/tillsynsmail/A 25489-2026 tillsynsbegäran mail.docx", "A 25489-2026")</f>
        <v/>
      </c>
    </row>
    <row r="1000" ht="15" customHeight="1">
      <c r="A1000" t="inlineStr">
        <is>
          <t>A 26212-2026</t>
        </is>
      </c>
      <c r="B1000" t="inlineStr">
        <is>
          <t>avverkningsanmälan</t>
        </is>
      </c>
      <c r="C1000" t="inlineStr">
        <is>
          <t>Föryngringsavverkning</t>
        </is>
      </c>
      <c r="D1000" s="1" t="n">
        <v>46182</v>
      </c>
      <c r="E1000" s="1" t="n">
        <v>46326</v>
      </c>
      <c r="F1000" t="inlineStr">
        <is>
          <t>GÄVLEBORGS LÄN</t>
        </is>
      </c>
      <c r="G1000" t="inlineStr">
        <is>
          <t>SANDVIKEN</t>
        </is>
      </c>
      <c r="H1000" t="inlineStr">
        <is>
          <t>Kommuner</t>
        </is>
      </c>
      <c r="I1000" t="n">
        <v>0.7</v>
      </c>
      <c r="J1000" t="n">
        <v>1</v>
      </c>
      <c r="K1000" t="n">
        <v>0</v>
      </c>
      <c r="L1000" t="n">
        <v>0</v>
      </c>
      <c r="M1000" t="n">
        <v>1</v>
      </c>
      <c r="N1000" t="n">
        <v>0</v>
      </c>
      <c r="O1000" t="n">
        <v>0</v>
      </c>
      <c r="P1000" t="n">
        <v>0</v>
      </c>
      <c r="Q1000" t="n">
        <v>1</v>
      </c>
      <c r="R1000" t="n">
        <v>1</v>
      </c>
      <c r="S1000" t="n">
        <v>1</v>
      </c>
      <c r="T1000" t="n">
        <v>1</v>
      </c>
      <c r="U1000" t="n">
        <v>0</v>
      </c>
      <c r="V1000" s="2" t="inlineStr">
        <is>
          <t>Knärot</t>
        </is>
      </c>
      <c r="W1000">
        <f>HYPERLINK("https://klasma.github.io/Logging_2181/artfynd/A 26212-2026 artfynd.xlsx", "A 26212-2026")</f>
        <v/>
      </c>
      <c r="X1000">
        <f>HYPERLINK("https://klasma.github.io/Logging_2181/kartor/A 26212-2026 karta.png", "A 26212-2026")</f>
        <v/>
      </c>
      <c r="Y1000">
        <f>HYPERLINK("https://klasma.github.io/Logging_2181/kartor_geotiff/A 26212-2026 georefererad karta.tif", "A 26212-2026")</f>
        <v/>
      </c>
      <c r="Z1000">
        <f>HYPERLINK("https://klasma.github.io/Logging_2181/knärot/A 26212-2026 karta knärot.png", "A 26212-2026")</f>
        <v/>
      </c>
      <c r="AA1000">
        <f>HYPERLINK("https://klasma.github.io/Logging_2181/klagomål/A 26212-2026 FSC-klagomål.docx", "A 26212-2026")</f>
        <v/>
      </c>
      <c r="AB1000">
        <f>HYPERLINK("https://klasma.github.io/Logging_2181/klagomålsmail/A 26212-2026 FSC-klagomål mail.docx", "A 26212-2026")</f>
        <v/>
      </c>
      <c r="AC1000">
        <f>HYPERLINK("https://klasma.github.io/Logging_2181/tillsyn/A 26212-2026 tillsynsbegäran.docx", "A 26212-2026")</f>
        <v/>
      </c>
      <c r="AD1000">
        <f>HYPERLINK("https://klasma.github.io/Logging_2181/tillsynsmail/A 26212-2026 tillsynsbegäran mail.docx", "A 26212-2026")</f>
        <v/>
      </c>
    </row>
    <row r="1001" ht="15" customHeight="1">
      <c r="A1001" t="inlineStr">
        <is>
          <t>A 26278-2026</t>
        </is>
      </c>
      <c r="B1001" t="inlineStr">
        <is>
          <t>avverkningsanmälan</t>
        </is>
      </c>
      <c r="C1001" t="inlineStr">
        <is>
          <t>Föryngringsavverkning</t>
        </is>
      </c>
      <c r="D1001" s="1" t="n">
        <v>46182</v>
      </c>
      <c r="E1001" s="1" t="n">
        <v>46326</v>
      </c>
      <c r="F1001" t="inlineStr">
        <is>
          <t>GÄVLEBORGS LÄN</t>
        </is>
      </c>
      <c r="G1001" t="inlineStr">
        <is>
          <t>NORDANSTIG</t>
        </is>
      </c>
      <c r="H1001" t="inlineStr">
        <is>
          <t>Holmen skog AB</t>
        </is>
      </c>
      <c r="I1001" t="n">
        <v>1</v>
      </c>
      <c r="J1001" t="n">
        <v>1</v>
      </c>
      <c r="K1001" t="n">
        <v>0</v>
      </c>
      <c r="L1001" t="n">
        <v>1</v>
      </c>
      <c r="M1001" t="n">
        <v>0</v>
      </c>
      <c r="N1001" t="n">
        <v>0</v>
      </c>
      <c r="O1001" t="n">
        <v>0</v>
      </c>
      <c r="P1001" t="n">
        <v>0</v>
      </c>
      <c r="Q1001" t="n">
        <v>1</v>
      </c>
      <c r="R1001" t="n">
        <v>0</v>
      </c>
      <c r="S1001" t="n">
        <v>1</v>
      </c>
      <c r="T1001" t="n">
        <v>1</v>
      </c>
      <c r="U1001" t="n">
        <v>0</v>
      </c>
      <c r="V1001" s="2" t="inlineStr">
        <is>
          <t>Lavskrika</t>
        </is>
      </c>
      <c r="W1001">
        <f>HYPERLINK("https://klasma.github.io/Logging_2132/artfynd/A 26278-2026 artfynd.xlsx", "A 26278-2026")</f>
        <v/>
      </c>
      <c r="X1001">
        <f>HYPERLINK("https://klasma.github.io/Logging_2132/kartor/A 26278-2026 karta.png", "A 26278-2026")</f>
        <v/>
      </c>
      <c r="Y1001">
        <f>HYPERLINK("https://klasma.github.io/Logging_2132/kartor_geotiff/A 26278-2026 georefererad karta.tif", "A 26278-2026")</f>
        <v/>
      </c>
      <c r="AA1001">
        <f>HYPERLINK("https://klasma.github.io/Logging_2132/klagomål/A 26278-2026 FSC-klagomål.docx", "A 26278-2026")</f>
        <v/>
      </c>
      <c r="AB1001">
        <f>HYPERLINK("https://klasma.github.io/Logging_2132/klagomålsmail/A 26278-2026 FSC-klagomål mail.docx", "A 26278-2026")</f>
        <v/>
      </c>
      <c r="AC1001">
        <f>HYPERLINK("https://klasma.github.io/Logging_2132/tillsyn/A 26278-2026 tillsynsbegäran.docx", "A 26278-2026")</f>
        <v/>
      </c>
      <c r="AD1001">
        <f>HYPERLINK("https://klasma.github.io/Logging_2132/tillsynsmail/A 26278-2026 tillsynsbegäran mail.docx", "A 26278-2026")</f>
        <v/>
      </c>
      <c r="AE1001">
        <f>HYPERLINK("https://klasma.github.io/Logging_2132/fåglar/A 26278-2026 prioriterade fågelarter.docx", "A 26278-2026")</f>
        <v/>
      </c>
    </row>
    <row r="1002" ht="15" customHeight="1">
      <c r="A1002" t="inlineStr">
        <is>
          <t>A 26513-2026</t>
        </is>
      </c>
      <c r="B1002" t="inlineStr">
        <is>
          <t>avverkningsanmälan</t>
        </is>
      </c>
      <c r="C1002" t="inlineStr">
        <is>
          <t>Föryngringsavverkning</t>
        </is>
      </c>
      <c r="D1002" s="1" t="n">
        <v>46183</v>
      </c>
      <c r="E1002" s="1" t="n">
        <v>46326</v>
      </c>
      <c r="F1002" t="inlineStr">
        <is>
          <t>GÄVLEBORGS LÄN</t>
        </is>
      </c>
      <c r="G1002" t="inlineStr">
        <is>
          <t>HOFORS</t>
        </is>
      </c>
      <c r="H1002" t="inlineStr">
        <is>
          <t>Sveaskog</t>
        </is>
      </c>
      <c r="I1002" t="n">
        <v>6.9</v>
      </c>
      <c r="J1002" t="n">
        <v>0</v>
      </c>
      <c r="K1002" t="n">
        <v>1</v>
      </c>
      <c r="L1002" t="n">
        <v>0</v>
      </c>
      <c r="M1002" t="n">
        <v>0</v>
      </c>
      <c r="N1002" t="n">
        <v>0</v>
      </c>
      <c r="O1002" t="n">
        <v>0</v>
      </c>
      <c r="P1002" t="n">
        <v>0</v>
      </c>
      <c r="Q1002" t="n">
        <v>0</v>
      </c>
      <c r="R1002" t="n">
        <v>0</v>
      </c>
      <c r="S1002" t="n">
        <v>1</v>
      </c>
      <c r="T1002" t="n">
        <v>1</v>
      </c>
      <c r="U1002" t="n">
        <v>0</v>
      </c>
      <c r="V1002" s="2" t="inlineStr">
        <is>
          <t>Tibast</t>
        </is>
      </c>
      <c r="W1002">
        <f>HYPERLINK("https://klasma.github.io/Logging_2104/artfynd/A 26513-2026 artfynd.xlsx", "A 26513-2026")</f>
        <v/>
      </c>
      <c r="X1002">
        <f>HYPERLINK("https://klasma.github.io/Logging_2104/kartor/A 26513-2026 karta.png", "A 26513-2026")</f>
        <v/>
      </c>
      <c r="Y1002">
        <f>HYPERLINK("https://klasma.github.io/Logging_2104/kartor_geotiff/A 26513-2026 georefererad karta.tif", "A 26513-2026")</f>
        <v/>
      </c>
      <c r="AA1002">
        <f>HYPERLINK("https://klasma.github.io/Logging_2104/klagomål/A 26513-2026 FSC-klagomål.docx", "A 26513-2026")</f>
        <v/>
      </c>
      <c r="AB1002">
        <f>HYPERLINK("https://klasma.github.io/Logging_2104/klagomålsmail/A 26513-2026 FSC-klagomål mail.docx", "A 26513-2026")</f>
        <v/>
      </c>
      <c r="AC1002">
        <f>HYPERLINK("https://klasma.github.io/Logging_2104/tillsyn/A 26513-2026 tillsynsbegäran.docx", "A 26513-2026")</f>
        <v/>
      </c>
      <c r="AD1002">
        <f>HYPERLINK("https://klasma.github.io/Logging_2104/tillsynsmail/A 26513-2026 tillsynsbegäran mail.docx", "A 26513-2026")</f>
        <v/>
      </c>
    </row>
    <row r="1003" ht="15" customHeight="1">
      <c r="A1003" t="inlineStr">
        <is>
          <t>A 27063-2026</t>
        </is>
      </c>
      <c r="B1003" t="inlineStr">
        <is>
          <t>avverkningsanmälan</t>
        </is>
      </c>
      <c r="C1003" t="inlineStr">
        <is>
          <t>Föryngringsavverkning</t>
        </is>
      </c>
      <c r="D1003" s="1" t="n">
        <v>46185</v>
      </c>
      <c r="E1003" s="1" t="n">
        <v>46326</v>
      </c>
      <c r="F1003" t="inlineStr">
        <is>
          <t>GÄVLEBORGS LÄN</t>
        </is>
      </c>
      <c r="G1003" t="inlineStr">
        <is>
          <t>GÄVLE</t>
        </is>
      </c>
      <c r="H1003" t="inlineStr">
        <is>
          <t>Bergvik skog öst AB</t>
        </is>
      </c>
      <c r="I1003" t="n">
        <v>2.6</v>
      </c>
      <c r="J1003" t="n">
        <v>1</v>
      </c>
      <c r="K1003" t="n">
        <v>0</v>
      </c>
      <c r="L1003" t="n">
        <v>0</v>
      </c>
      <c r="M1003" t="n">
        <v>0</v>
      </c>
      <c r="N1003" t="n">
        <v>0</v>
      </c>
      <c r="O1003" t="n">
        <v>0</v>
      </c>
      <c r="P1003" t="n">
        <v>0</v>
      </c>
      <c r="Q1003" t="n">
        <v>0</v>
      </c>
      <c r="R1003" t="n">
        <v>0</v>
      </c>
      <c r="S1003" t="n">
        <v>1</v>
      </c>
      <c r="T1003" t="n">
        <v>1</v>
      </c>
      <c r="U1003" t="n">
        <v>0</v>
      </c>
      <c r="V1003" s="2" t="inlineStr">
        <is>
          <t>Blåsippa</t>
        </is>
      </c>
      <c r="W1003">
        <f>HYPERLINK("https://klasma.github.io/Logging_2180/artfynd/A 27063-2026 artfynd.xlsx", "A 27063-2026")</f>
        <v/>
      </c>
      <c r="X1003">
        <f>HYPERLINK("https://klasma.github.io/Logging_2180/kartor/A 27063-2026 karta.png", "A 27063-2026")</f>
        <v/>
      </c>
      <c r="Y1003">
        <f>HYPERLINK("https://klasma.github.io/Logging_2180/kartor_geotiff/A 27063-2026 georefererad karta.tif", "A 27063-2026")</f>
        <v/>
      </c>
      <c r="AA1003">
        <f>HYPERLINK("https://klasma.github.io/Logging_2180/klagomål/A 27063-2026 FSC-klagomål.docx", "A 27063-2026")</f>
        <v/>
      </c>
      <c r="AB1003">
        <f>HYPERLINK("https://klasma.github.io/Logging_2180/klagomålsmail/A 27063-2026 FSC-klagomål mail.docx", "A 27063-2026")</f>
        <v/>
      </c>
      <c r="AC1003">
        <f>HYPERLINK("https://klasma.github.io/Logging_2180/tillsyn/A 27063-2026 tillsynsbegäran.docx", "A 27063-2026")</f>
        <v/>
      </c>
      <c r="AD1003">
        <f>HYPERLINK("https://klasma.github.io/Logging_2180/tillsynsmail/A 27063-2026 tillsynsbegäran mail.docx", "A 27063-2026")</f>
        <v/>
      </c>
    </row>
    <row r="1004" ht="15" customHeight="1">
      <c r="A1004" t="inlineStr">
        <is>
          <t>A 27058-2026</t>
        </is>
      </c>
      <c r="B1004" t="inlineStr">
        <is>
          <t>avverkningsanmälan</t>
        </is>
      </c>
      <c r="C1004" t="inlineStr">
        <is>
          <t>Föryngringsavverkning</t>
        </is>
      </c>
      <c r="D1004" s="1" t="n">
        <v>46185</v>
      </c>
      <c r="E1004" s="1" t="n">
        <v>46326</v>
      </c>
      <c r="F1004" t="inlineStr">
        <is>
          <t>GÄVLEBORGS LÄN</t>
        </is>
      </c>
      <c r="G1004" t="inlineStr">
        <is>
          <t>GÄVLE</t>
        </is>
      </c>
      <c r="H1004" t="inlineStr">
        <is>
          <t>Bergvik skog öst AB</t>
        </is>
      </c>
      <c r="I1004" t="n">
        <v>2.8</v>
      </c>
      <c r="J1004" t="n">
        <v>0</v>
      </c>
      <c r="K1004" t="n">
        <v>0</v>
      </c>
      <c r="L1004" t="n">
        <v>1</v>
      </c>
      <c r="M1004" t="n">
        <v>0</v>
      </c>
      <c r="N1004" t="n">
        <v>0</v>
      </c>
      <c r="O1004" t="n">
        <v>0</v>
      </c>
      <c r="P1004" t="n">
        <v>0</v>
      </c>
      <c r="Q1004" t="n">
        <v>1</v>
      </c>
      <c r="R1004" t="n">
        <v>0</v>
      </c>
      <c r="S1004" t="n">
        <v>1</v>
      </c>
      <c r="T1004" t="n">
        <v>1</v>
      </c>
      <c r="U1004" t="n">
        <v>0</v>
      </c>
      <c r="V1004" s="2" t="inlineStr">
        <is>
          <t>Gullpudra</t>
        </is>
      </c>
      <c r="W1004">
        <f>HYPERLINK("https://klasma.github.io/Logging_2180/artfynd/A 27058-2026 artfynd.xlsx", "A 27058-2026")</f>
        <v/>
      </c>
      <c r="X1004">
        <f>HYPERLINK("https://klasma.github.io/Logging_2180/kartor/A 27058-2026 karta.png", "A 27058-2026")</f>
        <v/>
      </c>
      <c r="Y1004">
        <f>HYPERLINK("https://klasma.github.io/Logging_2180/kartor_geotiff/A 27058-2026 georefererad karta.tif", "A 27058-2026")</f>
        <v/>
      </c>
      <c r="AA1004">
        <f>HYPERLINK("https://klasma.github.io/Logging_2180/klagomål/A 27058-2026 FSC-klagomål.docx", "A 27058-2026")</f>
        <v/>
      </c>
      <c r="AB1004">
        <f>HYPERLINK("https://klasma.github.io/Logging_2180/klagomålsmail/A 27058-2026 FSC-klagomål mail.docx", "A 27058-2026")</f>
        <v/>
      </c>
      <c r="AC1004">
        <f>HYPERLINK("https://klasma.github.io/Logging_2180/tillsyn/A 27058-2026 tillsynsbegäran.docx", "A 27058-2026")</f>
        <v/>
      </c>
      <c r="AD1004">
        <f>HYPERLINK("https://klasma.github.io/Logging_2180/tillsynsmail/A 27058-2026 tillsynsbegäran mail.docx", "A 27058-2026")</f>
        <v/>
      </c>
    </row>
    <row r="1005" ht="15" customHeight="1">
      <c r="A1005" t="inlineStr">
        <is>
          <t>A 24831-2024</t>
        </is>
      </c>
      <c r="B1005" t="inlineStr">
        <is>
          <t>avverkningsanmälan</t>
        </is>
      </c>
      <c r="C1005" t="inlineStr">
        <is>
          <t>Föryngringsavverkning</t>
        </is>
      </c>
      <c r="D1005" s="1" t="n">
        <v>45461</v>
      </c>
      <c r="E1005" s="1" t="n">
        <v>46326</v>
      </c>
      <c r="F1005" t="inlineStr">
        <is>
          <t>GÄVLEBORGS LÄN</t>
        </is>
      </c>
      <c r="G1005" t="inlineStr">
        <is>
          <t>LJUSDAL</t>
        </is>
      </c>
      <c r="I1005" t="n">
        <v>4.9</v>
      </c>
      <c r="J1005" t="n">
        <v>0</v>
      </c>
      <c r="K1005" t="n">
        <v>0</v>
      </c>
      <c r="L1005" t="n">
        <v>1</v>
      </c>
      <c r="M1005" t="n">
        <v>0</v>
      </c>
      <c r="N1005" t="n">
        <v>0</v>
      </c>
      <c r="O1005" t="n">
        <v>0</v>
      </c>
      <c r="P1005" t="n">
        <v>0</v>
      </c>
      <c r="Q1005" t="n">
        <v>1</v>
      </c>
      <c r="R1005" t="n">
        <v>0</v>
      </c>
      <c r="S1005" t="n">
        <v>1</v>
      </c>
      <c r="T1005" t="n">
        <v>1</v>
      </c>
      <c r="U1005" t="n">
        <v>1</v>
      </c>
      <c r="V1005" s="2" t="inlineStr">
        <is>
          <t>Lunglav</t>
        </is>
      </c>
      <c r="W1005">
        <f>HYPERLINK("https://klasma.github.io/Logging_2161/artfynd/A 24831-2024 artfynd.xlsx", "A 24831-2024")</f>
        <v/>
      </c>
      <c r="X1005">
        <f>HYPERLINK("https://klasma.github.io/Logging_2161/kartor/A 24831-2024 karta.png", "A 24831-2024")</f>
        <v/>
      </c>
      <c r="Y1005">
        <f>HYPERLINK("https://klasma.github.io/Logging_2161/kartor_geotiff/A 24831-2024 georefererad karta.tif", "A 24831-2024")</f>
        <v/>
      </c>
      <c r="AA1005">
        <f>HYPERLINK("https://klasma.github.io/Logging_2161/klagomål/A 24831-2024 FSC-klagomål.docx", "A 24831-2024")</f>
        <v/>
      </c>
      <c r="AB1005">
        <f>HYPERLINK("https://klasma.github.io/Logging_2161/klagomålsmail/A 24831-2024 FSC-klagomål mail.docx", "A 24831-2024")</f>
        <v/>
      </c>
      <c r="AC1005">
        <f>HYPERLINK("https://klasma.github.io/Logging_2161/tillsyn/A 24831-2024 tillsynsbegäran.docx", "A 24831-2024")</f>
        <v/>
      </c>
      <c r="AD1005">
        <f>HYPERLINK("https://klasma.github.io/Logging_2161/tillsynsmail/A 24831-2024 tillsynsbegäran mail.docx", "A 24831-2024")</f>
        <v/>
      </c>
    </row>
    <row r="1006" ht="15" customHeight="1">
      <c r="A1006" t="inlineStr">
        <is>
          <t>A 27043-2026</t>
        </is>
      </c>
      <c r="B1006" t="inlineStr">
        <is>
          <t>avverkningsanmälan</t>
        </is>
      </c>
      <c r="C1006" t="inlineStr">
        <is>
          <t>Föryngringsavverkning</t>
        </is>
      </c>
      <c r="D1006" s="1" t="n">
        <v>46185</v>
      </c>
      <c r="E1006" s="1" t="n">
        <v>46326</v>
      </c>
      <c r="F1006" t="inlineStr">
        <is>
          <t>GÄVLEBORGS LÄN</t>
        </is>
      </c>
      <c r="G1006" t="inlineStr">
        <is>
          <t>GÄVLE</t>
        </is>
      </c>
      <c r="H1006" t="inlineStr">
        <is>
          <t>Bergvik skog öst AB</t>
        </is>
      </c>
      <c r="I1006" t="n">
        <v>2.6</v>
      </c>
      <c r="J1006" t="n">
        <v>1</v>
      </c>
      <c r="K1006" t="n">
        <v>0</v>
      </c>
      <c r="L1006" t="n">
        <v>0</v>
      </c>
      <c r="M1006" t="n">
        <v>0</v>
      </c>
      <c r="N1006" t="n">
        <v>0</v>
      </c>
      <c r="O1006" t="n">
        <v>0</v>
      </c>
      <c r="P1006" t="n">
        <v>0</v>
      </c>
      <c r="Q1006" t="n">
        <v>0</v>
      </c>
      <c r="R1006" t="n">
        <v>0</v>
      </c>
      <c r="S1006" t="n">
        <v>1</v>
      </c>
      <c r="T1006" t="n">
        <v>1</v>
      </c>
      <c r="U1006" t="n">
        <v>0</v>
      </c>
      <c r="V1006" s="2" t="inlineStr">
        <is>
          <t>Blåsippa</t>
        </is>
      </c>
      <c r="W1006">
        <f>HYPERLINK("https://klasma.github.io/Logging_2180/artfynd/A 27043-2026 artfynd.xlsx", "A 27043-2026")</f>
        <v/>
      </c>
      <c r="X1006">
        <f>HYPERLINK("https://klasma.github.io/Logging_2180/kartor/A 27043-2026 karta.png", "A 27043-2026")</f>
        <v/>
      </c>
      <c r="Y1006">
        <f>HYPERLINK("https://klasma.github.io/Logging_2180/kartor_geotiff/A 27043-2026 georefererad karta.tif", "A 27043-2026")</f>
        <v/>
      </c>
      <c r="AA1006">
        <f>HYPERLINK("https://klasma.github.io/Logging_2180/klagomål/A 27043-2026 FSC-klagomål.docx", "A 27043-2026")</f>
        <v/>
      </c>
      <c r="AB1006">
        <f>HYPERLINK("https://klasma.github.io/Logging_2180/klagomålsmail/A 27043-2026 FSC-klagomål mail.docx", "A 27043-2026")</f>
        <v/>
      </c>
      <c r="AC1006">
        <f>HYPERLINK("https://klasma.github.io/Logging_2180/tillsyn/A 27043-2026 tillsynsbegäran.docx", "A 27043-2026")</f>
        <v/>
      </c>
      <c r="AD1006">
        <f>HYPERLINK("https://klasma.github.io/Logging_2180/tillsynsmail/A 27043-2026 tillsynsbegäran mail.docx", "A 27043-2026")</f>
        <v/>
      </c>
    </row>
    <row r="1007" ht="15" customHeight="1">
      <c r="A1007" t="inlineStr">
        <is>
          <t>A 27207-2026</t>
        </is>
      </c>
      <c r="B1007" t="inlineStr">
        <is>
          <t>avverkningsanmälan</t>
        </is>
      </c>
      <c r="C1007" t="inlineStr">
        <is>
          <t>Föryngringsavverkning</t>
        </is>
      </c>
      <c r="D1007" s="1" t="n">
        <v>46188</v>
      </c>
      <c r="E1007" s="1" t="n">
        <v>46326</v>
      </c>
      <c r="F1007" t="inlineStr">
        <is>
          <t>GÄVLEBORGS LÄN</t>
        </is>
      </c>
      <c r="G1007" t="inlineStr">
        <is>
          <t>SANDVIKEN</t>
        </is>
      </c>
      <c r="H1007" t="inlineStr">
        <is>
          <t>Kommuner</t>
        </is>
      </c>
      <c r="I1007" t="n">
        <v>0.8</v>
      </c>
      <c r="J1007" t="n">
        <v>1</v>
      </c>
      <c r="K1007" t="n">
        <v>0</v>
      </c>
      <c r="L1007" t="n">
        <v>0</v>
      </c>
      <c r="M1007" t="n">
        <v>0</v>
      </c>
      <c r="N1007" t="n">
        <v>0</v>
      </c>
      <c r="O1007" t="n">
        <v>0</v>
      </c>
      <c r="P1007" t="n">
        <v>0</v>
      </c>
      <c r="Q1007" t="n">
        <v>0</v>
      </c>
      <c r="R1007" t="n">
        <v>0</v>
      </c>
      <c r="S1007" t="n">
        <v>1</v>
      </c>
      <c r="T1007" t="n">
        <v>1</v>
      </c>
      <c r="U1007" t="n">
        <v>0</v>
      </c>
      <c r="V1007" s="2" t="inlineStr">
        <is>
          <t>Kungsfågel</t>
        </is>
      </c>
      <c r="W1007">
        <f>HYPERLINK("https://klasma.github.io/Logging_2181/artfynd/A 27207-2026 artfynd.xlsx", "A 27207-2026")</f>
        <v/>
      </c>
      <c r="X1007">
        <f>HYPERLINK("https://klasma.github.io/Logging_2181/kartor/A 27207-2026 karta.png", "A 27207-2026")</f>
        <v/>
      </c>
      <c r="Y1007">
        <f>HYPERLINK("https://klasma.github.io/Logging_2181/kartor_geotiff/A 27207-2026 georefererad karta.tif", "A 27207-2026")</f>
        <v/>
      </c>
      <c r="AA1007">
        <f>HYPERLINK("https://klasma.github.io/Logging_2181/klagomål/A 27207-2026 FSC-klagomål.docx", "A 27207-2026")</f>
        <v/>
      </c>
      <c r="AB1007">
        <f>HYPERLINK("https://klasma.github.io/Logging_2181/klagomålsmail/A 27207-2026 FSC-klagomål mail.docx", "A 27207-2026")</f>
        <v/>
      </c>
      <c r="AC1007">
        <f>HYPERLINK("https://klasma.github.io/Logging_2181/tillsyn/A 27207-2026 tillsynsbegäran.docx", "A 27207-2026")</f>
        <v/>
      </c>
      <c r="AD1007">
        <f>HYPERLINK("https://klasma.github.io/Logging_2181/tillsynsmail/A 27207-2026 tillsynsbegäran mail.docx", "A 27207-2026")</f>
        <v/>
      </c>
    </row>
    <row r="1008" ht="15" customHeight="1">
      <c r="A1008" t="inlineStr">
        <is>
          <t>A 4696-2023</t>
        </is>
      </c>
      <c r="B1008" t="inlineStr">
        <is>
          <t>avverkningsanmälan</t>
        </is>
      </c>
      <c r="C1008" t="inlineStr">
        <is>
          <t>Föryngringsavverkning</t>
        </is>
      </c>
      <c r="D1008" s="1" t="n">
        <v>44957</v>
      </c>
      <c r="E1008" s="1" t="n">
        <v>46326</v>
      </c>
      <c r="F1008" t="inlineStr">
        <is>
          <t>GÄVLEBORGS LÄN</t>
        </is>
      </c>
      <c r="G1008" t="inlineStr">
        <is>
          <t>LJUSDAL</t>
        </is>
      </c>
      <c r="H1008" t="inlineStr">
        <is>
          <t>Holmen skog AB</t>
        </is>
      </c>
      <c r="I1008" t="n">
        <v>7.3</v>
      </c>
      <c r="J1008" t="n">
        <v>0</v>
      </c>
      <c r="K1008" t="n">
        <v>1</v>
      </c>
      <c r="L1008" t="n">
        <v>0</v>
      </c>
      <c r="M1008" t="n">
        <v>0</v>
      </c>
      <c r="N1008" t="n">
        <v>0</v>
      </c>
      <c r="O1008" t="n">
        <v>0</v>
      </c>
      <c r="P1008" t="n">
        <v>0</v>
      </c>
      <c r="Q1008" t="n">
        <v>0</v>
      </c>
      <c r="R1008" t="n">
        <v>0</v>
      </c>
      <c r="S1008" t="n">
        <v>1</v>
      </c>
      <c r="T1008" t="n">
        <v>1</v>
      </c>
      <c r="U1008" t="n">
        <v>1</v>
      </c>
      <c r="V1008" s="2" t="inlineStr">
        <is>
          <t>Vedticka</t>
        </is>
      </c>
      <c r="W1008">
        <f>HYPERLINK("https://klasma.github.io/Logging_2161/artfynd/A 4696-2023 artfynd.xlsx", "A 4696-2023")</f>
        <v/>
      </c>
      <c r="X1008">
        <f>HYPERLINK("https://klasma.github.io/Logging_2161/kartor/A 4696-2023 karta.png", "A 4696-2023")</f>
        <v/>
      </c>
      <c r="Y1008">
        <f>HYPERLINK("https://klasma.github.io/Logging_2161/kartor_geotiff/A 4696-2023 georefererad karta.tif", "A 4696-2023")</f>
        <v/>
      </c>
      <c r="AA1008">
        <f>HYPERLINK("https://klasma.github.io/Logging_2161/klagomål/A 4696-2023 FSC-klagomål.docx", "A 4696-2023")</f>
        <v/>
      </c>
      <c r="AB1008">
        <f>HYPERLINK("https://klasma.github.io/Logging_2161/klagomålsmail/A 4696-2023 FSC-klagomål mail.docx", "A 4696-2023")</f>
        <v/>
      </c>
      <c r="AC1008">
        <f>HYPERLINK("https://klasma.github.io/Logging_2161/tillsyn/A 4696-2023 tillsynsbegäran.docx", "A 4696-2023")</f>
        <v/>
      </c>
      <c r="AD1008">
        <f>HYPERLINK("https://klasma.github.io/Logging_2161/tillsynsmail/A 4696-2023 tillsynsbegäran mail.docx", "A 4696-2023")</f>
        <v/>
      </c>
    </row>
    <row r="1009" ht="15" customHeight="1">
      <c r="A1009" t="inlineStr">
        <is>
          <t>A 35521-2024</t>
        </is>
      </c>
      <c r="B1009" t="inlineStr">
        <is>
          <t>avverkningsanmälan</t>
        </is>
      </c>
      <c r="C1009" t="inlineStr">
        <is>
          <t>Föryngringsavverkning</t>
        </is>
      </c>
      <c r="D1009" s="1" t="n">
        <v>45531</v>
      </c>
      <c r="E1009" s="1" t="n">
        <v>46326</v>
      </c>
      <c r="F1009" t="inlineStr">
        <is>
          <t>GÄVLEBORGS LÄN</t>
        </is>
      </c>
      <c r="G1009" t="inlineStr">
        <is>
          <t>HOFORS</t>
        </is>
      </c>
      <c r="H1009" t="inlineStr">
        <is>
          <t>Sveaskog</t>
        </is>
      </c>
      <c r="I1009" t="n">
        <v>1.3</v>
      </c>
      <c r="J1009" t="n">
        <v>1</v>
      </c>
      <c r="K1009" t="n">
        <v>0</v>
      </c>
      <c r="L1009" t="n">
        <v>0</v>
      </c>
      <c r="M1009" t="n">
        <v>0</v>
      </c>
      <c r="N1009" t="n">
        <v>0</v>
      </c>
      <c r="O1009" t="n">
        <v>0</v>
      </c>
      <c r="P1009" t="n">
        <v>0</v>
      </c>
      <c r="Q1009" t="n">
        <v>0</v>
      </c>
      <c r="R1009" t="n">
        <v>0</v>
      </c>
      <c r="S1009" t="n">
        <v>1</v>
      </c>
      <c r="T1009" t="n">
        <v>1</v>
      </c>
      <c r="U1009" t="n">
        <v>0</v>
      </c>
      <c r="V1009" s="2" t="inlineStr">
        <is>
          <t>Revlummer</t>
        </is>
      </c>
      <c r="W1009">
        <f>HYPERLINK("https://klasma.github.io/Logging_2104/artfynd/A 35521-2024 artfynd.xlsx", "A 35521-2024")</f>
        <v/>
      </c>
      <c r="X1009">
        <f>HYPERLINK("https://klasma.github.io/Logging_2104/kartor/A 35521-2024 karta.png", "A 35521-2024")</f>
        <v/>
      </c>
      <c r="Y1009">
        <f>HYPERLINK("https://klasma.github.io/Logging_2104/kartor_geotiff/A 35521-2024 georefererad karta.tif", "A 35521-2024")</f>
        <v/>
      </c>
      <c r="AA1009">
        <f>HYPERLINK("https://klasma.github.io/Logging_2104/klagomål/A 35521-2024 FSC-klagomål.docx", "A 35521-2024")</f>
        <v/>
      </c>
      <c r="AB1009">
        <f>HYPERLINK("https://klasma.github.io/Logging_2104/klagomålsmail/A 35521-2024 FSC-klagomål mail.docx", "A 35521-2024")</f>
        <v/>
      </c>
      <c r="AC1009">
        <f>HYPERLINK("https://klasma.github.io/Logging_2104/tillsyn/A 35521-2024 tillsynsbegäran.docx", "A 35521-2024")</f>
        <v/>
      </c>
      <c r="AD1009">
        <f>HYPERLINK("https://klasma.github.io/Logging_2104/tillsynsmail/A 35521-2024 tillsynsbegäran mail.docx", "A 35521-2024")</f>
        <v/>
      </c>
    </row>
    <row r="1010" ht="15" customHeight="1">
      <c r="A1010" t="inlineStr">
        <is>
          <t>A 28273-2026</t>
        </is>
      </c>
      <c r="B1010" t="inlineStr">
        <is>
          <t>avverkningsanmälan</t>
        </is>
      </c>
      <c r="C1010" t="inlineStr">
        <is>
          <t>Föryngringsavverkning</t>
        </is>
      </c>
      <c r="D1010" s="1" t="n">
        <v>46196</v>
      </c>
      <c r="E1010" s="1" t="n">
        <v>46326</v>
      </c>
      <c r="F1010" t="inlineStr">
        <is>
          <t>GÄVLEBORGS LÄN</t>
        </is>
      </c>
      <c r="G1010" t="inlineStr">
        <is>
          <t>HOFORS</t>
        </is>
      </c>
      <c r="H1010" t="inlineStr">
        <is>
          <t>Sveaskog</t>
        </is>
      </c>
      <c r="I1010" t="n">
        <v>10.1</v>
      </c>
      <c r="J1010" t="n">
        <v>0</v>
      </c>
      <c r="K1010" t="n">
        <v>0</v>
      </c>
      <c r="L1010" t="n">
        <v>1</v>
      </c>
      <c r="M1010" t="n">
        <v>0</v>
      </c>
      <c r="N1010" t="n">
        <v>0</v>
      </c>
      <c r="O1010" t="n">
        <v>0</v>
      </c>
      <c r="P1010" t="n">
        <v>0</v>
      </c>
      <c r="Q1010" t="n">
        <v>1</v>
      </c>
      <c r="R1010" t="n">
        <v>0</v>
      </c>
      <c r="S1010" t="n">
        <v>1</v>
      </c>
      <c r="T1010" t="n">
        <v>1</v>
      </c>
      <c r="U1010" t="n">
        <v>1</v>
      </c>
      <c r="V1010" s="2" t="inlineStr">
        <is>
          <t>Kolflarnlav</t>
        </is>
      </c>
      <c r="W1010">
        <f>HYPERLINK("https://klasma.github.io/Logging_2104/artfynd/A 28273-2026 artfynd.xlsx", "A 28273-2026")</f>
        <v/>
      </c>
      <c r="X1010">
        <f>HYPERLINK("https://klasma.github.io/Logging_2104/kartor/A 28273-2026 karta.png", "A 28273-2026")</f>
        <v/>
      </c>
      <c r="Y1010">
        <f>HYPERLINK("https://klasma.github.io/Logging_2104/kartor_geotiff/A 28273-2026 georefererad karta.tif", "A 28273-2026")</f>
        <v/>
      </c>
      <c r="AA1010">
        <f>HYPERLINK("https://klasma.github.io/Logging_2104/klagomål/A 28273-2026 FSC-klagomål.docx", "A 28273-2026")</f>
        <v/>
      </c>
      <c r="AB1010">
        <f>HYPERLINK("https://klasma.github.io/Logging_2104/klagomålsmail/A 28273-2026 FSC-klagomål mail.docx", "A 28273-2026")</f>
        <v/>
      </c>
      <c r="AC1010">
        <f>HYPERLINK("https://klasma.github.io/Logging_2104/tillsyn/A 28273-2026 tillsynsbegäran.docx", "A 28273-2026")</f>
        <v/>
      </c>
      <c r="AD1010">
        <f>HYPERLINK("https://klasma.github.io/Logging_2104/tillsynsmail/A 28273-2026 tillsynsbegäran mail.docx", "A 28273-2026")</f>
        <v/>
      </c>
    </row>
    <row r="1011" ht="15" customHeight="1">
      <c r="A1011" t="inlineStr">
        <is>
          <t>A 3474-2024</t>
        </is>
      </c>
      <c r="B1011" t="inlineStr">
        <is>
          <t>avverkningsanmälan</t>
        </is>
      </c>
      <c r="C1011" t="inlineStr">
        <is>
          <t>Föryngringsavverkning</t>
        </is>
      </c>
      <c r="D1011" s="1" t="n">
        <v>45320</v>
      </c>
      <c r="E1011" s="1" t="n">
        <v>46326</v>
      </c>
      <c r="F1011" t="inlineStr">
        <is>
          <t>GÄVLEBORGS LÄN</t>
        </is>
      </c>
      <c r="G1011" t="inlineStr">
        <is>
          <t>NORDANSTIG</t>
        </is>
      </c>
      <c r="H1011" t="inlineStr">
        <is>
          <t>Holmen skog AB</t>
        </is>
      </c>
      <c r="I1011" t="n">
        <v>5.7</v>
      </c>
      <c r="J1011" t="n">
        <v>1</v>
      </c>
      <c r="K1011" t="n">
        <v>0</v>
      </c>
      <c r="L1011" t="n">
        <v>0</v>
      </c>
      <c r="M1011" t="n">
        <v>1</v>
      </c>
      <c r="N1011" t="n">
        <v>0</v>
      </c>
      <c r="O1011" t="n">
        <v>0</v>
      </c>
      <c r="P1011" t="n">
        <v>0</v>
      </c>
      <c r="Q1011" t="n">
        <v>1</v>
      </c>
      <c r="R1011" t="n">
        <v>1</v>
      </c>
      <c r="S1011" t="n">
        <v>1</v>
      </c>
      <c r="T1011" t="n">
        <v>3</v>
      </c>
      <c r="U1011" t="n">
        <v>0</v>
      </c>
      <c r="V1011" s="2" t="inlineStr">
        <is>
          <t>Bredgentiana</t>
        </is>
      </c>
      <c r="W1011">
        <f>HYPERLINK("https://klasma.github.io/Logging_2132/artfynd/A 3474-2024 artfynd.xlsx", "A 3474-2024")</f>
        <v/>
      </c>
      <c r="X1011">
        <f>HYPERLINK("https://klasma.github.io/Logging_2132/kartor/A 3474-2024 karta.png", "A 3474-2024")</f>
        <v/>
      </c>
      <c r="Y1011">
        <f>HYPERLINK("https://klasma.github.io/Logging_2132/kartor_geotiff/A 3474-2024 georefererad karta.tif", "A 3474-2024")</f>
        <v/>
      </c>
      <c r="AA1011">
        <f>HYPERLINK("https://klasma.github.io/Logging_2132/klagomål/A 3474-2024 FSC-klagomål.docx", "A 3474-2024")</f>
        <v/>
      </c>
      <c r="AB1011">
        <f>HYPERLINK("https://klasma.github.io/Logging_2132/klagomålsmail/A 3474-2024 FSC-klagomål mail.docx", "A 3474-2024")</f>
        <v/>
      </c>
      <c r="AC1011">
        <f>HYPERLINK("https://klasma.github.io/Logging_2132/tillsyn/A 3474-2024 tillsynsbegäran.docx", "A 3474-2024")</f>
        <v/>
      </c>
      <c r="AD1011">
        <f>HYPERLINK("https://klasma.github.io/Logging_2132/tillsynsmail/A 3474-2024 tillsynsbegäran mail.docx", "A 3474-2024")</f>
        <v/>
      </c>
    </row>
    <row r="1012" ht="15" customHeight="1">
      <c r="A1012" t="inlineStr">
        <is>
          <t>A 40281-2023</t>
        </is>
      </c>
      <c r="B1012" t="inlineStr">
        <is>
          <t>avverkningsanmälan</t>
        </is>
      </c>
      <c r="C1012" t="inlineStr">
        <is>
          <t>Föryngringsavverkning</t>
        </is>
      </c>
      <c r="D1012" s="1" t="n">
        <v>45169</v>
      </c>
      <c r="E1012" s="1" t="n">
        <v>46326</v>
      </c>
      <c r="F1012" t="inlineStr">
        <is>
          <t>GÄVLEBORGS LÄN</t>
        </is>
      </c>
      <c r="G1012" t="inlineStr">
        <is>
          <t>LJUSDAL</t>
        </is>
      </c>
      <c r="H1012" t="inlineStr">
        <is>
          <t>Sveaskog</t>
        </is>
      </c>
      <c r="I1012" t="n">
        <v>0.9</v>
      </c>
      <c r="J1012" t="n">
        <v>1</v>
      </c>
      <c r="K1012" t="n">
        <v>0</v>
      </c>
      <c r="L1012" t="n">
        <v>0</v>
      </c>
      <c r="M1012" t="n">
        <v>0</v>
      </c>
      <c r="N1012" t="n">
        <v>0</v>
      </c>
      <c r="O1012" t="n">
        <v>0</v>
      </c>
      <c r="P1012" t="n">
        <v>0</v>
      </c>
      <c r="Q1012" t="n">
        <v>0</v>
      </c>
      <c r="R1012" t="n">
        <v>0</v>
      </c>
      <c r="S1012" t="n">
        <v>1</v>
      </c>
      <c r="T1012" t="n">
        <v>1</v>
      </c>
      <c r="U1012" t="n">
        <v>0</v>
      </c>
      <c r="V1012" s="2" t="inlineStr">
        <is>
          <t>Tjäder</t>
        </is>
      </c>
      <c r="W1012">
        <f>HYPERLINK("https://klasma.github.io/Logging_2161/artfynd/A 40281-2023 artfynd.xlsx", "A 40281-2023")</f>
        <v/>
      </c>
      <c r="X1012">
        <f>HYPERLINK("https://klasma.github.io/Logging_2161/kartor/A 40281-2023 karta.png", "A 40281-2023")</f>
        <v/>
      </c>
      <c r="Y1012">
        <f>HYPERLINK("https://klasma.github.io/Logging_2161/kartor_geotiff/A 40281-2023 georefererad karta.tif", "A 40281-2023")</f>
        <v/>
      </c>
      <c r="AA1012">
        <f>HYPERLINK("https://klasma.github.io/Logging_2161/klagomål/A 40281-2023 FSC-klagomål.docx", "A 40281-2023")</f>
        <v/>
      </c>
      <c r="AB1012">
        <f>HYPERLINK("https://klasma.github.io/Logging_2161/klagomålsmail/A 40281-2023 FSC-klagomål mail.docx", "A 40281-2023")</f>
        <v/>
      </c>
      <c r="AC1012">
        <f>HYPERLINK("https://klasma.github.io/Logging_2161/tillsyn/A 40281-2023 tillsynsbegäran.docx", "A 40281-2023")</f>
        <v/>
      </c>
      <c r="AD1012">
        <f>HYPERLINK("https://klasma.github.io/Logging_2161/tillsynsmail/A 40281-2023 tillsynsbegäran mail.docx", "A 40281-2023")</f>
        <v/>
      </c>
      <c r="AE1012">
        <f>HYPERLINK("https://klasma.github.io/Logging_2161/fåglar/A 40281-2023 prioriterade fågelarter.docx", "A 40281-2023")</f>
        <v/>
      </c>
    </row>
    <row r="1013" ht="15" customHeight="1">
      <c r="A1013" t="inlineStr">
        <is>
          <t>A 58307-2022</t>
        </is>
      </c>
      <c r="B1013" t="inlineStr">
        <is>
          <t>avverkningsanmälan</t>
        </is>
      </c>
      <c r="C1013" t="inlineStr">
        <is>
          <t>Föryngringsavverkning</t>
        </is>
      </c>
      <c r="D1013" s="1" t="n">
        <v>44901</v>
      </c>
      <c r="E1013" s="1" t="n">
        <v>46326</v>
      </c>
      <c r="F1013" t="inlineStr">
        <is>
          <t>GÄVLEBORGS LÄN</t>
        </is>
      </c>
      <c r="G1013" t="inlineStr">
        <is>
          <t>OVANÅKER</t>
        </is>
      </c>
      <c r="I1013" t="n">
        <v>3.2</v>
      </c>
      <c r="J1013" t="n">
        <v>0</v>
      </c>
      <c r="K1013" t="n">
        <v>1</v>
      </c>
      <c r="L1013" t="n">
        <v>0</v>
      </c>
      <c r="M1013" t="n">
        <v>0</v>
      </c>
      <c r="N1013" t="n">
        <v>0</v>
      </c>
      <c r="O1013" t="n">
        <v>0</v>
      </c>
      <c r="P1013" t="n">
        <v>0</v>
      </c>
      <c r="Q1013" t="n">
        <v>0</v>
      </c>
      <c r="R1013" t="n">
        <v>0</v>
      </c>
      <c r="S1013" t="n">
        <v>1</v>
      </c>
      <c r="T1013" t="n">
        <v>1</v>
      </c>
      <c r="U1013" t="n">
        <v>1</v>
      </c>
      <c r="V1013" s="2" t="inlineStr">
        <is>
          <t>Aprikosfingersvamp</t>
        </is>
      </c>
      <c r="W1013">
        <f>HYPERLINK("https://klasma.github.io/Logging_2121/artfynd/A 58307-2022 artfynd.xlsx", "A 58307-2022")</f>
        <v/>
      </c>
      <c r="X1013">
        <f>HYPERLINK("https://klasma.github.io/Logging_2121/kartor/A 58307-2022 karta.png", "A 58307-2022")</f>
        <v/>
      </c>
      <c r="Y1013">
        <f>HYPERLINK("https://klasma.github.io/Logging_2121/kartor_geotiff/A 58307-2022 georefererad karta.tif", "A 58307-2022")</f>
        <v/>
      </c>
      <c r="AA1013">
        <f>HYPERLINK("https://klasma.github.io/Logging_2121/klagomål/A 58307-2022 FSC-klagomål.docx", "A 58307-2022")</f>
        <v/>
      </c>
      <c r="AB1013">
        <f>HYPERLINK("https://klasma.github.io/Logging_2121/klagomålsmail/A 58307-2022 FSC-klagomål mail.docx", "A 58307-2022")</f>
        <v/>
      </c>
      <c r="AC1013">
        <f>HYPERLINK("https://klasma.github.io/Logging_2121/tillsyn/A 58307-2022 tillsynsbegäran.docx", "A 58307-2022")</f>
        <v/>
      </c>
      <c r="AD1013">
        <f>HYPERLINK("https://klasma.github.io/Logging_2121/tillsynsmail/A 58307-2022 tillsynsbegäran mail.docx", "A 58307-2022")</f>
        <v/>
      </c>
    </row>
    <row r="1014" ht="15" customHeight="1">
      <c r="A1014" t="inlineStr">
        <is>
          <t>A 28546-2026</t>
        </is>
      </c>
      <c r="B1014" t="inlineStr">
        <is>
          <t>avverkningsanmälan</t>
        </is>
      </c>
      <c r="C1014" t="inlineStr">
        <is>
          <t>Föryngringsavverkning</t>
        </is>
      </c>
      <c r="D1014" s="1" t="n">
        <v>46197</v>
      </c>
      <c r="E1014" s="1" t="n">
        <v>46326</v>
      </c>
      <c r="F1014" t="inlineStr">
        <is>
          <t>GÄVLEBORGS LÄN</t>
        </is>
      </c>
      <c r="G1014" t="inlineStr">
        <is>
          <t>GÄVLE</t>
        </is>
      </c>
      <c r="H1014" t="inlineStr">
        <is>
          <t>BillerudKorsnäs AB</t>
        </is>
      </c>
      <c r="I1014" t="n">
        <v>2.6</v>
      </c>
      <c r="J1014" t="n">
        <v>1</v>
      </c>
      <c r="K1014" t="n">
        <v>0</v>
      </c>
      <c r="L1014" t="n">
        <v>0</v>
      </c>
      <c r="M1014" t="n">
        <v>0</v>
      </c>
      <c r="N1014" t="n">
        <v>0</v>
      </c>
      <c r="O1014" t="n">
        <v>0</v>
      </c>
      <c r="P1014" t="n">
        <v>0</v>
      </c>
      <c r="Q1014" t="n">
        <v>0</v>
      </c>
      <c r="R1014" t="n">
        <v>0</v>
      </c>
      <c r="S1014" t="n">
        <v>1</v>
      </c>
      <c r="T1014" t="n">
        <v>1</v>
      </c>
      <c r="U1014" t="n">
        <v>0</v>
      </c>
      <c r="V1014" s="2" t="inlineStr">
        <is>
          <t>Fiskgjuse</t>
        </is>
      </c>
      <c r="W1014">
        <f>HYPERLINK("https://klasma.github.io/Logging_2180/artfynd/A 28546-2026 artfynd.xlsx", "A 28546-2026")</f>
        <v/>
      </c>
      <c r="X1014">
        <f>HYPERLINK("https://klasma.github.io/Logging_2180/kartor/A 28546-2026 karta.png", "A 28546-2026")</f>
        <v/>
      </c>
      <c r="Y1014">
        <f>HYPERLINK("https://klasma.github.io/Logging_2180/kartor_geotiff/A 28546-2026 georefererad karta.tif", "A 28546-2026")</f>
        <v/>
      </c>
      <c r="AA1014">
        <f>HYPERLINK("https://klasma.github.io/Logging_2180/klagomål/A 28546-2026 FSC-klagomål.docx", "A 28546-2026")</f>
        <v/>
      </c>
      <c r="AB1014">
        <f>HYPERLINK("https://klasma.github.io/Logging_2180/klagomålsmail/A 28546-2026 FSC-klagomål mail.docx", "A 28546-2026")</f>
        <v/>
      </c>
      <c r="AC1014">
        <f>HYPERLINK("https://klasma.github.io/Logging_2180/tillsyn/A 28546-2026 tillsynsbegäran.docx", "A 28546-2026")</f>
        <v/>
      </c>
      <c r="AD1014">
        <f>HYPERLINK("https://klasma.github.io/Logging_2180/tillsynsmail/A 28546-2026 tillsynsbegäran mail.docx", "A 28546-2026")</f>
        <v/>
      </c>
      <c r="AE1014">
        <f>HYPERLINK("https://klasma.github.io/Logging_2180/fåglar/A 28546-2026 prioriterade fågelarter.docx", "A 28546-2026")</f>
        <v/>
      </c>
    </row>
    <row r="1015" ht="15" customHeight="1">
      <c r="A1015" t="inlineStr">
        <is>
          <t>A 28632-2026</t>
        </is>
      </c>
      <c r="B1015" t="inlineStr">
        <is>
          <t>avverkningsanmälan</t>
        </is>
      </c>
      <c r="C1015" t="inlineStr">
        <is>
          <t>Föryngringsavverkning</t>
        </is>
      </c>
      <c r="D1015" s="1" t="n">
        <v>46198</v>
      </c>
      <c r="E1015" s="1" t="n">
        <v>46326</v>
      </c>
      <c r="F1015" t="inlineStr">
        <is>
          <t>GÄVLEBORGS LÄN</t>
        </is>
      </c>
      <c r="G1015" t="inlineStr">
        <is>
          <t>LJUSDAL</t>
        </is>
      </c>
      <c r="H1015" t="inlineStr">
        <is>
          <t>Sveaskog</t>
        </is>
      </c>
      <c r="I1015" t="n">
        <v>3.8</v>
      </c>
      <c r="J1015" t="n">
        <v>0</v>
      </c>
      <c r="K1015" t="n">
        <v>0</v>
      </c>
      <c r="L1015" t="n">
        <v>1</v>
      </c>
      <c r="M1015" t="n">
        <v>0</v>
      </c>
      <c r="N1015" t="n">
        <v>0</v>
      </c>
      <c r="O1015" t="n">
        <v>0</v>
      </c>
      <c r="P1015" t="n">
        <v>0</v>
      </c>
      <c r="Q1015" t="n">
        <v>1</v>
      </c>
      <c r="R1015" t="n">
        <v>0</v>
      </c>
      <c r="S1015" t="n">
        <v>1</v>
      </c>
      <c r="T1015" t="n">
        <v>1</v>
      </c>
      <c r="U1015" t="n">
        <v>1</v>
      </c>
      <c r="V1015" s="2" t="inlineStr">
        <is>
          <t>Lunglav</t>
        </is>
      </c>
      <c r="W1015">
        <f>HYPERLINK("https://klasma.github.io/Logging_2161/artfynd/A 28632-2026 artfynd.xlsx", "A 28632-2026")</f>
        <v/>
      </c>
      <c r="X1015">
        <f>HYPERLINK("https://klasma.github.io/Logging_2161/kartor/A 28632-2026 karta.png", "A 28632-2026")</f>
        <v/>
      </c>
      <c r="Y1015">
        <f>HYPERLINK("https://klasma.github.io/Logging_2161/kartor_geotiff/A 28632-2026 georefererad karta.tif", "A 28632-2026")</f>
        <v/>
      </c>
      <c r="AA1015">
        <f>HYPERLINK("https://klasma.github.io/Logging_2161/klagomål/A 28632-2026 FSC-klagomål.docx", "A 28632-2026")</f>
        <v/>
      </c>
      <c r="AB1015">
        <f>HYPERLINK("https://klasma.github.io/Logging_2161/klagomålsmail/A 28632-2026 FSC-klagomål mail.docx", "A 28632-2026")</f>
        <v/>
      </c>
      <c r="AC1015">
        <f>HYPERLINK("https://klasma.github.io/Logging_2161/tillsyn/A 28632-2026 tillsynsbegäran.docx", "A 28632-2026")</f>
        <v/>
      </c>
      <c r="AD1015">
        <f>HYPERLINK("https://klasma.github.io/Logging_2161/tillsynsmail/A 28632-2026 tillsynsbegäran mail.docx", "A 28632-2026")</f>
        <v/>
      </c>
    </row>
    <row r="1016" ht="15" customHeight="1">
      <c r="A1016" t="inlineStr">
        <is>
          <t>A 28629-2026</t>
        </is>
      </c>
      <c r="B1016" t="inlineStr">
        <is>
          <t>avverkningsanmälan</t>
        </is>
      </c>
      <c r="C1016" t="inlineStr">
        <is>
          <t>Föryngringsavverkning</t>
        </is>
      </c>
      <c r="D1016" s="1" t="n">
        <v>46198</v>
      </c>
      <c r="E1016" s="1" t="n">
        <v>46326</v>
      </c>
      <c r="F1016" t="inlineStr">
        <is>
          <t>GÄVLEBORGS LÄN</t>
        </is>
      </c>
      <c r="G1016" t="inlineStr">
        <is>
          <t>LJUSDAL</t>
        </is>
      </c>
      <c r="H1016" t="inlineStr">
        <is>
          <t>Sveaskog</t>
        </is>
      </c>
      <c r="I1016" t="n">
        <v>2.1</v>
      </c>
      <c r="J1016" t="n">
        <v>0</v>
      </c>
      <c r="K1016" t="n">
        <v>0</v>
      </c>
      <c r="L1016" t="n">
        <v>1</v>
      </c>
      <c r="M1016" t="n">
        <v>0</v>
      </c>
      <c r="N1016" t="n">
        <v>0</v>
      </c>
      <c r="O1016" t="n">
        <v>0</v>
      </c>
      <c r="P1016" t="n">
        <v>0</v>
      </c>
      <c r="Q1016" t="n">
        <v>1</v>
      </c>
      <c r="R1016" t="n">
        <v>0</v>
      </c>
      <c r="S1016" t="n">
        <v>1</v>
      </c>
      <c r="T1016" t="n">
        <v>1</v>
      </c>
      <c r="U1016" t="n">
        <v>1</v>
      </c>
      <c r="V1016" s="2" t="inlineStr">
        <is>
          <t>Kolflarnlav</t>
        </is>
      </c>
      <c r="W1016">
        <f>HYPERLINK("https://klasma.github.io/Logging_2161/artfynd/A 28629-2026 artfynd.xlsx", "A 28629-2026")</f>
        <v/>
      </c>
      <c r="X1016">
        <f>HYPERLINK("https://klasma.github.io/Logging_2161/kartor/A 28629-2026 karta.png", "A 28629-2026")</f>
        <v/>
      </c>
      <c r="Y1016">
        <f>HYPERLINK("https://klasma.github.io/Logging_2161/kartor_geotiff/A 28629-2026 georefererad karta.tif", "A 28629-2026")</f>
        <v/>
      </c>
      <c r="AA1016">
        <f>HYPERLINK("https://klasma.github.io/Logging_2161/klagomål/A 28629-2026 FSC-klagomål.docx", "A 28629-2026")</f>
        <v/>
      </c>
      <c r="AB1016">
        <f>HYPERLINK("https://klasma.github.io/Logging_2161/klagomålsmail/A 28629-2026 FSC-klagomål mail.docx", "A 28629-2026")</f>
        <v/>
      </c>
      <c r="AC1016">
        <f>HYPERLINK("https://klasma.github.io/Logging_2161/tillsyn/A 28629-2026 tillsynsbegäran.docx", "A 28629-2026")</f>
        <v/>
      </c>
      <c r="AD1016">
        <f>HYPERLINK("https://klasma.github.io/Logging_2161/tillsynsmail/A 28629-2026 tillsynsbegäran mail.docx", "A 28629-2026")</f>
        <v/>
      </c>
    </row>
    <row r="1017" ht="15" customHeight="1">
      <c r="A1017" t="inlineStr">
        <is>
          <t>A 13089-2025</t>
        </is>
      </c>
      <c r="B1017" t="inlineStr">
        <is>
          <t>avverkningsanmälan</t>
        </is>
      </c>
      <c r="C1017" t="inlineStr">
        <is>
          <t>Föryngringsavverkning</t>
        </is>
      </c>
      <c r="D1017" s="1" t="n">
        <v>45734</v>
      </c>
      <c r="E1017" s="1" t="n">
        <v>46326</v>
      </c>
      <c r="F1017" t="inlineStr">
        <is>
          <t>GÄVLEBORGS LÄN</t>
        </is>
      </c>
      <c r="G1017" t="inlineStr">
        <is>
          <t>NORDANSTIG</t>
        </is>
      </c>
      <c r="H1017" t="inlineStr">
        <is>
          <t>Holmen skog AB</t>
        </is>
      </c>
      <c r="I1017" t="n">
        <v>5.5</v>
      </c>
      <c r="J1017" t="n">
        <v>1</v>
      </c>
      <c r="K1017" t="n">
        <v>0</v>
      </c>
      <c r="L1017" t="n">
        <v>0</v>
      </c>
      <c r="M1017" t="n">
        <v>0</v>
      </c>
      <c r="N1017" t="n">
        <v>0</v>
      </c>
      <c r="O1017" t="n">
        <v>0</v>
      </c>
      <c r="P1017" t="n">
        <v>0</v>
      </c>
      <c r="Q1017" t="n">
        <v>0</v>
      </c>
      <c r="R1017" t="n">
        <v>0</v>
      </c>
      <c r="S1017" t="n">
        <v>1</v>
      </c>
      <c r="T1017" t="n">
        <v>1</v>
      </c>
      <c r="U1017" t="n">
        <v>0</v>
      </c>
      <c r="V1017" s="2" t="inlineStr">
        <is>
          <t>Tjäder</t>
        </is>
      </c>
      <c r="W1017">
        <f>HYPERLINK("https://klasma.github.io/Logging_2132/artfynd/A 13089-2025 artfynd.xlsx", "A 13089-2025")</f>
        <v/>
      </c>
      <c r="X1017">
        <f>HYPERLINK("https://klasma.github.io/Logging_2132/kartor/A 13089-2025 karta.png", "A 13089-2025")</f>
        <v/>
      </c>
      <c r="Y1017">
        <f>HYPERLINK("https://klasma.github.io/Logging_2132/kartor_geotiff/A 13089-2025 georefererad karta.tif", "A 13089-2025")</f>
        <v/>
      </c>
      <c r="AA1017">
        <f>HYPERLINK("https://klasma.github.io/Logging_2132/klagomål/A 13089-2025 FSC-klagomål.docx", "A 13089-2025")</f>
        <v/>
      </c>
      <c r="AB1017">
        <f>HYPERLINK("https://klasma.github.io/Logging_2132/klagomålsmail/A 13089-2025 FSC-klagomål mail.docx", "A 13089-2025")</f>
        <v/>
      </c>
      <c r="AC1017">
        <f>HYPERLINK("https://klasma.github.io/Logging_2132/tillsyn/A 13089-2025 tillsynsbegäran.docx", "A 13089-2025")</f>
        <v/>
      </c>
      <c r="AD1017">
        <f>HYPERLINK("https://klasma.github.io/Logging_2132/tillsynsmail/A 13089-2025 tillsynsbegäran mail.docx", "A 13089-2025")</f>
        <v/>
      </c>
      <c r="AE1017">
        <f>HYPERLINK("https://klasma.github.io/Logging_2132/fåglar/A 13089-2025 prioriterade fågelarter.docx", "A 13089-2025")</f>
        <v/>
      </c>
    </row>
    <row r="1018" ht="15" customHeight="1">
      <c r="A1018" t="inlineStr">
        <is>
          <t>A 29071-2026</t>
        </is>
      </c>
      <c r="B1018" t="inlineStr">
        <is>
          <t>avverkningsanmälan</t>
        </is>
      </c>
      <c r="C1018" t="inlineStr">
        <is>
          <t>Föryngringsavverkning</t>
        </is>
      </c>
      <c r="D1018" s="1" t="n">
        <v>46199</v>
      </c>
      <c r="E1018" s="1" t="n">
        <v>46326</v>
      </c>
      <c r="F1018" t="inlineStr">
        <is>
          <t>GÄVLEBORGS LÄN</t>
        </is>
      </c>
      <c r="G1018" t="inlineStr">
        <is>
          <t>LJUSDAL</t>
        </is>
      </c>
      <c r="H1018" t="inlineStr">
        <is>
          <t>Sveaskog</t>
        </is>
      </c>
      <c r="I1018" t="n">
        <v>7.5</v>
      </c>
      <c r="J1018" t="n">
        <v>0</v>
      </c>
      <c r="K1018" t="n">
        <v>0</v>
      </c>
      <c r="L1018" t="n">
        <v>1</v>
      </c>
      <c r="M1018" t="n">
        <v>0</v>
      </c>
      <c r="N1018" t="n">
        <v>0</v>
      </c>
      <c r="O1018" t="n">
        <v>0</v>
      </c>
      <c r="P1018" t="n">
        <v>0</v>
      </c>
      <c r="Q1018" t="n">
        <v>1</v>
      </c>
      <c r="R1018" t="n">
        <v>0</v>
      </c>
      <c r="S1018" t="n">
        <v>1</v>
      </c>
      <c r="T1018" t="n">
        <v>1</v>
      </c>
      <c r="U1018" t="n">
        <v>1</v>
      </c>
      <c r="V1018" s="2" t="inlineStr">
        <is>
          <t>Kolflarnlav</t>
        </is>
      </c>
      <c r="W1018">
        <f>HYPERLINK("https://klasma.github.io/Logging_2161/artfynd/A 29071-2026 artfynd.xlsx", "A 29071-2026")</f>
        <v/>
      </c>
      <c r="X1018">
        <f>HYPERLINK("https://klasma.github.io/Logging_2161/kartor/A 29071-2026 karta.png", "A 29071-2026")</f>
        <v/>
      </c>
      <c r="Y1018">
        <f>HYPERLINK("https://klasma.github.io/Logging_2161/kartor_geotiff/A 29071-2026 georefererad karta.tif", "A 29071-2026")</f>
        <v/>
      </c>
      <c r="AA1018">
        <f>HYPERLINK("https://klasma.github.io/Logging_2161/klagomål/A 29071-2026 FSC-klagomål.docx", "A 29071-2026")</f>
        <v/>
      </c>
      <c r="AB1018">
        <f>HYPERLINK("https://klasma.github.io/Logging_2161/klagomålsmail/A 29071-2026 FSC-klagomål mail.docx", "A 29071-2026")</f>
        <v/>
      </c>
      <c r="AC1018">
        <f>HYPERLINK("https://klasma.github.io/Logging_2161/tillsyn/A 29071-2026 tillsynsbegäran.docx", "A 29071-2026")</f>
        <v/>
      </c>
      <c r="AD1018">
        <f>HYPERLINK("https://klasma.github.io/Logging_2161/tillsynsmail/A 29071-2026 tillsynsbegäran mail.docx", "A 29071-2026")</f>
        <v/>
      </c>
    </row>
    <row r="1019" ht="15" customHeight="1">
      <c r="A1019" t="inlineStr">
        <is>
          <t>A 29134-2026</t>
        </is>
      </c>
      <c r="B1019" t="inlineStr">
        <is>
          <t>avverkningsanmälan</t>
        </is>
      </c>
      <c r="C1019" t="inlineStr">
        <is>
          <t>Föryngringsavverkning</t>
        </is>
      </c>
      <c r="D1019" s="1" t="n">
        <v>46202</v>
      </c>
      <c r="E1019" s="1" t="n">
        <v>46326</v>
      </c>
      <c r="F1019" t="inlineStr">
        <is>
          <t>GÄVLEBORGS LÄN</t>
        </is>
      </c>
      <c r="G1019" t="inlineStr">
        <is>
          <t>HUDIKSVALL</t>
        </is>
      </c>
      <c r="H1019" t="inlineStr">
        <is>
          <t>Holmen skog AB</t>
        </is>
      </c>
      <c r="I1019" t="n">
        <v>19.2</v>
      </c>
      <c r="J1019" t="n">
        <v>0</v>
      </c>
      <c r="K1019" t="n">
        <v>0</v>
      </c>
      <c r="L1019" t="n">
        <v>0</v>
      </c>
      <c r="M1019" t="n">
        <v>1</v>
      </c>
      <c r="N1019" t="n">
        <v>0</v>
      </c>
      <c r="O1019" t="n">
        <v>0</v>
      </c>
      <c r="P1019" t="n">
        <v>0</v>
      </c>
      <c r="Q1019" t="n">
        <v>1</v>
      </c>
      <c r="R1019" t="n">
        <v>1</v>
      </c>
      <c r="S1019" t="n">
        <v>1</v>
      </c>
      <c r="T1019" t="n">
        <v>1</v>
      </c>
      <c r="U1019" t="n">
        <v>0</v>
      </c>
      <c r="V1019" s="2" t="inlineStr">
        <is>
          <t>Garnlav</t>
        </is>
      </c>
      <c r="W1019">
        <f>HYPERLINK("https://klasma.github.io/Logging_2184/artfynd/A 29134-2026 artfynd.xlsx", "A 29134-2026")</f>
        <v/>
      </c>
      <c r="X1019">
        <f>HYPERLINK("https://klasma.github.io/Logging_2184/kartor/A 29134-2026 karta.png", "A 29134-2026")</f>
        <v/>
      </c>
      <c r="Y1019">
        <f>HYPERLINK("https://klasma.github.io/Logging_2184/kartor_geotiff/A 29134-2026 georefererad karta.tif", "A 29134-2026")</f>
        <v/>
      </c>
      <c r="AA1019">
        <f>HYPERLINK("https://klasma.github.io/Logging_2184/klagomål/A 29134-2026 FSC-klagomål.docx", "A 29134-2026")</f>
        <v/>
      </c>
      <c r="AB1019">
        <f>HYPERLINK("https://klasma.github.io/Logging_2184/klagomålsmail/A 29134-2026 FSC-klagomål mail.docx", "A 29134-2026")</f>
        <v/>
      </c>
      <c r="AC1019">
        <f>HYPERLINK("https://klasma.github.io/Logging_2184/tillsyn/A 29134-2026 tillsynsbegäran.docx", "A 29134-2026")</f>
        <v/>
      </c>
      <c r="AD1019">
        <f>HYPERLINK("https://klasma.github.io/Logging_2184/tillsynsmail/A 29134-2026 tillsynsbegäran mail.docx", "A 29134-2026")</f>
        <v/>
      </c>
    </row>
    <row r="1020" ht="15" customHeight="1">
      <c r="A1020" t="inlineStr">
        <is>
          <t>A 5701-2025</t>
        </is>
      </c>
      <c r="B1020" t="inlineStr">
        <is>
          <t>avverkningsanmälan</t>
        </is>
      </c>
      <c r="C1020" t="inlineStr">
        <is>
          <t>Avverkning för att bevara och utveckla /försöksver</t>
        </is>
      </c>
      <c r="D1020" s="1" t="n">
        <v>45694</v>
      </c>
      <c r="E1020" s="1" t="n">
        <v>46326</v>
      </c>
      <c r="F1020" t="inlineStr">
        <is>
          <t>GÄVLEBORGS LÄN</t>
        </is>
      </c>
      <c r="G1020" t="inlineStr">
        <is>
          <t>LJUSDAL</t>
        </is>
      </c>
      <c r="H1020" t="inlineStr">
        <is>
          <t>Bergvik skog väst AB</t>
        </is>
      </c>
      <c r="I1020" t="n">
        <v>7.1</v>
      </c>
      <c r="J1020" t="n">
        <v>1</v>
      </c>
      <c r="K1020" t="n">
        <v>0</v>
      </c>
      <c r="L1020" t="n">
        <v>1</v>
      </c>
      <c r="M1020" t="n">
        <v>0</v>
      </c>
      <c r="N1020" t="n">
        <v>0</v>
      </c>
      <c r="O1020" t="n">
        <v>0</v>
      </c>
      <c r="P1020" t="n">
        <v>0</v>
      </c>
      <c r="Q1020" t="n">
        <v>1</v>
      </c>
      <c r="R1020" t="n">
        <v>0</v>
      </c>
      <c r="S1020" t="n">
        <v>1</v>
      </c>
      <c r="T1020" t="n">
        <v>1</v>
      </c>
      <c r="U1020" t="n">
        <v>1</v>
      </c>
      <c r="V1020" s="2" t="inlineStr">
        <is>
          <t>Lavskrika</t>
        </is>
      </c>
      <c r="W1020">
        <f>HYPERLINK("https://klasma.github.io/Logging_2161/artfynd/A 5701-2025 artfynd.xlsx", "A 5701-2025")</f>
        <v/>
      </c>
      <c r="X1020">
        <f>HYPERLINK("https://klasma.github.io/Logging_2161/kartor/A 5701-2025 karta.png", "A 5701-2025")</f>
        <v/>
      </c>
      <c r="Y1020">
        <f>HYPERLINK("https://klasma.github.io/Logging_2161/kartor_geotiff/A 5701-2025 georefererad karta.tif", "A 5701-2025")</f>
        <v/>
      </c>
      <c r="AA1020">
        <f>HYPERLINK("https://klasma.github.io/Logging_2161/klagomål/A 5701-2025 FSC-klagomål.docx", "A 5701-2025")</f>
        <v/>
      </c>
      <c r="AB1020">
        <f>HYPERLINK("https://klasma.github.io/Logging_2161/klagomålsmail/A 5701-2025 FSC-klagomål mail.docx", "A 5701-2025")</f>
        <v/>
      </c>
      <c r="AC1020">
        <f>HYPERLINK("https://klasma.github.io/Logging_2161/tillsyn/A 5701-2025 tillsynsbegäran.docx", "A 5701-2025")</f>
        <v/>
      </c>
      <c r="AD1020">
        <f>HYPERLINK("https://klasma.github.io/Logging_2161/tillsynsmail/A 5701-2025 tillsynsbegäran mail.docx", "A 5701-2025")</f>
        <v/>
      </c>
      <c r="AE1020">
        <f>HYPERLINK("https://klasma.github.io/Logging_2161/fåglar/A 5701-2025 prioriterade fågelarter.docx", "A 5701-2025")</f>
        <v/>
      </c>
    </row>
    <row r="1021" ht="15" customHeight="1">
      <c r="A1021" t="inlineStr">
        <is>
          <t>A 29353-2026</t>
        </is>
      </c>
      <c r="B1021" t="inlineStr">
        <is>
          <t>avverkningsanmälan</t>
        </is>
      </c>
      <c r="C1021" t="inlineStr">
        <is>
          <t>Föryngringsavverkning</t>
        </is>
      </c>
      <c r="D1021" s="1" t="n">
        <v>46203</v>
      </c>
      <c r="E1021" s="1" t="n">
        <v>46326</v>
      </c>
      <c r="F1021" t="inlineStr">
        <is>
          <t>GÄVLEBORGS LÄN</t>
        </is>
      </c>
      <c r="G1021" t="inlineStr">
        <is>
          <t>LJUSDAL</t>
        </is>
      </c>
      <c r="I1021" t="n">
        <v>2.1</v>
      </c>
      <c r="J1021" t="n">
        <v>1</v>
      </c>
      <c r="K1021" t="n">
        <v>0</v>
      </c>
      <c r="L1021" t="n">
        <v>0</v>
      </c>
      <c r="M1021" t="n">
        <v>1</v>
      </c>
      <c r="N1021" t="n">
        <v>0</v>
      </c>
      <c r="O1021" t="n">
        <v>0</v>
      </c>
      <c r="P1021" t="n">
        <v>0</v>
      </c>
      <c r="Q1021" t="n">
        <v>1</v>
      </c>
      <c r="R1021" t="n">
        <v>1</v>
      </c>
      <c r="S1021" t="n">
        <v>1</v>
      </c>
      <c r="T1021" t="n">
        <v>1</v>
      </c>
      <c r="U1021" t="n">
        <v>0</v>
      </c>
      <c r="V1021" s="2" t="inlineStr">
        <is>
          <t>Knärot</t>
        </is>
      </c>
      <c r="W1021">
        <f>HYPERLINK("https://klasma.github.io/Logging_2161/artfynd/A 29353-2026 artfynd.xlsx", "A 29353-2026")</f>
        <v/>
      </c>
      <c r="X1021">
        <f>HYPERLINK("https://klasma.github.io/Logging_2161/kartor/A 29353-2026 karta.png", "A 29353-2026")</f>
        <v/>
      </c>
      <c r="Y1021">
        <f>HYPERLINK("https://klasma.github.io/Logging_2161/kartor_geotiff/A 29353-2026 georefererad karta.tif", "A 29353-2026")</f>
        <v/>
      </c>
      <c r="Z1021">
        <f>HYPERLINK("https://klasma.github.io/Logging_2161/knärot/A 29353-2026 karta knärot.png", "A 29353-2026")</f>
        <v/>
      </c>
      <c r="AA1021">
        <f>HYPERLINK("https://klasma.github.io/Logging_2161/klagomål/A 29353-2026 FSC-klagomål.docx", "A 29353-2026")</f>
        <v/>
      </c>
      <c r="AB1021">
        <f>HYPERLINK("https://klasma.github.io/Logging_2161/klagomålsmail/A 29353-2026 FSC-klagomål mail.docx", "A 29353-2026")</f>
        <v/>
      </c>
      <c r="AC1021">
        <f>HYPERLINK("https://klasma.github.io/Logging_2161/tillsyn/A 29353-2026 tillsynsbegäran.docx", "A 29353-2026")</f>
        <v/>
      </c>
      <c r="AD1021">
        <f>HYPERLINK("https://klasma.github.io/Logging_2161/tillsynsmail/A 29353-2026 tillsynsbegäran mail.docx", "A 29353-2026")</f>
        <v/>
      </c>
    </row>
    <row r="1022" ht="15" customHeight="1">
      <c r="A1022" t="inlineStr">
        <is>
          <t>A 26526-2023</t>
        </is>
      </c>
      <c r="B1022" t="inlineStr">
        <is>
          <t>avverkningsanmälan</t>
        </is>
      </c>
      <c r="C1022" t="inlineStr">
        <is>
          <t>Föryngringsavverkning</t>
        </is>
      </c>
      <c r="D1022" s="1" t="n">
        <v>45092</v>
      </c>
      <c r="E1022" s="1" t="n">
        <v>46326</v>
      </c>
      <c r="F1022" t="inlineStr">
        <is>
          <t>GÄVLEBORGS LÄN</t>
        </is>
      </c>
      <c r="G1022" t="inlineStr">
        <is>
          <t>LJUSDAL</t>
        </is>
      </c>
      <c r="H1022" t="inlineStr">
        <is>
          <t>Sveaskog</t>
        </is>
      </c>
      <c r="I1022" t="n">
        <v>3.6</v>
      </c>
      <c r="J1022" t="n">
        <v>0</v>
      </c>
      <c r="K1022" t="n">
        <v>0</v>
      </c>
      <c r="L1022" t="n">
        <v>1</v>
      </c>
      <c r="M1022" t="n">
        <v>0</v>
      </c>
      <c r="N1022" t="n">
        <v>0</v>
      </c>
      <c r="O1022" t="n">
        <v>0</v>
      </c>
      <c r="P1022" t="n">
        <v>0</v>
      </c>
      <c r="Q1022" t="n">
        <v>1</v>
      </c>
      <c r="R1022" t="n">
        <v>0</v>
      </c>
      <c r="S1022" t="n">
        <v>1</v>
      </c>
      <c r="T1022" t="n">
        <v>1</v>
      </c>
      <c r="U1022" t="n">
        <v>1</v>
      </c>
      <c r="V1022" s="2" t="inlineStr">
        <is>
          <t>Kolflarnlav</t>
        </is>
      </c>
      <c r="W1022">
        <f>HYPERLINK("https://klasma.github.io/Logging_2161/artfynd/A 26526-2023 artfynd.xlsx", "A 26526-2023")</f>
        <v/>
      </c>
      <c r="X1022">
        <f>HYPERLINK("https://klasma.github.io/Logging_2161/kartor/A 26526-2023 karta.png", "A 26526-2023")</f>
        <v/>
      </c>
      <c r="Y1022">
        <f>HYPERLINK("https://klasma.github.io/Logging_2161/kartor_geotiff/A 26526-2023 georefererad karta.tif", "A 26526-2023")</f>
        <v/>
      </c>
      <c r="AA1022">
        <f>HYPERLINK("https://klasma.github.io/Logging_2161/klagomål/A 26526-2023 FSC-klagomål.docx", "A 26526-2023")</f>
        <v/>
      </c>
      <c r="AB1022">
        <f>HYPERLINK("https://klasma.github.io/Logging_2161/klagomålsmail/A 26526-2023 FSC-klagomål mail.docx", "A 26526-2023")</f>
        <v/>
      </c>
      <c r="AC1022">
        <f>HYPERLINK("https://klasma.github.io/Logging_2161/tillsyn/A 26526-2023 tillsynsbegäran.docx", "A 26526-2023")</f>
        <v/>
      </c>
      <c r="AD1022">
        <f>HYPERLINK("https://klasma.github.io/Logging_2161/tillsynsmail/A 26526-2023 tillsynsbegäran mail.docx", "A 26526-2023")</f>
        <v/>
      </c>
    </row>
    <row r="1023" ht="15" customHeight="1">
      <c r="A1023" t="inlineStr">
        <is>
          <t>A 23289-2024</t>
        </is>
      </c>
      <c r="B1023" t="inlineStr">
        <is>
          <t>avverkningsanmälan</t>
        </is>
      </c>
      <c r="C1023" t="inlineStr">
        <is>
          <t>Föryngringsavverkning</t>
        </is>
      </c>
      <c r="D1023" s="1" t="n">
        <v>45453</v>
      </c>
      <c r="E1023" s="1" t="n">
        <v>46326</v>
      </c>
      <c r="F1023" t="inlineStr">
        <is>
          <t>GÄVLEBORGS LÄN</t>
        </is>
      </c>
      <c r="G1023" t="inlineStr">
        <is>
          <t>SANDVIKEN</t>
        </is>
      </c>
      <c r="H1023" t="inlineStr">
        <is>
          <t>Kyrkan</t>
        </is>
      </c>
      <c r="I1023" t="n">
        <v>3.8</v>
      </c>
      <c r="J1023" t="n">
        <v>1</v>
      </c>
      <c r="K1023" t="n">
        <v>0</v>
      </c>
      <c r="L1023" t="n">
        <v>0</v>
      </c>
      <c r="M1023" t="n">
        <v>0</v>
      </c>
      <c r="N1023" t="n">
        <v>0</v>
      </c>
      <c r="O1023" t="n">
        <v>0</v>
      </c>
      <c r="P1023" t="n">
        <v>0</v>
      </c>
      <c r="Q1023" t="n">
        <v>0</v>
      </c>
      <c r="R1023" t="n">
        <v>0</v>
      </c>
      <c r="S1023" t="n">
        <v>1</v>
      </c>
      <c r="T1023" t="n">
        <v>1</v>
      </c>
      <c r="U1023" t="n">
        <v>1</v>
      </c>
      <c r="V1023" s="2" t="inlineStr">
        <is>
          <t>Skogsödla</t>
        </is>
      </c>
      <c r="W1023">
        <f>HYPERLINK("https://klasma.github.io/Logging_2181/artfynd/A 23289-2024 artfynd.xlsx", "A 23289-2024")</f>
        <v/>
      </c>
      <c r="X1023">
        <f>HYPERLINK("https://klasma.github.io/Logging_2181/kartor/A 23289-2024 karta.png", "A 23289-2024")</f>
        <v/>
      </c>
      <c r="Y1023">
        <f>HYPERLINK("https://klasma.github.io/Logging_2181/kartor_geotiff/A 23289-2024 georefererad karta.tif", "A 23289-2024")</f>
        <v/>
      </c>
      <c r="AA1023">
        <f>HYPERLINK("https://klasma.github.io/Logging_2181/klagomål/A 23289-2024 FSC-klagomål.docx", "A 23289-2024")</f>
        <v/>
      </c>
      <c r="AB1023">
        <f>HYPERLINK("https://klasma.github.io/Logging_2181/klagomålsmail/A 23289-2024 FSC-klagomål mail.docx", "A 23289-2024")</f>
        <v/>
      </c>
      <c r="AC1023">
        <f>HYPERLINK("https://klasma.github.io/Logging_2181/tillsyn/A 23289-2024 tillsynsbegäran.docx", "A 23289-2024")</f>
        <v/>
      </c>
      <c r="AD1023">
        <f>HYPERLINK("https://klasma.github.io/Logging_2181/tillsynsmail/A 23289-2024 tillsynsbegäran mail.docx", "A 23289-2024")</f>
        <v/>
      </c>
    </row>
    <row r="1024" ht="15" customHeight="1">
      <c r="A1024" t="inlineStr">
        <is>
          <t>A 30161-2026</t>
        </is>
      </c>
      <c r="B1024" t="inlineStr">
        <is>
          <t>avverkningsanmälan</t>
        </is>
      </c>
      <c r="C1024" t="inlineStr">
        <is>
          <t>Föryngringsavverkning</t>
        </is>
      </c>
      <c r="D1024" s="1" t="n">
        <v>46206</v>
      </c>
      <c r="E1024" s="1" t="n">
        <v>46326</v>
      </c>
      <c r="F1024" t="inlineStr">
        <is>
          <t>GÄVLEBORGS LÄN</t>
        </is>
      </c>
      <c r="G1024" t="inlineStr">
        <is>
          <t>OVANÅKER</t>
        </is>
      </c>
      <c r="H1024" t="inlineStr">
        <is>
          <t>Sveaskog</t>
        </is>
      </c>
      <c r="I1024" t="n">
        <v>7.8</v>
      </c>
      <c r="J1024" t="n">
        <v>1</v>
      </c>
      <c r="K1024" t="n">
        <v>0</v>
      </c>
      <c r="L1024" t="n">
        <v>0</v>
      </c>
      <c r="M1024" t="n">
        <v>0</v>
      </c>
      <c r="N1024" t="n">
        <v>0</v>
      </c>
      <c r="O1024" t="n">
        <v>0</v>
      </c>
      <c r="P1024" t="n">
        <v>0</v>
      </c>
      <c r="Q1024" t="n">
        <v>0</v>
      </c>
      <c r="R1024" t="n">
        <v>0</v>
      </c>
      <c r="S1024" t="n">
        <v>1</v>
      </c>
      <c r="T1024" t="n">
        <v>1</v>
      </c>
      <c r="U1024" t="n">
        <v>1</v>
      </c>
      <c r="V1024" s="2" t="inlineStr">
        <is>
          <t>Nattviol</t>
        </is>
      </c>
      <c r="W1024">
        <f>HYPERLINK("https://klasma.github.io/Logging_2121/artfynd/A 30161-2026 artfynd.xlsx", "A 30161-2026")</f>
        <v/>
      </c>
      <c r="X1024">
        <f>HYPERLINK("https://klasma.github.io/Logging_2121/kartor/A 30161-2026 karta.png", "A 30161-2026")</f>
        <v/>
      </c>
      <c r="Y1024">
        <f>HYPERLINK("https://klasma.github.io/Logging_2121/kartor_geotiff/A 30161-2026 georefererad karta.tif", "A 30161-2026")</f>
        <v/>
      </c>
      <c r="AA1024">
        <f>HYPERLINK("https://klasma.github.io/Logging_2121/klagomål/A 30161-2026 FSC-klagomål.docx", "A 30161-2026")</f>
        <v/>
      </c>
      <c r="AB1024">
        <f>HYPERLINK("https://klasma.github.io/Logging_2121/klagomålsmail/A 30161-2026 FSC-klagomål mail.docx", "A 30161-2026")</f>
        <v/>
      </c>
      <c r="AC1024">
        <f>HYPERLINK("https://klasma.github.io/Logging_2121/tillsyn/A 30161-2026 tillsynsbegäran.docx", "A 30161-2026")</f>
        <v/>
      </c>
      <c r="AD1024">
        <f>HYPERLINK("https://klasma.github.io/Logging_2121/tillsynsmail/A 30161-2026 tillsynsbegäran mail.docx", "A 30161-2026")</f>
        <v/>
      </c>
    </row>
    <row r="1025" ht="15" customHeight="1">
      <c r="A1025" t="inlineStr">
        <is>
          <t>A 23394-2024</t>
        </is>
      </c>
      <c r="B1025" t="inlineStr">
        <is>
          <t>avverkningsanmälan</t>
        </is>
      </c>
      <c r="C1025" t="inlineStr">
        <is>
          <t>Föryngringsavverkning</t>
        </is>
      </c>
      <c r="D1025" s="1" t="n">
        <v>45453</v>
      </c>
      <c r="E1025" s="1" t="n">
        <v>46326</v>
      </c>
      <c r="F1025" t="inlineStr">
        <is>
          <t>GÄVLEBORGS LÄN</t>
        </is>
      </c>
      <c r="G1025" t="inlineStr">
        <is>
          <t>LJUSDAL</t>
        </is>
      </c>
      <c r="I1025" t="n">
        <v>3.3</v>
      </c>
      <c r="J1025" t="n">
        <v>0</v>
      </c>
      <c r="K1025" t="n">
        <v>0</v>
      </c>
      <c r="L1025" t="n">
        <v>1</v>
      </c>
      <c r="M1025" t="n">
        <v>0</v>
      </c>
      <c r="N1025" t="n">
        <v>0</v>
      </c>
      <c r="O1025" t="n">
        <v>0</v>
      </c>
      <c r="P1025" t="n">
        <v>0</v>
      </c>
      <c r="Q1025" t="n">
        <v>1</v>
      </c>
      <c r="R1025" t="n">
        <v>0</v>
      </c>
      <c r="S1025" t="n">
        <v>1</v>
      </c>
      <c r="T1025" t="n">
        <v>1</v>
      </c>
      <c r="U1025" t="n">
        <v>1</v>
      </c>
      <c r="V1025" s="2" t="inlineStr">
        <is>
          <t>Lunglav</t>
        </is>
      </c>
      <c r="W1025">
        <f>HYPERLINK("https://klasma.github.io/Logging_2161/artfynd/A 23394-2024 artfynd.xlsx", "A 23394-2024")</f>
        <v/>
      </c>
      <c r="X1025">
        <f>HYPERLINK("https://klasma.github.io/Logging_2161/kartor/A 23394-2024 karta.png", "A 23394-2024")</f>
        <v/>
      </c>
      <c r="Y1025">
        <f>HYPERLINK("https://klasma.github.io/Logging_2161/kartor_geotiff/A 23394-2024 georefererad karta.tif", "A 23394-2024")</f>
        <v/>
      </c>
      <c r="AA1025">
        <f>HYPERLINK("https://klasma.github.io/Logging_2161/klagomål/A 23394-2024 FSC-klagomål.docx", "A 23394-2024")</f>
        <v/>
      </c>
      <c r="AB1025">
        <f>HYPERLINK("https://klasma.github.io/Logging_2161/klagomålsmail/A 23394-2024 FSC-klagomål mail.docx", "A 23394-2024")</f>
        <v/>
      </c>
      <c r="AC1025">
        <f>HYPERLINK("https://klasma.github.io/Logging_2161/tillsyn/A 23394-2024 tillsynsbegäran.docx", "A 23394-2024")</f>
        <v/>
      </c>
      <c r="AD1025">
        <f>HYPERLINK("https://klasma.github.io/Logging_2161/tillsynsmail/A 23394-2024 tillsynsbegäran mail.docx", "A 23394-2024")</f>
        <v/>
      </c>
    </row>
    <row r="1026" ht="15" customHeight="1">
      <c r="A1026" t="inlineStr">
        <is>
          <t>A 4384-2023</t>
        </is>
      </c>
      <c r="B1026" t="inlineStr">
        <is>
          <t>avverkningsanmälan</t>
        </is>
      </c>
      <c r="C1026" t="inlineStr">
        <is>
          <t>Föryngringsavverkning</t>
        </is>
      </c>
      <c r="D1026" s="1" t="n">
        <v>44955</v>
      </c>
      <c r="E1026" s="1" t="n">
        <v>46326</v>
      </c>
      <c r="F1026" t="inlineStr">
        <is>
          <t>GÄVLEBORGS LÄN</t>
        </is>
      </c>
      <c r="G1026" t="inlineStr">
        <is>
          <t>SANDVIKEN</t>
        </is>
      </c>
      <c r="I1026" t="n">
        <v>1.4</v>
      </c>
      <c r="J1026" t="n">
        <v>1</v>
      </c>
      <c r="K1026" t="n">
        <v>0</v>
      </c>
      <c r="L1026" t="n">
        <v>0</v>
      </c>
      <c r="M1026" t="n">
        <v>0</v>
      </c>
      <c r="N1026" t="n">
        <v>0</v>
      </c>
      <c r="O1026" t="n">
        <v>0</v>
      </c>
      <c r="P1026" t="n">
        <v>0</v>
      </c>
      <c r="Q1026" t="n">
        <v>0</v>
      </c>
      <c r="R1026" t="n">
        <v>0</v>
      </c>
      <c r="S1026" t="n">
        <v>1</v>
      </c>
      <c r="T1026" t="n">
        <v>1</v>
      </c>
      <c r="U1026" t="n">
        <v>1</v>
      </c>
      <c r="V1026" s="2" t="inlineStr">
        <is>
          <t>Sångsvan</t>
        </is>
      </c>
      <c r="W1026">
        <f>HYPERLINK("https://klasma.github.io/Logging_2181/artfynd/A 4384-2023 artfynd.xlsx", "A 4384-2023")</f>
        <v/>
      </c>
      <c r="X1026">
        <f>HYPERLINK("https://klasma.github.io/Logging_2181/kartor/A 4384-2023 karta.png", "A 4384-2023")</f>
        <v/>
      </c>
      <c r="Y1026">
        <f>HYPERLINK("https://klasma.github.io/Logging_2181/kartor_geotiff/A 4384-2023 georefererad karta.tif", "A 4384-2023")</f>
        <v/>
      </c>
      <c r="AA1026">
        <f>HYPERLINK("https://klasma.github.io/Logging_2181/klagomål/A 4384-2023 FSC-klagomål.docx", "A 4384-2023")</f>
        <v/>
      </c>
      <c r="AB1026">
        <f>HYPERLINK("https://klasma.github.io/Logging_2181/klagomålsmail/A 4384-2023 FSC-klagomål mail.docx", "A 4384-2023")</f>
        <v/>
      </c>
      <c r="AC1026">
        <f>HYPERLINK("https://klasma.github.io/Logging_2181/tillsyn/A 4384-2023 tillsynsbegäran.docx", "A 4384-2023")</f>
        <v/>
      </c>
      <c r="AD1026">
        <f>HYPERLINK("https://klasma.github.io/Logging_2181/tillsynsmail/A 4384-2023 tillsynsbegäran mail.docx", "A 4384-2023")</f>
        <v/>
      </c>
      <c r="AE1026">
        <f>HYPERLINK("https://klasma.github.io/Logging_2181/fåglar/A 4384-2023 prioriterade fågelarter.docx", "A 4384-2023")</f>
        <v/>
      </c>
    </row>
    <row r="1027" ht="15" customHeight="1">
      <c r="A1027" t="inlineStr">
        <is>
          <t>A 30168-2026</t>
        </is>
      </c>
      <c r="B1027" t="inlineStr">
        <is>
          <t>avverkningsanmälan</t>
        </is>
      </c>
      <c r="C1027" t="inlineStr">
        <is>
          <t>Föryngringsavverkning</t>
        </is>
      </c>
      <c r="D1027" s="1" t="n">
        <v>46206</v>
      </c>
      <c r="E1027" s="1" t="n">
        <v>46326</v>
      </c>
      <c r="F1027" t="inlineStr">
        <is>
          <t>GÄVLEBORGS LÄN</t>
        </is>
      </c>
      <c r="G1027" t="inlineStr">
        <is>
          <t>LJUSDAL</t>
        </is>
      </c>
      <c r="H1027" t="inlineStr">
        <is>
          <t>Sveaskog</t>
        </is>
      </c>
      <c r="I1027" t="n">
        <v>8.5</v>
      </c>
      <c r="J1027" t="n">
        <v>1</v>
      </c>
      <c r="K1027" t="n">
        <v>0</v>
      </c>
      <c r="L1027" t="n">
        <v>0</v>
      </c>
      <c r="M1027" t="n">
        <v>0</v>
      </c>
      <c r="N1027" t="n">
        <v>0</v>
      </c>
      <c r="O1027" t="n">
        <v>0</v>
      </c>
      <c r="P1027" t="n">
        <v>0</v>
      </c>
      <c r="Q1027" t="n">
        <v>0</v>
      </c>
      <c r="R1027" t="n">
        <v>0</v>
      </c>
      <c r="S1027" t="n">
        <v>1</v>
      </c>
      <c r="T1027" t="n">
        <v>1</v>
      </c>
      <c r="U1027" t="n">
        <v>0</v>
      </c>
      <c r="V1027" s="2" t="inlineStr">
        <is>
          <t>Fläcknycklar</t>
        </is>
      </c>
      <c r="W1027">
        <f>HYPERLINK("https://klasma.github.io/Logging_2161/artfynd/A 30168-2026 artfynd.xlsx", "A 30168-2026")</f>
        <v/>
      </c>
      <c r="X1027">
        <f>HYPERLINK("https://klasma.github.io/Logging_2161/kartor/A 30168-2026 karta.png", "A 30168-2026")</f>
        <v/>
      </c>
      <c r="Y1027">
        <f>HYPERLINK("https://klasma.github.io/Logging_2161/kartor_geotiff/A 30168-2026 georefererad karta.tif", "A 30168-2026")</f>
        <v/>
      </c>
      <c r="AA1027">
        <f>HYPERLINK("https://klasma.github.io/Logging_2161/klagomål/A 30168-2026 FSC-klagomål.docx", "A 30168-2026")</f>
        <v/>
      </c>
      <c r="AB1027">
        <f>HYPERLINK("https://klasma.github.io/Logging_2161/klagomålsmail/A 30168-2026 FSC-klagomål mail.docx", "A 30168-2026")</f>
        <v/>
      </c>
      <c r="AC1027">
        <f>HYPERLINK("https://klasma.github.io/Logging_2161/tillsyn/A 30168-2026 tillsynsbegäran.docx", "A 30168-2026")</f>
        <v/>
      </c>
      <c r="AD1027">
        <f>HYPERLINK("https://klasma.github.io/Logging_2161/tillsynsmail/A 30168-2026 tillsynsbegäran mail.docx", "A 30168-2026")</f>
        <v/>
      </c>
    </row>
    <row r="1028" ht="15" customHeight="1">
      <c r="A1028" t="inlineStr">
        <is>
          <t>A 58074-2024</t>
        </is>
      </c>
      <c r="B1028" t="inlineStr">
        <is>
          <t>avverkningsanmälan</t>
        </is>
      </c>
      <c r="C1028" t="inlineStr">
        <is>
          <t>Föryngringsavverkning</t>
        </is>
      </c>
      <c r="D1028" s="1" t="n">
        <v>45632</v>
      </c>
      <c r="E1028" s="1" t="n">
        <v>46326</v>
      </c>
      <c r="F1028" t="inlineStr">
        <is>
          <t>GÄVLEBORGS LÄN</t>
        </is>
      </c>
      <c r="G1028" t="inlineStr">
        <is>
          <t>SÖDERHAMN</t>
        </is>
      </c>
      <c r="H1028" t="inlineStr">
        <is>
          <t>Bergvik skog väst AB</t>
        </is>
      </c>
      <c r="I1028" t="n">
        <v>1.9</v>
      </c>
      <c r="J1028" t="n">
        <v>0</v>
      </c>
      <c r="K1028" t="n">
        <v>0</v>
      </c>
      <c r="L1028" t="n">
        <v>1</v>
      </c>
      <c r="M1028" t="n">
        <v>0</v>
      </c>
      <c r="N1028" t="n">
        <v>0</v>
      </c>
      <c r="O1028" t="n">
        <v>0</v>
      </c>
      <c r="P1028" t="n">
        <v>0</v>
      </c>
      <c r="Q1028" t="n">
        <v>1</v>
      </c>
      <c r="R1028" t="n">
        <v>0</v>
      </c>
      <c r="S1028" t="n">
        <v>1</v>
      </c>
      <c r="T1028" t="n">
        <v>1</v>
      </c>
      <c r="U1028" t="n">
        <v>1</v>
      </c>
      <c r="V1028" s="2" t="inlineStr">
        <is>
          <t>Doftskinn</t>
        </is>
      </c>
      <c r="W1028">
        <f>HYPERLINK("https://klasma.github.io/Logging_2182/artfynd/A 58074-2024 artfynd.xlsx", "A 58074-2024")</f>
        <v/>
      </c>
      <c r="X1028">
        <f>HYPERLINK("https://klasma.github.io/Logging_2182/kartor/A 58074-2024 karta.png", "A 58074-2024")</f>
        <v/>
      </c>
      <c r="Y1028">
        <f>HYPERLINK("https://klasma.github.io/Logging_2182/kartor_geotiff/A 58074-2024 georefererad karta.tif", "A 58074-2024")</f>
        <v/>
      </c>
      <c r="AA1028">
        <f>HYPERLINK("https://klasma.github.io/Logging_2182/klagomål/A 58074-2024 FSC-klagomål.docx", "A 58074-2024")</f>
        <v/>
      </c>
      <c r="AB1028">
        <f>HYPERLINK("https://klasma.github.io/Logging_2182/klagomålsmail/A 58074-2024 FSC-klagomål mail.docx", "A 58074-2024")</f>
        <v/>
      </c>
      <c r="AC1028">
        <f>HYPERLINK("https://klasma.github.io/Logging_2182/tillsyn/A 58074-2024 tillsynsbegäran.docx", "A 58074-2024")</f>
        <v/>
      </c>
      <c r="AD1028">
        <f>HYPERLINK("https://klasma.github.io/Logging_2182/tillsynsmail/A 58074-2024 tillsynsbegäran mail.docx", "A 58074-2024")</f>
        <v/>
      </c>
    </row>
    <row r="1029" ht="15" customHeight="1">
      <c r="A1029" t="inlineStr">
        <is>
          <t>A 37927-2022</t>
        </is>
      </c>
      <c r="B1029" t="inlineStr">
        <is>
          <t>avverkningsanmälan</t>
        </is>
      </c>
      <c r="C1029" t="inlineStr">
        <is>
          <t>Föryngringsavverkning</t>
        </is>
      </c>
      <c r="D1029" s="1" t="n">
        <v>44811</v>
      </c>
      <c r="E1029" s="1" t="n">
        <v>46326</v>
      </c>
      <c r="F1029" t="inlineStr">
        <is>
          <t>GÄVLEBORGS LÄN</t>
        </is>
      </c>
      <c r="G1029" t="inlineStr">
        <is>
          <t>GÄVLE</t>
        </is>
      </c>
      <c r="I1029" t="n">
        <v>1.6</v>
      </c>
      <c r="J1029" t="n">
        <v>1</v>
      </c>
      <c r="K1029" t="n">
        <v>0</v>
      </c>
      <c r="L1029" t="n">
        <v>0</v>
      </c>
      <c r="M1029" t="n">
        <v>1</v>
      </c>
      <c r="N1029" t="n">
        <v>0</v>
      </c>
      <c r="O1029" t="n">
        <v>0</v>
      </c>
      <c r="P1029" t="n">
        <v>0</v>
      </c>
      <c r="Q1029" t="n">
        <v>1</v>
      </c>
      <c r="R1029" t="n">
        <v>1</v>
      </c>
      <c r="S1029" t="n">
        <v>1</v>
      </c>
      <c r="T1029" t="n">
        <v>10</v>
      </c>
      <c r="U1029" t="n">
        <v>10</v>
      </c>
      <c r="V1029" s="2" t="inlineStr">
        <is>
          <t>Knärot</t>
        </is>
      </c>
      <c r="W1029">
        <f>HYPERLINK("https://klasma.github.io/Logging_2180/artfynd/A 37927-2022 artfynd.xlsx", "A 37927-2022")</f>
        <v/>
      </c>
      <c r="X1029">
        <f>HYPERLINK("https://klasma.github.io/Logging_2180/kartor/A 37927-2022 karta.png", "A 37927-2022")</f>
        <v/>
      </c>
      <c r="Y1029">
        <f>HYPERLINK("https://klasma.github.io/Logging_2180/kartor_geotiff/A 37927-2022 georefererad karta.tif", "A 37927-2022")</f>
        <v/>
      </c>
      <c r="Z1029">
        <f>HYPERLINK("https://klasma.github.io/Logging_2180/knärot/A 37927-2022 karta knärot.png", "A 37927-2022")</f>
        <v/>
      </c>
      <c r="AA1029">
        <f>HYPERLINK("https://klasma.github.io/Logging_2180/klagomål/A 37927-2022 FSC-klagomål.docx", "A 37927-2022")</f>
        <v/>
      </c>
      <c r="AB1029">
        <f>HYPERLINK("https://klasma.github.io/Logging_2180/klagomålsmail/A 37927-2022 FSC-klagomål mail.docx", "A 37927-2022")</f>
        <v/>
      </c>
      <c r="AC1029">
        <f>HYPERLINK("https://klasma.github.io/Logging_2180/tillsyn/A 37927-2022 tillsynsbegäran.docx", "A 37927-2022")</f>
        <v/>
      </c>
      <c r="AD1029">
        <f>HYPERLINK("https://klasma.github.io/Logging_2180/tillsynsmail/A 37927-2022 tillsynsbegäran mail.docx", "A 37927-2022")</f>
        <v/>
      </c>
    </row>
    <row r="1030" ht="15" customHeight="1">
      <c r="A1030" t="inlineStr">
        <is>
          <t>A 30115-2024</t>
        </is>
      </c>
      <c r="B1030" t="inlineStr">
        <is>
          <t>avverkningsanmälan</t>
        </is>
      </c>
      <c r="C1030" t="inlineStr">
        <is>
          <t>Föryngringsavverkning</t>
        </is>
      </c>
      <c r="D1030" s="1" t="n">
        <v>45489</v>
      </c>
      <c r="E1030" s="1" t="n">
        <v>46326</v>
      </c>
      <c r="F1030" t="inlineStr">
        <is>
          <t>GÄVLEBORGS LÄN</t>
        </is>
      </c>
      <c r="G1030" t="inlineStr">
        <is>
          <t>LJUSDAL</t>
        </is>
      </c>
      <c r="H1030" t="inlineStr">
        <is>
          <t>Sveaskog</t>
        </is>
      </c>
      <c r="I1030" t="n">
        <v>3.7</v>
      </c>
      <c r="J1030" t="n">
        <v>0</v>
      </c>
      <c r="K1030" t="n">
        <v>0</v>
      </c>
      <c r="L1030" t="n">
        <v>1</v>
      </c>
      <c r="M1030" t="n">
        <v>0</v>
      </c>
      <c r="N1030" t="n">
        <v>0</v>
      </c>
      <c r="O1030" t="n">
        <v>0</v>
      </c>
      <c r="P1030" t="n">
        <v>0</v>
      </c>
      <c r="Q1030" t="n">
        <v>1</v>
      </c>
      <c r="R1030" t="n">
        <v>0</v>
      </c>
      <c r="S1030" t="n">
        <v>1</v>
      </c>
      <c r="T1030" t="n">
        <v>1</v>
      </c>
      <c r="U1030" t="n">
        <v>1</v>
      </c>
      <c r="V1030" s="2" t="inlineStr">
        <is>
          <t>Kolflarnlav</t>
        </is>
      </c>
      <c r="W1030">
        <f>HYPERLINK("https://klasma.github.io/Logging_2161/artfynd/A 30115-2024 artfynd.xlsx", "A 30115-2024")</f>
        <v/>
      </c>
      <c r="X1030">
        <f>HYPERLINK("https://klasma.github.io/Logging_2161/kartor/A 30115-2024 karta.png", "A 30115-2024")</f>
        <v/>
      </c>
      <c r="Y1030">
        <f>HYPERLINK("https://klasma.github.io/Logging_2161/kartor_geotiff/A 30115-2024 georefererad karta.tif", "A 30115-2024")</f>
        <v/>
      </c>
      <c r="AA1030">
        <f>HYPERLINK("https://klasma.github.io/Logging_2161/klagomål/A 30115-2024 FSC-klagomål.docx", "A 30115-2024")</f>
        <v/>
      </c>
      <c r="AB1030">
        <f>HYPERLINK("https://klasma.github.io/Logging_2161/klagomålsmail/A 30115-2024 FSC-klagomål mail.docx", "A 30115-2024")</f>
        <v/>
      </c>
      <c r="AC1030">
        <f>HYPERLINK("https://klasma.github.io/Logging_2161/tillsyn/A 30115-2024 tillsynsbegäran.docx", "A 30115-2024")</f>
        <v/>
      </c>
      <c r="AD1030">
        <f>HYPERLINK("https://klasma.github.io/Logging_2161/tillsynsmail/A 30115-2024 tillsynsbegäran mail.docx", "A 30115-2024")</f>
        <v/>
      </c>
    </row>
    <row r="1031" ht="15" customHeight="1">
      <c r="A1031" t="inlineStr">
        <is>
          <t>A 31448-2026</t>
        </is>
      </c>
      <c r="B1031" t="inlineStr">
        <is>
          <t>avverkningsanmälan</t>
        </is>
      </c>
      <c r="C1031" t="inlineStr">
        <is>
          <t>Föryngringsavverkning</t>
        </is>
      </c>
      <c r="D1031" s="1" t="n">
        <v>46217</v>
      </c>
      <c r="E1031" s="1" t="n">
        <v>46326</v>
      </c>
      <c r="F1031" t="inlineStr">
        <is>
          <t>GÄVLEBORGS LÄN</t>
        </is>
      </c>
      <c r="G1031" t="inlineStr">
        <is>
          <t>GÄVLE</t>
        </is>
      </c>
      <c r="H1031" t="inlineStr">
        <is>
          <t>Bergvik skog väst AB</t>
        </is>
      </c>
      <c r="I1031" t="n">
        <v>6.8</v>
      </c>
      <c r="J1031" t="n">
        <v>0</v>
      </c>
      <c r="K1031" t="n">
        <v>0</v>
      </c>
      <c r="L1031" t="n">
        <v>1</v>
      </c>
      <c r="M1031" t="n">
        <v>0</v>
      </c>
      <c r="N1031" t="n">
        <v>0</v>
      </c>
      <c r="O1031" t="n">
        <v>0</v>
      </c>
      <c r="P1031" t="n">
        <v>0</v>
      </c>
      <c r="Q1031" t="n">
        <v>1</v>
      </c>
      <c r="R1031" t="n">
        <v>0</v>
      </c>
      <c r="S1031" t="n">
        <v>1</v>
      </c>
      <c r="T1031" t="n">
        <v>1</v>
      </c>
      <c r="U1031" t="n">
        <v>0</v>
      </c>
      <c r="V1031" s="2" t="inlineStr">
        <is>
          <t>Mindre tåtelsmygare</t>
        </is>
      </c>
      <c r="W1031">
        <f>HYPERLINK("https://klasma.github.io/Logging_2180/artfynd/A 31448-2026 artfynd.xlsx", "A 31448-2026")</f>
        <v/>
      </c>
      <c r="X1031">
        <f>HYPERLINK("https://klasma.github.io/Logging_2180/kartor/A 31448-2026 karta.png", "A 31448-2026")</f>
        <v/>
      </c>
      <c r="Y1031">
        <f>HYPERLINK("https://klasma.github.io/Logging_2180/kartor_geotiff/A 31448-2026 georefererad karta.tif", "A 31448-2026")</f>
        <v/>
      </c>
      <c r="AA1031">
        <f>HYPERLINK("https://klasma.github.io/Logging_2180/klagomål/A 31448-2026 FSC-klagomål.docx", "A 31448-2026")</f>
        <v/>
      </c>
      <c r="AB1031">
        <f>HYPERLINK("https://klasma.github.io/Logging_2180/klagomålsmail/A 31448-2026 FSC-klagomål mail.docx", "A 31448-2026")</f>
        <v/>
      </c>
      <c r="AC1031">
        <f>HYPERLINK("https://klasma.github.io/Logging_2180/tillsyn/A 31448-2026 tillsynsbegäran.docx", "A 31448-2026")</f>
        <v/>
      </c>
      <c r="AD1031">
        <f>HYPERLINK("https://klasma.github.io/Logging_2180/tillsynsmail/A 31448-2026 tillsynsbegäran mail.docx", "A 31448-2026")</f>
        <v/>
      </c>
    </row>
    <row r="1032" ht="15" customHeight="1">
      <c r="A1032" t="inlineStr">
        <is>
          <t>A 31185-2026</t>
        </is>
      </c>
      <c r="B1032" t="inlineStr">
        <is>
          <t>avverkningsanmälan</t>
        </is>
      </c>
      <c r="C1032" t="inlineStr">
        <is>
          <t>Föryngringsavverkning</t>
        </is>
      </c>
      <c r="D1032" s="1" t="n">
        <v>46217</v>
      </c>
      <c r="E1032" s="1" t="n">
        <v>46326</v>
      </c>
      <c r="F1032" t="inlineStr">
        <is>
          <t>GÄVLEBORGS LÄN</t>
        </is>
      </c>
      <c r="G1032" t="inlineStr">
        <is>
          <t>HOFORS</t>
        </is>
      </c>
      <c r="H1032" t="inlineStr">
        <is>
          <t>Sveaskog</t>
        </is>
      </c>
      <c r="I1032" t="n">
        <v>6.8</v>
      </c>
      <c r="J1032" t="n">
        <v>1</v>
      </c>
      <c r="K1032" t="n">
        <v>0</v>
      </c>
      <c r="L1032" t="n">
        <v>0</v>
      </c>
      <c r="M1032" t="n">
        <v>0</v>
      </c>
      <c r="N1032" t="n">
        <v>0</v>
      </c>
      <c r="O1032" t="n">
        <v>0</v>
      </c>
      <c r="P1032" t="n">
        <v>0</v>
      </c>
      <c r="Q1032" t="n">
        <v>0</v>
      </c>
      <c r="R1032" t="n">
        <v>0</v>
      </c>
      <c r="S1032" t="n">
        <v>1</v>
      </c>
      <c r="T1032" t="n">
        <v>1</v>
      </c>
      <c r="U1032" t="n">
        <v>0</v>
      </c>
      <c r="V1032" s="2" t="inlineStr">
        <is>
          <t>Fläcknycklar</t>
        </is>
      </c>
      <c r="W1032">
        <f>HYPERLINK("https://klasma.github.io/Logging_2104/artfynd/A 31185-2026 artfynd.xlsx", "A 31185-2026")</f>
        <v/>
      </c>
      <c r="X1032">
        <f>HYPERLINK("https://klasma.github.io/Logging_2104/kartor/A 31185-2026 karta.png", "A 31185-2026")</f>
        <v/>
      </c>
      <c r="Y1032">
        <f>HYPERLINK("https://klasma.github.io/Logging_2104/kartor_geotiff/A 31185-2026 georefererad karta.tif", "A 31185-2026")</f>
        <v/>
      </c>
      <c r="AA1032">
        <f>HYPERLINK("https://klasma.github.io/Logging_2104/klagomål/A 31185-2026 FSC-klagomål.docx", "A 31185-2026")</f>
        <v/>
      </c>
      <c r="AB1032">
        <f>HYPERLINK("https://klasma.github.io/Logging_2104/klagomålsmail/A 31185-2026 FSC-klagomål mail.docx", "A 31185-2026")</f>
        <v/>
      </c>
      <c r="AC1032">
        <f>HYPERLINK("https://klasma.github.io/Logging_2104/tillsyn/A 31185-2026 tillsynsbegäran.docx", "A 31185-2026")</f>
        <v/>
      </c>
      <c r="AD1032">
        <f>HYPERLINK("https://klasma.github.io/Logging_2104/tillsynsmail/A 31185-2026 tillsynsbegäran mail.docx", "A 31185-2026")</f>
        <v/>
      </c>
    </row>
    <row r="1033" ht="15" customHeight="1">
      <c r="A1033" t="inlineStr">
        <is>
          <t>A 53015-2024</t>
        </is>
      </c>
      <c r="B1033" t="inlineStr">
        <is>
          <t>avverkningsanmälan</t>
        </is>
      </c>
      <c r="C1033" t="inlineStr">
        <is>
          <t>Föryngringsavverkning</t>
        </is>
      </c>
      <c r="D1033" s="1" t="n">
        <v>45611</v>
      </c>
      <c r="E1033" s="1" t="n">
        <v>46326</v>
      </c>
      <c r="F1033" t="inlineStr">
        <is>
          <t>GÄVLEBORGS LÄN</t>
        </is>
      </c>
      <c r="G1033" t="inlineStr">
        <is>
          <t>HUDIKSVALL</t>
        </is>
      </c>
      <c r="I1033" t="n">
        <v>21</v>
      </c>
      <c r="J1033" t="n">
        <v>0</v>
      </c>
      <c r="K1033" t="n">
        <v>1</v>
      </c>
      <c r="L1033" t="n">
        <v>0</v>
      </c>
      <c r="M1033" t="n">
        <v>0</v>
      </c>
      <c r="N1033" t="n">
        <v>0</v>
      </c>
      <c r="O1033" t="n">
        <v>0</v>
      </c>
      <c r="P1033" t="n">
        <v>0</v>
      </c>
      <c r="Q1033" t="n">
        <v>0</v>
      </c>
      <c r="R1033" t="n">
        <v>0</v>
      </c>
      <c r="S1033" t="n">
        <v>1</v>
      </c>
      <c r="T1033" t="n">
        <v>1</v>
      </c>
      <c r="U1033" t="n">
        <v>1</v>
      </c>
      <c r="V1033" s="2" t="inlineStr">
        <is>
          <t>Stuplav</t>
        </is>
      </c>
      <c r="W1033">
        <f>HYPERLINK("https://klasma.github.io/Logging_2184/artfynd/A 53015-2024 artfynd.xlsx", "A 53015-2024")</f>
        <v/>
      </c>
      <c r="X1033">
        <f>HYPERLINK("https://klasma.github.io/Logging_2184/kartor/A 53015-2024 karta.png", "A 53015-2024")</f>
        <v/>
      </c>
      <c r="Y1033">
        <f>HYPERLINK("https://klasma.github.io/Logging_2184/kartor_geotiff/A 53015-2024 georefererad karta.tif", "A 53015-2024")</f>
        <v/>
      </c>
      <c r="AA1033">
        <f>HYPERLINK("https://klasma.github.io/Logging_2184/klagomål/A 53015-2024 FSC-klagomål.docx", "A 53015-2024")</f>
        <v/>
      </c>
      <c r="AB1033">
        <f>HYPERLINK("https://klasma.github.io/Logging_2184/klagomålsmail/A 53015-2024 FSC-klagomål mail.docx", "A 53015-2024")</f>
        <v/>
      </c>
      <c r="AC1033">
        <f>HYPERLINK("https://klasma.github.io/Logging_2184/tillsyn/A 53015-2024 tillsynsbegäran.docx", "A 53015-2024")</f>
        <v/>
      </c>
      <c r="AD1033">
        <f>HYPERLINK("https://klasma.github.io/Logging_2184/tillsynsmail/A 53015-2024 tillsynsbegäran mail.docx", "A 53015-2024")</f>
        <v/>
      </c>
    </row>
    <row r="1034" ht="15" customHeight="1">
      <c r="A1034" t="inlineStr">
        <is>
          <t>A 31184-2026</t>
        </is>
      </c>
      <c r="B1034" t="inlineStr">
        <is>
          <t>avverkningsanmälan</t>
        </is>
      </c>
      <c r="C1034" t="inlineStr">
        <is>
          <t>Föryngringsavverkning</t>
        </is>
      </c>
      <c r="D1034" s="1" t="n">
        <v>46217</v>
      </c>
      <c r="E1034" s="1" t="n">
        <v>46326</v>
      </c>
      <c r="F1034" t="inlineStr">
        <is>
          <t>GÄVLEBORGS LÄN</t>
        </is>
      </c>
      <c r="G1034" t="inlineStr">
        <is>
          <t>HOFORS</t>
        </is>
      </c>
      <c r="H1034" t="inlineStr">
        <is>
          <t>Sveaskog</t>
        </is>
      </c>
      <c r="I1034" t="n">
        <v>7</v>
      </c>
      <c r="J1034" t="n">
        <v>1</v>
      </c>
      <c r="K1034" t="n">
        <v>0</v>
      </c>
      <c r="L1034" t="n">
        <v>0</v>
      </c>
      <c r="M1034" t="n">
        <v>0</v>
      </c>
      <c r="N1034" t="n">
        <v>0</v>
      </c>
      <c r="O1034" t="n">
        <v>0</v>
      </c>
      <c r="P1034" t="n">
        <v>0</v>
      </c>
      <c r="Q1034" t="n">
        <v>0</v>
      </c>
      <c r="R1034" t="n">
        <v>0</v>
      </c>
      <c r="S1034" t="n">
        <v>1</v>
      </c>
      <c r="T1034" t="n">
        <v>1</v>
      </c>
      <c r="U1034" t="n">
        <v>0</v>
      </c>
      <c r="V1034" s="2" t="inlineStr">
        <is>
          <t>Fläcknycklar</t>
        </is>
      </c>
      <c r="W1034">
        <f>HYPERLINK("https://klasma.github.io/Logging_2104/artfynd/A 31184-2026 artfynd.xlsx", "A 31184-2026")</f>
        <v/>
      </c>
      <c r="X1034">
        <f>HYPERLINK("https://klasma.github.io/Logging_2104/kartor/A 31184-2026 karta.png", "A 31184-2026")</f>
        <v/>
      </c>
      <c r="Y1034">
        <f>HYPERLINK("https://klasma.github.io/Logging_2104/kartor_geotiff/A 31184-2026 georefererad karta.tif", "A 31184-2026")</f>
        <v/>
      </c>
      <c r="AA1034">
        <f>HYPERLINK("https://klasma.github.io/Logging_2104/klagomål/A 31184-2026 FSC-klagomål.docx", "A 31184-2026")</f>
        <v/>
      </c>
      <c r="AB1034">
        <f>HYPERLINK("https://klasma.github.io/Logging_2104/klagomålsmail/A 31184-2026 FSC-klagomål mail.docx", "A 31184-2026")</f>
        <v/>
      </c>
      <c r="AC1034">
        <f>HYPERLINK("https://klasma.github.io/Logging_2104/tillsyn/A 31184-2026 tillsynsbegäran.docx", "A 31184-2026")</f>
        <v/>
      </c>
      <c r="AD1034">
        <f>HYPERLINK("https://klasma.github.io/Logging_2104/tillsynsmail/A 31184-2026 tillsynsbegäran mail.docx", "A 31184-2026")</f>
        <v/>
      </c>
    </row>
    <row r="1035" ht="15" customHeight="1">
      <c r="A1035" t="inlineStr">
        <is>
          <t>A 31311-2026</t>
        </is>
      </c>
      <c r="B1035" t="inlineStr">
        <is>
          <t>avverkningsanmälan</t>
        </is>
      </c>
      <c r="C1035" t="inlineStr">
        <is>
          <t>Föryngringsavverkning</t>
        </is>
      </c>
      <c r="D1035" s="1" t="n">
        <v>46219</v>
      </c>
      <c r="E1035" s="1" t="n">
        <v>46326</v>
      </c>
      <c r="F1035" t="inlineStr">
        <is>
          <t>GÄVLEBORGS LÄN</t>
        </is>
      </c>
      <c r="G1035" t="inlineStr">
        <is>
          <t>SANDVIKEN</t>
        </is>
      </c>
      <c r="I1035" t="n">
        <v>1.7</v>
      </c>
      <c r="J1035" t="n">
        <v>1</v>
      </c>
      <c r="K1035" t="n">
        <v>0</v>
      </c>
      <c r="L1035" t="n">
        <v>0</v>
      </c>
      <c r="M1035" t="n">
        <v>0</v>
      </c>
      <c r="N1035" t="n">
        <v>0</v>
      </c>
      <c r="O1035" t="n">
        <v>0</v>
      </c>
      <c r="P1035" t="n">
        <v>0</v>
      </c>
      <c r="Q1035" t="n">
        <v>0</v>
      </c>
      <c r="R1035" t="n">
        <v>0</v>
      </c>
      <c r="S1035" t="n">
        <v>1</v>
      </c>
      <c r="T1035" t="n">
        <v>1</v>
      </c>
      <c r="U1035" t="n">
        <v>0</v>
      </c>
      <c r="V1035" s="2" t="inlineStr">
        <is>
          <t>Vanlig padda</t>
        </is>
      </c>
      <c r="W1035">
        <f>HYPERLINK("https://klasma.github.io/Logging_2181/artfynd/A 31311-2026 artfynd.xlsx", "A 31311-2026")</f>
        <v/>
      </c>
      <c r="X1035">
        <f>HYPERLINK("https://klasma.github.io/Logging_2181/kartor/A 31311-2026 karta.png", "A 31311-2026")</f>
        <v/>
      </c>
      <c r="Y1035">
        <f>HYPERLINK("https://klasma.github.io/Logging_2181/kartor_geotiff/A 31311-2026 georefererad karta.tif", "A 31311-2026")</f>
        <v/>
      </c>
      <c r="AA1035">
        <f>HYPERLINK("https://klasma.github.io/Logging_2181/klagomål/A 31311-2026 FSC-klagomål.docx", "A 31311-2026")</f>
        <v/>
      </c>
      <c r="AB1035">
        <f>HYPERLINK("https://klasma.github.io/Logging_2181/klagomålsmail/A 31311-2026 FSC-klagomål mail.docx", "A 31311-2026")</f>
        <v/>
      </c>
      <c r="AC1035">
        <f>HYPERLINK("https://klasma.github.io/Logging_2181/tillsyn/A 31311-2026 tillsynsbegäran.docx", "A 31311-2026")</f>
        <v/>
      </c>
      <c r="AD1035">
        <f>HYPERLINK("https://klasma.github.io/Logging_2181/tillsynsmail/A 31311-2026 tillsynsbegäran mail.docx", "A 31311-2026")</f>
        <v/>
      </c>
    </row>
    <row r="1036" ht="15" customHeight="1">
      <c r="A1036" t="inlineStr">
        <is>
          <t>A 53286-2023</t>
        </is>
      </c>
      <c r="B1036" t="inlineStr">
        <is>
          <t>avverkningsanmälan</t>
        </is>
      </c>
      <c r="C1036" t="inlineStr">
        <is>
          <t>Föryngringsavverkning</t>
        </is>
      </c>
      <c r="D1036" s="1" t="n">
        <v>45229</v>
      </c>
      <c r="E1036" s="1" t="n">
        <v>46326</v>
      </c>
      <c r="F1036" t="inlineStr">
        <is>
          <t>GÄVLEBORGS LÄN</t>
        </is>
      </c>
      <c r="G1036" t="inlineStr">
        <is>
          <t>LJUSDAL</t>
        </is>
      </c>
      <c r="H1036" t="inlineStr">
        <is>
          <t>Sveaskog</t>
        </is>
      </c>
      <c r="I1036" t="n">
        <v>8</v>
      </c>
      <c r="J1036" t="n">
        <v>0</v>
      </c>
      <c r="K1036" t="n">
        <v>0</v>
      </c>
      <c r="L1036" t="n">
        <v>1</v>
      </c>
      <c r="M1036" t="n">
        <v>0</v>
      </c>
      <c r="N1036" t="n">
        <v>0</v>
      </c>
      <c r="O1036" t="n">
        <v>0</v>
      </c>
      <c r="P1036" t="n">
        <v>0</v>
      </c>
      <c r="Q1036" t="n">
        <v>1</v>
      </c>
      <c r="R1036" t="n">
        <v>0</v>
      </c>
      <c r="S1036" t="n">
        <v>1</v>
      </c>
      <c r="T1036" t="n">
        <v>1</v>
      </c>
      <c r="U1036" t="n">
        <v>1</v>
      </c>
      <c r="V1036" s="2" t="inlineStr">
        <is>
          <t>Kolflarnlav</t>
        </is>
      </c>
      <c r="W1036">
        <f>HYPERLINK("https://klasma.github.io/Logging_2161/artfynd/A 53286-2023 artfynd.xlsx", "A 53286-2023")</f>
        <v/>
      </c>
      <c r="X1036">
        <f>HYPERLINK("https://klasma.github.io/Logging_2161/kartor/A 53286-2023 karta.png", "A 53286-2023")</f>
        <v/>
      </c>
      <c r="Y1036">
        <f>HYPERLINK("https://klasma.github.io/Logging_2161/kartor_geotiff/A 53286-2023 georefererad karta.tif", "A 53286-2023")</f>
        <v/>
      </c>
      <c r="AA1036">
        <f>HYPERLINK("https://klasma.github.io/Logging_2161/klagomål/A 53286-2023 FSC-klagomål.docx", "A 53286-2023")</f>
        <v/>
      </c>
      <c r="AB1036">
        <f>HYPERLINK("https://klasma.github.io/Logging_2161/klagomålsmail/A 53286-2023 FSC-klagomål mail.docx", "A 53286-2023")</f>
        <v/>
      </c>
      <c r="AC1036">
        <f>HYPERLINK("https://klasma.github.io/Logging_2161/tillsyn/A 53286-2023 tillsynsbegäran.docx", "A 53286-2023")</f>
        <v/>
      </c>
      <c r="AD1036">
        <f>HYPERLINK("https://klasma.github.io/Logging_2161/tillsynsmail/A 53286-2023 tillsynsbegäran mail.docx", "A 53286-2023")</f>
        <v/>
      </c>
    </row>
    <row r="1037" ht="15" customHeight="1">
      <c r="A1037" t="inlineStr">
        <is>
          <t>A 40943-2023</t>
        </is>
      </c>
      <c r="B1037" t="inlineStr">
        <is>
          <t>avverkningsanmälan</t>
        </is>
      </c>
      <c r="C1037" t="inlineStr">
        <is>
          <t>Föryngringsavverkning</t>
        </is>
      </c>
      <c r="D1037" s="1" t="n">
        <v>45173</v>
      </c>
      <c r="E1037" s="1" t="n">
        <v>46326</v>
      </c>
      <c r="F1037" t="inlineStr">
        <is>
          <t>GÄVLEBORGS LÄN</t>
        </is>
      </c>
      <c r="G1037" t="inlineStr">
        <is>
          <t>LJUSDAL</t>
        </is>
      </c>
      <c r="I1037" t="n">
        <v>5.8</v>
      </c>
      <c r="J1037" t="n">
        <v>0</v>
      </c>
      <c r="K1037" t="n">
        <v>0</v>
      </c>
      <c r="L1037" t="n">
        <v>1</v>
      </c>
      <c r="M1037" t="n">
        <v>0</v>
      </c>
      <c r="N1037" t="n">
        <v>0</v>
      </c>
      <c r="O1037" t="n">
        <v>0</v>
      </c>
      <c r="P1037" t="n">
        <v>0</v>
      </c>
      <c r="Q1037" t="n">
        <v>1</v>
      </c>
      <c r="R1037" t="n">
        <v>0</v>
      </c>
      <c r="S1037" t="n">
        <v>1</v>
      </c>
      <c r="T1037" t="n">
        <v>1</v>
      </c>
      <c r="U1037" t="n">
        <v>1</v>
      </c>
      <c r="V1037" s="2" t="inlineStr">
        <is>
          <t>Mörk kolflarnlav</t>
        </is>
      </c>
      <c r="W1037">
        <f>HYPERLINK("https://klasma.github.io/Logging_2161/artfynd/A 40943-2023 artfynd.xlsx", "A 40943-2023")</f>
        <v/>
      </c>
      <c r="X1037">
        <f>HYPERLINK("https://klasma.github.io/Logging_2161/kartor/A 40943-2023 karta.png", "A 40943-2023")</f>
        <v/>
      </c>
      <c r="Y1037">
        <f>HYPERLINK("https://klasma.github.io/Logging_2161/kartor_geotiff/A 40943-2023 georefererad karta.tif", "A 40943-2023")</f>
        <v/>
      </c>
      <c r="AA1037">
        <f>HYPERLINK("https://klasma.github.io/Logging_2161/klagomål/A 40943-2023 FSC-klagomål.docx", "A 40943-2023")</f>
        <v/>
      </c>
      <c r="AB1037">
        <f>HYPERLINK("https://klasma.github.io/Logging_2161/klagomålsmail/A 40943-2023 FSC-klagomål mail.docx", "A 40943-2023")</f>
        <v/>
      </c>
      <c r="AC1037">
        <f>HYPERLINK("https://klasma.github.io/Logging_2161/tillsyn/A 40943-2023 tillsynsbegäran.docx", "A 40943-2023")</f>
        <v/>
      </c>
      <c r="AD1037">
        <f>HYPERLINK("https://klasma.github.io/Logging_2161/tillsynsmail/A 40943-2023 tillsynsbegäran mail.docx", "A 40943-2023")</f>
        <v/>
      </c>
    </row>
    <row r="1038" ht="15" customHeight="1">
      <c r="A1038" t="inlineStr">
        <is>
          <t>A 7461-2025</t>
        </is>
      </c>
      <c r="B1038" t="inlineStr">
        <is>
          <t>avverkningsanmälan</t>
        </is>
      </c>
      <c r="C1038" t="inlineStr">
        <is>
          <t>Föryngringsavverkning</t>
        </is>
      </c>
      <c r="D1038" s="1" t="n">
        <v>45705</v>
      </c>
      <c r="E1038" s="1" t="n">
        <v>46326</v>
      </c>
      <c r="F1038" t="inlineStr">
        <is>
          <t>GÄVLEBORGS LÄN</t>
        </is>
      </c>
      <c r="G1038" t="inlineStr">
        <is>
          <t>LJUSDAL</t>
        </is>
      </c>
      <c r="I1038" t="n">
        <v>26.4</v>
      </c>
      <c r="J1038" t="n">
        <v>1</v>
      </c>
      <c r="K1038" t="n">
        <v>0</v>
      </c>
      <c r="L1038" t="n">
        <v>1</v>
      </c>
      <c r="M1038" t="n">
        <v>0</v>
      </c>
      <c r="N1038" t="n">
        <v>0</v>
      </c>
      <c r="O1038" t="n">
        <v>0</v>
      </c>
      <c r="P1038" t="n">
        <v>0</v>
      </c>
      <c r="Q1038" t="n">
        <v>1</v>
      </c>
      <c r="R1038" t="n">
        <v>0</v>
      </c>
      <c r="S1038" t="n">
        <v>1</v>
      </c>
      <c r="T1038" t="n">
        <v>1</v>
      </c>
      <c r="U1038" t="n">
        <v>0</v>
      </c>
      <c r="V1038" s="2" t="inlineStr">
        <is>
          <t>Sparvuggla</t>
        </is>
      </c>
      <c r="W1038">
        <f>HYPERLINK("https://klasma.github.io/Logging_2161/artfynd/A 7461-2025 artfynd.xlsx", "A 7461-2025")</f>
        <v/>
      </c>
      <c r="X1038">
        <f>HYPERLINK("https://klasma.github.io/Logging_2161/kartor/A 7461-2025 karta.png", "A 7461-2025")</f>
        <v/>
      </c>
      <c r="Y1038">
        <f>HYPERLINK("https://klasma.github.io/Logging_2161/kartor_geotiff/A 7461-2025 georefererad karta.tif", "A 7461-2025")</f>
        <v/>
      </c>
      <c r="AA1038">
        <f>HYPERLINK("https://klasma.github.io/Logging_2161/klagomål/A 7461-2025 FSC-klagomål.docx", "A 7461-2025")</f>
        <v/>
      </c>
      <c r="AB1038">
        <f>HYPERLINK("https://klasma.github.io/Logging_2161/klagomålsmail/A 7461-2025 FSC-klagomål mail.docx", "A 7461-2025")</f>
        <v/>
      </c>
      <c r="AC1038">
        <f>HYPERLINK("https://klasma.github.io/Logging_2161/tillsyn/A 7461-2025 tillsynsbegäran.docx", "A 7461-2025")</f>
        <v/>
      </c>
      <c r="AD1038">
        <f>HYPERLINK("https://klasma.github.io/Logging_2161/tillsynsmail/A 7461-2025 tillsynsbegäran mail.docx", "A 7461-2025")</f>
        <v/>
      </c>
      <c r="AE1038">
        <f>HYPERLINK("https://klasma.github.io/Logging_2161/fåglar/A 7461-2025 prioriterade fågelarter.docx", "A 7461-2025")</f>
        <v/>
      </c>
    </row>
    <row r="1039" ht="15" customHeight="1">
      <c r="A1039" t="inlineStr">
        <is>
          <t>A 4226-2023</t>
        </is>
      </c>
      <c r="B1039" t="inlineStr">
        <is>
          <t>avverkningsanmälan</t>
        </is>
      </c>
      <c r="C1039" t="inlineStr">
        <is>
          <t>Föryngringsavverkning</t>
        </is>
      </c>
      <c r="D1039" s="1" t="n">
        <v>44953</v>
      </c>
      <c r="E1039" s="1" t="n">
        <v>46326</v>
      </c>
      <c r="F1039" t="inlineStr">
        <is>
          <t>GÄVLEBORGS LÄN</t>
        </is>
      </c>
      <c r="G1039" t="inlineStr">
        <is>
          <t>OCKELBO</t>
        </is>
      </c>
      <c r="H1039" t="inlineStr">
        <is>
          <t>Bergvik skog väst AB</t>
        </is>
      </c>
      <c r="I1039" t="n">
        <v>2.4</v>
      </c>
      <c r="J1039" t="n">
        <v>1</v>
      </c>
      <c r="K1039" t="n">
        <v>1</v>
      </c>
      <c r="L1039" t="n">
        <v>0</v>
      </c>
      <c r="M1039" t="n">
        <v>0</v>
      </c>
      <c r="N1039" t="n">
        <v>0</v>
      </c>
      <c r="O1039" t="n">
        <v>0</v>
      </c>
      <c r="P1039" t="n">
        <v>0</v>
      </c>
      <c r="Q1039" t="n">
        <v>0</v>
      </c>
      <c r="R1039" t="n">
        <v>0</v>
      </c>
      <c r="S1039" t="n">
        <v>1</v>
      </c>
      <c r="T1039" t="n">
        <v>1</v>
      </c>
      <c r="U1039" t="n">
        <v>0</v>
      </c>
      <c r="V1039" s="2" t="inlineStr">
        <is>
          <t>Skogsknipprot</t>
        </is>
      </c>
      <c r="W1039">
        <f>HYPERLINK("https://klasma.github.io/Logging_2101/artfynd/A 4226-2023 artfynd.xlsx", "A 4226-2023")</f>
        <v/>
      </c>
      <c r="X1039">
        <f>HYPERLINK("https://klasma.github.io/Logging_2101/kartor/A 4226-2023 karta.png", "A 4226-2023")</f>
        <v/>
      </c>
      <c r="Y1039">
        <f>HYPERLINK("https://klasma.github.io/Logging_2101/kartor_geotiff/A 4226-2023 georefererad karta.tif", "A 4226-2023")</f>
        <v/>
      </c>
      <c r="AA1039">
        <f>HYPERLINK("https://klasma.github.io/Logging_2101/klagomål/A 4226-2023 FSC-klagomål.docx", "A 4226-2023")</f>
        <v/>
      </c>
      <c r="AB1039">
        <f>HYPERLINK("https://klasma.github.io/Logging_2101/klagomålsmail/A 4226-2023 FSC-klagomål mail.docx", "A 4226-2023")</f>
        <v/>
      </c>
      <c r="AC1039">
        <f>HYPERLINK("https://klasma.github.io/Logging_2101/tillsyn/A 4226-2023 tillsynsbegäran.docx", "A 4226-2023")</f>
        <v/>
      </c>
      <c r="AD1039">
        <f>HYPERLINK("https://klasma.github.io/Logging_2101/tillsynsmail/A 4226-2023 tillsynsbegäran mail.docx", "A 4226-2023")</f>
        <v/>
      </c>
    </row>
    <row r="1040" ht="15" customHeight="1">
      <c r="A1040" t="inlineStr">
        <is>
          <t>A 3532-2023</t>
        </is>
      </c>
      <c r="B1040" t="inlineStr">
        <is>
          <t>avverkningsanmälan</t>
        </is>
      </c>
      <c r="C1040" t="inlineStr">
        <is>
          <t>Föryngringsavverkning</t>
        </is>
      </c>
      <c r="D1040" s="1" t="n">
        <v>44950</v>
      </c>
      <c r="E1040" s="1" t="n">
        <v>46326</v>
      </c>
      <c r="F1040" t="inlineStr">
        <is>
          <t>GÄVLEBORGS LÄN</t>
        </is>
      </c>
      <c r="G1040" t="inlineStr">
        <is>
          <t>LJUSDAL</t>
        </is>
      </c>
      <c r="I1040" t="n">
        <v>4.6</v>
      </c>
      <c r="J1040" t="n">
        <v>0</v>
      </c>
      <c r="K1040" t="n">
        <v>0</v>
      </c>
      <c r="L1040" t="n">
        <v>0</v>
      </c>
      <c r="M1040" t="n">
        <v>1</v>
      </c>
      <c r="N1040" t="n">
        <v>0</v>
      </c>
      <c r="O1040" t="n">
        <v>0</v>
      </c>
      <c r="P1040" t="n">
        <v>0</v>
      </c>
      <c r="Q1040" t="n">
        <v>1</v>
      </c>
      <c r="R1040" t="n">
        <v>1</v>
      </c>
      <c r="S1040" t="n">
        <v>1</v>
      </c>
      <c r="T1040" t="n">
        <v>1</v>
      </c>
      <c r="U1040" t="n">
        <v>0</v>
      </c>
      <c r="V1040" s="2" t="inlineStr">
        <is>
          <t>Garnlav</t>
        </is>
      </c>
      <c r="W1040">
        <f>HYPERLINK("https://klasma.github.io/Logging_2161/artfynd/A 3532-2023 artfynd.xlsx", "A 3532-2023")</f>
        <v/>
      </c>
      <c r="X1040">
        <f>HYPERLINK("https://klasma.github.io/Logging_2161/kartor/A 3532-2023 karta.png", "A 3532-2023")</f>
        <v/>
      </c>
      <c r="Y1040">
        <f>HYPERLINK("https://klasma.github.io/Logging_2161/kartor_geotiff/A 3532-2023 georefererad karta.tif", "A 3532-2023")</f>
        <v/>
      </c>
      <c r="AA1040">
        <f>HYPERLINK("https://klasma.github.io/Logging_2161/klagomål/A 3532-2023 FSC-klagomål.docx", "A 3532-2023")</f>
        <v/>
      </c>
      <c r="AB1040">
        <f>HYPERLINK("https://klasma.github.io/Logging_2161/klagomålsmail/A 3532-2023 FSC-klagomål mail.docx", "A 3532-2023")</f>
        <v/>
      </c>
      <c r="AC1040">
        <f>HYPERLINK("https://klasma.github.io/Logging_2161/tillsyn/A 3532-2023 tillsynsbegäran.docx", "A 3532-2023")</f>
        <v/>
      </c>
      <c r="AD1040">
        <f>HYPERLINK("https://klasma.github.io/Logging_2161/tillsynsmail/A 3532-2023 tillsynsbegäran mail.docx", "A 3532-2023")</f>
        <v/>
      </c>
    </row>
    <row r="1041" ht="15" customHeight="1">
      <c r="A1041" t="inlineStr">
        <is>
          <t>A 32065-2026</t>
        </is>
      </c>
      <c r="B1041" t="inlineStr">
        <is>
          <t>avverkningsanmälan</t>
        </is>
      </c>
      <c r="C1041" t="inlineStr">
        <is>
          <t>Föryngringsavverkning</t>
        </is>
      </c>
      <c r="D1041" s="1" t="n">
        <v>46233</v>
      </c>
      <c r="E1041" s="1" t="n">
        <v>46326</v>
      </c>
      <c r="F1041" t="inlineStr">
        <is>
          <t>GÄVLEBORGS LÄN</t>
        </is>
      </c>
      <c r="G1041" t="inlineStr">
        <is>
          <t>LJUSDAL</t>
        </is>
      </c>
      <c r="H1041" t="inlineStr">
        <is>
          <t>Sveaskog</t>
        </is>
      </c>
      <c r="I1041" t="n">
        <v>7.1</v>
      </c>
      <c r="J1041" t="n">
        <v>1</v>
      </c>
      <c r="K1041" t="n">
        <v>0</v>
      </c>
      <c r="L1041" t="n">
        <v>0</v>
      </c>
      <c r="M1041" t="n">
        <v>0</v>
      </c>
      <c r="N1041" t="n">
        <v>0</v>
      </c>
      <c r="O1041" t="n">
        <v>0</v>
      </c>
      <c r="P1041" t="n">
        <v>0</v>
      </c>
      <c r="Q1041" t="n">
        <v>0</v>
      </c>
      <c r="R1041" t="n">
        <v>0</v>
      </c>
      <c r="S1041" t="n">
        <v>1</v>
      </c>
      <c r="T1041" t="n">
        <v>1</v>
      </c>
      <c r="U1041" t="n">
        <v>1</v>
      </c>
      <c r="V1041" s="2" t="inlineStr">
        <is>
          <t>Fläcknycklar</t>
        </is>
      </c>
      <c r="W1041">
        <f>HYPERLINK("https://klasma.github.io/Logging_2161/artfynd/A 32065-2026 artfynd.xlsx", "A 32065-2026")</f>
        <v/>
      </c>
      <c r="X1041">
        <f>HYPERLINK("https://klasma.github.io/Logging_2161/kartor/A 32065-2026 karta.png", "A 32065-2026")</f>
        <v/>
      </c>
      <c r="Y1041">
        <f>HYPERLINK("https://klasma.github.io/Logging_2161/kartor_geotiff/A 32065-2026 georefererad karta.tif", "A 32065-2026")</f>
        <v/>
      </c>
      <c r="AA1041">
        <f>HYPERLINK("https://klasma.github.io/Logging_2161/klagomål/A 32065-2026 FSC-klagomål.docx", "A 32065-2026")</f>
        <v/>
      </c>
      <c r="AB1041">
        <f>HYPERLINK("https://klasma.github.io/Logging_2161/klagomålsmail/A 32065-2026 FSC-klagomål mail.docx", "A 32065-2026")</f>
        <v/>
      </c>
      <c r="AC1041">
        <f>HYPERLINK("https://klasma.github.io/Logging_2161/tillsyn/A 32065-2026 tillsynsbegäran.docx", "A 32065-2026")</f>
        <v/>
      </c>
      <c r="AD1041">
        <f>HYPERLINK("https://klasma.github.io/Logging_2161/tillsynsmail/A 32065-2026 tillsynsbegäran mail.docx", "A 32065-2026")</f>
        <v/>
      </c>
    </row>
    <row r="1042" ht="15" customHeight="1">
      <c r="A1042" t="inlineStr">
        <is>
          <t>A 53508-2024</t>
        </is>
      </c>
      <c r="B1042" t="inlineStr">
        <is>
          <t>avverkningsanmälan</t>
        </is>
      </c>
      <c r="C1042" t="inlineStr">
        <is>
          <t>Föryngringsavverkning</t>
        </is>
      </c>
      <c r="D1042" s="1" t="n">
        <v>45614</v>
      </c>
      <c r="E1042" s="1" t="n">
        <v>46326</v>
      </c>
      <c r="F1042" t="inlineStr">
        <is>
          <t>GÄVLEBORGS LÄN</t>
        </is>
      </c>
      <c r="G1042" t="inlineStr">
        <is>
          <t>LJUSDAL</t>
        </is>
      </c>
      <c r="I1042" t="n">
        <v>2.4</v>
      </c>
      <c r="J1042" t="n">
        <v>0</v>
      </c>
      <c r="K1042" t="n">
        <v>0</v>
      </c>
      <c r="L1042" t="n">
        <v>1</v>
      </c>
      <c r="M1042" t="n">
        <v>0</v>
      </c>
      <c r="N1042" t="n">
        <v>0</v>
      </c>
      <c r="O1042" t="n">
        <v>0</v>
      </c>
      <c r="P1042" t="n">
        <v>0</v>
      </c>
      <c r="Q1042" t="n">
        <v>1</v>
      </c>
      <c r="R1042" t="n">
        <v>0</v>
      </c>
      <c r="S1042" t="n">
        <v>1</v>
      </c>
      <c r="T1042" t="n">
        <v>1</v>
      </c>
      <c r="U1042" t="n">
        <v>1</v>
      </c>
      <c r="V1042" s="2" t="inlineStr">
        <is>
          <t>Lunglav</t>
        </is>
      </c>
      <c r="W1042">
        <f>HYPERLINK("https://klasma.github.io/Logging_2161/artfynd/A 53508-2024 artfynd.xlsx", "A 53508-2024")</f>
        <v/>
      </c>
      <c r="X1042">
        <f>HYPERLINK("https://klasma.github.io/Logging_2161/kartor/A 53508-2024 karta.png", "A 53508-2024")</f>
        <v/>
      </c>
      <c r="Y1042">
        <f>HYPERLINK("https://klasma.github.io/Logging_2161/kartor_geotiff/A 53508-2024 georefererad karta.tif", "A 53508-2024")</f>
        <v/>
      </c>
      <c r="AA1042">
        <f>HYPERLINK("https://klasma.github.io/Logging_2161/klagomål/A 53508-2024 FSC-klagomål.docx", "A 53508-2024")</f>
        <v/>
      </c>
      <c r="AB1042">
        <f>HYPERLINK("https://klasma.github.io/Logging_2161/klagomålsmail/A 53508-2024 FSC-klagomål mail.docx", "A 53508-2024")</f>
        <v/>
      </c>
      <c r="AC1042">
        <f>HYPERLINK("https://klasma.github.io/Logging_2161/tillsyn/A 53508-2024 tillsynsbegäran.docx", "A 53508-2024")</f>
        <v/>
      </c>
      <c r="AD1042">
        <f>HYPERLINK("https://klasma.github.io/Logging_2161/tillsynsmail/A 53508-2024 tillsynsbegäran mail.docx", "A 53508-2024")</f>
        <v/>
      </c>
    </row>
    <row r="1043" ht="15" customHeight="1">
      <c r="A1043" t="inlineStr">
        <is>
          <t>A 32539-2026</t>
        </is>
      </c>
      <c r="B1043" t="inlineStr">
        <is>
          <t>avverkningsanmälan</t>
        </is>
      </c>
      <c r="C1043" t="inlineStr">
        <is>
          <t>Föryngringsavverkning</t>
        </is>
      </c>
      <c r="D1043" s="1" t="n">
        <v>46239</v>
      </c>
      <c r="E1043" s="1" t="n">
        <v>46326</v>
      </c>
      <c r="F1043" t="inlineStr">
        <is>
          <t>GÄVLEBORGS LÄN</t>
        </is>
      </c>
      <c r="G1043" t="inlineStr">
        <is>
          <t>SANDVIKEN</t>
        </is>
      </c>
      <c r="H1043" t="inlineStr">
        <is>
          <t>Kommuner</t>
        </is>
      </c>
      <c r="I1043" t="n">
        <v>0.7</v>
      </c>
      <c r="J1043" t="n">
        <v>1</v>
      </c>
      <c r="K1043" t="n">
        <v>0</v>
      </c>
      <c r="L1043" t="n">
        <v>0</v>
      </c>
      <c r="M1043" t="n">
        <v>0</v>
      </c>
      <c r="N1043" t="n">
        <v>0</v>
      </c>
      <c r="O1043" t="n">
        <v>0</v>
      </c>
      <c r="P1043" t="n">
        <v>0</v>
      </c>
      <c r="Q1043" t="n">
        <v>0</v>
      </c>
      <c r="R1043" t="n">
        <v>0</v>
      </c>
      <c r="S1043" t="n">
        <v>1</v>
      </c>
      <c r="T1043" t="n">
        <v>1</v>
      </c>
      <c r="U1043" t="n">
        <v>0</v>
      </c>
      <c r="V1043" s="2" t="inlineStr">
        <is>
          <t>Grönsiska</t>
        </is>
      </c>
      <c r="W1043">
        <f>HYPERLINK("https://klasma.github.io/Logging_2181/artfynd/A 32539-2026 artfynd.xlsx", "A 32539-2026")</f>
        <v/>
      </c>
      <c r="X1043">
        <f>HYPERLINK("https://klasma.github.io/Logging_2181/kartor/A 32539-2026 karta.png", "A 32539-2026")</f>
        <v/>
      </c>
      <c r="Y1043">
        <f>HYPERLINK("https://klasma.github.io/Logging_2181/kartor_geotiff/A 32539-2026 georefererad karta.tif", "A 32539-2026")</f>
        <v/>
      </c>
      <c r="AA1043">
        <f>HYPERLINK("https://klasma.github.io/Logging_2181/klagomål/A 32539-2026 FSC-klagomål.docx", "A 32539-2026")</f>
        <v/>
      </c>
      <c r="AB1043">
        <f>HYPERLINK("https://klasma.github.io/Logging_2181/klagomålsmail/A 32539-2026 FSC-klagomål mail.docx", "A 32539-2026")</f>
        <v/>
      </c>
      <c r="AC1043">
        <f>HYPERLINK("https://klasma.github.io/Logging_2181/tillsyn/A 32539-2026 tillsynsbegäran.docx", "A 32539-2026")</f>
        <v/>
      </c>
      <c r="AD1043">
        <f>HYPERLINK("https://klasma.github.io/Logging_2181/tillsynsmail/A 32539-2026 tillsynsbegäran mail.docx", "A 32539-2026")</f>
        <v/>
      </c>
    </row>
    <row r="1044" ht="15" customHeight="1">
      <c r="A1044" t="inlineStr">
        <is>
          <t>A 32544-2026</t>
        </is>
      </c>
      <c r="B1044" t="inlineStr">
        <is>
          <t>avverkningsanmälan</t>
        </is>
      </c>
      <c r="C1044" t="inlineStr">
        <is>
          <t>Föryngringsavverkning</t>
        </is>
      </c>
      <c r="D1044" s="1" t="n">
        <v>46239</v>
      </c>
      <c r="E1044" s="1" t="n">
        <v>46326</v>
      </c>
      <c r="F1044" t="inlineStr">
        <is>
          <t>GÄVLEBORGS LÄN</t>
        </is>
      </c>
      <c r="G1044" t="inlineStr">
        <is>
          <t>SANDVIKEN</t>
        </is>
      </c>
      <c r="H1044" t="inlineStr">
        <is>
          <t>Kommuner</t>
        </is>
      </c>
      <c r="I1044" t="n">
        <v>3.8</v>
      </c>
      <c r="J1044" t="n">
        <v>0</v>
      </c>
      <c r="K1044" t="n">
        <v>0</v>
      </c>
      <c r="L1044" t="n">
        <v>0</v>
      </c>
      <c r="M1044" t="n">
        <v>1</v>
      </c>
      <c r="N1044" t="n">
        <v>0</v>
      </c>
      <c r="O1044" t="n">
        <v>0</v>
      </c>
      <c r="P1044" t="n">
        <v>0</v>
      </c>
      <c r="Q1044" t="n">
        <v>1</v>
      </c>
      <c r="R1044" t="n">
        <v>1</v>
      </c>
      <c r="S1044" t="n">
        <v>1</v>
      </c>
      <c r="T1044" t="n">
        <v>1</v>
      </c>
      <c r="U1044" t="n">
        <v>0</v>
      </c>
      <c r="V1044" s="2" t="inlineStr">
        <is>
          <t>Igelkott</t>
        </is>
      </c>
      <c r="W1044">
        <f>HYPERLINK("https://klasma.github.io/Logging_2181/artfynd/A 32544-2026 artfynd.xlsx", "A 32544-2026")</f>
        <v/>
      </c>
      <c r="X1044">
        <f>HYPERLINK("https://klasma.github.io/Logging_2181/kartor/A 32544-2026 karta.png", "A 32544-2026")</f>
        <v/>
      </c>
      <c r="Y1044">
        <f>HYPERLINK("https://klasma.github.io/Logging_2181/kartor_geotiff/A 32544-2026 georefererad karta.tif", "A 32544-2026")</f>
        <v/>
      </c>
      <c r="AA1044">
        <f>HYPERLINK("https://klasma.github.io/Logging_2181/klagomål/A 32544-2026 FSC-klagomål.docx", "A 32544-2026")</f>
        <v/>
      </c>
      <c r="AB1044">
        <f>HYPERLINK("https://klasma.github.io/Logging_2181/klagomålsmail/A 32544-2026 FSC-klagomål mail.docx", "A 32544-2026")</f>
        <v/>
      </c>
      <c r="AC1044">
        <f>HYPERLINK("https://klasma.github.io/Logging_2181/tillsyn/A 32544-2026 tillsynsbegäran.docx", "A 32544-2026")</f>
        <v/>
      </c>
      <c r="AD1044">
        <f>HYPERLINK("https://klasma.github.io/Logging_2181/tillsynsmail/A 32544-2026 tillsynsbegäran mail.docx", "A 32544-2026")</f>
        <v/>
      </c>
    </row>
    <row r="1045" ht="15" customHeight="1">
      <c r="A1045" t="inlineStr">
        <is>
          <t>A 32533-2026</t>
        </is>
      </c>
      <c r="B1045" t="inlineStr">
        <is>
          <t>avverkningsanmälan</t>
        </is>
      </c>
      <c r="C1045" t="inlineStr">
        <is>
          <t>Föryngringsavverkning</t>
        </is>
      </c>
      <c r="D1045" s="1" t="n">
        <v>46239</v>
      </c>
      <c r="E1045" s="1" t="n">
        <v>46326</v>
      </c>
      <c r="F1045" t="inlineStr">
        <is>
          <t>GÄVLEBORGS LÄN</t>
        </is>
      </c>
      <c r="G1045" t="inlineStr">
        <is>
          <t>SANDVIKEN</t>
        </is>
      </c>
      <c r="H1045" t="inlineStr">
        <is>
          <t>Kommuner</t>
        </is>
      </c>
      <c r="I1045" t="n">
        <v>3.1</v>
      </c>
      <c r="J1045" t="n">
        <v>1</v>
      </c>
      <c r="K1045" t="n">
        <v>0</v>
      </c>
      <c r="L1045" t="n">
        <v>1</v>
      </c>
      <c r="M1045" t="n">
        <v>0</v>
      </c>
      <c r="N1045" t="n">
        <v>0</v>
      </c>
      <c r="O1045" t="n">
        <v>0</v>
      </c>
      <c r="P1045" t="n">
        <v>0</v>
      </c>
      <c r="Q1045" t="n">
        <v>1</v>
      </c>
      <c r="R1045" t="n">
        <v>0</v>
      </c>
      <c r="S1045" t="n">
        <v>1</v>
      </c>
      <c r="T1045" t="n">
        <v>1</v>
      </c>
      <c r="U1045" t="n">
        <v>0</v>
      </c>
      <c r="V1045" s="2" t="inlineStr">
        <is>
          <t>Järnsparv</t>
        </is>
      </c>
      <c r="W1045">
        <f>HYPERLINK("https://klasma.github.io/Logging_2181/artfynd/A 32533-2026 artfynd.xlsx", "A 32533-2026")</f>
        <v/>
      </c>
      <c r="X1045">
        <f>HYPERLINK("https://klasma.github.io/Logging_2181/kartor/A 32533-2026 karta.png", "A 32533-2026")</f>
        <v/>
      </c>
      <c r="Y1045">
        <f>HYPERLINK("https://klasma.github.io/Logging_2181/kartor_geotiff/A 32533-2026 georefererad karta.tif", "A 32533-2026")</f>
        <v/>
      </c>
      <c r="AA1045">
        <f>HYPERLINK("https://klasma.github.io/Logging_2181/klagomål/A 32533-2026 FSC-klagomål.docx", "A 32533-2026")</f>
        <v/>
      </c>
      <c r="AB1045">
        <f>HYPERLINK("https://klasma.github.io/Logging_2181/klagomålsmail/A 32533-2026 FSC-klagomål mail.docx", "A 32533-2026")</f>
        <v/>
      </c>
      <c r="AC1045">
        <f>HYPERLINK("https://klasma.github.io/Logging_2181/tillsyn/A 32533-2026 tillsynsbegäran.docx", "A 32533-2026")</f>
        <v/>
      </c>
      <c r="AD1045">
        <f>HYPERLINK("https://klasma.github.io/Logging_2181/tillsynsmail/A 32533-2026 tillsynsbegäran mail.docx", "A 32533-2026")</f>
        <v/>
      </c>
      <c r="AE1045">
        <f>HYPERLINK("https://klasma.github.io/Logging_2181/fåglar/A 32533-2026 prioriterade fågelarter.docx", "A 32533-2026")</f>
        <v/>
      </c>
    </row>
    <row r="1046" ht="15" customHeight="1">
      <c r="A1046" t="inlineStr">
        <is>
          <t>A 32754-2023</t>
        </is>
      </c>
      <c r="B1046" t="inlineStr">
        <is>
          <t>avverkningsanmälan</t>
        </is>
      </c>
      <c r="C1046" t="inlineStr">
        <is>
          <t>Föryngringsavverkning</t>
        </is>
      </c>
      <c r="D1046" s="1" t="n">
        <v>45123</v>
      </c>
      <c r="E1046" s="1" t="n">
        <v>46326</v>
      </c>
      <c r="F1046" t="inlineStr">
        <is>
          <t>GÄVLEBORGS LÄN</t>
        </is>
      </c>
      <c r="G1046" t="inlineStr">
        <is>
          <t>BOLLNÄS</t>
        </is>
      </c>
      <c r="I1046" t="n">
        <v>0.5</v>
      </c>
      <c r="J1046" t="n">
        <v>1</v>
      </c>
      <c r="K1046" t="n">
        <v>0</v>
      </c>
      <c r="L1046" t="n">
        <v>0</v>
      </c>
      <c r="M1046" t="n">
        <v>0</v>
      </c>
      <c r="N1046" t="n">
        <v>0</v>
      </c>
      <c r="O1046" t="n">
        <v>0</v>
      </c>
      <c r="P1046" t="n">
        <v>0</v>
      </c>
      <c r="Q1046" t="n">
        <v>0</v>
      </c>
      <c r="R1046" t="n">
        <v>0</v>
      </c>
      <c r="S1046" t="n">
        <v>1</v>
      </c>
      <c r="T1046" t="n">
        <v>1</v>
      </c>
      <c r="U1046" t="n">
        <v>1</v>
      </c>
      <c r="V1046" s="2" t="inlineStr">
        <is>
          <t>Fläcknycklar</t>
        </is>
      </c>
      <c r="W1046">
        <f>HYPERLINK("https://klasma.github.io/Logging_2183/artfynd/A 32754-2023 artfynd.xlsx", "A 32754-2023")</f>
        <v/>
      </c>
      <c r="X1046">
        <f>HYPERLINK("https://klasma.github.io/Logging_2183/kartor/A 32754-2023 karta.png", "A 32754-2023")</f>
        <v/>
      </c>
      <c r="Y1046">
        <f>HYPERLINK("https://klasma.github.io/Logging_2183/kartor_geotiff/A 32754-2023 georefererad karta.tif", "A 32754-2023")</f>
        <v/>
      </c>
      <c r="AA1046">
        <f>HYPERLINK("https://klasma.github.io/Logging_2183/klagomål/A 32754-2023 FSC-klagomål.docx", "A 32754-2023")</f>
        <v/>
      </c>
      <c r="AB1046">
        <f>HYPERLINK("https://klasma.github.io/Logging_2183/klagomålsmail/A 32754-2023 FSC-klagomål mail.docx", "A 32754-2023")</f>
        <v/>
      </c>
      <c r="AC1046">
        <f>HYPERLINK("https://klasma.github.io/Logging_2183/tillsyn/A 32754-2023 tillsynsbegäran.docx", "A 32754-2023")</f>
        <v/>
      </c>
      <c r="AD1046">
        <f>HYPERLINK("https://klasma.github.io/Logging_2183/tillsynsmail/A 32754-2023 tillsynsbegäran mail.docx", "A 32754-2023")</f>
        <v/>
      </c>
    </row>
    <row r="1047" ht="15" customHeight="1">
      <c r="A1047" t="inlineStr">
        <is>
          <t>A 33032-2026</t>
        </is>
      </c>
      <c r="B1047" t="inlineStr">
        <is>
          <t>avverkningsanmälan</t>
        </is>
      </c>
      <c r="C1047" t="inlineStr">
        <is>
          <t>Avverkning för att bevara och utveckla /försöksver</t>
        </is>
      </c>
      <c r="D1047" s="1" t="n">
        <v>46244</v>
      </c>
      <c r="E1047" s="1" t="n">
        <v>46326</v>
      </c>
      <c r="F1047" t="inlineStr">
        <is>
          <t>GÄVLEBORGS LÄN</t>
        </is>
      </c>
      <c r="G1047" t="inlineStr">
        <is>
          <t>BOLLNÄS</t>
        </is>
      </c>
      <c r="H1047" t="inlineStr">
        <is>
          <t>Sveaskog</t>
        </is>
      </c>
      <c r="I1047" t="n">
        <v>1.6</v>
      </c>
      <c r="J1047" t="n">
        <v>0</v>
      </c>
      <c r="K1047" t="n">
        <v>0</v>
      </c>
      <c r="L1047" t="n">
        <v>1</v>
      </c>
      <c r="M1047" t="n">
        <v>0</v>
      </c>
      <c r="N1047" t="n">
        <v>0</v>
      </c>
      <c r="O1047" t="n">
        <v>0</v>
      </c>
      <c r="P1047" t="n">
        <v>0</v>
      </c>
      <c r="Q1047" t="n">
        <v>1</v>
      </c>
      <c r="R1047" t="n">
        <v>0</v>
      </c>
      <c r="S1047" t="n">
        <v>1</v>
      </c>
      <c r="T1047" t="n">
        <v>4</v>
      </c>
      <c r="U1047" t="n">
        <v>3</v>
      </c>
      <c r="V1047" s="2" t="inlineStr">
        <is>
          <t>Lunglav</t>
        </is>
      </c>
      <c r="W1047">
        <f>HYPERLINK("https://klasma.github.io/Logging_2183/artfynd/A 33032-2026 artfynd.xlsx", "A 33032-2026")</f>
        <v/>
      </c>
      <c r="X1047">
        <f>HYPERLINK("https://klasma.github.io/Logging_2183/kartor/A 33032-2026 karta.png", "A 33032-2026")</f>
        <v/>
      </c>
      <c r="Y1047">
        <f>HYPERLINK("https://klasma.github.io/Logging_2183/kartor_geotiff/A 33032-2026 georefererad karta.tif", "A 33032-2026")</f>
        <v/>
      </c>
      <c r="AA1047">
        <f>HYPERLINK("https://klasma.github.io/Logging_2183/klagomål/A 33032-2026 FSC-klagomål.docx", "A 33032-2026")</f>
        <v/>
      </c>
      <c r="AB1047">
        <f>HYPERLINK("https://klasma.github.io/Logging_2183/klagomålsmail/A 33032-2026 FSC-klagomål mail.docx", "A 33032-2026")</f>
        <v/>
      </c>
      <c r="AC1047">
        <f>HYPERLINK("https://klasma.github.io/Logging_2183/tillsyn/A 33032-2026 tillsynsbegäran.docx", "A 33032-2026")</f>
        <v/>
      </c>
      <c r="AD1047">
        <f>HYPERLINK("https://klasma.github.io/Logging_2183/tillsynsmail/A 33032-2026 tillsynsbegäran mail.docx", "A 33032-2026")</f>
        <v/>
      </c>
    </row>
    <row r="1048" ht="15" customHeight="1">
      <c r="A1048" t="inlineStr">
        <is>
          <t>A 20566-2025</t>
        </is>
      </c>
      <c r="B1048" t="inlineStr">
        <is>
          <t>avverkningsanmälan</t>
        </is>
      </c>
      <c r="C1048" t="inlineStr">
        <is>
          <t>Föryngringsavverkning</t>
        </is>
      </c>
      <c r="D1048" s="1" t="n">
        <v>45775</v>
      </c>
      <c r="E1048" s="1" t="n">
        <v>46326</v>
      </c>
      <c r="F1048" t="inlineStr">
        <is>
          <t>GÄVLEBORGS LÄN</t>
        </is>
      </c>
      <c r="G1048" t="inlineStr">
        <is>
          <t>NORDANSTIG</t>
        </is>
      </c>
      <c r="H1048" t="inlineStr">
        <is>
          <t>Holmen skog AB</t>
        </is>
      </c>
      <c r="I1048" t="n">
        <v>1.8</v>
      </c>
      <c r="J1048" t="n">
        <v>1</v>
      </c>
      <c r="K1048" t="n">
        <v>0</v>
      </c>
      <c r="L1048" t="n">
        <v>0</v>
      </c>
      <c r="M1048" t="n">
        <v>0</v>
      </c>
      <c r="N1048" t="n">
        <v>0</v>
      </c>
      <c r="O1048" t="n">
        <v>0</v>
      </c>
      <c r="P1048" t="n">
        <v>0</v>
      </c>
      <c r="Q1048" t="n">
        <v>0</v>
      </c>
      <c r="R1048" t="n">
        <v>0</v>
      </c>
      <c r="S1048" t="n">
        <v>1</v>
      </c>
      <c r="T1048" t="n">
        <v>1</v>
      </c>
      <c r="U1048" t="n">
        <v>0</v>
      </c>
      <c r="V1048" s="2" t="inlineStr">
        <is>
          <t>Vanlig padda</t>
        </is>
      </c>
      <c r="W1048">
        <f>HYPERLINK("https://klasma.github.io/Logging_2132/artfynd/A 20566-2025 artfynd.xlsx", "A 20566-2025")</f>
        <v/>
      </c>
      <c r="X1048">
        <f>HYPERLINK("https://klasma.github.io/Logging_2132/kartor/A 20566-2025 karta.png", "A 20566-2025")</f>
        <v/>
      </c>
      <c r="Y1048">
        <f>HYPERLINK("https://klasma.github.io/Logging_2132/kartor_geotiff/A 20566-2025 georefererad karta.tif", "A 20566-2025")</f>
        <v/>
      </c>
      <c r="AA1048">
        <f>HYPERLINK("https://klasma.github.io/Logging_2132/klagomål/A 20566-2025 FSC-klagomål.docx", "A 20566-2025")</f>
        <v/>
      </c>
      <c r="AB1048">
        <f>HYPERLINK("https://klasma.github.io/Logging_2132/klagomålsmail/A 20566-2025 FSC-klagomål mail.docx", "A 20566-2025")</f>
        <v/>
      </c>
      <c r="AC1048">
        <f>HYPERLINK("https://klasma.github.io/Logging_2132/tillsyn/A 20566-2025 tillsynsbegäran.docx", "A 20566-2025")</f>
        <v/>
      </c>
      <c r="AD1048">
        <f>HYPERLINK("https://klasma.github.io/Logging_2132/tillsynsmail/A 20566-2025 tillsynsbegäran mail.docx", "A 20566-2025")</f>
        <v/>
      </c>
    </row>
    <row r="1049" ht="15" customHeight="1">
      <c r="A1049" t="inlineStr">
        <is>
          <t>A 12083-2025</t>
        </is>
      </c>
      <c r="B1049" t="inlineStr">
        <is>
          <t>avverkningsanmälan</t>
        </is>
      </c>
      <c r="C1049" t="inlineStr">
        <is>
          <t>Föryngringsavverkning</t>
        </is>
      </c>
      <c r="D1049" s="1" t="n">
        <v>45728</v>
      </c>
      <c r="E1049" s="1" t="n">
        <v>46326</v>
      </c>
      <c r="F1049" t="inlineStr">
        <is>
          <t>GÄVLEBORGS LÄN</t>
        </is>
      </c>
      <c r="G1049" t="inlineStr">
        <is>
          <t>GÄVLE</t>
        </is>
      </c>
      <c r="I1049" t="n">
        <v>6.3</v>
      </c>
      <c r="J1049" t="n">
        <v>1</v>
      </c>
      <c r="K1049" t="n">
        <v>0</v>
      </c>
      <c r="L1049" t="n">
        <v>0</v>
      </c>
      <c r="M1049" t="n">
        <v>0</v>
      </c>
      <c r="N1049" t="n">
        <v>0</v>
      </c>
      <c r="O1049" t="n">
        <v>0</v>
      </c>
      <c r="P1049" t="n">
        <v>0</v>
      </c>
      <c r="Q1049" t="n">
        <v>0</v>
      </c>
      <c r="R1049" t="n">
        <v>0</v>
      </c>
      <c r="S1049" t="n">
        <v>1</v>
      </c>
      <c r="T1049" t="n">
        <v>1</v>
      </c>
      <c r="U1049" t="n">
        <v>1</v>
      </c>
      <c r="V1049" s="2" t="inlineStr">
        <is>
          <t>Grönsiska</t>
        </is>
      </c>
      <c r="W1049">
        <f>HYPERLINK("https://klasma.github.io/Logging_2180/artfynd/A 12083-2025 artfynd.xlsx", "A 12083-2025")</f>
        <v/>
      </c>
      <c r="X1049">
        <f>HYPERLINK("https://klasma.github.io/Logging_2180/kartor/A 12083-2025 karta.png", "A 12083-2025")</f>
        <v/>
      </c>
      <c r="Y1049">
        <f>HYPERLINK("https://klasma.github.io/Logging_2180/kartor_geotiff/A 12083-2025 georefererad karta.tif", "A 12083-2025")</f>
        <v/>
      </c>
      <c r="AA1049">
        <f>HYPERLINK("https://klasma.github.io/Logging_2180/klagomål/A 12083-2025 FSC-klagomål.docx", "A 12083-2025")</f>
        <v/>
      </c>
      <c r="AB1049">
        <f>HYPERLINK("https://klasma.github.io/Logging_2180/klagomålsmail/A 12083-2025 FSC-klagomål mail.docx", "A 12083-2025")</f>
        <v/>
      </c>
      <c r="AC1049">
        <f>HYPERLINK("https://klasma.github.io/Logging_2180/tillsyn/A 12083-2025 tillsynsbegäran.docx", "A 12083-2025")</f>
        <v/>
      </c>
      <c r="AD1049">
        <f>HYPERLINK("https://klasma.github.io/Logging_2180/tillsynsmail/A 12083-2025 tillsynsbegäran mail.docx", "A 12083-2025")</f>
        <v/>
      </c>
    </row>
    <row r="1050" ht="15" customHeight="1">
      <c r="A1050" t="inlineStr">
        <is>
          <t>A 2878-2026</t>
        </is>
      </c>
      <c r="B1050" t="inlineStr">
        <is>
          <t>avverkningsanmälan</t>
        </is>
      </c>
      <c r="C1050" t="inlineStr">
        <is>
          <t>Föryngringsavverkning</t>
        </is>
      </c>
      <c r="D1050" s="1" t="n">
        <v>46038</v>
      </c>
      <c r="E1050" s="1" t="n">
        <v>46326</v>
      </c>
      <c r="F1050" t="inlineStr">
        <is>
          <t>GÄVLEBORGS LÄN</t>
        </is>
      </c>
      <c r="G1050" t="inlineStr">
        <is>
          <t>NORDANSTIG</t>
        </is>
      </c>
      <c r="I1050" t="n">
        <v>3.4</v>
      </c>
      <c r="J1050" t="n">
        <v>1</v>
      </c>
      <c r="K1050" t="n">
        <v>0</v>
      </c>
      <c r="L1050" t="n">
        <v>1</v>
      </c>
      <c r="M1050" t="n">
        <v>0</v>
      </c>
      <c r="N1050" t="n">
        <v>0</v>
      </c>
      <c r="O1050" t="n">
        <v>0</v>
      </c>
      <c r="P1050" t="n">
        <v>0</v>
      </c>
      <c r="Q1050" t="n">
        <v>1</v>
      </c>
      <c r="R1050" t="n">
        <v>0</v>
      </c>
      <c r="S1050" t="n">
        <v>1</v>
      </c>
      <c r="T1050" t="n">
        <v>1</v>
      </c>
      <c r="U1050" t="n">
        <v>0</v>
      </c>
      <c r="V1050" s="2" t="inlineStr">
        <is>
          <t>Mindre hackspett</t>
        </is>
      </c>
      <c r="W1050">
        <f>HYPERLINK("https://klasma.github.io/Logging_2132/artfynd/A 2878-2026 artfynd.xlsx", "A 2878-2026")</f>
        <v/>
      </c>
      <c r="X1050">
        <f>HYPERLINK("https://klasma.github.io/Logging_2132/kartor/A 2878-2026 karta.png", "A 2878-2026")</f>
        <v/>
      </c>
      <c r="Y1050">
        <f>HYPERLINK("https://klasma.github.io/Logging_2132/kartor_geotiff/A 2878-2026 georefererad karta.tif", "A 2878-2026")</f>
        <v/>
      </c>
      <c r="AA1050">
        <f>HYPERLINK("https://klasma.github.io/Logging_2132/klagomål/A 2878-2026 FSC-klagomål.docx", "A 2878-2026")</f>
        <v/>
      </c>
      <c r="AB1050">
        <f>HYPERLINK("https://klasma.github.io/Logging_2132/klagomålsmail/A 2878-2026 FSC-klagomål mail.docx", "A 2878-2026")</f>
        <v/>
      </c>
      <c r="AC1050">
        <f>HYPERLINK("https://klasma.github.io/Logging_2132/tillsyn/A 2878-2026 tillsynsbegäran.docx", "A 2878-2026")</f>
        <v/>
      </c>
      <c r="AD1050">
        <f>HYPERLINK("https://klasma.github.io/Logging_2132/tillsynsmail/A 2878-2026 tillsynsbegäran mail.docx", "A 2878-2026")</f>
        <v/>
      </c>
      <c r="AE1050">
        <f>HYPERLINK("https://klasma.github.io/Logging_2132/fåglar/A 2878-2026 prioriterade fågelarter.docx", "A 2878-2026")</f>
        <v/>
      </c>
    </row>
    <row r="1051" ht="15" customHeight="1">
      <c r="A1051" t="inlineStr">
        <is>
          <t>A 26871-2026</t>
        </is>
      </c>
      <c r="B1051" t="inlineStr">
        <is>
          <t>avverkningsanmälan</t>
        </is>
      </c>
      <c r="C1051" t="inlineStr">
        <is>
          <t>Föryngringsavverkning</t>
        </is>
      </c>
      <c r="D1051" s="1" t="n">
        <v>46185</v>
      </c>
      <c r="E1051" s="1" t="n">
        <v>46326</v>
      </c>
      <c r="F1051" t="inlineStr">
        <is>
          <t>GÄVLEBORGS LÄN</t>
        </is>
      </c>
      <c r="G1051" t="inlineStr">
        <is>
          <t>GÄVLE</t>
        </is>
      </c>
      <c r="H1051" t="inlineStr">
        <is>
          <t>Bergvik skog öst AB</t>
        </is>
      </c>
      <c r="I1051" t="n">
        <v>4.2</v>
      </c>
      <c r="J1051" t="n">
        <v>1</v>
      </c>
      <c r="K1051" t="n">
        <v>0</v>
      </c>
      <c r="L1051" t="n">
        <v>0</v>
      </c>
      <c r="M1051" t="n">
        <v>0</v>
      </c>
      <c r="N1051" t="n">
        <v>0</v>
      </c>
      <c r="O1051" t="n">
        <v>0</v>
      </c>
      <c r="P1051" t="n">
        <v>0</v>
      </c>
      <c r="Q1051" t="n">
        <v>0</v>
      </c>
      <c r="R1051" t="n">
        <v>0</v>
      </c>
      <c r="S1051" t="n">
        <v>1</v>
      </c>
      <c r="T1051" t="n">
        <v>1</v>
      </c>
      <c r="U1051" t="n">
        <v>0</v>
      </c>
      <c r="V1051" s="2" t="inlineStr">
        <is>
          <t>Utter</t>
        </is>
      </c>
      <c r="W1051">
        <f>HYPERLINK("https://klasma.github.io/Logging_2180/artfynd/A 26871-2026 artfynd.xlsx", "A 26871-2026")</f>
        <v/>
      </c>
      <c r="X1051">
        <f>HYPERLINK("https://klasma.github.io/Logging_2180/kartor/A 26871-2026 karta.png", "A 26871-2026")</f>
        <v/>
      </c>
      <c r="Y1051">
        <f>HYPERLINK("https://klasma.github.io/Logging_2180/kartor_geotiff/A 26871-2026 georefererad karta.tif", "A 26871-2026")</f>
        <v/>
      </c>
      <c r="AA1051">
        <f>HYPERLINK("https://klasma.github.io/Logging_2180/klagomål/A 26871-2026 FSC-klagomål.docx", "A 26871-2026")</f>
        <v/>
      </c>
      <c r="AB1051">
        <f>HYPERLINK("https://klasma.github.io/Logging_2180/klagomålsmail/A 26871-2026 FSC-klagomål mail.docx", "A 26871-2026")</f>
        <v/>
      </c>
      <c r="AC1051">
        <f>HYPERLINK("https://klasma.github.io/Logging_2180/tillsyn/A 26871-2026 tillsynsbegäran.docx", "A 26871-2026")</f>
        <v/>
      </c>
      <c r="AD1051">
        <f>HYPERLINK("https://klasma.github.io/Logging_2180/tillsynsmail/A 26871-2026 tillsynsbegäran mail.docx", "A 26871-2026")</f>
        <v/>
      </c>
    </row>
    <row r="1052" ht="15" customHeight="1">
      <c r="A1052" t="inlineStr">
        <is>
          <t>A 22731-2022</t>
        </is>
      </c>
      <c r="B1052" t="inlineStr">
        <is>
          <t>avverkningsanmälan</t>
        </is>
      </c>
      <c r="C1052" t="inlineStr">
        <is>
          <t>Föryngringsavverkning</t>
        </is>
      </c>
      <c r="D1052" s="1" t="n">
        <v>44714</v>
      </c>
      <c r="E1052" s="1" t="n">
        <v>46326</v>
      </c>
      <c r="F1052" t="inlineStr">
        <is>
          <t>GÄVLEBORGS LÄN</t>
        </is>
      </c>
      <c r="G1052" t="inlineStr">
        <is>
          <t>BOLLNÄS</t>
        </is>
      </c>
      <c r="I1052" t="n">
        <v>3.1</v>
      </c>
      <c r="J1052" t="n">
        <v>0</v>
      </c>
      <c r="K1052" t="n">
        <v>0</v>
      </c>
      <c r="L1052" t="n">
        <v>1</v>
      </c>
      <c r="M1052" t="n">
        <v>0</v>
      </c>
      <c r="N1052" t="n">
        <v>0</v>
      </c>
      <c r="O1052" t="n">
        <v>0</v>
      </c>
      <c r="P1052" t="n">
        <v>0</v>
      </c>
      <c r="Q1052" t="n">
        <v>1</v>
      </c>
      <c r="R1052" t="n">
        <v>0</v>
      </c>
      <c r="S1052" t="n">
        <v>1</v>
      </c>
      <c r="T1052" t="n">
        <v>2</v>
      </c>
      <c r="U1052" t="n">
        <v>2</v>
      </c>
      <c r="V1052" s="2" t="inlineStr">
        <is>
          <t>Brunklöver</t>
        </is>
      </c>
      <c r="W1052">
        <f>HYPERLINK("https://klasma.github.io/Logging_2183/artfynd/A 22731-2022 artfynd.xlsx", "A 22731-2022")</f>
        <v/>
      </c>
      <c r="X1052">
        <f>HYPERLINK("https://klasma.github.io/Logging_2183/kartor/A 22731-2022 karta.png", "A 22731-2022")</f>
        <v/>
      </c>
      <c r="Y1052">
        <f>HYPERLINK("https://klasma.github.io/Logging_2183/kartor_geotiff/A 22731-2022 georefererad karta.tif", "A 22731-2022")</f>
        <v/>
      </c>
      <c r="AA1052">
        <f>HYPERLINK("https://klasma.github.io/Logging_2183/klagomål/A 22731-2022 FSC-klagomål.docx", "A 22731-2022")</f>
        <v/>
      </c>
      <c r="AB1052">
        <f>HYPERLINK("https://klasma.github.io/Logging_2183/klagomålsmail/A 22731-2022 FSC-klagomål mail.docx", "A 22731-2022")</f>
        <v/>
      </c>
      <c r="AC1052">
        <f>HYPERLINK("https://klasma.github.io/Logging_2183/tillsyn/A 22731-2022 tillsynsbegäran.docx", "A 22731-2022")</f>
        <v/>
      </c>
      <c r="AD1052">
        <f>HYPERLINK("https://klasma.github.io/Logging_2183/tillsynsmail/A 22731-2022 tillsynsbegäran mail.docx", "A 22731-2022")</f>
        <v/>
      </c>
    </row>
    <row r="1053" ht="15" customHeight="1">
      <c r="A1053" t="inlineStr">
        <is>
          <t>A 13227-2024</t>
        </is>
      </c>
      <c r="B1053" t="inlineStr">
        <is>
          <t>avverkningsanmälan</t>
        </is>
      </c>
      <c r="C1053" t="inlineStr">
        <is>
          <t>Föryngringsavverkning</t>
        </is>
      </c>
      <c r="D1053" s="1" t="n">
        <v>45386</v>
      </c>
      <c r="E1053" s="1" t="n">
        <v>46326</v>
      </c>
      <c r="F1053" t="inlineStr">
        <is>
          <t>GÄVLEBORGS LÄN</t>
        </is>
      </c>
      <c r="G1053" t="inlineStr">
        <is>
          <t>GÄVLE</t>
        </is>
      </c>
      <c r="H1053" t="inlineStr">
        <is>
          <t>Övriga statliga verk och myndigheter</t>
        </is>
      </c>
      <c r="I1053" t="n">
        <v>5.9</v>
      </c>
      <c r="J1053" t="n">
        <v>1</v>
      </c>
      <c r="K1053" t="n">
        <v>0</v>
      </c>
      <c r="L1053" t="n">
        <v>0</v>
      </c>
      <c r="M1053" t="n">
        <v>0</v>
      </c>
      <c r="N1053" t="n">
        <v>0</v>
      </c>
      <c r="O1053" t="n">
        <v>0</v>
      </c>
      <c r="P1053" t="n">
        <v>0</v>
      </c>
      <c r="Q1053" t="n">
        <v>0</v>
      </c>
      <c r="R1053" t="n">
        <v>0</v>
      </c>
      <c r="S1053" t="n">
        <v>1</v>
      </c>
      <c r="T1053" t="n">
        <v>1</v>
      </c>
      <c r="U1053" t="n">
        <v>1</v>
      </c>
      <c r="V1053" s="2" t="inlineStr">
        <is>
          <t>Större vattensalamander</t>
        </is>
      </c>
      <c r="W1053">
        <f>HYPERLINK("https://klasma.github.io/Logging_2180/artfynd/A 13227-2024 artfynd.xlsx", "A 13227-2024")</f>
        <v/>
      </c>
      <c r="X1053">
        <f>HYPERLINK("https://klasma.github.io/Logging_2180/kartor/A 13227-2024 karta.png", "A 13227-2024")</f>
        <v/>
      </c>
      <c r="Y1053">
        <f>HYPERLINK("https://klasma.github.io/Logging_2180/kartor_geotiff/A 13227-2024 georefererad karta.tif", "A 13227-2024")</f>
        <v/>
      </c>
      <c r="AA1053">
        <f>HYPERLINK("https://klasma.github.io/Logging_2180/klagomål/A 13227-2024 FSC-klagomål.docx", "A 13227-2024")</f>
        <v/>
      </c>
      <c r="AB1053">
        <f>HYPERLINK("https://klasma.github.io/Logging_2180/klagomålsmail/A 13227-2024 FSC-klagomål mail.docx", "A 13227-2024")</f>
        <v/>
      </c>
      <c r="AC1053">
        <f>HYPERLINK("https://klasma.github.io/Logging_2180/tillsyn/A 13227-2024 tillsynsbegäran.docx", "A 13227-2024")</f>
        <v/>
      </c>
      <c r="AD1053">
        <f>HYPERLINK("https://klasma.github.io/Logging_2180/tillsynsmail/A 13227-2024 tillsynsbegäran mail.docx", "A 13227-2024")</f>
        <v/>
      </c>
    </row>
    <row r="1054" ht="15" customHeight="1">
      <c r="A1054" t="inlineStr">
        <is>
          <t>A 39065-2026</t>
        </is>
      </c>
      <c r="B1054" t="inlineStr">
        <is>
          <t>avverkningsanmälan</t>
        </is>
      </c>
      <c r="C1054" t="inlineStr">
        <is>
          <t>Föryngringsavverkning</t>
        </is>
      </c>
      <c r="D1054" s="1" t="n">
        <v>46287</v>
      </c>
      <c r="E1054" s="1" t="n">
        <v>46326</v>
      </c>
      <c r="F1054" t="inlineStr">
        <is>
          <t>GÄVLEBORGS LÄN</t>
        </is>
      </c>
      <c r="G1054" t="inlineStr">
        <is>
          <t>GÄVLE</t>
        </is>
      </c>
      <c r="H1054" t="inlineStr">
        <is>
          <t>Bergvik skog väst AB</t>
        </is>
      </c>
      <c r="I1054" t="n">
        <v>1.8</v>
      </c>
      <c r="J1054" t="n">
        <v>0</v>
      </c>
      <c r="K1054" t="n">
        <v>0</v>
      </c>
      <c r="L1054" t="n">
        <v>1</v>
      </c>
      <c r="M1054" t="n">
        <v>0</v>
      </c>
      <c r="N1054" t="n">
        <v>0</v>
      </c>
      <c r="O1054" t="n">
        <v>0</v>
      </c>
      <c r="P1054" t="n">
        <v>0</v>
      </c>
      <c r="Q1054" t="n">
        <v>1</v>
      </c>
      <c r="R1054" t="n">
        <v>0</v>
      </c>
      <c r="S1054" t="n">
        <v>1</v>
      </c>
      <c r="T1054" t="n">
        <v>1</v>
      </c>
      <c r="U1054" t="n">
        <v>0</v>
      </c>
      <c r="V1054" s="2" t="inlineStr">
        <is>
          <t>Vedskivlav</t>
        </is>
      </c>
      <c r="W1054">
        <f>HYPERLINK("https://klasma.github.io/Logging_2180/artfynd/A 39065-2026 artfynd.xlsx", "A 39065-2026")</f>
        <v/>
      </c>
      <c r="X1054">
        <f>HYPERLINK("https://klasma.github.io/Logging_2180/kartor/A 39065-2026 karta.png", "A 39065-2026")</f>
        <v/>
      </c>
      <c r="Y1054">
        <f>HYPERLINK("https://klasma.github.io/Logging_2180/kartor_geotiff/A 39065-2026 georefererad karta.tif", "A 39065-2026")</f>
        <v/>
      </c>
      <c r="AA1054">
        <f>HYPERLINK("https://klasma.github.io/Logging_2180/klagomål/A 39065-2026 FSC-klagomål.docx", "A 39065-2026")</f>
        <v/>
      </c>
      <c r="AB1054">
        <f>HYPERLINK("https://klasma.github.io/Logging_2180/klagomålsmail/A 39065-2026 FSC-klagomål mail.docx", "A 39065-2026")</f>
        <v/>
      </c>
      <c r="AC1054">
        <f>HYPERLINK("https://klasma.github.io/Logging_2180/tillsyn/A 39065-2026 tillsynsbegäran.docx", "A 39065-2026")</f>
        <v/>
      </c>
      <c r="AD1054">
        <f>HYPERLINK("https://klasma.github.io/Logging_2180/tillsynsmail/A 39065-2026 tillsynsbegäran mail.docx", "A 39065-2026")</f>
        <v/>
      </c>
    </row>
    <row r="1055" ht="15" customHeight="1">
      <c r="A1055" t="inlineStr">
        <is>
          <t>A 17412-2023</t>
        </is>
      </c>
      <c r="B1055" t="inlineStr">
        <is>
          <t>avverkningsanmälan</t>
        </is>
      </c>
      <c r="C1055" t="inlineStr">
        <is>
          <t>Föryngringsavverkning</t>
        </is>
      </c>
      <c r="D1055" s="1" t="n">
        <v>45035</v>
      </c>
      <c r="E1055" s="1" t="n">
        <v>46326</v>
      </c>
      <c r="F1055" t="inlineStr">
        <is>
          <t>GÄVLEBORGS LÄN</t>
        </is>
      </c>
      <c r="G1055" t="inlineStr">
        <is>
          <t>SÖDERHAMN</t>
        </is>
      </c>
      <c r="I1055" t="n">
        <v>4.8</v>
      </c>
      <c r="J1055" t="n">
        <v>0</v>
      </c>
      <c r="K1055" t="n">
        <v>0</v>
      </c>
      <c r="L1055" t="n">
        <v>1</v>
      </c>
      <c r="M1055" t="n">
        <v>0</v>
      </c>
      <c r="N1055" t="n">
        <v>0</v>
      </c>
      <c r="O1055" t="n">
        <v>0</v>
      </c>
      <c r="P1055" t="n">
        <v>0</v>
      </c>
      <c r="Q1055" t="n">
        <v>1</v>
      </c>
      <c r="R1055" t="n">
        <v>0</v>
      </c>
      <c r="S1055" t="n">
        <v>1</v>
      </c>
      <c r="T1055" t="n">
        <v>1</v>
      </c>
      <c r="U1055" t="n">
        <v>0</v>
      </c>
      <c r="V1055" s="2" t="inlineStr">
        <is>
          <t>Älg</t>
        </is>
      </c>
      <c r="W1055">
        <f>HYPERLINK("https://klasma.github.io/Logging_2182/artfynd/A 17412-2023 artfynd.xlsx", "A 17412-2023")</f>
        <v/>
      </c>
      <c r="X1055">
        <f>HYPERLINK("https://klasma.github.io/Logging_2182/kartor/A 17412-2023 karta.png", "A 17412-2023")</f>
        <v/>
      </c>
      <c r="Y1055">
        <f>HYPERLINK("https://klasma.github.io/Logging_2182/kartor_geotiff/A 17412-2023 georefererad karta.tif", "A 17412-2023")</f>
        <v/>
      </c>
      <c r="AA1055">
        <f>HYPERLINK("https://klasma.github.io/Logging_2182/klagomål/A 17412-2023 FSC-klagomål.docx", "A 17412-2023")</f>
        <v/>
      </c>
      <c r="AB1055">
        <f>HYPERLINK("https://klasma.github.io/Logging_2182/klagomålsmail/A 17412-2023 FSC-klagomål mail.docx", "A 17412-2023")</f>
        <v/>
      </c>
      <c r="AC1055">
        <f>HYPERLINK("https://klasma.github.io/Logging_2182/tillsyn/A 17412-2023 tillsynsbegäran.docx", "A 17412-2023")</f>
        <v/>
      </c>
      <c r="AD1055">
        <f>HYPERLINK("https://klasma.github.io/Logging_2182/tillsynsmail/A 17412-2023 tillsynsbegäran mail.docx", "A 17412-2023")</f>
        <v/>
      </c>
    </row>
    <row r="1056" ht="15" customHeight="1">
      <c r="A1056" t="inlineStr">
        <is>
          <t>A 39550-2026</t>
        </is>
      </c>
      <c r="B1056" t="inlineStr">
        <is>
          <t>avverkningsanmälan</t>
        </is>
      </c>
      <c r="C1056" t="inlineStr">
        <is>
          <t>Föryngringsavverkning</t>
        </is>
      </c>
      <c r="D1056" s="1" t="n">
        <v>46289</v>
      </c>
      <c r="E1056" s="1" t="n">
        <v>46326</v>
      </c>
      <c r="F1056" t="inlineStr">
        <is>
          <t>GÄVLEBORGS LÄN</t>
        </is>
      </c>
      <c r="G1056" t="inlineStr">
        <is>
          <t>BOLLNÄS</t>
        </is>
      </c>
      <c r="H1056" t="inlineStr">
        <is>
          <t>Sveaskog</t>
        </is>
      </c>
      <c r="I1056" t="n">
        <v>6.1</v>
      </c>
      <c r="J1056" t="n">
        <v>0</v>
      </c>
      <c r="K1056" t="n">
        <v>0</v>
      </c>
      <c r="L1056" t="n">
        <v>1</v>
      </c>
      <c r="M1056" t="n">
        <v>0</v>
      </c>
      <c r="N1056" t="n">
        <v>0</v>
      </c>
      <c r="O1056" t="n">
        <v>0</v>
      </c>
      <c r="P1056" t="n">
        <v>0</v>
      </c>
      <c r="Q1056" t="n">
        <v>1</v>
      </c>
      <c r="R1056" t="n">
        <v>0</v>
      </c>
      <c r="S1056" t="n">
        <v>1</v>
      </c>
      <c r="T1056" t="n">
        <v>1</v>
      </c>
      <c r="U1056" t="n">
        <v>0</v>
      </c>
      <c r="V1056" s="2" t="inlineStr">
        <is>
          <t>Lunglav</t>
        </is>
      </c>
      <c r="W1056">
        <f>HYPERLINK("https://klasma.github.io/Logging_2183/artfynd/A 39550-2026 artfynd.xlsx", "A 39550-2026")</f>
        <v/>
      </c>
      <c r="X1056">
        <f>HYPERLINK("https://klasma.github.io/Logging_2183/kartor/A 39550-2026 karta.png", "A 39550-2026")</f>
        <v/>
      </c>
      <c r="Y1056">
        <f>HYPERLINK("https://klasma.github.io/Logging_2183/kartor_geotiff/A 39550-2026 georefererad karta.tif", "A 39550-2026")</f>
        <v/>
      </c>
      <c r="AA1056">
        <f>HYPERLINK("https://klasma.github.io/Logging_2183/klagomål/A 39550-2026 FSC-klagomål.docx", "A 39550-2026")</f>
        <v/>
      </c>
      <c r="AB1056">
        <f>HYPERLINK("https://klasma.github.io/Logging_2183/klagomålsmail/A 39550-2026 FSC-klagomål mail.docx", "A 39550-2026")</f>
        <v/>
      </c>
      <c r="AC1056">
        <f>HYPERLINK("https://klasma.github.io/Logging_2183/tillsyn/A 39550-2026 tillsynsbegäran.docx", "A 39550-2026")</f>
        <v/>
      </c>
      <c r="AD1056">
        <f>HYPERLINK("https://klasma.github.io/Logging_2183/tillsynsmail/A 39550-2026 tillsynsbegäran mail.docx", "A 39550-2026")</f>
        <v/>
      </c>
    </row>
    <row r="1057" ht="15" customHeight="1">
      <c r="A1057" t="inlineStr">
        <is>
          <t>A 39551-2026</t>
        </is>
      </c>
      <c r="B1057" t="inlineStr">
        <is>
          <t>avverkningsanmälan</t>
        </is>
      </c>
      <c r="C1057" t="inlineStr">
        <is>
          <t>Föryngringsavverkning</t>
        </is>
      </c>
      <c r="D1057" s="1" t="n">
        <v>46289</v>
      </c>
      <c r="E1057" s="1" t="n">
        <v>46326</v>
      </c>
      <c r="F1057" t="inlineStr">
        <is>
          <t>GÄVLEBORGS LÄN</t>
        </is>
      </c>
      <c r="G1057" t="inlineStr">
        <is>
          <t>BOLLNÄS</t>
        </is>
      </c>
      <c r="H1057" t="inlineStr">
        <is>
          <t>Sveaskog</t>
        </is>
      </c>
      <c r="I1057" t="n">
        <v>4.5</v>
      </c>
      <c r="J1057" t="n">
        <v>1</v>
      </c>
      <c r="K1057" t="n">
        <v>0</v>
      </c>
      <c r="L1057" t="n">
        <v>0</v>
      </c>
      <c r="M1057" t="n">
        <v>0</v>
      </c>
      <c r="N1057" t="n">
        <v>0</v>
      </c>
      <c r="O1057" t="n">
        <v>0</v>
      </c>
      <c r="P1057" t="n">
        <v>0</v>
      </c>
      <c r="Q1057" t="n">
        <v>0</v>
      </c>
      <c r="R1057" t="n">
        <v>0</v>
      </c>
      <c r="S1057" t="n">
        <v>1</v>
      </c>
      <c r="T1057" t="n">
        <v>1</v>
      </c>
      <c r="U1057" t="n">
        <v>0</v>
      </c>
      <c r="V1057" s="2" t="inlineStr">
        <is>
          <t>Fläcknycklar</t>
        </is>
      </c>
      <c r="W1057">
        <f>HYPERLINK("https://klasma.github.io/Logging_2183/artfynd/A 39551-2026 artfynd.xlsx", "A 39551-2026")</f>
        <v/>
      </c>
      <c r="X1057">
        <f>HYPERLINK("https://klasma.github.io/Logging_2183/kartor/A 39551-2026 karta.png", "A 39551-2026")</f>
        <v/>
      </c>
      <c r="Y1057">
        <f>HYPERLINK("https://klasma.github.io/Logging_2183/kartor_geotiff/A 39551-2026 georefererad karta.tif", "A 39551-2026")</f>
        <v/>
      </c>
      <c r="AA1057">
        <f>HYPERLINK("https://klasma.github.io/Logging_2183/klagomål/A 39551-2026 FSC-klagomål.docx", "A 39551-2026")</f>
        <v/>
      </c>
      <c r="AB1057">
        <f>HYPERLINK("https://klasma.github.io/Logging_2183/klagomålsmail/A 39551-2026 FSC-klagomål mail.docx", "A 39551-2026")</f>
        <v/>
      </c>
      <c r="AC1057">
        <f>HYPERLINK("https://klasma.github.io/Logging_2183/tillsyn/A 39551-2026 tillsynsbegäran.docx", "A 39551-2026")</f>
        <v/>
      </c>
      <c r="AD1057">
        <f>HYPERLINK("https://klasma.github.io/Logging_2183/tillsynsmail/A 39551-2026 tillsynsbegäran mail.docx", "A 39551-2026")</f>
        <v/>
      </c>
    </row>
    <row r="1058" ht="15" customHeight="1">
      <c r="A1058" t="inlineStr">
        <is>
          <t>A 39582-2026</t>
        </is>
      </c>
      <c r="B1058" t="inlineStr">
        <is>
          <t>avverkningsanmälan</t>
        </is>
      </c>
      <c r="C1058" t="inlineStr">
        <is>
          <t>Föryngringsavverkning</t>
        </is>
      </c>
      <c r="D1058" s="1" t="n">
        <v>46289</v>
      </c>
      <c r="E1058" s="1" t="n">
        <v>46326</v>
      </c>
      <c r="F1058" t="inlineStr">
        <is>
          <t>GÄVLEBORGS LÄN</t>
        </is>
      </c>
      <c r="G1058" t="inlineStr">
        <is>
          <t>BOLLNÄS</t>
        </is>
      </c>
      <c r="H1058" t="inlineStr">
        <is>
          <t>Sveaskog</t>
        </is>
      </c>
      <c r="I1058" t="n">
        <v>16.7</v>
      </c>
      <c r="J1058" t="n">
        <v>1</v>
      </c>
      <c r="K1058" t="n">
        <v>0</v>
      </c>
      <c r="L1058" t="n">
        <v>0</v>
      </c>
      <c r="M1058" t="n">
        <v>0</v>
      </c>
      <c r="N1058" t="n">
        <v>0</v>
      </c>
      <c r="O1058" t="n">
        <v>0</v>
      </c>
      <c r="P1058" t="n">
        <v>0</v>
      </c>
      <c r="Q1058" t="n">
        <v>0</v>
      </c>
      <c r="R1058" t="n">
        <v>0</v>
      </c>
      <c r="S1058" t="n">
        <v>1</v>
      </c>
      <c r="T1058" t="n">
        <v>1</v>
      </c>
      <c r="U1058" t="n">
        <v>0</v>
      </c>
      <c r="V1058" s="2" t="inlineStr">
        <is>
          <t>Revlummer</t>
        </is>
      </c>
      <c r="W1058">
        <f>HYPERLINK("https://klasma.github.io/Logging_2183/artfynd/A 39582-2026 artfynd.xlsx", "A 39582-2026")</f>
        <v/>
      </c>
      <c r="X1058">
        <f>HYPERLINK("https://klasma.github.io/Logging_2183/kartor/A 39582-2026 karta.png", "A 39582-2026")</f>
        <v/>
      </c>
      <c r="Y1058">
        <f>HYPERLINK("https://klasma.github.io/Logging_2183/kartor_geotiff/A 39582-2026 georefererad karta.tif", "A 39582-2026")</f>
        <v/>
      </c>
      <c r="AA1058">
        <f>HYPERLINK("https://klasma.github.io/Logging_2183/klagomål/A 39582-2026 FSC-klagomål.docx", "A 39582-2026")</f>
        <v/>
      </c>
      <c r="AB1058">
        <f>HYPERLINK("https://klasma.github.io/Logging_2183/klagomålsmail/A 39582-2026 FSC-klagomål mail.docx", "A 39582-2026")</f>
        <v/>
      </c>
      <c r="AC1058">
        <f>HYPERLINK("https://klasma.github.io/Logging_2183/tillsyn/A 39582-2026 tillsynsbegäran.docx", "A 39582-2026")</f>
        <v/>
      </c>
      <c r="AD1058">
        <f>HYPERLINK("https://klasma.github.io/Logging_2183/tillsynsmail/A 39582-2026 tillsynsbegäran mail.docx", "A 39582-2026")</f>
        <v/>
      </c>
    </row>
    <row r="1059" ht="15" customHeight="1">
      <c r="A1059" t="inlineStr">
        <is>
          <t>A 18681-2025</t>
        </is>
      </c>
      <c r="B1059" t="inlineStr">
        <is>
          <t>avverkningsanmälan</t>
        </is>
      </c>
      <c r="C1059" t="inlineStr">
        <is>
          <t>Föryngringsavverkning</t>
        </is>
      </c>
      <c r="D1059" s="1" t="n">
        <v>45763</v>
      </c>
      <c r="E1059" s="1" t="n">
        <v>46326</v>
      </c>
      <c r="F1059" t="inlineStr">
        <is>
          <t>GÄVLEBORGS LÄN</t>
        </is>
      </c>
      <c r="G1059" t="inlineStr">
        <is>
          <t>NORDANSTIG</t>
        </is>
      </c>
      <c r="H1059" t="inlineStr">
        <is>
          <t>Holmen skog AB</t>
        </is>
      </c>
      <c r="I1059" t="n">
        <v>6.7</v>
      </c>
      <c r="J1059" t="n">
        <v>1</v>
      </c>
      <c r="K1059" t="n">
        <v>0</v>
      </c>
      <c r="L1059" t="n">
        <v>0</v>
      </c>
      <c r="M1059" t="n">
        <v>0</v>
      </c>
      <c r="N1059" t="n">
        <v>0</v>
      </c>
      <c r="O1059" t="n">
        <v>0</v>
      </c>
      <c r="P1059" t="n">
        <v>0</v>
      </c>
      <c r="Q1059" t="n">
        <v>0</v>
      </c>
      <c r="R1059" t="n">
        <v>0</v>
      </c>
      <c r="S1059" t="n">
        <v>1</v>
      </c>
      <c r="T1059" t="n">
        <v>1</v>
      </c>
      <c r="U1059" t="n">
        <v>1</v>
      </c>
      <c r="V1059" s="2" t="inlineStr">
        <is>
          <t>Blåsippa</t>
        </is>
      </c>
      <c r="W1059">
        <f>HYPERLINK("https://klasma.github.io/Logging_2132/artfynd/A 18681-2025 artfynd.xlsx", "A 18681-2025")</f>
        <v/>
      </c>
      <c r="X1059">
        <f>HYPERLINK("https://klasma.github.io/Logging_2132/kartor/A 18681-2025 karta.png", "A 18681-2025")</f>
        <v/>
      </c>
      <c r="Y1059">
        <f>HYPERLINK("https://klasma.github.io/Logging_2132/kartor_geotiff/A 18681-2025 georefererad karta.tif", "A 18681-2025")</f>
        <v/>
      </c>
      <c r="AA1059">
        <f>HYPERLINK("https://klasma.github.io/Logging_2132/klagomål/A 18681-2025 FSC-klagomål.docx", "A 18681-2025")</f>
        <v/>
      </c>
      <c r="AB1059">
        <f>HYPERLINK("https://klasma.github.io/Logging_2132/klagomålsmail/A 18681-2025 FSC-klagomål mail.docx", "A 18681-2025")</f>
        <v/>
      </c>
      <c r="AC1059">
        <f>HYPERLINK("https://klasma.github.io/Logging_2132/tillsyn/A 18681-2025 tillsynsbegäran.docx", "A 18681-2025")</f>
        <v/>
      </c>
      <c r="AD1059">
        <f>HYPERLINK("https://klasma.github.io/Logging_2132/tillsynsmail/A 18681-2025 tillsynsbegäran mail.docx", "A 18681-2025")</f>
        <v/>
      </c>
    </row>
    <row r="1060" ht="15" customHeight="1">
      <c r="A1060" t="inlineStr">
        <is>
          <t>A 39719-2026</t>
        </is>
      </c>
      <c r="B1060" t="inlineStr">
        <is>
          <t>avverkningsanmälan</t>
        </is>
      </c>
      <c r="C1060" t="inlineStr">
        <is>
          <t>Föryngringsavverkning</t>
        </is>
      </c>
      <c r="D1060" s="1" t="n">
        <v>46290</v>
      </c>
      <c r="E1060" s="1" t="n">
        <v>46326</v>
      </c>
      <c r="F1060" t="inlineStr">
        <is>
          <t>GÄVLEBORGS LÄN</t>
        </is>
      </c>
      <c r="G1060" t="inlineStr">
        <is>
          <t>GÄVLE</t>
        </is>
      </c>
      <c r="H1060" t="inlineStr">
        <is>
          <t>Bergvik skog öst AB</t>
        </is>
      </c>
      <c r="I1060" t="n">
        <v>8.300000000000001</v>
      </c>
      <c r="J1060" t="n">
        <v>1</v>
      </c>
      <c r="K1060" t="n">
        <v>1</v>
      </c>
      <c r="L1060" t="n">
        <v>0</v>
      </c>
      <c r="M1060" t="n">
        <v>0</v>
      </c>
      <c r="N1060" t="n">
        <v>0</v>
      </c>
      <c r="O1060" t="n">
        <v>0</v>
      </c>
      <c r="P1060" t="n">
        <v>0</v>
      </c>
      <c r="Q1060" t="n">
        <v>0</v>
      </c>
      <c r="R1060" t="n">
        <v>0</v>
      </c>
      <c r="S1060" t="n">
        <v>1</v>
      </c>
      <c r="T1060" t="n">
        <v>1</v>
      </c>
      <c r="U1060" t="n">
        <v>0</v>
      </c>
      <c r="V1060" s="2" t="inlineStr">
        <is>
          <t>Plattlummer</t>
        </is>
      </c>
      <c r="W1060">
        <f>HYPERLINK("https://klasma.github.io/Logging_2180/artfynd/A 39719-2026 artfynd.xlsx", "A 39719-2026")</f>
        <v/>
      </c>
      <c r="X1060">
        <f>HYPERLINK("https://klasma.github.io/Logging_2180/kartor/A 39719-2026 karta.png", "A 39719-2026")</f>
        <v/>
      </c>
      <c r="Y1060">
        <f>HYPERLINK("https://klasma.github.io/Logging_2180/kartor_geotiff/A 39719-2026 georefererad karta.tif", "A 39719-2026")</f>
        <v/>
      </c>
      <c r="AA1060">
        <f>HYPERLINK("https://klasma.github.io/Logging_2180/klagomål/A 39719-2026 FSC-klagomål.docx", "A 39719-2026")</f>
        <v/>
      </c>
      <c r="AB1060">
        <f>HYPERLINK("https://klasma.github.io/Logging_2180/klagomålsmail/A 39719-2026 FSC-klagomål mail.docx", "A 39719-2026")</f>
        <v/>
      </c>
      <c r="AC1060">
        <f>HYPERLINK("https://klasma.github.io/Logging_2180/tillsyn/A 39719-2026 tillsynsbegäran.docx", "A 39719-2026")</f>
        <v/>
      </c>
      <c r="AD1060">
        <f>HYPERLINK("https://klasma.github.io/Logging_2180/tillsynsmail/A 39719-2026 tillsynsbegäran mail.docx", "A 39719-2026")</f>
        <v/>
      </c>
    </row>
    <row r="1061" ht="15" customHeight="1">
      <c r="A1061" t="inlineStr">
        <is>
          <t>A 33384-2024</t>
        </is>
      </c>
      <c r="B1061" t="inlineStr">
        <is>
          <t>avverkningsanmälan</t>
        </is>
      </c>
      <c r="C1061" t="inlineStr">
        <is>
          <t>Föryngringsavverkning</t>
        </is>
      </c>
      <c r="D1061" s="1" t="n">
        <v>45519</v>
      </c>
      <c r="E1061" s="1" t="n">
        <v>46326</v>
      </c>
      <c r="F1061" t="inlineStr">
        <is>
          <t>GÄVLEBORGS LÄN</t>
        </is>
      </c>
      <c r="G1061" t="inlineStr">
        <is>
          <t>OCKELBO</t>
        </is>
      </c>
      <c r="I1061" t="n">
        <v>3.8</v>
      </c>
      <c r="J1061" t="n">
        <v>1</v>
      </c>
      <c r="K1061" t="n">
        <v>1</v>
      </c>
      <c r="L1061" t="n">
        <v>0</v>
      </c>
      <c r="M1061" t="n">
        <v>0</v>
      </c>
      <c r="N1061" t="n">
        <v>0</v>
      </c>
      <c r="O1061" t="n">
        <v>0</v>
      </c>
      <c r="P1061" t="n">
        <v>0</v>
      </c>
      <c r="Q1061" t="n">
        <v>0</v>
      </c>
      <c r="R1061" t="n">
        <v>0</v>
      </c>
      <c r="S1061" t="n">
        <v>1</v>
      </c>
      <c r="T1061" t="n">
        <v>1</v>
      </c>
      <c r="U1061" t="n">
        <v>1</v>
      </c>
      <c r="V1061" s="2" t="inlineStr">
        <is>
          <t>Plattlummer</t>
        </is>
      </c>
      <c r="W1061">
        <f>HYPERLINK("https://klasma.github.io/Logging_2101/artfynd/A 33384-2024 artfynd.xlsx", "A 33384-2024")</f>
        <v/>
      </c>
      <c r="X1061">
        <f>HYPERLINK("https://klasma.github.io/Logging_2101/kartor/A 33384-2024 karta.png", "A 33384-2024")</f>
        <v/>
      </c>
      <c r="Y1061">
        <f>HYPERLINK("https://klasma.github.io/Logging_2101/kartor_geotiff/A 33384-2024 georefererad karta.tif", "A 33384-2024")</f>
        <v/>
      </c>
      <c r="AA1061">
        <f>HYPERLINK("https://klasma.github.io/Logging_2101/klagomål/A 33384-2024 FSC-klagomål.docx", "A 33384-2024")</f>
        <v/>
      </c>
      <c r="AB1061">
        <f>HYPERLINK("https://klasma.github.io/Logging_2101/klagomålsmail/A 33384-2024 FSC-klagomål mail.docx", "A 33384-2024")</f>
        <v/>
      </c>
      <c r="AC1061">
        <f>HYPERLINK("https://klasma.github.io/Logging_2101/tillsyn/A 33384-2024 tillsynsbegäran.docx", "A 33384-2024")</f>
        <v/>
      </c>
      <c r="AD1061">
        <f>HYPERLINK("https://klasma.github.io/Logging_2101/tillsynsmail/A 33384-2024 tillsynsbegäran mail.docx", "A 33384-2024")</f>
        <v/>
      </c>
    </row>
    <row r="1062" ht="15" customHeight="1">
      <c r="A1062" t="inlineStr">
        <is>
          <t>A 22131-2025</t>
        </is>
      </c>
      <c r="B1062" t="inlineStr">
        <is>
          <t>avverkningsanmälan</t>
        </is>
      </c>
      <c r="C1062" t="inlineStr">
        <is>
          <t>Föryngringsavverkning</t>
        </is>
      </c>
      <c r="D1062" s="1" t="n">
        <v>45785</v>
      </c>
      <c r="E1062" s="1" t="n">
        <v>46326</v>
      </c>
      <c r="F1062" t="inlineStr">
        <is>
          <t>GÄVLEBORGS LÄN</t>
        </is>
      </c>
      <c r="G1062" t="inlineStr">
        <is>
          <t>HUDIKSVALL</t>
        </is>
      </c>
      <c r="I1062" t="n">
        <v>6.6</v>
      </c>
      <c r="J1062" t="n">
        <v>1</v>
      </c>
      <c r="K1062" t="n">
        <v>0</v>
      </c>
      <c r="L1062" t="n">
        <v>0</v>
      </c>
      <c r="M1062" t="n">
        <v>1</v>
      </c>
      <c r="N1062" t="n">
        <v>0</v>
      </c>
      <c r="O1062" t="n">
        <v>0</v>
      </c>
      <c r="P1062" t="n">
        <v>0</v>
      </c>
      <c r="Q1062" t="n">
        <v>1</v>
      </c>
      <c r="R1062" t="n">
        <v>1</v>
      </c>
      <c r="S1062" t="n">
        <v>1</v>
      </c>
      <c r="T1062" t="n">
        <v>1</v>
      </c>
      <c r="U1062" t="n">
        <v>0</v>
      </c>
      <c r="V1062" s="2" t="inlineStr">
        <is>
          <t>Knärot</t>
        </is>
      </c>
      <c r="W1062">
        <f>HYPERLINK("https://klasma.github.io/Logging_2184/artfynd/A 22131-2025 artfynd.xlsx", "A 22131-2025")</f>
        <v/>
      </c>
      <c r="X1062">
        <f>HYPERLINK("https://klasma.github.io/Logging_2184/kartor/A 22131-2025 karta.png", "A 22131-2025")</f>
        <v/>
      </c>
      <c r="Y1062">
        <f>HYPERLINK("https://klasma.github.io/Logging_2184/kartor_geotiff/A 22131-2025 georefererad karta.tif", "A 22131-2025")</f>
        <v/>
      </c>
      <c r="Z1062">
        <f>HYPERLINK("https://klasma.github.io/Logging_2184/knärot/A 22131-2025 karta knärot.png", "A 22131-2025")</f>
        <v/>
      </c>
      <c r="AA1062">
        <f>HYPERLINK("https://klasma.github.io/Logging_2184/klagomål/A 22131-2025 FSC-klagomål.docx", "A 22131-2025")</f>
        <v/>
      </c>
      <c r="AB1062">
        <f>HYPERLINK("https://klasma.github.io/Logging_2184/klagomålsmail/A 22131-2025 FSC-klagomål mail.docx", "A 22131-2025")</f>
        <v/>
      </c>
      <c r="AC1062">
        <f>HYPERLINK("https://klasma.github.io/Logging_2184/tillsyn/A 22131-2025 tillsynsbegäran.docx", "A 22131-2025")</f>
        <v/>
      </c>
      <c r="AD1062">
        <f>HYPERLINK("https://klasma.github.io/Logging_2184/tillsynsmail/A 22131-2025 tillsynsbegäran mail.docx", "A 22131-2025")</f>
        <v/>
      </c>
    </row>
    <row r="1063" ht="15" customHeight="1">
      <c r="A1063" t="inlineStr">
        <is>
          <t>A 39923-2026</t>
        </is>
      </c>
      <c r="B1063" t="inlineStr">
        <is>
          <t>avverkningsanmälan</t>
        </is>
      </c>
      <c r="C1063" t="inlineStr">
        <is>
          <t>Föryngringsavverkning</t>
        </is>
      </c>
      <c r="D1063" s="1" t="n">
        <v>46290</v>
      </c>
      <c r="E1063" s="1" t="n">
        <v>46326</v>
      </c>
      <c r="F1063" t="inlineStr">
        <is>
          <t>GÄVLEBORGS LÄN</t>
        </is>
      </c>
      <c r="G1063" t="inlineStr">
        <is>
          <t>LJUSDAL</t>
        </is>
      </c>
      <c r="H1063" t="inlineStr">
        <is>
          <t>Sveaskog</t>
        </is>
      </c>
      <c r="I1063" t="n">
        <v>2.2</v>
      </c>
      <c r="J1063" t="n">
        <v>1</v>
      </c>
      <c r="K1063" t="n">
        <v>0</v>
      </c>
      <c r="L1063" t="n">
        <v>0</v>
      </c>
      <c r="M1063" t="n">
        <v>1</v>
      </c>
      <c r="N1063" t="n">
        <v>0</v>
      </c>
      <c r="O1063" t="n">
        <v>0</v>
      </c>
      <c r="P1063" t="n">
        <v>0</v>
      </c>
      <c r="Q1063" t="n">
        <v>1</v>
      </c>
      <c r="R1063" t="n">
        <v>1</v>
      </c>
      <c r="S1063" t="n">
        <v>1</v>
      </c>
      <c r="T1063" t="n">
        <v>1</v>
      </c>
      <c r="U1063" t="n">
        <v>0</v>
      </c>
      <c r="V1063" s="2" t="inlineStr">
        <is>
          <t>Knärot</t>
        </is>
      </c>
      <c r="W1063">
        <f>HYPERLINK("https://klasma.github.io/Logging_2161/artfynd/A 39923-2026 artfynd.xlsx", "A 39923-2026")</f>
        <v/>
      </c>
      <c r="X1063">
        <f>HYPERLINK("https://klasma.github.io/Logging_2161/kartor/A 39923-2026 karta.png", "A 39923-2026")</f>
        <v/>
      </c>
      <c r="Y1063">
        <f>HYPERLINK("https://klasma.github.io/Logging_2161/kartor_geotiff/A 39923-2026 georefererad karta.tif", "A 39923-2026")</f>
        <v/>
      </c>
      <c r="Z1063">
        <f>HYPERLINK("https://klasma.github.io/Logging_2161/knärot/A 39923-2026 karta knärot.png", "A 39923-2026")</f>
        <v/>
      </c>
      <c r="AA1063">
        <f>HYPERLINK("https://klasma.github.io/Logging_2161/klagomål/A 39923-2026 FSC-klagomål.docx", "A 39923-2026")</f>
        <v/>
      </c>
      <c r="AB1063">
        <f>HYPERLINK("https://klasma.github.io/Logging_2161/klagomålsmail/A 39923-2026 FSC-klagomål mail.docx", "A 39923-2026")</f>
        <v/>
      </c>
      <c r="AC1063">
        <f>HYPERLINK("https://klasma.github.io/Logging_2161/tillsyn/A 39923-2026 tillsynsbegäran.docx", "A 39923-2026")</f>
        <v/>
      </c>
      <c r="AD1063">
        <f>HYPERLINK("https://klasma.github.io/Logging_2161/tillsynsmail/A 39923-2026 tillsynsbegäran mail.docx", "A 39923-2026")</f>
        <v/>
      </c>
    </row>
    <row r="1064" ht="15" customHeight="1">
      <c r="A1064" t="inlineStr">
        <is>
          <t>A 33474-2026</t>
        </is>
      </c>
      <c r="B1064" t="inlineStr">
        <is>
          <t>avverkningsanmälan</t>
        </is>
      </c>
      <c r="C1064" t="inlineStr">
        <is>
          <t>Föryngringsavverkning</t>
        </is>
      </c>
      <c r="D1064" s="1" t="n">
        <v>46247</v>
      </c>
      <c r="E1064" s="1" t="n">
        <v>46326</v>
      </c>
      <c r="F1064" t="inlineStr">
        <is>
          <t>GÄVLEBORGS LÄN</t>
        </is>
      </c>
      <c r="G1064" t="inlineStr">
        <is>
          <t>LJUSDAL</t>
        </is>
      </c>
      <c r="H1064" t="inlineStr">
        <is>
          <t>Sveaskog</t>
        </is>
      </c>
      <c r="I1064" t="n">
        <v>6.2</v>
      </c>
      <c r="J1064" t="n">
        <v>0</v>
      </c>
      <c r="K1064" t="n">
        <v>0</v>
      </c>
      <c r="L1064" t="n">
        <v>1</v>
      </c>
      <c r="M1064" t="n">
        <v>0</v>
      </c>
      <c r="N1064" t="n">
        <v>0</v>
      </c>
      <c r="O1064" t="n">
        <v>0</v>
      </c>
      <c r="P1064" t="n">
        <v>0</v>
      </c>
      <c r="Q1064" t="n">
        <v>1</v>
      </c>
      <c r="R1064" t="n">
        <v>0</v>
      </c>
      <c r="S1064" t="n">
        <v>1</v>
      </c>
      <c r="T1064" t="n">
        <v>1</v>
      </c>
      <c r="U1064" t="n">
        <v>1</v>
      </c>
      <c r="V1064" s="2" t="inlineStr">
        <is>
          <t>Lunglav</t>
        </is>
      </c>
      <c r="W1064">
        <f>HYPERLINK("https://klasma.github.io/Logging_2161/artfynd/A 33474-2026 artfynd.xlsx", "A 33474-2026")</f>
        <v/>
      </c>
      <c r="X1064">
        <f>HYPERLINK("https://klasma.github.io/Logging_2161/kartor/A 33474-2026 karta.png", "A 33474-2026")</f>
        <v/>
      </c>
      <c r="Y1064">
        <f>HYPERLINK("https://klasma.github.io/Logging_2161/kartor_geotiff/A 33474-2026 georefererad karta.tif", "A 33474-2026")</f>
        <v/>
      </c>
      <c r="AA1064">
        <f>HYPERLINK("https://klasma.github.io/Logging_2161/klagomål/A 33474-2026 FSC-klagomål.docx", "A 33474-2026")</f>
        <v/>
      </c>
      <c r="AB1064">
        <f>HYPERLINK("https://klasma.github.io/Logging_2161/klagomålsmail/A 33474-2026 FSC-klagomål mail.docx", "A 33474-2026")</f>
        <v/>
      </c>
      <c r="AC1064">
        <f>HYPERLINK("https://klasma.github.io/Logging_2161/tillsyn/A 33474-2026 tillsynsbegäran.docx", "A 33474-2026")</f>
        <v/>
      </c>
      <c r="AD1064">
        <f>HYPERLINK("https://klasma.github.io/Logging_2161/tillsynsmail/A 33474-2026 tillsynsbegäran mail.docx", "A 33474-2026")</f>
        <v/>
      </c>
    </row>
    <row r="1065" ht="15" customHeight="1">
      <c r="A1065" t="inlineStr">
        <is>
          <t>A 40127-2026</t>
        </is>
      </c>
      <c r="B1065" t="inlineStr">
        <is>
          <t>avverkningsanmälan</t>
        </is>
      </c>
      <c r="C1065" t="inlineStr">
        <is>
          <t>Föryngringsavverkning</t>
        </is>
      </c>
      <c r="D1065" s="1" t="n">
        <v>46293</v>
      </c>
      <c r="E1065" s="1" t="n">
        <v>46326</v>
      </c>
      <c r="F1065" t="inlineStr">
        <is>
          <t>GÄVLEBORGS LÄN</t>
        </is>
      </c>
      <c r="G1065" t="inlineStr">
        <is>
          <t>BOLLNÄS</t>
        </is>
      </c>
      <c r="H1065" t="inlineStr">
        <is>
          <t>Bergvik skog väst AB</t>
        </is>
      </c>
      <c r="I1065" t="n">
        <v>15</v>
      </c>
      <c r="J1065" t="n">
        <v>1</v>
      </c>
      <c r="K1065" t="n">
        <v>0</v>
      </c>
      <c r="L1065" t="n">
        <v>0</v>
      </c>
      <c r="M1065" t="n">
        <v>0</v>
      </c>
      <c r="N1065" t="n">
        <v>0</v>
      </c>
      <c r="O1065" t="n">
        <v>0</v>
      </c>
      <c r="P1065" t="n">
        <v>0</v>
      </c>
      <c r="Q1065" t="n">
        <v>0</v>
      </c>
      <c r="R1065" t="n">
        <v>0</v>
      </c>
      <c r="S1065" t="n">
        <v>1</v>
      </c>
      <c r="T1065" t="n">
        <v>1</v>
      </c>
      <c r="U1065" t="n">
        <v>0</v>
      </c>
      <c r="V1065" s="2" t="inlineStr">
        <is>
          <t>Järpe</t>
        </is>
      </c>
      <c r="W1065">
        <f>HYPERLINK("https://klasma.github.io/Logging_2183/artfynd/A 40127-2026 artfynd.xlsx", "A 40127-2026")</f>
        <v/>
      </c>
      <c r="X1065">
        <f>HYPERLINK("https://klasma.github.io/Logging_2183/kartor/A 40127-2026 karta.png", "A 40127-2026")</f>
        <v/>
      </c>
      <c r="Y1065">
        <f>HYPERLINK("https://klasma.github.io/Logging_2183/kartor_geotiff/A 40127-2026 georefererad karta.tif", "A 40127-2026")</f>
        <v/>
      </c>
      <c r="AA1065">
        <f>HYPERLINK("https://klasma.github.io/Logging_2183/klagomål/A 40127-2026 FSC-klagomål.docx", "A 40127-2026")</f>
        <v/>
      </c>
      <c r="AB1065">
        <f>HYPERLINK("https://klasma.github.io/Logging_2183/klagomålsmail/A 40127-2026 FSC-klagomål mail.docx", "A 40127-2026")</f>
        <v/>
      </c>
      <c r="AC1065">
        <f>HYPERLINK("https://klasma.github.io/Logging_2183/tillsyn/A 40127-2026 tillsynsbegäran.docx", "A 40127-2026")</f>
        <v/>
      </c>
      <c r="AD1065">
        <f>HYPERLINK("https://klasma.github.io/Logging_2183/tillsynsmail/A 40127-2026 tillsynsbegäran mail.docx", "A 40127-2026")</f>
        <v/>
      </c>
      <c r="AE1065">
        <f>HYPERLINK("https://klasma.github.io/Logging_2183/fåglar/A 40127-2026 prioriterade fågelarter.docx", "A 40127-2026")</f>
        <v/>
      </c>
    </row>
    <row r="1066" ht="15" customHeight="1">
      <c r="A1066" t="inlineStr">
        <is>
          <t>A 39763-2026</t>
        </is>
      </c>
      <c r="B1066" t="inlineStr">
        <is>
          <t>avverkningsanmälan</t>
        </is>
      </c>
      <c r="C1066" t="inlineStr">
        <is>
          <t>Föryngringsavverkning</t>
        </is>
      </c>
      <c r="D1066" s="1" t="n">
        <v>46290</v>
      </c>
      <c r="E1066" s="1" t="n">
        <v>46326</v>
      </c>
      <c r="F1066" t="inlineStr">
        <is>
          <t>GÄVLEBORGS LÄN</t>
        </is>
      </c>
      <c r="G1066" t="inlineStr">
        <is>
          <t>GÄVLE</t>
        </is>
      </c>
      <c r="H1066" t="inlineStr">
        <is>
          <t>Bergvik skog väst AB</t>
        </is>
      </c>
      <c r="I1066" t="n">
        <v>0.7</v>
      </c>
      <c r="J1066" t="n">
        <v>1</v>
      </c>
      <c r="K1066" t="n">
        <v>0</v>
      </c>
      <c r="L1066" t="n">
        <v>0</v>
      </c>
      <c r="M1066" t="n">
        <v>0</v>
      </c>
      <c r="N1066" t="n">
        <v>0</v>
      </c>
      <c r="O1066" t="n">
        <v>0</v>
      </c>
      <c r="P1066" t="n">
        <v>0</v>
      </c>
      <c r="Q1066" t="n">
        <v>0</v>
      </c>
      <c r="R1066" t="n">
        <v>0</v>
      </c>
      <c r="S1066" t="n">
        <v>1</v>
      </c>
      <c r="T1066" t="n">
        <v>1</v>
      </c>
      <c r="U1066" t="n">
        <v>0</v>
      </c>
      <c r="V1066" s="2" t="inlineStr">
        <is>
          <t>Fläcknycklar</t>
        </is>
      </c>
      <c r="W1066">
        <f>HYPERLINK("https://klasma.github.io/Logging_2180/artfynd/A 39763-2026 artfynd.xlsx", "A 39763-2026")</f>
        <v/>
      </c>
      <c r="X1066">
        <f>HYPERLINK("https://klasma.github.io/Logging_2180/kartor/A 39763-2026 karta.png", "A 39763-2026")</f>
        <v/>
      </c>
      <c r="Y1066">
        <f>HYPERLINK("https://klasma.github.io/Logging_2180/kartor_geotiff/A 39763-2026 georefererad karta.tif", "A 39763-2026")</f>
        <v/>
      </c>
      <c r="AA1066">
        <f>HYPERLINK("https://klasma.github.io/Logging_2180/klagomål/A 39763-2026 FSC-klagomål.docx", "A 39763-2026")</f>
        <v/>
      </c>
      <c r="AB1066">
        <f>HYPERLINK("https://klasma.github.io/Logging_2180/klagomålsmail/A 39763-2026 FSC-klagomål mail.docx", "A 39763-2026")</f>
        <v/>
      </c>
      <c r="AC1066">
        <f>HYPERLINK("https://klasma.github.io/Logging_2180/tillsyn/A 39763-2026 tillsynsbegäran.docx", "A 39763-2026")</f>
        <v/>
      </c>
      <c r="AD1066">
        <f>HYPERLINK("https://klasma.github.io/Logging_2180/tillsynsmail/A 39763-2026 tillsynsbegäran mail.docx", "A 39763-2026")</f>
        <v/>
      </c>
    </row>
    <row r="1067" ht="15" customHeight="1">
      <c r="A1067" t="inlineStr">
        <is>
          <t>A 23225-2026</t>
        </is>
      </c>
      <c r="B1067" t="inlineStr">
        <is>
          <t>avverkningsanmälan</t>
        </is>
      </c>
      <c r="C1067" t="inlineStr">
        <is>
          <t>Föryngringsavverkning</t>
        </is>
      </c>
      <c r="D1067" s="1" t="n">
        <v>46162</v>
      </c>
      <c r="E1067" s="1" t="n">
        <v>46326</v>
      </c>
      <c r="F1067" t="inlineStr">
        <is>
          <t>GÄVLEBORGS LÄN</t>
        </is>
      </c>
      <c r="G1067" t="inlineStr">
        <is>
          <t>SANDVIKEN</t>
        </is>
      </c>
      <c r="H1067" t="inlineStr">
        <is>
          <t>Bergvik skog öst AB</t>
        </is>
      </c>
      <c r="I1067" t="n">
        <v>1.3</v>
      </c>
      <c r="J1067" t="n">
        <v>1</v>
      </c>
      <c r="K1067" t="n">
        <v>0</v>
      </c>
      <c r="L1067" t="n">
        <v>1</v>
      </c>
      <c r="M1067" t="n">
        <v>0</v>
      </c>
      <c r="N1067" t="n">
        <v>0</v>
      </c>
      <c r="O1067" t="n">
        <v>0</v>
      </c>
      <c r="P1067" t="n">
        <v>0</v>
      </c>
      <c r="Q1067" t="n">
        <v>1</v>
      </c>
      <c r="R1067" t="n">
        <v>0</v>
      </c>
      <c r="S1067" t="n">
        <v>1</v>
      </c>
      <c r="T1067" t="n">
        <v>1</v>
      </c>
      <c r="U1067" t="n">
        <v>0</v>
      </c>
      <c r="V1067" s="2" t="inlineStr">
        <is>
          <t>Rödvingetrast</t>
        </is>
      </c>
      <c r="W1067">
        <f>HYPERLINK("https://klasma.github.io/Logging_2181/artfynd/A 23225-2026 artfynd.xlsx", "A 23225-2026")</f>
        <v/>
      </c>
      <c r="X1067">
        <f>HYPERLINK("https://klasma.github.io/Logging_2181/kartor/A 23225-2026 karta.png", "A 23225-2026")</f>
        <v/>
      </c>
      <c r="Y1067">
        <f>HYPERLINK("https://klasma.github.io/Logging_2181/kartor_geotiff/A 23225-2026 georefererad karta.tif", "A 23225-2026")</f>
        <v/>
      </c>
      <c r="AA1067">
        <f>HYPERLINK("https://klasma.github.io/Logging_2181/klagomål/A 23225-2026 FSC-klagomål.docx", "A 23225-2026")</f>
        <v/>
      </c>
      <c r="AB1067">
        <f>HYPERLINK("https://klasma.github.io/Logging_2181/klagomålsmail/A 23225-2026 FSC-klagomål mail.docx", "A 23225-2026")</f>
        <v/>
      </c>
      <c r="AC1067">
        <f>HYPERLINK("https://klasma.github.io/Logging_2181/tillsyn/A 23225-2026 tillsynsbegäran.docx", "A 23225-2026")</f>
        <v/>
      </c>
      <c r="AD1067">
        <f>HYPERLINK("https://klasma.github.io/Logging_2181/tillsynsmail/A 23225-2026 tillsynsbegäran mail.docx", "A 23225-2026")</f>
        <v/>
      </c>
      <c r="AE1067">
        <f>HYPERLINK("https://klasma.github.io/Logging_2181/fåglar/A 23225-2026 prioriterade fågelarter.docx", "A 23225-2026")</f>
        <v/>
      </c>
    </row>
    <row r="1068" ht="15" customHeight="1">
      <c r="A1068" t="inlineStr">
        <is>
          <t>A 34041-2026</t>
        </is>
      </c>
      <c r="B1068" t="inlineStr">
        <is>
          <t>avverkningsanmälan</t>
        </is>
      </c>
      <c r="C1068" t="inlineStr">
        <is>
          <t>Föryngringsavverkning</t>
        </is>
      </c>
      <c r="D1068" s="1" t="n">
        <v>46252</v>
      </c>
      <c r="E1068" s="1" t="n">
        <v>46326</v>
      </c>
      <c r="F1068" t="inlineStr">
        <is>
          <t>GÄVLEBORGS LÄN</t>
        </is>
      </c>
      <c r="G1068" t="inlineStr">
        <is>
          <t>LJUSDAL</t>
        </is>
      </c>
      <c r="H1068" t="inlineStr">
        <is>
          <t>Sveaskog</t>
        </is>
      </c>
      <c r="I1068" t="n">
        <v>2.1</v>
      </c>
      <c r="J1068" t="n">
        <v>0</v>
      </c>
      <c r="K1068" t="n">
        <v>0</v>
      </c>
      <c r="L1068" t="n">
        <v>0</v>
      </c>
      <c r="M1068" t="n">
        <v>1</v>
      </c>
      <c r="N1068" t="n">
        <v>0</v>
      </c>
      <c r="O1068" t="n">
        <v>0</v>
      </c>
      <c r="P1068" t="n">
        <v>0</v>
      </c>
      <c r="Q1068" t="n">
        <v>1</v>
      </c>
      <c r="R1068" t="n">
        <v>1</v>
      </c>
      <c r="S1068" t="n">
        <v>1</v>
      </c>
      <c r="T1068" t="n">
        <v>1</v>
      </c>
      <c r="U1068" t="n">
        <v>0</v>
      </c>
      <c r="V1068" s="2" t="inlineStr">
        <is>
          <t>Glesgröe</t>
        </is>
      </c>
      <c r="W1068">
        <f>HYPERLINK("https://klasma.github.io/Logging_2161/artfynd/A 34041-2026 artfynd.xlsx", "A 34041-2026")</f>
        <v/>
      </c>
      <c r="X1068">
        <f>HYPERLINK("https://klasma.github.io/Logging_2161/kartor/A 34041-2026 karta.png", "A 34041-2026")</f>
        <v/>
      </c>
      <c r="Y1068">
        <f>HYPERLINK("https://klasma.github.io/Logging_2161/kartor_geotiff/A 34041-2026 georefererad karta.tif", "A 34041-2026")</f>
        <v/>
      </c>
      <c r="AA1068">
        <f>HYPERLINK("https://klasma.github.io/Logging_2161/klagomål/A 34041-2026 FSC-klagomål.docx", "A 34041-2026")</f>
        <v/>
      </c>
      <c r="AB1068">
        <f>HYPERLINK("https://klasma.github.io/Logging_2161/klagomålsmail/A 34041-2026 FSC-klagomål mail.docx", "A 34041-2026")</f>
        <v/>
      </c>
      <c r="AC1068">
        <f>HYPERLINK("https://klasma.github.io/Logging_2161/tillsyn/A 34041-2026 tillsynsbegäran.docx", "A 34041-2026")</f>
        <v/>
      </c>
      <c r="AD1068">
        <f>HYPERLINK("https://klasma.github.io/Logging_2161/tillsynsmail/A 34041-2026 tillsynsbegäran mail.docx", "A 34041-2026")</f>
        <v/>
      </c>
    </row>
    <row r="1069" ht="15" customHeight="1">
      <c r="A1069" t="inlineStr">
        <is>
          <t>A 34086-2026</t>
        </is>
      </c>
      <c r="B1069" t="inlineStr">
        <is>
          <t>avverkningsanmälan</t>
        </is>
      </c>
      <c r="C1069" t="inlineStr">
        <is>
          <t>Föryngringsavverkning</t>
        </is>
      </c>
      <c r="D1069" s="1" t="n">
        <v>46252</v>
      </c>
      <c r="E1069" s="1" t="n">
        <v>46326</v>
      </c>
      <c r="F1069" t="inlineStr">
        <is>
          <t>GÄVLEBORGS LÄN</t>
        </is>
      </c>
      <c r="G1069" t="inlineStr">
        <is>
          <t>GÄVLE</t>
        </is>
      </c>
      <c r="H1069" t="inlineStr">
        <is>
          <t>Bergvik skog öst AB</t>
        </is>
      </c>
      <c r="I1069" t="n">
        <v>6.1</v>
      </c>
      <c r="J1069" t="n">
        <v>0</v>
      </c>
      <c r="K1069" t="n">
        <v>1</v>
      </c>
      <c r="L1069" t="n">
        <v>0</v>
      </c>
      <c r="M1069" t="n">
        <v>0</v>
      </c>
      <c r="N1069" t="n">
        <v>0</v>
      </c>
      <c r="O1069" t="n">
        <v>0</v>
      </c>
      <c r="P1069" t="n">
        <v>0</v>
      </c>
      <c r="Q1069" t="n">
        <v>0</v>
      </c>
      <c r="R1069" t="n">
        <v>0</v>
      </c>
      <c r="S1069" t="n">
        <v>1</v>
      </c>
      <c r="T1069" t="n">
        <v>1</v>
      </c>
      <c r="U1069" t="n">
        <v>0</v>
      </c>
      <c r="V1069" s="2" t="inlineStr">
        <is>
          <t>Gullgröppa</t>
        </is>
      </c>
      <c r="W1069">
        <f>HYPERLINK("https://klasma.github.io/Logging_2180/artfynd/A 34086-2026 artfynd.xlsx", "A 34086-2026")</f>
        <v/>
      </c>
      <c r="X1069">
        <f>HYPERLINK("https://klasma.github.io/Logging_2180/kartor/A 34086-2026 karta.png", "A 34086-2026")</f>
        <v/>
      </c>
      <c r="Y1069">
        <f>HYPERLINK("https://klasma.github.io/Logging_2180/kartor_geotiff/A 34086-2026 georefererad karta.tif", "A 34086-2026")</f>
        <v/>
      </c>
      <c r="AA1069">
        <f>HYPERLINK("https://klasma.github.io/Logging_2180/klagomål/A 34086-2026 FSC-klagomål.docx", "A 34086-2026")</f>
        <v/>
      </c>
      <c r="AB1069">
        <f>HYPERLINK("https://klasma.github.io/Logging_2180/klagomålsmail/A 34086-2026 FSC-klagomål mail.docx", "A 34086-2026")</f>
        <v/>
      </c>
      <c r="AC1069">
        <f>HYPERLINK("https://klasma.github.io/Logging_2180/tillsyn/A 34086-2026 tillsynsbegäran.docx", "A 34086-2026")</f>
        <v/>
      </c>
      <c r="AD1069">
        <f>HYPERLINK("https://klasma.github.io/Logging_2180/tillsynsmail/A 34086-2026 tillsynsbegäran mail.docx", "A 34086-2026")</f>
        <v/>
      </c>
    </row>
    <row r="1070" ht="15" customHeight="1">
      <c r="A1070" t="inlineStr">
        <is>
          <t>A 33886-2026</t>
        </is>
      </c>
      <c r="B1070" t="inlineStr">
        <is>
          <t>avverkningsanmälan</t>
        </is>
      </c>
      <c r="C1070" t="inlineStr">
        <is>
          <t>Föryngringsavverkning</t>
        </is>
      </c>
      <c r="D1070" s="1" t="n">
        <v>46251</v>
      </c>
      <c r="E1070" s="1" t="n">
        <v>46326</v>
      </c>
      <c r="F1070" t="inlineStr">
        <is>
          <t>GÄVLEBORGS LÄN</t>
        </is>
      </c>
      <c r="G1070" t="inlineStr">
        <is>
          <t>LJUSDAL</t>
        </is>
      </c>
      <c r="H1070" t="inlineStr">
        <is>
          <t>Sveaskog</t>
        </is>
      </c>
      <c r="I1070" t="n">
        <v>1.6</v>
      </c>
      <c r="J1070" t="n">
        <v>0</v>
      </c>
      <c r="K1070" t="n">
        <v>0</v>
      </c>
      <c r="L1070" t="n">
        <v>1</v>
      </c>
      <c r="M1070" t="n">
        <v>0</v>
      </c>
      <c r="N1070" t="n">
        <v>0</v>
      </c>
      <c r="O1070" t="n">
        <v>0</v>
      </c>
      <c r="P1070" t="n">
        <v>0</v>
      </c>
      <c r="Q1070" t="n">
        <v>1</v>
      </c>
      <c r="R1070" t="n">
        <v>0</v>
      </c>
      <c r="S1070" t="n">
        <v>1</v>
      </c>
      <c r="T1070" t="n">
        <v>1</v>
      </c>
      <c r="U1070" t="n">
        <v>0</v>
      </c>
      <c r="V1070" s="2" t="inlineStr">
        <is>
          <t>Kolflarnlav</t>
        </is>
      </c>
      <c r="W1070">
        <f>HYPERLINK("https://klasma.github.io/Logging_2161/artfynd/A 33886-2026 artfynd.xlsx", "A 33886-2026")</f>
        <v/>
      </c>
      <c r="X1070">
        <f>HYPERLINK("https://klasma.github.io/Logging_2161/kartor/A 33886-2026 karta.png", "A 33886-2026")</f>
        <v/>
      </c>
      <c r="Y1070">
        <f>HYPERLINK("https://klasma.github.io/Logging_2161/kartor_geotiff/A 33886-2026 georefererad karta.tif", "A 33886-2026")</f>
        <v/>
      </c>
      <c r="Z1070">
        <f>HYPERLINK("https://klasma.github.io/Logging_2161/knärot/A 33886-2026 karta knärot.png", "A 33886-2026")</f>
        <v/>
      </c>
      <c r="AA1070">
        <f>HYPERLINK("https://klasma.github.io/Logging_2161/klagomål/A 33886-2026 FSC-klagomål.docx", "A 33886-2026")</f>
        <v/>
      </c>
      <c r="AB1070">
        <f>HYPERLINK("https://klasma.github.io/Logging_2161/klagomålsmail/A 33886-2026 FSC-klagomål mail.docx", "A 33886-2026")</f>
        <v/>
      </c>
      <c r="AC1070">
        <f>HYPERLINK("https://klasma.github.io/Logging_2161/tillsyn/A 33886-2026 tillsynsbegäran.docx", "A 33886-2026")</f>
        <v/>
      </c>
      <c r="AD1070">
        <f>HYPERLINK("https://klasma.github.io/Logging_2161/tillsynsmail/A 33886-2026 tillsynsbegäran mail.docx", "A 33886-2026")</f>
        <v/>
      </c>
    </row>
    <row r="1071" ht="15" customHeight="1">
      <c r="A1071" t="inlineStr">
        <is>
          <t>A 23333-2025</t>
        </is>
      </c>
      <c r="B1071" t="inlineStr">
        <is>
          <t>avverkningsanmälan</t>
        </is>
      </c>
      <c r="C1071" t="inlineStr">
        <is>
          <t>Föryngringsavverkning</t>
        </is>
      </c>
      <c r="D1071" s="1" t="n">
        <v>45791</v>
      </c>
      <c r="E1071" s="1" t="n">
        <v>46326</v>
      </c>
      <c r="F1071" t="inlineStr">
        <is>
          <t>GÄVLEBORGS LÄN</t>
        </is>
      </c>
      <c r="G1071" t="inlineStr">
        <is>
          <t>NORDANSTIG</t>
        </is>
      </c>
      <c r="H1071" t="inlineStr">
        <is>
          <t>Holmen skog AB</t>
        </is>
      </c>
      <c r="I1071" t="n">
        <v>19.1</v>
      </c>
      <c r="J1071" t="n">
        <v>1</v>
      </c>
      <c r="K1071" t="n">
        <v>0</v>
      </c>
      <c r="L1071" t="n">
        <v>0</v>
      </c>
      <c r="M1071" t="n">
        <v>0</v>
      </c>
      <c r="N1071" t="n">
        <v>0</v>
      </c>
      <c r="O1071" t="n">
        <v>0</v>
      </c>
      <c r="P1071" t="n">
        <v>0</v>
      </c>
      <c r="Q1071" t="n">
        <v>0</v>
      </c>
      <c r="R1071" t="n">
        <v>0</v>
      </c>
      <c r="S1071" t="n">
        <v>1</v>
      </c>
      <c r="T1071" t="n">
        <v>1</v>
      </c>
      <c r="U1071" t="n">
        <v>1</v>
      </c>
      <c r="V1071" s="2" t="inlineStr">
        <is>
          <t>Spillkråka</t>
        </is>
      </c>
      <c r="W1071">
        <f>HYPERLINK("https://klasma.github.io/Logging_2132/artfynd/A 23333-2025 artfynd.xlsx", "A 23333-2025")</f>
        <v/>
      </c>
      <c r="X1071">
        <f>HYPERLINK("https://klasma.github.io/Logging_2132/kartor/A 23333-2025 karta.png", "A 23333-2025")</f>
        <v/>
      </c>
      <c r="Y1071">
        <f>HYPERLINK("https://klasma.github.io/Logging_2132/kartor_geotiff/A 23333-2025 georefererad karta.tif", "A 23333-2025")</f>
        <v/>
      </c>
      <c r="AA1071">
        <f>HYPERLINK("https://klasma.github.io/Logging_2132/klagomål/A 23333-2025 FSC-klagomål.docx", "A 23333-2025")</f>
        <v/>
      </c>
      <c r="AB1071">
        <f>HYPERLINK("https://klasma.github.io/Logging_2132/klagomålsmail/A 23333-2025 FSC-klagomål mail.docx", "A 23333-2025")</f>
        <v/>
      </c>
      <c r="AC1071">
        <f>HYPERLINK("https://klasma.github.io/Logging_2132/tillsyn/A 23333-2025 tillsynsbegäran.docx", "A 23333-2025")</f>
        <v/>
      </c>
      <c r="AD1071">
        <f>HYPERLINK("https://klasma.github.io/Logging_2132/tillsynsmail/A 23333-2025 tillsynsbegäran mail.docx", "A 23333-2025")</f>
        <v/>
      </c>
      <c r="AE1071">
        <f>HYPERLINK("https://klasma.github.io/Logging_2132/fåglar/A 23333-2025 prioriterade fågelarter.docx", "A 23333-2025")</f>
        <v/>
      </c>
    </row>
    <row r="1072" ht="15" customHeight="1">
      <c r="A1072" t="inlineStr">
        <is>
          <t>A 22859-2025</t>
        </is>
      </c>
      <c r="B1072" t="inlineStr">
        <is>
          <t>avverkningsanmälan</t>
        </is>
      </c>
      <c r="C1072" t="inlineStr">
        <is>
          <t>Föryngringsavverkning</t>
        </is>
      </c>
      <c r="D1072" s="1" t="n">
        <v>45790</v>
      </c>
      <c r="E1072" s="1" t="n">
        <v>46326</v>
      </c>
      <c r="F1072" t="inlineStr">
        <is>
          <t>GÄVLEBORGS LÄN</t>
        </is>
      </c>
      <c r="G1072" t="inlineStr">
        <is>
          <t>HUDIKSVALL</t>
        </is>
      </c>
      <c r="H1072" t="inlineStr">
        <is>
          <t>Holmen skog AB</t>
        </is>
      </c>
      <c r="I1072" t="n">
        <v>14.7</v>
      </c>
      <c r="J1072" t="n">
        <v>1</v>
      </c>
      <c r="K1072" t="n">
        <v>0</v>
      </c>
      <c r="L1072" t="n">
        <v>0</v>
      </c>
      <c r="M1072" t="n">
        <v>1</v>
      </c>
      <c r="N1072" t="n">
        <v>0</v>
      </c>
      <c r="O1072" t="n">
        <v>0</v>
      </c>
      <c r="P1072" t="n">
        <v>0</v>
      </c>
      <c r="Q1072" t="n">
        <v>1</v>
      </c>
      <c r="R1072" t="n">
        <v>1</v>
      </c>
      <c r="S1072" t="n">
        <v>1</v>
      </c>
      <c r="T1072" t="n">
        <v>1</v>
      </c>
      <c r="U1072" t="n">
        <v>0</v>
      </c>
      <c r="V1072" s="2" t="inlineStr">
        <is>
          <t>Knärot</t>
        </is>
      </c>
      <c r="W1072">
        <f>HYPERLINK("https://klasma.github.io/Logging_2184/artfynd/A 22859-2025 artfynd.xlsx", "A 22859-2025")</f>
        <v/>
      </c>
      <c r="X1072">
        <f>HYPERLINK("https://klasma.github.io/Logging_2184/kartor/A 22859-2025 karta.png", "A 22859-2025")</f>
        <v/>
      </c>
      <c r="Y1072">
        <f>HYPERLINK("https://klasma.github.io/Logging_2184/kartor_geotiff/A 22859-2025 georefererad karta.tif", "A 22859-2025")</f>
        <v/>
      </c>
      <c r="Z1072">
        <f>HYPERLINK("https://klasma.github.io/Logging_2184/knärot/A 22859-2025 karta knärot.png", "A 22859-2025")</f>
        <v/>
      </c>
      <c r="AA1072">
        <f>HYPERLINK("https://klasma.github.io/Logging_2184/klagomål/A 22859-2025 FSC-klagomål.docx", "A 22859-2025")</f>
        <v/>
      </c>
      <c r="AB1072">
        <f>HYPERLINK("https://klasma.github.io/Logging_2184/klagomålsmail/A 22859-2025 FSC-klagomål mail.docx", "A 22859-2025")</f>
        <v/>
      </c>
      <c r="AC1072">
        <f>HYPERLINK("https://klasma.github.io/Logging_2184/tillsyn/A 22859-2025 tillsynsbegäran.docx", "A 22859-2025")</f>
        <v/>
      </c>
      <c r="AD1072">
        <f>HYPERLINK("https://klasma.github.io/Logging_2184/tillsynsmail/A 22859-2025 tillsynsbegäran mail.docx", "A 22859-2025")</f>
        <v/>
      </c>
    </row>
    <row r="1073" ht="15" customHeight="1">
      <c r="A1073" t="inlineStr">
        <is>
          <t>A 40279-2026</t>
        </is>
      </c>
      <c r="B1073" t="inlineStr">
        <is>
          <t>avverkningsanmälan</t>
        </is>
      </c>
      <c r="C1073" t="inlineStr">
        <is>
          <t>Föryngringsavverkning</t>
        </is>
      </c>
      <c r="D1073" s="1" t="n">
        <v>46294</v>
      </c>
      <c r="E1073" s="1" t="n">
        <v>46326</v>
      </c>
      <c r="F1073" t="inlineStr">
        <is>
          <t>GÄVLEBORGS LÄN</t>
        </is>
      </c>
      <c r="G1073" t="inlineStr">
        <is>
          <t>GÄVLE</t>
        </is>
      </c>
      <c r="H1073" t="inlineStr">
        <is>
          <t>Bergvik skog väst AB</t>
        </is>
      </c>
      <c r="I1073" t="n">
        <v>1.2</v>
      </c>
      <c r="J1073" t="n">
        <v>1</v>
      </c>
      <c r="K1073" t="n">
        <v>0</v>
      </c>
      <c r="L1073" t="n">
        <v>0</v>
      </c>
      <c r="M1073" t="n">
        <v>0</v>
      </c>
      <c r="N1073" t="n">
        <v>0</v>
      </c>
      <c r="O1073" t="n">
        <v>0</v>
      </c>
      <c r="P1073" t="n">
        <v>0</v>
      </c>
      <c r="Q1073" t="n">
        <v>0</v>
      </c>
      <c r="R1073" t="n">
        <v>0</v>
      </c>
      <c r="S1073" t="n">
        <v>1</v>
      </c>
      <c r="T1073" t="n">
        <v>1</v>
      </c>
      <c r="U1073" t="n">
        <v>0</v>
      </c>
      <c r="V1073" s="2" t="inlineStr">
        <is>
          <t>Myggblomster</t>
        </is>
      </c>
      <c r="W1073">
        <f>HYPERLINK("https://klasma.github.io/Logging_2180/artfynd/A 40279-2026 artfynd.xlsx", "A 40279-2026")</f>
        <v/>
      </c>
      <c r="X1073">
        <f>HYPERLINK("https://klasma.github.io/Logging_2180/kartor/A 40279-2026 karta.png", "A 40279-2026")</f>
        <v/>
      </c>
      <c r="Y1073">
        <f>HYPERLINK("https://klasma.github.io/Logging_2180/kartor_geotiff/A 40279-2026 georefererad karta.tif", "A 40279-2026")</f>
        <v/>
      </c>
      <c r="AA1073">
        <f>HYPERLINK("https://klasma.github.io/Logging_2180/klagomål/A 40279-2026 FSC-klagomål.docx", "A 40279-2026")</f>
        <v/>
      </c>
      <c r="AB1073">
        <f>HYPERLINK("https://klasma.github.io/Logging_2180/klagomålsmail/A 40279-2026 FSC-klagomål mail.docx", "A 40279-2026")</f>
        <v/>
      </c>
      <c r="AC1073">
        <f>HYPERLINK("https://klasma.github.io/Logging_2180/tillsyn/A 40279-2026 tillsynsbegäran.docx", "A 40279-2026")</f>
        <v/>
      </c>
      <c r="AD1073">
        <f>HYPERLINK("https://klasma.github.io/Logging_2180/tillsynsmail/A 40279-2026 tillsynsbegäran mail.docx", "A 40279-2026")</f>
        <v/>
      </c>
    </row>
    <row r="1074" ht="15" customHeight="1">
      <c r="A1074" t="inlineStr">
        <is>
          <t>A 33997-2026</t>
        </is>
      </c>
      <c r="B1074" t="inlineStr">
        <is>
          <t>avverkningsanmälan</t>
        </is>
      </c>
      <c r="C1074" t="inlineStr">
        <is>
          <t>Föryngringsavverkning</t>
        </is>
      </c>
      <c r="D1074" s="1" t="n">
        <v>46252</v>
      </c>
      <c r="E1074" s="1" t="n">
        <v>46326</v>
      </c>
      <c r="F1074" t="inlineStr">
        <is>
          <t>GÄVLEBORGS LÄN</t>
        </is>
      </c>
      <c r="G1074" t="inlineStr">
        <is>
          <t>HOFORS</t>
        </is>
      </c>
      <c r="H1074" t="inlineStr">
        <is>
          <t>Sveaskog</t>
        </is>
      </c>
      <c r="I1074" t="n">
        <v>10.3</v>
      </c>
      <c r="J1074" t="n">
        <v>1</v>
      </c>
      <c r="K1074" t="n">
        <v>0</v>
      </c>
      <c r="L1074" t="n">
        <v>0</v>
      </c>
      <c r="M1074" t="n">
        <v>1</v>
      </c>
      <c r="N1074" t="n">
        <v>0</v>
      </c>
      <c r="O1074" t="n">
        <v>0</v>
      </c>
      <c r="P1074" t="n">
        <v>0</v>
      </c>
      <c r="Q1074" t="n">
        <v>1</v>
      </c>
      <c r="R1074" t="n">
        <v>1</v>
      </c>
      <c r="S1074" t="n">
        <v>1</v>
      </c>
      <c r="T1074" t="n">
        <v>1</v>
      </c>
      <c r="U1074" t="n">
        <v>0</v>
      </c>
      <c r="V1074" s="2" t="inlineStr">
        <is>
          <t>Knärot</t>
        </is>
      </c>
      <c r="W1074">
        <f>HYPERLINK("https://klasma.github.io/Logging_2104/artfynd/A 33997-2026 artfynd.xlsx", "A 33997-2026")</f>
        <v/>
      </c>
      <c r="X1074">
        <f>HYPERLINK("https://klasma.github.io/Logging_2104/kartor/A 33997-2026 karta.png", "A 33997-2026")</f>
        <v/>
      </c>
      <c r="Y1074">
        <f>HYPERLINK("https://klasma.github.io/Logging_2104/kartor_geotiff/A 33997-2026 georefererad karta.tif", "A 33997-2026")</f>
        <v/>
      </c>
      <c r="Z1074">
        <f>HYPERLINK("https://klasma.github.io/Logging_2104/knärot/A 33997-2026 karta knärot.png", "A 33997-2026")</f>
        <v/>
      </c>
      <c r="AA1074">
        <f>HYPERLINK("https://klasma.github.io/Logging_2104/klagomål/A 33997-2026 FSC-klagomål.docx", "A 33997-2026")</f>
        <v/>
      </c>
      <c r="AB1074">
        <f>HYPERLINK("https://klasma.github.io/Logging_2104/klagomålsmail/A 33997-2026 FSC-klagomål mail.docx", "A 33997-2026")</f>
        <v/>
      </c>
      <c r="AC1074">
        <f>HYPERLINK("https://klasma.github.io/Logging_2104/tillsyn/A 33997-2026 tillsynsbegäran.docx", "A 33997-2026")</f>
        <v/>
      </c>
      <c r="AD1074">
        <f>HYPERLINK("https://klasma.github.io/Logging_2104/tillsynsmail/A 33997-2026 tillsynsbegäran mail.docx", "A 33997-2026")</f>
        <v/>
      </c>
    </row>
    <row r="1075" ht="15" customHeight="1">
      <c r="A1075" t="inlineStr">
        <is>
          <t>A 23732-2025</t>
        </is>
      </c>
      <c r="B1075" t="inlineStr">
        <is>
          <t>avverkningsanmälan</t>
        </is>
      </c>
      <c r="C1075" t="inlineStr">
        <is>
          <t>Föryngringsavverkning</t>
        </is>
      </c>
      <c r="D1075" s="1" t="n">
        <v>45793</v>
      </c>
      <c r="E1075" s="1" t="n">
        <v>46326</v>
      </c>
      <c r="F1075" t="inlineStr">
        <is>
          <t>GÄVLEBORGS LÄN</t>
        </is>
      </c>
      <c r="G1075" t="inlineStr">
        <is>
          <t>HUDIKSVALL</t>
        </is>
      </c>
      <c r="H1075" t="inlineStr">
        <is>
          <t>Sveaskog</t>
        </is>
      </c>
      <c r="I1075" t="n">
        <v>11.9</v>
      </c>
      <c r="J1075" t="n">
        <v>0</v>
      </c>
      <c r="K1075" t="n">
        <v>1</v>
      </c>
      <c r="L1075" t="n">
        <v>0</v>
      </c>
      <c r="M1075" t="n">
        <v>0</v>
      </c>
      <c r="N1075" t="n">
        <v>0</v>
      </c>
      <c r="O1075" t="n">
        <v>0</v>
      </c>
      <c r="P1075" t="n">
        <v>0</v>
      </c>
      <c r="Q1075" t="n">
        <v>0</v>
      </c>
      <c r="R1075" t="n">
        <v>0</v>
      </c>
      <c r="S1075" t="n">
        <v>1</v>
      </c>
      <c r="T1075" t="n">
        <v>1</v>
      </c>
      <c r="U1075" t="n">
        <v>1</v>
      </c>
      <c r="V1075" s="2" t="inlineStr">
        <is>
          <t>Tibast</t>
        </is>
      </c>
      <c r="W1075">
        <f>HYPERLINK("https://klasma.github.io/Logging_2184/artfynd/A 23732-2025 artfynd.xlsx", "A 23732-2025")</f>
        <v/>
      </c>
      <c r="X1075">
        <f>HYPERLINK("https://klasma.github.io/Logging_2184/kartor/A 23732-2025 karta.png", "A 23732-2025")</f>
        <v/>
      </c>
      <c r="Y1075">
        <f>HYPERLINK("https://klasma.github.io/Logging_2184/kartor_geotiff/A 23732-2025 georefererad karta.tif", "A 23732-2025")</f>
        <v/>
      </c>
      <c r="AA1075">
        <f>HYPERLINK("https://klasma.github.io/Logging_2184/klagomål/A 23732-2025 FSC-klagomål.docx", "A 23732-2025")</f>
        <v/>
      </c>
      <c r="AB1075">
        <f>HYPERLINK("https://klasma.github.io/Logging_2184/klagomålsmail/A 23732-2025 FSC-klagomål mail.docx", "A 23732-2025")</f>
        <v/>
      </c>
      <c r="AC1075">
        <f>HYPERLINK("https://klasma.github.io/Logging_2184/tillsyn/A 23732-2025 tillsynsbegäran.docx", "A 23732-2025")</f>
        <v/>
      </c>
      <c r="AD1075">
        <f>HYPERLINK("https://klasma.github.io/Logging_2184/tillsynsmail/A 23732-2025 tillsynsbegäran mail.docx", "A 23732-2025")</f>
        <v/>
      </c>
    </row>
    <row r="1076" ht="15" customHeight="1">
      <c r="A1076" t="inlineStr">
        <is>
          <t>A 33832-2026</t>
        </is>
      </c>
      <c r="B1076" t="inlineStr">
        <is>
          <t>avverkningsanmälan</t>
        </is>
      </c>
      <c r="C1076" t="inlineStr">
        <is>
          <t>Föryngringsavverkning</t>
        </is>
      </c>
      <c r="D1076" s="1" t="n">
        <v>46251</v>
      </c>
      <c r="E1076" s="1" t="n">
        <v>46326</v>
      </c>
      <c r="F1076" t="inlineStr">
        <is>
          <t>GÄVLEBORGS LÄN</t>
        </is>
      </c>
      <c r="G1076" t="inlineStr">
        <is>
          <t>GÄVLE</t>
        </is>
      </c>
      <c r="I1076" t="n">
        <v>3.1</v>
      </c>
      <c r="J1076" t="n">
        <v>0</v>
      </c>
      <c r="K1076" t="n">
        <v>0</v>
      </c>
      <c r="L1076" t="n">
        <v>0</v>
      </c>
      <c r="M1076" t="n">
        <v>1</v>
      </c>
      <c r="N1076" t="n">
        <v>0</v>
      </c>
      <c r="O1076" t="n">
        <v>0</v>
      </c>
      <c r="P1076" t="n">
        <v>0</v>
      </c>
      <c r="Q1076" t="n">
        <v>1</v>
      </c>
      <c r="R1076" t="n">
        <v>1</v>
      </c>
      <c r="S1076" t="n">
        <v>1</v>
      </c>
      <c r="T1076" t="n">
        <v>1</v>
      </c>
      <c r="U1076" t="n">
        <v>0</v>
      </c>
      <c r="V1076" s="2" t="inlineStr">
        <is>
          <t>Garnlav</t>
        </is>
      </c>
      <c r="W1076">
        <f>HYPERLINK("https://klasma.github.io/Logging_2180/artfynd/A 33832-2026 artfynd.xlsx", "A 33832-2026")</f>
        <v/>
      </c>
      <c r="X1076">
        <f>HYPERLINK("https://klasma.github.io/Logging_2180/kartor/A 33832-2026 karta.png", "A 33832-2026")</f>
        <v/>
      </c>
      <c r="Y1076">
        <f>HYPERLINK("https://klasma.github.io/Logging_2180/kartor_geotiff/A 33832-2026 georefererad karta.tif", "A 33832-2026")</f>
        <v/>
      </c>
      <c r="AA1076">
        <f>HYPERLINK("https://klasma.github.io/Logging_2180/klagomål/A 33832-2026 FSC-klagomål.docx", "A 33832-2026")</f>
        <v/>
      </c>
      <c r="AB1076">
        <f>HYPERLINK("https://klasma.github.io/Logging_2180/klagomålsmail/A 33832-2026 FSC-klagomål mail.docx", "A 33832-2026")</f>
        <v/>
      </c>
      <c r="AC1076">
        <f>HYPERLINK("https://klasma.github.io/Logging_2180/tillsyn/A 33832-2026 tillsynsbegäran.docx", "A 33832-2026")</f>
        <v/>
      </c>
      <c r="AD1076">
        <f>HYPERLINK("https://klasma.github.io/Logging_2180/tillsynsmail/A 33832-2026 tillsynsbegäran mail.docx", "A 33832-2026")</f>
        <v/>
      </c>
    </row>
    <row r="1077" ht="15" customHeight="1">
      <c r="A1077" t="inlineStr">
        <is>
          <t>A 31125-2023</t>
        </is>
      </c>
      <c r="B1077" t="inlineStr">
        <is>
          <t>avverkningsanmälan</t>
        </is>
      </c>
      <c r="C1077" t="inlineStr">
        <is>
          <t>Föryngringsavverkning</t>
        </is>
      </c>
      <c r="D1077" s="1" t="n">
        <v>45113</v>
      </c>
      <c r="E1077" s="1" t="n">
        <v>46326</v>
      </c>
      <c r="F1077" t="inlineStr">
        <is>
          <t>GÄVLEBORGS LÄN</t>
        </is>
      </c>
      <c r="G1077" t="inlineStr">
        <is>
          <t>LJUSDAL</t>
        </is>
      </c>
      <c r="H1077" t="inlineStr">
        <is>
          <t>Sveaskog</t>
        </is>
      </c>
      <c r="I1077" t="n">
        <v>1.8</v>
      </c>
      <c r="J1077" t="n">
        <v>0</v>
      </c>
      <c r="K1077" t="n">
        <v>1</v>
      </c>
      <c r="L1077" t="n">
        <v>0</v>
      </c>
      <c r="M1077" t="n">
        <v>0</v>
      </c>
      <c r="N1077" t="n">
        <v>0</v>
      </c>
      <c r="O1077" t="n">
        <v>0</v>
      </c>
      <c r="P1077" t="n">
        <v>0</v>
      </c>
      <c r="Q1077" t="n">
        <v>0</v>
      </c>
      <c r="R1077" t="n">
        <v>0</v>
      </c>
      <c r="S1077" t="n">
        <v>1</v>
      </c>
      <c r="T1077" t="n">
        <v>1</v>
      </c>
      <c r="U1077" t="n">
        <v>1</v>
      </c>
      <c r="V1077" s="2" t="inlineStr">
        <is>
          <t>Stuplav</t>
        </is>
      </c>
      <c r="W1077">
        <f>HYPERLINK("https://klasma.github.io/Logging_2161/artfynd/A 31125-2023 artfynd.xlsx", "A 31125-2023")</f>
        <v/>
      </c>
      <c r="X1077">
        <f>HYPERLINK("https://klasma.github.io/Logging_2161/kartor/A 31125-2023 karta.png", "A 31125-2023")</f>
        <v/>
      </c>
      <c r="Y1077">
        <f>HYPERLINK("https://klasma.github.io/Logging_2161/kartor_geotiff/A 31125-2023 georefererad karta.tif", "A 31125-2023")</f>
        <v/>
      </c>
      <c r="AA1077">
        <f>HYPERLINK("https://klasma.github.io/Logging_2161/klagomål/A 31125-2023 FSC-klagomål.docx", "A 31125-2023")</f>
        <v/>
      </c>
      <c r="AB1077">
        <f>HYPERLINK("https://klasma.github.io/Logging_2161/klagomålsmail/A 31125-2023 FSC-klagomål mail.docx", "A 31125-2023")</f>
        <v/>
      </c>
      <c r="AC1077">
        <f>HYPERLINK("https://klasma.github.io/Logging_2161/tillsyn/A 31125-2023 tillsynsbegäran.docx", "A 31125-2023")</f>
        <v/>
      </c>
      <c r="AD1077">
        <f>HYPERLINK("https://klasma.github.io/Logging_2161/tillsynsmail/A 31125-2023 tillsynsbegäran mail.docx", "A 31125-2023")</f>
        <v/>
      </c>
    </row>
    <row r="1078" ht="15" customHeight="1">
      <c r="A1078" t="inlineStr">
        <is>
          <t>A 33883-2026</t>
        </is>
      </c>
      <c r="B1078" t="inlineStr">
        <is>
          <t>avverkningsanmälan</t>
        </is>
      </c>
      <c r="C1078" t="inlineStr">
        <is>
          <t>Föryngringsavverkning</t>
        </is>
      </c>
      <c r="D1078" s="1" t="n">
        <v>46251</v>
      </c>
      <c r="E1078" s="1" t="n">
        <v>46326</v>
      </c>
      <c r="F1078" t="inlineStr">
        <is>
          <t>GÄVLEBORGS LÄN</t>
        </is>
      </c>
      <c r="G1078" t="inlineStr">
        <is>
          <t>LJUSDAL</t>
        </is>
      </c>
      <c r="H1078" t="inlineStr">
        <is>
          <t>Sveaskog</t>
        </is>
      </c>
      <c r="I1078" t="n">
        <v>3.5</v>
      </c>
      <c r="J1078" t="n">
        <v>1</v>
      </c>
      <c r="K1078" t="n">
        <v>1</v>
      </c>
      <c r="L1078" t="n">
        <v>0</v>
      </c>
      <c r="M1078" t="n">
        <v>0</v>
      </c>
      <c r="N1078" t="n">
        <v>0</v>
      </c>
      <c r="O1078" t="n">
        <v>0</v>
      </c>
      <c r="P1078" t="n">
        <v>0</v>
      </c>
      <c r="Q1078" t="n">
        <v>0</v>
      </c>
      <c r="R1078" t="n">
        <v>0</v>
      </c>
      <c r="S1078" t="n">
        <v>1</v>
      </c>
      <c r="T1078" t="n">
        <v>2</v>
      </c>
      <c r="U1078" t="n">
        <v>1</v>
      </c>
      <c r="V1078" s="2" t="inlineStr">
        <is>
          <t>Plattlummer</t>
        </is>
      </c>
      <c r="W1078">
        <f>HYPERLINK("https://klasma.github.io/Logging_2161/artfynd/A 33883-2026 artfynd.xlsx", "A 33883-2026")</f>
        <v/>
      </c>
      <c r="X1078">
        <f>HYPERLINK("https://klasma.github.io/Logging_2161/kartor/A 33883-2026 karta.png", "A 33883-2026")</f>
        <v/>
      </c>
      <c r="Y1078">
        <f>HYPERLINK("https://klasma.github.io/Logging_2161/kartor_geotiff/A 33883-2026 georefererad karta.tif", "A 33883-2026")</f>
        <v/>
      </c>
      <c r="AA1078">
        <f>HYPERLINK("https://klasma.github.io/Logging_2161/klagomål/A 33883-2026 FSC-klagomål.docx", "A 33883-2026")</f>
        <v/>
      </c>
      <c r="AB1078">
        <f>HYPERLINK("https://klasma.github.io/Logging_2161/klagomålsmail/A 33883-2026 FSC-klagomål mail.docx", "A 33883-2026")</f>
        <v/>
      </c>
      <c r="AC1078">
        <f>HYPERLINK("https://klasma.github.io/Logging_2161/tillsyn/A 33883-2026 tillsynsbegäran.docx", "A 33883-2026")</f>
        <v/>
      </c>
      <c r="AD1078">
        <f>HYPERLINK("https://klasma.github.io/Logging_2161/tillsynsmail/A 33883-2026 tillsynsbegäran mail.docx", "A 33883-2026")</f>
        <v/>
      </c>
    </row>
    <row r="1079" ht="15" customHeight="1">
      <c r="A1079" t="inlineStr">
        <is>
          <t>A 24400-2025</t>
        </is>
      </c>
      <c r="B1079" t="inlineStr">
        <is>
          <t>avverkningsanmälan</t>
        </is>
      </c>
      <c r="C1079" t="inlineStr">
        <is>
          <t>Föryngringsavverkning</t>
        </is>
      </c>
      <c r="D1079" s="1" t="n">
        <v>45797</v>
      </c>
      <c r="E1079" s="1" t="n">
        <v>46326</v>
      </c>
      <c r="F1079" t="inlineStr">
        <is>
          <t>GÄVLEBORGS LÄN</t>
        </is>
      </c>
      <c r="G1079" t="inlineStr">
        <is>
          <t>LJUSDAL</t>
        </is>
      </c>
      <c r="I1079" t="n">
        <v>4.9</v>
      </c>
      <c r="J1079" t="n">
        <v>0</v>
      </c>
      <c r="K1079" t="n">
        <v>0</v>
      </c>
      <c r="L1079" t="n">
        <v>1</v>
      </c>
      <c r="M1079" t="n">
        <v>0</v>
      </c>
      <c r="N1079" t="n">
        <v>0</v>
      </c>
      <c r="O1079" t="n">
        <v>0</v>
      </c>
      <c r="P1079" t="n">
        <v>0</v>
      </c>
      <c r="Q1079" t="n">
        <v>1</v>
      </c>
      <c r="R1079" t="n">
        <v>0</v>
      </c>
      <c r="S1079" t="n">
        <v>1</v>
      </c>
      <c r="T1079" t="n">
        <v>1</v>
      </c>
      <c r="U1079" t="n">
        <v>0</v>
      </c>
      <c r="V1079" s="2" t="inlineStr">
        <is>
          <t>Violettgrå tagellav</t>
        </is>
      </c>
      <c r="W1079">
        <f>HYPERLINK("https://klasma.github.io/Logging_2161/artfynd/A 24400-2025 artfynd.xlsx", "A 24400-2025")</f>
        <v/>
      </c>
      <c r="X1079">
        <f>HYPERLINK("https://klasma.github.io/Logging_2161/kartor/A 24400-2025 karta.png", "A 24400-2025")</f>
        <v/>
      </c>
      <c r="Y1079">
        <f>HYPERLINK("https://klasma.github.io/Logging_2161/kartor_geotiff/A 24400-2025 georefererad karta.tif", "A 24400-2025")</f>
        <v/>
      </c>
      <c r="AA1079">
        <f>HYPERLINK("https://klasma.github.io/Logging_2161/klagomål/A 24400-2025 FSC-klagomål.docx", "A 24400-2025")</f>
        <v/>
      </c>
      <c r="AB1079">
        <f>HYPERLINK("https://klasma.github.io/Logging_2161/klagomålsmail/A 24400-2025 FSC-klagomål mail.docx", "A 24400-2025")</f>
        <v/>
      </c>
      <c r="AC1079">
        <f>HYPERLINK("https://klasma.github.io/Logging_2161/tillsyn/A 24400-2025 tillsynsbegäran.docx", "A 24400-2025")</f>
        <v/>
      </c>
      <c r="AD1079">
        <f>HYPERLINK("https://klasma.github.io/Logging_2161/tillsynsmail/A 24400-2025 tillsynsbegäran mail.docx", "A 24400-2025")</f>
        <v/>
      </c>
    </row>
    <row r="1080" ht="15" customHeight="1">
      <c r="A1080" t="inlineStr">
        <is>
          <t>A 6060-2026</t>
        </is>
      </c>
      <c r="B1080" t="inlineStr">
        <is>
          <t>avverkningsanmälan</t>
        </is>
      </c>
      <c r="C1080" t="inlineStr">
        <is>
          <t>Föryngringsavverkning</t>
        </is>
      </c>
      <c r="D1080" s="1" t="n">
        <v>46052</v>
      </c>
      <c r="E1080" s="1" t="n">
        <v>46326</v>
      </c>
      <c r="F1080" t="inlineStr">
        <is>
          <t>GÄVLEBORGS LÄN</t>
        </is>
      </c>
      <c r="G1080" t="inlineStr">
        <is>
          <t>SÖDERHAMN</t>
        </is>
      </c>
      <c r="I1080" t="n">
        <v>2.9</v>
      </c>
      <c r="J1080" t="n">
        <v>0</v>
      </c>
      <c r="K1080" t="n">
        <v>1</v>
      </c>
      <c r="L1080" t="n">
        <v>0</v>
      </c>
      <c r="M1080" t="n">
        <v>0</v>
      </c>
      <c r="N1080" t="n">
        <v>0</v>
      </c>
      <c r="O1080" t="n">
        <v>0</v>
      </c>
      <c r="P1080" t="n">
        <v>0</v>
      </c>
      <c r="Q1080" t="n">
        <v>0</v>
      </c>
      <c r="R1080" t="n">
        <v>0</v>
      </c>
      <c r="S1080" t="n">
        <v>1</v>
      </c>
      <c r="T1080" t="n">
        <v>1</v>
      </c>
      <c r="U1080" t="n">
        <v>0</v>
      </c>
      <c r="V1080" s="2" t="inlineStr">
        <is>
          <t>Barkticka</t>
        </is>
      </c>
      <c r="W1080">
        <f>HYPERLINK("https://klasma.github.io/Logging_2182/artfynd/A 6060-2026 artfynd.xlsx", "A 6060-2026")</f>
        <v/>
      </c>
      <c r="X1080">
        <f>HYPERLINK("https://klasma.github.io/Logging_2182/kartor/A 6060-2026 karta.png", "A 6060-2026")</f>
        <v/>
      </c>
      <c r="Y1080">
        <f>HYPERLINK("https://klasma.github.io/Logging_2182/kartor_geotiff/A 6060-2026 georefererad karta.tif", "A 6060-2026")</f>
        <v/>
      </c>
      <c r="AA1080">
        <f>HYPERLINK("https://klasma.github.io/Logging_2182/klagomål/A 6060-2026 FSC-klagomål.docx", "A 6060-2026")</f>
        <v/>
      </c>
      <c r="AB1080">
        <f>HYPERLINK("https://klasma.github.io/Logging_2182/klagomålsmail/A 6060-2026 FSC-klagomål mail.docx", "A 6060-2026")</f>
        <v/>
      </c>
      <c r="AC1080">
        <f>HYPERLINK("https://klasma.github.io/Logging_2182/tillsyn/A 6060-2026 tillsynsbegäran.docx", "A 6060-2026")</f>
        <v/>
      </c>
      <c r="AD1080">
        <f>HYPERLINK("https://klasma.github.io/Logging_2182/tillsynsmail/A 6060-2026 tillsynsbegäran mail.docx", "A 6060-2026")</f>
        <v/>
      </c>
    </row>
    <row r="1081" ht="15" customHeight="1">
      <c r="A1081" t="inlineStr">
        <is>
          <t>A 34406-2026</t>
        </is>
      </c>
      <c r="B1081" t="inlineStr">
        <is>
          <t>avverkningsanmälan</t>
        </is>
      </c>
      <c r="C1081" t="inlineStr">
        <is>
          <t>Föryngringsavverkning</t>
        </is>
      </c>
      <c r="D1081" s="1" t="n">
        <v>46254</v>
      </c>
      <c r="E1081" s="1" t="n">
        <v>46326</v>
      </c>
      <c r="F1081" t="inlineStr">
        <is>
          <t>GÄVLEBORGS LÄN</t>
        </is>
      </c>
      <c r="G1081" t="inlineStr">
        <is>
          <t>SANDVIKEN</t>
        </is>
      </c>
      <c r="I1081" t="n">
        <v>15.1</v>
      </c>
      <c r="J1081" t="n">
        <v>0</v>
      </c>
      <c r="K1081" t="n">
        <v>0</v>
      </c>
      <c r="L1081" t="n">
        <v>1</v>
      </c>
      <c r="M1081" t="n">
        <v>0</v>
      </c>
      <c r="N1081" t="n">
        <v>0</v>
      </c>
      <c r="O1081" t="n">
        <v>0</v>
      </c>
      <c r="P1081" t="n">
        <v>0</v>
      </c>
      <c r="Q1081" t="n">
        <v>1</v>
      </c>
      <c r="R1081" t="n">
        <v>0</v>
      </c>
      <c r="S1081" t="n">
        <v>1</v>
      </c>
      <c r="T1081" t="n">
        <v>1</v>
      </c>
      <c r="U1081" t="n">
        <v>0</v>
      </c>
      <c r="V1081" s="2" t="inlineStr">
        <is>
          <t>Loppstarr</t>
        </is>
      </c>
      <c r="W1081">
        <f>HYPERLINK("https://klasma.github.io/Logging_2181/artfynd/A 34406-2026 artfynd.xlsx", "A 34406-2026")</f>
        <v/>
      </c>
      <c r="X1081">
        <f>HYPERLINK("https://klasma.github.io/Logging_2181/kartor/A 34406-2026 karta.png", "A 34406-2026")</f>
        <v/>
      </c>
      <c r="Y1081">
        <f>HYPERLINK("https://klasma.github.io/Logging_2181/kartor_geotiff/A 34406-2026 georefererad karta.tif", "A 34406-2026")</f>
        <v/>
      </c>
      <c r="AA1081">
        <f>HYPERLINK("https://klasma.github.io/Logging_2181/klagomål/A 34406-2026 FSC-klagomål.docx", "A 34406-2026")</f>
        <v/>
      </c>
      <c r="AB1081">
        <f>HYPERLINK("https://klasma.github.io/Logging_2181/klagomålsmail/A 34406-2026 FSC-klagomål mail.docx", "A 34406-2026")</f>
        <v/>
      </c>
      <c r="AC1081">
        <f>HYPERLINK("https://klasma.github.io/Logging_2181/tillsyn/A 34406-2026 tillsynsbegäran.docx", "A 34406-2026")</f>
        <v/>
      </c>
      <c r="AD1081">
        <f>HYPERLINK("https://klasma.github.io/Logging_2181/tillsynsmail/A 34406-2026 tillsynsbegäran mail.docx", "A 34406-2026")</f>
        <v/>
      </c>
    </row>
    <row r="1082" ht="15" customHeight="1">
      <c r="A1082" t="inlineStr">
        <is>
          <t>A 40934-2026</t>
        </is>
      </c>
      <c r="B1082" t="inlineStr">
        <is>
          <t>avverkningsanmälan</t>
        </is>
      </c>
      <c r="C1082" t="inlineStr">
        <is>
          <t>Föryngringsavverkning</t>
        </is>
      </c>
      <c r="D1082" s="1" t="n">
        <v>46297</v>
      </c>
      <c r="E1082" s="1" t="n">
        <v>46326</v>
      </c>
      <c r="F1082" t="inlineStr">
        <is>
          <t>GÄVLEBORGS LÄN</t>
        </is>
      </c>
      <c r="G1082" t="inlineStr">
        <is>
          <t>LJUSDAL</t>
        </is>
      </c>
      <c r="H1082" t="inlineStr">
        <is>
          <t>Sveaskog</t>
        </is>
      </c>
      <c r="I1082" t="n">
        <v>15.3</v>
      </c>
      <c r="J1082" t="n">
        <v>0</v>
      </c>
      <c r="K1082" t="n">
        <v>0</v>
      </c>
      <c r="L1082" t="n">
        <v>0</v>
      </c>
      <c r="M1082" t="n">
        <v>1</v>
      </c>
      <c r="N1082" t="n">
        <v>0</v>
      </c>
      <c r="O1082" t="n">
        <v>0</v>
      </c>
      <c r="P1082" t="n">
        <v>0</v>
      </c>
      <c r="Q1082" t="n">
        <v>1</v>
      </c>
      <c r="R1082" t="n">
        <v>1</v>
      </c>
      <c r="S1082" t="n">
        <v>1</v>
      </c>
      <c r="T1082" t="n">
        <v>1</v>
      </c>
      <c r="U1082" t="n">
        <v>0</v>
      </c>
      <c r="V1082" s="2" t="inlineStr">
        <is>
          <t>Garnlav</t>
        </is>
      </c>
      <c r="W1082">
        <f>HYPERLINK("https://klasma.github.io/Logging_2161/artfynd/A 40934-2026 artfynd.xlsx", "A 40934-2026")</f>
        <v/>
      </c>
      <c r="X1082">
        <f>HYPERLINK("https://klasma.github.io/Logging_2161/kartor/A 40934-2026 karta.png", "A 40934-2026")</f>
        <v/>
      </c>
      <c r="Y1082">
        <f>HYPERLINK("https://klasma.github.io/Logging_2161/kartor_geotiff/A 40934-2026 georefererad karta.tif", "A 40934-2026")</f>
        <v/>
      </c>
      <c r="AA1082">
        <f>HYPERLINK("https://klasma.github.io/Logging_2161/klagomål/A 40934-2026 FSC-klagomål.docx", "A 40934-2026")</f>
        <v/>
      </c>
      <c r="AB1082">
        <f>HYPERLINK("https://klasma.github.io/Logging_2161/klagomålsmail/A 40934-2026 FSC-klagomål mail.docx", "A 40934-2026")</f>
        <v/>
      </c>
      <c r="AC1082">
        <f>HYPERLINK("https://klasma.github.io/Logging_2161/tillsyn/A 40934-2026 tillsynsbegäran.docx", "A 40934-2026")</f>
        <v/>
      </c>
      <c r="AD1082">
        <f>HYPERLINK("https://klasma.github.io/Logging_2161/tillsynsmail/A 40934-2026 tillsynsbegäran mail.docx", "A 40934-2026")</f>
        <v/>
      </c>
    </row>
    <row r="1083" ht="15" customHeight="1">
      <c r="A1083" t="inlineStr">
        <is>
          <t>A 17251-2026</t>
        </is>
      </c>
      <c r="B1083" t="inlineStr">
        <is>
          <t>avverkningsanmälan</t>
        </is>
      </c>
      <c r="C1083" t="inlineStr">
        <is>
          <t>Föryngringsavverkning</t>
        </is>
      </c>
      <c r="D1083" s="1" t="n">
        <v>46119</v>
      </c>
      <c r="E1083" s="1" t="n">
        <v>46326</v>
      </c>
      <c r="F1083" t="inlineStr">
        <is>
          <t>GÄVLEBORGS LÄN</t>
        </is>
      </c>
      <c r="G1083" t="inlineStr">
        <is>
          <t>GÄVLE</t>
        </is>
      </c>
      <c r="I1083" t="n">
        <v>2</v>
      </c>
      <c r="J1083" t="n">
        <v>1</v>
      </c>
      <c r="K1083" t="n">
        <v>0</v>
      </c>
      <c r="L1083" t="n">
        <v>0</v>
      </c>
      <c r="M1083" t="n">
        <v>0</v>
      </c>
      <c r="N1083" t="n">
        <v>0</v>
      </c>
      <c r="O1083" t="n">
        <v>0</v>
      </c>
      <c r="P1083" t="n">
        <v>0</v>
      </c>
      <c r="Q1083" t="n">
        <v>0</v>
      </c>
      <c r="R1083" t="n">
        <v>0</v>
      </c>
      <c r="S1083" t="n">
        <v>1</v>
      </c>
      <c r="T1083" t="n">
        <v>1</v>
      </c>
      <c r="U1083" t="n">
        <v>0</v>
      </c>
      <c r="V1083" s="2" t="inlineStr">
        <is>
          <t>Blåsippa</t>
        </is>
      </c>
      <c r="W1083">
        <f>HYPERLINK("https://klasma.github.io/Logging_2180/artfynd/A 17251-2026 artfynd.xlsx", "A 17251-2026")</f>
        <v/>
      </c>
      <c r="X1083">
        <f>HYPERLINK("https://klasma.github.io/Logging_2180/kartor/A 17251-2026 karta.png", "A 17251-2026")</f>
        <v/>
      </c>
      <c r="Y1083">
        <f>HYPERLINK("https://klasma.github.io/Logging_2180/kartor_geotiff/A 17251-2026 georefererad karta.tif", "A 17251-2026")</f>
        <v/>
      </c>
      <c r="AA1083">
        <f>HYPERLINK("https://klasma.github.io/Logging_2180/klagomål/A 17251-2026 FSC-klagomål.docx", "A 17251-2026")</f>
        <v/>
      </c>
      <c r="AB1083">
        <f>HYPERLINK("https://klasma.github.io/Logging_2180/klagomålsmail/A 17251-2026 FSC-klagomål mail.docx", "A 17251-2026")</f>
        <v/>
      </c>
      <c r="AC1083">
        <f>HYPERLINK("https://klasma.github.io/Logging_2180/tillsyn/A 17251-2026 tillsynsbegäran.docx", "A 17251-2026")</f>
        <v/>
      </c>
      <c r="AD1083">
        <f>HYPERLINK("https://klasma.github.io/Logging_2180/tillsynsmail/A 17251-2026 tillsynsbegäran mail.docx", "A 17251-2026")</f>
        <v/>
      </c>
    </row>
    <row r="1084" ht="15" customHeight="1">
      <c r="A1084" t="inlineStr">
        <is>
          <t>A 33885-2026</t>
        </is>
      </c>
      <c r="B1084" t="inlineStr">
        <is>
          <t>avverkningsanmälan</t>
        </is>
      </c>
      <c r="C1084" t="inlineStr">
        <is>
          <t>Föryngringsavverkning</t>
        </is>
      </c>
      <c r="D1084" s="1" t="n">
        <v>46251</v>
      </c>
      <c r="E1084" s="1" t="n">
        <v>46326</v>
      </c>
      <c r="F1084" t="inlineStr">
        <is>
          <t>GÄVLEBORGS LÄN</t>
        </is>
      </c>
      <c r="G1084" t="inlineStr">
        <is>
          <t>LJUSDAL</t>
        </is>
      </c>
      <c r="H1084" t="inlineStr">
        <is>
          <t>Sveaskog</t>
        </is>
      </c>
      <c r="I1084" t="n">
        <v>1.3</v>
      </c>
      <c r="J1084" t="n">
        <v>0</v>
      </c>
      <c r="K1084" t="n">
        <v>0</v>
      </c>
      <c r="L1084" t="n">
        <v>1</v>
      </c>
      <c r="M1084" t="n">
        <v>0</v>
      </c>
      <c r="N1084" t="n">
        <v>0</v>
      </c>
      <c r="O1084" t="n">
        <v>0</v>
      </c>
      <c r="P1084" t="n">
        <v>0</v>
      </c>
      <c r="Q1084" t="n">
        <v>1</v>
      </c>
      <c r="R1084" t="n">
        <v>0</v>
      </c>
      <c r="S1084" t="n">
        <v>1</v>
      </c>
      <c r="T1084" t="n">
        <v>2</v>
      </c>
      <c r="U1084" t="n">
        <v>0</v>
      </c>
      <c r="V1084" s="2" t="inlineStr">
        <is>
          <t>Lunglav</t>
        </is>
      </c>
      <c r="W1084">
        <f>HYPERLINK("https://klasma.github.io/Logging_2161/artfynd/A 33885-2026 artfynd.xlsx", "A 33885-2026")</f>
        <v/>
      </c>
      <c r="X1084">
        <f>HYPERLINK("https://klasma.github.io/Logging_2161/kartor/A 33885-2026 karta.png", "A 33885-2026")</f>
        <v/>
      </c>
      <c r="Y1084">
        <f>HYPERLINK("https://klasma.github.io/Logging_2161/kartor_geotiff/A 33885-2026 georefererad karta.tif", "A 33885-2026")</f>
        <v/>
      </c>
      <c r="AA1084">
        <f>HYPERLINK("https://klasma.github.io/Logging_2161/klagomål/A 33885-2026 FSC-klagomål.docx", "A 33885-2026")</f>
        <v/>
      </c>
      <c r="AB1084">
        <f>HYPERLINK("https://klasma.github.io/Logging_2161/klagomålsmail/A 33885-2026 FSC-klagomål mail.docx", "A 33885-2026")</f>
        <v/>
      </c>
      <c r="AC1084">
        <f>HYPERLINK("https://klasma.github.io/Logging_2161/tillsyn/A 33885-2026 tillsynsbegäran.docx", "A 33885-2026")</f>
        <v/>
      </c>
      <c r="AD1084">
        <f>HYPERLINK("https://klasma.github.io/Logging_2161/tillsynsmail/A 33885-2026 tillsynsbegäran mail.docx", "A 33885-2026")</f>
        <v/>
      </c>
    </row>
    <row r="1085" ht="15" customHeight="1">
      <c r="A1085" t="inlineStr">
        <is>
          <t>A 18216-2024</t>
        </is>
      </c>
      <c r="B1085" t="inlineStr">
        <is>
          <t>avverkningsanmälan</t>
        </is>
      </c>
      <c r="C1085" t="inlineStr">
        <is>
          <t>Föryngringsavverkning</t>
        </is>
      </c>
      <c r="D1085" s="1" t="n">
        <v>45420</v>
      </c>
      <c r="E1085" s="1" t="n">
        <v>46326</v>
      </c>
      <c r="F1085" t="inlineStr">
        <is>
          <t>GÄVLEBORGS LÄN</t>
        </is>
      </c>
      <c r="G1085" t="inlineStr">
        <is>
          <t>GÄVLE</t>
        </is>
      </c>
      <c r="H1085" t="inlineStr">
        <is>
          <t>Bergvik skog väst AB</t>
        </is>
      </c>
      <c r="I1085" t="n">
        <v>2.3</v>
      </c>
      <c r="J1085" t="n">
        <v>0</v>
      </c>
      <c r="K1085" t="n">
        <v>0</v>
      </c>
      <c r="L1085" t="n">
        <v>1</v>
      </c>
      <c r="M1085" t="n">
        <v>0</v>
      </c>
      <c r="N1085" t="n">
        <v>0</v>
      </c>
      <c r="O1085" t="n">
        <v>0</v>
      </c>
      <c r="P1085" t="n">
        <v>0</v>
      </c>
      <c r="Q1085" t="n">
        <v>1</v>
      </c>
      <c r="R1085" t="n">
        <v>0</v>
      </c>
      <c r="S1085" t="n">
        <v>1</v>
      </c>
      <c r="T1085" t="n">
        <v>1</v>
      </c>
      <c r="U1085" t="n">
        <v>1</v>
      </c>
      <c r="V1085" s="2" t="inlineStr">
        <is>
          <t>Dofttaggsvamp</t>
        </is>
      </c>
      <c r="W1085">
        <f>HYPERLINK("https://klasma.github.io/Logging_2180/artfynd/A 18216-2024 artfynd.xlsx", "A 18216-2024")</f>
        <v/>
      </c>
      <c r="X1085">
        <f>HYPERLINK("https://klasma.github.io/Logging_2180/kartor/A 18216-2024 karta.png", "A 18216-2024")</f>
        <v/>
      </c>
      <c r="Y1085">
        <f>HYPERLINK("https://klasma.github.io/Logging_2180/kartor_geotiff/A 18216-2024 georefererad karta.tif", "A 18216-2024")</f>
        <v/>
      </c>
      <c r="AA1085">
        <f>HYPERLINK("https://klasma.github.io/Logging_2180/klagomål/A 18216-2024 FSC-klagomål.docx", "A 18216-2024")</f>
        <v/>
      </c>
      <c r="AB1085">
        <f>HYPERLINK("https://klasma.github.io/Logging_2180/klagomålsmail/A 18216-2024 FSC-klagomål mail.docx", "A 18216-2024")</f>
        <v/>
      </c>
      <c r="AC1085">
        <f>HYPERLINK("https://klasma.github.io/Logging_2180/tillsyn/A 18216-2024 tillsynsbegäran.docx", "A 18216-2024")</f>
        <v/>
      </c>
      <c r="AD1085">
        <f>HYPERLINK("https://klasma.github.io/Logging_2180/tillsynsmail/A 18216-2024 tillsynsbegäran mail.docx", "A 18216-2024")</f>
        <v/>
      </c>
    </row>
    <row r="1086" ht="15" customHeight="1">
      <c r="A1086" t="inlineStr">
        <is>
          <t>A 11791-2026</t>
        </is>
      </c>
      <c r="B1086" t="inlineStr">
        <is>
          <t>avverkningsanmälan</t>
        </is>
      </c>
      <c r="C1086" t="inlineStr">
        <is>
          <t>Föryngringsavverkning</t>
        </is>
      </c>
      <c r="D1086" s="1" t="n">
        <v>46085</v>
      </c>
      <c r="E1086" s="1" t="n">
        <v>46326</v>
      </c>
      <c r="F1086" t="inlineStr">
        <is>
          <t>GÄVLEBORGS LÄN</t>
        </is>
      </c>
      <c r="G1086" t="inlineStr">
        <is>
          <t>SÖDERHAMN</t>
        </is>
      </c>
      <c r="I1086" t="n">
        <v>8.1</v>
      </c>
      <c r="J1086" t="n">
        <v>1</v>
      </c>
      <c r="K1086" t="n">
        <v>0</v>
      </c>
      <c r="L1086" t="n">
        <v>0</v>
      </c>
      <c r="M1086" t="n">
        <v>0</v>
      </c>
      <c r="N1086" t="n">
        <v>0</v>
      </c>
      <c r="O1086" t="n">
        <v>0</v>
      </c>
      <c r="P1086" t="n">
        <v>0</v>
      </c>
      <c r="Q1086" t="n">
        <v>0</v>
      </c>
      <c r="R1086" t="n">
        <v>0</v>
      </c>
      <c r="S1086" t="n">
        <v>1</v>
      </c>
      <c r="T1086" t="n">
        <v>1</v>
      </c>
      <c r="U1086" t="n">
        <v>0</v>
      </c>
      <c r="V1086" s="2" t="inlineStr">
        <is>
          <t>Fläcknycklar</t>
        </is>
      </c>
      <c r="W1086">
        <f>HYPERLINK("https://klasma.github.io/Logging_2182/artfynd/A 11791-2026 artfynd.xlsx", "A 11791-2026")</f>
        <v/>
      </c>
      <c r="X1086">
        <f>HYPERLINK("https://klasma.github.io/Logging_2182/kartor/A 11791-2026 karta.png", "A 11791-2026")</f>
        <v/>
      </c>
      <c r="Y1086">
        <f>HYPERLINK("https://klasma.github.io/Logging_2182/kartor_geotiff/A 11791-2026 georefererad karta.tif", "A 11791-2026")</f>
        <v/>
      </c>
      <c r="AA1086">
        <f>HYPERLINK("https://klasma.github.io/Logging_2182/klagomål/A 11791-2026 FSC-klagomål.docx", "A 11791-2026")</f>
        <v/>
      </c>
      <c r="AB1086">
        <f>HYPERLINK("https://klasma.github.io/Logging_2182/klagomålsmail/A 11791-2026 FSC-klagomål mail.docx", "A 11791-2026")</f>
        <v/>
      </c>
      <c r="AC1086">
        <f>HYPERLINK("https://klasma.github.io/Logging_2182/tillsyn/A 11791-2026 tillsynsbegäran.docx", "A 11791-2026")</f>
        <v/>
      </c>
      <c r="AD1086">
        <f>HYPERLINK("https://klasma.github.io/Logging_2182/tillsynsmail/A 11791-2026 tillsynsbegäran mail.docx", "A 11791-2026")</f>
        <v/>
      </c>
    </row>
    <row r="1087" ht="15" customHeight="1">
      <c r="A1087" t="inlineStr">
        <is>
          <t>A 34589-2026</t>
        </is>
      </c>
      <c r="B1087" t="inlineStr">
        <is>
          <t>avverkningsanmälan</t>
        </is>
      </c>
      <c r="C1087" t="inlineStr">
        <is>
          <t>Föryngringsavverkning</t>
        </is>
      </c>
      <c r="D1087" s="1" t="n">
        <v>46255</v>
      </c>
      <c r="E1087" s="1" t="n">
        <v>46326</v>
      </c>
      <c r="F1087" t="inlineStr">
        <is>
          <t>GÄVLEBORGS LÄN</t>
        </is>
      </c>
      <c r="G1087" t="inlineStr">
        <is>
          <t>GÄVLE</t>
        </is>
      </c>
      <c r="H1087" t="inlineStr">
        <is>
          <t>Bergvik skog öst AB</t>
        </is>
      </c>
      <c r="I1087" t="n">
        <v>15.3</v>
      </c>
      <c r="J1087" t="n">
        <v>0</v>
      </c>
      <c r="K1087" t="n">
        <v>1</v>
      </c>
      <c r="L1087" t="n">
        <v>0</v>
      </c>
      <c r="M1087" t="n">
        <v>0</v>
      </c>
      <c r="N1087" t="n">
        <v>0</v>
      </c>
      <c r="O1087" t="n">
        <v>0</v>
      </c>
      <c r="P1087" t="n">
        <v>0</v>
      </c>
      <c r="Q1087" t="n">
        <v>0</v>
      </c>
      <c r="R1087" t="n">
        <v>0</v>
      </c>
      <c r="S1087" t="n">
        <v>1</v>
      </c>
      <c r="T1087" t="n">
        <v>1</v>
      </c>
      <c r="U1087" t="n">
        <v>0</v>
      </c>
      <c r="V1087" s="2" t="inlineStr">
        <is>
          <t>Tibast</t>
        </is>
      </c>
      <c r="W1087">
        <f>HYPERLINK("https://klasma.github.io/Logging_2180/artfynd/A 34589-2026 artfynd.xlsx", "A 34589-2026")</f>
        <v/>
      </c>
      <c r="X1087">
        <f>HYPERLINK("https://klasma.github.io/Logging_2180/kartor/A 34589-2026 karta.png", "A 34589-2026")</f>
        <v/>
      </c>
      <c r="Y1087">
        <f>HYPERLINK("https://klasma.github.io/Logging_2180/kartor_geotiff/A 34589-2026 georefererad karta.tif", "A 34589-2026")</f>
        <v/>
      </c>
      <c r="AA1087">
        <f>HYPERLINK("https://klasma.github.io/Logging_2180/klagomål/A 34589-2026 FSC-klagomål.docx", "A 34589-2026")</f>
        <v/>
      </c>
      <c r="AB1087">
        <f>HYPERLINK("https://klasma.github.io/Logging_2180/klagomålsmail/A 34589-2026 FSC-klagomål mail.docx", "A 34589-2026")</f>
        <v/>
      </c>
      <c r="AC1087">
        <f>HYPERLINK("https://klasma.github.io/Logging_2180/tillsyn/A 34589-2026 tillsynsbegäran.docx", "A 34589-2026")</f>
        <v/>
      </c>
      <c r="AD1087">
        <f>HYPERLINK("https://klasma.github.io/Logging_2180/tillsynsmail/A 34589-2026 tillsynsbegäran mail.docx", "A 34589-2026")</f>
        <v/>
      </c>
    </row>
    <row r="1088" ht="15" customHeight="1">
      <c r="A1088" t="inlineStr">
        <is>
          <t>A 13269-2026</t>
        </is>
      </c>
      <c r="B1088" t="inlineStr">
        <is>
          <t>avverkningsanmälan</t>
        </is>
      </c>
      <c r="C1088" t="inlineStr">
        <is>
          <t>Föryngringsavverkning</t>
        </is>
      </c>
      <c r="D1088" s="1" t="n">
        <v>46093</v>
      </c>
      <c r="E1088" s="1" t="n">
        <v>46326</v>
      </c>
      <c r="F1088" t="inlineStr">
        <is>
          <t>GÄVLEBORGS LÄN</t>
        </is>
      </c>
      <c r="G1088" t="inlineStr">
        <is>
          <t>GÄVLE</t>
        </is>
      </c>
      <c r="I1088" t="n">
        <v>0.9</v>
      </c>
      <c r="J1088" t="n">
        <v>1</v>
      </c>
      <c r="K1088" t="n">
        <v>0</v>
      </c>
      <c r="L1088" t="n">
        <v>0</v>
      </c>
      <c r="M1088" t="n">
        <v>0</v>
      </c>
      <c r="N1088" t="n">
        <v>0</v>
      </c>
      <c r="O1088" t="n">
        <v>0</v>
      </c>
      <c r="P1088" t="n">
        <v>0</v>
      </c>
      <c r="Q1088" t="n">
        <v>0</v>
      </c>
      <c r="R1088" t="n">
        <v>0</v>
      </c>
      <c r="S1088" t="n">
        <v>1</v>
      </c>
      <c r="T1088" t="n">
        <v>1</v>
      </c>
      <c r="U1088" t="n">
        <v>0</v>
      </c>
      <c r="V1088" s="2" t="inlineStr">
        <is>
          <t>Havsörn</t>
        </is>
      </c>
      <c r="W1088">
        <f>HYPERLINK("https://klasma.github.io/Logging_2180/artfynd/A 13269-2026 artfynd.xlsx", "A 13269-2026")</f>
        <v/>
      </c>
      <c r="X1088">
        <f>HYPERLINK("https://klasma.github.io/Logging_2180/kartor/A 13269-2026 karta.png", "A 13269-2026")</f>
        <v/>
      </c>
      <c r="Y1088">
        <f>HYPERLINK("https://klasma.github.io/Logging_2180/kartor_geotiff/A 13269-2026 georefererad karta.tif", "A 13269-2026")</f>
        <v/>
      </c>
      <c r="AA1088">
        <f>HYPERLINK("https://klasma.github.io/Logging_2180/klagomål/A 13269-2026 FSC-klagomål.docx", "A 13269-2026")</f>
        <v/>
      </c>
      <c r="AB1088">
        <f>HYPERLINK("https://klasma.github.io/Logging_2180/klagomålsmail/A 13269-2026 FSC-klagomål mail.docx", "A 13269-2026")</f>
        <v/>
      </c>
      <c r="AC1088">
        <f>HYPERLINK("https://klasma.github.io/Logging_2180/tillsyn/A 13269-2026 tillsynsbegäran.docx", "A 13269-2026")</f>
        <v/>
      </c>
      <c r="AD1088">
        <f>HYPERLINK("https://klasma.github.io/Logging_2180/tillsynsmail/A 13269-2026 tillsynsbegäran mail.docx", "A 13269-2026")</f>
        <v/>
      </c>
      <c r="AE1088">
        <f>HYPERLINK("https://klasma.github.io/Logging_2180/fåglar/A 13269-2026 prioriterade fågelarter.docx", "A 13269-2026")</f>
        <v/>
      </c>
    </row>
    <row r="1089" ht="15" customHeight="1">
      <c r="A1089" t="inlineStr">
        <is>
          <t>A 23003-2026</t>
        </is>
      </c>
      <c r="B1089" t="inlineStr">
        <is>
          <t>avverkningsanmälan</t>
        </is>
      </c>
      <c r="C1089" t="inlineStr">
        <is>
          <t>Föryngringsavverkning</t>
        </is>
      </c>
      <c r="D1089" s="1" t="n">
        <v>46160</v>
      </c>
      <c r="E1089" s="1" t="n">
        <v>46326</v>
      </c>
      <c r="F1089" t="inlineStr">
        <is>
          <t>GÄVLEBORGS LÄN</t>
        </is>
      </c>
      <c r="G1089" t="inlineStr">
        <is>
          <t>GÄVLE</t>
        </is>
      </c>
      <c r="I1089" t="n">
        <v>12</v>
      </c>
      <c r="J1089" t="n">
        <v>1</v>
      </c>
      <c r="K1089" t="n">
        <v>0</v>
      </c>
      <c r="L1089" t="n">
        <v>0</v>
      </c>
      <c r="M1089" t="n">
        <v>0</v>
      </c>
      <c r="N1089" t="n">
        <v>0</v>
      </c>
      <c r="O1089" t="n">
        <v>0</v>
      </c>
      <c r="P1089" t="n">
        <v>0</v>
      </c>
      <c r="Q1089" t="n">
        <v>0</v>
      </c>
      <c r="R1089" t="n">
        <v>0</v>
      </c>
      <c r="S1089" t="n">
        <v>1</v>
      </c>
      <c r="T1089" t="n">
        <v>2</v>
      </c>
      <c r="U1089" t="n">
        <v>0</v>
      </c>
      <c r="V1089" s="2" t="inlineStr">
        <is>
          <t>Tjäder</t>
        </is>
      </c>
      <c r="W1089">
        <f>HYPERLINK("https://klasma.github.io/Logging_2180/artfynd/A 23003-2026 artfynd.xlsx", "A 23003-2026")</f>
        <v/>
      </c>
      <c r="X1089">
        <f>HYPERLINK("https://klasma.github.io/Logging_2180/kartor/A 23003-2026 karta.png", "A 23003-2026")</f>
        <v/>
      </c>
      <c r="Y1089">
        <f>HYPERLINK("https://klasma.github.io/Logging_2180/kartor_geotiff/A 23003-2026 georefererad karta.tif", "A 23003-2026")</f>
        <v/>
      </c>
      <c r="AA1089">
        <f>HYPERLINK("https://klasma.github.io/Logging_2180/klagomål/A 23003-2026 FSC-klagomål.docx", "A 23003-2026")</f>
        <v/>
      </c>
      <c r="AB1089">
        <f>HYPERLINK("https://klasma.github.io/Logging_2180/klagomålsmail/A 23003-2026 FSC-klagomål mail.docx", "A 23003-2026")</f>
        <v/>
      </c>
      <c r="AC1089">
        <f>HYPERLINK("https://klasma.github.io/Logging_2180/tillsyn/A 23003-2026 tillsynsbegäran.docx", "A 23003-2026")</f>
        <v/>
      </c>
      <c r="AD1089">
        <f>HYPERLINK("https://klasma.github.io/Logging_2180/tillsynsmail/A 23003-2026 tillsynsbegäran mail.docx", "A 23003-2026")</f>
        <v/>
      </c>
      <c r="AE1089">
        <f>HYPERLINK("https://klasma.github.io/Logging_2180/fåglar/A 23003-2026 prioriterade fågelarter.docx", "A 23003-2026")</f>
        <v/>
      </c>
    </row>
    <row r="1090" ht="15" customHeight="1">
      <c r="A1090" t="inlineStr">
        <is>
          <t>A 41534-2026</t>
        </is>
      </c>
      <c r="B1090" t="inlineStr">
        <is>
          <t>avverkningsanmälan</t>
        </is>
      </c>
      <c r="C1090" t="inlineStr">
        <is>
          <t>Föryngringsavverkning</t>
        </is>
      </c>
      <c r="D1090" s="1" t="n">
        <v>46301</v>
      </c>
      <c r="E1090" s="1" t="n">
        <v>46326</v>
      </c>
      <c r="F1090" t="inlineStr">
        <is>
          <t>GÄVLEBORGS LÄN</t>
        </is>
      </c>
      <c r="G1090" t="inlineStr">
        <is>
          <t>OVANÅKER</t>
        </is>
      </c>
      <c r="H1090" t="inlineStr">
        <is>
          <t>Sveaskog</t>
        </is>
      </c>
      <c r="I1090" t="n">
        <v>1.5</v>
      </c>
      <c r="J1090" t="n">
        <v>0</v>
      </c>
      <c r="K1090" t="n">
        <v>0</v>
      </c>
      <c r="L1090" t="n">
        <v>1</v>
      </c>
      <c r="M1090" t="n">
        <v>0</v>
      </c>
      <c r="N1090" t="n">
        <v>0</v>
      </c>
      <c r="O1090" t="n">
        <v>0</v>
      </c>
      <c r="P1090" t="n">
        <v>0</v>
      </c>
      <c r="Q1090" t="n">
        <v>1</v>
      </c>
      <c r="R1090" t="n">
        <v>0</v>
      </c>
      <c r="S1090" t="n">
        <v>1</v>
      </c>
      <c r="T1090" t="n">
        <v>1</v>
      </c>
      <c r="U1090" t="n">
        <v>0</v>
      </c>
      <c r="V1090" s="2" t="inlineStr">
        <is>
          <t>Lunglav</t>
        </is>
      </c>
      <c r="W1090">
        <f>HYPERLINK("https://klasma.github.io/Logging_2121/artfynd/A 41534-2026 artfynd.xlsx", "A 41534-2026")</f>
        <v/>
      </c>
      <c r="X1090">
        <f>HYPERLINK("https://klasma.github.io/Logging_2121/kartor/A 41534-2026 karta.png", "A 41534-2026")</f>
        <v/>
      </c>
      <c r="Y1090">
        <f>HYPERLINK("https://klasma.github.io/Logging_2121/kartor_geotiff/A 41534-2026 georefererad karta.tif", "A 41534-2026")</f>
        <v/>
      </c>
      <c r="AA1090">
        <f>HYPERLINK("https://klasma.github.io/Logging_2121/klagomål/A 41534-2026 FSC-klagomål.docx", "A 41534-2026")</f>
        <v/>
      </c>
      <c r="AB1090">
        <f>HYPERLINK("https://klasma.github.io/Logging_2121/klagomålsmail/A 41534-2026 FSC-klagomål mail.docx", "A 41534-2026")</f>
        <v/>
      </c>
      <c r="AC1090">
        <f>HYPERLINK("https://klasma.github.io/Logging_2121/tillsyn/A 41534-2026 tillsynsbegäran.docx", "A 41534-2026")</f>
        <v/>
      </c>
      <c r="AD1090">
        <f>HYPERLINK("https://klasma.github.io/Logging_2121/tillsynsmail/A 41534-2026 tillsynsbegäran mail.docx", "A 41534-2026")</f>
        <v/>
      </c>
    </row>
    <row r="1091" ht="15" customHeight="1">
      <c r="A1091" t="inlineStr">
        <is>
          <t>A 19635-2026</t>
        </is>
      </c>
      <c r="B1091" t="inlineStr">
        <is>
          <t>avverkningsanmälan</t>
        </is>
      </c>
      <c r="C1091" t="inlineStr">
        <is>
          <t>Föryngringsavverkning</t>
        </is>
      </c>
      <c r="D1091" s="1" t="n">
        <v>46133</v>
      </c>
      <c r="E1091" s="1" t="n">
        <v>46326</v>
      </c>
      <c r="F1091" t="inlineStr">
        <is>
          <t>GÄVLEBORGS LÄN</t>
        </is>
      </c>
      <c r="G1091" t="inlineStr">
        <is>
          <t>GÄVLE</t>
        </is>
      </c>
      <c r="H1091" t="inlineStr">
        <is>
          <t>Bergvik skog väst AB</t>
        </is>
      </c>
      <c r="I1091" t="n">
        <v>1.6</v>
      </c>
      <c r="J1091" t="n">
        <v>0</v>
      </c>
      <c r="K1091" t="n">
        <v>1</v>
      </c>
      <c r="L1091" t="n">
        <v>0</v>
      </c>
      <c r="M1091" t="n">
        <v>0</v>
      </c>
      <c r="N1091" t="n">
        <v>0</v>
      </c>
      <c r="O1091" t="n">
        <v>0</v>
      </c>
      <c r="P1091" t="n">
        <v>0</v>
      </c>
      <c r="Q1091" t="n">
        <v>0</v>
      </c>
      <c r="R1091" t="n">
        <v>0</v>
      </c>
      <c r="S1091" t="n">
        <v>1</v>
      </c>
      <c r="T1091" t="n">
        <v>1</v>
      </c>
      <c r="U1091" t="n">
        <v>0</v>
      </c>
      <c r="V1091" s="2" t="inlineStr">
        <is>
          <t>Skinnlav</t>
        </is>
      </c>
      <c r="W1091">
        <f>HYPERLINK("https://klasma.github.io/Logging_2180/artfynd/A 19635-2026 artfynd.xlsx", "A 19635-2026")</f>
        <v/>
      </c>
      <c r="X1091">
        <f>HYPERLINK("https://klasma.github.io/Logging_2180/kartor/A 19635-2026 karta.png", "A 19635-2026")</f>
        <v/>
      </c>
      <c r="Y1091">
        <f>HYPERLINK("https://klasma.github.io/Logging_2180/kartor_geotiff/A 19635-2026 georefererad karta.tif", "A 19635-2026")</f>
        <v/>
      </c>
      <c r="AA1091">
        <f>HYPERLINK("https://klasma.github.io/Logging_2180/klagomål/A 19635-2026 FSC-klagomål.docx", "A 19635-2026")</f>
        <v/>
      </c>
      <c r="AB1091">
        <f>HYPERLINK("https://klasma.github.io/Logging_2180/klagomålsmail/A 19635-2026 FSC-klagomål mail.docx", "A 19635-2026")</f>
        <v/>
      </c>
      <c r="AC1091">
        <f>HYPERLINK("https://klasma.github.io/Logging_2180/tillsyn/A 19635-2026 tillsynsbegäran.docx", "A 19635-2026")</f>
        <v/>
      </c>
      <c r="AD1091">
        <f>HYPERLINK("https://klasma.github.io/Logging_2180/tillsynsmail/A 19635-2026 tillsynsbegäran mail.docx", "A 19635-2026")</f>
        <v/>
      </c>
    </row>
    <row r="1092" ht="15" customHeight="1">
      <c r="A1092" t="inlineStr">
        <is>
          <t>A 41286-2026</t>
        </is>
      </c>
      <c r="B1092" t="inlineStr">
        <is>
          <t>avverkningsanmälan</t>
        </is>
      </c>
      <c r="C1092" t="inlineStr">
        <is>
          <t>Föryngringsavverkning</t>
        </is>
      </c>
      <c r="D1092" s="1" t="n">
        <v>46300</v>
      </c>
      <c r="E1092" s="1" t="n">
        <v>46326</v>
      </c>
      <c r="F1092" t="inlineStr">
        <is>
          <t>GÄVLEBORGS LÄN</t>
        </is>
      </c>
      <c r="G1092" t="inlineStr">
        <is>
          <t>LJUSDAL</t>
        </is>
      </c>
      <c r="H1092" t="inlineStr">
        <is>
          <t>Sveaskog</t>
        </is>
      </c>
      <c r="I1092" t="n">
        <v>1</v>
      </c>
      <c r="J1092" t="n">
        <v>0</v>
      </c>
      <c r="K1092" t="n">
        <v>0</v>
      </c>
      <c r="L1092" t="n">
        <v>1</v>
      </c>
      <c r="M1092" t="n">
        <v>0</v>
      </c>
      <c r="N1092" t="n">
        <v>0</v>
      </c>
      <c r="O1092" t="n">
        <v>0</v>
      </c>
      <c r="P1092" t="n">
        <v>0</v>
      </c>
      <c r="Q1092" t="n">
        <v>1</v>
      </c>
      <c r="R1092" t="n">
        <v>0</v>
      </c>
      <c r="S1092" t="n">
        <v>1</v>
      </c>
      <c r="T1092" t="n">
        <v>1</v>
      </c>
      <c r="U1092" t="n">
        <v>0</v>
      </c>
      <c r="V1092" s="2" t="inlineStr">
        <is>
          <t>Skuggviol</t>
        </is>
      </c>
      <c r="W1092">
        <f>HYPERLINK("https://klasma.github.io/Logging_2161/artfynd/A 41286-2026 artfynd.xlsx", "A 41286-2026")</f>
        <v/>
      </c>
      <c r="X1092">
        <f>HYPERLINK("https://klasma.github.io/Logging_2161/kartor/A 41286-2026 karta.png", "A 41286-2026")</f>
        <v/>
      </c>
      <c r="Y1092">
        <f>HYPERLINK("https://klasma.github.io/Logging_2161/kartor_geotiff/A 41286-2026 georefererad karta.tif", "A 41286-2026")</f>
        <v/>
      </c>
      <c r="AA1092">
        <f>HYPERLINK("https://klasma.github.io/Logging_2161/klagomål/A 41286-2026 FSC-klagomål.docx", "A 41286-2026")</f>
        <v/>
      </c>
      <c r="AB1092">
        <f>HYPERLINK("https://klasma.github.io/Logging_2161/klagomålsmail/A 41286-2026 FSC-klagomål mail.docx", "A 41286-2026")</f>
        <v/>
      </c>
      <c r="AC1092">
        <f>HYPERLINK("https://klasma.github.io/Logging_2161/tillsyn/A 41286-2026 tillsynsbegäran.docx", "A 41286-2026")</f>
        <v/>
      </c>
      <c r="AD1092">
        <f>HYPERLINK("https://klasma.github.io/Logging_2161/tillsynsmail/A 41286-2026 tillsynsbegäran mail.docx", "A 41286-2026")</f>
        <v/>
      </c>
    </row>
    <row r="1093" ht="15" customHeight="1">
      <c r="A1093" t="inlineStr">
        <is>
          <t>A 34540-2026</t>
        </is>
      </c>
      <c r="B1093" t="inlineStr">
        <is>
          <t>avverkningsanmälan</t>
        </is>
      </c>
      <c r="C1093" t="inlineStr">
        <is>
          <t>Föryngringsavverkning</t>
        </is>
      </c>
      <c r="D1093" s="1" t="n">
        <v>46255</v>
      </c>
      <c r="E1093" s="1" t="n">
        <v>46326</v>
      </c>
      <c r="F1093" t="inlineStr">
        <is>
          <t>GÄVLEBORGS LÄN</t>
        </is>
      </c>
      <c r="G1093" t="inlineStr">
        <is>
          <t>HUDIKSVALL</t>
        </is>
      </c>
      <c r="H1093" t="inlineStr">
        <is>
          <t>Holmen skog AB</t>
        </is>
      </c>
      <c r="I1093" t="n">
        <v>17.9</v>
      </c>
      <c r="J1093" t="n">
        <v>1</v>
      </c>
      <c r="K1093" t="n">
        <v>1</v>
      </c>
      <c r="L1093" t="n">
        <v>0</v>
      </c>
      <c r="M1093" t="n">
        <v>0</v>
      </c>
      <c r="N1093" t="n">
        <v>0</v>
      </c>
      <c r="O1093" t="n">
        <v>0</v>
      </c>
      <c r="P1093" t="n">
        <v>0</v>
      </c>
      <c r="Q1093" t="n">
        <v>0</v>
      </c>
      <c r="R1093" t="n">
        <v>0</v>
      </c>
      <c r="S1093" t="n">
        <v>1</v>
      </c>
      <c r="T1093" t="n">
        <v>1</v>
      </c>
      <c r="U1093" t="n">
        <v>1</v>
      </c>
      <c r="V1093" s="2" t="inlineStr">
        <is>
          <t>Grön sköldmossa</t>
        </is>
      </c>
      <c r="W1093">
        <f>HYPERLINK("https://klasma.github.io/Logging_2184/artfynd/A 34540-2026 artfynd.xlsx", "A 34540-2026")</f>
        <v/>
      </c>
      <c r="X1093">
        <f>HYPERLINK("https://klasma.github.io/Logging_2184/kartor/A 34540-2026 karta.png", "A 34540-2026")</f>
        <v/>
      </c>
      <c r="Y1093">
        <f>HYPERLINK("https://klasma.github.io/Logging_2184/kartor_geotiff/A 34540-2026 georefererad karta.tif", "A 34540-2026")</f>
        <v/>
      </c>
      <c r="AA1093">
        <f>HYPERLINK("https://klasma.github.io/Logging_2184/klagomål/A 34540-2026 FSC-klagomål.docx", "A 34540-2026")</f>
        <v/>
      </c>
      <c r="AB1093">
        <f>HYPERLINK("https://klasma.github.io/Logging_2184/klagomålsmail/A 34540-2026 FSC-klagomål mail.docx", "A 34540-2026")</f>
        <v/>
      </c>
      <c r="AC1093">
        <f>HYPERLINK("https://klasma.github.io/Logging_2184/tillsyn/A 34540-2026 tillsynsbegäran.docx", "A 34540-2026")</f>
        <v/>
      </c>
      <c r="AD1093">
        <f>HYPERLINK("https://klasma.github.io/Logging_2184/tillsynsmail/A 34540-2026 tillsynsbegäran mail.docx", "A 34540-2026")</f>
        <v/>
      </c>
    </row>
    <row r="1094" ht="15" customHeight="1">
      <c r="A1094" t="inlineStr">
        <is>
          <t>A 42115-2023</t>
        </is>
      </c>
      <c r="B1094" t="inlineStr">
        <is>
          <t>avverkningsanmälan</t>
        </is>
      </c>
      <c r="C1094" t="inlineStr">
        <is>
          <t>Föryngringsavverkning</t>
        </is>
      </c>
      <c r="D1094" s="1" t="n">
        <v>45177</v>
      </c>
      <c r="E1094" s="1" t="n">
        <v>46326</v>
      </c>
      <c r="F1094" t="inlineStr">
        <is>
          <t>GÄVLEBORGS LÄN</t>
        </is>
      </c>
      <c r="G1094" t="inlineStr">
        <is>
          <t>SANDVIKEN</t>
        </is>
      </c>
      <c r="H1094" t="inlineStr">
        <is>
          <t>Sveaskog</t>
        </is>
      </c>
      <c r="I1094" t="n">
        <v>2.4</v>
      </c>
      <c r="J1094" t="n">
        <v>1</v>
      </c>
      <c r="K1094" t="n">
        <v>0</v>
      </c>
      <c r="L1094" t="n">
        <v>1</v>
      </c>
      <c r="M1094" t="n">
        <v>0</v>
      </c>
      <c r="N1094" t="n">
        <v>0</v>
      </c>
      <c r="O1094" t="n">
        <v>0</v>
      </c>
      <c r="P1094" t="n">
        <v>0</v>
      </c>
      <c r="Q1094" t="n">
        <v>1</v>
      </c>
      <c r="R1094" t="n">
        <v>0</v>
      </c>
      <c r="S1094" t="n">
        <v>1</v>
      </c>
      <c r="T1094" t="n">
        <v>1</v>
      </c>
      <c r="U1094" t="n">
        <v>0</v>
      </c>
      <c r="V1094" s="2" t="inlineStr">
        <is>
          <t>Talltita</t>
        </is>
      </c>
      <c r="W1094">
        <f>HYPERLINK("https://klasma.github.io/Logging_2181/artfynd/A 42115-2023 artfynd.xlsx", "A 42115-2023")</f>
        <v/>
      </c>
      <c r="X1094">
        <f>HYPERLINK("https://klasma.github.io/Logging_2181/kartor/A 42115-2023 karta.png", "A 42115-2023")</f>
        <v/>
      </c>
      <c r="Y1094">
        <f>HYPERLINK("https://klasma.github.io/Logging_2181/kartor_geotiff/A 42115-2023 georefererad karta.tif", "A 42115-2023")</f>
        <v/>
      </c>
      <c r="AA1094">
        <f>HYPERLINK("https://klasma.github.io/Logging_2181/klagomål/A 42115-2023 FSC-klagomål.docx", "A 42115-2023")</f>
        <v/>
      </c>
      <c r="AB1094">
        <f>HYPERLINK("https://klasma.github.io/Logging_2181/klagomålsmail/A 42115-2023 FSC-klagomål mail.docx", "A 42115-2023")</f>
        <v/>
      </c>
      <c r="AC1094">
        <f>HYPERLINK("https://klasma.github.io/Logging_2181/tillsyn/A 42115-2023 tillsynsbegäran.docx", "A 42115-2023")</f>
        <v/>
      </c>
      <c r="AD1094">
        <f>HYPERLINK("https://klasma.github.io/Logging_2181/tillsynsmail/A 42115-2023 tillsynsbegäran mail.docx", "A 42115-2023")</f>
        <v/>
      </c>
      <c r="AE1094">
        <f>HYPERLINK("https://klasma.github.io/Logging_2181/fåglar/A 42115-2023 prioriterade fågelarter.docx", "A 42115-2023")</f>
        <v/>
      </c>
    </row>
    <row r="1095" ht="15" customHeight="1">
      <c r="A1095" t="inlineStr">
        <is>
          <t>A 34890-2026</t>
        </is>
      </c>
      <c r="B1095" t="inlineStr">
        <is>
          <t>avverkningsanmälan</t>
        </is>
      </c>
      <c r="C1095" t="inlineStr">
        <is>
          <t>Föryngringsavverkning</t>
        </is>
      </c>
      <c r="D1095" s="1" t="n">
        <v>46259</v>
      </c>
      <c r="E1095" s="1" t="n">
        <v>46326</v>
      </c>
      <c r="F1095" t="inlineStr">
        <is>
          <t>GÄVLEBORGS LÄN</t>
        </is>
      </c>
      <c r="G1095" t="inlineStr">
        <is>
          <t>GÄVLE</t>
        </is>
      </c>
      <c r="H1095" t="inlineStr">
        <is>
          <t>Bergvik skog öst AB</t>
        </is>
      </c>
      <c r="I1095" t="n">
        <v>18.3</v>
      </c>
      <c r="J1095" t="n">
        <v>1</v>
      </c>
      <c r="K1095" t="n">
        <v>0</v>
      </c>
      <c r="L1095" t="n">
        <v>0</v>
      </c>
      <c r="M1095" t="n">
        <v>0</v>
      </c>
      <c r="N1095" t="n">
        <v>0</v>
      </c>
      <c r="O1095" t="n">
        <v>0</v>
      </c>
      <c r="P1095" t="n">
        <v>0</v>
      </c>
      <c r="Q1095" t="n">
        <v>0</v>
      </c>
      <c r="R1095" t="n">
        <v>0</v>
      </c>
      <c r="S1095" t="n">
        <v>1</v>
      </c>
      <c r="T1095" t="n">
        <v>4</v>
      </c>
      <c r="U1095" t="n">
        <v>0</v>
      </c>
      <c r="V1095" s="2" t="inlineStr">
        <is>
          <t>Spillkråka</t>
        </is>
      </c>
      <c r="W1095">
        <f>HYPERLINK("https://klasma.github.io/Logging_2180/artfynd/A 34890-2026 artfynd.xlsx", "A 34890-2026")</f>
        <v/>
      </c>
      <c r="X1095">
        <f>HYPERLINK("https://klasma.github.io/Logging_2180/kartor/A 34890-2026 karta.png", "A 34890-2026")</f>
        <v/>
      </c>
      <c r="Y1095">
        <f>HYPERLINK("https://klasma.github.io/Logging_2180/kartor_geotiff/A 34890-2026 georefererad karta.tif", "A 34890-2026")</f>
        <v/>
      </c>
      <c r="AA1095">
        <f>HYPERLINK("https://klasma.github.io/Logging_2180/klagomål/A 34890-2026 FSC-klagomål.docx", "A 34890-2026")</f>
        <v/>
      </c>
      <c r="AB1095">
        <f>HYPERLINK("https://klasma.github.io/Logging_2180/klagomålsmail/A 34890-2026 FSC-klagomål mail.docx", "A 34890-2026")</f>
        <v/>
      </c>
      <c r="AC1095">
        <f>HYPERLINK("https://klasma.github.io/Logging_2180/tillsyn/A 34890-2026 tillsynsbegäran.docx", "A 34890-2026")</f>
        <v/>
      </c>
      <c r="AD1095">
        <f>HYPERLINK("https://klasma.github.io/Logging_2180/tillsynsmail/A 34890-2026 tillsynsbegäran mail.docx", "A 34890-2026")</f>
        <v/>
      </c>
      <c r="AE1095">
        <f>HYPERLINK("https://klasma.github.io/Logging_2180/fåglar/A 34890-2026 prioriterade fågelarter.docx", "A 34890-2026")</f>
        <v/>
      </c>
    </row>
    <row r="1096" ht="15" customHeight="1">
      <c r="A1096" t="inlineStr">
        <is>
          <t>A 41622-2026</t>
        </is>
      </c>
      <c r="B1096" t="inlineStr">
        <is>
          <t>avverkningsanmälan</t>
        </is>
      </c>
      <c r="C1096" t="inlineStr">
        <is>
          <t>Föryngringsavverkning</t>
        </is>
      </c>
      <c r="D1096" s="1" t="n">
        <v>46302</v>
      </c>
      <c r="E1096" s="1" t="n">
        <v>46326</v>
      </c>
      <c r="F1096" t="inlineStr">
        <is>
          <t>GÄVLEBORGS LÄN</t>
        </is>
      </c>
      <c r="G1096" t="inlineStr">
        <is>
          <t>LJUSDAL</t>
        </is>
      </c>
      <c r="H1096" t="inlineStr">
        <is>
          <t>Allmännings- och besparingsskogar</t>
        </is>
      </c>
      <c r="I1096" t="n">
        <v>4.7</v>
      </c>
      <c r="J1096" t="n">
        <v>0</v>
      </c>
      <c r="K1096" t="n">
        <v>0</v>
      </c>
      <c r="L1096" t="n">
        <v>0</v>
      </c>
      <c r="M1096" t="n">
        <v>1</v>
      </c>
      <c r="N1096" t="n">
        <v>0</v>
      </c>
      <c r="O1096" t="n">
        <v>0</v>
      </c>
      <c r="P1096" t="n">
        <v>0</v>
      </c>
      <c r="Q1096" t="n">
        <v>1</v>
      </c>
      <c r="R1096" t="n">
        <v>1</v>
      </c>
      <c r="S1096" t="n">
        <v>1</v>
      </c>
      <c r="T1096" t="n">
        <v>1</v>
      </c>
      <c r="U1096" t="n">
        <v>1</v>
      </c>
      <c r="V1096" s="2" t="inlineStr">
        <is>
          <t>Garnlav</t>
        </is>
      </c>
      <c r="W1096">
        <f>HYPERLINK("https://klasma.github.io/Logging_2161/artfynd/A 41622-2026 artfynd.xlsx", "A 41622-2026")</f>
        <v/>
      </c>
      <c r="X1096">
        <f>HYPERLINK("https://klasma.github.io/Logging_2161/kartor/A 41622-2026 karta.png", "A 41622-2026")</f>
        <v/>
      </c>
      <c r="Y1096">
        <f>HYPERLINK("https://klasma.github.io/Logging_2161/kartor_geotiff/A 41622-2026 georefererad karta.tif", "A 41622-2026")</f>
        <v/>
      </c>
      <c r="AA1096">
        <f>HYPERLINK("https://klasma.github.io/Logging_2161/klagomål/A 41622-2026 FSC-klagomål.docx", "A 41622-2026")</f>
        <v/>
      </c>
      <c r="AB1096">
        <f>HYPERLINK("https://klasma.github.io/Logging_2161/klagomålsmail/A 41622-2026 FSC-klagomål mail.docx", "A 41622-2026")</f>
        <v/>
      </c>
      <c r="AC1096">
        <f>HYPERLINK("https://klasma.github.io/Logging_2161/tillsyn/A 41622-2026 tillsynsbegäran.docx", "A 41622-2026")</f>
        <v/>
      </c>
      <c r="AD1096">
        <f>HYPERLINK("https://klasma.github.io/Logging_2161/tillsynsmail/A 41622-2026 tillsynsbegäran mail.docx", "A 41622-2026")</f>
        <v/>
      </c>
    </row>
    <row r="1097" ht="15" customHeight="1">
      <c r="A1097" t="inlineStr">
        <is>
          <t>A 41792-2026</t>
        </is>
      </c>
      <c r="B1097" t="inlineStr">
        <is>
          <t>avverkningsanmälan</t>
        </is>
      </c>
      <c r="C1097" t="inlineStr">
        <is>
          <t>Föryngringsavverkning</t>
        </is>
      </c>
      <c r="D1097" s="1" t="n">
        <v>46303</v>
      </c>
      <c r="E1097" s="1" t="n">
        <v>46326</v>
      </c>
      <c r="F1097" t="inlineStr">
        <is>
          <t>GÄVLEBORGS LÄN</t>
        </is>
      </c>
      <c r="G1097" t="inlineStr">
        <is>
          <t>SANDVIKEN</t>
        </is>
      </c>
      <c r="I1097" t="n">
        <v>6.9</v>
      </c>
      <c r="J1097" t="n">
        <v>0</v>
      </c>
      <c r="K1097" t="n">
        <v>0</v>
      </c>
      <c r="L1097" t="n">
        <v>0</v>
      </c>
      <c r="M1097" t="n">
        <v>1</v>
      </c>
      <c r="N1097" t="n">
        <v>0</v>
      </c>
      <c r="O1097" t="n">
        <v>0</v>
      </c>
      <c r="P1097" t="n">
        <v>0</v>
      </c>
      <c r="Q1097" t="n">
        <v>1</v>
      </c>
      <c r="R1097" t="n">
        <v>1</v>
      </c>
      <c r="S1097" t="n">
        <v>1</v>
      </c>
      <c r="T1097" t="n">
        <v>1</v>
      </c>
      <c r="U1097" t="n">
        <v>0</v>
      </c>
      <c r="V1097" s="2" t="inlineStr">
        <is>
          <t>Garnlav</t>
        </is>
      </c>
      <c r="W1097">
        <f>HYPERLINK("https://klasma.github.io/Logging_2181/artfynd/A 41792-2026 artfynd.xlsx", "A 41792-2026")</f>
        <v/>
      </c>
      <c r="X1097">
        <f>HYPERLINK("https://klasma.github.io/Logging_2181/kartor/A 41792-2026 karta.png", "A 41792-2026")</f>
        <v/>
      </c>
      <c r="Y1097">
        <f>HYPERLINK("https://klasma.github.io/Logging_2181/kartor_geotiff/A 41792-2026 georefererad karta.tif", "A 41792-2026")</f>
        <v/>
      </c>
      <c r="AA1097">
        <f>HYPERLINK("https://klasma.github.io/Logging_2181/klagomål/A 41792-2026 FSC-klagomål.docx", "A 41792-2026")</f>
        <v/>
      </c>
      <c r="AB1097">
        <f>HYPERLINK("https://klasma.github.io/Logging_2181/klagomålsmail/A 41792-2026 FSC-klagomål mail.docx", "A 41792-2026")</f>
        <v/>
      </c>
      <c r="AC1097">
        <f>HYPERLINK("https://klasma.github.io/Logging_2181/tillsyn/A 41792-2026 tillsynsbegäran.docx", "A 41792-2026")</f>
        <v/>
      </c>
      <c r="AD1097">
        <f>HYPERLINK("https://klasma.github.io/Logging_2181/tillsynsmail/A 41792-2026 tillsynsbegäran mail.docx", "A 41792-2026")</f>
        <v/>
      </c>
    </row>
    <row r="1098" ht="15" customHeight="1">
      <c r="A1098" t="inlineStr">
        <is>
          <t>A 20613-2026</t>
        </is>
      </c>
      <c r="B1098" t="inlineStr">
        <is>
          <t>avverkningsanmälan</t>
        </is>
      </c>
      <c r="C1098" t="inlineStr">
        <is>
          <t>Avverkning för annat ändamål</t>
        </is>
      </c>
      <c r="D1098" s="1" t="n">
        <v>46140</v>
      </c>
      <c r="E1098" s="1" t="n">
        <v>46326</v>
      </c>
      <c r="F1098" t="inlineStr">
        <is>
          <t>GÄVLEBORGS LÄN</t>
        </is>
      </c>
      <c r="G1098" t="inlineStr">
        <is>
          <t>LJUSDAL</t>
        </is>
      </c>
      <c r="I1098" t="n">
        <v>12.5</v>
      </c>
      <c r="J1098" t="n">
        <v>1</v>
      </c>
      <c r="K1098" t="n">
        <v>1</v>
      </c>
      <c r="L1098" t="n">
        <v>0</v>
      </c>
      <c r="M1098" t="n">
        <v>0</v>
      </c>
      <c r="N1098" t="n">
        <v>0</v>
      </c>
      <c r="O1098" t="n">
        <v>0</v>
      </c>
      <c r="P1098" t="n">
        <v>0</v>
      </c>
      <c r="Q1098" t="n">
        <v>0</v>
      </c>
      <c r="R1098" t="n">
        <v>0</v>
      </c>
      <c r="S1098" t="n">
        <v>1</v>
      </c>
      <c r="T1098" t="n">
        <v>1</v>
      </c>
      <c r="U1098" t="n">
        <v>0</v>
      </c>
      <c r="V1098" s="2" t="inlineStr">
        <is>
          <t>Plattlummer</t>
        </is>
      </c>
      <c r="W1098">
        <f>HYPERLINK("https://klasma.github.io/Logging_2161/artfynd/A 20613-2026 artfynd.xlsx", "A 20613-2026")</f>
        <v/>
      </c>
      <c r="X1098">
        <f>HYPERLINK("https://klasma.github.io/Logging_2161/kartor/A 20613-2026 karta.png", "A 20613-2026")</f>
        <v/>
      </c>
      <c r="Y1098">
        <f>HYPERLINK("https://klasma.github.io/Logging_2161/kartor_geotiff/A 20613-2026 georefererad karta.tif", "A 20613-2026")</f>
        <v/>
      </c>
      <c r="AA1098">
        <f>HYPERLINK("https://klasma.github.io/Logging_2161/klagomål/A 20613-2026 FSC-klagomål.docx", "A 20613-2026")</f>
        <v/>
      </c>
      <c r="AB1098">
        <f>HYPERLINK("https://klasma.github.io/Logging_2161/klagomålsmail/A 20613-2026 FSC-klagomål mail.docx", "A 20613-2026")</f>
        <v/>
      </c>
      <c r="AC1098">
        <f>HYPERLINK("https://klasma.github.io/Logging_2161/tillsyn/A 20613-2026 tillsynsbegäran.docx", "A 20613-2026")</f>
        <v/>
      </c>
      <c r="AD1098">
        <f>HYPERLINK("https://klasma.github.io/Logging_2161/tillsynsmail/A 20613-2026 tillsynsbegäran mail.docx", "A 20613-2026")</f>
        <v/>
      </c>
    </row>
    <row r="1099" ht="15" customHeight="1">
      <c r="A1099" t="inlineStr">
        <is>
          <t>A 41696-2026</t>
        </is>
      </c>
      <c r="B1099" t="inlineStr">
        <is>
          <t>avverkningsanmälan</t>
        </is>
      </c>
      <c r="C1099" t="inlineStr">
        <is>
          <t>Avverkning för annat ändamål</t>
        </is>
      </c>
      <c r="D1099" s="1" t="n">
        <v>46302</v>
      </c>
      <c r="E1099" s="1" t="n">
        <v>46326</v>
      </c>
      <c r="F1099" t="inlineStr">
        <is>
          <t>GÄVLEBORGS LÄN</t>
        </is>
      </c>
      <c r="G1099" t="inlineStr">
        <is>
          <t>OCKELBO</t>
        </is>
      </c>
      <c r="I1099" t="n">
        <v>2.5</v>
      </c>
      <c r="J1099" t="n">
        <v>1</v>
      </c>
      <c r="K1099" t="n">
        <v>0</v>
      </c>
      <c r="L1099" t="n">
        <v>0</v>
      </c>
      <c r="M1099" t="n">
        <v>0</v>
      </c>
      <c r="N1099" t="n">
        <v>0</v>
      </c>
      <c r="O1099" t="n">
        <v>0</v>
      </c>
      <c r="P1099" t="n">
        <v>0</v>
      </c>
      <c r="Q1099" t="n">
        <v>0</v>
      </c>
      <c r="R1099" t="n">
        <v>0</v>
      </c>
      <c r="S1099" t="n">
        <v>1</v>
      </c>
      <c r="T1099" t="n">
        <v>1</v>
      </c>
      <c r="U1099" t="n">
        <v>0</v>
      </c>
      <c r="V1099" s="2" t="inlineStr">
        <is>
          <t>Järpe</t>
        </is>
      </c>
      <c r="W1099">
        <f>HYPERLINK("https://klasma.github.io/Logging_2101/artfynd/A 41696-2026 artfynd.xlsx", "A 41696-2026")</f>
        <v/>
      </c>
      <c r="X1099">
        <f>HYPERLINK("https://klasma.github.io/Logging_2101/kartor/A 41696-2026 karta.png", "A 41696-2026")</f>
        <v/>
      </c>
      <c r="Y1099">
        <f>HYPERLINK("https://klasma.github.io/Logging_2101/kartor_geotiff/A 41696-2026 georefererad karta.tif", "A 41696-2026")</f>
        <v/>
      </c>
      <c r="AA1099">
        <f>HYPERLINK("https://klasma.github.io/Logging_2101/klagomål/A 41696-2026 FSC-klagomål.docx", "A 41696-2026")</f>
        <v/>
      </c>
      <c r="AB1099">
        <f>HYPERLINK("https://klasma.github.io/Logging_2101/klagomålsmail/A 41696-2026 FSC-klagomål mail.docx", "A 41696-2026")</f>
        <v/>
      </c>
      <c r="AC1099">
        <f>HYPERLINK("https://klasma.github.io/Logging_2101/tillsyn/A 41696-2026 tillsynsbegäran.docx", "A 41696-2026")</f>
        <v/>
      </c>
      <c r="AD1099">
        <f>HYPERLINK("https://klasma.github.io/Logging_2101/tillsynsmail/A 41696-2026 tillsynsbegäran mail.docx", "A 41696-2026")</f>
        <v/>
      </c>
      <c r="AE1099">
        <f>HYPERLINK("https://klasma.github.io/Logging_2101/fåglar/A 41696-2026 prioriterade fågelarter.docx", "A 41696-2026")</f>
        <v/>
      </c>
    </row>
    <row r="1100" ht="15" customHeight="1">
      <c r="A1100" t="inlineStr">
        <is>
          <t>A 35088-2026</t>
        </is>
      </c>
      <c r="B1100" t="inlineStr">
        <is>
          <t>avverkningsanmälan</t>
        </is>
      </c>
      <c r="C1100" t="inlineStr">
        <is>
          <t>Avverkning för annat ändamål</t>
        </is>
      </c>
      <c r="D1100" s="1" t="n">
        <v>46260</v>
      </c>
      <c r="E1100" s="1" t="n">
        <v>46326</v>
      </c>
      <c r="F1100" t="inlineStr">
        <is>
          <t>GÄVLEBORGS LÄN</t>
        </is>
      </c>
      <c r="G1100" t="inlineStr">
        <is>
          <t>BOLLNÄS</t>
        </is>
      </c>
      <c r="I1100" t="n">
        <v>2</v>
      </c>
      <c r="J1100" t="n">
        <v>1</v>
      </c>
      <c r="K1100" t="n">
        <v>0</v>
      </c>
      <c r="L1100" t="n">
        <v>1</v>
      </c>
      <c r="M1100" t="n">
        <v>0</v>
      </c>
      <c r="N1100" t="n">
        <v>0</v>
      </c>
      <c r="O1100" t="n">
        <v>0</v>
      </c>
      <c r="P1100" t="n">
        <v>0</v>
      </c>
      <c r="Q1100" t="n">
        <v>1</v>
      </c>
      <c r="R1100" t="n">
        <v>0</v>
      </c>
      <c r="S1100" t="n">
        <v>1</v>
      </c>
      <c r="T1100" t="n">
        <v>2</v>
      </c>
      <c r="U1100" t="n">
        <v>0</v>
      </c>
      <c r="V1100" s="2" t="inlineStr">
        <is>
          <t>Skogsfru</t>
        </is>
      </c>
      <c r="W1100">
        <f>HYPERLINK("https://klasma.github.io/Logging_2183/artfynd/A 35088-2026 artfynd.xlsx", "A 35088-2026")</f>
        <v/>
      </c>
      <c r="X1100">
        <f>HYPERLINK("https://klasma.github.io/Logging_2183/kartor/A 35088-2026 karta.png", "A 35088-2026")</f>
        <v/>
      </c>
      <c r="Y1100">
        <f>HYPERLINK("https://klasma.github.io/Logging_2183/kartor_geotiff/A 35088-2026 georefererad karta.tif", "A 35088-2026")</f>
        <v/>
      </c>
      <c r="AA1100">
        <f>HYPERLINK("https://klasma.github.io/Logging_2183/klagomål/A 35088-2026 FSC-klagomål.docx", "A 35088-2026")</f>
        <v/>
      </c>
      <c r="AB1100">
        <f>HYPERLINK("https://klasma.github.io/Logging_2183/klagomålsmail/A 35088-2026 FSC-klagomål mail.docx", "A 35088-2026")</f>
        <v/>
      </c>
      <c r="AC1100">
        <f>HYPERLINK("https://klasma.github.io/Logging_2183/tillsyn/A 35088-2026 tillsynsbegäran.docx", "A 35088-2026")</f>
        <v/>
      </c>
      <c r="AD1100">
        <f>HYPERLINK("https://klasma.github.io/Logging_2183/tillsynsmail/A 35088-2026 tillsynsbegäran mail.docx", "A 35088-2026")</f>
        <v/>
      </c>
    </row>
    <row r="1101" ht="15" customHeight="1">
      <c r="A1101" t="inlineStr">
        <is>
          <t>A 26094-2025</t>
        </is>
      </c>
      <c r="B1101" t="inlineStr">
        <is>
          <t>avverkningsanmälan</t>
        </is>
      </c>
      <c r="C1101" t="inlineStr">
        <is>
          <t>Avverkning för annat ändamål</t>
        </is>
      </c>
      <c r="D1101" s="1" t="n">
        <v>45805</v>
      </c>
      <c r="E1101" s="1" t="n">
        <v>46326</v>
      </c>
      <c r="F1101" t="inlineStr">
        <is>
          <t>GÄVLEBORGS LÄN</t>
        </is>
      </c>
      <c r="G1101" t="inlineStr">
        <is>
          <t>GÄVLE</t>
        </is>
      </c>
      <c r="I1101" t="n">
        <v>12.4</v>
      </c>
      <c r="J1101" t="n">
        <v>1</v>
      </c>
      <c r="K1101" t="n">
        <v>0</v>
      </c>
      <c r="L1101" t="n">
        <v>0</v>
      </c>
      <c r="M1101" t="n">
        <v>0</v>
      </c>
      <c r="N1101" t="n">
        <v>0</v>
      </c>
      <c r="O1101" t="n">
        <v>0</v>
      </c>
      <c r="P1101" t="n">
        <v>0</v>
      </c>
      <c r="Q1101" t="n">
        <v>0</v>
      </c>
      <c r="R1101" t="n">
        <v>0</v>
      </c>
      <c r="S1101" t="n">
        <v>1</v>
      </c>
      <c r="T1101" t="n">
        <v>1</v>
      </c>
      <c r="U1101" t="n">
        <v>1</v>
      </c>
      <c r="V1101" s="2" t="inlineStr">
        <is>
          <t>Gråsiska</t>
        </is>
      </c>
      <c r="W1101">
        <f>HYPERLINK("https://klasma.github.io/Logging_2180/artfynd/A 26094-2025 artfynd.xlsx", "A 26094-2025")</f>
        <v/>
      </c>
      <c r="X1101">
        <f>HYPERLINK("https://klasma.github.io/Logging_2180/kartor/A 26094-2025 karta.png", "A 26094-2025")</f>
        <v/>
      </c>
      <c r="Y1101">
        <f>HYPERLINK("https://klasma.github.io/Logging_2180/kartor_geotiff/A 26094-2025 georefererad karta.tif", "A 26094-2025")</f>
        <v/>
      </c>
      <c r="AA1101">
        <f>HYPERLINK("https://klasma.github.io/Logging_2180/klagomål/A 26094-2025 FSC-klagomål.docx", "A 26094-2025")</f>
        <v/>
      </c>
      <c r="AB1101">
        <f>HYPERLINK("https://klasma.github.io/Logging_2180/klagomålsmail/A 26094-2025 FSC-klagomål mail.docx", "A 26094-2025")</f>
        <v/>
      </c>
      <c r="AC1101">
        <f>HYPERLINK("https://klasma.github.io/Logging_2180/tillsyn/A 26094-2025 tillsynsbegäran.docx", "A 26094-2025")</f>
        <v/>
      </c>
      <c r="AD1101">
        <f>HYPERLINK("https://klasma.github.io/Logging_2180/tillsynsmail/A 26094-2025 tillsynsbegäran mail.docx", "A 26094-2025")</f>
        <v/>
      </c>
    </row>
    <row r="1102" ht="15" customHeight="1">
      <c r="A1102" t="inlineStr">
        <is>
          <t>A 56123-2025</t>
        </is>
      </c>
      <c r="B1102" t="inlineStr">
        <is>
          <t>avverkningsanmälan</t>
        </is>
      </c>
      <c r="C1102" t="inlineStr">
        <is>
          <t>Föryngringsavverkning</t>
        </is>
      </c>
      <c r="D1102" s="1" t="n">
        <v>45973</v>
      </c>
      <c r="E1102" s="1" t="n">
        <v>46326</v>
      </c>
      <c r="F1102" t="inlineStr">
        <is>
          <t>GÄVLEBORGS LÄN</t>
        </is>
      </c>
      <c r="G1102" t="inlineStr">
        <is>
          <t>GÄVLE</t>
        </is>
      </c>
      <c r="H1102" t="inlineStr">
        <is>
          <t>Bergvik skog väst AB</t>
        </is>
      </c>
      <c r="I1102" t="n">
        <v>10.5</v>
      </c>
      <c r="J1102" t="n">
        <v>1</v>
      </c>
      <c r="K1102" t="n">
        <v>0</v>
      </c>
      <c r="L1102" t="n">
        <v>1</v>
      </c>
      <c r="M1102" t="n">
        <v>0</v>
      </c>
      <c r="N1102" t="n">
        <v>0</v>
      </c>
      <c r="O1102" t="n">
        <v>0</v>
      </c>
      <c r="P1102" t="n">
        <v>0</v>
      </c>
      <c r="Q1102" t="n">
        <v>1</v>
      </c>
      <c r="R1102" t="n">
        <v>0</v>
      </c>
      <c r="S1102" t="n">
        <v>1</v>
      </c>
      <c r="T1102" t="n">
        <v>1</v>
      </c>
      <c r="U1102" t="n">
        <v>1</v>
      </c>
      <c r="V1102" s="2" t="inlineStr">
        <is>
          <t>Talltita</t>
        </is>
      </c>
      <c r="W1102">
        <f>HYPERLINK("https://klasma.github.io/Logging_2180/artfynd/A 56123-2025 artfynd.xlsx", "A 56123-2025")</f>
        <v/>
      </c>
      <c r="X1102">
        <f>HYPERLINK("https://klasma.github.io/Logging_2180/kartor/A 56123-2025 karta.png", "A 56123-2025")</f>
        <v/>
      </c>
      <c r="Y1102">
        <f>HYPERLINK("https://klasma.github.io/Logging_2180/kartor_geotiff/A 56123-2025 georefererad karta.tif", "A 56123-2025")</f>
        <v/>
      </c>
      <c r="AA1102">
        <f>HYPERLINK("https://klasma.github.io/Logging_2180/klagomål/A 56123-2025 FSC-klagomål.docx", "A 56123-2025")</f>
        <v/>
      </c>
      <c r="AB1102">
        <f>HYPERLINK("https://klasma.github.io/Logging_2180/klagomålsmail/A 56123-2025 FSC-klagomål mail.docx", "A 56123-2025")</f>
        <v/>
      </c>
      <c r="AC1102">
        <f>HYPERLINK("https://klasma.github.io/Logging_2180/tillsyn/A 56123-2025 tillsynsbegäran.docx", "A 56123-2025")</f>
        <v/>
      </c>
      <c r="AD1102">
        <f>HYPERLINK("https://klasma.github.io/Logging_2180/tillsynsmail/A 56123-2025 tillsynsbegäran mail.docx", "A 56123-2025")</f>
        <v/>
      </c>
      <c r="AE1102">
        <f>HYPERLINK("https://klasma.github.io/Logging_2180/fåglar/A 56123-2025 prioriterade fågelarter.docx", "A 56123-2025")</f>
        <v/>
      </c>
    </row>
    <row r="1103" ht="15" customHeight="1">
      <c r="A1103" t="inlineStr">
        <is>
          <t>A 41678-2026</t>
        </is>
      </c>
      <c r="B1103" t="inlineStr">
        <is>
          <t>avverkningsanmälan</t>
        </is>
      </c>
      <c r="C1103" t="inlineStr">
        <is>
          <t>Föryngringsavverkning</t>
        </is>
      </c>
      <c r="D1103" s="1" t="n">
        <v>46301</v>
      </c>
      <c r="E1103" s="1" t="n">
        <v>46326</v>
      </c>
      <c r="F1103" t="inlineStr">
        <is>
          <t>GÄVLEBORGS LÄN</t>
        </is>
      </c>
      <c r="G1103" t="inlineStr">
        <is>
          <t>SANDVIKEN</t>
        </is>
      </c>
      <c r="H1103" t="inlineStr">
        <is>
          <t>Bergvik skog väst AB</t>
        </is>
      </c>
      <c r="I1103" t="n">
        <v>3.4</v>
      </c>
      <c r="J1103" t="n">
        <v>0</v>
      </c>
      <c r="K1103" t="n">
        <v>0</v>
      </c>
      <c r="L1103" t="n">
        <v>1</v>
      </c>
      <c r="M1103" t="n">
        <v>0</v>
      </c>
      <c r="N1103" t="n">
        <v>0</v>
      </c>
      <c r="O1103" t="n">
        <v>0</v>
      </c>
      <c r="P1103" t="n">
        <v>0</v>
      </c>
      <c r="Q1103" t="n">
        <v>1</v>
      </c>
      <c r="R1103" t="n">
        <v>0</v>
      </c>
      <c r="S1103" t="n">
        <v>1</v>
      </c>
      <c r="T1103" t="n">
        <v>1</v>
      </c>
      <c r="U1103" t="n">
        <v>0</v>
      </c>
      <c r="V1103" s="2" t="inlineStr">
        <is>
          <t>Fjällig taggsvamp s.str.</t>
        </is>
      </c>
      <c r="W1103">
        <f>HYPERLINK("https://klasma.github.io/Logging_2181/artfynd/A 41678-2026 artfynd.xlsx", "A 41678-2026")</f>
        <v/>
      </c>
      <c r="X1103">
        <f>HYPERLINK("https://klasma.github.io/Logging_2181/kartor/A 41678-2026 karta.png", "A 41678-2026")</f>
        <v/>
      </c>
      <c r="Y1103">
        <f>HYPERLINK("https://klasma.github.io/Logging_2181/kartor_geotiff/A 41678-2026 georefererad karta.tif", "A 41678-2026")</f>
        <v/>
      </c>
      <c r="AA1103">
        <f>HYPERLINK("https://klasma.github.io/Logging_2181/klagomål/A 41678-2026 FSC-klagomål.docx", "A 41678-2026")</f>
        <v/>
      </c>
      <c r="AB1103">
        <f>HYPERLINK("https://klasma.github.io/Logging_2181/klagomålsmail/A 41678-2026 FSC-klagomål mail.docx", "A 41678-2026")</f>
        <v/>
      </c>
      <c r="AC1103">
        <f>HYPERLINK("https://klasma.github.io/Logging_2181/tillsyn/A 41678-2026 tillsynsbegäran.docx", "A 41678-2026")</f>
        <v/>
      </c>
      <c r="AD1103">
        <f>HYPERLINK("https://klasma.github.io/Logging_2181/tillsynsmail/A 41678-2026 tillsynsbegäran mail.docx", "A 41678-2026")</f>
        <v/>
      </c>
    </row>
    <row r="1104" ht="15" customHeight="1">
      <c r="A1104" t="inlineStr">
        <is>
          <t>A 31800-2026</t>
        </is>
      </c>
      <c r="B1104" t="inlineStr">
        <is>
          <t>avverkningsanmälan</t>
        </is>
      </c>
      <c r="C1104" t="inlineStr">
        <is>
          <t>Föryngringsavverkning</t>
        </is>
      </c>
      <c r="D1104" s="1" t="n">
        <v>46230</v>
      </c>
      <c r="E1104" s="1" t="n">
        <v>46326</v>
      </c>
      <c r="F1104" t="inlineStr">
        <is>
          <t>GÄVLEBORGS LÄN</t>
        </is>
      </c>
      <c r="G1104" t="inlineStr">
        <is>
          <t>LJUSDAL</t>
        </is>
      </c>
      <c r="H1104" t="inlineStr">
        <is>
          <t>Bergvik skog väst AB</t>
        </is>
      </c>
      <c r="I1104" t="n">
        <v>2</v>
      </c>
      <c r="J1104" t="n">
        <v>0</v>
      </c>
      <c r="K1104" t="n">
        <v>0</v>
      </c>
      <c r="L1104" t="n">
        <v>0</v>
      </c>
      <c r="M1104" t="n">
        <v>1</v>
      </c>
      <c r="N1104" t="n">
        <v>0</v>
      </c>
      <c r="O1104" t="n">
        <v>0</v>
      </c>
      <c r="P1104" t="n">
        <v>0</v>
      </c>
      <c r="Q1104" t="n">
        <v>1</v>
      </c>
      <c r="R1104" t="n">
        <v>1</v>
      </c>
      <c r="S1104" t="n">
        <v>1</v>
      </c>
      <c r="T1104" t="n">
        <v>2</v>
      </c>
      <c r="U1104" t="n">
        <v>2</v>
      </c>
      <c r="V1104" s="2" t="inlineStr">
        <is>
          <t>Garnlav</t>
        </is>
      </c>
      <c r="W1104">
        <f>HYPERLINK("https://klasma.github.io/Logging_2161/artfynd/A 31800-2026 artfynd.xlsx", "A 31800-2026")</f>
        <v/>
      </c>
      <c r="X1104">
        <f>HYPERLINK("https://klasma.github.io/Logging_2161/kartor/A 31800-2026 karta.png", "A 31800-2026")</f>
        <v/>
      </c>
      <c r="Y1104">
        <f>HYPERLINK("https://klasma.github.io/Logging_2161/kartor_geotiff/A 31800-2026 georefererad karta.tif", "A 31800-2026")</f>
        <v/>
      </c>
      <c r="AA1104">
        <f>HYPERLINK("https://klasma.github.io/Logging_2161/klagomål/A 31800-2026 FSC-klagomål.docx", "A 31800-2026")</f>
        <v/>
      </c>
      <c r="AB1104">
        <f>HYPERLINK("https://klasma.github.io/Logging_2161/klagomålsmail/A 31800-2026 FSC-klagomål mail.docx", "A 31800-2026")</f>
        <v/>
      </c>
      <c r="AC1104">
        <f>HYPERLINK("https://klasma.github.io/Logging_2161/tillsyn/A 31800-2026 tillsynsbegäran.docx", "A 31800-2026")</f>
        <v/>
      </c>
      <c r="AD1104">
        <f>HYPERLINK("https://klasma.github.io/Logging_2161/tillsynsmail/A 31800-2026 tillsynsbegäran mail.docx", "A 31800-2026")</f>
        <v/>
      </c>
    </row>
    <row r="1105" ht="15" customHeight="1">
      <c r="A1105" t="inlineStr">
        <is>
          <t>A 35830-2026</t>
        </is>
      </c>
      <c r="B1105" t="inlineStr">
        <is>
          <t>avverkningsanmälan</t>
        </is>
      </c>
      <c r="C1105" t="inlineStr">
        <is>
          <t>Föryngringsavverkning</t>
        </is>
      </c>
      <c r="D1105" s="1" t="n">
        <v>46265</v>
      </c>
      <c r="E1105" s="1" t="n">
        <v>46326</v>
      </c>
      <c r="F1105" t="inlineStr">
        <is>
          <t>GÄVLEBORGS LÄN</t>
        </is>
      </c>
      <c r="G1105" t="inlineStr">
        <is>
          <t>GÄVLE</t>
        </is>
      </c>
      <c r="I1105" t="n">
        <v>1.4</v>
      </c>
      <c r="J1105" t="n">
        <v>1</v>
      </c>
      <c r="K1105" t="n">
        <v>0</v>
      </c>
      <c r="L1105" t="n">
        <v>0</v>
      </c>
      <c r="M1105" t="n">
        <v>1</v>
      </c>
      <c r="N1105" t="n">
        <v>0</v>
      </c>
      <c r="O1105" t="n">
        <v>0</v>
      </c>
      <c r="P1105" t="n">
        <v>0</v>
      </c>
      <c r="Q1105" t="n">
        <v>1</v>
      </c>
      <c r="R1105" t="n">
        <v>1</v>
      </c>
      <c r="S1105" t="n">
        <v>1</v>
      </c>
      <c r="T1105" t="n">
        <v>1</v>
      </c>
      <c r="U1105" t="n">
        <v>0</v>
      </c>
      <c r="V1105" s="2" t="inlineStr">
        <is>
          <t>Bredgentiana</t>
        </is>
      </c>
      <c r="W1105">
        <f>HYPERLINK("https://klasma.github.io/Logging_2180/artfynd/A 35830-2026 artfynd.xlsx", "A 35830-2026")</f>
        <v/>
      </c>
      <c r="X1105">
        <f>HYPERLINK("https://klasma.github.io/Logging_2180/kartor/A 35830-2026 karta.png", "A 35830-2026")</f>
        <v/>
      </c>
      <c r="Y1105">
        <f>HYPERLINK("https://klasma.github.io/Logging_2180/kartor_geotiff/A 35830-2026 georefererad karta.tif", "A 35830-2026")</f>
        <v/>
      </c>
      <c r="AA1105">
        <f>HYPERLINK("https://klasma.github.io/Logging_2180/klagomål/A 35830-2026 FSC-klagomål.docx", "A 35830-2026")</f>
        <v/>
      </c>
      <c r="AB1105">
        <f>HYPERLINK("https://klasma.github.io/Logging_2180/klagomålsmail/A 35830-2026 FSC-klagomål mail.docx", "A 35830-2026")</f>
        <v/>
      </c>
      <c r="AC1105">
        <f>HYPERLINK("https://klasma.github.io/Logging_2180/tillsyn/A 35830-2026 tillsynsbegäran.docx", "A 35830-2026")</f>
        <v/>
      </c>
      <c r="AD1105">
        <f>HYPERLINK("https://klasma.github.io/Logging_2180/tillsynsmail/A 35830-2026 tillsynsbegäran mail.docx", "A 35830-2026")</f>
        <v/>
      </c>
    </row>
    <row r="1106" ht="15" customHeight="1">
      <c r="A1106" t="inlineStr">
        <is>
          <t>A 42018-2026</t>
        </is>
      </c>
      <c r="B1106" t="inlineStr">
        <is>
          <t>avverkningsanmälan</t>
        </is>
      </c>
      <c r="C1106" t="inlineStr">
        <is>
          <t>Föryngringsavverkning</t>
        </is>
      </c>
      <c r="D1106" s="1" t="n">
        <v>46304</v>
      </c>
      <c r="E1106" s="1" t="n">
        <v>46326</v>
      </c>
      <c r="F1106" t="inlineStr">
        <is>
          <t>GÄVLEBORGS LÄN</t>
        </is>
      </c>
      <c r="G1106" t="inlineStr">
        <is>
          <t>SANDVIKEN</t>
        </is>
      </c>
      <c r="H1106" t="inlineStr">
        <is>
          <t>Sveaskog</t>
        </is>
      </c>
      <c r="I1106" t="n">
        <v>5.4</v>
      </c>
      <c r="J1106" t="n">
        <v>0</v>
      </c>
      <c r="K1106" t="n">
        <v>0</v>
      </c>
      <c r="L1106" t="n">
        <v>0</v>
      </c>
      <c r="M1106" t="n">
        <v>0</v>
      </c>
      <c r="N1106" t="n">
        <v>0</v>
      </c>
      <c r="O1106" t="n">
        <v>0</v>
      </c>
      <c r="P1106" t="n">
        <v>0</v>
      </c>
      <c r="Q1106" t="n">
        <v>0</v>
      </c>
      <c r="R1106" t="n">
        <v>0</v>
      </c>
      <c r="S1106" t="n">
        <v>1</v>
      </c>
      <c r="T1106" t="n">
        <v>1</v>
      </c>
      <c r="U1106" t="n">
        <v>1</v>
      </c>
      <c r="V1106" s="2" t="inlineStr">
        <is>
          <t>Kransmossa</t>
        </is>
      </c>
      <c r="W1106">
        <f>HYPERLINK("https://klasma.github.io/Logging_2181/artfynd/A 42018-2026 artfynd.xlsx", "A 42018-2026")</f>
        <v/>
      </c>
      <c r="X1106">
        <f>HYPERLINK("https://klasma.github.io/Logging_2181/kartor/A 42018-2026 karta.png", "A 42018-2026")</f>
        <v/>
      </c>
      <c r="Y1106">
        <f>HYPERLINK("https://klasma.github.io/Logging_2181/kartor_geotiff/A 42018-2026 georefererad karta.tif", "A 42018-2026")</f>
        <v/>
      </c>
      <c r="AA1106">
        <f>HYPERLINK("https://klasma.github.io/Logging_2181/klagomål/A 42018-2026 FSC-klagomål.docx", "A 42018-2026")</f>
        <v/>
      </c>
      <c r="AB1106">
        <f>HYPERLINK("https://klasma.github.io/Logging_2181/klagomålsmail/A 42018-2026 FSC-klagomål mail.docx", "A 42018-2026")</f>
        <v/>
      </c>
      <c r="AC1106">
        <f>HYPERLINK("https://klasma.github.io/Logging_2181/tillsyn/A 42018-2026 tillsynsbegäran.docx", "A 42018-2026")</f>
        <v/>
      </c>
      <c r="AD1106">
        <f>HYPERLINK("https://klasma.github.io/Logging_2181/tillsynsmail/A 42018-2026 tillsynsbegäran mail.docx", "A 42018-2026")</f>
        <v/>
      </c>
    </row>
    <row r="1107" ht="15" customHeight="1">
      <c r="A1107" t="inlineStr">
        <is>
          <t>A 35419-2026</t>
        </is>
      </c>
      <c r="B1107" t="inlineStr">
        <is>
          <t>avverkningsanmälan</t>
        </is>
      </c>
      <c r="C1107" t="inlineStr">
        <is>
          <t>Föryngringsavverkning</t>
        </is>
      </c>
      <c r="D1107" s="1" t="n">
        <v>46261</v>
      </c>
      <c r="E1107" s="1" t="n">
        <v>46326</v>
      </c>
      <c r="F1107" t="inlineStr">
        <is>
          <t>GÄVLEBORGS LÄN</t>
        </is>
      </c>
      <c r="G1107" t="inlineStr">
        <is>
          <t>SANDVIKEN</t>
        </is>
      </c>
      <c r="I1107" t="n">
        <v>0.9</v>
      </c>
      <c r="J1107" t="n">
        <v>0</v>
      </c>
      <c r="K1107" t="n">
        <v>0</v>
      </c>
      <c r="L1107" t="n">
        <v>0</v>
      </c>
      <c r="M1107" t="n">
        <v>1</v>
      </c>
      <c r="N1107" t="n">
        <v>0</v>
      </c>
      <c r="O1107" t="n">
        <v>0</v>
      </c>
      <c r="P1107" t="n">
        <v>0</v>
      </c>
      <c r="Q1107" t="n">
        <v>1</v>
      </c>
      <c r="R1107" t="n">
        <v>1</v>
      </c>
      <c r="S1107" t="n">
        <v>1</v>
      </c>
      <c r="T1107" t="n">
        <v>1</v>
      </c>
      <c r="U1107" t="n">
        <v>0</v>
      </c>
      <c r="V1107" s="2" t="inlineStr">
        <is>
          <t>Garnlav</t>
        </is>
      </c>
      <c r="W1107">
        <f>HYPERLINK("https://klasma.github.io/Logging_2181/artfynd/A 35419-2026 artfynd.xlsx", "A 35419-2026")</f>
        <v/>
      </c>
      <c r="X1107">
        <f>HYPERLINK("https://klasma.github.io/Logging_2181/kartor/A 35419-2026 karta.png", "A 35419-2026")</f>
        <v/>
      </c>
      <c r="Y1107">
        <f>HYPERLINK("https://klasma.github.io/Logging_2181/kartor_geotiff/A 35419-2026 georefererad karta.tif", "A 35419-2026")</f>
        <v/>
      </c>
      <c r="AA1107">
        <f>HYPERLINK("https://klasma.github.io/Logging_2181/klagomål/A 35419-2026 FSC-klagomål.docx", "A 35419-2026")</f>
        <v/>
      </c>
      <c r="AB1107">
        <f>HYPERLINK("https://klasma.github.io/Logging_2181/klagomålsmail/A 35419-2026 FSC-klagomål mail.docx", "A 35419-2026")</f>
        <v/>
      </c>
      <c r="AC1107">
        <f>HYPERLINK("https://klasma.github.io/Logging_2181/tillsyn/A 35419-2026 tillsynsbegäran.docx", "A 35419-2026")</f>
        <v/>
      </c>
      <c r="AD1107">
        <f>HYPERLINK("https://klasma.github.io/Logging_2181/tillsynsmail/A 35419-2026 tillsynsbegäran mail.docx", "A 35419-2026")</f>
        <v/>
      </c>
    </row>
    <row r="1108" ht="15" customHeight="1">
      <c r="A1108" t="inlineStr">
        <is>
          <t>A 42157-2026</t>
        </is>
      </c>
      <c r="B1108" t="inlineStr">
        <is>
          <t>avverkningsanmälan</t>
        </is>
      </c>
      <c r="C1108" t="inlineStr">
        <is>
          <t>Föryngringsavverkning</t>
        </is>
      </c>
      <c r="D1108" s="1" t="n">
        <v>46304</v>
      </c>
      <c r="E1108" s="1" t="n">
        <v>46326</v>
      </c>
      <c r="F1108" t="inlineStr">
        <is>
          <t>GÄVLEBORGS LÄN</t>
        </is>
      </c>
      <c r="G1108" t="inlineStr">
        <is>
          <t>LJUSDAL</t>
        </is>
      </c>
      <c r="H1108" t="inlineStr">
        <is>
          <t>Sveaskog</t>
        </is>
      </c>
      <c r="I1108" t="n">
        <v>1.5</v>
      </c>
      <c r="J1108" t="n">
        <v>1</v>
      </c>
      <c r="K1108" t="n">
        <v>1</v>
      </c>
      <c r="L1108" t="n">
        <v>0</v>
      </c>
      <c r="M1108" t="n">
        <v>0</v>
      </c>
      <c r="N1108" t="n">
        <v>0</v>
      </c>
      <c r="O1108" t="n">
        <v>0</v>
      </c>
      <c r="P1108" t="n">
        <v>0</v>
      </c>
      <c r="Q1108" t="n">
        <v>0</v>
      </c>
      <c r="R1108" t="n">
        <v>0</v>
      </c>
      <c r="S1108" t="n">
        <v>1</v>
      </c>
      <c r="T1108" t="n">
        <v>1</v>
      </c>
      <c r="U1108" t="n">
        <v>1</v>
      </c>
      <c r="V1108" s="2" t="inlineStr">
        <is>
          <t>Plattlummer</t>
        </is>
      </c>
      <c r="W1108">
        <f>HYPERLINK("https://klasma.github.io/Logging_2161/artfynd/A 42157-2026 artfynd.xlsx", "A 42157-2026")</f>
        <v/>
      </c>
      <c r="X1108">
        <f>HYPERLINK("https://klasma.github.io/Logging_2161/kartor/A 42157-2026 karta.png", "A 42157-2026")</f>
        <v/>
      </c>
      <c r="Y1108">
        <f>HYPERLINK("https://klasma.github.io/Logging_2161/kartor_geotiff/A 42157-2026 georefererad karta.tif", "A 42157-2026")</f>
        <v/>
      </c>
      <c r="AA1108">
        <f>HYPERLINK("https://klasma.github.io/Logging_2161/klagomål/A 42157-2026 FSC-klagomål.docx", "A 42157-2026")</f>
        <v/>
      </c>
      <c r="AB1108">
        <f>HYPERLINK("https://klasma.github.io/Logging_2161/klagomålsmail/A 42157-2026 FSC-klagomål mail.docx", "A 42157-2026")</f>
        <v/>
      </c>
      <c r="AC1108">
        <f>HYPERLINK("https://klasma.github.io/Logging_2161/tillsyn/A 42157-2026 tillsynsbegäran.docx", "A 42157-2026")</f>
        <v/>
      </c>
      <c r="AD1108">
        <f>HYPERLINK("https://klasma.github.io/Logging_2161/tillsynsmail/A 42157-2026 tillsynsbegäran mail.docx", "A 42157-2026")</f>
        <v/>
      </c>
    </row>
    <row r="1109" ht="15" customHeight="1">
      <c r="A1109" t="inlineStr">
        <is>
          <t>A 35540-2026</t>
        </is>
      </c>
      <c r="B1109" t="inlineStr">
        <is>
          <t>avverkningsanmälan</t>
        </is>
      </c>
      <c r="C1109" t="inlineStr">
        <is>
          <t>Föryngringsavverkning</t>
        </is>
      </c>
      <c r="D1109" s="1" t="n">
        <v>46262</v>
      </c>
      <c r="E1109" s="1" t="n">
        <v>46326</v>
      </c>
      <c r="F1109" t="inlineStr">
        <is>
          <t>GÄVLEBORGS LÄN</t>
        </is>
      </c>
      <c r="G1109" t="inlineStr">
        <is>
          <t>SANDVIKEN</t>
        </is>
      </c>
      <c r="H1109" t="inlineStr">
        <is>
          <t>Sveaskog</t>
        </is>
      </c>
      <c r="I1109" t="n">
        <v>2.4</v>
      </c>
      <c r="J1109" t="n">
        <v>1</v>
      </c>
      <c r="K1109" t="n">
        <v>0</v>
      </c>
      <c r="L1109" t="n">
        <v>0</v>
      </c>
      <c r="M1109" t="n">
        <v>0</v>
      </c>
      <c r="N1109" t="n">
        <v>0</v>
      </c>
      <c r="O1109" t="n">
        <v>0</v>
      </c>
      <c r="P1109" t="n">
        <v>0</v>
      </c>
      <c r="Q1109" t="n">
        <v>0</v>
      </c>
      <c r="R1109" t="n">
        <v>0</v>
      </c>
      <c r="S1109" t="n">
        <v>1</v>
      </c>
      <c r="T1109" t="n">
        <v>1</v>
      </c>
      <c r="U1109" t="n">
        <v>0</v>
      </c>
      <c r="V1109" s="2" t="inlineStr">
        <is>
          <t>Lopplummer (aggregat)</t>
        </is>
      </c>
      <c r="W1109">
        <f>HYPERLINK("https://klasma.github.io/Logging_2181/artfynd/A 35540-2026 artfynd.xlsx", "A 35540-2026")</f>
        <v/>
      </c>
      <c r="X1109">
        <f>HYPERLINK("https://klasma.github.io/Logging_2181/kartor/A 35540-2026 karta.png", "A 35540-2026")</f>
        <v/>
      </c>
      <c r="Y1109">
        <f>HYPERLINK("https://klasma.github.io/Logging_2181/kartor_geotiff/A 35540-2026 georefererad karta.tif", "A 35540-2026")</f>
        <v/>
      </c>
      <c r="AA1109">
        <f>HYPERLINK("https://klasma.github.io/Logging_2181/klagomål/A 35540-2026 FSC-klagomål.docx", "A 35540-2026")</f>
        <v/>
      </c>
      <c r="AB1109">
        <f>HYPERLINK("https://klasma.github.io/Logging_2181/klagomålsmail/A 35540-2026 FSC-klagomål mail.docx", "A 35540-2026")</f>
        <v/>
      </c>
      <c r="AC1109">
        <f>HYPERLINK("https://klasma.github.io/Logging_2181/tillsyn/A 35540-2026 tillsynsbegäran.docx", "A 35540-2026")</f>
        <v/>
      </c>
      <c r="AD1109">
        <f>HYPERLINK("https://klasma.github.io/Logging_2181/tillsynsmail/A 35540-2026 tillsynsbegäran mail.docx", "A 35540-2026")</f>
        <v/>
      </c>
    </row>
    <row r="1110" ht="15" customHeight="1">
      <c r="A1110" t="inlineStr">
        <is>
          <t>A 35479-2026</t>
        </is>
      </c>
      <c r="B1110" t="inlineStr">
        <is>
          <t>avverkningsanmälan</t>
        </is>
      </c>
      <c r="C1110" t="inlineStr">
        <is>
          <t>Föryngringsavverkning</t>
        </is>
      </c>
      <c r="D1110" s="1" t="n">
        <v>46262</v>
      </c>
      <c r="E1110" s="1" t="n">
        <v>46326</v>
      </c>
      <c r="F1110" t="inlineStr">
        <is>
          <t>GÄVLEBORGS LÄN</t>
        </is>
      </c>
      <c r="G1110" t="inlineStr">
        <is>
          <t>SANDVIKEN</t>
        </is>
      </c>
      <c r="H1110" t="inlineStr">
        <is>
          <t>Kommuner</t>
        </is>
      </c>
      <c r="I1110" t="n">
        <v>7.3</v>
      </c>
      <c r="J1110" t="n">
        <v>1</v>
      </c>
      <c r="K1110" t="n">
        <v>0</v>
      </c>
      <c r="L1110" t="n">
        <v>0</v>
      </c>
      <c r="M1110" t="n">
        <v>0</v>
      </c>
      <c r="N1110" t="n">
        <v>0</v>
      </c>
      <c r="O1110" t="n">
        <v>0</v>
      </c>
      <c r="P1110" t="n">
        <v>0</v>
      </c>
      <c r="Q1110" t="n">
        <v>0</v>
      </c>
      <c r="R1110" t="n">
        <v>0</v>
      </c>
      <c r="S1110" t="n">
        <v>1</v>
      </c>
      <c r="T1110" t="n">
        <v>1</v>
      </c>
      <c r="U1110" t="n">
        <v>0</v>
      </c>
      <c r="V1110" s="2" t="inlineStr">
        <is>
          <t>Vanlig groda</t>
        </is>
      </c>
      <c r="W1110">
        <f>HYPERLINK("https://klasma.github.io/Logging_2181/artfynd/A 35479-2026 artfynd.xlsx", "A 35479-2026")</f>
        <v/>
      </c>
      <c r="X1110">
        <f>HYPERLINK("https://klasma.github.io/Logging_2181/kartor/A 35479-2026 karta.png", "A 35479-2026")</f>
        <v/>
      </c>
      <c r="Y1110">
        <f>HYPERLINK("https://klasma.github.io/Logging_2181/kartor_geotiff/A 35479-2026 georefererad karta.tif", "A 35479-2026")</f>
        <v/>
      </c>
      <c r="AA1110">
        <f>HYPERLINK("https://klasma.github.io/Logging_2181/klagomål/A 35479-2026 FSC-klagomål.docx", "A 35479-2026")</f>
        <v/>
      </c>
      <c r="AB1110">
        <f>HYPERLINK("https://klasma.github.io/Logging_2181/klagomålsmail/A 35479-2026 FSC-klagomål mail.docx", "A 35479-2026")</f>
        <v/>
      </c>
      <c r="AC1110">
        <f>HYPERLINK("https://klasma.github.io/Logging_2181/tillsyn/A 35479-2026 tillsynsbegäran.docx", "A 35479-2026")</f>
        <v/>
      </c>
      <c r="AD1110">
        <f>HYPERLINK("https://klasma.github.io/Logging_2181/tillsynsmail/A 35479-2026 tillsynsbegäran mail.docx", "A 35479-2026")</f>
        <v/>
      </c>
    </row>
    <row r="1111" ht="15" customHeight="1">
      <c r="A1111" t="inlineStr">
        <is>
          <t>A 35482-2026</t>
        </is>
      </c>
      <c r="B1111" t="inlineStr">
        <is>
          <t>avverkningsanmälan</t>
        </is>
      </c>
      <c r="C1111" t="inlineStr">
        <is>
          <t>Föryngringsavverkning</t>
        </is>
      </c>
      <c r="D1111" s="1" t="n">
        <v>46262</v>
      </c>
      <c r="E1111" s="1" t="n">
        <v>46326</v>
      </c>
      <c r="F1111" t="inlineStr">
        <is>
          <t>GÄVLEBORGS LÄN</t>
        </is>
      </c>
      <c r="G1111" t="inlineStr">
        <is>
          <t>HOFORS</t>
        </is>
      </c>
      <c r="H1111" t="inlineStr">
        <is>
          <t>Sveaskog</t>
        </is>
      </c>
      <c r="I1111" t="n">
        <v>3.1</v>
      </c>
      <c r="J1111" t="n">
        <v>1</v>
      </c>
      <c r="K1111" t="n">
        <v>0</v>
      </c>
      <c r="L1111" t="n">
        <v>0</v>
      </c>
      <c r="M1111" t="n">
        <v>0</v>
      </c>
      <c r="N1111" t="n">
        <v>0</v>
      </c>
      <c r="O1111" t="n">
        <v>0</v>
      </c>
      <c r="P1111" t="n">
        <v>0</v>
      </c>
      <c r="Q1111" t="n">
        <v>0</v>
      </c>
      <c r="R1111" t="n">
        <v>0</v>
      </c>
      <c r="S1111" t="n">
        <v>1</v>
      </c>
      <c r="T1111" t="n">
        <v>2</v>
      </c>
      <c r="U1111" t="n">
        <v>0</v>
      </c>
      <c r="V1111" s="2" t="inlineStr">
        <is>
          <t>Blåsippa</t>
        </is>
      </c>
      <c r="W1111">
        <f>HYPERLINK("https://klasma.github.io/Logging_2104/artfynd/A 35482-2026 artfynd.xlsx", "A 35482-2026")</f>
        <v/>
      </c>
      <c r="X1111">
        <f>HYPERLINK("https://klasma.github.io/Logging_2104/kartor/A 35482-2026 karta.png", "A 35482-2026")</f>
        <v/>
      </c>
      <c r="Y1111">
        <f>HYPERLINK("https://klasma.github.io/Logging_2104/kartor_geotiff/A 35482-2026 georefererad karta.tif", "A 35482-2026")</f>
        <v/>
      </c>
      <c r="AA1111">
        <f>HYPERLINK("https://klasma.github.io/Logging_2104/klagomål/A 35482-2026 FSC-klagomål.docx", "A 35482-2026")</f>
        <v/>
      </c>
      <c r="AB1111">
        <f>HYPERLINK("https://klasma.github.io/Logging_2104/klagomålsmail/A 35482-2026 FSC-klagomål mail.docx", "A 35482-2026")</f>
        <v/>
      </c>
      <c r="AC1111">
        <f>HYPERLINK("https://klasma.github.io/Logging_2104/tillsyn/A 35482-2026 tillsynsbegäran.docx", "A 35482-2026")</f>
        <v/>
      </c>
      <c r="AD1111">
        <f>HYPERLINK("https://klasma.github.io/Logging_2104/tillsynsmail/A 35482-2026 tillsynsbegäran mail.docx", "A 35482-2026")</f>
        <v/>
      </c>
    </row>
    <row r="1112" ht="15" customHeight="1">
      <c r="A1112" t="inlineStr">
        <is>
          <t>A 42674-2026</t>
        </is>
      </c>
      <c r="B1112" t="inlineStr">
        <is>
          <t>avverkningsanmälan</t>
        </is>
      </c>
      <c r="C1112" t="inlineStr">
        <is>
          <t>Föryngringsavverkning</t>
        </is>
      </c>
      <c r="D1112" s="1" t="n">
        <v>46309</v>
      </c>
      <c r="E1112" s="1" t="n">
        <v>46326</v>
      </c>
      <c r="F1112" t="inlineStr">
        <is>
          <t>GÄVLEBORGS LÄN</t>
        </is>
      </c>
      <c r="G1112" t="inlineStr">
        <is>
          <t>LJUSDAL</t>
        </is>
      </c>
      <c r="H1112" t="inlineStr">
        <is>
          <t>Sveaskog</t>
        </is>
      </c>
      <c r="I1112" t="n">
        <v>4.8</v>
      </c>
      <c r="J1112" t="n">
        <v>0</v>
      </c>
      <c r="K1112" t="n">
        <v>0</v>
      </c>
      <c r="L1112" t="n">
        <v>1</v>
      </c>
      <c r="M1112" t="n">
        <v>0</v>
      </c>
      <c r="N1112" t="n">
        <v>0</v>
      </c>
      <c r="O1112" t="n">
        <v>0</v>
      </c>
      <c r="P1112" t="n">
        <v>0</v>
      </c>
      <c r="Q1112" t="n">
        <v>1</v>
      </c>
      <c r="R1112" t="n">
        <v>0</v>
      </c>
      <c r="S1112" t="n">
        <v>1</v>
      </c>
      <c r="T1112" t="n">
        <v>1</v>
      </c>
      <c r="U1112" t="n">
        <v>0</v>
      </c>
      <c r="V1112" s="2" t="inlineStr">
        <is>
          <t>Lunglav</t>
        </is>
      </c>
      <c r="W1112">
        <f>HYPERLINK("https://klasma.github.io/Logging_2161/artfynd/A 42674-2026 artfynd.xlsx", "A 42674-2026")</f>
        <v/>
      </c>
      <c r="X1112">
        <f>HYPERLINK("https://klasma.github.io/Logging_2161/kartor/A 42674-2026 karta.png", "A 42674-2026")</f>
        <v/>
      </c>
      <c r="Y1112">
        <f>HYPERLINK("https://klasma.github.io/Logging_2161/kartor_geotiff/A 42674-2026 georefererad karta.tif", "A 42674-2026")</f>
        <v/>
      </c>
      <c r="AA1112">
        <f>HYPERLINK("https://klasma.github.io/Logging_2161/klagomål/A 42674-2026 FSC-klagomål.docx", "A 42674-2026")</f>
        <v/>
      </c>
      <c r="AB1112">
        <f>HYPERLINK("https://klasma.github.io/Logging_2161/klagomålsmail/A 42674-2026 FSC-klagomål mail.docx", "A 42674-2026")</f>
        <v/>
      </c>
      <c r="AC1112">
        <f>HYPERLINK("https://klasma.github.io/Logging_2161/tillsyn/A 42674-2026 tillsynsbegäran.docx", "A 42674-2026")</f>
        <v/>
      </c>
      <c r="AD1112">
        <f>HYPERLINK("https://klasma.github.io/Logging_2161/tillsynsmail/A 42674-2026 tillsynsbegäran mail.docx", "A 42674-2026")</f>
        <v/>
      </c>
    </row>
    <row r="1113" ht="15" customHeight="1">
      <c r="A1113" t="inlineStr">
        <is>
          <t>A 43068-2026</t>
        </is>
      </c>
      <c r="B1113" t="inlineStr">
        <is>
          <t>avverkningsanmälan</t>
        </is>
      </c>
      <c r="C1113" t="inlineStr">
        <is>
          <t>Föryngringsavverkning</t>
        </is>
      </c>
      <c r="D1113" s="1" t="n">
        <v>46311</v>
      </c>
      <c r="E1113" s="1" t="n">
        <v>46326</v>
      </c>
      <c r="F1113" t="inlineStr">
        <is>
          <t>GÄVLEBORGS LÄN</t>
        </is>
      </c>
      <c r="G1113" t="inlineStr">
        <is>
          <t>GÄVLE</t>
        </is>
      </c>
      <c r="H1113" t="inlineStr">
        <is>
          <t>Bergvik skog öst AB</t>
        </is>
      </c>
      <c r="I1113" t="n">
        <v>5.9</v>
      </c>
      <c r="J1113" t="n">
        <v>1</v>
      </c>
      <c r="K1113" t="n">
        <v>0</v>
      </c>
      <c r="L1113" t="n">
        <v>1</v>
      </c>
      <c r="M1113" t="n">
        <v>0</v>
      </c>
      <c r="N1113" t="n">
        <v>0</v>
      </c>
      <c r="O1113" t="n">
        <v>0</v>
      </c>
      <c r="P1113" t="n">
        <v>0</v>
      </c>
      <c r="Q1113" t="n">
        <v>1</v>
      </c>
      <c r="R1113" t="n">
        <v>0</v>
      </c>
      <c r="S1113" t="n">
        <v>1</v>
      </c>
      <c r="T1113" t="n">
        <v>1</v>
      </c>
      <c r="U1113" t="n">
        <v>0</v>
      </c>
      <c r="V1113" s="2" t="inlineStr">
        <is>
          <t>Talltita</t>
        </is>
      </c>
      <c r="W1113">
        <f>HYPERLINK("https://klasma.github.io/Logging_2180/artfynd/A 43068-2026 artfynd.xlsx", "A 43068-2026")</f>
        <v/>
      </c>
      <c r="X1113">
        <f>HYPERLINK("https://klasma.github.io/Logging_2180/kartor/A 43068-2026 karta.png", "A 43068-2026")</f>
        <v/>
      </c>
      <c r="Y1113">
        <f>HYPERLINK("https://klasma.github.io/Logging_2180/kartor_geotiff/A 43068-2026 georefererad karta.tif", "A 43068-2026")</f>
        <v/>
      </c>
      <c r="AA1113">
        <f>HYPERLINK("https://klasma.github.io/Logging_2180/klagomål/A 43068-2026 FSC-klagomål.docx", "A 43068-2026")</f>
        <v/>
      </c>
      <c r="AB1113">
        <f>HYPERLINK("https://klasma.github.io/Logging_2180/klagomålsmail/A 43068-2026 FSC-klagomål mail.docx", "A 43068-2026")</f>
        <v/>
      </c>
      <c r="AC1113">
        <f>HYPERLINK("https://klasma.github.io/Logging_2180/tillsyn/A 43068-2026 tillsynsbegäran.docx", "A 43068-2026")</f>
        <v/>
      </c>
      <c r="AD1113">
        <f>HYPERLINK("https://klasma.github.io/Logging_2180/tillsynsmail/A 43068-2026 tillsynsbegäran mail.docx", "A 43068-2026")</f>
        <v/>
      </c>
      <c r="AE1113">
        <f>HYPERLINK("https://klasma.github.io/Logging_2180/fåglar/A 43068-2026 prioriterade fågelarter.docx", "A 43068-2026")</f>
        <v/>
      </c>
    </row>
    <row r="1114" ht="15" customHeight="1">
      <c r="A1114" t="inlineStr">
        <is>
          <t>A 510-2026</t>
        </is>
      </c>
      <c r="B1114" t="inlineStr">
        <is>
          <t>avverkningsanmälan</t>
        </is>
      </c>
      <c r="C1114" t="inlineStr">
        <is>
          <t>Föryngringsavverkning</t>
        </is>
      </c>
      <c r="D1114" s="1" t="n">
        <v>46029</v>
      </c>
      <c r="E1114" s="1" t="n">
        <v>46326</v>
      </c>
      <c r="F1114" t="inlineStr">
        <is>
          <t>GÄVLEBORGS LÄN</t>
        </is>
      </c>
      <c r="G1114" t="inlineStr">
        <is>
          <t>BOLLNÄS</t>
        </is>
      </c>
      <c r="I1114" t="n">
        <v>2.1</v>
      </c>
      <c r="J1114" t="n">
        <v>1</v>
      </c>
      <c r="K1114" t="n">
        <v>0</v>
      </c>
      <c r="L1114" t="n">
        <v>0</v>
      </c>
      <c r="M1114" t="n">
        <v>0</v>
      </c>
      <c r="N1114" t="n">
        <v>0</v>
      </c>
      <c r="O1114" t="n">
        <v>0</v>
      </c>
      <c r="P1114" t="n">
        <v>0</v>
      </c>
      <c r="Q1114" t="n">
        <v>0</v>
      </c>
      <c r="R1114" t="n">
        <v>0</v>
      </c>
      <c r="S1114" t="n">
        <v>1</v>
      </c>
      <c r="T1114" t="n">
        <v>1</v>
      </c>
      <c r="U1114" t="n">
        <v>0</v>
      </c>
      <c r="V1114" s="2" t="inlineStr">
        <is>
          <t>Slaguggla</t>
        </is>
      </c>
      <c r="W1114">
        <f>HYPERLINK("https://klasma.github.io/Logging_2183/artfynd/A 510-2026 artfynd.xlsx", "A 510-2026")</f>
        <v/>
      </c>
      <c r="X1114">
        <f>HYPERLINK("https://klasma.github.io/Logging_2183/kartor/A 510-2026 karta.png", "A 510-2026")</f>
        <v/>
      </c>
      <c r="Y1114">
        <f>HYPERLINK("https://klasma.github.io/Logging_2183/kartor_geotiff/A 510-2026 georefererad karta.tif", "A 510-2026")</f>
        <v/>
      </c>
      <c r="AA1114">
        <f>HYPERLINK("https://klasma.github.io/Logging_2183/klagomål/A 510-2026 FSC-klagomål.docx", "A 510-2026")</f>
        <v/>
      </c>
      <c r="AB1114">
        <f>HYPERLINK("https://klasma.github.io/Logging_2183/klagomålsmail/A 510-2026 FSC-klagomål mail.docx", "A 510-2026")</f>
        <v/>
      </c>
      <c r="AC1114">
        <f>HYPERLINK("https://klasma.github.io/Logging_2183/tillsyn/A 510-2026 tillsynsbegäran.docx", "A 510-2026")</f>
        <v/>
      </c>
      <c r="AD1114">
        <f>HYPERLINK("https://klasma.github.io/Logging_2183/tillsynsmail/A 510-2026 tillsynsbegäran mail.docx", "A 510-2026")</f>
        <v/>
      </c>
      <c r="AE1114">
        <f>HYPERLINK("https://klasma.github.io/Logging_2183/fåglar/A 510-2026 prioriterade fågelarter.docx", "A 510-2026")</f>
        <v/>
      </c>
    </row>
    <row r="1115" ht="15" customHeight="1">
      <c r="A1115" t="inlineStr">
        <is>
          <t>A 42892-2026</t>
        </is>
      </c>
      <c r="B1115" t="inlineStr">
        <is>
          <t>avverkningsanmälan</t>
        </is>
      </c>
      <c r="C1115" t="inlineStr">
        <is>
          <t>Föryngringsavverkning</t>
        </is>
      </c>
      <c r="D1115" s="1" t="n">
        <v>46310</v>
      </c>
      <c r="E1115" s="1" t="n">
        <v>46326</v>
      </c>
      <c r="F1115" t="inlineStr">
        <is>
          <t>GÄVLEBORGS LÄN</t>
        </is>
      </c>
      <c r="G1115" t="inlineStr">
        <is>
          <t>HUDIKSVALL</t>
        </is>
      </c>
      <c r="I1115" t="n">
        <v>8.6</v>
      </c>
      <c r="J1115" t="n">
        <v>0</v>
      </c>
      <c r="K1115" t="n">
        <v>0</v>
      </c>
      <c r="L1115" t="n">
        <v>1</v>
      </c>
      <c r="M1115" t="n">
        <v>0</v>
      </c>
      <c r="N1115" t="n">
        <v>0</v>
      </c>
      <c r="O1115" t="n">
        <v>0</v>
      </c>
      <c r="P1115" t="n">
        <v>0</v>
      </c>
      <c r="Q1115" t="n">
        <v>1</v>
      </c>
      <c r="R1115" t="n">
        <v>0</v>
      </c>
      <c r="S1115" t="n">
        <v>1</v>
      </c>
      <c r="T1115" t="n">
        <v>1</v>
      </c>
      <c r="U1115" t="n">
        <v>1</v>
      </c>
      <c r="V1115" s="2" t="inlineStr">
        <is>
          <t>Orange taggsvamp</t>
        </is>
      </c>
      <c r="W1115">
        <f>HYPERLINK("https://klasma.github.io/Logging_2184/artfynd/A 42892-2026 artfynd.xlsx", "A 42892-2026")</f>
        <v/>
      </c>
      <c r="X1115">
        <f>HYPERLINK("https://klasma.github.io/Logging_2184/kartor/A 42892-2026 karta.png", "A 42892-2026")</f>
        <v/>
      </c>
      <c r="Y1115">
        <f>HYPERLINK("https://klasma.github.io/Logging_2184/kartor_geotiff/A 42892-2026 georefererad karta.tif", "A 42892-2026")</f>
        <v/>
      </c>
      <c r="AA1115">
        <f>HYPERLINK("https://klasma.github.io/Logging_2184/klagomål/A 42892-2026 FSC-klagomål.docx", "A 42892-2026")</f>
        <v/>
      </c>
      <c r="AB1115">
        <f>HYPERLINK("https://klasma.github.io/Logging_2184/klagomålsmail/A 42892-2026 FSC-klagomål mail.docx", "A 42892-2026")</f>
        <v/>
      </c>
      <c r="AC1115">
        <f>HYPERLINK("https://klasma.github.io/Logging_2184/tillsyn/A 42892-2026 tillsynsbegäran.docx", "A 42892-2026")</f>
        <v/>
      </c>
      <c r="AD1115">
        <f>HYPERLINK("https://klasma.github.io/Logging_2184/tillsynsmail/A 42892-2026 tillsynsbegäran mail.docx", "A 42892-2026")</f>
        <v/>
      </c>
    </row>
    <row r="1116" ht="15" customHeight="1">
      <c r="A1116" t="inlineStr">
        <is>
          <t>A 36090-2026</t>
        </is>
      </c>
      <c r="B1116" t="inlineStr">
        <is>
          <t>avverkningsanmälan</t>
        </is>
      </c>
      <c r="C1116" t="inlineStr">
        <is>
          <t>Föryngringsavverkning</t>
        </is>
      </c>
      <c r="D1116" s="1" t="n">
        <v>46267</v>
      </c>
      <c r="E1116" s="1" t="n">
        <v>46326</v>
      </c>
      <c r="F1116" t="inlineStr">
        <is>
          <t>GÄVLEBORGS LÄN</t>
        </is>
      </c>
      <c r="G1116" t="inlineStr">
        <is>
          <t>GÄVLE</t>
        </is>
      </c>
      <c r="H1116" t="inlineStr">
        <is>
          <t>Bergvik skog öst AB</t>
        </is>
      </c>
      <c r="I1116" t="n">
        <v>2</v>
      </c>
      <c r="J1116" t="n">
        <v>1</v>
      </c>
      <c r="K1116" t="n">
        <v>1</v>
      </c>
      <c r="L1116" t="n">
        <v>0</v>
      </c>
      <c r="M1116" t="n">
        <v>0</v>
      </c>
      <c r="N1116" t="n">
        <v>0</v>
      </c>
      <c r="O1116" t="n">
        <v>0</v>
      </c>
      <c r="P1116" t="n">
        <v>0</v>
      </c>
      <c r="Q1116" t="n">
        <v>0</v>
      </c>
      <c r="R1116" t="n">
        <v>0</v>
      </c>
      <c r="S1116" t="n">
        <v>1</v>
      </c>
      <c r="T1116" t="n">
        <v>1</v>
      </c>
      <c r="U1116" t="n">
        <v>0</v>
      </c>
      <c r="V1116" s="2" t="inlineStr">
        <is>
          <t>Tvåblad</t>
        </is>
      </c>
      <c r="W1116">
        <f>HYPERLINK("https://klasma.github.io/Logging_2180/artfynd/A 36090-2026 artfynd.xlsx", "A 36090-2026")</f>
        <v/>
      </c>
      <c r="X1116">
        <f>HYPERLINK("https://klasma.github.io/Logging_2180/kartor/A 36090-2026 karta.png", "A 36090-2026")</f>
        <v/>
      </c>
      <c r="Y1116">
        <f>HYPERLINK("https://klasma.github.io/Logging_2180/kartor_geotiff/A 36090-2026 georefererad karta.tif", "A 36090-2026")</f>
        <v/>
      </c>
      <c r="AA1116">
        <f>HYPERLINK("https://klasma.github.io/Logging_2180/klagomål/A 36090-2026 FSC-klagomål.docx", "A 36090-2026")</f>
        <v/>
      </c>
      <c r="AB1116">
        <f>HYPERLINK("https://klasma.github.io/Logging_2180/klagomålsmail/A 36090-2026 FSC-klagomål mail.docx", "A 36090-2026")</f>
        <v/>
      </c>
      <c r="AC1116">
        <f>HYPERLINK("https://klasma.github.io/Logging_2180/tillsyn/A 36090-2026 tillsynsbegäran.docx", "A 36090-2026")</f>
        <v/>
      </c>
      <c r="AD1116">
        <f>HYPERLINK("https://klasma.github.io/Logging_2180/tillsynsmail/A 36090-2026 tillsynsbegäran mail.docx", "A 36090-2026")</f>
        <v/>
      </c>
    </row>
    <row r="1117" ht="15" customHeight="1">
      <c r="A1117" t="inlineStr">
        <is>
          <t>A 36596-2026</t>
        </is>
      </c>
      <c r="B1117" t="inlineStr">
        <is>
          <t>avverkningsanmälan</t>
        </is>
      </c>
      <c r="C1117" t="inlineStr">
        <is>
          <t>Föryngringsavverkning</t>
        </is>
      </c>
      <c r="D1117" s="1" t="n">
        <v>46269</v>
      </c>
      <c r="E1117" s="1" t="n">
        <v>46326</v>
      </c>
      <c r="F1117" t="inlineStr">
        <is>
          <t>GÄVLEBORGS LÄN</t>
        </is>
      </c>
      <c r="G1117" t="inlineStr">
        <is>
          <t>SANDVIKEN</t>
        </is>
      </c>
      <c r="I1117" t="n">
        <v>10</v>
      </c>
      <c r="J1117" t="n">
        <v>1</v>
      </c>
      <c r="K1117" t="n">
        <v>0</v>
      </c>
      <c r="L1117" t="n">
        <v>0</v>
      </c>
      <c r="M1117" t="n">
        <v>0</v>
      </c>
      <c r="N1117" t="n">
        <v>0</v>
      </c>
      <c r="O1117" t="n">
        <v>0</v>
      </c>
      <c r="P1117" t="n">
        <v>0</v>
      </c>
      <c r="Q1117" t="n">
        <v>0</v>
      </c>
      <c r="R1117" t="n">
        <v>0</v>
      </c>
      <c r="S1117" t="n">
        <v>1</v>
      </c>
      <c r="T1117" t="n">
        <v>1</v>
      </c>
      <c r="U1117" t="n">
        <v>0</v>
      </c>
      <c r="V1117" s="2" t="inlineStr">
        <is>
          <t>Vanlig padda</t>
        </is>
      </c>
      <c r="W1117">
        <f>HYPERLINK("https://klasma.github.io/Logging_2181/artfynd/A 36596-2026 artfynd.xlsx", "A 36596-2026")</f>
        <v/>
      </c>
      <c r="X1117">
        <f>HYPERLINK("https://klasma.github.io/Logging_2181/kartor/A 36596-2026 karta.png", "A 36596-2026")</f>
        <v/>
      </c>
      <c r="Y1117">
        <f>HYPERLINK("https://klasma.github.io/Logging_2181/kartor_geotiff/A 36596-2026 georefererad karta.tif", "A 36596-2026")</f>
        <v/>
      </c>
      <c r="AA1117">
        <f>HYPERLINK("https://klasma.github.io/Logging_2181/klagomål/A 36596-2026 FSC-klagomål.docx", "A 36596-2026")</f>
        <v/>
      </c>
      <c r="AB1117">
        <f>HYPERLINK("https://klasma.github.io/Logging_2181/klagomålsmail/A 36596-2026 FSC-klagomål mail.docx", "A 36596-2026")</f>
        <v/>
      </c>
      <c r="AC1117">
        <f>HYPERLINK("https://klasma.github.io/Logging_2181/tillsyn/A 36596-2026 tillsynsbegäran.docx", "A 36596-2026")</f>
        <v/>
      </c>
      <c r="AD1117">
        <f>HYPERLINK("https://klasma.github.io/Logging_2181/tillsynsmail/A 36596-2026 tillsynsbegäran mail.docx", "A 36596-2026")</f>
        <v/>
      </c>
    </row>
    <row r="1118" ht="15" customHeight="1">
      <c r="A1118" t="inlineStr">
        <is>
          <t>A 43566-2026</t>
        </is>
      </c>
      <c r="B1118" t="inlineStr">
        <is>
          <t>avverkningsanmälan</t>
        </is>
      </c>
      <c r="C1118" t="inlineStr">
        <is>
          <t>Föryngringsavverkning</t>
        </is>
      </c>
      <c r="D1118" s="1" t="n">
        <v>46311</v>
      </c>
      <c r="E1118" s="1" t="n">
        <v>46326</v>
      </c>
      <c r="F1118" t="inlineStr">
        <is>
          <t>GÄVLEBORGS LÄN</t>
        </is>
      </c>
      <c r="G1118" t="inlineStr">
        <is>
          <t>SANDVIKEN</t>
        </is>
      </c>
      <c r="H1118" t="inlineStr">
        <is>
          <t>Bergvik skog väst AB</t>
        </is>
      </c>
      <c r="I1118" t="n">
        <v>24.3</v>
      </c>
      <c r="J1118" t="n">
        <v>1</v>
      </c>
      <c r="K1118" t="n">
        <v>0</v>
      </c>
      <c r="L1118" t="n">
        <v>0</v>
      </c>
      <c r="M1118" t="n">
        <v>0</v>
      </c>
      <c r="N1118" t="n">
        <v>1</v>
      </c>
      <c r="O1118" t="n">
        <v>0</v>
      </c>
      <c r="P1118" t="n">
        <v>0</v>
      </c>
      <c r="Q1118" t="n">
        <v>1</v>
      </c>
      <c r="R1118" t="n">
        <v>1</v>
      </c>
      <c r="S1118" t="n">
        <v>1</v>
      </c>
      <c r="T1118" t="n">
        <v>2</v>
      </c>
      <c r="U1118" t="n">
        <v>0</v>
      </c>
      <c r="V1118" s="2" t="inlineStr">
        <is>
          <t>Mosippa</t>
        </is>
      </c>
      <c r="W1118">
        <f>HYPERLINK("https://klasma.github.io/Logging_2181/artfynd/A 43566-2026 artfynd.xlsx", "A 43566-2026")</f>
        <v/>
      </c>
      <c r="X1118">
        <f>HYPERLINK("https://klasma.github.io/Logging_2181/kartor/A 43566-2026 karta.png", "A 43566-2026")</f>
        <v/>
      </c>
      <c r="Y1118">
        <f>HYPERLINK("https://klasma.github.io/Logging_2181/kartor_geotiff/A 43566-2026 georefererad karta.tif", "A 43566-2026")</f>
        <v/>
      </c>
      <c r="AA1118">
        <f>HYPERLINK("https://klasma.github.io/Logging_2181/klagomål/A 43566-2026 FSC-klagomål.docx", "A 43566-2026")</f>
        <v/>
      </c>
      <c r="AB1118">
        <f>HYPERLINK("https://klasma.github.io/Logging_2181/klagomålsmail/A 43566-2026 FSC-klagomål mail.docx", "A 43566-2026")</f>
        <v/>
      </c>
      <c r="AC1118">
        <f>HYPERLINK("https://klasma.github.io/Logging_2181/tillsyn/A 43566-2026 tillsynsbegäran.docx", "A 43566-2026")</f>
        <v/>
      </c>
      <c r="AD1118">
        <f>HYPERLINK("https://klasma.github.io/Logging_2181/tillsynsmail/A 43566-2026 tillsynsbegäran mail.docx", "A 43566-2026")</f>
        <v/>
      </c>
    </row>
    <row r="1119" ht="15" customHeight="1">
      <c r="A1119" t="inlineStr">
        <is>
          <t>A 43492-2026</t>
        </is>
      </c>
      <c r="B1119" t="inlineStr">
        <is>
          <t>avverkningsanmälan</t>
        </is>
      </c>
      <c r="C1119" t="inlineStr">
        <is>
          <t>Föryngringsavverkning</t>
        </is>
      </c>
      <c r="D1119" s="1" t="n">
        <v>46315</v>
      </c>
      <c r="E1119" s="1" t="n">
        <v>46326</v>
      </c>
      <c r="F1119" t="inlineStr">
        <is>
          <t>GÄVLEBORGS LÄN</t>
        </is>
      </c>
      <c r="G1119" t="inlineStr">
        <is>
          <t>OVANÅKER</t>
        </is>
      </c>
      <c r="H1119" t="inlineStr">
        <is>
          <t>Bergvik skog väst AB</t>
        </is>
      </c>
      <c r="I1119" t="n">
        <v>8.1</v>
      </c>
      <c r="J1119" t="n">
        <v>1</v>
      </c>
      <c r="K1119" t="n">
        <v>0</v>
      </c>
      <c r="L1119" t="n">
        <v>1</v>
      </c>
      <c r="M1119" t="n">
        <v>0</v>
      </c>
      <c r="N1119" t="n">
        <v>0</v>
      </c>
      <c r="O1119" t="n">
        <v>0</v>
      </c>
      <c r="P1119" t="n">
        <v>0</v>
      </c>
      <c r="Q1119" t="n">
        <v>1</v>
      </c>
      <c r="R1119" t="n">
        <v>0</v>
      </c>
      <c r="S1119" t="n">
        <v>1</v>
      </c>
      <c r="T1119" t="n">
        <v>1</v>
      </c>
      <c r="U1119" t="n">
        <v>0</v>
      </c>
      <c r="V1119" s="2" t="inlineStr">
        <is>
          <t>Enkelbeckasin</t>
        </is>
      </c>
      <c r="W1119">
        <f>HYPERLINK("https://klasma.github.io/Logging_2121/artfynd/A 43492-2026 artfynd.xlsx", "A 43492-2026")</f>
        <v/>
      </c>
      <c r="X1119">
        <f>HYPERLINK("https://klasma.github.io/Logging_2121/kartor/A 43492-2026 karta.png", "A 43492-2026")</f>
        <v/>
      </c>
      <c r="Y1119">
        <f>HYPERLINK("https://klasma.github.io/Logging_2121/kartor_geotiff/A 43492-2026 georefererad karta.tif", "A 43492-2026")</f>
        <v/>
      </c>
      <c r="AA1119">
        <f>HYPERLINK("https://klasma.github.io/Logging_2121/klagomål/A 43492-2026 FSC-klagomål.docx", "A 43492-2026")</f>
        <v/>
      </c>
      <c r="AB1119">
        <f>HYPERLINK("https://klasma.github.io/Logging_2121/klagomålsmail/A 43492-2026 FSC-klagomål mail.docx", "A 43492-2026")</f>
        <v/>
      </c>
      <c r="AC1119">
        <f>HYPERLINK("https://klasma.github.io/Logging_2121/tillsyn/A 43492-2026 tillsynsbegäran.docx", "A 43492-2026")</f>
        <v/>
      </c>
      <c r="AD1119">
        <f>HYPERLINK("https://klasma.github.io/Logging_2121/tillsynsmail/A 43492-2026 tillsynsbegäran mail.docx", "A 43492-2026")</f>
        <v/>
      </c>
      <c r="AE1119">
        <f>HYPERLINK("https://klasma.github.io/Logging_2121/fåglar/A 43492-2026 prioriterade fågelarter.docx", "A 43492-2026")</f>
        <v/>
      </c>
    </row>
    <row r="1120" ht="15" customHeight="1">
      <c r="A1120" t="inlineStr">
        <is>
          <t>A 43717-2026</t>
        </is>
      </c>
      <c r="B1120" t="inlineStr">
        <is>
          <t>avverkningsanmälan</t>
        </is>
      </c>
      <c r="C1120" t="inlineStr">
        <is>
          <t>Föryngringsavverkning</t>
        </is>
      </c>
      <c r="D1120" s="1" t="n">
        <v>46316</v>
      </c>
      <c r="E1120" s="1" t="n">
        <v>46326</v>
      </c>
      <c r="F1120" t="inlineStr">
        <is>
          <t>GÄVLEBORGS LÄN</t>
        </is>
      </c>
      <c r="G1120" t="inlineStr">
        <is>
          <t>OVANÅKER</t>
        </is>
      </c>
      <c r="H1120" t="inlineStr">
        <is>
          <t>Bergvik skog väst AB</t>
        </is>
      </c>
      <c r="I1120" t="n">
        <v>3.2</v>
      </c>
      <c r="J1120" t="n">
        <v>1</v>
      </c>
      <c r="K1120" t="n">
        <v>0</v>
      </c>
      <c r="L1120" t="n">
        <v>0</v>
      </c>
      <c r="M1120" t="n">
        <v>0</v>
      </c>
      <c r="N1120" t="n">
        <v>0</v>
      </c>
      <c r="O1120" t="n">
        <v>0</v>
      </c>
      <c r="P1120" t="n">
        <v>0</v>
      </c>
      <c r="Q1120" t="n">
        <v>0</v>
      </c>
      <c r="R1120" t="n">
        <v>0</v>
      </c>
      <c r="S1120" t="n">
        <v>1</v>
      </c>
      <c r="T1120" t="n">
        <v>1</v>
      </c>
      <c r="U1120" t="n">
        <v>0</v>
      </c>
      <c r="V1120" s="2" t="inlineStr">
        <is>
          <t>Tjäder</t>
        </is>
      </c>
      <c r="W1120">
        <f>HYPERLINK("https://klasma.github.io/Logging_2121/artfynd/A 43717-2026 artfynd.xlsx", "A 43717-2026")</f>
        <v/>
      </c>
      <c r="X1120">
        <f>HYPERLINK("https://klasma.github.io/Logging_2121/kartor/A 43717-2026 karta.png", "A 43717-2026")</f>
        <v/>
      </c>
      <c r="Y1120">
        <f>HYPERLINK("https://klasma.github.io/Logging_2121/kartor_geotiff/A 43717-2026 georefererad karta.tif", "A 43717-2026")</f>
        <v/>
      </c>
      <c r="AA1120">
        <f>HYPERLINK("https://klasma.github.io/Logging_2121/klagomål/A 43717-2026 FSC-klagomål.docx", "A 43717-2026")</f>
        <v/>
      </c>
      <c r="AB1120">
        <f>HYPERLINK("https://klasma.github.io/Logging_2121/klagomålsmail/A 43717-2026 FSC-klagomål mail.docx", "A 43717-2026")</f>
        <v/>
      </c>
      <c r="AC1120">
        <f>HYPERLINK("https://klasma.github.io/Logging_2121/tillsyn/A 43717-2026 tillsynsbegäran.docx", "A 43717-2026")</f>
        <v/>
      </c>
      <c r="AD1120">
        <f>HYPERLINK("https://klasma.github.io/Logging_2121/tillsynsmail/A 43717-2026 tillsynsbegäran mail.docx", "A 43717-2026")</f>
        <v/>
      </c>
      <c r="AE1120">
        <f>HYPERLINK("https://klasma.github.io/Logging_2121/fåglar/A 43717-2026 prioriterade fågelarter.docx", "A 43717-2026")</f>
        <v/>
      </c>
    </row>
    <row r="1121" ht="15" customHeight="1">
      <c r="A1121" t="inlineStr">
        <is>
          <t>A 43713-2026</t>
        </is>
      </c>
      <c r="B1121" t="inlineStr">
        <is>
          <t>avverkningsanmälan</t>
        </is>
      </c>
      <c r="C1121" t="inlineStr">
        <is>
          <t>Föryngringsavverkning</t>
        </is>
      </c>
      <c r="D1121" s="1" t="n">
        <v>46316</v>
      </c>
      <c r="E1121" s="1" t="n">
        <v>46326</v>
      </c>
      <c r="F1121" t="inlineStr">
        <is>
          <t>GÄVLEBORGS LÄN</t>
        </is>
      </c>
      <c r="G1121" t="inlineStr">
        <is>
          <t>BOLLNÄS</t>
        </is>
      </c>
      <c r="H1121" t="inlineStr">
        <is>
          <t>Bergvik skog öst AB</t>
        </is>
      </c>
      <c r="I1121" t="n">
        <v>7.9</v>
      </c>
      <c r="J1121" t="n">
        <v>0</v>
      </c>
      <c r="K1121" t="n">
        <v>0</v>
      </c>
      <c r="L1121" t="n">
        <v>1</v>
      </c>
      <c r="M1121" t="n">
        <v>0</v>
      </c>
      <c r="N1121" t="n">
        <v>0</v>
      </c>
      <c r="O1121" t="n">
        <v>0</v>
      </c>
      <c r="P1121" t="n">
        <v>0</v>
      </c>
      <c r="Q1121" t="n">
        <v>1</v>
      </c>
      <c r="R1121" t="n">
        <v>0</v>
      </c>
      <c r="S1121" t="n">
        <v>1</v>
      </c>
      <c r="T1121" t="n">
        <v>1</v>
      </c>
      <c r="U1121" t="n">
        <v>0</v>
      </c>
      <c r="V1121" s="2" t="inlineStr">
        <is>
          <t>Vedskivlav</t>
        </is>
      </c>
      <c r="W1121">
        <f>HYPERLINK("https://klasma.github.io/Logging_2183/artfynd/A 43713-2026 artfynd.xlsx", "A 43713-2026")</f>
        <v/>
      </c>
      <c r="X1121">
        <f>HYPERLINK("https://klasma.github.io/Logging_2183/kartor/A 43713-2026 karta.png", "A 43713-2026")</f>
        <v/>
      </c>
      <c r="Y1121">
        <f>HYPERLINK("https://klasma.github.io/Logging_2183/kartor_geotiff/A 43713-2026 georefererad karta.tif", "A 43713-2026")</f>
        <v/>
      </c>
      <c r="AA1121">
        <f>HYPERLINK("https://klasma.github.io/Logging_2183/klagomål/A 43713-2026 FSC-klagomål.docx", "A 43713-2026")</f>
        <v/>
      </c>
      <c r="AB1121">
        <f>HYPERLINK("https://klasma.github.io/Logging_2183/klagomålsmail/A 43713-2026 FSC-klagomål mail.docx", "A 43713-2026")</f>
        <v/>
      </c>
      <c r="AC1121">
        <f>HYPERLINK("https://klasma.github.io/Logging_2183/tillsyn/A 43713-2026 tillsynsbegäran.docx", "A 43713-2026")</f>
        <v/>
      </c>
      <c r="AD1121">
        <f>HYPERLINK("https://klasma.github.io/Logging_2183/tillsynsmail/A 43713-2026 tillsynsbegäran mail.docx", "A 43713-2026")</f>
        <v/>
      </c>
    </row>
    <row r="1122" ht="15" customHeight="1">
      <c r="A1122" t="inlineStr">
        <is>
          <t>A 37220-2026</t>
        </is>
      </c>
      <c r="B1122" t="inlineStr">
        <is>
          <t>avverkningsanmälan</t>
        </is>
      </c>
      <c r="C1122" t="inlineStr">
        <is>
          <t>Föryngringsavverkning</t>
        </is>
      </c>
      <c r="D1122" s="1" t="n">
        <v>46274</v>
      </c>
      <c r="E1122" s="1" t="n">
        <v>46326</v>
      </c>
      <c r="F1122" t="inlineStr">
        <is>
          <t>GÄVLEBORGS LÄN</t>
        </is>
      </c>
      <c r="G1122" t="inlineStr">
        <is>
          <t>GÄVLE</t>
        </is>
      </c>
      <c r="H1122" t="inlineStr">
        <is>
          <t>Bergvik skog öst AB</t>
        </is>
      </c>
      <c r="I1122" t="n">
        <v>5.1</v>
      </c>
      <c r="J1122" t="n">
        <v>1</v>
      </c>
      <c r="K1122" t="n">
        <v>0</v>
      </c>
      <c r="L1122" t="n">
        <v>0</v>
      </c>
      <c r="M1122" t="n">
        <v>0</v>
      </c>
      <c r="N1122" t="n">
        <v>0</v>
      </c>
      <c r="O1122" t="n">
        <v>0</v>
      </c>
      <c r="P1122" t="n">
        <v>0</v>
      </c>
      <c r="Q1122" t="n">
        <v>0</v>
      </c>
      <c r="R1122" t="n">
        <v>0</v>
      </c>
      <c r="S1122" t="n">
        <v>1</v>
      </c>
      <c r="T1122" t="n">
        <v>1</v>
      </c>
      <c r="U1122" t="n">
        <v>0</v>
      </c>
      <c r="V1122" s="2" t="inlineStr">
        <is>
          <t>Revlummer</t>
        </is>
      </c>
      <c r="W1122">
        <f>HYPERLINK("https://klasma.github.io/Logging_2180/artfynd/A 37220-2026 artfynd.xlsx", "A 37220-2026")</f>
        <v/>
      </c>
      <c r="X1122">
        <f>HYPERLINK("https://klasma.github.io/Logging_2180/kartor/A 37220-2026 karta.png", "A 37220-2026")</f>
        <v/>
      </c>
      <c r="Y1122">
        <f>HYPERLINK("https://klasma.github.io/Logging_2180/kartor_geotiff/A 37220-2026 georefererad karta.tif", "A 37220-2026")</f>
        <v/>
      </c>
      <c r="AA1122">
        <f>HYPERLINK("https://klasma.github.io/Logging_2180/klagomål/A 37220-2026 FSC-klagomål.docx", "A 37220-2026")</f>
        <v/>
      </c>
      <c r="AB1122">
        <f>HYPERLINK("https://klasma.github.io/Logging_2180/klagomålsmail/A 37220-2026 FSC-klagomål mail.docx", "A 37220-2026")</f>
        <v/>
      </c>
      <c r="AC1122">
        <f>HYPERLINK("https://klasma.github.io/Logging_2180/tillsyn/A 37220-2026 tillsynsbegäran.docx", "A 37220-2026")</f>
        <v/>
      </c>
      <c r="AD1122">
        <f>HYPERLINK("https://klasma.github.io/Logging_2180/tillsynsmail/A 37220-2026 tillsynsbegäran mail.docx", "A 37220-2026")</f>
        <v/>
      </c>
    </row>
    <row r="1123" ht="15" customHeight="1">
      <c r="A1123" t="inlineStr">
        <is>
          <t>A 37581-2026</t>
        </is>
      </c>
      <c r="B1123" t="inlineStr">
        <is>
          <t>avverkningsanmälan</t>
        </is>
      </c>
      <c r="C1123" t="inlineStr">
        <is>
          <t>Föryngringsavverkning</t>
        </is>
      </c>
      <c r="D1123" s="1" t="n">
        <v>46276</v>
      </c>
      <c r="E1123" s="1" t="n">
        <v>46326</v>
      </c>
      <c r="F1123" t="inlineStr">
        <is>
          <t>GÄVLEBORGS LÄN</t>
        </is>
      </c>
      <c r="G1123" t="inlineStr">
        <is>
          <t>LJUSDAL</t>
        </is>
      </c>
      <c r="H1123" t="inlineStr">
        <is>
          <t>Sveaskog</t>
        </is>
      </c>
      <c r="I1123" t="n">
        <v>2.5</v>
      </c>
      <c r="J1123" t="n">
        <v>0</v>
      </c>
      <c r="K1123" t="n">
        <v>0</v>
      </c>
      <c r="L1123" t="n">
        <v>1</v>
      </c>
      <c r="M1123" t="n">
        <v>0</v>
      </c>
      <c r="N1123" t="n">
        <v>0</v>
      </c>
      <c r="O1123" t="n">
        <v>0</v>
      </c>
      <c r="P1123" t="n">
        <v>0</v>
      </c>
      <c r="Q1123" t="n">
        <v>1</v>
      </c>
      <c r="R1123" t="n">
        <v>0</v>
      </c>
      <c r="S1123" t="n">
        <v>1</v>
      </c>
      <c r="T1123" t="n">
        <v>1</v>
      </c>
      <c r="U1123" t="n">
        <v>1</v>
      </c>
      <c r="V1123" s="2" t="inlineStr">
        <is>
          <t>Kolflarnlav</t>
        </is>
      </c>
      <c r="W1123">
        <f>HYPERLINK("https://klasma.github.io/Logging_2161/artfynd/A 37581-2026 artfynd.xlsx", "A 37581-2026")</f>
        <v/>
      </c>
      <c r="X1123">
        <f>HYPERLINK("https://klasma.github.io/Logging_2161/kartor/A 37581-2026 karta.png", "A 37581-2026")</f>
        <v/>
      </c>
      <c r="Y1123">
        <f>HYPERLINK("https://klasma.github.io/Logging_2161/kartor_geotiff/A 37581-2026 georefererad karta.tif", "A 37581-2026")</f>
        <v/>
      </c>
      <c r="AA1123">
        <f>HYPERLINK("https://klasma.github.io/Logging_2161/klagomål/A 37581-2026 FSC-klagomål.docx", "A 37581-2026")</f>
        <v/>
      </c>
      <c r="AB1123">
        <f>HYPERLINK("https://klasma.github.io/Logging_2161/klagomålsmail/A 37581-2026 FSC-klagomål mail.docx", "A 37581-2026")</f>
        <v/>
      </c>
      <c r="AC1123">
        <f>HYPERLINK("https://klasma.github.io/Logging_2161/tillsyn/A 37581-2026 tillsynsbegäran.docx", "A 37581-2026")</f>
        <v/>
      </c>
      <c r="AD1123">
        <f>HYPERLINK("https://klasma.github.io/Logging_2161/tillsynsmail/A 37581-2026 tillsynsbegäran mail.docx", "A 37581-2026")</f>
        <v/>
      </c>
    </row>
    <row r="1124" ht="15" customHeight="1">
      <c r="A1124" t="inlineStr">
        <is>
          <t>A 7543-2024</t>
        </is>
      </c>
      <c r="B1124" t="inlineStr">
        <is>
          <t>avverkningsanmälan</t>
        </is>
      </c>
      <c r="C1124" t="inlineStr">
        <is>
          <t>Föryngringsavverkning</t>
        </is>
      </c>
      <c r="D1124" s="1" t="n">
        <v>45348</v>
      </c>
      <c r="E1124" s="1" t="n">
        <v>46326</v>
      </c>
      <c r="F1124" t="inlineStr">
        <is>
          <t>GÄVLEBORGS LÄN</t>
        </is>
      </c>
      <c r="G1124" t="inlineStr">
        <is>
          <t>HOFORS</t>
        </is>
      </c>
      <c r="I1124" t="n">
        <v>3.2</v>
      </c>
      <c r="J1124" t="n">
        <v>0</v>
      </c>
      <c r="K1124" t="n">
        <v>1</v>
      </c>
      <c r="L1124" t="n">
        <v>0</v>
      </c>
      <c r="M1124" t="n">
        <v>0</v>
      </c>
      <c r="N1124" t="n">
        <v>0</v>
      </c>
      <c r="O1124" t="n">
        <v>0</v>
      </c>
      <c r="P1124" t="n">
        <v>0</v>
      </c>
      <c r="Q1124" t="n">
        <v>0</v>
      </c>
      <c r="R1124" t="n">
        <v>0</v>
      </c>
      <c r="S1124" t="n">
        <v>1</v>
      </c>
      <c r="T1124" t="n">
        <v>2</v>
      </c>
      <c r="U1124" t="n">
        <v>2</v>
      </c>
      <c r="V1124" s="2" t="inlineStr">
        <is>
          <t>Svart trolldruva</t>
        </is>
      </c>
      <c r="W1124">
        <f>HYPERLINK("https://klasma.github.io/Logging_2104/artfynd/A 7543-2024 artfynd.xlsx", "A 7543-2024")</f>
        <v/>
      </c>
      <c r="X1124">
        <f>HYPERLINK("https://klasma.github.io/Logging_2104/kartor/A 7543-2024 karta.png", "A 7543-2024")</f>
        <v/>
      </c>
      <c r="Y1124">
        <f>HYPERLINK("https://klasma.github.io/Logging_2104/kartor_geotiff/A 7543-2024 georefererad karta.tif", "A 7543-2024")</f>
        <v/>
      </c>
      <c r="AA1124">
        <f>HYPERLINK("https://klasma.github.io/Logging_2104/klagomål/A 7543-2024 FSC-klagomål.docx", "A 7543-2024")</f>
        <v/>
      </c>
      <c r="AB1124">
        <f>HYPERLINK("https://klasma.github.io/Logging_2104/klagomålsmail/A 7543-2024 FSC-klagomål mail.docx", "A 7543-2024")</f>
        <v/>
      </c>
      <c r="AC1124">
        <f>HYPERLINK("https://klasma.github.io/Logging_2104/tillsyn/A 7543-2024 tillsynsbegäran.docx", "A 7543-2024")</f>
        <v/>
      </c>
      <c r="AD1124">
        <f>HYPERLINK("https://klasma.github.io/Logging_2104/tillsynsmail/A 7543-2024 tillsynsbegäran mail.docx", "A 7543-2024")</f>
        <v/>
      </c>
    </row>
    <row r="1125" ht="15" customHeight="1">
      <c r="A1125" t="inlineStr">
        <is>
          <t>A 37577-2026</t>
        </is>
      </c>
      <c r="B1125" t="inlineStr">
        <is>
          <t>avverkningsanmälan</t>
        </is>
      </c>
      <c r="C1125" t="inlineStr">
        <is>
          <t>Föryngringsavverkning</t>
        </is>
      </c>
      <c r="D1125" s="1" t="n">
        <v>46276</v>
      </c>
      <c r="E1125" s="1" t="n">
        <v>46326</v>
      </c>
      <c r="F1125" t="inlineStr">
        <is>
          <t>GÄVLEBORGS LÄN</t>
        </is>
      </c>
      <c r="G1125" t="inlineStr">
        <is>
          <t>LJUSDAL</t>
        </is>
      </c>
      <c r="H1125" t="inlineStr">
        <is>
          <t>Sveaskog</t>
        </is>
      </c>
      <c r="I1125" t="n">
        <v>1.1</v>
      </c>
      <c r="J1125" t="n">
        <v>0</v>
      </c>
      <c r="K1125" t="n">
        <v>0</v>
      </c>
      <c r="L1125" t="n">
        <v>1</v>
      </c>
      <c r="M1125" t="n">
        <v>0</v>
      </c>
      <c r="N1125" t="n">
        <v>0</v>
      </c>
      <c r="O1125" t="n">
        <v>0</v>
      </c>
      <c r="P1125" t="n">
        <v>0</v>
      </c>
      <c r="Q1125" t="n">
        <v>1</v>
      </c>
      <c r="R1125" t="n">
        <v>0</v>
      </c>
      <c r="S1125" t="n">
        <v>1</v>
      </c>
      <c r="T1125" t="n">
        <v>1</v>
      </c>
      <c r="U1125" t="n">
        <v>1</v>
      </c>
      <c r="V1125" s="2" t="inlineStr">
        <is>
          <t>Kolflarnlav</t>
        </is>
      </c>
      <c r="W1125">
        <f>HYPERLINK("https://klasma.github.io/Logging_2161/artfynd/A 37577-2026 artfynd.xlsx", "A 37577-2026")</f>
        <v/>
      </c>
      <c r="X1125">
        <f>HYPERLINK("https://klasma.github.io/Logging_2161/kartor/A 37577-2026 karta.png", "A 37577-2026")</f>
        <v/>
      </c>
      <c r="Y1125">
        <f>HYPERLINK("https://klasma.github.io/Logging_2161/kartor_geotiff/A 37577-2026 georefererad karta.tif", "A 37577-2026")</f>
        <v/>
      </c>
      <c r="AA1125">
        <f>HYPERLINK("https://klasma.github.io/Logging_2161/klagomål/A 37577-2026 FSC-klagomål.docx", "A 37577-2026")</f>
        <v/>
      </c>
      <c r="AB1125">
        <f>HYPERLINK("https://klasma.github.io/Logging_2161/klagomålsmail/A 37577-2026 FSC-klagomål mail.docx", "A 37577-2026")</f>
        <v/>
      </c>
      <c r="AC1125">
        <f>HYPERLINK("https://klasma.github.io/Logging_2161/tillsyn/A 37577-2026 tillsynsbegäran.docx", "A 37577-2026")</f>
        <v/>
      </c>
      <c r="AD1125">
        <f>HYPERLINK("https://klasma.github.io/Logging_2161/tillsynsmail/A 37577-2026 tillsynsbegäran mail.docx", "A 37577-2026")</f>
        <v/>
      </c>
    </row>
    <row r="1126" ht="15" customHeight="1">
      <c r="A1126" t="inlineStr">
        <is>
          <t>A 44927-2026</t>
        </is>
      </c>
      <c r="B1126" t="inlineStr">
        <is>
          <t>avverkningsanmälan</t>
        </is>
      </c>
      <c r="C1126" t="inlineStr">
        <is>
          <t>Föryngringsavverkning</t>
        </is>
      </c>
      <c r="D1126" s="1" t="n">
        <v>46323</v>
      </c>
      <c r="E1126" s="1" t="n">
        <v>46326</v>
      </c>
      <c r="F1126" t="inlineStr">
        <is>
          <t>GÄVLEBORGS LÄN</t>
        </is>
      </c>
      <c r="G1126" t="inlineStr">
        <is>
          <t>GÄVLE</t>
        </is>
      </c>
      <c r="H1126" t="inlineStr">
        <is>
          <t>Bergvik skog öst AB</t>
        </is>
      </c>
      <c r="I1126" t="n">
        <v>2.1</v>
      </c>
      <c r="J1126" t="n">
        <v>0</v>
      </c>
      <c r="K1126" t="n">
        <v>0</v>
      </c>
      <c r="L1126" t="n">
        <v>1</v>
      </c>
      <c r="M1126" t="n">
        <v>0</v>
      </c>
      <c r="N1126" t="n">
        <v>0</v>
      </c>
      <c r="O1126" t="n">
        <v>0</v>
      </c>
      <c r="P1126" t="n">
        <v>0</v>
      </c>
      <c r="Q1126" t="n">
        <v>1</v>
      </c>
      <c r="R1126" t="n">
        <v>0</v>
      </c>
      <c r="S1126" t="n">
        <v>1</v>
      </c>
      <c r="T1126" t="n">
        <v>1</v>
      </c>
      <c r="U1126" t="n">
        <v>0</v>
      </c>
      <c r="V1126" s="2" t="inlineStr">
        <is>
          <t>Slåtterfibbla</t>
        </is>
      </c>
      <c r="W1126">
        <f>HYPERLINK("https://klasma.github.io/Logging_2180/artfynd/A 44927-2026 artfynd.xlsx", "A 44927-2026")</f>
        <v/>
      </c>
      <c r="X1126">
        <f>HYPERLINK("https://klasma.github.io/Logging_2180/kartor/A 44927-2026 karta.png", "A 44927-2026")</f>
        <v/>
      </c>
      <c r="Y1126">
        <f>HYPERLINK("https://klasma.github.io/Logging_2180/kartor_geotiff/A 44927-2026 georefererad karta.tif", "A 44927-2026")</f>
        <v/>
      </c>
      <c r="AA1126">
        <f>HYPERLINK("https://klasma.github.io/Logging_2180/klagomål/A 44927-2026 FSC-klagomål.docx", "A 44927-2026")</f>
        <v/>
      </c>
      <c r="AB1126">
        <f>HYPERLINK("https://klasma.github.io/Logging_2180/klagomålsmail/A 44927-2026 FSC-klagomål mail.docx", "A 44927-2026")</f>
        <v/>
      </c>
      <c r="AC1126">
        <f>HYPERLINK("https://klasma.github.io/Logging_2180/tillsyn/A 44927-2026 tillsynsbegäran.docx", "A 44927-2026")</f>
        <v/>
      </c>
      <c r="AD1126">
        <f>HYPERLINK("https://klasma.github.io/Logging_2180/tillsynsmail/A 44927-2026 tillsynsbegäran mail.docx", "A 44927-2026")</f>
        <v/>
      </c>
    </row>
    <row r="1127" ht="15" customHeight="1">
      <c r="A1127" t="inlineStr">
        <is>
          <t>A 45062-2026</t>
        </is>
      </c>
      <c r="B1127" t="inlineStr">
        <is>
          <t>avverkningsanmälan</t>
        </is>
      </c>
      <c r="C1127" t="inlineStr">
        <is>
          <t>Föryngringsavverkning</t>
        </is>
      </c>
      <c r="D1127" s="1" t="n">
        <v>46324</v>
      </c>
      <c r="E1127" s="1" t="n">
        <v>46326</v>
      </c>
      <c r="F1127" t="inlineStr">
        <is>
          <t>GÄVLEBORGS LÄN</t>
        </is>
      </c>
      <c r="G1127" t="inlineStr">
        <is>
          <t>GÄVLE</t>
        </is>
      </c>
      <c r="H1127" t="inlineStr">
        <is>
          <t>Bergvik skog öst AB</t>
        </is>
      </c>
      <c r="I1127" t="n">
        <v>25.5</v>
      </c>
      <c r="J1127" t="n">
        <v>0</v>
      </c>
      <c r="K1127" t="n">
        <v>0</v>
      </c>
      <c r="L1127" t="n">
        <v>0</v>
      </c>
      <c r="M1127" t="n">
        <v>1</v>
      </c>
      <c r="N1127" t="n">
        <v>0</v>
      </c>
      <c r="O1127" t="n">
        <v>0</v>
      </c>
      <c r="P1127" t="n">
        <v>0</v>
      </c>
      <c r="Q1127" t="n">
        <v>1</v>
      </c>
      <c r="R1127" t="n">
        <v>1</v>
      </c>
      <c r="S1127" t="n">
        <v>1</v>
      </c>
      <c r="T1127" t="n">
        <v>1</v>
      </c>
      <c r="U1127" t="n">
        <v>0</v>
      </c>
      <c r="V1127" s="2" t="inlineStr">
        <is>
          <t>Igelkott</t>
        </is>
      </c>
      <c r="W1127">
        <f>HYPERLINK("https://klasma.github.io/Logging_2180/artfynd/A 45062-2026 artfynd.xlsx", "A 45062-2026")</f>
        <v/>
      </c>
      <c r="X1127">
        <f>HYPERLINK("https://klasma.github.io/Logging_2180/kartor/A 45062-2026 karta.png", "A 45062-2026")</f>
        <v/>
      </c>
      <c r="Y1127">
        <f>HYPERLINK("https://klasma.github.io/Logging_2180/kartor_geotiff/A 45062-2026 georefererad karta.tif", "A 45062-2026")</f>
        <v/>
      </c>
      <c r="AA1127">
        <f>HYPERLINK("https://klasma.github.io/Logging_2180/klagomål/A 45062-2026 FSC-klagomål.docx", "A 45062-2026")</f>
        <v/>
      </c>
      <c r="AB1127">
        <f>HYPERLINK("https://klasma.github.io/Logging_2180/klagomålsmail/A 45062-2026 FSC-klagomål mail.docx", "A 45062-2026")</f>
        <v/>
      </c>
      <c r="AC1127">
        <f>HYPERLINK("https://klasma.github.io/Logging_2180/tillsyn/A 45062-2026 tillsynsbegäran.docx", "A 45062-2026")</f>
        <v/>
      </c>
      <c r="AD1127">
        <f>HYPERLINK("https://klasma.github.io/Logging_2180/tillsynsmail/A 45062-2026 tillsynsbegäran mail.docx", "A 45062-2026")</f>
        <v/>
      </c>
    </row>
    <row r="1128" ht="15" customHeight="1">
      <c r="A1128" t="inlineStr">
        <is>
          <t>A 38109-2026</t>
        </is>
      </c>
      <c r="B1128" t="inlineStr">
        <is>
          <t>avverkningsanmälan</t>
        </is>
      </c>
      <c r="C1128" t="inlineStr">
        <is>
          <t>Föryngringsavverkning</t>
        </is>
      </c>
      <c r="D1128" s="1" t="n">
        <v>46281</v>
      </c>
      <c r="E1128" s="1" t="n">
        <v>46326</v>
      </c>
      <c r="F1128" t="inlineStr">
        <is>
          <t>GÄVLEBORGS LÄN</t>
        </is>
      </c>
      <c r="G1128" t="inlineStr">
        <is>
          <t>SANDVIKEN</t>
        </is>
      </c>
      <c r="H1128" t="inlineStr">
        <is>
          <t>Bergvik skog öst AB</t>
        </is>
      </c>
      <c r="I1128" t="n">
        <v>11.9</v>
      </c>
      <c r="J1128" t="n">
        <v>0</v>
      </c>
      <c r="K1128" t="n">
        <v>0</v>
      </c>
      <c r="L1128" t="n">
        <v>1</v>
      </c>
      <c r="M1128" t="n">
        <v>0</v>
      </c>
      <c r="N1128" t="n">
        <v>0</v>
      </c>
      <c r="O1128" t="n">
        <v>0</v>
      </c>
      <c r="P1128" t="n">
        <v>0</v>
      </c>
      <c r="Q1128" t="n">
        <v>1</v>
      </c>
      <c r="R1128" t="n">
        <v>0</v>
      </c>
      <c r="S1128" t="n">
        <v>1</v>
      </c>
      <c r="T1128" t="n">
        <v>1</v>
      </c>
      <c r="U1128" t="n">
        <v>0</v>
      </c>
      <c r="V1128" s="2" t="inlineStr">
        <is>
          <t>Linmåra/småsnärjmåra</t>
        </is>
      </c>
      <c r="W1128">
        <f>HYPERLINK("https://klasma.github.io/Logging_2181/artfynd/A 38109-2026 artfynd.xlsx", "A 38109-2026")</f>
        <v/>
      </c>
      <c r="X1128">
        <f>HYPERLINK("https://klasma.github.io/Logging_2181/kartor/A 38109-2026 karta.png", "A 38109-2026")</f>
        <v/>
      </c>
      <c r="Y1128">
        <f>HYPERLINK("https://klasma.github.io/Logging_2181/kartor_geotiff/A 38109-2026 georefererad karta.tif", "A 38109-2026")</f>
        <v/>
      </c>
      <c r="AA1128">
        <f>HYPERLINK("https://klasma.github.io/Logging_2181/klagomål/A 38109-2026 FSC-klagomål.docx", "A 38109-2026")</f>
        <v/>
      </c>
      <c r="AB1128">
        <f>HYPERLINK("https://klasma.github.io/Logging_2181/klagomålsmail/A 38109-2026 FSC-klagomål mail.docx", "A 38109-2026")</f>
        <v/>
      </c>
      <c r="AC1128">
        <f>HYPERLINK("https://klasma.github.io/Logging_2181/tillsyn/A 38109-2026 tillsynsbegäran.docx", "A 38109-2026")</f>
        <v/>
      </c>
      <c r="AD1128">
        <f>HYPERLINK("https://klasma.github.io/Logging_2181/tillsynsmail/A 38109-2026 tillsynsbegäran mail.docx", "A 38109-2026")</f>
        <v/>
      </c>
    </row>
    <row r="1129" ht="15" customHeight="1">
      <c r="A1129" t="inlineStr">
        <is>
          <t>A 38583-2026</t>
        </is>
      </c>
      <c r="B1129" t="inlineStr">
        <is>
          <t>avverkningsanmälan</t>
        </is>
      </c>
      <c r="C1129" t="inlineStr">
        <is>
          <t>Föryngringsavverkning</t>
        </is>
      </c>
      <c r="D1129" s="1" t="n">
        <v>46283</v>
      </c>
      <c r="E1129" s="1" t="n">
        <v>46326</v>
      </c>
      <c r="F1129" t="inlineStr">
        <is>
          <t>GÄVLEBORGS LÄN</t>
        </is>
      </c>
      <c r="G1129" t="inlineStr">
        <is>
          <t>OCKELBO</t>
        </is>
      </c>
      <c r="I1129" t="n">
        <v>1.8</v>
      </c>
      <c r="J1129" t="n">
        <v>0</v>
      </c>
      <c r="K1129" t="n">
        <v>0</v>
      </c>
      <c r="L1129" t="n">
        <v>1</v>
      </c>
      <c r="M1129" t="n">
        <v>0</v>
      </c>
      <c r="N1129" t="n">
        <v>0</v>
      </c>
      <c r="O1129" t="n">
        <v>0</v>
      </c>
      <c r="P1129" t="n">
        <v>0</v>
      </c>
      <c r="Q1129" t="n">
        <v>1</v>
      </c>
      <c r="R1129" t="n">
        <v>0</v>
      </c>
      <c r="S1129" t="n">
        <v>1</v>
      </c>
      <c r="T1129" t="n">
        <v>1</v>
      </c>
      <c r="U1129" t="n">
        <v>0</v>
      </c>
      <c r="V1129" s="2" t="inlineStr">
        <is>
          <t>Månlåsbräken</t>
        </is>
      </c>
      <c r="W1129">
        <f>HYPERLINK("https://klasma.github.io/Logging_2101/artfynd/A 38583-2026 artfynd.xlsx", "A 38583-2026")</f>
        <v/>
      </c>
      <c r="X1129">
        <f>HYPERLINK("https://klasma.github.io/Logging_2101/kartor/A 38583-2026 karta.png", "A 38583-2026")</f>
        <v/>
      </c>
      <c r="Y1129">
        <f>HYPERLINK("https://klasma.github.io/Logging_2101/kartor_geotiff/A 38583-2026 georefererad karta.tif", "A 38583-2026")</f>
        <v/>
      </c>
      <c r="AA1129">
        <f>HYPERLINK("https://klasma.github.io/Logging_2101/klagomål/A 38583-2026 FSC-klagomål.docx", "A 38583-2026")</f>
        <v/>
      </c>
      <c r="AB1129">
        <f>HYPERLINK("https://klasma.github.io/Logging_2101/klagomålsmail/A 38583-2026 FSC-klagomål mail.docx", "A 38583-2026")</f>
        <v/>
      </c>
      <c r="AC1129">
        <f>HYPERLINK("https://klasma.github.io/Logging_2101/tillsyn/A 38583-2026 tillsynsbegäran.docx", "A 38583-2026")</f>
        <v/>
      </c>
      <c r="AD1129">
        <f>HYPERLINK("https://klasma.github.io/Logging_2101/tillsynsmail/A 38583-2026 tillsynsbegäran mail.docx", "A 38583-2026")</f>
        <v/>
      </c>
    </row>
    <row r="1130" ht="15" customHeight="1">
      <c r="A1130" t="inlineStr">
        <is>
          <t>A 38432-2026</t>
        </is>
      </c>
      <c r="B1130" t="inlineStr">
        <is>
          <t>avverkningsanmälan</t>
        </is>
      </c>
      <c r="C1130" t="inlineStr">
        <is>
          <t>Föryngringsavverkning</t>
        </is>
      </c>
      <c r="D1130" s="1" t="n">
        <v>46282</v>
      </c>
      <c r="E1130" s="1" t="n">
        <v>46326</v>
      </c>
      <c r="F1130" t="inlineStr">
        <is>
          <t>GÄVLEBORGS LÄN</t>
        </is>
      </c>
      <c r="G1130" t="inlineStr">
        <is>
          <t>OVANÅKER</t>
        </is>
      </c>
      <c r="H1130" t="inlineStr">
        <is>
          <t>Bergvik skog väst AB</t>
        </is>
      </c>
      <c r="I1130" t="n">
        <v>4.8</v>
      </c>
      <c r="J1130" t="n">
        <v>1</v>
      </c>
      <c r="K1130" t="n">
        <v>0</v>
      </c>
      <c r="L1130" t="n">
        <v>0</v>
      </c>
      <c r="M1130" t="n">
        <v>0</v>
      </c>
      <c r="N1130" t="n">
        <v>0</v>
      </c>
      <c r="O1130" t="n">
        <v>0</v>
      </c>
      <c r="P1130" t="n">
        <v>0</v>
      </c>
      <c r="Q1130" t="n">
        <v>0</v>
      </c>
      <c r="R1130" t="n">
        <v>0</v>
      </c>
      <c r="S1130" t="n">
        <v>1</v>
      </c>
      <c r="T1130" t="n">
        <v>1</v>
      </c>
      <c r="U1130" t="n">
        <v>0</v>
      </c>
      <c r="V1130" s="2" t="inlineStr">
        <is>
          <t>Skogsduva</t>
        </is>
      </c>
      <c r="W1130">
        <f>HYPERLINK("https://klasma.github.io/Logging_2121/artfynd/A 38432-2026 artfynd.xlsx", "A 38432-2026")</f>
        <v/>
      </c>
      <c r="X1130">
        <f>HYPERLINK("https://klasma.github.io/Logging_2121/kartor/A 38432-2026 karta.png", "A 38432-2026")</f>
        <v/>
      </c>
      <c r="Y1130">
        <f>HYPERLINK("https://klasma.github.io/Logging_2121/kartor_geotiff/A 38432-2026 georefererad karta.tif", "A 38432-2026")</f>
        <v/>
      </c>
      <c r="AA1130">
        <f>HYPERLINK("https://klasma.github.io/Logging_2121/klagomål/A 38432-2026 FSC-klagomål.docx", "A 38432-2026")</f>
        <v/>
      </c>
      <c r="AB1130">
        <f>HYPERLINK("https://klasma.github.io/Logging_2121/klagomålsmail/A 38432-2026 FSC-klagomål mail.docx", "A 38432-2026")</f>
        <v/>
      </c>
      <c r="AC1130">
        <f>HYPERLINK("https://klasma.github.io/Logging_2121/tillsyn/A 38432-2026 tillsynsbegäran.docx", "A 38432-2026")</f>
        <v/>
      </c>
      <c r="AD1130">
        <f>HYPERLINK("https://klasma.github.io/Logging_2121/tillsynsmail/A 38432-2026 tillsynsbegäran mail.docx", "A 38432-2026")</f>
        <v/>
      </c>
    </row>
    <row r="1131" ht="15" customHeight="1">
      <c r="A1131" t="inlineStr">
        <is>
          <t>A 38300-2026</t>
        </is>
      </c>
      <c r="B1131" t="inlineStr">
        <is>
          <t>avverkningsanmälan</t>
        </is>
      </c>
      <c r="C1131" t="inlineStr">
        <is>
          <t>Föryngringsavverkning</t>
        </is>
      </c>
      <c r="D1131" s="1" t="n">
        <v>46282</v>
      </c>
      <c r="E1131" s="1" t="n">
        <v>46326</v>
      </c>
      <c r="F1131" t="inlineStr">
        <is>
          <t>GÄVLEBORGS LÄN</t>
        </is>
      </c>
      <c r="G1131" t="inlineStr">
        <is>
          <t>GÄVLE</t>
        </is>
      </c>
      <c r="I1131" t="n">
        <v>3.7</v>
      </c>
      <c r="J1131" t="n">
        <v>1</v>
      </c>
      <c r="K1131" t="n">
        <v>0</v>
      </c>
      <c r="L1131" t="n">
        <v>1</v>
      </c>
      <c r="M1131" t="n">
        <v>0</v>
      </c>
      <c r="N1131" t="n">
        <v>0</v>
      </c>
      <c r="O1131" t="n">
        <v>0</v>
      </c>
      <c r="P1131" t="n">
        <v>0</v>
      </c>
      <c r="Q1131" t="n">
        <v>1</v>
      </c>
      <c r="R1131" t="n">
        <v>0</v>
      </c>
      <c r="S1131" t="n">
        <v>1</v>
      </c>
      <c r="T1131" t="n">
        <v>1</v>
      </c>
      <c r="U1131" t="n">
        <v>0</v>
      </c>
      <c r="V1131" s="2" t="inlineStr">
        <is>
          <t>Sparvuggla</t>
        </is>
      </c>
      <c r="W1131">
        <f>HYPERLINK("https://klasma.github.io/Logging_2180/artfynd/A 38300-2026 artfynd.xlsx", "A 38300-2026")</f>
        <v/>
      </c>
      <c r="X1131">
        <f>HYPERLINK("https://klasma.github.io/Logging_2180/kartor/A 38300-2026 karta.png", "A 38300-2026")</f>
        <v/>
      </c>
      <c r="Y1131">
        <f>HYPERLINK("https://klasma.github.io/Logging_2180/kartor_geotiff/A 38300-2026 georefererad karta.tif", "A 38300-2026")</f>
        <v/>
      </c>
      <c r="AA1131">
        <f>HYPERLINK("https://klasma.github.io/Logging_2180/klagomål/A 38300-2026 FSC-klagomål.docx", "A 38300-2026")</f>
        <v/>
      </c>
      <c r="AB1131">
        <f>HYPERLINK("https://klasma.github.io/Logging_2180/klagomålsmail/A 38300-2026 FSC-klagomål mail.docx", "A 38300-2026")</f>
        <v/>
      </c>
      <c r="AC1131">
        <f>HYPERLINK("https://klasma.github.io/Logging_2180/tillsyn/A 38300-2026 tillsynsbegäran.docx", "A 38300-2026")</f>
        <v/>
      </c>
      <c r="AD1131">
        <f>HYPERLINK("https://klasma.github.io/Logging_2180/tillsynsmail/A 38300-2026 tillsynsbegäran mail.docx", "A 38300-2026")</f>
        <v/>
      </c>
      <c r="AE1131">
        <f>HYPERLINK("https://klasma.github.io/Logging_2180/fåglar/A 38300-2026 prioriterade fågelarter.docx", "A 38300-2026")</f>
        <v/>
      </c>
    </row>
    <row r="1132" ht="15" customHeight="1">
      <c r="A1132" t="inlineStr">
        <is>
          <t>A 33892-2026</t>
        </is>
      </c>
      <c r="B1132" t="inlineStr">
        <is>
          <t>avverkningsanmälan</t>
        </is>
      </c>
      <c r="C1132" t="inlineStr">
        <is>
          <t>Föryngringsavverkning</t>
        </is>
      </c>
      <c r="D1132" s="1" t="n">
        <v>46251</v>
      </c>
      <c r="E1132" s="1" t="n">
        <v>46326</v>
      </c>
      <c r="F1132" t="inlineStr">
        <is>
          <t>GÄVLEBORGS LÄN</t>
        </is>
      </c>
      <c r="G1132" t="inlineStr">
        <is>
          <t>LJUSDAL</t>
        </is>
      </c>
      <c r="H1132" t="inlineStr">
        <is>
          <t>Sveaskog</t>
        </is>
      </c>
      <c r="I1132" t="n">
        <v>14.1</v>
      </c>
      <c r="J1132" t="n">
        <v>0</v>
      </c>
      <c r="K1132" t="n">
        <v>0</v>
      </c>
      <c r="L1132" t="n">
        <v>1</v>
      </c>
      <c r="M1132" t="n">
        <v>0</v>
      </c>
      <c r="N1132" t="n">
        <v>0</v>
      </c>
      <c r="O1132" t="n">
        <v>0</v>
      </c>
      <c r="P1132" t="n">
        <v>0</v>
      </c>
      <c r="Q1132" t="n">
        <v>1</v>
      </c>
      <c r="R1132" t="n">
        <v>0</v>
      </c>
      <c r="S1132" t="n">
        <v>1</v>
      </c>
      <c r="T1132" t="n">
        <v>1</v>
      </c>
      <c r="U1132" t="n">
        <v>1</v>
      </c>
      <c r="V1132" s="2" t="inlineStr">
        <is>
          <t>Motaggsvamp</t>
        </is>
      </c>
      <c r="W1132">
        <f>HYPERLINK("https://klasma.github.io/Logging_2161/artfynd/A 33892-2026 artfynd.xlsx", "A 33892-2026")</f>
        <v/>
      </c>
      <c r="X1132">
        <f>HYPERLINK("https://klasma.github.io/Logging_2161/kartor/A 33892-2026 karta.png", "A 33892-2026")</f>
        <v/>
      </c>
      <c r="Y1132">
        <f>HYPERLINK("https://klasma.github.io/Logging_2161/kartor_geotiff/A 33892-2026 georefererad karta.tif", "A 33892-2026")</f>
        <v/>
      </c>
      <c r="AA1132">
        <f>HYPERLINK("https://klasma.github.io/Logging_2161/klagomål/A 33892-2026 FSC-klagomål.docx", "A 33892-2026")</f>
        <v/>
      </c>
      <c r="AB1132">
        <f>HYPERLINK("https://klasma.github.io/Logging_2161/klagomålsmail/A 33892-2026 FSC-klagomål mail.docx", "A 33892-2026")</f>
        <v/>
      </c>
      <c r="AC1132">
        <f>HYPERLINK("https://klasma.github.io/Logging_2161/tillsyn/A 33892-2026 tillsynsbegäran.docx", "A 33892-2026")</f>
        <v/>
      </c>
      <c r="AD1132">
        <f>HYPERLINK("https://klasma.github.io/Logging_2161/tillsynsmail/A 33892-2026 tillsynsbegäran mail.docx", "A 33892-2026")</f>
        <v/>
      </c>
    </row>
    <row r="1133" ht="15" customHeight="1">
      <c r="A1133" t="inlineStr">
        <is>
          <t>A 38351-2026</t>
        </is>
      </c>
      <c r="B1133" t="inlineStr">
        <is>
          <t>avverkningsanmälan</t>
        </is>
      </c>
      <c r="C1133" t="inlineStr">
        <is>
          <t>Föryngringsavverkning</t>
        </is>
      </c>
      <c r="D1133" s="1" t="n">
        <v>46282</v>
      </c>
      <c r="E1133" s="1" t="n">
        <v>46326</v>
      </c>
      <c r="F1133" t="inlineStr">
        <is>
          <t>GÄVLEBORGS LÄN</t>
        </is>
      </c>
      <c r="G1133" t="inlineStr">
        <is>
          <t>OCKELBO</t>
        </is>
      </c>
      <c r="H1133" t="inlineStr">
        <is>
          <t>Bergvik skog väst AB</t>
        </is>
      </c>
      <c r="I1133" t="n">
        <v>12.1</v>
      </c>
      <c r="J1133" t="n">
        <v>1</v>
      </c>
      <c r="K1133" t="n">
        <v>0</v>
      </c>
      <c r="L1133" t="n">
        <v>0</v>
      </c>
      <c r="M1133" t="n">
        <v>0</v>
      </c>
      <c r="N1133" t="n">
        <v>0</v>
      </c>
      <c r="O1133" t="n">
        <v>0</v>
      </c>
      <c r="P1133" t="n">
        <v>0</v>
      </c>
      <c r="Q1133" t="n">
        <v>0</v>
      </c>
      <c r="R1133" t="n">
        <v>0</v>
      </c>
      <c r="S1133" t="n">
        <v>1</v>
      </c>
      <c r="T1133" t="n">
        <v>1</v>
      </c>
      <c r="U1133" t="n">
        <v>0</v>
      </c>
      <c r="V1133" s="2" t="inlineStr">
        <is>
          <t>Orre</t>
        </is>
      </c>
      <c r="W1133">
        <f>HYPERLINK("https://klasma.github.io/Logging_2101/artfynd/A 38351-2026 artfynd.xlsx", "A 38351-2026")</f>
        <v/>
      </c>
      <c r="X1133">
        <f>HYPERLINK("https://klasma.github.io/Logging_2101/kartor/A 38351-2026 karta.png", "A 38351-2026")</f>
        <v/>
      </c>
      <c r="Y1133">
        <f>HYPERLINK("https://klasma.github.io/Logging_2101/kartor_geotiff/A 38351-2026 georefererad karta.tif", "A 38351-2026")</f>
        <v/>
      </c>
      <c r="AA1133">
        <f>HYPERLINK("https://klasma.github.io/Logging_2101/klagomål/A 38351-2026 FSC-klagomål.docx", "A 38351-2026")</f>
        <v/>
      </c>
      <c r="AB1133">
        <f>HYPERLINK("https://klasma.github.io/Logging_2101/klagomålsmail/A 38351-2026 FSC-klagomål mail.docx", "A 38351-2026")</f>
        <v/>
      </c>
      <c r="AC1133">
        <f>HYPERLINK("https://klasma.github.io/Logging_2101/tillsyn/A 38351-2026 tillsynsbegäran.docx", "A 38351-2026")</f>
        <v/>
      </c>
      <c r="AD1133">
        <f>HYPERLINK("https://klasma.github.io/Logging_2101/tillsynsmail/A 38351-2026 tillsynsbegäran mail.docx", "A 38351-2026")</f>
        <v/>
      </c>
      <c r="AE1133">
        <f>HYPERLINK("https://klasma.github.io/Logging_2101/fåglar/A 38351-2026 prioriterade fågelarter.docx", "A 38351-2026")</f>
        <v/>
      </c>
    </row>
    <row r="1134" ht="15" customHeight="1">
      <c r="A1134" t="inlineStr">
        <is>
          <t>A 38355-2026</t>
        </is>
      </c>
      <c r="B1134" t="inlineStr">
        <is>
          <t>avverkningsanmälan</t>
        </is>
      </c>
      <c r="C1134" t="inlineStr">
        <is>
          <t>Föryngringsavverkning</t>
        </is>
      </c>
      <c r="D1134" s="1" t="n">
        <v>46282</v>
      </c>
      <c r="E1134" s="1" t="n">
        <v>46326</v>
      </c>
      <c r="F1134" t="inlineStr">
        <is>
          <t>GÄVLEBORGS LÄN</t>
        </is>
      </c>
      <c r="G1134" t="inlineStr">
        <is>
          <t>OCKELBO</t>
        </is>
      </c>
      <c r="H1134" t="inlineStr">
        <is>
          <t>Bergvik skog väst AB</t>
        </is>
      </c>
      <c r="I1134" t="n">
        <v>1</v>
      </c>
      <c r="J1134" t="n">
        <v>1</v>
      </c>
      <c r="K1134" t="n">
        <v>0</v>
      </c>
      <c r="L1134" t="n">
        <v>0</v>
      </c>
      <c r="M1134" t="n">
        <v>0</v>
      </c>
      <c r="N1134" t="n">
        <v>0</v>
      </c>
      <c r="O1134" t="n">
        <v>0</v>
      </c>
      <c r="P1134" t="n">
        <v>0</v>
      </c>
      <c r="Q1134" t="n">
        <v>0</v>
      </c>
      <c r="R1134" t="n">
        <v>0</v>
      </c>
      <c r="S1134" t="n">
        <v>1</v>
      </c>
      <c r="T1134" t="n">
        <v>1</v>
      </c>
      <c r="U1134" t="n">
        <v>0</v>
      </c>
      <c r="V1134" s="2" t="inlineStr">
        <is>
          <t>Orre</t>
        </is>
      </c>
      <c r="W1134">
        <f>HYPERLINK("https://klasma.github.io/Logging_2101/artfynd/A 38355-2026 artfynd.xlsx", "A 38355-2026")</f>
        <v/>
      </c>
      <c r="X1134">
        <f>HYPERLINK("https://klasma.github.io/Logging_2101/kartor/A 38355-2026 karta.png", "A 38355-2026")</f>
        <v/>
      </c>
      <c r="Y1134">
        <f>HYPERLINK("https://klasma.github.io/Logging_2101/kartor_geotiff/A 38355-2026 georefererad karta.tif", "A 38355-2026")</f>
        <v/>
      </c>
      <c r="AA1134">
        <f>HYPERLINK("https://klasma.github.io/Logging_2101/klagomål/A 38355-2026 FSC-klagomål.docx", "A 38355-2026")</f>
        <v/>
      </c>
      <c r="AB1134">
        <f>HYPERLINK("https://klasma.github.io/Logging_2101/klagomålsmail/A 38355-2026 FSC-klagomål mail.docx", "A 38355-2026")</f>
        <v/>
      </c>
      <c r="AC1134">
        <f>HYPERLINK("https://klasma.github.io/Logging_2101/tillsyn/A 38355-2026 tillsynsbegäran.docx", "A 38355-2026")</f>
        <v/>
      </c>
      <c r="AD1134">
        <f>HYPERLINK("https://klasma.github.io/Logging_2101/tillsynsmail/A 38355-2026 tillsynsbegäran mail.docx", "A 38355-2026")</f>
        <v/>
      </c>
      <c r="AE1134">
        <f>HYPERLINK("https://klasma.github.io/Logging_2101/fåglar/A 38355-2026 prioriterade fågelarter.docx", "A 38355-2026")</f>
        <v/>
      </c>
    </row>
    <row r="1135" ht="15" customHeight="1">
      <c r="A1135" t="inlineStr">
        <is>
          <t>A 38571-2026</t>
        </is>
      </c>
      <c r="B1135" t="inlineStr">
        <is>
          <t>avverkningsanmälan</t>
        </is>
      </c>
      <c r="C1135" t="inlineStr">
        <is>
          <t>Föryngringsavverkning</t>
        </is>
      </c>
      <c r="D1135" s="1" t="n">
        <v>46283</v>
      </c>
      <c r="E1135" s="1" t="n">
        <v>46326</v>
      </c>
      <c r="F1135" t="inlineStr">
        <is>
          <t>GÄVLEBORGS LÄN</t>
        </is>
      </c>
      <c r="G1135" t="inlineStr">
        <is>
          <t>GÄVLE</t>
        </is>
      </c>
      <c r="H1135" t="inlineStr">
        <is>
          <t>Bergvik skog öst AB</t>
        </is>
      </c>
      <c r="I1135" t="n">
        <v>0.9</v>
      </c>
      <c r="J1135" t="n">
        <v>0</v>
      </c>
      <c r="K1135" t="n">
        <v>0</v>
      </c>
      <c r="L1135" t="n">
        <v>1</v>
      </c>
      <c r="M1135" t="n">
        <v>0</v>
      </c>
      <c r="N1135" t="n">
        <v>0</v>
      </c>
      <c r="O1135" t="n">
        <v>0</v>
      </c>
      <c r="P1135" t="n">
        <v>0</v>
      </c>
      <c r="Q1135" t="n">
        <v>1</v>
      </c>
      <c r="R1135" t="n">
        <v>0</v>
      </c>
      <c r="S1135" t="n">
        <v>1</v>
      </c>
      <c r="T1135" t="n">
        <v>1</v>
      </c>
      <c r="U1135" t="n">
        <v>0</v>
      </c>
      <c r="V1135" s="2" t="inlineStr">
        <is>
          <t>Platt spretmossa</t>
        </is>
      </c>
      <c r="W1135">
        <f>HYPERLINK("https://klasma.github.io/Logging_2180/artfynd/A 38571-2026 artfynd.xlsx", "A 38571-2026")</f>
        <v/>
      </c>
      <c r="X1135">
        <f>HYPERLINK("https://klasma.github.io/Logging_2180/kartor/A 38571-2026 karta.png", "A 38571-2026")</f>
        <v/>
      </c>
      <c r="Y1135">
        <f>HYPERLINK("https://klasma.github.io/Logging_2180/kartor_geotiff/A 38571-2026 georefererad karta.tif", "A 38571-2026")</f>
        <v/>
      </c>
      <c r="AA1135">
        <f>HYPERLINK("https://klasma.github.io/Logging_2180/klagomål/A 38571-2026 FSC-klagomål.docx", "A 38571-2026")</f>
        <v/>
      </c>
      <c r="AB1135">
        <f>HYPERLINK("https://klasma.github.io/Logging_2180/klagomålsmail/A 38571-2026 FSC-klagomål mail.docx", "A 38571-2026")</f>
        <v/>
      </c>
      <c r="AC1135">
        <f>HYPERLINK("https://klasma.github.io/Logging_2180/tillsyn/A 38571-2026 tillsynsbegäran.docx", "A 38571-2026")</f>
        <v/>
      </c>
      <c r="AD1135">
        <f>HYPERLINK("https://klasma.github.io/Logging_2180/tillsynsmail/A 38571-2026 tillsynsbegäran mail.docx", "A 38571-2026")</f>
        <v/>
      </c>
    </row>
    <row r="1136" ht="15" customHeight="1">
      <c r="A1136" t="inlineStr">
        <is>
          <t>A 38310-2026</t>
        </is>
      </c>
      <c r="B1136" t="inlineStr">
        <is>
          <t>avverkningsanmälan</t>
        </is>
      </c>
      <c r="C1136" t="inlineStr">
        <is>
          <t>Föryngringsavverkning</t>
        </is>
      </c>
      <c r="D1136" s="1" t="n">
        <v>46282</v>
      </c>
      <c r="E1136" s="1" t="n">
        <v>46326</v>
      </c>
      <c r="F1136" t="inlineStr">
        <is>
          <t>GÄVLEBORGS LÄN</t>
        </is>
      </c>
      <c r="G1136" t="inlineStr">
        <is>
          <t>LJUSDAL</t>
        </is>
      </c>
      <c r="H1136" t="inlineStr">
        <is>
          <t>Sveaskog</t>
        </is>
      </c>
      <c r="I1136" t="n">
        <v>1.6</v>
      </c>
      <c r="J1136" t="n">
        <v>0</v>
      </c>
      <c r="K1136" t="n">
        <v>0</v>
      </c>
      <c r="L1136" t="n">
        <v>1</v>
      </c>
      <c r="M1136" t="n">
        <v>0</v>
      </c>
      <c r="N1136" t="n">
        <v>0</v>
      </c>
      <c r="O1136" t="n">
        <v>0</v>
      </c>
      <c r="P1136" t="n">
        <v>0</v>
      </c>
      <c r="Q1136" t="n">
        <v>1</v>
      </c>
      <c r="R1136" t="n">
        <v>0</v>
      </c>
      <c r="S1136" t="n">
        <v>1</v>
      </c>
      <c r="T1136" t="n">
        <v>2</v>
      </c>
      <c r="U1136" t="n">
        <v>0</v>
      </c>
      <c r="V1136" s="2" t="inlineStr">
        <is>
          <t>Lunglav</t>
        </is>
      </c>
      <c r="W1136">
        <f>HYPERLINK("https://klasma.github.io/Logging_2161/artfynd/A 38310-2026 artfynd.xlsx", "A 38310-2026")</f>
        <v/>
      </c>
      <c r="X1136">
        <f>HYPERLINK("https://klasma.github.io/Logging_2161/kartor/A 38310-2026 karta.png", "A 38310-2026")</f>
        <v/>
      </c>
      <c r="Y1136">
        <f>HYPERLINK("https://klasma.github.io/Logging_2161/kartor_geotiff/A 38310-2026 georefererad karta.tif", "A 38310-2026")</f>
        <v/>
      </c>
      <c r="AA1136">
        <f>HYPERLINK("https://klasma.github.io/Logging_2161/klagomål/A 38310-2026 FSC-klagomål.docx", "A 38310-2026")</f>
        <v/>
      </c>
      <c r="AB1136">
        <f>HYPERLINK("https://klasma.github.io/Logging_2161/klagomålsmail/A 38310-2026 FSC-klagomål mail.docx", "A 38310-2026")</f>
        <v/>
      </c>
      <c r="AC1136">
        <f>HYPERLINK("https://klasma.github.io/Logging_2161/tillsyn/A 38310-2026 tillsynsbegäran.docx", "A 38310-2026")</f>
        <v/>
      </c>
      <c r="AD1136">
        <f>HYPERLINK("https://klasma.github.io/Logging_2161/tillsynsmail/A 38310-2026 tillsynsbegäran mail.docx", "A 38310-2026")</f>
        <v/>
      </c>
    </row>
    <row r="1137" ht="15" customHeight="1">
      <c r="A1137" t="inlineStr">
        <is>
          <t>S 242-2024</t>
        </is>
      </c>
      <c r="B1137" t="inlineStr">
        <is>
          <t>samrådsanmälan</t>
        </is>
      </c>
      <c r="C1137" t="inlineStr">
        <is>
          <t>Skogsgödsling</t>
        </is>
      </c>
      <c r="D1137" s="1" t="n">
        <v>45319</v>
      </c>
      <c r="E1137" s="1" t="n">
        <v>46326</v>
      </c>
      <c r="F1137" t="inlineStr">
        <is>
          <t>GÄVLEBORGS LÄN</t>
        </is>
      </c>
      <c r="G1137" t="inlineStr">
        <is>
          <t>SANDVIKEN</t>
        </is>
      </c>
      <c r="H1137" t="inlineStr">
        <is>
          <t>Sveaskog</t>
        </is>
      </c>
      <c r="I1137" t="n">
        <v>51.8</v>
      </c>
      <c r="J1137" t="n">
        <v>1</v>
      </c>
      <c r="K1137" t="n">
        <v>0</v>
      </c>
      <c r="L1137" t="n">
        <v>1</v>
      </c>
      <c r="M1137" t="n">
        <v>0</v>
      </c>
      <c r="N1137" t="n">
        <v>0</v>
      </c>
      <c r="O1137" t="n">
        <v>0</v>
      </c>
      <c r="P1137" t="n">
        <v>0</v>
      </c>
      <c r="Q1137" t="n">
        <v>1</v>
      </c>
      <c r="R1137" t="n">
        <v>0</v>
      </c>
      <c r="S1137" t="n">
        <v>1</v>
      </c>
      <c r="T1137" t="n">
        <v>1</v>
      </c>
      <c r="U1137" t="n">
        <v>0</v>
      </c>
      <c r="V1137" s="2" t="inlineStr">
        <is>
          <t>Bivråk</t>
        </is>
      </c>
      <c r="W1137">
        <f>HYPERLINK("https://klasma.github.io/Logging_2181/artfynd/S 242-2024 artfynd.xlsx", "S 242-2024")</f>
        <v/>
      </c>
      <c r="X1137">
        <f>HYPERLINK("https://klasma.github.io/Logging_2181/kartor/S 242-2024 karta.png", "S 242-2024")</f>
        <v/>
      </c>
      <c r="Y1137">
        <f>HYPERLINK("https://klasma.github.io/Logging_2181/kartor_geotiff/S 242-2024 georefererad karta.tif", "S 242-2024")</f>
        <v/>
      </c>
      <c r="AA1137">
        <f>HYPERLINK("https://klasma.github.io/Logging_2181/klagomål/S 242-2024 FSC-klagomål.docx", "S 242-2024")</f>
        <v/>
      </c>
      <c r="AB1137">
        <f>HYPERLINK("https://klasma.github.io/Logging_2181/klagomålsmail/S 242-2024 FSC-klagomål mail.docx", "S 242-2024")</f>
        <v/>
      </c>
      <c r="AC1137">
        <f>HYPERLINK("https://klasma.github.io/Logging_2181/tillsyn/S 242-2024 tillsynsbegäran.docx", "S 242-2024")</f>
        <v/>
      </c>
      <c r="AD1137">
        <f>HYPERLINK("https://klasma.github.io/Logging_2181/tillsynsmail/S 242-2024 tillsynsbegäran mail.docx", "S 242-2024")</f>
        <v/>
      </c>
      <c r="AE1137">
        <f>HYPERLINK("https://klasma.github.io/Logging_2181/fåglar/S 242-2024 prioriterade fågelarter.docx", "S 242-2024")</f>
        <v/>
      </c>
    </row>
    <row r="1138" ht="15" customHeight="1">
      <c r="A1138" t="inlineStr">
        <is>
          <t>S 375-2023</t>
        </is>
      </c>
      <c r="B1138" t="inlineStr">
        <is>
          <t>samrådsanmälan</t>
        </is>
      </c>
      <c r="C1138" t="inlineStr">
        <is>
          <t>Skogsgödsling</t>
        </is>
      </c>
      <c r="D1138" s="1" t="n">
        <v>44959</v>
      </c>
      <c r="E1138" s="1" t="n">
        <v>46326</v>
      </c>
      <c r="F1138" t="inlineStr">
        <is>
          <t>GÄVLEBORGS LÄN</t>
        </is>
      </c>
      <c r="G1138" t="inlineStr">
        <is>
          <t>NORDANSTIG</t>
        </is>
      </c>
      <c r="H1138" t="inlineStr">
        <is>
          <t>Holmen skog AB</t>
        </is>
      </c>
      <c r="I1138" t="n">
        <v>281.6</v>
      </c>
      <c r="J1138" t="n">
        <v>1</v>
      </c>
      <c r="K1138" t="n">
        <v>0</v>
      </c>
      <c r="L1138" t="n">
        <v>0</v>
      </c>
      <c r="M1138" t="n">
        <v>0</v>
      </c>
      <c r="N1138" t="n">
        <v>0</v>
      </c>
      <c r="O1138" t="n">
        <v>0</v>
      </c>
      <c r="P1138" t="n">
        <v>0</v>
      </c>
      <c r="Q1138" t="n">
        <v>0</v>
      </c>
      <c r="R1138" t="n">
        <v>0</v>
      </c>
      <c r="S1138" t="n">
        <v>1</v>
      </c>
      <c r="T1138" t="n">
        <v>2</v>
      </c>
      <c r="U1138" t="n">
        <v>2</v>
      </c>
      <c r="V1138" s="2" t="inlineStr">
        <is>
          <t>Tjäder</t>
        </is>
      </c>
      <c r="W1138">
        <f>HYPERLINK("https://klasma.github.io/Logging_2132/artfynd/S 375-2023 artfynd.xlsx", "S 375-2023")</f>
        <v/>
      </c>
      <c r="X1138">
        <f>HYPERLINK("https://klasma.github.io/Logging_2132/kartor/S 375-2023 karta.png", "S 375-2023")</f>
        <v/>
      </c>
      <c r="Y1138">
        <f>HYPERLINK("https://klasma.github.io/Logging_2132/kartor_geotiff/S 375-2023 georefererad karta.tif", "S 375-2023")</f>
        <v/>
      </c>
      <c r="AA1138">
        <f>HYPERLINK("https://klasma.github.io/Logging_2132/klagomål/S 375-2023 FSC-klagomål.docx", "S 375-2023")</f>
        <v/>
      </c>
      <c r="AB1138">
        <f>HYPERLINK("https://klasma.github.io/Logging_2132/klagomålsmail/S 375-2023 FSC-klagomål mail.docx", "S 375-2023")</f>
        <v/>
      </c>
      <c r="AC1138">
        <f>HYPERLINK("https://klasma.github.io/Logging_2132/tillsyn/S 375-2023 tillsynsbegäran.docx", "S 375-2023")</f>
        <v/>
      </c>
      <c r="AD1138">
        <f>HYPERLINK("https://klasma.github.io/Logging_2132/tillsynsmail/S 375-2023 tillsynsbegäran mail.docx", "S 375-2023")</f>
        <v/>
      </c>
      <c r="AE1138">
        <f>HYPERLINK("https://klasma.github.io/Logging_2132/fåglar/S 375-2023 prioriterade fågelarter.docx", "S 375-2023")</f>
        <v/>
      </c>
    </row>
    <row r="1139" ht="15" customHeight="1">
      <c r="A1139" t="inlineStr">
        <is>
          <t>S 4448-2023</t>
        </is>
      </c>
      <c r="B1139" t="inlineStr">
        <is>
          <t>samrådsanmälan</t>
        </is>
      </c>
      <c r="C1139" t="inlineStr">
        <is>
          <t>Annan skogsbruksåtgärd</t>
        </is>
      </c>
      <c r="D1139" s="1" t="n">
        <v>45268</v>
      </c>
      <c r="E1139" s="1" t="n">
        <v>46326</v>
      </c>
      <c r="F1139" t="inlineStr">
        <is>
          <t>GÄVLEBORGS LÄN</t>
        </is>
      </c>
      <c r="G1139" t="inlineStr">
        <is>
          <t>BOLLNÄS</t>
        </is>
      </c>
      <c r="H1139" t="inlineStr">
        <is>
          <t>Bergvik skog väst AB</t>
        </is>
      </c>
      <c r="I1139" t="n">
        <v>0.3</v>
      </c>
      <c r="J1139" t="n">
        <v>1</v>
      </c>
      <c r="K1139" t="n">
        <v>0</v>
      </c>
      <c r="L1139" t="n">
        <v>0</v>
      </c>
      <c r="M1139" t="n">
        <v>0</v>
      </c>
      <c r="N1139" t="n">
        <v>0</v>
      </c>
      <c r="O1139" t="n">
        <v>0</v>
      </c>
      <c r="P1139" t="n">
        <v>0</v>
      </c>
      <c r="Q1139" t="n">
        <v>0</v>
      </c>
      <c r="R1139" t="n">
        <v>0</v>
      </c>
      <c r="S1139" t="n">
        <v>1</v>
      </c>
      <c r="T1139" t="n">
        <v>1</v>
      </c>
      <c r="U1139" t="n">
        <v>1</v>
      </c>
      <c r="V1139" s="2" t="inlineStr">
        <is>
          <t>Orre</t>
        </is>
      </c>
      <c r="W1139">
        <f>HYPERLINK("https://klasma.github.io/Logging_2183/artfynd/S 4448-2023 artfynd.xlsx", "S 4448-2023")</f>
        <v/>
      </c>
      <c r="X1139">
        <f>HYPERLINK("https://klasma.github.io/Logging_2183/kartor/S 4448-2023 karta.png", "S 4448-2023")</f>
        <v/>
      </c>
      <c r="Y1139">
        <f>HYPERLINK("https://klasma.github.io/Logging_2183/kartor_geotiff/S 4448-2023 georefererad karta.tif", "S 4448-2023")</f>
        <v/>
      </c>
      <c r="AA1139">
        <f>HYPERLINK("https://klasma.github.io/Logging_2183/klagomål/S 4448-2023 FSC-klagomål.docx", "S 4448-2023")</f>
        <v/>
      </c>
      <c r="AB1139">
        <f>HYPERLINK("https://klasma.github.io/Logging_2183/klagomålsmail/S 4448-2023 FSC-klagomål mail.docx", "S 4448-2023")</f>
        <v/>
      </c>
      <c r="AC1139">
        <f>HYPERLINK("https://klasma.github.io/Logging_2183/tillsyn/S 4448-2023 tillsynsbegäran.docx", "S 4448-2023")</f>
        <v/>
      </c>
      <c r="AD1139">
        <f>HYPERLINK("https://klasma.github.io/Logging_2183/tillsynsmail/S 4448-2023 tillsynsbegäran mail.docx", "S 4448-2023")</f>
        <v/>
      </c>
      <c r="AE1139">
        <f>HYPERLINK("https://klasma.github.io/Logging_2183/fåglar/S 4448-2023 prioriterade fågelarter.docx", "S 4448-2023")</f>
        <v/>
      </c>
    </row>
    <row r="1140" ht="15" customHeight="1">
      <c r="A1140" t="inlineStr">
        <is>
          <t>S 4020-2023</t>
        </is>
      </c>
      <c r="B1140" t="inlineStr">
        <is>
          <t>samrådsanmälan</t>
        </is>
      </c>
      <c r="C1140" t="inlineStr">
        <is>
          <t>Skogsgödsling</t>
        </is>
      </c>
      <c r="D1140" s="1" t="n">
        <v>45237</v>
      </c>
      <c r="E1140" s="1" t="n">
        <v>46326</v>
      </c>
      <c r="F1140" t="inlineStr">
        <is>
          <t>GÄVLEBORGS LÄN</t>
        </is>
      </c>
      <c r="G1140" t="inlineStr">
        <is>
          <t>HUDIKSVALL</t>
        </is>
      </c>
      <c r="H1140" t="inlineStr">
        <is>
          <t>Holmen skog AB</t>
        </is>
      </c>
      <c r="I1140" t="n">
        <v>96.3</v>
      </c>
      <c r="J1140" t="n">
        <v>0</v>
      </c>
      <c r="K1140" t="n">
        <v>0</v>
      </c>
      <c r="L1140" t="n">
        <v>1</v>
      </c>
      <c r="M1140" t="n">
        <v>0</v>
      </c>
      <c r="N1140" t="n">
        <v>0</v>
      </c>
      <c r="O1140" t="n">
        <v>0</v>
      </c>
      <c r="P1140" t="n">
        <v>0</v>
      </c>
      <c r="Q1140" t="n">
        <v>1</v>
      </c>
      <c r="R1140" t="n">
        <v>0</v>
      </c>
      <c r="S1140" t="n">
        <v>1</v>
      </c>
      <c r="T1140" t="n">
        <v>1</v>
      </c>
      <c r="U1140" t="n">
        <v>0</v>
      </c>
      <c r="V1140" s="2" t="inlineStr">
        <is>
          <t>Kolflarnlav</t>
        </is>
      </c>
      <c r="W1140">
        <f>HYPERLINK("https://klasma.github.io/Logging_2184/artfynd/S 4020-2023 artfynd.xlsx", "S 4020-2023")</f>
        <v/>
      </c>
      <c r="X1140">
        <f>HYPERLINK("https://klasma.github.io/Logging_2184/kartor/S 4020-2023 karta.png", "S 4020-2023")</f>
        <v/>
      </c>
      <c r="Y1140">
        <f>HYPERLINK("https://klasma.github.io/Logging_2184/kartor_geotiff/S 4020-2023 georefererad karta.tif", "S 4020-2023")</f>
        <v/>
      </c>
      <c r="AA1140">
        <f>HYPERLINK("https://klasma.github.io/Logging_2184/klagomål/S 4020-2023 FSC-klagomål.docx", "S 4020-2023")</f>
        <v/>
      </c>
      <c r="AB1140">
        <f>HYPERLINK("https://klasma.github.io/Logging_2184/klagomålsmail/S 4020-2023 FSC-klagomål mail.docx", "S 4020-2023")</f>
        <v/>
      </c>
      <c r="AC1140">
        <f>HYPERLINK("https://klasma.github.io/Logging_2184/tillsyn/S 4020-2023 tillsynsbegäran.docx", "S 4020-2023")</f>
        <v/>
      </c>
      <c r="AD1140">
        <f>HYPERLINK("https://klasma.github.io/Logging_2184/tillsynsmail/S 4020-2023 tillsynsbegäran mail.docx", "S 4020-2023")</f>
        <v/>
      </c>
    </row>
    <row r="1141" ht="15" customHeight="1">
      <c r="A1141" t="inlineStr">
        <is>
          <t>S 445-2025</t>
        </is>
      </c>
      <c r="B1141" t="inlineStr">
        <is>
          <t>samrådsanmälan</t>
        </is>
      </c>
      <c r="C1141" t="inlineStr">
        <is>
          <t>Skogsgödsling</t>
        </is>
      </c>
      <c r="D1141" s="1" t="n">
        <v>45701</v>
      </c>
      <c r="E1141" s="1" t="n">
        <v>46326</v>
      </c>
      <c r="F1141" t="inlineStr">
        <is>
          <t>GÄVLEBORGS LÄN</t>
        </is>
      </c>
      <c r="G1141" t="inlineStr">
        <is>
          <t>HOFORS</t>
        </is>
      </c>
      <c r="H1141" t="inlineStr">
        <is>
          <t>Sveaskog</t>
        </is>
      </c>
      <c r="I1141" t="n">
        <v>47.9</v>
      </c>
      <c r="J1141" t="n">
        <v>1</v>
      </c>
      <c r="K1141" t="n">
        <v>0</v>
      </c>
      <c r="L1141" t="n">
        <v>0</v>
      </c>
      <c r="M1141" t="n">
        <v>0</v>
      </c>
      <c r="N1141" t="n">
        <v>0</v>
      </c>
      <c r="O1141" t="n">
        <v>0</v>
      </c>
      <c r="P1141" t="n">
        <v>0</v>
      </c>
      <c r="Q1141" t="n">
        <v>0</v>
      </c>
      <c r="R1141" t="n">
        <v>0</v>
      </c>
      <c r="S1141" t="n">
        <v>1</v>
      </c>
      <c r="T1141" t="n">
        <v>1</v>
      </c>
      <c r="U1141" t="n">
        <v>0</v>
      </c>
      <c r="V1141" s="2" t="inlineStr">
        <is>
          <t>Lopplummer (aggregat)</t>
        </is>
      </c>
      <c r="W1141">
        <f>HYPERLINK("https://klasma.github.io/Logging_2104/artfynd/S 445-2025 artfynd.xlsx", "S 445-2025")</f>
        <v/>
      </c>
      <c r="X1141">
        <f>HYPERLINK("https://klasma.github.io/Logging_2104/kartor/S 445-2025 karta.png", "S 445-2025")</f>
        <v/>
      </c>
      <c r="Y1141">
        <f>HYPERLINK("https://klasma.github.io/Logging_2104/kartor_geotiff/S 445-2025 georefererad karta.tif", "S 445-2025")</f>
        <v/>
      </c>
      <c r="AA1141">
        <f>HYPERLINK("https://klasma.github.io/Logging_2104/klagomål/S 445-2025 FSC-klagomål.docx", "S 445-2025")</f>
        <v/>
      </c>
      <c r="AB1141">
        <f>HYPERLINK("https://klasma.github.io/Logging_2104/klagomålsmail/S 445-2025 FSC-klagomål mail.docx", "S 445-2025")</f>
        <v/>
      </c>
      <c r="AC1141">
        <f>HYPERLINK("https://klasma.github.io/Logging_2104/tillsyn/S 445-2025 tillsynsbegäran.docx", "S 445-2025")</f>
        <v/>
      </c>
      <c r="AD1141">
        <f>HYPERLINK("https://klasma.github.io/Logging_2104/tillsynsmail/S 445-2025 tillsynsbegäran mail.docx", "S 445-2025")</f>
        <v/>
      </c>
    </row>
    <row r="1142" ht="15" customHeight="1">
      <c r="A1142" t="inlineStr">
        <is>
          <t>S 3580-2022</t>
        </is>
      </c>
      <c r="B1142" t="inlineStr">
        <is>
          <t>samrådsanmälan</t>
        </is>
      </c>
      <c r="C1142" t="inlineStr">
        <is>
          <t>Annan skogsbruksåtgärd</t>
        </is>
      </c>
      <c r="D1142" s="1" t="n">
        <v>44738</v>
      </c>
      <c r="E1142" s="1" t="n">
        <v>46326</v>
      </c>
      <c r="F1142" t="inlineStr">
        <is>
          <t>GÄVLEBORGS LÄN</t>
        </is>
      </c>
      <c r="G1142" t="inlineStr">
        <is>
          <t>OVANÅKER</t>
        </is>
      </c>
      <c r="H1142" t="inlineStr">
        <is>
          <t>Sveaskog</t>
        </is>
      </c>
      <c r="I1142" t="n">
        <v>35</v>
      </c>
      <c r="J1142" t="n">
        <v>0</v>
      </c>
      <c r="K1142" t="n">
        <v>0</v>
      </c>
      <c r="L1142" t="n">
        <v>1</v>
      </c>
      <c r="M1142" t="n">
        <v>0</v>
      </c>
      <c r="N1142" t="n">
        <v>0</v>
      </c>
      <c r="O1142" t="n">
        <v>0</v>
      </c>
      <c r="P1142" t="n">
        <v>0</v>
      </c>
      <c r="Q1142" t="n">
        <v>1</v>
      </c>
      <c r="R1142" t="n">
        <v>0</v>
      </c>
      <c r="S1142" t="n">
        <v>1</v>
      </c>
      <c r="T1142" t="n">
        <v>1</v>
      </c>
      <c r="U1142" t="n">
        <v>0</v>
      </c>
      <c r="V1142" s="2" t="inlineStr">
        <is>
          <t>Dvärgbägarlav</t>
        </is>
      </c>
      <c r="W1142">
        <f>HYPERLINK("https://klasma.github.io/Logging_2121/artfynd/S 3580-2022 artfynd.xlsx", "S 3580-2022")</f>
        <v/>
      </c>
      <c r="X1142">
        <f>HYPERLINK("https://klasma.github.io/Logging_2121/kartor/S 3580-2022 karta.png", "S 3580-2022")</f>
        <v/>
      </c>
      <c r="Y1142">
        <f>HYPERLINK("https://klasma.github.io/Logging_2121/kartor_geotiff/S 3580-2022 georefererad karta.tif", "S 3580-2022")</f>
        <v/>
      </c>
      <c r="AA1142">
        <f>HYPERLINK("https://klasma.github.io/Logging_2121/klagomål/S 3580-2022 FSC-klagomål.docx", "S 3580-2022")</f>
        <v/>
      </c>
      <c r="AB1142">
        <f>HYPERLINK("https://klasma.github.io/Logging_2121/klagomålsmail/S 3580-2022 FSC-klagomål mail.docx", "S 3580-2022")</f>
        <v/>
      </c>
      <c r="AC1142">
        <f>HYPERLINK("https://klasma.github.io/Logging_2121/tillsyn/S 3580-2022 tillsynsbegäran.docx", "S 3580-2022")</f>
        <v/>
      </c>
      <c r="AD1142">
        <f>HYPERLINK("https://klasma.github.io/Logging_2121/tillsynsmail/S 3580-2022 tillsynsbegäran mail.docx", "S 3580-2022")</f>
        <v/>
      </c>
    </row>
    <row r="1143" ht="15" customHeight="1">
      <c r="A1143" t="inlineStr">
        <is>
          <t>S 19-2024</t>
        </is>
      </c>
      <c r="B1143" t="inlineStr">
        <is>
          <t>samrådsanmälan</t>
        </is>
      </c>
      <c r="C1143" t="inlineStr">
        <is>
          <t>Skogsgödsling</t>
        </is>
      </c>
      <c r="D1143" s="1" t="n">
        <v>45293</v>
      </c>
      <c r="E1143" s="1" t="n">
        <v>46326</v>
      </c>
      <c r="F1143" t="inlineStr">
        <is>
          <t>GÄVLEBORGS LÄN</t>
        </is>
      </c>
      <c r="G1143" t="inlineStr">
        <is>
          <t>SÖDERHAMN</t>
        </is>
      </c>
      <c r="H1143" t="inlineStr">
        <is>
          <t>Bergvik skog väst AB</t>
        </is>
      </c>
      <c r="I1143" t="n">
        <v>30.7</v>
      </c>
      <c r="J1143" t="n">
        <v>1</v>
      </c>
      <c r="K1143" t="n">
        <v>0</v>
      </c>
      <c r="L1143" t="n">
        <v>0</v>
      </c>
      <c r="M1143" t="n">
        <v>0</v>
      </c>
      <c r="N1143" t="n">
        <v>0</v>
      </c>
      <c r="O1143" t="n">
        <v>0</v>
      </c>
      <c r="P1143" t="n">
        <v>0</v>
      </c>
      <c r="Q1143" t="n">
        <v>0</v>
      </c>
      <c r="R1143" t="n">
        <v>0</v>
      </c>
      <c r="S1143" t="n">
        <v>1</v>
      </c>
      <c r="T1143" t="n">
        <v>1</v>
      </c>
      <c r="U1143" t="n">
        <v>1</v>
      </c>
      <c r="V1143" s="2" t="inlineStr">
        <is>
          <t>Spillkråka</t>
        </is>
      </c>
      <c r="W1143">
        <f>HYPERLINK("https://klasma.github.io/Logging_2182/artfynd/S 19-2024 artfynd.xlsx", "S 19-2024")</f>
        <v/>
      </c>
      <c r="X1143">
        <f>HYPERLINK("https://klasma.github.io/Logging_2182/kartor/S 19-2024 karta.png", "S 19-2024")</f>
        <v/>
      </c>
      <c r="Y1143">
        <f>HYPERLINK("https://klasma.github.io/Logging_2182/kartor_geotiff/S 19-2024 georefererad karta.tif", "S 19-2024")</f>
        <v/>
      </c>
      <c r="AA1143">
        <f>HYPERLINK("https://klasma.github.io/Logging_2182/klagomål/S 19-2024 FSC-klagomål.docx", "S 19-2024")</f>
        <v/>
      </c>
      <c r="AB1143">
        <f>HYPERLINK("https://klasma.github.io/Logging_2182/klagomålsmail/S 19-2024 FSC-klagomål mail.docx", "S 19-2024")</f>
        <v/>
      </c>
      <c r="AC1143">
        <f>HYPERLINK("https://klasma.github.io/Logging_2182/tillsyn/S 19-2024 tillsynsbegäran.docx", "S 19-2024")</f>
        <v/>
      </c>
      <c r="AD1143">
        <f>HYPERLINK("https://klasma.github.io/Logging_2182/tillsynsmail/S 19-2024 tillsynsbegäran mail.docx", "S 19-2024")</f>
        <v/>
      </c>
      <c r="AE1143">
        <f>HYPERLINK("https://klasma.github.io/Logging_2182/fåglar/S 19-2024 prioriterade fågelarter.docx", "S 19-2024")</f>
        <v/>
      </c>
    </row>
    <row r="1144" ht="15" customHeight="1">
      <c r="A1144" t="inlineStr">
        <is>
          <t>S 16-2024</t>
        </is>
      </c>
      <c r="B1144" t="inlineStr">
        <is>
          <t>samrådsanmälan</t>
        </is>
      </c>
      <c r="C1144" t="inlineStr">
        <is>
          <t>Skogsgödsling</t>
        </is>
      </c>
      <c r="D1144" s="1" t="n">
        <v>45293</v>
      </c>
      <c r="E1144" s="1" t="n">
        <v>46326</v>
      </c>
      <c r="F1144" t="inlineStr">
        <is>
          <t>GÄVLEBORGS LÄN</t>
        </is>
      </c>
      <c r="G1144" t="inlineStr">
        <is>
          <t>LJUSDAL</t>
        </is>
      </c>
      <c r="H1144" t="inlineStr">
        <is>
          <t>Bergvik skog väst AB</t>
        </is>
      </c>
      <c r="I1144" t="n">
        <v>31.1</v>
      </c>
      <c r="J1144" t="n">
        <v>0</v>
      </c>
      <c r="K1144" t="n">
        <v>1</v>
      </c>
      <c r="L1144" t="n">
        <v>0</v>
      </c>
      <c r="M1144" t="n">
        <v>0</v>
      </c>
      <c r="N1144" t="n">
        <v>0</v>
      </c>
      <c r="O1144" t="n">
        <v>0</v>
      </c>
      <c r="P1144" t="n">
        <v>0</v>
      </c>
      <c r="Q1144" t="n">
        <v>0</v>
      </c>
      <c r="R1144" t="n">
        <v>0</v>
      </c>
      <c r="S1144" t="n">
        <v>1</v>
      </c>
      <c r="T1144" t="n">
        <v>1</v>
      </c>
      <c r="U1144" t="n">
        <v>0</v>
      </c>
      <c r="V1144" s="2" t="inlineStr">
        <is>
          <t>Skinnlav</t>
        </is>
      </c>
      <c r="W1144">
        <f>HYPERLINK("https://klasma.github.io/Logging_2161/artfynd/S 16-2024 artfynd.xlsx", "S 16-2024")</f>
        <v/>
      </c>
      <c r="X1144">
        <f>HYPERLINK("https://klasma.github.io/Logging_2161/kartor/S 16-2024 karta.png", "S 16-2024")</f>
        <v/>
      </c>
      <c r="Y1144">
        <f>HYPERLINK("https://klasma.github.io/Logging_2161/kartor_geotiff/S 16-2024 georefererad karta.tif", "S 16-2024")</f>
        <v/>
      </c>
      <c r="Z1144">
        <f>HYPERLINK("https://klasma.github.io/Logging_2161/knärot/S 16-2024 karta knärot.png", "S 16-2024")</f>
        <v/>
      </c>
      <c r="AA1144">
        <f>HYPERLINK("https://klasma.github.io/Logging_2161/klagomål/S 16-2024 FSC-klagomål.docx", "S 16-2024")</f>
        <v/>
      </c>
      <c r="AB1144">
        <f>HYPERLINK("https://klasma.github.io/Logging_2161/klagomålsmail/S 16-2024 FSC-klagomål mail.docx", "S 16-2024")</f>
        <v/>
      </c>
      <c r="AC1144">
        <f>HYPERLINK("https://klasma.github.io/Logging_2161/tillsyn/S 16-2024 tillsynsbegäran.docx", "S 16-2024")</f>
        <v/>
      </c>
      <c r="AD1144">
        <f>HYPERLINK("https://klasma.github.io/Logging_2161/tillsynsmail/S 16-2024 tillsynsbegäran mail.docx", "S 16-2024")</f>
        <v/>
      </c>
    </row>
    <row r="1145" ht="15" customHeight="1">
      <c r="A1145" t="inlineStr">
        <is>
          <t>S 399-2022</t>
        </is>
      </c>
      <c r="B1145" t="inlineStr">
        <is>
          <t>samrådsanmälan</t>
        </is>
      </c>
      <c r="C1145" t="inlineStr">
        <is>
          <t>Skogsgödsling</t>
        </is>
      </c>
      <c r="D1145" s="1" t="n">
        <v>44585</v>
      </c>
      <c r="E1145" s="1" t="n">
        <v>46326</v>
      </c>
      <c r="F1145" t="inlineStr">
        <is>
          <t>GÄVLEBORGS LÄN</t>
        </is>
      </c>
      <c r="G1145" t="inlineStr">
        <is>
          <t>GÄVLE</t>
        </is>
      </c>
      <c r="H1145" t="inlineStr">
        <is>
          <t>Bergvik skog väst AB</t>
        </is>
      </c>
      <c r="I1145" t="n">
        <v>44.4</v>
      </c>
      <c r="J1145" t="n">
        <v>1</v>
      </c>
      <c r="K1145" t="n">
        <v>0</v>
      </c>
      <c r="L1145" t="n">
        <v>0</v>
      </c>
      <c r="M1145" t="n">
        <v>0</v>
      </c>
      <c r="N1145" t="n">
        <v>0</v>
      </c>
      <c r="O1145" t="n">
        <v>0</v>
      </c>
      <c r="P1145" t="n">
        <v>0</v>
      </c>
      <c r="Q1145" t="n">
        <v>0</v>
      </c>
      <c r="R1145" t="n">
        <v>0</v>
      </c>
      <c r="S1145" t="n">
        <v>1</v>
      </c>
      <c r="T1145" t="n">
        <v>1</v>
      </c>
      <c r="U1145" t="n">
        <v>0</v>
      </c>
      <c r="V1145" s="2" t="inlineStr">
        <is>
          <t>Fläcknycklar</t>
        </is>
      </c>
      <c r="W1145">
        <f>HYPERLINK("https://klasma.github.io/Logging_2180/artfynd/S 399-2022 artfynd.xlsx", "S 399-2022")</f>
        <v/>
      </c>
      <c r="X1145">
        <f>HYPERLINK("https://klasma.github.io/Logging_2180/kartor/S 399-2022 karta.png", "S 399-2022")</f>
        <v/>
      </c>
      <c r="Y1145">
        <f>HYPERLINK("https://klasma.github.io/Logging_2180/kartor_geotiff/S 399-2022 georefererad karta.tif", "S 399-2022")</f>
        <v/>
      </c>
      <c r="AA1145">
        <f>HYPERLINK("https://klasma.github.io/Logging_2180/klagomål/S 399-2022 FSC-klagomål.docx", "S 399-2022")</f>
        <v/>
      </c>
      <c r="AB1145">
        <f>HYPERLINK("https://klasma.github.io/Logging_2180/klagomålsmail/S 399-2022 FSC-klagomål mail.docx", "S 399-2022")</f>
        <v/>
      </c>
      <c r="AC1145">
        <f>HYPERLINK("https://klasma.github.io/Logging_2180/tillsyn/S 399-2022 tillsynsbegäran.docx", "S 399-2022")</f>
        <v/>
      </c>
      <c r="AD1145">
        <f>HYPERLINK("https://klasma.github.io/Logging_2180/tillsynsmail/S 399-2022 tillsynsbegäran mail.docx", "S 399-2022")</f>
        <v/>
      </c>
    </row>
    <row r="1146" ht="15" customHeight="1">
      <c r="A1146" t="inlineStr">
        <is>
          <t>S 1687-2023</t>
        </is>
      </c>
      <c r="B1146" t="inlineStr">
        <is>
          <t>samrådsanmälan</t>
        </is>
      </c>
      <c r="C1146" t="inlineStr">
        <is>
          <t>Annan skogsbruksåtgärd</t>
        </is>
      </c>
      <c r="D1146" s="1" t="n">
        <v>45064</v>
      </c>
      <c r="E1146" s="1" t="n">
        <v>46326</v>
      </c>
      <c r="F1146" t="inlineStr">
        <is>
          <t>GÄVLEBORGS LÄN</t>
        </is>
      </c>
      <c r="G1146" t="inlineStr">
        <is>
          <t>SANDVIKEN</t>
        </is>
      </c>
      <c r="H1146" t="inlineStr">
        <is>
          <t>Sveaskog</t>
        </is>
      </c>
      <c r="I1146" t="n">
        <v>12.6</v>
      </c>
      <c r="J1146" t="n">
        <v>1</v>
      </c>
      <c r="K1146" t="n">
        <v>0</v>
      </c>
      <c r="L1146" t="n">
        <v>0</v>
      </c>
      <c r="M1146" t="n">
        <v>0</v>
      </c>
      <c r="N1146" t="n">
        <v>0</v>
      </c>
      <c r="O1146" t="n">
        <v>0</v>
      </c>
      <c r="P1146" t="n">
        <v>0</v>
      </c>
      <c r="Q1146" t="n">
        <v>0</v>
      </c>
      <c r="R1146" t="n">
        <v>0</v>
      </c>
      <c r="S1146" t="n">
        <v>1</v>
      </c>
      <c r="T1146" t="n">
        <v>1</v>
      </c>
      <c r="U1146" t="n">
        <v>1</v>
      </c>
      <c r="V1146" s="2" t="inlineStr">
        <is>
          <t>Fläcknycklar</t>
        </is>
      </c>
      <c r="W1146">
        <f>HYPERLINK("https://klasma.github.io/Logging_2181/artfynd/S 1687-2023 artfynd.xlsx", "S 1687-2023")</f>
        <v/>
      </c>
      <c r="X1146">
        <f>HYPERLINK("https://klasma.github.io/Logging_2181/kartor/S 1687-2023 karta.png", "S 1687-2023")</f>
        <v/>
      </c>
      <c r="Y1146">
        <f>HYPERLINK("https://klasma.github.io/Logging_2181/kartor_geotiff/S 1687-2023 georefererad karta.tif", "S 1687-2023")</f>
        <v/>
      </c>
      <c r="AA1146">
        <f>HYPERLINK("https://klasma.github.io/Logging_2181/klagomål/S 1687-2023 FSC-klagomål.docx", "S 1687-2023")</f>
        <v/>
      </c>
      <c r="AB1146">
        <f>HYPERLINK("https://klasma.github.io/Logging_2181/klagomålsmail/S 1687-2023 FSC-klagomål mail.docx", "S 1687-2023")</f>
        <v/>
      </c>
      <c r="AC1146">
        <f>HYPERLINK("https://klasma.github.io/Logging_2181/tillsyn/S 1687-2023 tillsynsbegäran.docx", "S 1687-2023")</f>
        <v/>
      </c>
      <c r="AD1146">
        <f>HYPERLINK("https://klasma.github.io/Logging_2181/tillsynsmail/S 1687-2023 tillsynsbegäran mail.docx", "S 1687-2023")</f>
        <v/>
      </c>
    </row>
    <row r="1147" ht="15" customHeight="1">
      <c r="A1147" t="inlineStr">
        <is>
          <t>S 6-2024</t>
        </is>
      </c>
      <c r="B1147" t="inlineStr">
        <is>
          <t>samrådsanmälan</t>
        </is>
      </c>
      <c r="C1147" t="inlineStr">
        <is>
          <t>Skogsgödsling</t>
        </is>
      </c>
      <c r="D1147" s="1" t="n">
        <v>45293</v>
      </c>
      <c r="E1147" s="1" t="n">
        <v>46326</v>
      </c>
      <c r="F1147" t="inlineStr">
        <is>
          <t>GÄVLEBORGS LÄN</t>
        </is>
      </c>
      <c r="G1147" t="inlineStr">
        <is>
          <t>LJUSDAL</t>
        </is>
      </c>
      <c r="H1147" t="inlineStr">
        <is>
          <t>Bergvik skog väst AB</t>
        </is>
      </c>
      <c r="I1147" t="n">
        <v>60.8</v>
      </c>
      <c r="J1147" t="n">
        <v>0</v>
      </c>
      <c r="K1147" t="n">
        <v>0</v>
      </c>
      <c r="L1147" t="n">
        <v>1</v>
      </c>
      <c r="M1147" t="n">
        <v>0</v>
      </c>
      <c r="N1147" t="n">
        <v>0</v>
      </c>
      <c r="O1147" t="n">
        <v>0</v>
      </c>
      <c r="P1147" t="n">
        <v>0</v>
      </c>
      <c r="Q1147" t="n">
        <v>1</v>
      </c>
      <c r="R1147" t="n">
        <v>0</v>
      </c>
      <c r="S1147" t="n">
        <v>1</v>
      </c>
      <c r="T1147" t="n">
        <v>1</v>
      </c>
      <c r="U1147" t="n">
        <v>1</v>
      </c>
      <c r="V1147" s="2" t="inlineStr">
        <is>
          <t>Kortskaftad ärgspik</t>
        </is>
      </c>
      <c r="W1147">
        <f>HYPERLINK("https://klasma.github.io/Logging_2161/artfynd/S 6-2024 artfynd.xlsx", "S 6-2024")</f>
        <v/>
      </c>
      <c r="X1147">
        <f>HYPERLINK("https://klasma.github.io/Logging_2161/kartor/S 6-2024 karta.png", "S 6-2024")</f>
        <v/>
      </c>
      <c r="Y1147">
        <f>HYPERLINK("https://klasma.github.io/Logging_2161/kartor_geotiff/S 6-2024 georefererad karta.tif", "S 6-2024")</f>
        <v/>
      </c>
      <c r="AA1147">
        <f>HYPERLINK("https://klasma.github.io/Logging_2161/klagomål/S 6-2024 FSC-klagomål.docx", "S 6-2024")</f>
        <v/>
      </c>
      <c r="AB1147">
        <f>HYPERLINK("https://klasma.github.io/Logging_2161/klagomålsmail/S 6-2024 FSC-klagomål mail.docx", "S 6-2024")</f>
        <v/>
      </c>
      <c r="AC1147">
        <f>HYPERLINK("https://klasma.github.io/Logging_2161/tillsyn/S 6-2024 tillsynsbegäran.docx", "S 6-2024")</f>
        <v/>
      </c>
      <c r="AD1147">
        <f>HYPERLINK("https://klasma.github.io/Logging_2161/tillsynsmail/S 6-2024 tillsynsbegäran mail.docx", "S 6-2024")</f>
        <v/>
      </c>
    </row>
    <row r="1148" ht="15" customHeight="1">
      <c r="A1148" t="inlineStr">
        <is>
          <t>S 1579-2023</t>
        </is>
      </c>
      <c r="B1148" t="inlineStr">
        <is>
          <t>samrådsanmälan</t>
        </is>
      </c>
      <c r="C1148" t="inlineStr">
        <is>
          <t>Skogsgödsling</t>
        </is>
      </c>
      <c r="D1148" s="1" t="n">
        <v>45058</v>
      </c>
      <c r="E1148" s="1" t="n">
        <v>46326</v>
      </c>
      <c r="F1148" t="inlineStr">
        <is>
          <t>GÄVLEBORGS LÄN</t>
        </is>
      </c>
      <c r="G1148" t="inlineStr">
        <is>
          <t>LJUSDAL</t>
        </is>
      </c>
      <c r="I1148" t="n">
        <v>14.4</v>
      </c>
      <c r="J1148" t="n">
        <v>0</v>
      </c>
      <c r="K1148" t="n">
        <v>0</v>
      </c>
      <c r="L1148" t="n">
        <v>1</v>
      </c>
      <c r="M1148" t="n">
        <v>0</v>
      </c>
      <c r="N1148" t="n">
        <v>0</v>
      </c>
      <c r="O1148" t="n">
        <v>0</v>
      </c>
      <c r="P1148" t="n">
        <v>0</v>
      </c>
      <c r="Q1148" t="n">
        <v>1</v>
      </c>
      <c r="R1148" t="n">
        <v>0</v>
      </c>
      <c r="S1148" t="n">
        <v>1</v>
      </c>
      <c r="T1148" t="n">
        <v>1</v>
      </c>
      <c r="U1148" t="n">
        <v>1</v>
      </c>
      <c r="V1148" s="2" t="inlineStr">
        <is>
          <t>Mörk kolflarnlav</t>
        </is>
      </c>
      <c r="W1148">
        <f>HYPERLINK("https://klasma.github.io/Logging_2161/artfynd/S 1579-2023 artfynd.xlsx", "S 1579-2023")</f>
        <v/>
      </c>
      <c r="X1148">
        <f>HYPERLINK("https://klasma.github.io/Logging_2161/kartor/S 1579-2023 karta.png", "S 1579-2023")</f>
        <v/>
      </c>
      <c r="Y1148">
        <f>HYPERLINK("https://klasma.github.io/Logging_2161/kartor_geotiff/S 1579-2023 georefererad karta.tif", "S 1579-2023")</f>
        <v/>
      </c>
      <c r="AA1148">
        <f>HYPERLINK("https://klasma.github.io/Logging_2161/klagomål/S 1579-2023 FSC-klagomål.docx", "S 1579-2023")</f>
        <v/>
      </c>
      <c r="AB1148">
        <f>HYPERLINK("https://klasma.github.io/Logging_2161/klagomålsmail/S 1579-2023 FSC-klagomål mail.docx", "S 1579-2023")</f>
        <v/>
      </c>
      <c r="AC1148">
        <f>HYPERLINK("https://klasma.github.io/Logging_2161/tillsyn/S 1579-2023 tillsynsbegäran.docx", "S 1579-2023")</f>
        <v/>
      </c>
      <c r="AD1148">
        <f>HYPERLINK("https://klasma.github.io/Logging_2161/tillsynsmail/S 1579-2023 tillsynsbegäran mail.docx", "S 1579-2023")</f>
        <v/>
      </c>
    </row>
    <row r="1149" ht="15" customHeight="1">
      <c r="A1149" t="inlineStr">
        <is>
          <t>S 141-2025</t>
        </is>
      </c>
      <c r="B1149" t="inlineStr">
        <is>
          <t>samrådsanmälan</t>
        </is>
      </c>
      <c r="C1149" t="inlineStr">
        <is>
          <t>Skogsgödsling</t>
        </is>
      </c>
      <c r="D1149" s="1" t="n">
        <v>45670</v>
      </c>
      <c r="E1149" s="1" t="n">
        <v>46326</v>
      </c>
      <c r="F1149" t="inlineStr">
        <is>
          <t>GÄVLEBORGS LÄN</t>
        </is>
      </c>
      <c r="G1149" t="inlineStr">
        <is>
          <t>NORDANSTIG</t>
        </is>
      </c>
      <c r="H1149" t="inlineStr">
        <is>
          <t>Holmen skog AB</t>
        </is>
      </c>
      <c r="I1149" t="n">
        <v>95.09999999999999</v>
      </c>
      <c r="J1149" t="n">
        <v>1</v>
      </c>
      <c r="K1149" t="n">
        <v>1</v>
      </c>
      <c r="L1149" t="n">
        <v>0</v>
      </c>
      <c r="M1149" t="n">
        <v>0</v>
      </c>
      <c r="N1149" t="n">
        <v>0</v>
      </c>
      <c r="O1149" t="n">
        <v>0</v>
      </c>
      <c r="P1149" t="n">
        <v>0</v>
      </c>
      <c r="Q1149" t="n">
        <v>0</v>
      </c>
      <c r="R1149" t="n">
        <v>0</v>
      </c>
      <c r="S1149" t="n">
        <v>1</v>
      </c>
      <c r="T1149" t="n">
        <v>1</v>
      </c>
      <c r="U1149" t="n">
        <v>0</v>
      </c>
      <c r="V1149" s="2" t="inlineStr">
        <is>
          <t>Plattlummer</t>
        </is>
      </c>
      <c r="W1149">
        <f>HYPERLINK("https://klasma.github.io/Logging_2132/artfynd/S 141-2025 artfynd.xlsx", "S 141-2025")</f>
        <v/>
      </c>
      <c r="X1149">
        <f>HYPERLINK("https://klasma.github.io/Logging_2132/kartor/S 141-2025 karta.png", "S 141-2025")</f>
        <v/>
      </c>
      <c r="Y1149">
        <f>HYPERLINK("https://klasma.github.io/Logging_2132/kartor_geotiff/S 141-2025 georefererad karta.tif", "S 141-2025")</f>
        <v/>
      </c>
      <c r="AA1149">
        <f>HYPERLINK("https://klasma.github.io/Logging_2132/klagomål/S 141-2025 FSC-klagomål.docx", "S 141-2025")</f>
        <v/>
      </c>
      <c r="AB1149">
        <f>HYPERLINK("https://klasma.github.io/Logging_2132/klagomålsmail/S 141-2025 FSC-klagomål mail.docx", "S 141-2025")</f>
        <v/>
      </c>
      <c r="AC1149">
        <f>HYPERLINK("https://klasma.github.io/Logging_2132/tillsyn/S 141-2025 tillsynsbegäran.docx", "S 141-2025")</f>
        <v/>
      </c>
      <c r="AD1149">
        <f>HYPERLINK("https://klasma.github.io/Logging_2132/tillsynsmail/S 141-2025 tillsynsbegäran mail.docx", "S 141-2025")</f>
        <v/>
      </c>
    </row>
    <row r="1150" ht="15" customHeight="1">
      <c r="A1150" t="inlineStr">
        <is>
          <t>S 1077-2022</t>
        </is>
      </c>
      <c r="B1150" t="inlineStr">
        <is>
          <t>samrådsanmälan</t>
        </is>
      </c>
      <c r="C1150" t="inlineStr">
        <is>
          <t>Skogsgödsling</t>
        </is>
      </c>
      <c r="D1150" s="1" t="n">
        <v>44614</v>
      </c>
      <c r="E1150" s="1" t="n">
        <v>46326</v>
      </c>
      <c r="F1150" t="inlineStr">
        <is>
          <t>GÄVLEBORGS LÄN</t>
        </is>
      </c>
      <c r="G1150" t="inlineStr">
        <is>
          <t>BOLLNÄS</t>
        </is>
      </c>
      <c r="H1150" t="inlineStr">
        <is>
          <t>Bergvik skog väst AB</t>
        </is>
      </c>
      <c r="I1150" t="n">
        <v>34</v>
      </c>
      <c r="J1150" t="n">
        <v>1</v>
      </c>
      <c r="K1150" t="n">
        <v>0</v>
      </c>
      <c r="L1150" t="n">
        <v>1</v>
      </c>
      <c r="M1150" t="n">
        <v>0</v>
      </c>
      <c r="N1150" t="n">
        <v>0</v>
      </c>
      <c r="O1150" t="n">
        <v>0</v>
      </c>
      <c r="P1150" t="n">
        <v>0</v>
      </c>
      <c r="Q1150" t="n">
        <v>1</v>
      </c>
      <c r="R1150" t="n">
        <v>0</v>
      </c>
      <c r="S1150" t="n">
        <v>1</v>
      </c>
      <c r="T1150" t="n">
        <v>1</v>
      </c>
      <c r="U1150" t="n">
        <v>0</v>
      </c>
      <c r="V1150" s="2" t="inlineStr">
        <is>
          <t>Sparvuggla</t>
        </is>
      </c>
      <c r="W1150">
        <f>HYPERLINK("https://klasma.github.io/Logging_2183/artfynd/S 1077-2022 artfynd.xlsx", "S 1077-2022")</f>
        <v/>
      </c>
      <c r="X1150">
        <f>HYPERLINK("https://klasma.github.io/Logging_2183/kartor/S 1077-2022 karta.png", "S 1077-2022")</f>
        <v/>
      </c>
      <c r="Y1150">
        <f>HYPERLINK("https://klasma.github.io/Logging_2183/kartor_geotiff/S 1077-2022 georefererad karta.tif", "S 1077-2022")</f>
        <v/>
      </c>
      <c r="AA1150">
        <f>HYPERLINK("https://klasma.github.io/Logging_2183/klagomål/S 1077-2022 FSC-klagomål.docx", "S 1077-2022")</f>
        <v/>
      </c>
      <c r="AB1150">
        <f>HYPERLINK("https://klasma.github.io/Logging_2183/klagomålsmail/S 1077-2022 FSC-klagomål mail.docx", "S 1077-2022")</f>
        <v/>
      </c>
      <c r="AC1150">
        <f>HYPERLINK("https://klasma.github.io/Logging_2183/tillsyn/S 1077-2022 tillsynsbegäran.docx", "S 1077-2022")</f>
        <v/>
      </c>
      <c r="AD1150">
        <f>HYPERLINK("https://klasma.github.io/Logging_2183/tillsynsmail/S 1077-2022 tillsynsbegäran mail.docx", "S 1077-2022")</f>
        <v/>
      </c>
      <c r="AE1150">
        <f>HYPERLINK("https://klasma.github.io/Logging_2183/fåglar/S 1077-2022 prioriterade fågelarter.docx", "S 1077-2022")</f>
        <v/>
      </c>
    </row>
    <row r="1151" ht="15" customHeight="1">
      <c r="A1151" t="inlineStr">
        <is>
          <t>S 1983-2024</t>
        </is>
      </c>
      <c r="B1151" t="inlineStr">
        <is>
          <t>samrådsanmälan</t>
        </is>
      </c>
      <c r="C1151" t="inlineStr">
        <is>
          <t>Annan skogsbruksåtgärd</t>
        </is>
      </c>
      <c r="D1151" s="1" t="n">
        <v>45446</v>
      </c>
      <c r="E1151" s="1" t="n">
        <v>46326</v>
      </c>
      <c r="F1151" t="inlineStr">
        <is>
          <t>GÄVLEBORGS LÄN</t>
        </is>
      </c>
      <c r="G1151" t="inlineStr">
        <is>
          <t>LJUSDAL</t>
        </is>
      </c>
      <c r="I1151" t="n">
        <v>17.1</v>
      </c>
      <c r="J1151" t="n">
        <v>1</v>
      </c>
      <c r="K1151" t="n">
        <v>0</v>
      </c>
      <c r="L1151" t="n">
        <v>0</v>
      </c>
      <c r="M1151" t="n">
        <v>0</v>
      </c>
      <c r="N1151" t="n">
        <v>0</v>
      </c>
      <c r="O1151" t="n">
        <v>0</v>
      </c>
      <c r="P1151" t="n">
        <v>0</v>
      </c>
      <c r="Q1151" t="n">
        <v>0</v>
      </c>
      <c r="R1151" t="n">
        <v>0</v>
      </c>
      <c r="S1151" t="n">
        <v>1</v>
      </c>
      <c r="T1151" t="n">
        <v>1</v>
      </c>
      <c r="U1151" t="n">
        <v>1</v>
      </c>
      <c r="V1151" s="2" t="inlineStr">
        <is>
          <t>Järpe</t>
        </is>
      </c>
      <c r="W1151">
        <f>HYPERLINK("https://klasma.github.io/Logging_2161/artfynd/S 1983-2024 artfynd.xlsx", "S 1983-2024")</f>
        <v/>
      </c>
      <c r="X1151">
        <f>HYPERLINK("https://klasma.github.io/Logging_2161/kartor/S 1983-2024 karta.png", "S 1983-2024")</f>
        <v/>
      </c>
      <c r="Y1151">
        <f>HYPERLINK("https://klasma.github.io/Logging_2161/kartor_geotiff/S 1983-2024 georefererad karta.tif", "S 1983-2024")</f>
        <v/>
      </c>
      <c r="AA1151">
        <f>HYPERLINK("https://klasma.github.io/Logging_2161/klagomål/S 1983-2024 FSC-klagomål.docx", "S 1983-2024")</f>
        <v/>
      </c>
      <c r="AB1151">
        <f>HYPERLINK("https://klasma.github.io/Logging_2161/klagomålsmail/S 1983-2024 FSC-klagomål mail.docx", "S 1983-2024")</f>
        <v/>
      </c>
      <c r="AC1151">
        <f>HYPERLINK("https://klasma.github.io/Logging_2161/tillsyn/S 1983-2024 tillsynsbegäran.docx", "S 1983-2024")</f>
        <v/>
      </c>
      <c r="AD1151">
        <f>HYPERLINK("https://klasma.github.io/Logging_2161/tillsynsmail/S 1983-2024 tillsynsbegäran mail.docx", "S 1983-2024")</f>
        <v/>
      </c>
      <c r="AE1151">
        <f>HYPERLINK("https://klasma.github.io/Logging_2161/fåglar/S 1983-2024 prioriterade fågelarter.docx", "S 1983-2024")</f>
        <v/>
      </c>
    </row>
    <row r="1152" ht="15" customHeight="1">
      <c r="A1152" t="inlineStr">
        <is>
          <t>S 1535-2023</t>
        </is>
      </c>
      <c r="B1152" t="inlineStr">
        <is>
          <t>samrådsanmälan</t>
        </is>
      </c>
      <c r="C1152" t="inlineStr">
        <is>
          <t>Skogsgödsling</t>
        </is>
      </c>
      <c r="D1152" s="1" t="n">
        <v>45054</v>
      </c>
      <c r="E1152" s="1" t="n">
        <v>46326</v>
      </c>
      <c r="F1152" t="inlineStr">
        <is>
          <t>GÄVLEBORGS LÄN</t>
        </is>
      </c>
      <c r="G1152" t="inlineStr">
        <is>
          <t>BOLLNÄS</t>
        </is>
      </c>
      <c r="H1152" t="inlineStr">
        <is>
          <t>Bergvik skog väst AB</t>
        </is>
      </c>
      <c r="I1152" t="n">
        <v>13.8</v>
      </c>
      <c r="J1152" t="n">
        <v>1</v>
      </c>
      <c r="K1152" t="n">
        <v>0</v>
      </c>
      <c r="L1152" t="n">
        <v>1</v>
      </c>
      <c r="M1152" t="n">
        <v>0</v>
      </c>
      <c r="N1152" t="n">
        <v>0</v>
      </c>
      <c r="O1152" t="n">
        <v>0</v>
      </c>
      <c r="P1152" t="n">
        <v>0</v>
      </c>
      <c r="Q1152" t="n">
        <v>1</v>
      </c>
      <c r="R1152" t="n">
        <v>0</v>
      </c>
      <c r="S1152" t="n">
        <v>1</v>
      </c>
      <c r="T1152" t="n">
        <v>1</v>
      </c>
      <c r="U1152" t="n">
        <v>0</v>
      </c>
      <c r="V1152" s="2" t="inlineStr">
        <is>
          <t>Björktrast</t>
        </is>
      </c>
      <c r="W1152">
        <f>HYPERLINK("https://klasma.github.io/Logging_2183/artfynd/S 1535-2023 artfynd.xlsx", "S 1535-2023")</f>
        <v/>
      </c>
      <c r="X1152">
        <f>HYPERLINK("https://klasma.github.io/Logging_2183/kartor/S 1535-2023 karta.png", "S 1535-2023")</f>
        <v/>
      </c>
      <c r="Y1152">
        <f>HYPERLINK("https://klasma.github.io/Logging_2183/kartor_geotiff/S 1535-2023 georefererad karta.tif", "S 1535-2023")</f>
        <v/>
      </c>
      <c r="AA1152">
        <f>HYPERLINK("https://klasma.github.io/Logging_2183/klagomål/S 1535-2023 FSC-klagomål.docx", "S 1535-2023")</f>
        <v/>
      </c>
      <c r="AB1152">
        <f>HYPERLINK("https://klasma.github.io/Logging_2183/klagomålsmail/S 1535-2023 FSC-klagomål mail.docx", "S 1535-2023")</f>
        <v/>
      </c>
      <c r="AC1152">
        <f>HYPERLINK("https://klasma.github.io/Logging_2183/tillsyn/S 1535-2023 tillsynsbegäran.docx", "S 1535-2023")</f>
        <v/>
      </c>
      <c r="AD1152">
        <f>HYPERLINK("https://klasma.github.io/Logging_2183/tillsynsmail/S 1535-2023 tillsynsbegäran mail.docx", "S 1535-2023")</f>
        <v/>
      </c>
      <c r="AE1152">
        <f>HYPERLINK("https://klasma.github.io/Logging_2183/fåglar/S 1535-2023 prioriterade fågelarter.docx", "S 1535-2023")</f>
        <v/>
      </c>
    </row>
    <row r="1153" ht="15" customHeight="1">
      <c r="A1153" t="inlineStr">
        <is>
          <t>S 235-2025</t>
        </is>
      </c>
      <c r="B1153" t="inlineStr">
        <is>
          <t>samrådsanmälan</t>
        </is>
      </c>
      <c r="C1153" t="inlineStr">
        <is>
          <t>Annan skogsbruksåtgärd</t>
        </is>
      </c>
      <c r="D1153" s="1" t="n">
        <v>45680</v>
      </c>
      <c r="E1153" s="1" t="n">
        <v>46326</v>
      </c>
      <c r="F1153" t="inlineStr">
        <is>
          <t>GÄVLEBORGS LÄN</t>
        </is>
      </c>
      <c r="G1153" t="inlineStr">
        <is>
          <t>GÄVLE</t>
        </is>
      </c>
      <c r="H1153" t="inlineStr">
        <is>
          <t>Bergvik skog väst AB</t>
        </is>
      </c>
      <c r="I1153" t="n">
        <v>12.7</v>
      </c>
      <c r="J1153" t="n">
        <v>0</v>
      </c>
      <c r="K1153" t="n">
        <v>0</v>
      </c>
      <c r="L1153" t="n">
        <v>1</v>
      </c>
      <c r="M1153" t="n">
        <v>0</v>
      </c>
      <c r="N1153" t="n">
        <v>0</v>
      </c>
      <c r="O1153" t="n">
        <v>0</v>
      </c>
      <c r="P1153" t="n">
        <v>0</v>
      </c>
      <c r="Q1153" t="n">
        <v>1</v>
      </c>
      <c r="R1153" t="n">
        <v>0</v>
      </c>
      <c r="S1153" t="n">
        <v>1</v>
      </c>
      <c r="T1153" t="n">
        <v>1</v>
      </c>
      <c r="U1153" t="n">
        <v>0</v>
      </c>
      <c r="V1153" s="2" t="inlineStr">
        <is>
          <t>Tallticka</t>
        </is>
      </c>
      <c r="W1153">
        <f>HYPERLINK("https://klasma.github.io/Logging_2180/artfynd/S 235-2025 artfynd.xlsx", "S 235-2025")</f>
        <v/>
      </c>
      <c r="X1153">
        <f>HYPERLINK("https://klasma.github.io/Logging_2180/kartor/S 235-2025 karta.png", "S 235-2025")</f>
        <v/>
      </c>
      <c r="Y1153">
        <f>HYPERLINK("https://klasma.github.io/Logging_2180/kartor_geotiff/S 235-2025 georefererad karta.tif", "S 235-2025")</f>
        <v/>
      </c>
      <c r="AA1153">
        <f>HYPERLINK("https://klasma.github.io/Logging_2180/klagomål/S 235-2025 FSC-klagomål.docx", "S 235-2025")</f>
        <v/>
      </c>
      <c r="AB1153">
        <f>HYPERLINK("https://klasma.github.io/Logging_2180/klagomålsmail/S 235-2025 FSC-klagomål mail.docx", "S 235-2025")</f>
        <v/>
      </c>
      <c r="AC1153">
        <f>HYPERLINK("https://klasma.github.io/Logging_2180/tillsyn/S 235-2025 tillsynsbegäran.docx", "S 235-2025")</f>
        <v/>
      </c>
      <c r="AD1153">
        <f>HYPERLINK("https://klasma.github.io/Logging_2180/tillsynsmail/S 235-2025 tillsynsbegäran mail.docx", "S 235-2025")</f>
        <v/>
      </c>
    </row>
    <row r="1154" ht="15" customHeight="1">
      <c r="A1154" t="inlineStr">
        <is>
          <t>S 12-2024</t>
        </is>
      </c>
      <c r="B1154" t="inlineStr">
        <is>
          <t>samrådsanmälan</t>
        </is>
      </c>
      <c r="C1154" t="inlineStr">
        <is>
          <t>Skogsgödsling</t>
        </is>
      </c>
      <c r="D1154" s="1" t="n">
        <v>45293</v>
      </c>
      <c r="E1154" s="1" t="n">
        <v>46326</v>
      </c>
      <c r="F1154" t="inlineStr">
        <is>
          <t>GÄVLEBORGS LÄN</t>
        </is>
      </c>
      <c r="G1154" t="inlineStr">
        <is>
          <t>LJUSDAL</t>
        </is>
      </c>
      <c r="H1154" t="inlineStr">
        <is>
          <t>Bergvik skog väst AB</t>
        </is>
      </c>
      <c r="I1154" t="n">
        <v>68.3</v>
      </c>
      <c r="J1154" t="n">
        <v>0</v>
      </c>
      <c r="K1154" t="n">
        <v>0</v>
      </c>
      <c r="L1154" t="n">
        <v>0</v>
      </c>
      <c r="M1154" t="n">
        <v>1</v>
      </c>
      <c r="N1154" t="n">
        <v>0</v>
      </c>
      <c r="O1154" t="n">
        <v>0</v>
      </c>
      <c r="P1154" t="n">
        <v>0</v>
      </c>
      <c r="Q1154" t="n">
        <v>1</v>
      </c>
      <c r="R1154" t="n">
        <v>1</v>
      </c>
      <c r="S1154" t="n">
        <v>1</v>
      </c>
      <c r="T1154" t="n">
        <v>2</v>
      </c>
      <c r="U1154" t="n">
        <v>0</v>
      </c>
      <c r="V1154" s="2" t="inlineStr">
        <is>
          <t>Garnlav</t>
        </is>
      </c>
      <c r="W1154">
        <f>HYPERLINK("https://klasma.github.io/Logging_2161/artfynd/S 12-2024 artfynd.xlsx", "S 12-2024")</f>
        <v/>
      </c>
      <c r="X1154">
        <f>HYPERLINK("https://klasma.github.io/Logging_2161/kartor/S 12-2024 karta.png", "S 12-2024")</f>
        <v/>
      </c>
      <c r="Y1154">
        <f>HYPERLINK("https://klasma.github.io/Logging_2161/kartor_geotiff/S 12-2024 georefererad karta.tif", "S 12-2024")</f>
        <v/>
      </c>
      <c r="AA1154">
        <f>HYPERLINK("https://klasma.github.io/Logging_2161/klagomål/S 12-2024 FSC-klagomål.docx", "S 12-2024")</f>
        <v/>
      </c>
      <c r="AB1154">
        <f>HYPERLINK("https://klasma.github.io/Logging_2161/klagomålsmail/S 12-2024 FSC-klagomål mail.docx", "S 12-2024")</f>
        <v/>
      </c>
      <c r="AC1154">
        <f>HYPERLINK("https://klasma.github.io/Logging_2161/tillsyn/S 12-2024 tillsynsbegäran.docx", "S 12-2024")</f>
        <v/>
      </c>
      <c r="AD1154">
        <f>HYPERLINK("https://klasma.github.io/Logging_2161/tillsynsmail/S 12-2024 tillsynsbegäran mail.docx", "S 12-2024")</f>
        <v/>
      </c>
    </row>
    <row r="1155" ht="15" customHeight="1">
      <c r="A1155" t="inlineStr">
        <is>
          <t>S 504-2025</t>
        </is>
      </c>
      <c r="B1155" t="inlineStr">
        <is>
          <t>samrådsanmälan</t>
        </is>
      </c>
      <c r="C1155" t="inlineStr">
        <is>
          <t>Skogsgödsling</t>
        </is>
      </c>
      <c r="D1155" s="1" t="n">
        <v>45706</v>
      </c>
      <c r="E1155" s="1" t="n">
        <v>46326</v>
      </c>
      <c r="F1155" t="inlineStr">
        <is>
          <t>GÄVLEBORGS LÄN</t>
        </is>
      </c>
      <c r="G1155" t="inlineStr">
        <is>
          <t>SANDVIKEN</t>
        </is>
      </c>
      <c r="H1155" t="inlineStr">
        <is>
          <t>Sveaskog</t>
        </is>
      </c>
      <c r="I1155" t="n">
        <v>19.3</v>
      </c>
      <c r="J1155" t="n">
        <v>1</v>
      </c>
      <c r="K1155" t="n">
        <v>0</v>
      </c>
      <c r="L1155" t="n">
        <v>0</v>
      </c>
      <c r="M1155" t="n">
        <v>0</v>
      </c>
      <c r="N1155" t="n">
        <v>0</v>
      </c>
      <c r="O1155" t="n">
        <v>0</v>
      </c>
      <c r="P1155" t="n">
        <v>0</v>
      </c>
      <c r="Q1155" t="n">
        <v>0</v>
      </c>
      <c r="R1155" t="n">
        <v>0</v>
      </c>
      <c r="S1155" t="n">
        <v>1</v>
      </c>
      <c r="T1155" t="n">
        <v>2</v>
      </c>
      <c r="U1155" t="n">
        <v>0</v>
      </c>
      <c r="V1155" s="2" t="inlineStr">
        <is>
          <t>Fläcknycklar</t>
        </is>
      </c>
      <c r="W1155">
        <f>HYPERLINK("https://klasma.github.io/Logging_2181/artfynd/S 504-2025 artfynd.xlsx", "S 504-2025")</f>
        <v/>
      </c>
      <c r="X1155">
        <f>HYPERLINK("https://klasma.github.io/Logging_2181/kartor/S 504-2025 karta.png", "S 504-2025")</f>
        <v/>
      </c>
      <c r="Y1155">
        <f>HYPERLINK("https://klasma.github.io/Logging_2181/kartor_geotiff/S 504-2025 georefererad karta.tif", "S 504-2025")</f>
        <v/>
      </c>
      <c r="AA1155">
        <f>HYPERLINK("https://klasma.github.io/Logging_2181/klagomål/S 504-2025 FSC-klagomål.docx", "S 504-2025")</f>
        <v/>
      </c>
      <c r="AB1155">
        <f>HYPERLINK("https://klasma.github.io/Logging_2181/klagomålsmail/S 504-2025 FSC-klagomål mail.docx", "S 504-2025")</f>
        <v/>
      </c>
      <c r="AC1155">
        <f>HYPERLINK("https://klasma.github.io/Logging_2181/tillsyn/S 504-2025 tillsynsbegäran.docx", "S 504-2025")</f>
        <v/>
      </c>
      <c r="AD1155">
        <f>HYPERLINK("https://klasma.github.io/Logging_2181/tillsynsmail/S 504-2025 tillsynsbegäran mail.docx", "S 504-2025")</f>
        <v/>
      </c>
    </row>
    <row r="1156" ht="15" customHeight="1">
      <c r="A1156" t="inlineStr">
        <is>
          <t>S 412-2025</t>
        </is>
      </c>
      <c r="B1156" t="inlineStr">
        <is>
          <t>samrådsanmälan</t>
        </is>
      </c>
      <c r="C1156" t="inlineStr">
        <is>
          <t>Skogsgödsling</t>
        </is>
      </c>
      <c r="D1156" s="1" t="n">
        <v>45699</v>
      </c>
      <c r="E1156" s="1" t="n">
        <v>46326</v>
      </c>
      <c r="F1156" t="inlineStr">
        <is>
          <t>GÄVLEBORGS LÄN</t>
        </is>
      </c>
      <c r="G1156" t="inlineStr">
        <is>
          <t>SANDVIKEN</t>
        </is>
      </c>
      <c r="H1156" t="inlineStr">
        <is>
          <t>Bergvik skog öst AB</t>
        </is>
      </c>
      <c r="I1156" t="n">
        <v>21.2</v>
      </c>
      <c r="J1156" t="n">
        <v>0</v>
      </c>
      <c r="K1156" t="n">
        <v>0</v>
      </c>
      <c r="L1156" t="n">
        <v>1</v>
      </c>
      <c r="M1156" t="n">
        <v>0</v>
      </c>
      <c r="N1156" t="n">
        <v>0</v>
      </c>
      <c r="O1156" t="n">
        <v>0</v>
      </c>
      <c r="P1156" t="n">
        <v>0</v>
      </c>
      <c r="Q1156" t="n">
        <v>1</v>
      </c>
      <c r="R1156" t="n">
        <v>0</v>
      </c>
      <c r="S1156" t="n">
        <v>1</v>
      </c>
      <c r="T1156" t="n">
        <v>1</v>
      </c>
      <c r="U1156" t="n">
        <v>0</v>
      </c>
      <c r="V1156" s="2" t="inlineStr">
        <is>
          <t>Aspbarkgnagare</t>
        </is>
      </c>
      <c r="W1156">
        <f>HYPERLINK("https://klasma.github.io/Logging_2181/artfynd/S 412-2025 artfynd.xlsx", "S 412-2025")</f>
        <v/>
      </c>
      <c r="X1156">
        <f>HYPERLINK("https://klasma.github.io/Logging_2181/kartor/S 412-2025 karta.png", "S 412-2025")</f>
        <v/>
      </c>
      <c r="Y1156">
        <f>HYPERLINK("https://klasma.github.io/Logging_2181/kartor_geotiff/S 412-2025 georefererad karta.tif", "S 412-2025")</f>
        <v/>
      </c>
      <c r="AA1156">
        <f>HYPERLINK("https://klasma.github.io/Logging_2181/klagomål/S 412-2025 FSC-klagomål.docx", "S 412-2025")</f>
        <v/>
      </c>
      <c r="AB1156">
        <f>HYPERLINK("https://klasma.github.io/Logging_2181/klagomålsmail/S 412-2025 FSC-klagomål mail.docx", "S 412-2025")</f>
        <v/>
      </c>
      <c r="AC1156">
        <f>HYPERLINK("https://klasma.github.io/Logging_2181/tillsyn/S 412-2025 tillsynsbegäran.docx", "S 412-2025")</f>
        <v/>
      </c>
      <c r="AD1156">
        <f>HYPERLINK("https://klasma.github.io/Logging_2181/tillsynsmail/S 412-2025 tillsynsbegäran mail.docx", "S 412-2025")</f>
        <v/>
      </c>
    </row>
    <row r="1157" ht="15" customHeight="1">
      <c r="A1157" t="inlineStr">
        <is>
          <t>S 41-2025</t>
        </is>
      </c>
      <c r="B1157" t="inlineStr">
        <is>
          <t>samrådsanmälan</t>
        </is>
      </c>
      <c r="C1157" t="inlineStr">
        <is>
          <t>Skogsgödsling</t>
        </is>
      </c>
      <c r="D1157" s="1" t="n">
        <v>45665</v>
      </c>
      <c r="E1157" s="1" t="n">
        <v>46326</v>
      </c>
      <c r="F1157" t="inlineStr">
        <is>
          <t>GÄVLEBORGS LÄN</t>
        </is>
      </c>
      <c r="G1157" t="inlineStr">
        <is>
          <t>OVANÅKER</t>
        </is>
      </c>
      <c r="H1157" t="inlineStr">
        <is>
          <t>Bergvik skog väst AB</t>
        </is>
      </c>
      <c r="I1157" t="n">
        <v>246.8</v>
      </c>
      <c r="J1157" t="n">
        <v>0</v>
      </c>
      <c r="K1157" t="n">
        <v>0</v>
      </c>
      <c r="L1157" t="n">
        <v>0</v>
      </c>
      <c r="M1157" t="n">
        <v>1</v>
      </c>
      <c r="N1157" t="n">
        <v>0</v>
      </c>
      <c r="O1157" t="n">
        <v>0</v>
      </c>
      <c r="P1157" t="n">
        <v>0</v>
      </c>
      <c r="Q1157" t="n">
        <v>1</v>
      </c>
      <c r="R1157" t="n">
        <v>1</v>
      </c>
      <c r="S1157" t="n">
        <v>1</v>
      </c>
      <c r="T1157" t="n">
        <v>1</v>
      </c>
      <c r="U1157" t="n">
        <v>1</v>
      </c>
      <c r="V1157" s="2" t="inlineStr">
        <is>
          <t>Garnlav</t>
        </is>
      </c>
      <c r="W1157">
        <f>HYPERLINK("https://klasma.github.io/Logging_2121/artfynd/S 41-2025 artfynd.xlsx", "S 41-2025")</f>
        <v/>
      </c>
      <c r="X1157">
        <f>HYPERLINK("https://klasma.github.io/Logging_2121/kartor/S 41-2025 karta.png", "S 41-2025")</f>
        <v/>
      </c>
      <c r="Y1157">
        <f>HYPERLINK("https://klasma.github.io/Logging_2121/kartor_geotiff/S 41-2025 georefererad karta.tif", "S 41-2025")</f>
        <v/>
      </c>
      <c r="AA1157">
        <f>HYPERLINK("https://klasma.github.io/Logging_2121/klagomål/S 41-2025 FSC-klagomål.docx", "S 41-2025")</f>
        <v/>
      </c>
      <c r="AB1157">
        <f>HYPERLINK("https://klasma.github.io/Logging_2121/klagomålsmail/S 41-2025 FSC-klagomål mail.docx", "S 41-2025")</f>
        <v/>
      </c>
      <c r="AC1157">
        <f>HYPERLINK("https://klasma.github.io/Logging_2121/tillsyn/S 41-2025 tillsynsbegäran.docx", "S 41-2025")</f>
        <v/>
      </c>
      <c r="AD1157">
        <f>HYPERLINK("https://klasma.github.io/Logging_2121/tillsynsmail/S 41-2025 tillsynsbegäran mail.docx", "S 41-2025")</f>
        <v/>
      </c>
    </row>
    <row r="1158" ht="15" customHeight="1">
      <c r="A1158" t="inlineStr">
        <is>
          <t>S 405-2025</t>
        </is>
      </c>
      <c r="B1158" t="inlineStr">
        <is>
          <t>samrådsanmälan</t>
        </is>
      </c>
      <c r="C1158" t="inlineStr">
        <is>
          <t>Skogsgödsling</t>
        </is>
      </c>
      <c r="D1158" s="1" t="n">
        <v>45699</v>
      </c>
      <c r="E1158" s="1" t="n">
        <v>46326</v>
      </c>
      <c r="F1158" t="inlineStr">
        <is>
          <t>GÄVLEBORGS LÄN</t>
        </is>
      </c>
      <c r="G1158" t="inlineStr">
        <is>
          <t>OVANÅKER</t>
        </is>
      </c>
      <c r="H1158" t="inlineStr">
        <is>
          <t>Bergvik skog öst AB</t>
        </is>
      </c>
      <c r="I1158" t="n">
        <v>296.3</v>
      </c>
      <c r="J1158" t="n">
        <v>1</v>
      </c>
      <c r="K1158" t="n">
        <v>0</v>
      </c>
      <c r="L1158" t="n">
        <v>0</v>
      </c>
      <c r="M1158" t="n">
        <v>0</v>
      </c>
      <c r="N1158" t="n">
        <v>1</v>
      </c>
      <c r="O1158" t="n">
        <v>0</v>
      </c>
      <c r="P1158" t="n">
        <v>0</v>
      </c>
      <c r="Q1158" t="n">
        <v>1</v>
      </c>
      <c r="R1158" t="n">
        <v>1</v>
      </c>
      <c r="S1158" t="n">
        <v>1</v>
      </c>
      <c r="T1158" t="n">
        <v>1</v>
      </c>
      <c r="U1158" t="n">
        <v>1</v>
      </c>
      <c r="V1158" s="2" t="inlineStr">
        <is>
          <t>Berglärka</t>
        </is>
      </c>
      <c r="W1158">
        <f>HYPERLINK("https://klasma.github.io/Logging_2121/artfynd/S 405-2025 artfynd.xlsx", "S 405-2025")</f>
        <v/>
      </c>
      <c r="X1158">
        <f>HYPERLINK("https://klasma.github.io/Logging_2121/kartor/S 405-2025 karta.png", "S 405-2025")</f>
        <v/>
      </c>
      <c r="Y1158">
        <f>HYPERLINK("https://klasma.github.io/Logging_2121/kartor_geotiff/S 405-2025 georefererad karta.tif", "S 405-2025")</f>
        <v/>
      </c>
      <c r="AA1158">
        <f>HYPERLINK("https://klasma.github.io/Logging_2121/klagomål/S 405-2025 FSC-klagomål.docx", "S 405-2025")</f>
        <v/>
      </c>
      <c r="AB1158">
        <f>HYPERLINK("https://klasma.github.io/Logging_2121/klagomålsmail/S 405-2025 FSC-klagomål mail.docx", "S 405-2025")</f>
        <v/>
      </c>
      <c r="AC1158">
        <f>HYPERLINK("https://klasma.github.io/Logging_2121/tillsyn/S 405-2025 tillsynsbegäran.docx", "S 405-2025")</f>
        <v/>
      </c>
      <c r="AD1158">
        <f>HYPERLINK("https://klasma.github.io/Logging_2121/tillsynsmail/S 405-2025 tillsynsbegäran mail.docx", "S 405-2025")</f>
        <v/>
      </c>
    </row>
    <row r="1159" ht="15" customHeight="1">
      <c r="A1159" t="inlineStr">
        <is>
          <t>S 142-2025</t>
        </is>
      </c>
      <c r="B1159" t="inlineStr">
        <is>
          <t>samrådsanmälan</t>
        </is>
      </c>
      <c r="C1159" t="inlineStr">
        <is>
          <t>Skogsgödsling</t>
        </is>
      </c>
      <c r="D1159" s="1" t="n">
        <v>45670</v>
      </c>
      <c r="E1159" s="1" t="n">
        <v>46326</v>
      </c>
      <c r="F1159" t="inlineStr">
        <is>
          <t>GÄVLEBORGS LÄN</t>
        </is>
      </c>
      <c r="G1159" t="inlineStr">
        <is>
          <t>NORDANSTIG</t>
        </is>
      </c>
      <c r="H1159" t="inlineStr">
        <is>
          <t>Holmen skog AB</t>
        </is>
      </c>
      <c r="I1159" t="n">
        <v>268.6</v>
      </c>
      <c r="J1159" t="n">
        <v>0</v>
      </c>
      <c r="K1159" t="n">
        <v>1</v>
      </c>
      <c r="L1159" t="n">
        <v>0</v>
      </c>
      <c r="M1159" t="n">
        <v>0</v>
      </c>
      <c r="N1159" t="n">
        <v>0</v>
      </c>
      <c r="O1159" t="n">
        <v>0</v>
      </c>
      <c r="P1159" t="n">
        <v>0</v>
      </c>
      <c r="Q1159" t="n">
        <v>0</v>
      </c>
      <c r="R1159" t="n">
        <v>0</v>
      </c>
      <c r="S1159" t="n">
        <v>1</v>
      </c>
      <c r="T1159" t="n">
        <v>1</v>
      </c>
      <c r="U1159" t="n">
        <v>1</v>
      </c>
      <c r="V1159" s="2" t="inlineStr">
        <is>
          <t>Spädstarr</t>
        </is>
      </c>
      <c r="W1159">
        <f>HYPERLINK("https://klasma.github.io/Logging_2132/artfynd/S 142-2025 artfynd.xlsx", "S 142-2025")</f>
        <v/>
      </c>
      <c r="X1159">
        <f>HYPERLINK("https://klasma.github.io/Logging_2132/kartor/S 142-2025 karta.png", "S 142-2025")</f>
        <v/>
      </c>
      <c r="Y1159">
        <f>HYPERLINK("https://klasma.github.io/Logging_2132/kartor_geotiff/S 142-2025 georefererad karta.tif", "S 142-2025")</f>
        <v/>
      </c>
      <c r="AA1159">
        <f>HYPERLINK("https://klasma.github.io/Logging_2132/klagomål/S 142-2025 FSC-klagomål.docx", "S 142-2025")</f>
        <v/>
      </c>
      <c r="AB1159">
        <f>HYPERLINK("https://klasma.github.io/Logging_2132/klagomålsmail/S 142-2025 FSC-klagomål mail.docx", "S 142-2025")</f>
        <v/>
      </c>
      <c r="AC1159">
        <f>HYPERLINK("https://klasma.github.io/Logging_2132/tillsyn/S 142-2025 tillsynsbegäran.docx", "S 142-2025")</f>
        <v/>
      </c>
      <c r="AD1159">
        <f>HYPERLINK("https://klasma.github.io/Logging_2132/tillsynsmail/S 142-2025 tillsynsbegäran mail.docx", "S 142-2025")</f>
        <v/>
      </c>
    </row>
    <row r="1160" ht="15" customHeight="1">
      <c r="A1160" t="inlineStr">
        <is>
          <t>S 644-2025</t>
        </is>
      </c>
      <c r="B1160" t="inlineStr">
        <is>
          <t>samrådsanmälan</t>
        </is>
      </c>
      <c r="C1160" t="inlineStr">
        <is>
          <t>Skogsgödsling</t>
        </is>
      </c>
      <c r="D1160" s="1" t="n">
        <v>45714</v>
      </c>
      <c r="E1160" s="1" t="n">
        <v>46326</v>
      </c>
      <c r="F1160" t="inlineStr">
        <is>
          <t>GÄVLEBORGS LÄN</t>
        </is>
      </c>
      <c r="G1160" t="inlineStr">
        <is>
          <t>LJUSDAL</t>
        </is>
      </c>
      <c r="H1160" t="inlineStr">
        <is>
          <t>Sveaskog</t>
        </is>
      </c>
      <c r="I1160" t="n">
        <v>226.1</v>
      </c>
      <c r="J1160" t="n">
        <v>0</v>
      </c>
      <c r="K1160" t="n">
        <v>0</v>
      </c>
      <c r="L1160" t="n">
        <v>1</v>
      </c>
      <c r="M1160" t="n">
        <v>0</v>
      </c>
      <c r="N1160" t="n">
        <v>0</v>
      </c>
      <c r="O1160" t="n">
        <v>0</v>
      </c>
      <c r="P1160" t="n">
        <v>0</v>
      </c>
      <c r="Q1160" t="n">
        <v>1</v>
      </c>
      <c r="R1160" t="n">
        <v>0</v>
      </c>
      <c r="S1160" t="n">
        <v>1</v>
      </c>
      <c r="T1160" t="n">
        <v>1</v>
      </c>
      <c r="U1160" t="n">
        <v>1</v>
      </c>
      <c r="V1160" s="2" t="inlineStr">
        <is>
          <t>Lunglav</t>
        </is>
      </c>
      <c r="W1160">
        <f>HYPERLINK("https://klasma.github.io/Logging_2161/artfynd/S 644-2025 artfynd.xlsx", "S 644-2025")</f>
        <v/>
      </c>
      <c r="X1160">
        <f>HYPERLINK("https://klasma.github.io/Logging_2161/kartor/S 644-2025 karta.png", "S 644-2025")</f>
        <v/>
      </c>
      <c r="Y1160">
        <f>HYPERLINK("https://klasma.github.io/Logging_2161/kartor_geotiff/S 644-2025 georefererad karta.tif", "S 644-2025")</f>
        <v/>
      </c>
      <c r="AA1160">
        <f>HYPERLINK("https://klasma.github.io/Logging_2161/klagomål/S 644-2025 FSC-klagomål.docx", "S 644-2025")</f>
        <v/>
      </c>
      <c r="AB1160">
        <f>HYPERLINK("https://klasma.github.io/Logging_2161/klagomålsmail/S 644-2025 FSC-klagomål mail.docx", "S 644-2025")</f>
        <v/>
      </c>
      <c r="AC1160">
        <f>HYPERLINK("https://klasma.github.io/Logging_2161/tillsyn/S 644-2025 tillsynsbegäran.docx", "S 644-2025")</f>
        <v/>
      </c>
      <c r="AD1160">
        <f>HYPERLINK("https://klasma.github.io/Logging_2161/tillsynsmail/S 644-2025 tillsynsbegäran mail.docx", "S 644-2025")</f>
        <v/>
      </c>
    </row>
    <row r="1161" ht="15" customHeight="1">
      <c r="A1161" t="inlineStr">
        <is>
          <t>S 3895-2024</t>
        </is>
      </c>
      <c r="B1161" t="inlineStr">
        <is>
          <t>samrådsanmälan</t>
        </is>
      </c>
      <c r="C1161" t="inlineStr">
        <is>
          <t>Annan skogsbruksåtgärd</t>
        </is>
      </c>
      <c r="D1161" s="1" t="n">
        <v>45562</v>
      </c>
      <c r="E1161" s="1" t="n">
        <v>46326</v>
      </c>
      <c r="F1161" t="inlineStr">
        <is>
          <t>GÄVLEBORGS LÄN</t>
        </is>
      </c>
      <c r="G1161" t="inlineStr">
        <is>
          <t>GÄVLE</t>
        </is>
      </c>
      <c r="I1161" t="n">
        <v>14.3</v>
      </c>
      <c r="J1161" t="n">
        <v>1</v>
      </c>
      <c r="K1161" t="n">
        <v>0</v>
      </c>
      <c r="L1161" t="n">
        <v>0</v>
      </c>
      <c r="M1161" t="n">
        <v>1</v>
      </c>
      <c r="N1161" t="n">
        <v>0</v>
      </c>
      <c r="O1161" t="n">
        <v>0</v>
      </c>
      <c r="P1161" t="n">
        <v>0</v>
      </c>
      <c r="Q1161" t="n">
        <v>1</v>
      </c>
      <c r="R1161" t="n">
        <v>1</v>
      </c>
      <c r="S1161" t="n">
        <v>1</v>
      </c>
      <c r="T1161" t="n">
        <v>20</v>
      </c>
      <c r="U1161" t="n">
        <v>7</v>
      </c>
      <c r="V1161" s="2" t="inlineStr">
        <is>
          <t>Väddnätfjäril</t>
        </is>
      </c>
      <c r="W1161">
        <f>HYPERLINK("https://klasma.github.io/Logging_2180/artfynd/S 3895-2024 artfynd.xlsx", "S 3895-2024")</f>
        <v/>
      </c>
      <c r="X1161">
        <f>HYPERLINK("https://klasma.github.io/Logging_2180/kartor/S 3895-2024 karta.png", "S 3895-2024")</f>
        <v/>
      </c>
      <c r="Y1161">
        <f>HYPERLINK("https://klasma.github.io/Logging_2180/kartor_geotiff/S 3895-2024 georefererad karta.tif", "S 3895-2024")</f>
        <v/>
      </c>
      <c r="AA1161">
        <f>HYPERLINK("https://klasma.github.io/Logging_2180/klagomål/S 3895-2024 FSC-klagomål.docx", "S 3895-2024")</f>
        <v/>
      </c>
      <c r="AB1161">
        <f>HYPERLINK("https://klasma.github.io/Logging_2180/klagomålsmail/S 3895-2024 FSC-klagomål mail.docx", "S 3895-2024")</f>
        <v/>
      </c>
      <c r="AC1161">
        <f>HYPERLINK("https://klasma.github.io/Logging_2180/tillsyn/S 3895-2024 tillsynsbegäran.docx", "S 3895-2024")</f>
        <v/>
      </c>
      <c r="AD1161">
        <f>HYPERLINK("https://klasma.github.io/Logging_2180/tillsynsmail/S 3895-2024 tillsynsbegäran mail.docx", "S 3895-2024")</f>
        <v/>
      </c>
    </row>
    <row r="1162" ht="15" customHeight="1">
      <c r="A1162" t="inlineStr">
        <is>
          <t>S 522-2025</t>
        </is>
      </c>
      <c r="B1162" t="inlineStr">
        <is>
          <t>samrådsanmälan</t>
        </is>
      </c>
      <c r="C1162" t="inlineStr">
        <is>
          <t>Skogsgödsling</t>
        </is>
      </c>
      <c r="D1162" s="1" t="n">
        <v>45707</v>
      </c>
      <c r="E1162" s="1" t="n">
        <v>46326</v>
      </c>
      <c r="F1162" t="inlineStr">
        <is>
          <t>GÄVLEBORGS LÄN</t>
        </is>
      </c>
      <c r="G1162" t="inlineStr">
        <is>
          <t>LJUSDAL</t>
        </is>
      </c>
      <c r="H1162" t="inlineStr">
        <is>
          <t>Allmännings- och besparingsskogar</t>
        </is>
      </c>
      <c r="I1162" t="n">
        <v>28.4</v>
      </c>
      <c r="J1162" t="n">
        <v>0</v>
      </c>
      <c r="K1162" t="n">
        <v>0</v>
      </c>
      <c r="L1162" t="n">
        <v>1</v>
      </c>
      <c r="M1162" t="n">
        <v>0</v>
      </c>
      <c r="N1162" t="n">
        <v>0</v>
      </c>
      <c r="O1162" t="n">
        <v>0</v>
      </c>
      <c r="P1162" t="n">
        <v>0</v>
      </c>
      <c r="Q1162" t="n">
        <v>1</v>
      </c>
      <c r="R1162" t="n">
        <v>0</v>
      </c>
      <c r="S1162" t="n">
        <v>1</v>
      </c>
      <c r="T1162" t="n">
        <v>1</v>
      </c>
      <c r="U1162" t="n">
        <v>0</v>
      </c>
      <c r="V1162" s="2" t="inlineStr">
        <is>
          <t>Lunglav</t>
        </is>
      </c>
      <c r="W1162">
        <f>HYPERLINK("https://klasma.github.io/Logging_2161/artfynd/S 522-2025 artfynd.xlsx", "S 522-2025")</f>
        <v/>
      </c>
      <c r="X1162">
        <f>HYPERLINK("https://klasma.github.io/Logging_2161/kartor/S 522-2025 karta.png", "S 522-2025")</f>
        <v/>
      </c>
      <c r="Y1162">
        <f>HYPERLINK("https://klasma.github.io/Logging_2161/kartor_geotiff/S 522-2025 georefererad karta.tif", "S 522-2025")</f>
        <v/>
      </c>
      <c r="AA1162">
        <f>HYPERLINK("https://klasma.github.io/Logging_2161/klagomål/S 522-2025 FSC-klagomål.docx", "S 522-2025")</f>
        <v/>
      </c>
      <c r="AB1162">
        <f>HYPERLINK("https://klasma.github.io/Logging_2161/klagomålsmail/S 522-2025 FSC-klagomål mail.docx", "S 522-2025")</f>
        <v/>
      </c>
      <c r="AC1162">
        <f>HYPERLINK("https://klasma.github.io/Logging_2161/tillsyn/S 522-2025 tillsynsbegäran.docx", "S 522-2025")</f>
        <v/>
      </c>
      <c r="AD1162">
        <f>HYPERLINK("https://klasma.github.io/Logging_2161/tillsynsmail/S 522-2025 tillsynsbegäran mail.docx", "S 522-2025")</f>
        <v/>
      </c>
    </row>
    <row r="1163" ht="15" customHeight="1">
      <c r="A1163" t="inlineStr">
        <is>
          <t>S 641-2025</t>
        </is>
      </c>
      <c r="B1163" t="inlineStr">
        <is>
          <t>samrådsanmälan</t>
        </is>
      </c>
      <c r="C1163" t="inlineStr">
        <is>
          <t>Skogsgödsling</t>
        </is>
      </c>
      <c r="D1163" s="1" t="n">
        <v>45714</v>
      </c>
      <c r="E1163" s="1" t="n">
        <v>46326</v>
      </c>
      <c r="F1163" t="inlineStr">
        <is>
          <t>GÄVLEBORGS LÄN</t>
        </is>
      </c>
      <c r="G1163" t="inlineStr">
        <is>
          <t>OVANÅKER</t>
        </is>
      </c>
      <c r="H1163" t="inlineStr">
        <is>
          <t>Sveaskog</t>
        </is>
      </c>
      <c r="I1163" t="n">
        <v>574.5</v>
      </c>
      <c r="J1163" t="n">
        <v>0</v>
      </c>
      <c r="K1163" t="n">
        <v>0</v>
      </c>
      <c r="L1163" t="n">
        <v>1</v>
      </c>
      <c r="M1163" t="n">
        <v>0</v>
      </c>
      <c r="N1163" t="n">
        <v>0</v>
      </c>
      <c r="O1163" t="n">
        <v>0</v>
      </c>
      <c r="P1163" t="n">
        <v>0</v>
      </c>
      <c r="Q1163" t="n">
        <v>1</v>
      </c>
      <c r="R1163" t="n">
        <v>0</v>
      </c>
      <c r="S1163" t="n">
        <v>1</v>
      </c>
      <c r="T1163" t="n">
        <v>1</v>
      </c>
      <c r="U1163" t="n">
        <v>0</v>
      </c>
      <c r="V1163" s="2" t="inlineStr">
        <is>
          <t>Kolflarnlav</t>
        </is>
      </c>
      <c r="W1163">
        <f>HYPERLINK("https://klasma.github.io/Logging_2121/artfynd/S 641-2025 artfynd.xlsx", "S 641-2025")</f>
        <v/>
      </c>
      <c r="X1163">
        <f>HYPERLINK("https://klasma.github.io/Logging_2121/kartor/S 641-2025 karta.png", "S 641-2025")</f>
        <v/>
      </c>
      <c r="Y1163">
        <f>HYPERLINK("https://klasma.github.io/Logging_2121/kartor_geotiff/S 641-2025 georefererad karta.tif", "S 641-2025")</f>
        <v/>
      </c>
      <c r="AA1163">
        <f>HYPERLINK("https://klasma.github.io/Logging_2121/klagomål/S 641-2025 FSC-klagomål.docx", "S 641-2025")</f>
        <v/>
      </c>
      <c r="AB1163">
        <f>HYPERLINK("https://klasma.github.io/Logging_2121/klagomålsmail/S 641-2025 FSC-klagomål mail.docx", "S 641-2025")</f>
        <v/>
      </c>
      <c r="AC1163">
        <f>HYPERLINK("https://klasma.github.io/Logging_2121/tillsyn/S 641-2025 tillsynsbegäran.docx", "S 641-2025")</f>
        <v/>
      </c>
      <c r="AD1163">
        <f>HYPERLINK("https://klasma.github.io/Logging_2121/tillsynsmail/S 641-2025 tillsynsbegäran mail.docx", "S 641-2025")</f>
        <v/>
      </c>
    </row>
    <row r="1164" ht="15" customHeight="1">
      <c r="A1164" t="inlineStr">
        <is>
          <t>S 629-2025</t>
        </is>
      </c>
      <c r="B1164" t="inlineStr">
        <is>
          <t>samrådsanmälan</t>
        </is>
      </c>
      <c r="C1164" t="inlineStr">
        <is>
          <t>Skogsgödsling</t>
        </is>
      </c>
      <c r="D1164" s="1" t="n">
        <v>45714</v>
      </c>
      <c r="E1164" s="1" t="n">
        <v>46326</v>
      </c>
      <c r="F1164" t="inlineStr">
        <is>
          <t>GÄVLEBORGS LÄN</t>
        </is>
      </c>
      <c r="G1164" t="inlineStr">
        <is>
          <t>LJUSDAL</t>
        </is>
      </c>
      <c r="H1164" t="inlineStr">
        <is>
          <t>Sveaskog</t>
        </is>
      </c>
      <c r="I1164" t="n">
        <v>1007.4</v>
      </c>
      <c r="J1164" t="n">
        <v>1</v>
      </c>
      <c r="K1164" t="n">
        <v>0</v>
      </c>
      <c r="L1164" t="n">
        <v>0</v>
      </c>
      <c r="M1164" t="n">
        <v>0</v>
      </c>
      <c r="N1164" t="n">
        <v>0</v>
      </c>
      <c r="O1164" t="n">
        <v>0</v>
      </c>
      <c r="P1164" t="n">
        <v>0</v>
      </c>
      <c r="Q1164" t="n">
        <v>0</v>
      </c>
      <c r="R1164" t="n">
        <v>0</v>
      </c>
      <c r="S1164" t="n">
        <v>1</v>
      </c>
      <c r="T1164" t="n">
        <v>1</v>
      </c>
      <c r="U1164" t="n">
        <v>0</v>
      </c>
      <c r="V1164" s="2" t="inlineStr">
        <is>
          <t>Utter</t>
        </is>
      </c>
      <c r="W1164">
        <f>HYPERLINK("https://klasma.github.io/Logging_2161/artfynd/S 629-2025 artfynd.xlsx", "S 629-2025")</f>
        <v/>
      </c>
      <c r="X1164">
        <f>HYPERLINK("https://klasma.github.io/Logging_2161/kartor/S 629-2025 karta.png", "S 629-2025")</f>
        <v/>
      </c>
      <c r="Y1164">
        <f>HYPERLINK("https://klasma.github.io/Logging_2161/kartor_geotiff/S 629-2025 georefererad karta.tif", "S 629-2025")</f>
        <v/>
      </c>
      <c r="AA1164">
        <f>HYPERLINK("https://klasma.github.io/Logging_2161/klagomål/S 629-2025 FSC-klagomål.docx", "S 629-2025")</f>
        <v/>
      </c>
      <c r="AB1164">
        <f>HYPERLINK("https://klasma.github.io/Logging_2161/klagomålsmail/S 629-2025 FSC-klagomål mail.docx", "S 629-2025")</f>
        <v/>
      </c>
      <c r="AC1164">
        <f>HYPERLINK("https://klasma.github.io/Logging_2161/tillsyn/S 629-2025 tillsynsbegäran.docx", "S 629-2025")</f>
        <v/>
      </c>
      <c r="AD1164">
        <f>HYPERLINK("https://klasma.github.io/Logging_2161/tillsynsmail/S 629-2025 tillsynsbegäran mail.docx", "S 629-2025")</f>
        <v/>
      </c>
    </row>
    <row r="1165" ht="15" customHeight="1">
      <c r="A1165" t="inlineStr">
        <is>
          <t>S 501-2025</t>
        </is>
      </c>
      <c r="B1165" t="inlineStr">
        <is>
          <t>samrådsanmälan</t>
        </is>
      </c>
      <c r="C1165" t="inlineStr">
        <is>
          <t>Askåterföring</t>
        </is>
      </c>
      <c r="D1165" s="1" t="n">
        <v>45706</v>
      </c>
      <c r="E1165" s="1" t="n">
        <v>46326</v>
      </c>
      <c r="F1165" t="inlineStr">
        <is>
          <t>GÄVLEBORGS LÄN</t>
        </is>
      </c>
      <c r="G1165" t="inlineStr">
        <is>
          <t>SANDVIKEN</t>
        </is>
      </c>
      <c r="H1165" t="inlineStr">
        <is>
          <t>Sveaskog</t>
        </is>
      </c>
      <c r="I1165" t="n">
        <v>20.6</v>
      </c>
      <c r="J1165" t="n">
        <v>1</v>
      </c>
      <c r="K1165" t="n">
        <v>0</v>
      </c>
      <c r="L1165" t="n">
        <v>1</v>
      </c>
      <c r="M1165" t="n">
        <v>0</v>
      </c>
      <c r="N1165" t="n">
        <v>0</v>
      </c>
      <c r="O1165" t="n">
        <v>0</v>
      </c>
      <c r="P1165" t="n">
        <v>0</v>
      </c>
      <c r="Q1165" t="n">
        <v>1</v>
      </c>
      <c r="R1165" t="n">
        <v>0</v>
      </c>
      <c r="S1165" t="n">
        <v>1</v>
      </c>
      <c r="T1165" t="n">
        <v>1</v>
      </c>
      <c r="U1165" t="n">
        <v>0</v>
      </c>
      <c r="V1165" s="2" t="inlineStr">
        <is>
          <t>Talltita</t>
        </is>
      </c>
      <c r="W1165">
        <f>HYPERLINK("https://klasma.github.io/Logging_2181/artfynd/S 501-2025 artfynd.xlsx", "S 501-2025")</f>
        <v/>
      </c>
      <c r="X1165">
        <f>HYPERLINK("https://klasma.github.io/Logging_2181/kartor/S 501-2025 karta.png", "S 501-2025")</f>
        <v/>
      </c>
      <c r="Y1165">
        <f>HYPERLINK("https://klasma.github.io/Logging_2181/kartor_geotiff/S 501-2025 georefererad karta.tif", "S 501-2025")</f>
        <v/>
      </c>
      <c r="AA1165">
        <f>HYPERLINK("https://klasma.github.io/Logging_2181/klagomål/S 501-2025 FSC-klagomål.docx", "S 501-2025")</f>
        <v/>
      </c>
      <c r="AB1165">
        <f>HYPERLINK("https://klasma.github.io/Logging_2181/klagomålsmail/S 501-2025 FSC-klagomål mail.docx", "S 501-2025")</f>
        <v/>
      </c>
      <c r="AC1165">
        <f>HYPERLINK("https://klasma.github.io/Logging_2181/tillsyn/S 501-2025 tillsynsbegäran.docx", "S 501-2025")</f>
        <v/>
      </c>
      <c r="AD1165">
        <f>HYPERLINK("https://klasma.github.io/Logging_2181/tillsynsmail/S 501-2025 tillsynsbegäran mail.docx", "S 501-2025")</f>
        <v/>
      </c>
      <c r="AE1165">
        <f>HYPERLINK("https://klasma.github.io/Logging_2181/fåglar/S 501-2025 prioriterade fågelarter.docx", "S 501-2025")</f>
        <v/>
      </c>
    </row>
    <row r="1166" ht="15" customHeight="1">
      <c r="A1166" t="inlineStr">
        <is>
          <t>S 769-2025</t>
        </is>
      </c>
      <c r="B1166" t="inlineStr">
        <is>
          <t>samrådsanmälan</t>
        </is>
      </c>
      <c r="C1166" t="inlineStr">
        <is>
          <t>Askåterföring</t>
        </is>
      </c>
      <c r="D1166" s="1" t="n">
        <v>45727</v>
      </c>
      <c r="E1166" s="1" t="n">
        <v>46326</v>
      </c>
      <c r="F1166" t="inlineStr">
        <is>
          <t>GÄVLEBORGS LÄN</t>
        </is>
      </c>
      <c r="G1166" t="inlineStr">
        <is>
          <t>HOFORS</t>
        </is>
      </c>
      <c r="H1166" t="inlineStr">
        <is>
          <t>Sveaskog</t>
        </is>
      </c>
      <c r="I1166" t="n">
        <v>20.9</v>
      </c>
      <c r="J1166" t="n">
        <v>1</v>
      </c>
      <c r="K1166" t="n">
        <v>0</v>
      </c>
      <c r="L1166" t="n">
        <v>0</v>
      </c>
      <c r="M1166" t="n">
        <v>0</v>
      </c>
      <c r="N1166" t="n">
        <v>0</v>
      </c>
      <c r="O1166" t="n">
        <v>0</v>
      </c>
      <c r="P1166" t="n">
        <v>0</v>
      </c>
      <c r="Q1166" t="n">
        <v>0</v>
      </c>
      <c r="R1166" t="n">
        <v>0</v>
      </c>
      <c r="S1166" t="n">
        <v>1</v>
      </c>
      <c r="T1166" t="n">
        <v>1</v>
      </c>
      <c r="U1166" t="n">
        <v>0</v>
      </c>
      <c r="V1166" s="2" t="inlineStr">
        <is>
          <t>Orre</t>
        </is>
      </c>
      <c r="W1166">
        <f>HYPERLINK("https://klasma.github.io/Logging_2104/artfynd/S 769-2025 artfynd.xlsx", "S 769-2025")</f>
        <v/>
      </c>
      <c r="X1166">
        <f>HYPERLINK("https://klasma.github.io/Logging_2104/kartor/S 769-2025 karta.png", "S 769-2025")</f>
        <v/>
      </c>
      <c r="Y1166">
        <f>HYPERLINK("https://klasma.github.io/Logging_2104/kartor_geotiff/S 769-2025 georefererad karta.tif", "S 769-2025")</f>
        <v/>
      </c>
      <c r="AA1166">
        <f>HYPERLINK("https://klasma.github.io/Logging_2104/klagomål/S 769-2025 FSC-klagomål.docx", "S 769-2025")</f>
        <v/>
      </c>
      <c r="AB1166">
        <f>HYPERLINK("https://klasma.github.io/Logging_2104/klagomålsmail/S 769-2025 FSC-klagomål mail.docx", "S 769-2025")</f>
        <v/>
      </c>
      <c r="AC1166">
        <f>HYPERLINK("https://klasma.github.io/Logging_2104/tillsyn/S 769-2025 tillsynsbegäran.docx", "S 769-2025")</f>
        <v/>
      </c>
      <c r="AD1166">
        <f>HYPERLINK("https://klasma.github.io/Logging_2104/tillsynsmail/S 769-2025 tillsynsbegäran mail.docx", "S 769-2025")</f>
        <v/>
      </c>
      <c r="AE1166">
        <f>HYPERLINK("https://klasma.github.io/Logging_2104/fåglar/S 769-2025 prioriterade fågelarter.docx", "S 769-2025")</f>
        <v/>
      </c>
    </row>
    <row r="1167" ht="15" customHeight="1">
      <c r="A1167" t="inlineStr">
        <is>
          <t>S 1497-2023</t>
        </is>
      </c>
      <c r="B1167" t="inlineStr">
        <is>
          <t>samrådsanmälan</t>
        </is>
      </c>
      <c r="C1167" t="inlineStr">
        <is>
          <t>Skogsgödsling</t>
        </is>
      </c>
      <c r="D1167" s="1" t="n">
        <v>45051</v>
      </c>
      <c r="E1167" s="1" t="n">
        <v>46326</v>
      </c>
      <c r="F1167" t="inlineStr">
        <is>
          <t>GÄVLEBORGS LÄN</t>
        </is>
      </c>
      <c r="G1167" t="inlineStr">
        <is>
          <t>OCKELBO</t>
        </is>
      </c>
      <c r="H1167" t="inlineStr">
        <is>
          <t>Bergvik skog väst AB</t>
        </is>
      </c>
      <c r="I1167" t="n">
        <v>701.6</v>
      </c>
      <c r="J1167" t="n">
        <v>0</v>
      </c>
      <c r="K1167" t="n">
        <v>0</v>
      </c>
      <c r="L1167" t="n">
        <v>0</v>
      </c>
      <c r="M1167" t="n">
        <v>0</v>
      </c>
      <c r="N1167" t="n">
        <v>1</v>
      </c>
      <c r="O1167" t="n">
        <v>0</v>
      </c>
      <c r="P1167" t="n">
        <v>0</v>
      </c>
      <c r="Q1167" t="n">
        <v>1</v>
      </c>
      <c r="R1167" t="n">
        <v>1</v>
      </c>
      <c r="S1167" t="n">
        <v>1</v>
      </c>
      <c r="T1167" t="n">
        <v>1</v>
      </c>
      <c r="U1167" t="n">
        <v>1</v>
      </c>
      <c r="V1167" s="2" t="inlineStr">
        <is>
          <t>Skogsalm</t>
        </is>
      </c>
      <c r="W1167">
        <f>HYPERLINK("https://klasma.github.io/Logging_2101/artfynd/S 1497-2023 artfynd.xlsx", "S 1497-2023")</f>
        <v/>
      </c>
      <c r="X1167">
        <f>HYPERLINK("https://klasma.github.io/Logging_2101/kartor/S 1497-2023 karta.png", "S 1497-2023")</f>
        <v/>
      </c>
      <c r="Y1167">
        <f>HYPERLINK("https://klasma.github.io/Logging_2101/kartor_geotiff/S 1497-2023 georefererad karta.tif", "S 1497-2023")</f>
        <v/>
      </c>
      <c r="AA1167">
        <f>HYPERLINK("https://klasma.github.io/Logging_2101/klagomål/S 1497-2023 FSC-klagomål.docx", "S 1497-2023")</f>
        <v/>
      </c>
      <c r="AB1167">
        <f>HYPERLINK("https://klasma.github.io/Logging_2101/klagomålsmail/S 1497-2023 FSC-klagomål mail.docx", "S 1497-2023")</f>
        <v/>
      </c>
      <c r="AC1167">
        <f>HYPERLINK("https://klasma.github.io/Logging_2101/tillsyn/S 1497-2023 tillsynsbegäran.docx", "S 1497-2023")</f>
        <v/>
      </c>
      <c r="AD1167">
        <f>HYPERLINK("https://klasma.github.io/Logging_2101/tillsynsmail/S 1497-2023 tillsynsbegäran mail.docx", "S 1497-2023")</f>
        <v/>
      </c>
    </row>
    <row r="1168" ht="15" customHeight="1">
      <c r="A1168" t="inlineStr">
        <is>
          <t>S 2821-2025</t>
        </is>
      </c>
      <c r="B1168" t="inlineStr">
        <is>
          <t>samrådsanmälan</t>
        </is>
      </c>
      <c r="C1168" t="inlineStr">
        <is>
          <t>Skogsgödsling</t>
        </is>
      </c>
      <c r="D1168" s="1" t="n">
        <v>45939</v>
      </c>
      <c r="E1168" s="1" t="n">
        <v>46326</v>
      </c>
      <c r="F1168" t="inlineStr">
        <is>
          <t>GÄVLEBORGS LÄN</t>
        </is>
      </c>
      <c r="G1168" t="inlineStr">
        <is>
          <t>LJUSDAL</t>
        </is>
      </c>
      <c r="H1168" t="inlineStr">
        <is>
          <t>Allmännings- och besparingsskogar</t>
        </is>
      </c>
      <c r="I1168" t="n">
        <v>36.4</v>
      </c>
      <c r="J1168" t="n">
        <v>1</v>
      </c>
      <c r="K1168" t="n">
        <v>0</v>
      </c>
      <c r="L1168" t="n">
        <v>0</v>
      </c>
      <c r="M1168" t="n">
        <v>0</v>
      </c>
      <c r="N1168" t="n">
        <v>0</v>
      </c>
      <c r="O1168" t="n">
        <v>0</v>
      </c>
      <c r="P1168" t="n">
        <v>0</v>
      </c>
      <c r="Q1168" t="n">
        <v>0</v>
      </c>
      <c r="R1168" t="n">
        <v>0</v>
      </c>
      <c r="S1168" t="n">
        <v>1</v>
      </c>
      <c r="T1168" t="n">
        <v>1</v>
      </c>
      <c r="U1168" t="n">
        <v>0</v>
      </c>
      <c r="V1168" s="2" t="inlineStr">
        <is>
          <t>Grönsiska</t>
        </is>
      </c>
      <c r="W1168">
        <f>HYPERLINK("https://klasma.github.io/Logging_2161/artfynd/S 2821-2025 artfynd.xlsx", "S 2821-2025")</f>
        <v/>
      </c>
      <c r="X1168">
        <f>HYPERLINK("https://klasma.github.io/Logging_2161/kartor/S 2821-2025 karta.png", "S 2821-2025")</f>
        <v/>
      </c>
      <c r="Y1168">
        <f>HYPERLINK("https://klasma.github.io/Logging_2161/kartor_geotiff/S 2821-2025 georefererad karta.tif", "S 2821-2025")</f>
        <v/>
      </c>
      <c r="AA1168">
        <f>HYPERLINK("https://klasma.github.io/Logging_2161/klagomål/S 2821-2025 FSC-klagomål.docx", "S 2821-2025")</f>
        <v/>
      </c>
      <c r="AB1168">
        <f>HYPERLINK("https://klasma.github.io/Logging_2161/klagomålsmail/S 2821-2025 FSC-klagomål mail.docx", "S 2821-2025")</f>
        <v/>
      </c>
      <c r="AC1168">
        <f>HYPERLINK("https://klasma.github.io/Logging_2161/tillsyn/S 2821-2025 tillsynsbegäran.docx", "S 2821-2025")</f>
        <v/>
      </c>
      <c r="AD1168">
        <f>HYPERLINK("https://klasma.github.io/Logging_2161/tillsynsmail/S 2821-2025 tillsynsbegäran mail.docx", "S 2821-2025")</f>
        <v/>
      </c>
    </row>
    <row r="1169" ht="15" customHeight="1">
      <c r="A1169" t="inlineStr">
        <is>
          <t>S 2824-2025</t>
        </is>
      </c>
      <c r="B1169" t="inlineStr">
        <is>
          <t>samrådsanmälan</t>
        </is>
      </c>
      <c r="C1169" t="inlineStr">
        <is>
          <t>Skogsgödsling</t>
        </is>
      </c>
      <c r="D1169" s="1" t="n">
        <v>45939</v>
      </c>
      <c r="E1169" s="1" t="n">
        <v>46326</v>
      </c>
      <c r="F1169" t="inlineStr">
        <is>
          <t>GÄVLEBORGS LÄN</t>
        </is>
      </c>
      <c r="G1169" t="inlineStr">
        <is>
          <t>LJUSDAL</t>
        </is>
      </c>
      <c r="H1169" t="inlineStr">
        <is>
          <t>Allmännings- och besparingsskogar</t>
        </is>
      </c>
      <c r="I1169" t="n">
        <v>99.90000000000001</v>
      </c>
      <c r="J1169" t="n">
        <v>1</v>
      </c>
      <c r="K1169" t="n">
        <v>0</v>
      </c>
      <c r="L1169" t="n">
        <v>1</v>
      </c>
      <c r="M1169" t="n">
        <v>0</v>
      </c>
      <c r="N1169" t="n">
        <v>0</v>
      </c>
      <c r="O1169" t="n">
        <v>0</v>
      </c>
      <c r="P1169" t="n">
        <v>0</v>
      </c>
      <c r="Q1169" t="n">
        <v>1</v>
      </c>
      <c r="R1169" t="n">
        <v>0</v>
      </c>
      <c r="S1169" t="n">
        <v>1</v>
      </c>
      <c r="T1169" t="n">
        <v>1</v>
      </c>
      <c r="U1169" t="n">
        <v>0</v>
      </c>
      <c r="V1169" s="2" t="inlineStr">
        <is>
          <t>Kungsörn</t>
        </is>
      </c>
      <c r="W1169">
        <f>HYPERLINK("https://klasma.github.io/Logging_2161/artfynd/S 2824-2025 artfynd.xlsx", "S 2824-2025")</f>
        <v/>
      </c>
      <c r="X1169">
        <f>HYPERLINK("https://klasma.github.io/Logging_2161/kartor/S 2824-2025 karta.png", "S 2824-2025")</f>
        <v/>
      </c>
      <c r="Y1169">
        <f>HYPERLINK("https://klasma.github.io/Logging_2161/kartor_geotiff/S 2824-2025 georefererad karta.tif", "S 2824-2025")</f>
        <v/>
      </c>
      <c r="AA1169">
        <f>HYPERLINK("https://klasma.github.io/Logging_2161/klagomål/S 2824-2025 FSC-klagomål.docx", "S 2824-2025")</f>
        <v/>
      </c>
      <c r="AB1169">
        <f>HYPERLINK("https://klasma.github.io/Logging_2161/klagomålsmail/S 2824-2025 FSC-klagomål mail.docx", "S 2824-2025")</f>
        <v/>
      </c>
      <c r="AC1169">
        <f>HYPERLINK("https://klasma.github.io/Logging_2161/tillsyn/S 2824-2025 tillsynsbegäran.docx", "S 2824-2025")</f>
        <v/>
      </c>
      <c r="AD1169">
        <f>HYPERLINK("https://klasma.github.io/Logging_2161/tillsynsmail/S 2824-2025 tillsynsbegäran mail.docx", "S 2824-2025")</f>
        <v/>
      </c>
      <c r="AE1169">
        <f>HYPERLINK("https://klasma.github.io/Logging_2161/fåglar/S 2824-2025 prioriterade fågelarter.docx", "S 2824-2025")</f>
        <v/>
      </c>
    </row>
    <row r="1170" ht="15" customHeight="1">
      <c r="A1170" t="inlineStr">
        <is>
          <t>S 2952-2025</t>
        </is>
      </c>
      <c r="B1170" t="inlineStr">
        <is>
          <t>samrådsanmälan</t>
        </is>
      </c>
      <c r="C1170" t="inlineStr">
        <is>
          <t>Annan skogsbruksåtgärd</t>
        </is>
      </c>
      <c r="D1170" s="1" t="n">
        <v>45952</v>
      </c>
      <c r="E1170" s="1" t="n">
        <v>46326</v>
      </c>
      <c r="F1170" t="inlineStr">
        <is>
          <t>GÄVLEBORGS LÄN</t>
        </is>
      </c>
      <c r="G1170" t="inlineStr">
        <is>
          <t>BOLLNÄS</t>
        </is>
      </c>
      <c r="H1170" t="inlineStr">
        <is>
          <t>Sveaskog</t>
        </is>
      </c>
      <c r="I1170" t="n">
        <v>1.3</v>
      </c>
      <c r="J1170" t="n">
        <v>0</v>
      </c>
      <c r="K1170" t="n">
        <v>0</v>
      </c>
      <c r="L1170" t="n">
        <v>1</v>
      </c>
      <c r="M1170" t="n">
        <v>0</v>
      </c>
      <c r="N1170" t="n">
        <v>0</v>
      </c>
      <c r="O1170" t="n">
        <v>0</v>
      </c>
      <c r="P1170" t="n">
        <v>0</v>
      </c>
      <c r="Q1170" t="n">
        <v>1</v>
      </c>
      <c r="R1170" t="n">
        <v>0</v>
      </c>
      <c r="S1170" t="n">
        <v>1</v>
      </c>
      <c r="T1170" t="n">
        <v>1</v>
      </c>
      <c r="U1170" t="n">
        <v>0</v>
      </c>
      <c r="V1170" s="2" t="inlineStr">
        <is>
          <t>Ullticka</t>
        </is>
      </c>
      <c r="W1170">
        <f>HYPERLINK("https://klasma.github.io/Logging_2183/artfynd/S 2952-2025 artfynd.xlsx", "S 2952-2025")</f>
        <v/>
      </c>
      <c r="X1170">
        <f>HYPERLINK("https://klasma.github.io/Logging_2183/kartor/S 2952-2025 karta.png", "S 2952-2025")</f>
        <v/>
      </c>
      <c r="Y1170">
        <f>HYPERLINK("https://klasma.github.io/Logging_2183/kartor_geotiff/S 2952-2025 georefererad karta.tif", "S 2952-2025")</f>
        <v/>
      </c>
      <c r="AA1170">
        <f>HYPERLINK("https://klasma.github.io/Logging_2183/klagomål/S 2952-2025 FSC-klagomål.docx", "S 2952-2025")</f>
        <v/>
      </c>
      <c r="AB1170">
        <f>HYPERLINK("https://klasma.github.io/Logging_2183/klagomålsmail/S 2952-2025 FSC-klagomål mail.docx", "S 2952-2025")</f>
        <v/>
      </c>
      <c r="AC1170">
        <f>HYPERLINK("https://klasma.github.io/Logging_2183/tillsyn/S 2952-2025 tillsynsbegäran.docx", "S 2952-2025")</f>
        <v/>
      </c>
      <c r="AD1170">
        <f>HYPERLINK("https://klasma.github.io/Logging_2183/tillsynsmail/S 2952-2025 tillsynsbegäran mail.docx", "S 2952-2025")</f>
        <v/>
      </c>
    </row>
    <row r="1171" ht="15" customHeight="1">
      <c r="A1171" t="inlineStr">
        <is>
          <t>S 502-2025</t>
        </is>
      </c>
      <c r="B1171" t="inlineStr">
        <is>
          <t>samrådsanmälan</t>
        </is>
      </c>
      <c r="C1171" t="inlineStr">
        <is>
          <t>Askåterföring</t>
        </is>
      </c>
      <c r="D1171" s="1" t="n">
        <v>45706</v>
      </c>
      <c r="E1171" s="1" t="n">
        <v>46326</v>
      </c>
      <c r="F1171" t="inlineStr">
        <is>
          <t>GÄVLEBORGS LÄN</t>
        </is>
      </c>
      <c r="G1171" t="inlineStr">
        <is>
          <t>HOFORS</t>
        </is>
      </c>
      <c r="H1171" t="inlineStr">
        <is>
          <t>Sveaskog</t>
        </is>
      </c>
      <c r="I1171" t="n">
        <v>20.9</v>
      </c>
      <c r="J1171" t="n">
        <v>0</v>
      </c>
      <c r="K1171" t="n">
        <v>0</v>
      </c>
      <c r="L1171" t="n">
        <v>1</v>
      </c>
      <c r="M1171" t="n">
        <v>0</v>
      </c>
      <c r="N1171" t="n">
        <v>0</v>
      </c>
      <c r="O1171" t="n">
        <v>0</v>
      </c>
      <c r="P1171" t="n">
        <v>0</v>
      </c>
      <c r="Q1171" t="n">
        <v>1</v>
      </c>
      <c r="R1171" t="n">
        <v>0</v>
      </c>
      <c r="S1171" t="n">
        <v>1</v>
      </c>
      <c r="T1171" t="n">
        <v>1</v>
      </c>
      <c r="U1171" t="n">
        <v>0</v>
      </c>
      <c r="V1171" s="2" t="inlineStr">
        <is>
          <t>Skogsklocka</t>
        </is>
      </c>
      <c r="W1171">
        <f>HYPERLINK("https://klasma.github.io/Logging_2104/artfynd/S 502-2025 artfynd.xlsx", "S 502-2025")</f>
        <v/>
      </c>
      <c r="X1171">
        <f>HYPERLINK("https://klasma.github.io/Logging_2104/kartor/S 502-2025 karta.png", "S 502-2025")</f>
        <v/>
      </c>
      <c r="Y1171">
        <f>HYPERLINK("https://klasma.github.io/Logging_2104/kartor_geotiff/S 502-2025 georefererad karta.tif", "S 502-2025")</f>
        <v/>
      </c>
      <c r="AA1171">
        <f>HYPERLINK("https://klasma.github.io/Logging_2104/klagomål/S 502-2025 FSC-klagomål.docx", "S 502-2025")</f>
        <v/>
      </c>
      <c r="AB1171">
        <f>HYPERLINK("https://klasma.github.io/Logging_2104/klagomålsmail/S 502-2025 FSC-klagomål mail.docx", "S 502-2025")</f>
        <v/>
      </c>
      <c r="AC1171">
        <f>HYPERLINK("https://klasma.github.io/Logging_2104/tillsyn/S 502-2025 tillsynsbegäran.docx", "S 502-2025")</f>
        <v/>
      </c>
      <c r="AD1171">
        <f>HYPERLINK("https://klasma.github.io/Logging_2104/tillsynsmail/S 502-2025 tillsynsbegäran mail.docx", "S 502-2025")</f>
        <v/>
      </c>
    </row>
    <row r="1172" ht="15" customHeight="1">
      <c r="A1172" t="inlineStr">
        <is>
          <t>S 3385-2025</t>
        </is>
      </c>
      <c r="B1172" t="inlineStr">
        <is>
          <t>samrådsanmälan</t>
        </is>
      </c>
      <c r="C1172" t="inlineStr">
        <is>
          <t>Skogsgödsling</t>
        </is>
      </c>
      <c r="D1172" s="1" t="n">
        <v>45993</v>
      </c>
      <c r="E1172" s="1" t="n">
        <v>46326</v>
      </c>
      <c r="F1172" t="inlineStr">
        <is>
          <t>GÄVLEBORGS LÄN</t>
        </is>
      </c>
      <c r="G1172" t="inlineStr">
        <is>
          <t>LJUSDAL</t>
        </is>
      </c>
      <c r="I1172" t="n">
        <v>29.7</v>
      </c>
      <c r="J1172" t="n">
        <v>1</v>
      </c>
      <c r="K1172" t="n">
        <v>0</v>
      </c>
      <c r="L1172" t="n">
        <v>1</v>
      </c>
      <c r="M1172" t="n">
        <v>0</v>
      </c>
      <c r="N1172" t="n">
        <v>0</v>
      </c>
      <c r="O1172" t="n">
        <v>0</v>
      </c>
      <c r="P1172" t="n">
        <v>0</v>
      </c>
      <c r="Q1172" t="n">
        <v>1</v>
      </c>
      <c r="R1172" t="n">
        <v>0</v>
      </c>
      <c r="S1172" t="n">
        <v>1</v>
      </c>
      <c r="T1172" t="n">
        <v>2</v>
      </c>
      <c r="U1172" t="n">
        <v>0</v>
      </c>
      <c r="V1172" s="2" t="inlineStr">
        <is>
          <t>Nordfladdermus</t>
        </is>
      </c>
      <c r="W1172">
        <f>HYPERLINK("https://klasma.github.io/Logging_2161/artfynd/S 3385-2025 artfynd.xlsx", "S 3385-2025")</f>
        <v/>
      </c>
      <c r="X1172">
        <f>HYPERLINK("https://klasma.github.io/Logging_2161/kartor/S 3385-2025 karta.png", "S 3385-2025")</f>
        <v/>
      </c>
      <c r="Y1172">
        <f>HYPERLINK("https://klasma.github.io/Logging_2161/kartor_geotiff/S 3385-2025 georefererad karta.tif", "S 3385-2025")</f>
        <v/>
      </c>
      <c r="AA1172">
        <f>HYPERLINK("https://klasma.github.io/Logging_2161/klagomål/S 3385-2025 FSC-klagomål.docx", "S 3385-2025")</f>
        <v/>
      </c>
      <c r="AB1172">
        <f>HYPERLINK("https://klasma.github.io/Logging_2161/klagomålsmail/S 3385-2025 FSC-klagomål mail.docx", "S 3385-2025")</f>
        <v/>
      </c>
      <c r="AC1172">
        <f>HYPERLINK("https://klasma.github.io/Logging_2161/tillsyn/S 3385-2025 tillsynsbegäran.docx", "S 3385-2025")</f>
        <v/>
      </c>
      <c r="AD1172">
        <f>HYPERLINK("https://klasma.github.io/Logging_2161/tillsynsmail/S 3385-2025 tillsynsbegäran mail.docx", "S 3385-2025")</f>
        <v/>
      </c>
    </row>
    <row r="1173" ht="15" customHeight="1">
      <c r="A1173" t="inlineStr">
        <is>
          <t>S 3258-2025</t>
        </is>
      </c>
      <c r="B1173" t="inlineStr">
        <is>
          <t>samrådsanmälan</t>
        </is>
      </c>
      <c r="C1173" t="inlineStr">
        <is>
          <t>Skogsgödsling</t>
        </is>
      </c>
      <c r="D1173" s="1" t="n">
        <v>45982</v>
      </c>
      <c r="E1173" s="1" t="n">
        <v>46326</v>
      </c>
      <c r="F1173" t="inlineStr">
        <is>
          <t>GÄVLEBORGS LÄN</t>
        </is>
      </c>
      <c r="G1173" t="inlineStr">
        <is>
          <t>OCKELBO</t>
        </is>
      </c>
      <c r="H1173" t="inlineStr">
        <is>
          <t>Bergvik skog väst AB</t>
        </is>
      </c>
      <c r="I1173" t="n">
        <v>15.2</v>
      </c>
      <c r="J1173" t="n">
        <v>1</v>
      </c>
      <c r="K1173" t="n">
        <v>0</v>
      </c>
      <c r="L1173" t="n">
        <v>0</v>
      </c>
      <c r="M1173" t="n">
        <v>0</v>
      </c>
      <c r="N1173" t="n">
        <v>0</v>
      </c>
      <c r="O1173" t="n">
        <v>0</v>
      </c>
      <c r="P1173" t="n">
        <v>0</v>
      </c>
      <c r="Q1173" t="n">
        <v>0</v>
      </c>
      <c r="R1173" t="n">
        <v>0</v>
      </c>
      <c r="S1173" t="n">
        <v>1</v>
      </c>
      <c r="T1173" t="n">
        <v>1</v>
      </c>
      <c r="U1173" t="n">
        <v>0</v>
      </c>
      <c r="V1173" s="2" t="inlineStr">
        <is>
          <t>Fläcknycklar</t>
        </is>
      </c>
      <c r="W1173">
        <f>HYPERLINK("https://klasma.github.io/Logging_2101/artfynd/S 3258-2025 artfynd.xlsx", "S 3258-2025")</f>
        <v/>
      </c>
      <c r="X1173">
        <f>HYPERLINK("https://klasma.github.io/Logging_2101/kartor/S 3258-2025 karta.png", "S 3258-2025")</f>
        <v/>
      </c>
      <c r="Y1173">
        <f>HYPERLINK("https://klasma.github.io/Logging_2101/kartor_geotiff/S 3258-2025 georefererad karta.tif", "S 3258-2025")</f>
        <v/>
      </c>
      <c r="AA1173">
        <f>HYPERLINK("https://klasma.github.io/Logging_2101/klagomål/S 3258-2025 FSC-klagomål.docx", "S 3258-2025")</f>
        <v/>
      </c>
      <c r="AB1173">
        <f>HYPERLINK("https://klasma.github.io/Logging_2101/klagomålsmail/S 3258-2025 FSC-klagomål mail.docx", "S 3258-2025")</f>
        <v/>
      </c>
      <c r="AC1173">
        <f>HYPERLINK("https://klasma.github.io/Logging_2101/tillsyn/S 3258-2025 tillsynsbegäran.docx", "S 3258-2025")</f>
        <v/>
      </c>
      <c r="AD1173">
        <f>HYPERLINK("https://klasma.github.io/Logging_2101/tillsynsmail/S 3258-2025 tillsynsbegäran mail.docx", "S 3258-2025")</f>
        <v/>
      </c>
    </row>
    <row r="1174" ht="15" customHeight="1">
      <c r="A1174" t="inlineStr">
        <is>
          <t>S 3581-2025</t>
        </is>
      </c>
      <c r="B1174" t="inlineStr">
        <is>
          <t>samrådsanmälan</t>
        </is>
      </c>
      <c r="C1174" t="inlineStr">
        <is>
          <t>Annan skogsbruksåtgärd</t>
        </is>
      </c>
      <c r="D1174" s="1" t="n">
        <v>46019</v>
      </c>
      <c r="E1174" s="1" t="n">
        <v>46326</v>
      </c>
      <c r="F1174" t="inlineStr">
        <is>
          <t>GÄVLEBORGS LÄN</t>
        </is>
      </c>
      <c r="G1174" t="inlineStr">
        <is>
          <t>OCKELBO</t>
        </is>
      </c>
      <c r="I1174" t="n">
        <v>3.9</v>
      </c>
      <c r="J1174" t="n">
        <v>0</v>
      </c>
      <c r="K1174" t="n">
        <v>0</v>
      </c>
      <c r="L1174" t="n">
        <v>1</v>
      </c>
      <c r="M1174" t="n">
        <v>0</v>
      </c>
      <c r="N1174" t="n">
        <v>0</v>
      </c>
      <c r="O1174" t="n">
        <v>0</v>
      </c>
      <c r="P1174" t="n">
        <v>0</v>
      </c>
      <c r="Q1174" t="n">
        <v>1</v>
      </c>
      <c r="R1174" t="n">
        <v>0</v>
      </c>
      <c r="S1174" t="n">
        <v>1</v>
      </c>
      <c r="T1174" t="n">
        <v>1</v>
      </c>
      <c r="U1174" t="n">
        <v>0</v>
      </c>
      <c r="V1174" s="2" t="inlineStr">
        <is>
          <t>Gullpudra</t>
        </is>
      </c>
      <c r="W1174">
        <f>HYPERLINK("https://klasma.github.io/Logging_2101/artfynd/S 3581-2025 artfynd.xlsx", "S 3581-2025")</f>
        <v/>
      </c>
      <c r="X1174">
        <f>HYPERLINK("https://klasma.github.io/Logging_2101/kartor/S 3581-2025 karta.png", "S 3581-2025")</f>
        <v/>
      </c>
      <c r="Y1174">
        <f>HYPERLINK("https://klasma.github.io/Logging_2101/kartor_geotiff/S 3581-2025 georefererad karta.tif", "S 3581-2025")</f>
        <v/>
      </c>
      <c r="AA1174">
        <f>HYPERLINK("https://klasma.github.io/Logging_2101/klagomål/S 3581-2025 FSC-klagomål.docx", "S 3581-2025")</f>
        <v/>
      </c>
      <c r="AB1174">
        <f>HYPERLINK("https://klasma.github.io/Logging_2101/klagomålsmail/S 3581-2025 FSC-klagomål mail.docx", "S 3581-2025")</f>
        <v/>
      </c>
      <c r="AC1174">
        <f>HYPERLINK("https://klasma.github.io/Logging_2101/tillsyn/S 3581-2025 tillsynsbegäran.docx", "S 3581-2025")</f>
        <v/>
      </c>
      <c r="AD1174">
        <f>HYPERLINK("https://klasma.github.io/Logging_2101/tillsynsmail/S 3581-2025 tillsynsbegäran mail.docx", "S 3581-2025")</f>
        <v/>
      </c>
    </row>
    <row r="1175" ht="15" customHeight="1">
      <c r="A1175" t="inlineStr">
        <is>
          <t>S 79-2026</t>
        </is>
      </c>
      <c r="B1175" t="inlineStr">
        <is>
          <t>samrådsanmälan</t>
        </is>
      </c>
      <c r="C1175" t="inlineStr">
        <is>
          <t>Annan skogsbruksåtgärd</t>
        </is>
      </c>
      <c r="D1175" s="1" t="n">
        <v>46035</v>
      </c>
      <c r="E1175" s="1" t="n">
        <v>46326</v>
      </c>
      <c r="F1175" t="inlineStr">
        <is>
          <t>GÄVLEBORGS LÄN</t>
        </is>
      </c>
      <c r="G1175" t="inlineStr">
        <is>
          <t>HUDIKSVALL</t>
        </is>
      </c>
      <c r="I1175" t="n">
        <v>1.6</v>
      </c>
      <c r="J1175" t="n">
        <v>0</v>
      </c>
      <c r="K1175" t="n">
        <v>0</v>
      </c>
      <c r="L1175" t="n">
        <v>1</v>
      </c>
      <c r="M1175" t="n">
        <v>0</v>
      </c>
      <c r="N1175" t="n">
        <v>0</v>
      </c>
      <c r="O1175" t="n">
        <v>0</v>
      </c>
      <c r="P1175" t="n">
        <v>0</v>
      </c>
      <c r="Q1175" t="n">
        <v>1</v>
      </c>
      <c r="R1175" t="n">
        <v>0</v>
      </c>
      <c r="S1175" t="n">
        <v>1</v>
      </c>
      <c r="T1175" t="n">
        <v>1</v>
      </c>
      <c r="U1175" t="n">
        <v>0</v>
      </c>
      <c r="V1175" s="2" t="inlineStr">
        <is>
          <t>Rosenticka</t>
        </is>
      </c>
      <c r="W1175">
        <f>HYPERLINK("https://klasma.github.io/Logging_2184/artfynd/S 79-2026 artfynd.xlsx", "S 79-2026")</f>
        <v/>
      </c>
      <c r="X1175">
        <f>HYPERLINK("https://klasma.github.io/Logging_2184/kartor/S 79-2026 karta.png", "S 79-2026")</f>
        <v/>
      </c>
      <c r="Y1175">
        <f>HYPERLINK("https://klasma.github.io/Logging_2184/kartor_geotiff/S 79-2026 georefererad karta.tif", "S 79-2026")</f>
        <v/>
      </c>
      <c r="AA1175">
        <f>HYPERLINK("https://klasma.github.io/Logging_2184/klagomål/S 79-2026 FSC-klagomål.docx", "S 79-2026")</f>
        <v/>
      </c>
      <c r="AB1175">
        <f>HYPERLINK("https://klasma.github.io/Logging_2184/klagomålsmail/S 79-2026 FSC-klagomål mail.docx", "S 79-2026")</f>
        <v/>
      </c>
      <c r="AC1175">
        <f>HYPERLINK("https://klasma.github.io/Logging_2184/tillsyn/S 79-2026 tillsynsbegäran.docx", "S 79-2026")</f>
        <v/>
      </c>
      <c r="AD1175">
        <f>HYPERLINK("https://klasma.github.io/Logging_2184/tillsynsmail/S 79-2026 tillsynsbegäran mail.docx", "S 79-2026")</f>
        <v/>
      </c>
    </row>
    <row r="1176" ht="15" customHeight="1">
      <c r="A1176" t="inlineStr">
        <is>
          <t>S 952-2026</t>
        </is>
      </c>
      <c r="B1176" t="inlineStr">
        <is>
          <t>samrådsanmälan</t>
        </is>
      </c>
      <c r="C1176" t="inlineStr">
        <is>
          <t>Annan skogsbruksåtgärd</t>
        </is>
      </c>
      <c r="D1176" s="1" t="n">
        <v>46113</v>
      </c>
      <c r="E1176" s="1" t="n">
        <v>46326</v>
      </c>
      <c r="F1176" t="inlineStr">
        <is>
          <t>GÄVLEBORGS LÄN</t>
        </is>
      </c>
      <c r="G1176" t="inlineStr">
        <is>
          <t>GÄVLE</t>
        </is>
      </c>
      <c r="I1176" t="n">
        <v>1</v>
      </c>
      <c r="J1176" t="n">
        <v>1</v>
      </c>
      <c r="K1176" t="n">
        <v>0</v>
      </c>
      <c r="L1176" t="n">
        <v>0</v>
      </c>
      <c r="M1176" t="n">
        <v>0</v>
      </c>
      <c r="N1176" t="n">
        <v>1</v>
      </c>
      <c r="O1176" t="n">
        <v>0</v>
      </c>
      <c r="P1176" t="n">
        <v>0</v>
      </c>
      <c r="Q1176" t="n">
        <v>1</v>
      </c>
      <c r="R1176" t="n">
        <v>1</v>
      </c>
      <c r="S1176" t="n">
        <v>1</v>
      </c>
      <c r="T1176" t="n">
        <v>3</v>
      </c>
      <c r="U1176" t="n">
        <v>0</v>
      </c>
      <c r="V1176" s="2" t="inlineStr">
        <is>
          <t>Mosippa</t>
        </is>
      </c>
      <c r="W1176">
        <f>HYPERLINK("https://klasma.github.io/Logging_2180/artfynd/S 952-2026 artfynd.xlsx", "S 952-2026")</f>
        <v/>
      </c>
      <c r="X1176">
        <f>HYPERLINK("https://klasma.github.io/Logging_2180/kartor/S 952-2026 karta.png", "S 952-2026")</f>
        <v/>
      </c>
      <c r="Y1176">
        <f>HYPERLINK("https://klasma.github.io/Logging_2180/kartor_geotiff/S 952-2026 georefererad karta.tif", "S 952-2026")</f>
        <v/>
      </c>
      <c r="AA1176">
        <f>HYPERLINK("https://klasma.github.io/Logging_2180/klagomål/S 952-2026 FSC-klagomål.docx", "S 952-2026")</f>
        <v/>
      </c>
      <c r="AB1176">
        <f>HYPERLINK("https://klasma.github.io/Logging_2180/klagomålsmail/S 952-2026 FSC-klagomål mail.docx", "S 952-2026")</f>
        <v/>
      </c>
      <c r="AC1176">
        <f>HYPERLINK("https://klasma.github.io/Logging_2180/tillsyn/S 952-2026 tillsynsbegäran.docx", "S 952-2026")</f>
        <v/>
      </c>
      <c r="AD1176">
        <f>HYPERLINK("https://klasma.github.io/Logging_2180/tillsynsmail/S 952-2026 tillsynsbegäran mail.docx", "S 952-2026")</f>
        <v/>
      </c>
    </row>
    <row r="1177" ht="15" customHeight="1">
      <c r="A1177" t="inlineStr">
        <is>
          <t>S 1025-2026</t>
        </is>
      </c>
      <c r="B1177" t="inlineStr">
        <is>
          <t>samrådsanmälan</t>
        </is>
      </c>
      <c r="C1177" t="inlineStr">
        <is>
          <t>Askåterföring</t>
        </is>
      </c>
      <c r="D1177" s="1" t="n">
        <v>46122</v>
      </c>
      <c r="E1177" s="1" t="n">
        <v>46326</v>
      </c>
      <c r="F1177" t="inlineStr">
        <is>
          <t>GÄVLEBORGS LÄN</t>
        </is>
      </c>
      <c r="G1177" t="inlineStr">
        <is>
          <t>SANDVIKEN</t>
        </is>
      </c>
      <c r="H1177" t="inlineStr">
        <is>
          <t>Sveaskog</t>
        </is>
      </c>
      <c r="I1177" t="n">
        <v>62.8</v>
      </c>
      <c r="J1177" t="n">
        <v>1</v>
      </c>
      <c r="K1177" t="n">
        <v>0</v>
      </c>
      <c r="L1177" t="n">
        <v>1</v>
      </c>
      <c r="M1177" t="n">
        <v>0</v>
      </c>
      <c r="N1177" t="n">
        <v>0</v>
      </c>
      <c r="O1177" t="n">
        <v>0</v>
      </c>
      <c r="P1177" t="n">
        <v>0</v>
      </c>
      <c r="Q1177" t="n">
        <v>1</v>
      </c>
      <c r="R1177" t="n">
        <v>0</v>
      </c>
      <c r="S1177" t="n">
        <v>1</v>
      </c>
      <c r="T1177" t="n">
        <v>1</v>
      </c>
      <c r="U1177" t="n">
        <v>0</v>
      </c>
      <c r="V1177" s="2" t="inlineStr">
        <is>
          <t>Bivråk</t>
        </is>
      </c>
      <c r="W1177">
        <f>HYPERLINK("https://klasma.github.io/Logging_2181/artfynd/S 1025-2026 artfynd.xlsx", "S 1025-2026")</f>
        <v/>
      </c>
      <c r="X1177">
        <f>HYPERLINK("https://klasma.github.io/Logging_2181/kartor/S 1025-2026 karta.png", "S 1025-2026")</f>
        <v/>
      </c>
      <c r="Y1177">
        <f>HYPERLINK("https://klasma.github.io/Logging_2181/kartor_geotiff/S 1025-2026 georefererad karta.tif", "S 1025-2026")</f>
        <v/>
      </c>
      <c r="AA1177">
        <f>HYPERLINK("https://klasma.github.io/Logging_2181/klagomål/S 1025-2026 FSC-klagomål.docx", "S 1025-2026")</f>
        <v/>
      </c>
      <c r="AB1177">
        <f>HYPERLINK("https://klasma.github.io/Logging_2181/klagomålsmail/S 1025-2026 FSC-klagomål mail.docx", "S 1025-2026")</f>
        <v/>
      </c>
      <c r="AC1177">
        <f>HYPERLINK("https://klasma.github.io/Logging_2181/tillsyn/S 1025-2026 tillsynsbegäran.docx", "S 1025-2026")</f>
        <v/>
      </c>
      <c r="AD1177">
        <f>HYPERLINK("https://klasma.github.io/Logging_2181/tillsynsmail/S 1025-2026 tillsynsbegäran mail.docx", "S 1025-2026")</f>
        <v/>
      </c>
      <c r="AE1177">
        <f>HYPERLINK("https://klasma.github.io/Logging_2181/fåglar/S 1025-2026 prioriterade fågelarter.docx", "S 1025-2026")</f>
        <v/>
      </c>
    </row>
    <row r="1178" ht="15" customHeight="1">
      <c r="A1178" t="inlineStr">
        <is>
          <t>S 1648-2026</t>
        </is>
      </c>
      <c r="B1178" t="inlineStr">
        <is>
          <t>samrådsanmälan</t>
        </is>
      </c>
      <c r="C1178" t="inlineStr">
        <is>
          <t>Annan skogsbruksåtgärd</t>
        </is>
      </c>
      <c r="D1178" s="1" t="n">
        <v>46178</v>
      </c>
      <c r="E1178" s="1" t="n">
        <v>46326</v>
      </c>
      <c r="F1178" t="inlineStr">
        <is>
          <t>GÄVLEBORGS LÄN</t>
        </is>
      </c>
      <c r="G1178" t="inlineStr">
        <is>
          <t>LJUSDAL</t>
        </is>
      </c>
      <c r="H1178" t="inlineStr">
        <is>
          <t>Sveaskog</t>
        </is>
      </c>
      <c r="I1178" t="n">
        <v>4</v>
      </c>
      <c r="J1178" t="n">
        <v>0</v>
      </c>
      <c r="K1178" t="n">
        <v>0</v>
      </c>
      <c r="L1178" t="n">
        <v>1</v>
      </c>
      <c r="M1178" t="n">
        <v>0</v>
      </c>
      <c r="N1178" t="n">
        <v>0</v>
      </c>
      <c r="O1178" t="n">
        <v>0</v>
      </c>
      <c r="P1178" t="n">
        <v>0</v>
      </c>
      <c r="Q1178" t="n">
        <v>1</v>
      </c>
      <c r="R1178" t="n">
        <v>0</v>
      </c>
      <c r="S1178" t="n">
        <v>1</v>
      </c>
      <c r="T1178" t="n">
        <v>4</v>
      </c>
      <c r="U1178" t="n">
        <v>4</v>
      </c>
      <c r="V1178" s="2" t="inlineStr">
        <is>
          <t>Lunglav</t>
        </is>
      </c>
      <c r="W1178">
        <f>HYPERLINK("https://klasma.github.io/Logging_2161/artfynd/S 1648-2026 artfynd.xlsx", "S 1648-2026")</f>
        <v/>
      </c>
      <c r="X1178">
        <f>HYPERLINK("https://klasma.github.io/Logging_2161/kartor/S 1648-2026 karta.png", "S 1648-2026")</f>
        <v/>
      </c>
      <c r="Y1178">
        <f>HYPERLINK("https://klasma.github.io/Logging_2161/kartor_geotiff/S 1648-2026 georefererad karta.tif", "S 1648-2026")</f>
        <v/>
      </c>
      <c r="AA1178">
        <f>HYPERLINK("https://klasma.github.io/Logging_2161/klagomål/S 1648-2026 FSC-klagomål.docx", "S 1648-2026")</f>
        <v/>
      </c>
      <c r="AB1178">
        <f>HYPERLINK("https://klasma.github.io/Logging_2161/klagomålsmail/S 1648-2026 FSC-klagomål mail.docx", "S 1648-2026")</f>
        <v/>
      </c>
      <c r="AC1178">
        <f>HYPERLINK("https://klasma.github.io/Logging_2161/tillsyn/S 1648-2026 tillsynsbegäran.docx", "S 1648-2026")</f>
        <v/>
      </c>
      <c r="AD1178">
        <f>HYPERLINK("https://klasma.github.io/Logging_2161/tillsynsmail/S 1648-2026 tillsynsbegäran mail.docx", "S 1648-2026")</f>
        <v/>
      </c>
    </row>
    <row r="1179" ht="15" customHeight="1">
      <c r="A1179" t="inlineStr">
        <is>
          <t>A 30629-2022</t>
        </is>
      </c>
      <c r="B1179" t="inlineStr">
        <is>
          <t>avverkningsanmälan</t>
        </is>
      </c>
      <c r="C1179" t="inlineStr">
        <is>
          <t>Föryngringsavverkning</t>
        </is>
      </c>
      <c r="D1179" s="1" t="n">
        <v>44763</v>
      </c>
      <c r="E1179" s="1" t="n">
        <v>46326</v>
      </c>
      <c r="F1179" t="inlineStr">
        <is>
          <t>GÄVLEBORGS LÄN</t>
        </is>
      </c>
      <c r="G1179" t="inlineStr">
        <is>
          <t>LJUSDAL</t>
        </is>
      </c>
      <c r="H1179" t="inlineStr">
        <is>
          <t>Sveaskog</t>
        </is>
      </c>
      <c r="I1179" t="n">
        <v>1.2</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24470-2022</t>
        </is>
      </c>
      <c r="B1180" t="inlineStr">
        <is>
          <t>avverkningsanmälan</t>
        </is>
      </c>
      <c r="C1180" t="inlineStr">
        <is>
          <t>Föryngringsavverkning</t>
        </is>
      </c>
      <c r="D1180" s="1" t="n">
        <v>44726</v>
      </c>
      <c r="E1180" s="1" t="n">
        <v>46326</v>
      </c>
      <c r="F1180" t="inlineStr">
        <is>
          <t>GÄVLEBORGS LÄN</t>
        </is>
      </c>
      <c r="G1180" t="inlineStr">
        <is>
          <t>HUDIKSVALL</t>
        </is>
      </c>
      <c r="I1180" t="n">
        <v>1.3</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25394-2022</t>
        </is>
      </c>
      <c r="B1181" t="inlineStr">
        <is>
          <t>avverkningsanmälan</t>
        </is>
      </c>
      <c r="C1181" t="inlineStr">
        <is>
          <t>Föryngringsavverkning</t>
        </is>
      </c>
      <c r="D1181" s="1" t="n">
        <v>44732</v>
      </c>
      <c r="E1181" s="1" t="n">
        <v>46326</v>
      </c>
      <c r="F1181" t="inlineStr">
        <is>
          <t>GÄVLEBORGS LÄN</t>
        </is>
      </c>
      <c r="G1181" t="inlineStr">
        <is>
          <t>OVANÅKER</t>
        </is>
      </c>
      <c r="I1181" t="n">
        <v>0.3</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51162-2022</t>
        </is>
      </c>
      <c r="B1182" t="inlineStr">
        <is>
          <t>avverkningsanmälan</t>
        </is>
      </c>
      <c r="C1182" t="inlineStr">
        <is>
          <t>Föryngringsavverkning</t>
        </is>
      </c>
      <c r="D1182" s="1" t="n">
        <v>44868</v>
      </c>
      <c r="E1182" s="1" t="n">
        <v>46326</v>
      </c>
      <c r="F1182" t="inlineStr">
        <is>
          <t>GÄVLEBORGS LÄN</t>
        </is>
      </c>
      <c r="G1182" t="inlineStr">
        <is>
          <t>SANDVIKEN</t>
        </is>
      </c>
      <c r="I1182" t="n">
        <v>0.8</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51205-2022</t>
        </is>
      </c>
      <c r="B1183" t="inlineStr">
        <is>
          <t>avverkningsanmälan</t>
        </is>
      </c>
      <c r="C1183" t="inlineStr">
        <is>
          <t>Föryngringsavverkning</t>
        </is>
      </c>
      <c r="D1183" s="1" t="n">
        <v>44868</v>
      </c>
      <c r="E1183" s="1" t="n">
        <v>46326</v>
      </c>
      <c r="F1183" t="inlineStr">
        <is>
          <t>GÄVLEBORGS LÄN</t>
        </is>
      </c>
      <c r="G1183" t="inlineStr">
        <is>
          <t>HOFORS</t>
        </is>
      </c>
      <c r="H1183" t="inlineStr">
        <is>
          <t>Sveaskog</t>
        </is>
      </c>
      <c r="I1183" t="n">
        <v>10</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51237-2022</t>
        </is>
      </c>
      <c r="B1184" t="inlineStr">
        <is>
          <t>avverkningsanmälan</t>
        </is>
      </c>
      <c r="C1184" t="inlineStr">
        <is>
          <t>Föryngringsavverkning</t>
        </is>
      </c>
      <c r="D1184" s="1" t="n">
        <v>44868</v>
      </c>
      <c r="E1184" s="1" t="n">
        <v>46326</v>
      </c>
      <c r="F1184" t="inlineStr">
        <is>
          <t>GÄVLEBORGS LÄN</t>
        </is>
      </c>
      <c r="G1184" t="inlineStr">
        <is>
          <t>OVANÅKER</t>
        </is>
      </c>
      <c r="I1184" t="n">
        <v>6.5</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53069-2022</t>
        </is>
      </c>
      <c r="B1185" t="inlineStr">
        <is>
          <t>avverkningsanmälan</t>
        </is>
      </c>
      <c r="C1185" t="inlineStr">
        <is>
          <t>Föryngringsavverkning</t>
        </is>
      </c>
      <c r="D1185" s="1" t="n">
        <v>44876</v>
      </c>
      <c r="E1185" s="1" t="n">
        <v>46326</v>
      </c>
      <c r="F1185" t="inlineStr">
        <is>
          <t>GÄVLEBORGS LÄN</t>
        </is>
      </c>
      <c r="G1185" t="inlineStr">
        <is>
          <t>BOLLNÄS</t>
        </is>
      </c>
      <c r="H1185" t="inlineStr">
        <is>
          <t>Bergvik skog väst AB</t>
        </is>
      </c>
      <c r="I1185" t="n">
        <v>0.7</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52842-2022</t>
        </is>
      </c>
      <c r="B1186" t="inlineStr">
        <is>
          <t>avverkningsanmälan</t>
        </is>
      </c>
      <c r="C1186" t="inlineStr">
        <is>
          <t>Avverkning för annat ändamål</t>
        </is>
      </c>
      <c r="D1186" s="1" t="n">
        <v>44875</v>
      </c>
      <c r="E1186" s="1" t="n">
        <v>46326</v>
      </c>
      <c r="F1186" t="inlineStr">
        <is>
          <t>GÄVLEBORGS LÄN</t>
        </is>
      </c>
      <c r="G1186" t="inlineStr">
        <is>
          <t>LJUSDAL</t>
        </is>
      </c>
      <c r="I1186" t="n">
        <v>0.6</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64152-2021</t>
        </is>
      </c>
      <c r="B1187" t="inlineStr">
        <is>
          <t>avverkningsanmälan</t>
        </is>
      </c>
      <c r="C1187" t="inlineStr">
        <is>
          <t>Föryngringsavverkning</t>
        </is>
      </c>
      <c r="D1187" s="1" t="n">
        <v>44510</v>
      </c>
      <c r="E1187" s="1" t="n">
        <v>46326</v>
      </c>
      <c r="F1187" t="inlineStr">
        <is>
          <t>GÄVLEBORGS LÄN</t>
        </is>
      </c>
      <c r="G1187" t="inlineStr">
        <is>
          <t>SÖDERHAMN</t>
        </is>
      </c>
      <c r="H1187" t="inlineStr">
        <is>
          <t>Bergvik skog väst AB</t>
        </is>
      </c>
      <c r="I1187" t="n">
        <v>2.6</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63086-2021</t>
        </is>
      </c>
      <c r="B1188" t="inlineStr">
        <is>
          <t>avverkningsanmälan</t>
        </is>
      </c>
      <c r="C1188" t="inlineStr">
        <is>
          <t>Föryngringsavverkning</t>
        </is>
      </c>
      <c r="D1188" s="1" t="n">
        <v>44505</v>
      </c>
      <c r="E1188" s="1" t="n">
        <v>46326</v>
      </c>
      <c r="F1188" t="inlineStr">
        <is>
          <t>GÄVLEBORGS LÄN</t>
        </is>
      </c>
      <c r="G1188" t="inlineStr">
        <is>
          <t>SANDVIKEN</t>
        </is>
      </c>
      <c r="I1188" t="n">
        <v>1.9</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5810-2022</t>
        </is>
      </c>
      <c r="B1189" t="inlineStr">
        <is>
          <t>avverkningsanmälan</t>
        </is>
      </c>
      <c r="C1189" t="inlineStr">
        <is>
          <t>Föryngringsavverkning</t>
        </is>
      </c>
      <c r="D1189" s="1" t="n">
        <v>44596</v>
      </c>
      <c r="E1189" s="1" t="n">
        <v>46326</v>
      </c>
      <c r="F1189" t="inlineStr">
        <is>
          <t>GÄVLEBORGS LÄN</t>
        </is>
      </c>
      <c r="G1189" t="inlineStr">
        <is>
          <t>BOLLNÄS</t>
        </is>
      </c>
      <c r="I1189" t="n">
        <v>1.1</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7548-2022</t>
        </is>
      </c>
      <c r="B1190" t="inlineStr">
        <is>
          <t>avverkningsanmälan</t>
        </is>
      </c>
      <c r="C1190" t="inlineStr">
        <is>
          <t>Föryngringsavverkning</t>
        </is>
      </c>
      <c r="D1190" s="1" t="n">
        <v>44607</v>
      </c>
      <c r="E1190" s="1" t="n">
        <v>46326</v>
      </c>
      <c r="F1190" t="inlineStr">
        <is>
          <t>GÄVLEBORGS LÄN</t>
        </is>
      </c>
      <c r="G1190" t="inlineStr">
        <is>
          <t>HUDIKSVALL</t>
        </is>
      </c>
      <c r="I1190" t="n">
        <v>1.2</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541-2022</t>
        </is>
      </c>
      <c r="B1191" t="inlineStr">
        <is>
          <t>avverkningsanmälan</t>
        </is>
      </c>
      <c r="C1191" t="inlineStr">
        <is>
          <t>Föryngringsavverkning</t>
        </is>
      </c>
      <c r="D1191" s="1" t="n">
        <v>44566</v>
      </c>
      <c r="E1191" s="1" t="n">
        <v>46326</v>
      </c>
      <c r="F1191" t="inlineStr">
        <is>
          <t>GÄVLEBORGS LÄN</t>
        </is>
      </c>
      <c r="G1191" t="inlineStr">
        <is>
          <t>BOLLNÄS</t>
        </is>
      </c>
      <c r="I1191" t="n">
        <v>1.3</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522-2022</t>
        </is>
      </c>
      <c r="B1192" t="inlineStr">
        <is>
          <t>avverkningsanmälan</t>
        </is>
      </c>
      <c r="C1192" t="inlineStr">
        <is>
          <t>Föryngringsavverkning</t>
        </is>
      </c>
      <c r="D1192" s="1" t="n">
        <v>44566</v>
      </c>
      <c r="E1192" s="1" t="n">
        <v>46326</v>
      </c>
      <c r="F1192" t="inlineStr">
        <is>
          <t>GÄVLEBORGS LÄN</t>
        </is>
      </c>
      <c r="G1192" t="inlineStr">
        <is>
          <t>BOLLNÄS</t>
        </is>
      </c>
      <c r="I1192" t="n">
        <v>1.8</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66494-2021</t>
        </is>
      </c>
      <c r="B1193" t="inlineStr">
        <is>
          <t>avverkningsanmälan</t>
        </is>
      </c>
      <c r="C1193" t="inlineStr">
        <is>
          <t>Föryngringsavverkning</t>
        </is>
      </c>
      <c r="D1193" s="1" t="n">
        <v>44519</v>
      </c>
      <c r="E1193" s="1" t="n">
        <v>46326</v>
      </c>
      <c r="F1193" t="inlineStr">
        <is>
          <t>GÄVLEBORGS LÄN</t>
        </is>
      </c>
      <c r="G1193" t="inlineStr">
        <is>
          <t>GÄVLE</t>
        </is>
      </c>
      <c r="I1193" t="n">
        <v>1.3</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63149-2021</t>
        </is>
      </c>
      <c r="B1194" t="inlineStr">
        <is>
          <t>avverkningsanmälan</t>
        </is>
      </c>
      <c r="C1194" t="inlineStr">
        <is>
          <t>Föryngringsavverkning</t>
        </is>
      </c>
      <c r="D1194" s="1" t="n">
        <v>44505</v>
      </c>
      <c r="E1194" s="1" t="n">
        <v>46326</v>
      </c>
      <c r="F1194" t="inlineStr">
        <is>
          <t>GÄVLEBORGS LÄN</t>
        </is>
      </c>
      <c r="G1194" t="inlineStr">
        <is>
          <t>LJUSDAL</t>
        </is>
      </c>
      <c r="I1194" t="n">
        <v>0.9</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33049-2022</t>
        </is>
      </c>
      <c r="B1195" t="inlineStr">
        <is>
          <t>avverkningsanmälan</t>
        </is>
      </c>
      <c r="C1195" t="inlineStr">
        <is>
          <t>Föryngringsavverkning</t>
        </is>
      </c>
      <c r="D1195" s="1" t="n">
        <v>44785</v>
      </c>
      <c r="E1195" s="1" t="n">
        <v>46326</v>
      </c>
      <c r="F1195" t="inlineStr">
        <is>
          <t>GÄVLEBORGS LÄN</t>
        </is>
      </c>
      <c r="G1195" t="inlineStr">
        <is>
          <t>BOLLNÄS</t>
        </is>
      </c>
      <c r="H1195" t="inlineStr">
        <is>
          <t>Kyrkan</t>
        </is>
      </c>
      <c r="I1195" t="n">
        <v>0.5</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34116-2022</t>
        </is>
      </c>
      <c r="B1196" t="inlineStr">
        <is>
          <t>avverkningsanmälan</t>
        </is>
      </c>
      <c r="C1196" t="inlineStr">
        <is>
          <t>Föryngringsavverkning</t>
        </is>
      </c>
      <c r="D1196" s="1" t="n">
        <v>44791</v>
      </c>
      <c r="E1196" s="1" t="n">
        <v>46326</v>
      </c>
      <c r="F1196" t="inlineStr">
        <is>
          <t>GÄVLEBORGS LÄN</t>
        </is>
      </c>
      <c r="G1196" t="inlineStr">
        <is>
          <t>HUDIKSVALL</t>
        </is>
      </c>
      <c r="H1196" t="inlineStr">
        <is>
          <t>Holmen skog AB</t>
        </is>
      </c>
      <c r="I1196" t="n">
        <v>1.7</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41960-2022</t>
        </is>
      </c>
      <c r="B1197" t="inlineStr">
        <is>
          <t>avverkningsanmälan</t>
        </is>
      </c>
      <c r="C1197" t="inlineStr">
        <is>
          <t>Föryngringsavverkning</t>
        </is>
      </c>
      <c r="D1197" s="1" t="n">
        <v>44830</v>
      </c>
      <c r="E1197" s="1" t="n">
        <v>46326</v>
      </c>
      <c r="F1197" t="inlineStr">
        <is>
          <t>GÄVLEBORGS LÄN</t>
        </is>
      </c>
      <c r="G1197" t="inlineStr">
        <is>
          <t>BOLLNÄS</t>
        </is>
      </c>
      <c r="I1197" t="n">
        <v>0.5</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41161-2022</t>
        </is>
      </c>
      <c r="B1198" t="inlineStr">
        <is>
          <t>avverkningsanmälan</t>
        </is>
      </c>
      <c r="C1198" t="inlineStr">
        <is>
          <t>Avverkning för annat ändamål</t>
        </is>
      </c>
      <c r="D1198" s="1" t="n">
        <v>44825</v>
      </c>
      <c r="E1198" s="1" t="n">
        <v>46326</v>
      </c>
      <c r="F1198" t="inlineStr">
        <is>
          <t>GÄVLEBORGS LÄN</t>
        </is>
      </c>
      <c r="G1198" t="inlineStr">
        <is>
          <t>NORDANSTIG</t>
        </is>
      </c>
      <c r="I1198" t="n">
        <v>4.8</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28757-2022</t>
        </is>
      </c>
      <c r="B1199" t="inlineStr">
        <is>
          <t>avverkningsanmälan</t>
        </is>
      </c>
      <c r="C1199" t="inlineStr">
        <is>
          <t>Föryngringsavverkning</t>
        </is>
      </c>
      <c r="D1199" s="1" t="n">
        <v>44749</v>
      </c>
      <c r="E1199" s="1" t="n">
        <v>46326</v>
      </c>
      <c r="F1199" t="inlineStr">
        <is>
          <t>GÄVLEBORGS LÄN</t>
        </is>
      </c>
      <c r="G1199" t="inlineStr">
        <is>
          <t>GÄVLE</t>
        </is>
      </c>
      <c r="I1199" t="n">
        <v>8.6</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31531-2022</t>
        </is>
      </c>
      <c r="B1200" t="inlineStr">
        <is>
          <t>avverkningsanmälan</t>
        </is>
      </c>
      <c r="C1200" t="inlineStr">
        <is>
          <t>Föryngringsavverkning</t>
        </is>
      </c>
      <c r="D1200" s="1" t="n">
        <v>44775</v>
      </c>
      <c r="E1200" s="1" t="n">
        <v>46326</v>
      </c>
      <c r="F1200" t="inlineStr">
        <is>
          <t>GÄVLEBORGS LÄN</t>
        </is>
      </c>
      <c r="G1200" t="inlineStr">
        <is>
          <t>GÄVLE</t>
        </is>
      </c>
      <c r="I1200" t="n">
        <v>1.6</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1588-2022</t>
        </is>
      </c>
      <c r="B1201" t="inlineStr">
        <is>
          <t>avverkningsanmälan</t>
        </is>
      </c>
      <c r="C1201" t="inlineStr">
        <is>
          <t>Föryngringsavverkning</t>
        </is>
      </c>
      <c r="D1201" s="1" t="n">
        <v>44573</v>
      </c>
      <c r="E1201" s="1" t="n">
        <v>46326</v>
      </c>
      <c r="F1201" t="inlineStr">
        <is>
          <t>GÄVLEBORGS LÄN</t>
        </is>
      </c>
      <c r="G1201" t="inlineStr">
        <is>
          <t>OVANÅKER</t>
        </is>
      </c>
      <c r="I1201" t="n">
        <v>0.4</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1594-2022</t>
        </is>
      </c>
      <c r="B1202" t="inlineStr">
        <is>
          <t>avverkningsanmälan</t>
        </is>
      </c>
      <c r="C1202" t="inlineStr">
        <is>
          <t>Föryngringsavverkning</t>
        </is>
      </c>
      <c r="D1202" s="1" t="n">
        <v>44573</v>
      </c>
      <c r="E1202" s="1" t="n">
        <v>46326</v>
      </c>
      <c r="F1202" t="inlineStr">
        <is>
          <t>GÄVLEBORGS LÄN</t>
        </is>
      </c>
      <c r="G1202" t="inlineStr">
        <is>
          <t>OVANÅKER</t>
        </is>
      </c>
      <c r="I1202" t="n">
        <v>0.4</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55189-2022</t>
        </is>
      </c>
      <c r="B1203" t="inlineStr">
        <is>
          <t>avverkningsanmälan</t>
        </is>
      </c>
      <c r="C1203" t="inlineStr">
        <is>
          <t>Föryngringsavverkning</t>
        </is>
      </c>
      <c r="D1203" s="1" t="n">
        <v>44886</v>
      </c>
      <c r="E1203" s="1" t="n">
        <v>46326</v>
      </c>
      <c r="F1203" t="inlineStr">
        <is>
          <t>GÄVLEBORGS LÄN</t>
        </is>
      </c>
      <c r="G1203" t="inlineStr">
        <is>
          <t>GÄVLE</t>
        </is>
      </c>
      <c r="I1203" t="n">
        <v>0.5</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21873-2022</t>
        </is>
      </c>
      <c r="B1204" t="inlineStr">
        <is>
          <t>avverkningsanmälan</t>
        </is>
      </c>
      <c r="C1204" t="inlineStr">
        <is>
          <t>Föryngringsavverkning</t>
        </is>
      </c>
      <c r="D1204" s="1" t="n">
        <v>44711</v>
      </c>
      <c r="E1204" s="1" t="n">
        <v>46326</v>
      </c>
      <c r="F1204" t="inlineStr">
        <is>
          <t>GÄVLEBORGS LÄN</t>
        </is>
      </c>
      <c r="G1204" t="inlineStr">
        <is>
          <t>NORDANSTIG</t>
        </is>
      </c>
      <c r="I1204" t="n">
        <v>1.1</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50277-2022</t>
        </is>
      </c>
      <c r="B1205" t="inlineStr">
        <is>
          <t>avverkningsanmälan</t>
        </is>
      </c>
      <c r="C1205" t="inlineStr">
        <is>
          <t>Föryngringsavverkning</t>
        </is>
      </c>
      <c r="D1205" s="1" t="n">
        <v>44865</v>
      </c>
      <c r="E1205" s="1" t="n">
        <v>46326</v>
      </c>
      <c r="F1205" t="inlineStr">
        <is>
          <t>GÄVLEBORGS LÄN</t>
        </is>
      </c>
      <c r="G1205" t="inlineStr">
        <is>
          <t>SANDVIKEN</t>
        </is>
      </c>
      <c r="I1205" t="n">
        <v>0.7</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30857-2022</t>
        </is>
      </c>
      <c r="B1206" t="inlineStr">
        <is>
          <t>avverkningsanmälan</t>
        </is>
      </c>
      <c r="C1206" t="inlineStr">
        <is>
          <t>Avverkning för annat ändamål</t>
        </is>
      </c>
      <c r="D1206" s="1" t="n">
        <v>44767</v>
      </c>
      <c r="E1206" s="1" t="n">
        <v>46326</v>
      </c>
      <c r="F1206" t="inlineStr">
        <is>
          <t>GÄVLEBORGS LÄN</t>
        </is>
      </c>
      <c r="G1206" t="inlineStr">
        <is>
          <t>NORDANSTIG</t>
        </is>
      </c>
      <c r="I1206" t="n">
        <v>0.4</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32750-2022</t>
        </is>
      </c>
      <c r="B1207" t="inlineStr">
        <is>
          <t>avverkningsanmälan</t>
        </is>
      </c>
      <c r="C1207" t="inlineStr">
        <is>
          <t>Föryngringsavverkning</t>
        </is>
      </c>
      <c r="D1207" s="1" t="n">
        <v>44783</v>
      </c>
      <c r="E1207" s="1" t="n">
        <v>46326</v>
      </c>
      <c r="F1207" t="inlineStr">
        <is>
          <t>GÄVLEBORGS LÄN</t>
        </is>
      </c>
      <c r="G1207" t="inlineStr">
        <is>
          <t>SÖDERHAMN</t>
        </is>
      </c>
      <c r="I1207" t="n">
        <v>1.2</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30869-2022</t>
        </is>
      </c>
      <c r="B1208" t="inlineStr">
        <is>
          <t>avverkningsanmälan</t>
        </is>
      </c>
      <c r="C1208" t="inlineStr">
        <is>
          <t>Föryngringsavverkning</t>
        </is>
      </c>
      <c r="D1208" s="1" t="n">
        <v>44767</v>
      </c>
      <c r="E1208" s="1" t="n">
        <v>46326</v>
      </c>
      <c r="F1208" t="inlineStr">
        <is>
          <t>GÄVLEBORGS LÄN</t>
        </is>
      </c>
      <c r="G1208" t="inlineStr">
        <is>
          <t>LJUSDAL</t>
        </is>
      </c>
      <c r="H1208" t="inlineStr">
        <is>
          <t>Holmen skog AB</t>
        </is>
      </c>
      <c r="I1208" t="n">
        <v>1.1</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31432-2022</t>
        </is>
      </c>
      <c r="B1209" t="inlineStr">
        <is>
          <t>avverkningsanmälan</t>
        </is>
      </c>
      <c r="C1209" t="inlineStr">
        <is>
          <t>Föryngringsavverkning</t>
        </is>
      </c>
      <c r="D1209" s="1" t="n">
        <v>44774</v>
      </c>
      <c r="E1209" s="1" t="n">
        <v>46326</v>
      </c>
      <c r="F1209" t="inlineStr">
        <is>
          <t>GÄVLEBORGS LÄN</t>
        </is>
      </c>
      <c r="G1209" t="inlineStr">
        <is>
          <t>NORDANSTIG</t>
        </is>
      </c>
      <c r="I1209" t="n">
        <v>0.6</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31419-2022</t>
        </is>
      </c>
      <c r="B1210" t="inlineStr">
        <is>
          <t>avverkningsanmälan</t>
        </is>
      </c>
      <c r="C1210" t="inlineStr">
        <is>
          <t>Föryngringsavverkning</t>
        </is>
      </c>
      <c r="D1210" s="1" t="n">
        <v>44774</v>
      </c>
      <c r="E1210" s="1" t="n">
        <v>46326</v>
      </c>
      <c r="F1210" t="inlineStr">
        <is>
          <t>GÄVLEBORGS LÄN</t>
        </is>
      </c>
      <c r="G1210" t="inlineStr">
        <is>
          <t>SANDVIKEN</t>
        </is>
      </c>
      <c r="H1210" t="inlineStr">
        <is>
          <t>Sveaskog</t>
        </is>
      </c>
      <c r="I1210" t="n">
        <v>0.4</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53079-2022</t>
        </is>
      </c>
      <c r="B1211" t="inlineStr">
        <is>
          <t>avverkningsanmälan</t>
        </is>
      </c>
      <c r="C1211" t="inlineStr">
        <is>
          <t>Föryngringsavverkning</t>
        </is>
      </c>
      <c r="D1211" s="1" t="n">
        <v>44876</v>
      </c>
      <c r="E1211" s="1" t="n">
        <v>46326</v>
      </c>
      <c r="F1211" t="inlineStr">
        <is>
          <t>GÄVLEBORGS LÄN</t>
        </is>
      </c>
      <c r="G1211" t="inlineStr">
        <is>
          <t>NORDANSTIG</t>
        </is>
      </c>
      <c r="H1211" t="inlineStr">
        <is>
          <t>Holmen skog AB</t>
        </is>
      </c>
      <c r="I1211" t="n">
        <v>7.2</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34722-2022</t>
        </is>
      </c>
      <c r="B1212" t="inlineStr">
        <is>
          <t>avverkningsanmälan</t>
        </is>
      </c>
      <c r="C1212" t="inlineStr">
        <is>
          <t>Avverkning för att bevara och utveckla /försöksver</t>
        </is>
      </c>
      <c r="D1212" s="1" t="n">
        <v>44795</v>
      </c>
      <c r="E1212" s="1" t="n">
        <v>46326</v>
      </c>
      <c r="F1212" t="inlineStr">
        <is>
          <t>GÄVLEBORGS LÄN</t>
        </is>
      </c>
      <c r="G1212" t="inlineStr">
        <is>
          <t>OCKELBO</t>
        </is>
      </c>
      <c r="I1212" t="n">
        <v>0.3</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48201-2022</t>
        </is>
      </c>
      <c r="B1213" t="inlineStr">
        <is>
          <t>avverkningsanmälan</t>
        </is>
      </c>
      <c r="C1213" t="inlineStr">
        <is>
          <t>Föryngringsavverkning</t>
        </is>
      </c>
      <c r="D1213" s="1" t="n">
        <v>44858</v>
      </c>
      <c r="E1213" s="1" t="n">
        <v>46326</v>
      </c>
      <c r="F1213" t="inlineStr">
        <is>
          <t>GÄVLEBORGS LÄN</t>
        </is>
      </c>
      <c r="G1213" t="inlineStr">
        <is>
          <t>OCKELBO</t>
        </is>
      </c>
      <c r="H1213" t="inlineStr">
        <is>
          <t>Bergvik skog väst AB</t>
        </is>
      </c>
      <c r="I1213" t="n">
        <v>2.4</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64068-2021</t>
        </is>
      </c>
      <c r="B1214" t="inlineStr">
        <is>
          <t>avverkningsanmälan</t>
        </is>
      </c>
      <c r="C1214" t="inlineStr">
        <is>
          <t>Föryngringsavverkning</t>
        </is>
      </c>
      <c r="D1214" s="1" t="n">
        <v>44510</v>
      </c>
      <c r="E1214" s="1" t="n">
        <v>46326</v>
      </c>
      <c r="F1214" t="inlineStr">
        <is>
          <t>GÄVLEBORGS LÄN</t>
        </is>
      </c>
      <c r="G1214" t="inlineStr">
        <is>
          <t>SANDVIKEN</t>
        </is>
      </c>
      <c r="I1214" t="n">
        <v>4.8</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63423-2021</t>
        </is>
      </c>
      <c r="B1215" t="inlineStr">
        <is>
          <t>avverkningsanmälan</t>
        </is>
      </c>
      <c r="C1215" t="inlineStr">
        <is>
          <t>Föryngringsavverkning</t>
        </is>
      </c>
      <c r="D1215" s="1" t="n">
        <v>44508</v>
      </c>
      <c r="E1215" s="1" t="n">
        <v>46326</v>
      </c>
      <c r="F1215" t="inlineStr">
        <is>
          <t>GÄVLEBORGS LÄN</t>
        </is>
      </c>
      <c r="G1215" t="inlineStr">
        <is>
          <t>SÖDERHAMN</t>
        </is>
      </c>
      <c r="I1215" t="n">
        <v>1.7</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66121-2021</t>
        </is>
      </c>
      <c r="B1216" t="inlineStr">
        <is>
          <t>avverkningsanmälan</t>
        </is>
      </c>
      <c r="C1216" t="inlineStr">
        <is>
          <t>Föryngringsavverkning</t>
        </is>
      </c>
      <c r="D1216" s="1" t="n">
        <v>44517</v>
      </c>
      <c r="E1216" s="1" t="n">
        <v>46326</v>
      </c>
      <c r="F1216" t="inlineStr">
        <is>
          <t>GÄVLEBORGS LÄN</t>
        </is>
      </c>
      <c r="G1216" t="inlineStr">
        <is>
          <t>BOLLNÄS</t>
        </is>
      </c>
      <c r="I1216" t="n">
        <v>0.2</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66125-2021</t>
        </is>
      </c>
      <c r="B1217" t="inlineStr">
        <is>
          <t>avverkningsanmälan</t>
        </is>
      </c>
      <c r="C1217" t="inlineStr">
        <is>
          <t>Föryngringsavverkning</t>
        </is>
      </c>
      <c r="D1217" s="1" t="n">
        <v>44517</v>
      </c>
      <c r="E1217" s="1" t="n">
        <v>46326</v>
      </c>
      <c r="F1217" t="inlineStr">
        <is>
          <t>GÄVLEBORGS LÄN</t>
        </is>
      </c>
      <c r="G1217" t="inlineStr">
        <is>
          <t>BOLLNÄS</t>
        </is>
      </c>
      <c r="I1217" t="n">
        <v>0.5</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72815-2021</t>
        </is>
      </c>
      <c r="B1218" t="inlineStr">
        <is>
          <t>avverkningsanmälan</t>
        </is>
      </c>
      <c r="C1218" t="inlineStr">
        <is>
          <t>Föryngringsavverkning</t>
        </is>
      </c>
      <c r="D1218" s="1" t="n">
        <v>44547</v>
      </c>
      <c r="E1218" s="1" t="n">
        <v>46326</v>
      </c>
      <c r="F1218" t="inlineStr">
        <is>
          <t>GÄVLEBORGS LÄN</t>
        </is>
      </c>
      <c r="G1218" t="inlineStr">
        <is>
          <t>NORDANSTIG</t>
        </is>
      </c>
      <c r="I1218" t="n">
        <v>0.3</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61729-2021</t>
        </is>
      </c>
      <c r="B1219" t="inlineStr">
        <is>
          <t>avverkningsanmälan</t>
        </is>
      </c>
      <c r="C1219" t="inlineStr">
        <is>
          <t>Föryngringsavverkning</t>
        </is>
      </c>
      <c r="D1219" s="1" t="n">
        <v>44501</v>
      </c>
      <c r="E1219" s="1" t="n">
        <v>46326</v>
      </c>
      <c r="F1219" t="inlineStr">
        <is>
          <t>GÄVLEBORGS LÄN</t>
        </is>
      </c>
      <c r="G1219" t="inlineStr">
        <is>
          <t>SANDVIKEN</t>
        </is>
      </c>
      <c r="I1219" t="n">
        <v>3.7</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24342-2022</t>
        </is>
      </c>
      <c r="B1220" t="inlineStr">
        <is>
          <t>avverkningsanmälan</t>
        </is>
      </c>
      <c r="C1220" t="inlineStr">
        <is>
          <t>Föryngringsavverkning</t>
        </is>
      </c>
      <c r="D1220" s="1" t="n">
        <v>44726</v>
      </c>
      <c r="E1220" s="1" t="n">
        <v>46326</v>
      </c>
      <c r="F1220" t="inlineStr">
        <is>
          <t>GÄVLEBORGS LÄN</t>
        </is>
      </c>
      <c r="G1220" t="inlineStr">
        <is>
          <t>LJUSDAL</t>
        </is>
      </c>
      <c r="I1220" t="n">
        <v>1.7</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23358-2022</t>
        </is>
      </c>
      <c r="B1221" t="inlineStr">
        <is>
          <t>avverkningsanmälan</t>
        </is>
      </c>
      <c r="C1221" t="inlineStr">
        <is>
          <t>Föryngringsavverkning</t>
        </is>
      </c>
      <c r="D1221" s="1" t="n">
        <v>44720</v>
      </c>
      <c r="E1221" s="1" t="n">
        <v>46326</v>
      </c>
      <c r="F1221" t="inlineStr">
        <is>
          <t>GÄVLEBORGS LÄN</t>
        </is>
      </c>
      <c r="G1221" t="inlineStr">
        <is>
          <t>BOLLNÄS</t>
        </is>
      </c>
      <c r="I1221" t="n">
        <v>0.7</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37965-2022</t>
        </is>
      </c>
      <c r="B1222" t="inlineStr">
        <is>
          <t>avverkningsanmälan</t>
        </is>
      </c>
      <c r="C1222" t="inlineStr">
        <is>
          <t>Föryngringsavverkning</t>
        </is>
      </c>
      <c r="D1222" s="1" t="n">
        <v>44811</v>
      </c>
      <c r="E1222" s="1" t="n">
        <v>46326</v>
      </c>
      <c r="F1222" t="inlineStr">
        <is>
          <t>GÄVLEBORGS LÄN</t>
        </is>
      </c>
      <c r="G1222" t="inlineStr">
        <is>
          <t>NORDANSTIG</t>
        </is>
      </c>
      <c r="I1222" t="n">
        <v>1.9</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42972-2022</t>
        </is>
      </c>
      <c r="B1223" t="inlineStr">
        <is>
          <t>avverkningsanmälan</t>
        </is>
      </c>
      <c r="C1223" t="inlineStr">
        <is>
          <t>Föryngringsavverkning</t>
        </is>
      </c>
      <c r="D1223" s="1" t="n">
        <v>44833</v>
      </c>
      <c r="E1223" s="1" t="n">
        <v>46326</v>
      </c>
      <c r="F1223" t="inlineStr">
        <is>
          <t>GÄVLEBORGS LÄN</t>
        </is>
      </c>
      <c r="G1223" t="inlineStr">
        <is>
          <t>LJUSDAL</t>
        </is>
      </c>
      <c r="H1223" t="inlineStr">
        <is>
          <t>Bergvik skog väst AB</t>
        </is>
      </c>
      <c r="I1223" t="n">
        <v>3.7</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6549-2022</t>
        </is>
      </c>
      <c r="B1224" t="inlineStr">
        <is>
          <t>avverkningsanmälan</t>
        </is>
      </c>
      <c r="C1224" t="inlineStr">
        <is>
          <t>Föryngringsavverkning</t>
        </is>
      </c>
      <c r="D1224" s="1" t="n">
        <v>44601</v>
      </c>
      <c r="E1224" s="1" t="n">
        <v>46326</v>
      </c>
      <c r="F1224" t="inlineStr">
        <is>
          <t>GÄVLEBORGS LÄN</t>
        </is>
      </c>
      <c r="G1224" t="inlineStr">
        <is>
          <t>BOLLNÄS</t>
        </is>
      </c>
      <c r="I1224" t="n">
        <v>3</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18503-2022</t>
        </is>
      </c>
      <c r="B1225" t="inlineStr">
        <is>
          <t>avverkningsanmälan</t>
        </is>
      </c>
      <c r="C1225" t="inlineStr">
        <is>
          <t>Föryngringsavverkning</t>
        </is>
      </c>
      <c r="D1225" s="1" t="n">
        <v>44686</v>
      </c>
      <c r="E1225" s="1" t="n">
        <v>46326</v>
      </c>
      <c r="F1225" t="inlineStr">
        <is>
          <t>GÄVLEBORGS LÄN</t>
        </is>
      </c>
      <c r="G1225" t="inlineStr">
        <is>
          <t>SÖDERHAMN</t>
        </is>
      </c>
      <c r="I1225" t="n">
        <v>2</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34712-2022</t>
        </is>
      </c>
      <c r="B1226" t="inlineStr">
        <is>
          <t>avverkningsanmälan</t>
        </is>
      </c>
      <c r="C1226" t="inlineStr">
        <is>
          <t>Avverkning för att bevara och utveckla /försöksver</t>
        </is>
      </c>
      <c r="D1226" s="1" t="n">
        <v>44795</v>
      </c>
      <c r="E1226" s="1" t="n">
        <v>46326</v>
      </c>
      <c r="F1226" t="inlineStr">
        <is>
          <t>GÄVLEBORGS LÄN</t>
        </is>
      </c>
      <c r="G1226" t="inlineStr">
        <is>
          <t>OCKELBO</t>
        </is>
      </c>
      <c r="I1226" t="n">
        <v>0.3</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24997-2022</t>
        </is>
      </c>
      <c r="B1227" t="inlineStr">
        <is>
          <t>avverkningsanmälan</t>
        </is>
      </c>
      <c r="C1227" t="inlineStr">
        <is>
          <t>Föryngringsavverkning</t>
        </is>
      </c>
      <c r="D1227" s="1" t="n">
        <v>44728</v>
      </c>
      <c r="E1227" s="1" t="n">
        <v>46326</v>
      </c>
      <c r="F1227" t="inlineStr">
        <is>
          <t>GÄVLEBORGS LÄN</t>
        </is>
      </c>
      <c r="G1227" t="inlineStr">
        <is>
          <t>NORDANSTIG</t>
        </is>
      </c>
      <c r="I1227" t="n">
        <v>2.9</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11235-2022</t>
        </is>
      </c>
      <c r="B1228" t="inlineStr">
        <is>
          <t>avverkningsanmälan</t>
        </is>
      </c>
      <c r="C1228" t="inlineStr">
        <is>
          <t>Föryngringsavverkning</t>
        </is>
      </c>
      <c r="D1228" s="1" t="n">
        <v>44629</v>
      </c>
      <c r="E1228" s="1" t="n">
        <v>46326</v>
      </c>
      <c r="F1228" t="inlineStr">
        <is>
          <t>GÄVLEBORGS LÄN</t>
        </is>
      </c>
      <c r="G1228" t="inlineStr">
        <is>
          <t>GÄVLE</t>
        </is>
      </c>
      <c r="I1228" t="n">
        <v>5.9</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22851-2022</t>
        </is>
      </c>
      <c r="B1229" t="inlineStr">
        <is>
          <t>avverkningsanmälan</t>
        </is>
      </c>
      <c r="C1229" t="inlineStr">
        <is>
          <t>Föryngringsavverkning</t>
        </is>
      </c>
      <c r="D1229" s="1" t="n">
        <v>44715</v>
      </c>
      <c r="E1229" s="1" t="n">
        <v>46326</v>
      </c>
      <c r="F1229" t="inlineStr">
        <is>
          <t>GÄVLEBORGS LÄN</t>
        </is>
      </c>
      <c r="G1229" t="inlineStr">
        <is>
          <t>LJUSDAL</t>
        </is>
      </c>
      <c r="H1229" t="inlineStr">
        <is>
          <t>Sveaskog</t>
        </is>
      </c>
      <c r="I1229" t="n">
        <v>0.8</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17962-2022</t>
        </is>
      </c>
      <c r="B1230" t="inlineStr">
        <is>
          <t>avverkningsanmälan</t>
        </is>
      </c>
      <c r="C1230" t="inlineStr">
        <is>
          <t>Föryngringsavverkning</t>
        </is>
      </c>
      <c r="D1230" s="1" t="n">
        <v>44683</v>
      </c>
      <c r="E1230" s="1" t="n">
        <v>46326</v>
      </c>
      <c r="F1230" t="inlineStr">
        <is>
          <t>GÄVLEBORGS LÄN</t>
        </is>
      </c>
      <c r="G1230" t="inlineStr">
        <is>
          <t>HUDIKSVALL</t>
        </is>
      </c>
      <c r="H1230" t="inlineStr">
        <is>
          <t>Holmen skog AB</t>
        </is>
      </c>
      <c r="I1230" t="n">
        <v>9.1</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9367-2022</t>
        </is>
      </c>
      <c r="B1231" t="inlineStr">
        <is>
          <t>avverkningsanmälan</t>
        </is>
      </c>
      <c r="C1231" t="inlineStr">
        <is>
          <t>Föryngringsavverkning</t>
        </is>
      </c>
      <c r="D1231" s="1" t="n">
        <v>44616</v>
      </c>
      <c r="E1231" s="1" t="n">
        <v>46326</v>
      </c>
      <c r="F1231" t="inlineStr">
        <is>
          <t>GÄVLEBORGS LÄN</t>
        </is>
      </c>
      <c r="G1231" t="inlineStr">
        <is>
          <t>BOLLNÄS</t>
        </is>
      </c>
      <c r="I1231" t="n">
        <v>12.8</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25409-2022</t>
        </is>
      </c>
      <c r="B1232" t="inlineStr">
        <is>
          <t>avverkningsanmälan</t>
        </is>
      </c>
      <c r="C1232" t="inlineStr">
        <is>
          <t>Föryngringsavverkning</t>
        </is>
      </c>
      <c r="D1232" s="1" t="n">
        <v>44732</v>
      </c>
      <c r="E1232" s="1" t="n">
        <v>46326</v>
      </c>
      <c r="F1232" t="inlineStr">
        <is>
          <t>GÄVLEBORGS LÄN</t>
        </is>
      </c>
      <c r="G1232" t="inlineStr">
        <is>
          <t>OVANÅKER</t>
        </is>
      </c>
      <c r="I1232" t="n">
        <v>2.8</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3052-2022</t>
        </is>
      </c>
      <c r="B1233" t="inlineStr">
        <is>
          <t>avverkningsanmälan</t>
        </is>
      </c>
      <c r="C1233" t="inlineStr">
        <is>
          <t>Föryngringsavverkning</t>
        </is>
      </c>
      <c r="D1233" s="1" t="n">
        <v>44582</v>
      </c>
      <c r="E1233" s="1" t="n">
        <v>46326</v>
      </c>
      <c r="F1233" t="inlineStr">
        <is>
          <t>GÄVLEBORGS LÄN</t>
        </is>
      </c>
      <c r="G1233" t="inlineStr">
        <is>
          <t>HOFORS</t>
        </is>
      </c>
      <c r="I1233" t="n">
        <v>0.7</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61670-2021</t>
        </is>
      </c>
      <c r="B1234" t="inlineStr">
        <is>
          <t>avverkningsanmälan</t>
        </is>
      </c>
      <c r="C1234" t="inlineStr">
        <is>
          <t>Föryngringsavverkning</t>
        </is>
      </c>
      <c r="D1234" s="1" t="n">
        <v>44501</v>
      </c>
      <c r="E1234" s="1" t="n">
        <v>46326</v>
      </c>
      <c r="F1234" t="inlineStr">
        <is>
          <t>GÄVLEBORGS LÄN</t>
        </is>
      </c>
      <c r="G1234" t="inlineStr">
        <is>
          <t>LJUSDAL</t>
        </is>
      </c>
      <c r="H1234" t="inlineStr">
        <is>
          <t>Holmen skog AB</t>
        </is>
      </c>
      <c r="I1234" t="n">
        <v>0.9</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28023-2022</t>
        </is>
      </c>
      <c r="B1235" t="inlineStr">
        <is>
          <t>avverkningsanmälan</t>
        </is>
      </c>
      <c r="C1235" t="inlineStr">
        <is>
          <t>Föryngringsavverkning</t>
        </is>
      </c>
      <c r="D1235" s="1" t="n">
        <v>44746</v>
      </c>
      <c r="E1235" s="1" t="n">
        <v>46326</v>
      </c>
      <c r="F1235" t="inlineStr">
        <is>
          <t>GÄVLEBORGS LÄN</t>
        </is>
      </c>
      <c r="G1235" t="inlineStr">
        <is>
          <t>HUDIKSVALL</t>
        </is>
      </c>
      <c r="I1235" t="n">
        <v>2.9</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29676-2022</t>
        </is>
      </c>
      <c r="B1236" t="inlineStr">
        <is>
          <t>avverkningsanmälan</t>
        </is>
      </c>
      <c r="C1236" t="inlineStr">
        <is>
          <t>Föryngringsavverkning</t>
        </is>
      </c>
      <c r="D1236" s="1" t="n">
        <v>44754</v>
      </c>
      <c r="E1236" s="1" t="n">
        <v>46326</v>
      </c>
      <c r="F1236" t="inlineStr">
        <is>
          <t>GÄVLEBORGS LÄN</t>
        </is>
      </c>
      <c r="G1236" t="inlineStr">
        <is>
          <t>OVANÅKER</t>
        </is>
      </c>
      <c r="I1236" t="n">
        <v>1</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18516-2022</t>
        </is>
      </c>
      <c r="B1237" t="inlineStr">
        <is>
          <t>avverkningsanmälan</t>
        </is>
      </c>
      <c r="C1237" t="inlineStr">
        <is>
          <t>Föryngringsavverkning</t>
        </is>
      </c>
      <c r="D1237" s="1" t="n">
        <v>44686</v>
      </c>
      <c r="E1237" s="1" t="n">
        <v>46326</v>
      </c>
      <c r="F1237" t="inlineStr">
        <is>
          <t>GÄVLEBORGS LÄN</t>
        </is>
      </c>
      <c r="G1237" t="inlineStr">
        <is>
          <t>NORDANSTIG</t>
        </is>
      </c>
      <c r="I1237" t="n">
        <v>2.9</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21382-2022</t>
        </is>
      </c>
      <c r="B1238" t="inlineStr">
        <is>
          <t>avverkningsanmälan</t>
        </is>
      </c>
      <c r="C1238" t="inlineStr">
        <is>
          <t>Föryngringsavverkning</t>
        </is>
      </c>
      <c r="D1238" s="1" t="n">
        <v>44705</v>
      </c>
      <c r="E1238" s="1" t="n">
        <v>46326</v>
      </c>
      <c r="F1238" t="inlineStr">
        <is>
          <t>GÄVLEBORGS LÄN</t>
        </is>
      </c>
      <c r="G1238" t="inlineStr">
        <is>
          <t>HUDIKSVALL</t>
        </is>
      </c>
      <c r="I1238" t="n">
        <v>1.6</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38480-2022</t>
        </is>
      </c>
      <c r="B1239" t="inlineStr">
        <is>
          <t>avverkningsanmälan</t>
        </is>
      </c>
      <c r="C1239" t="inlineStr">
        <is>
          <t>Föryngringsavverkning</t>
        </is>
      </c>
      <c r="D1239" s="1" t="n">
        <v>44813</v>
      </c>
      <c r="E1239" s="1" t="n">
        <v>46326</v>
      </c>
      <c r="F1239" t="inlineStr">
        <is>
          <t>GÄVLEBORGS LÄN</t>
        </is>
      </c>
      <c r="G1239" t="inlineStr">
        <is>
          <t>HUDIKSVALL</t>
        </is>
      </c>
      <c r="I1239" t="n">
        <v>0.8</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54014-2022</t>
        </is>
      </c>
      <c r="B1240" t="inlineStr">
        <is>
          <t>avverkningsanmälan</t>
        </is>
      </c>
      <c r="C1240" t="inlineStr">
        <is>
          <t>Föryngringsavverkning</t>
        </is>
      </c>
      <c r="D1240" s="1" t="n">
        <v>44881</v>
      </c>
      <c r="E1240" s="1" t="n">
        <v>46326</v>
      </c>
      <c r="F1240" t="inlineStr">
        <is>
          <t>GÄVLEBORGS LÄN</t>
        </is>
      </c>
      <c r="G1240" t="inlineStr">
        <is>
          <t>HUDIKSVALL</t>
        </is>
      </c>
      <c r="I1240" t="n">
        <v>0.3</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30168-2022</t>
        </is>
      </c>
      <c r="B1241" t="inlineStr">
        <is>
          <t>avverkningsanmälan</t>
        </is>
      </c>
      <c r="C1241" t="inlineStr">
        <is>
          <t>Föryngringsavverkning</t>
        </is>
      </c>
      <c r="D1241" s="1" t="n">
        <v>44757</v>
      </c>
      <c r="E1241" s="1" t="n">
        <v>46326</v>
      </c>
      <c r="F1241" t="inlineStr">
        <is>
          <t>GÄVLEBORGS LÄN</t>
        </is>
      </c>
      <c r="G1241" t="inlineStr">
        <is>
          <t>OVANÅKER</t>
        </is>
      </c>
      <c r="I1241" t="n">
        <v>1.5</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32342-2022</t>
        </is>
      </c>
      <c r="B1242" t="inlineStr">
        <is>
          <t>avverkningsanmälan</t>
        </is>
      </c>
      <c r="C1242" t="inlineStr">
        <is>
          <t>Föryngringsavverkning</t>
        </is>
      </c>
      <c r="D1242" s="1" t="n">
        <v>44781</v>
      </c>
      <c r="E1242" s="1" t="n">
        <v>46326</v>
      </c>
      <c r="F1242" t="inlineStr">
        <is>
          <t>GÄVLEBORGS LÄN</t>
        </is>
      </c>
      <c r="G1242" t="inlineStr">
        <is>
          <t>NORDANSTIG</t>
        </is>
      </c>
      <c r="I1242" t="n">
        <v>1.2</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30817-2022</t>
        </is>
      </c>
      <c r="B1243" t="inlineStr">
        <is>
          <t>avverkningsanmälan</t>
        </is>
      </c>
      <c r="C1243" t="inlineStr">
        <is>
          <t>Föryngringsavverkning</t>
        </is>
      </c>
      <c r="D1243" s="1" t="n">
        <v>44765</v>
      </c>
      <c r="E1243" s="1" t="n">
        <v>46326</v>
      </c>
      <c r="F1243" t="inlineStr">
        <is>
          <t>GÄVLEBORGS LÄN</t>
        </is>
      </c>
      <c r="G1243" t="inlineStr">
        <is>
          <t>NORDANSTIG</t>
        </is>
      </c>
      <c r="I1243" t="n">
        <v>2.4</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61687-2021</t>
        </is>
      </c>
      <c r="B1244" t="inlineStr">
        <is>
          <t>avverkningsanmälan</t>
        </is>
      </c>
      <c r="C1244" t="inlineStr">
        <is>
          <t>Föryngringsavverkning</t>
        </is>
      </c>
      <c r="D1244" s="1" t="n">
        <v>44501</v>
      </c>
      <c r="E1244" s="1" t="n">
        <v>46326</v>
      </c>
      <c r="F1244" t="inlineStr">
        <is>
          <t>GÄVLEBORGS LÄN</t>
        </is>
      </c>
      <c r="G1244" t="inlineStr">
        <is>
          <t>HOFORS</t>
        </is>
      </c>
      <c r="I1244" t="n">
        <v>1.6</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36768-2022</t>
        </is>
      </c>
      <c r="B1245" t="inlineStr">
        <is>
          <t>avverkningsanmälan</t>
        </is>
      </c>
      <c r="C1245" t="inlineStr">
        <is>
          <t>Föryngringsavverkning</t>
        </is>
      </c>
      <c r="D1245" s="1" t="n">
        <v>44805</v>
      </c>
      <c r="E1245" s="1" t="n">
        <v>46326</v>
      </c>
      <c r="F1245" t="inlineStr">
        <is>
          <t>GÄVLEBORGS LÄN</t>
        </is>
      </c>
      <c r="G1245" t="inlineStr">
        <is>
          <t>GÄVLE</t>
        </is>
      </c>
      <c r="H1245" t="inlineStr">
        <is>
          <t>Kyrkan</t>
        </is>
      </c>
      <c r="I1245" t="n">
        <v>2</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68541-2021</t>
        </is>
      </c>
      <c r="B1246" t="inlineStr">
        <is>
          <t>avverkningsanmälan</t>
        </is>
      </c>
      <c r="C1246" t="inlineStr">
        <is>
          <t>Föryngringsavverkning</t>
        </is>
      </c>
      <c r="D1246" s="1" t="n">
        <v>44529</v>
      </c>
      <c r="E1246" s="1" t="n">
        <v>46326</v>
      </c>
      <c r="F1246" t="inlineStr">
        <is>
          <t>GÄVLEBORGS LÄN</t>
        </is>
      </c>
      <c r="G1246" t="inlineStr">
        <is>
          <t>OCKELBO</t>
        </is>
      </c>
      <c r="I1246" t="n">
        <v>3.4</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52222-2022</t>
        </is>
      </c>
      <c r="B1247" t="inlineStr">
        <is>
          <t>avverkningsanmälan</t>
        </is>
      </c>
      <c r="C1247" t="inlineStr">
        <is>
          <t>Föryngringsavverkning</t>
        </is>
      </c>
      <c r="D1247" s="1" t="n">
        <v>44873</v>
      </c>
      <c r="E1247" s="1" t="n">
        <v>46326</v>
      </c>
      <c r="F1247" t="inlineStr">
        <is>
          <t>GÄVLEBORGS LÄN</t>
        </is>
      </c>
      <c r="G1247" t="inlineStr">
        <is>
          <t>LJUSDAL</t>
        </is>
      </c>
      <c r="I1247" t="n">
        <v>2</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67634-2021</t>
        </is>
      </c>
      <c r="B1248" t="inlineStr">
        <is>
          <t>avverkningsanmälan</t>
        </is>
      </c>
      <c r="C1248" t="inlineStr">
        <is>
          <t>Föryngringsavverkning</t>
        </is>
      </c>
      <c r="D1248" s="1" t="n">
        <v>44524</v>
      </c>
      <c r="E1248" s="1" t="n">
        <v>46326</v>
      </c>
      <c r="F1248" t="inlineStr">
        <is>
          <t>GÄVLEBORGS LÄN</t>
        </is>
      </c>
      <c r="G1248" t="inlineStr">
        <is>
          <t>SÖDERHAMN</t>
        </is>
      </c>
      <c r="I1248" t="n">
        <v>1</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69836-2021</t>
        </is>
      </c>
      <c r="B1249" t="inlineStr">
        <is>
          <t>avverkningsanmälan</t>
        </is>
      </c>
      <c r="C1249" t="inlineStr">
        <is>
          <t>Avverkning för annat ändamål</t>
        </is>
      </c>
      <c r="D1249" s="1" t="n">
        <v>44532</v>
      </c>
      <c r="E1249" s="1" t="n">
        <v>46326</v>
      </c>
      <c r="F1249" t="inlineStr">
        <is>
          <t>GÄVLEBORGS LÄN</t>
        </is>
      </c>
      <c r="G1249" t="inlineStr">
        <is>
          <t>BOLLNÄS</t>
        </is>
      </c>
      <c r="H1249" t="inlineStr">
        <is>
          <t>Sveaskog</t>
        </is>
      </c>
      <c r="I1249" t="n">
        <v>2.3</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52121-2022</t>
        </is>
      </c>
      <c r="B1250" t="inlineStr">
        <is>
          <t>avverkningsanmälan</t>
        </is>
      </c>
      <c r="C1250" t="inlineStr">
        <is>
          <t>Föryngringsavverkning</t>
        </is>
      </c>
      <c r="D1250" s="1" t="n">
        <v>44873</v>
      </c>
      <c r="E1250" s="1" t="n">
        <v>46326</v>
      </c>
      <c r="F1250" t="inlineStr">
        <is>
          <t>GÄVLEBORGS LÄN</t>
        </is>
      </c>
      <c r="G1250" t="inlineStr">
        <is>
          <t>LJUSDAL</t>
        </is>
      </c>
      <c r="H1250" t="inlineStr">
        <is>
          <t>Bergvik skog väst AB</t>
        </is>
      </c>
      <c r="I1250" t="n">
        <v>6.9</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7183-2022</t>
        </is>
      </c>
      <c r="B1251" t="inlineStr">
        <is>
          <t>avverkningsanmälan</t>
        </is>
      </c>
      <c r="C1251" t="inlineStr">
        <is>
          <t>Föryngringsavverkning</t>
        </is>
      </c>
      <c r="D1251" s="1" t="n">
        <v>44605</v>
      </c>
      <c r="E1251" s="1" t="n">
        <v>46326</v>
      </c>
      <c r="F1251" t="inlineStr">
        <is>
          <t>GÄVLEBORGS LÄN</t>
        </is>
      </c>
      <c r="G1251" t="inlineStr">
        <is>
          <t>NORDANSTIG</t>
        </is>
      </c>
      <c r="I1251" t="n">
        <v>1.1</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69833-2021</t>
        </is>
      </c>
      <c r="B1252" t="inlineStr">
        <is>
          <t>avverkningsanmälan</t>
        </is>
      </c>
      <c r="C1252" t="inlineStr">
        <is>
          <t>Föryngringsavverkning</t>
        </is>
      </c>
      <c r="D1252" s="1" t="n">
        <v>44532</v>
      </c>
      <c r="E1252" s="1" t="n">
        <v>46326</v>
      </c>
      <c r="F1252" t="inlineStr">
        <is>
          <t>GÄVLEBORGS LÄN</t>
        </is>
      </c>
      <c r="G1252" t="inlineStr">
        <is>
          <t>OCKELBO</t>
        </is>
      </c>
      <c r="I1252" t="n">
        <v>0.6</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50743-2022</t>
        </is>
      </c>
      <c r="B1253" t="inlineStr">
        <is>
          <t>avverkningsanmälan</t>
        </is>
      </c>
      <c r="C1253" t="inlineStr">
        <is>
          <t>Föryngringsavverkning</t>
        </is>
      </c>
      <c r="D1253" s="1" t="n">
        <v>44867</v>
      </c>
      <c r="E1253" s="1" t="n">
        <v>46326</v>
      </c>
      <c r="F1253" t="inlineStr">
        <is>
          <t>GÄVLEBORGS LÄN</t>
        </is>
      </c>
      <c r="G1253" t="inlineStr">
        <is>
          <t>LJUSDAL</t>
        </is>
      </c>
      <c r="H1253" t="inlineStr">
        <is>
          <t>Kommuner</t>
        </is>
      </c>
      <c r="I1253" t="n">
        <v>0.6</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39325-2022</t>
        </is>
      </c>
      <c r="B1254" t="inlineStr">
        <is>
          <t>avverkningsanmälan</t>
        </is>
      </c>
      <c r="C1254" t="inlineStr">
        <is>
          <t>Föryngringsavverkning</t>
        </is>
      </c>
      <c r="D1254" s="1" t="n">
        <v>44817</v>
      </c>
      <c r="E1254" s="1" t="n">
        <v>46326</v>
      </c>
      <c r="F1254" t="inlineStr">
        <is>
          <t>GÄVLEBORGS LÄN</t>
        </is>
      </c>
      <c r="G1254" t="inlineStr">
        <is>
          <t>OCKELBO</t>
        </is>
      </c>
      <c r="H1254" t="inlineStr">
        <is>
          <t>Bergvik skog väst AB</t>
        </is>
      </c>
      <c r="I1254" t="n">
        <v>0.6</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51252-2022</t>
        </is>
      </c>
      <c r="B1255" t="inlineStr">
        <is>
          <t>avverkningsanmälan</t>
        </is>
      </c>
      <c r="C1255" t="inlineStr">
        <is>
          <t>Föryngringsavverkning</t>
        </is>
      </c>
      <c r="D1255" s="1" t="n">
        <v>44868</v>
      </c>
      <c r="E1255" s="1" t="n">
        <v>46326</v>
      </c>
      <c r="F1255" t="inlineStr">
        <is>
          <t>GÄVLEBORGS LÄN</t>
        </is>
      </c>
      <c r="G1255" t="inlineStr">
        <is>
          <t>OVANÅKER</t>
        </is>
      </c>
      <c r="I1255" t="n">
        <v>1.2</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12358-2022</t>
        </is>
      </c>
      <c r="B1256" t="inlineStr">
        <is>
          <t>avverkningsanmälan</t>
        </is>
      </c>
      <c r="C1256" t="inlineStr">
        <is>
          <t>Föryngringsavverkning</t>
        </is>
      </c>
      <c r="D1256" s="1" t="n">
        <v>44637</v>
      </c>
      <c r="E1256" s="1" t="n">
        <v>46326</v>
      </c>
      <c r="F1256" t="inlineStr">
        <is>
          <t>GÄVLEBORGS LÄN</t>
        </is>
      </c>
      <c r="G1256" t="inlineStr">
        <is>
          <t>SÖDERHAMN</t>
        </is>
      </c>
      <c r="I1256" t="n">
        <v>2.5</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66758-2021</t>
        </is>
      </c>
      <c r="B1257" t="inlineStr">
        <is>
          <t>avverkningsanmälan</t>
        </is>
      </c>
      <c r="C1257" t="inlineStr">
        <is>
          <t>Föryngringsavverkning</t>
        </is>
      </c>
      <c r="D1257" s="1" t="n">
        <v>44521</v>
      </c>
      <c r="E1257" s="1" t="n">
        <v>46326</v>
      </c>
      <c r="F1257" t="inlineStr">
        <is>
          <t>GÄVLEBORGS LÄN</t>
        </is>
      </c>
      <c r="G1257" t="inlineStr">
        <is>
          <t>HUDIKSVALL</t>
        </is>
      </c>
      <c r="I1257" t="n">
        <v>0.5</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73750-2021</t>
        </is>
      </c>
      <c r="B1258" t="inlineStr">
        <is>
          <t>avverkningsanmälan</t>
        </is>
      </c>
      <c r="C1258" t="inlineStr">
        <is>
          <t>Avverkning för annat ändamål</t>
        </is>
      </c>
      <c r="D1258" s="1" t="n">
        <v>44552</v>
      </c>
      <c r="E1258" s="1" t="n">
        <v>46326</v>
      </c>
      <c r="F1258" t="inlineStr">
        <is>
          <t>GÄVLEBORGS LÄN</t>
        </is>
      </c>
      <c r="G1258" t="inlineStr">
        <is>
          <t>LJUSDAL</t>
        </is>
      </c>
      <c r="I1258" t="n">
        <v>1.4</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3868-2022</t>
        </is>
      </c>
      <c r="B1259" t="inlineStr">
        <is>
          <t>avverkningsanmälan</t>
        </is>
      </c>
      <c r="C1259" t="inlineStr">
        <is>
          <t>Avverkning för annat ändamål</t>
        </is>
      </c>
      <c r="D1259" s="1" t="n">
        <v>44587</v>
      </c>
      <c r="E1259" s="1" t="n">
        <v>46326</v>
      </c>
      <c r="F1259" t="inlineStr">
        <is>
          <t>GÄVLEBORGS LÄN</t>
        </is>
      </c>
      <c r="G1259" t="inlineStr">
        <is>
          <t>LJUSDAL</t>
        </is>
      </c>
      <c r="H1259" t="inlineStr">
        <is>
          <t>Sveaskog</t>
        </is>
      </c>
      <c r="I1259" t="n">
        <v>0.2</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25238-2022</t>
        </is>
      </c>
      <c r="B1260" t="inlineStr">
        <is>
          <t>avverkningsanmälan</t>
        </is>
      </c>
      <c r="C1260" t="inlineStr">
        <is>
          <t>Föryngringsavverkning</t>
        </is>
      </c>
      <c r="D1260" s="1" t="n">
        <v>44729</v>
      </c>
      <c r="E1260" s="1" t="n">
        <v>46326</v>
      </c>
      <c r="F1260" t="inlineStr">
        <is>
          <t>GÄVLEBORGS LÄN</t>
        </is>
      </c>
      <c r="G1260" t="inlineStr">
        <is>
          <t>BOLLNÄS</t>
        </is>
      </c>
      <c r="H1260" t="inlineStr">
        <is>
          <t>Bergvik skog väst AB</t>
        </is>
      </c>
      <c r="I1260" t="n">
        <v>2.2</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34419-2022</t>
        </is>
      </c>
      <c r="B1261" t="inlineStr">
        <is>
          <t>avverkningsanmälan</t>
        </is>
      </c>
      <c r="C1261" t="inlineStr">
        <is>
          <t>Föryngringsavverkning</t>
        </is>
      </c>
      <c r="D1261" s="1" t="n">
        <v>44792</v>
      </c>
      <c r="E1261" s="1" t="n">
        <v>46326</v>
      </c>
      <c r="F1261" t="inlineStr">
        <is>
          <t>GÄVLEBORGS LÄN</t>
        </is>
      </c>
      <c r="G1261" t="inlineStr">
        <is>
          <t>LJUSDAL</t>
        </is>
      </c>
      <c r="H1261" t="inlineStr">
        <is>
          <t>Sveaskog</t>
        </is>
      </c>
      <c r="I1261" t="n">
        <v>3.6</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1306-2022</t>
        </is>
      </c>
      <c r="B1262" t="inlineStr">
        <is>
          <t>avverkningsanmälan</t>
        </is>
      </c>
      <c r="C1262" t="inlineStr">
        <is>
          <t>Föryngringsavverkning</t>
        </is>
      </c>
      <c r="D1262" s="1" t="n">
        <v>44572</v>
      </c>
      <c r="E1262" s="1" t="n">
        <v>46326</v>
      </c>
      <c r="F1262" t="inlineStr">
        <is>
          <t>GÄVLEBORGS LÄN</t>
        </is>
      </c>
      <c r="G1262" t="inlineStr">
        <is>
          <t>BOLLNÄS</t>
        </is>
      </c>
      <c r="I1262" t="n">
        <v>1.6</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43875-2022</t>
        </is>
      </c>
      <c r="B1263" t="inlineStr">
        <is>
          <t>avverkningsanmälan</t>
        </is>
      </c>
      <c r="C1263" t="inlineStr">
        <is>
          <t>Föryngringsavverkning</t>
        </is>
      </c>
      <c r="D1263" s="1" t="n">
        <v>44837</v>
      </c>
      <c r="E1263" s="1" t="n">
        <v>46326</v>
      </c>
      <c r="F1263" t="inlineStr">
        <is>
          <t>GÄVLEBORGS LÄN</t>
        </is>
      </c>
      <c r="G1263" t="inlineStr">
        <is>
          <t>SÖDERHAMN</t>
        </is>
      </c>
      <c r="I1263" t="n">
        <v>15.1</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67188-2021</t>
        </is>
      </c>
      <c r="B1264" t="inlineStr">
        <is>
          <t>avverkningsanmälan</t>
        </is>
      </c>
      <c r="C1264" t="inlineStr">
        <is>
          <t>Föryngringsavverkning</t>
        </is>
      </c>
      <c r="D1264" s="1" t="n">
        <v>44523</v>
      </c>
      <c r="E1264" s="1" t="n">
        <v>46326</v>
      </c>
      <c r="F1264" t="inlineStr">
        <is>
          <t>GÄVLEBORGS LÄN</t>
        </is>
      </c>
      <c r="G1264" t="inlineStr">
        <is>
          <t>OVANÅKER</t>
        </is>
      </c>
      <c r="I1264" t="n">
        <v>2.3</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41037-2022</t>
        </is>
      </c>
      <c r="B1265" t="inlineStr">
        <is>
          <t>avverkningsanmälan</t>
        </is>
      </c>
      <c r="C1265" t="inlineStr">
        <is>
          <t>Avverkning för att bevara och utveckla /försöksver</t>
        </is>
      </c>
      <c r="D1265" s="1" t="n">
        <v>44824</v>
      </c>
      <c r="E1265" s="1" t="n">
        <v>46326</v>
      </c>
      <c r="F1265" t="inlineStr">
        <is>
          <t>GÄVLEBORGS LÄN</t>
        </is>
      </c>
      <c r="G1265" t="inlineStr">
        <is>
          <t>SÖDERHAMN</t>
        </is>
      </c>
      <c r="H1265" t="inlineStr">
        <is>
          <t>Kommuner</t>
        </is>
      </c>
      <c r="I1265" t="n">
        <v>21.6</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19856-2022</t>
        </is>
      </c>
      <c r="B1266" t="inlineStr">
        <is>
          <t>avverkningsanmälan</t>
        </is>
      </c>
      <c r="C1266" t="inlineStr">
        <is>
          <t>Föryngringsavverkning</t>
        </is>
      </c>
      <c r="D1266" s="1" t="n">
        <v>44697</v>
      </c>
      <c r="E1266" s="1" t="n">
        <v>46326</v>
      </c>
      <c r="F1266" t="inlineStr">
        <is>
          <t>GÄVLEBORGS LÄN</t>
        </is>
      </c>
      <c r="G1266" t="inlineStr">
        <is>
          <t>BOLLNÄS</t>
        </is>
      </c>
      <c r="I1266" t="n">
        <v>2.3</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19892-2022</t>
        </is>
      </c>
      <c r="B1267" t="inlineStr">
        <is>
          <t>avverkningsanmälan</t>
        </is>
      </c>
      <c r="C1267" t="inlineStr">
        <is>
          <t>Föryngringsavverkning</t>
        </is>
      </c>
      <c r="D1267" s="1" t="n">
        <v>44697</v>
      </c>
      <c r="E1267" s="1" t="n">
        <v>46326</v>
      </c>
      <c r="F1267" t="inlineStr">
        <is>
          <t>GÄVLEBORGS LÄN</t>
        </is>
      </c>
      <c r="G1267" t="inlineStr">
        <is>
          <t>LJUSDAL</t>
        </is>
      </c>
      <c r="I1267" t="n">
        <v>1.4</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23029-2022</t>
        </is>
      </c>
      <c r="B1268" t="inlineStr">
        <is>
          <t>avverkningsanmälan</t>
        </is>
      </c>
      <c r="C1268" t="inlineStr">
        <is>
          <t>Föryngringsavverkning</t>
        </is>
      </c>
      <c r="D1268" s="1" t="n">
        <v>44719</v>
      </c>
      <c r="E1268" s="1" t="n">
        <v>46326</v>
      </c>
      <c r="F1268" t="inlineStr">
        <is>
          <t>GÄVLEBORGS LÄN</t>
        </is>
      </c>
      <c r="G1268" t="inlineStr">
        <is>
          <t>OVANÅKER</t>
        </is>
      </c>
      <c r="I1268" t="n">
        <v>0.5</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34718-2022</t>
        </is>
      </c>
      <c r="B1269" t="inlineStr">
        <is>
          <t>avverkningsanmälan</t>
        </is>
      </c>
      <c r="C1269" t="inlineStr">
        <is>
          <t>Avverkning för att bevara och utveckla /försöksver</t>
        </is>
      </c>
      <c r="D1269" s="1" t="n">
        <v>44795</v>
      </c>
      <c r="E1269" s="1" t="n">
        <v>46326</v>
      </c>
      <c r="F1269" t="inlineStr">
        <is>
          <t>GÄVLEBORGS LÄN</t>
        </is>
      </c>
      <c r="G1269" t="inlineStr">
        <is>
          <t>OCKELBO</t>
        </is>
      </c>
      <c r="I1269" t="n">
        <v>0.5</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55055-2022</t>
        </is>
      </c>
      <c r="B1270" t="inlineStr">
        <is>
          <t>avverkningsanmälan</t>
        </is>
      </c>
      <c r="C1270" t="inlineStr">
        <is>
          <t>Föryngringsavverkning</t>
        </is>
      </c>
      <c r="D1270" s="1" t="n">
        <v>44886</v>
      </c>
      <c r="E1270" s="1" t="n">
        <v>46326</v>
      </c>
      <c r="F1270" t="inlineStr">
        <is>
          <t>GÄVLEBORGS LÄN</t>
        </is>
      </c>
      <c r="G1270" t="inlineStr">
        <is>
          <t>LJUSDAL</t>
        </is>
      </c>
      <c r="I1270" t="n">
        <v>0.8</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55065-2022</t>
        </is>
      </c>
      <c r="B1271" t="inlineStr">
        <is>
          <t>avverkningsanmälan</t>
        </is>
      </c>
      <c r="C1271" t="inlineStr">
        <is>
          <t>Föryngringsavverkning</t>
        </is>
      </c>
      <c r="D1271" s="1" t="n">
        <v>44886</v>
      </c>
      <c r="E1271" s="1" t="n">
        <v>46326</v>
      </c>
      <c r="F1271" t="inlineStr">
        <is>
          <t>GÄVLEBORGS LÄN</t>
        </is>
      </c>
      <c r="G1271" t="inlineStr">
        <is>
          <t>OVANÅKER</t>
        </is>
      </c>
      <c r="I1271" t="n">
        <v>1.5</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50579-2022</t>
        </is>
      </c>
      <c r="B1272" t="inlineStr">
        <is>
          <t>avverkningsanmälan</t>
        </is>
      </c>
      <c r="C1272" t="inlineStr">
        <is>
          <t>Avverkning för annat ändamål</t>
        </is>
      </c>
      <c r="D1272" s="1" t="n">
        <v>44866</v>
      </c>
      <c r="E1272" s="1" t="n">
        <v>46326</v>
      </c>
      <c r="F1272" t="inlineStr">
        <is>
          <t>GÄVLEBORGS LÄN</t>
        </is>
      </c>
      <c r="G1272" t="inlineStr">
        <is>
          <t>LJUSDAL</t>
        </is>
      </c>
      <c r="H1272" t="inlineStr">
        <is>
          <t>Bergvik skog väst AB</t>
        </is>
      </c>
      <c r="I1272" t="n">
        <v>3.1</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24340-2022</t>
        </is>
      </c>
      <c r="B1273" t="inlineStr">
        <is>
          <t>avverkningsanmälan</t>
        </is>
      </c>
      <c r="C1273" t="inlineStr">
        <is>
          <t>Föryngringsavverkning</t>
        </is>
      </c>
      <c r="D1273" s="1" t="n">
        <v>44726</v>
      </c>
      <c r="E1273" s="1" t="n">
        <v>46326</v>
      </c>
      <c r="F1273" t="inlineStr">
        <is>
          <t>GÄVLEBORGS LÄN</t>
        </is>
      </c>
      <c r="G1273" t="inlineStr">
        <is>
          <t>LJUSDAL</t>
        </is>
      </c>
      <c r="I1273" t="n">
        <v>0.9</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72110-2021</t>
        </is>
      </c>
      <c r="B1274" t="inlineStr">
        <is>
          <t>avverkningsanmälan</t>
        </is>
      </c>
      <c r="C1274" t="inlineStr">
        <is>
          <t>Föryngringsavverkning</t>
        </is>
      </c>
      <c r="D1274" s="1" t="n">
        <v>44544</v>
      </c>
      <c r="E1274" s="1" t="n">
        <v>46326</v>
      </c>
      <c r="F1274" t="inlineStr">
        <is>
          <t>GÄVLEBORGS LÄN</t>
        </is>
      </c>
      <c r="G1274" t="inlineStr">
        <is>
          <t>OVANÅKER</t>
        </is>
      </c>
      <c r="I1274" t="n">
        <v>0.8</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22361-2022</t>
        </is>
      </c>
      <c r="B1275" t="inlineStr">
        <is>
          <t>avverkningsanmälan</t>
        </is>
      </c>
      <c r="C1275" t="inlineStr">
        <is>
          <t>Föryngringsavverkning</t>
        </is>
      </c>
      <c r="D1275" s="1" t="n">
        <v>44713</v>
      </c>
      <c r="E1275" s="1" t="n">
        <v>46326</v>
      </c>
      <c r="F1275" t="inlineStr">
        <is>
          <t>GÄVLEBORGS LÄN</t>
        </is>
      </c>
      <c r="G1275" t="inlineStr">
        <is>
          <t>NORDANSTIG</t>
        </is>
      </c>
      <c r="I1275" t="n">
        <v>2</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63731-2021</t>
        </is>
      </c>
      <c r="B1276" t="inlineStr">
        <is>
          <t>avverkningsanmälan</t>
        </is>
      </c>
      <c r="C1276" t="inlineStr">
        <is>
          <t>Föryngringsavverkning</t>
        </is>
      </c>
      <c r="D1276" s="1" t="n">
        <v>44509</v>
      </c>
      <c r="E1276" s="1" t="n">
        <v>46326</v>
      </c>
      <c r="F1276" t="inlineStr">
        <is>
          <t>GÄVLEBORGS LÄN</t>
        </is>
      </c>
      <c r="G1276" t="inlineStr">
        <is>
          <t>OCKELBO</t>
        </is>
      </c>
      <c r="I1276" t="n">
        <v>2.1</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49726-2022</t>
        </is>
      </c>
      <c r="B1277" t="inlineStr">
        <is>
          <t>avverkningsanmälan</t>
        </is>
      </c>
      <c r="C1277" t="inlineStr">
        <is>
          <t>Föryngringsavverkning</t>
        </is>
      </c>
      <c r="D1277" s="1" t="n">
        <v>44862</v>
      </c>
      <c r="E1277" s="1" t="n">
        <v>46326</v>
      </c>
      <c r="F1277" t="inlineStr">
        <is>
          <t>GÄVLEBORGS LÄN</t>
        </is>
      </c>
      <c r="G1277" t="inlineStr">
        <is>
          <t>LJUSDAL</t>
        </is>
      </c>
      <c r="I1277" t="n">
        <v>3.7</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9261-2022</t>
        </is>
      </c>
      <c r="B1278" t="inlineStr">
        <is>
          <t>avverkningsanmälan</t>
        </is>
      </c>
      <c r="C1278" t="inlineStr">
        <is>
          <t>Föryngringsavverkning</t>
        </is>
      </c>
      <c r="D1278" s="1" t="n">
        <v>44616</v>
      </c>
      <c r="E1278" s="1" t="n">
        <v>46326</v>
      </c>
      <c r="F1278" t="inlineStr">
        <is>
          <t>GÄVLEBORGS LÄN</t>
        </is>
      </c>
      <c r="G1278" t="inlineStr">
        <is>
          <t>SÖDERHAMN</t>
        </is>
      </c>
      <c r="I1278" t="n">
        <v>1.7</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51590-2022</t>
        </is>
      </c>
      <c r="B1279" t="inlineStr">
        <is>
          <t>avverkningsanmälan</t>
        </is>
      </c>
      <c r="C1279" t="inlineStr">
        <is>
          <t>Föryngringsavverkning</t>
        </is>
      </c>
      <c r="D1279" s="1" t="n">
        <v>44871</v>
      </c>
      <c r="E1279" s="1" t="n">
        <v>46326</v>
      </c>
      <c r="F1279" t="inlineStr">
        <is>
          <t>GÄVLEBORGS LÄN</t>
        </is>
      </c>
      <c r="G1279" t="inlineStr">
        <is>
          <t>HUDIKSVALL</t>
        </is>
      </c>
      <c r="I1279" t="n">
        <v>1.6</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26939-2022</t>
        </is>
      </c>
      <c r="B1280" t="inlineStr">
        <is>
          <t>avverkningsanmälan</t>
        </is>
      </c>
      <c r="C1280" t="inlineStr">
        <is>
          <t>Föryngringsavverkning</t>
        </is>
      </c>
      <c r="D1280" s="1" t="n">
        <v>44740</v>
      </c>
      <c r="E1280" s="1" t="n">
        <v>46326</v>
      </c>
      <c r="F1280" t="inlineStr">
        <is>
          <t>GÄVLEBORGS LÄN</t>
        </is>
      </c>
      <c r="G1280" t="inlineStr">
        <is>
          <t>SÖDERHAMN</t>
        </is>
      </c>
      <c r="I1280" t="n">
        <v>0.2</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26349-2022</t>
        </is>
      </c>
      <c r="B1281" t="inlineStr">
        <is>
          <t>avverkningsanmälan</t>
        </is>
      </c>
      <c r="C1281" t="inlineStr">
        <is>
          <t>Föryngringsavverkning</t>
        </is>
      </c>
      <c r="D1281" s="1" t="n">
        <v>44735</v>
      </c>
      <c r="E1281" s="1" t="n">
        <v>46326</v>
      </c>
      <c r="F1281" t="inlineStr">
        <is>
          <t>GÄVLEBORGS LÄN</t>
        </is>
      </c>
      <c r="G1281" t="inlineStr">
        <is>
          <t>GÄVLE</t>
        </is>
      </c>
      <c r="I1281" t="n">
        <v>2.3</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31336-2022</t>
        </is>
      </c>
      <c r="B1282" t="inlineStr">
        <is>
          <t>avverkningsanmälan</t>
        </is>
      </c>
      <c r="C1282" t="inlineStr">
        <is>
          <t>Föryngringsavverkning</t>
        </is>
      </c>
      <c r="D1282" s="1" t="n">
        <v>44774</v>
      </c>
      <c r="E1282" s="1" t="n">
        <v>46326</v>
      </c>
      <c r="F1282" t="inlineStr">
        <is>
          <t>GÄVLEBORGS LÄN</t>
        </is>
      </c>
      <c r="G1282" t="inlineStr">
        <is>
          <t>LJUSDAL</t>
        </is>
      </c>
      <c r="H1282" t="inlineStr">
        <is>
          <t>Holmen skog AB</t>
        </is>
      </c>
      <c r="I1282" t="n">
        <v>3.5</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31378-2022</t>
        </is>
      </c>
      <c r="B1283" t="inlineStr">
        <is>
          <t>avverkningsanmälan</t>
        </is>
      </c>
      <c r="C1283" t="inlineStr">
        <is>
          <t>Föryngringsavverkning</t>
        </is>
      </c>
      <c r="D1283" s="1" t="n">
        <v>44774</v>
      </c>
      <c r="E1283" s="1" t="n">
        <v>46326</v>
      </c>
      <c r="F1283" t="inlineStr">
        <is>
          <t>GÄVLEBORGS LÄN</t>
        </is>
      </c>
      <c r="G1283" t="inlineStr">
        <is>
          <t>LJUSDAL</t>
        </is>
      </c>
      <c r="H1283" t="inlineStr">
        <is>
          <t>Holmen skog AB</t>
        </is>
      </c>
      <c r="I1283" t="n">
        <v>3.9</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49716-2022</t>
        </is>
      </c>
      <c r="B1284" t="inlineStr">
        <is>
          <t>avverkningsanmälan</t>
        </is>
      </c>
      <c r="C1284" t="inlineStr">
        <is>
          <t>Föryngringsavverkning</t>
        </is>
      </c>
      <c r="D1284" s="1" t="n">
        <v>44862</v>
      </c>
      <c r="E1284" s="1" t="n">
        <v>46326</v>
      </c>
      <c r="F1284" t="inlineStr">
        <is>
          <t>GÄVLEBORGS LÄN</t>
        </is>
      </c>
      <c r="G1284" t="inlineStr">
        <is>
          <t>LJUSDAL</t>
        </is>
      </c>
      <c r="I1284" t="n">
        <v>13.7</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54660-2022</t>
        </is>
      </c>
      <c r="B1285" t="inlineStr">
        <is>
          <t>avverkningsanmälan</t>
        </is>
      </c>
      <c r="C1285" t="inlineStr">
        <is>
          <t>Föryngringsavverkning</t>
        </is>
      </c>
      <c r="D1285" s="1" t="n">
        <v>44883</v>
      </c>
      <c r="E1285" s="1" t="n">
        <v>46326</v>
      </c>
      <c r="F1285" t="inlineStr">
        <is>
          <t>GÄVLEBORGS LÄN</t>
        </is>
      </c>
      <c r="G1285" t="inlineStr">
        <is>
          <t>OVANÅKER</t>
        </is>
      </c>
      <c r="I1285" t="n">
        <v>1.9</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50818-2022</t>
        </is>
      </c>
      <c r="B1286" t="inlineStr">
        <is>
          <t>avverkningsanmälan</t>
        </is>
      </c>
      <c r="C1286" t="inlineStr">
        <is>
          <t>Föryngringsavverkning</t>
        </is>
      </c>
      <c r="D1286" s="1" t="n">
        <v>44867</v>
      </c>
      <c r="E1286" s="1" t="n">
        <v>46326</v>
      </c>
      <c r="F1286" t="inlineStr">
        <is>
          <t>GÄVLEBORGS LÄN</t>
        </is>
      </c>
      <c r="G1286" t="inlineStr">
        <is>
          <t>HUDIKSVALL</t>
        </is>
      </c>
      <c r="I1286" t="n">
        <v>0.9</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24208-2022</t>
        </is>
      </c>
      <c r="B1287" t="inlineStr">
        <is>
          <t>avverkningsanmälan</t>
        </is>
      </c>
      <c r="C1287" t="inlineStr">
        <is>
          <t>Föryngringsavverkning</t>
        </is>
      </c>
      <c r="D1287" s="1" t="n">
        <v>44725</v>
      </c>
      <c r="E1287" s="1" t="n">
        <v>46326</v>
      </c>
      <c r="F1287" t="inlineStr">
        <is>
          <t>GÄVLEBORGS LÄN</t>
        </is>
      </c>
      <c r="G1287" t="inlineStr">
        <is>
          <t>LJUSDAL</t>
        </is>
      </c>
      <c r="I1287" t="n">
        <v>1.4</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39450-2022</t>
        </is>
      </c>
      <c r="B1288" t="inlineStr">
        <is>
          <t>avverkningsanmälan</t>
        </is>
      </c>
      <c r="C1288" t="inlineStr">
        <is>
          <t>Föryngringsavverkning</t>
        </is>
      </c>
      <c r="D1288" s="1" t="n">
        <v>44818</v>
      </c>
      <c r="E1288" s="1" t="n">
        <v>46326</v>
      </c>
      <c r="F1288" t="inlineStr">
        <is>
          <t>GÄVLEBORGS LÄN</t>
        </is>
      </c>
      <c r="G1288" t="inlineStr">
        <is>
          <t>OVANÅKER</t>
        </is>
      </c>
      <c r="I1288" t="n">
        <v>2.3</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40468-2022</t>
        </is>
      </c>
      <c r="B1289" t="inlineStr">
        <is>
          <t>avverkningsanmälan</t>
        </is>
      </c>
      <c r="C1289" t="inlineStr">
        <is>
          <t>Föryngringsavverkning</t>
        </is>
      </c>
      <c r="D1289" s="1" t="n">
        <v>44823</v>
      </c>
      <c r="E1289" s="1" t="n">
        <v>46326</v>
      </c>
      <c r="F1289" t="inlineStr">
        <is>
          <t>GÄVLEBORGS LÄN</t>
        </is>
      </c>
      <c r="G1289" t="inlineStr">
        <is>
          <t>SÖDERHAMN</t>
        </is>
      </c>
      <c r="I1289" t="n">
        <v>1</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31535-2022</t>
        </is>
      </c>
      <c r="B1290" t="inlineStr">
        <is>
          <t>avverkningsanmälan</t>
        </is>
      </c>
      <c r="C1290" t="inlineStr">
        <is>
          <t>Föryngringsavverkning</t>
        </is>
      </c>
      <c r="D1290" s="1" t="n">
        <v>44775</v>
      </c>
      <c r="E1290" s="1" t="n">
        <v>46326</v>
      </c>
      <c r="F1290" t="inlineStr">
        <is>
          <t>GÄVLEBORGS LÄN</t>
        </is>
      </c>
      <c r="G1290" t="inlineStr">
        <is>
          <t>GÄVLE</t>
        </is>
      </c>
      <c r="I1290" t="n">
        <v>8</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19741-2022</t>
        </is>
      </c>
      <c r="B1291" t="inlineStr">
        <is>
          <t>avverkningsanmälan</t>
        </is>
      </c>
      <c r="C1291" t="inlineStr">
        <is>
          <t>Föryngringsavverkning</t>
        </is>
      </c>
      <c r="D1291" s="1" t="n">
        <v>44694</v>
      </c>
      <c r="E1291" s="1" t="n">
        <v>46326</v>
      </c>
      <c r="F1291" t="inlineStr">
        <is>
          <t>GÄVLEBORGS LÄN</t>
        </is>
      </c>
      <c r="G1291" t="inlineStr">
        <is>
          <t>OVANÅKER</t>
        </is>
      </c>
      <c r="I1291" t="n">
        <v>0.4</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48080-2022</t>
        </is>
      </c>
      <c r="B1292" t="inlineStr">
        <is>
          <t>avverkningsanmälan</t>
        </is>
      </c>
      <c r="C1292" t="inlineStr">
        <is>
          <t>Föryngringsavverkning</t>
        </is>
      </c>
      <c r="D1292" s="1" t="n">
        <v>44855</v>
      </c>
      <c r="E1292" s="1" t="n">
        <v>46326</v>
      </c>
      <c r="F1292" t="inlineStr">
        <is>
          <t>GÄVLEBORGS LÄN</t>
        </is>
      </c>
      <c r="G1292" t="inlineStr">
        <is>
          <t>NORDANSTIG</t>
        </is>
      </c>
      <c r="H1292" t="inlineStr">
        <is>
          <t>SCA</t>
        </is>
      </c>
      <c r="I1292" t="n">
        <v>12.1</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30391-2022</t>
        </is>
      </c>
      <c r="B1293" t="inlineStr">
        <is>
          <t>avverkningsanmälan</t>
        </is>
      </c>
      <c r="C1293" t="inlineStr">
        <is>
          <t>Föryngringsavverkning</t>
        </is>
      </c>
      <c r="D1293" s="1" t="n">
        <v>44760</v>
      </c>
      <c r="E1293" s="1" t="n">
        <v>46326</v>
      </c>
      <c r="F1293" t="inlineStr">
        <is>
          <t>GÄVLEBORGS LÄN</t>
        </is>
      </c>
      <c r="G1293" t="inlineStr">
        <is>
          <t>SANDVIKEN</t>
        </is>
      </c>
      <c r="H1293" t="inlineStr">
        <is>
          <t>Sveaskog</t>
        </is>
      </c>
      <c r="I1293" t="n">
        <v>3</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33568-2022</t>
        </is>
      </c>
      <c r="B1294" t="inlineStr">
        <is>
          <t>avverkningsanmälan</t>
        </is>
      </c>
      <c r="C1294" t="inlineStr">
        <is>
          <t>Föryngringsavverkning</t>
        </is>
      </c>
      <c r="D1294" s="1" t="n">
        <v>44789</v>
      </c>
      <c r="E1294" s="1" t="n">
        <v>46326</v>
      </c>
      <c r="F1294" t="inlineStr">
        <is>
          <t>GÄVLEBORGS LÄN</t>
        </is>
      </c>
      <c r="G1294" t="inlineStr">
        <is>
          <t>LJUSDAL</t>
        </is>
      </c>
      <c r="H1294" t="inlineStr">
        <is>
          <t>Bergvik skog väst AB</t>
        </is>
      </c>
      <c r="I1294" t="n">
        <v>1.1</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68245-2021</t>
        </is>
      </c>
      <c r="B1295" t="inlineStr">
        <is>
          <t>avverkningsanmälan</t>
        </is>
      </c>
      <c r="C1295" t="inlineStr">
        <is>
          <t>Föryngringsavverkning</t>
        </is>
      </c>
      <c r="D1295" s="1" t="n">
        <v>44526</v>
      </c>
      <c r="E1295" s="1" t="n">
        <v>46326</v>
      </c>
      <c r="F1295" t="inlineStr">
        <is>
          <t>GÄVLEBORGS LÄN</t>
        </is>
      </c>
      <c r="G1295" t="inlineStr">
        <is>
          <t>OVANÅKER</t>
        </is>
      </c>
      <c r="I1295" t="n">
        <v>0.6</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34939-2022</t>
        </is>
      </c>
      <c r="B1296" t="inlineStr">
        <is>
          <t>avverkningsanmälan</t>
        </is>
      </c>
      <c r="C1296" t="inlineStr">
        <is>
          <t>Föryngringsavverkning</t>
        </is>
      </c>
      <c r="D1296" s="1" t="n">
        <v>44796</v>
      </c>
      <c r="E1296" s="1" t="n">
        <v>46326</v>
      </c>
      <c r="F1296" t="inlineStr">
        <is>
          <t>GÄVLEBORGS LÄN</t>
        </is>
      </c>
      <c r="G1296" t="inlineStr">
        <is>
          <t>BOLLNÄS</t>
        </is>
      </c>
      <c r="I1296" t="n">
        <v>0.9</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26940-2022</t>
        </is>
      </c>
      <c r="B1297" t="inlineStr">
        <is>
          <t>avverkningsanmälan</t>
        </is>
      </c>
      <c r="C1297" t="inlineStr">
        <is>
          <t>Föryngringsavverkning</t>
        </is>
      </c>
      <c r="D1297" s="1" t="n">
        <v>44740</v>
      </c>
      <c r="E1297" s="1" t="n">
        <v>46326</v>
      </c>
      <c r="F1297" t="inlineStr">
        <is>
          <t>GÄVLEBORGS LÄN</t>
        </is>
      </c>
      <c r="G1297" t="inlineStr">
        <is>
          <t>SÖDERHAMN</t>
        </is>
      </c>
      <c r="I1297" t="n">
        <v>0.3</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70914-2021</t>
        </is>
      </c>
      <c r="B1298" t="inlineStr">
        <is>
          <t>avverkningsanmälan</t>
        </is>
      </c>
      <c r="C1298" t="inlineStr">
        <is>
          <t>Föryngringsavverkning</t>
        </is>
      </c>
      <c r="D1298" s="1" t="n">
        <v>44538</v>
      </c>
      <c r="E1298" s="1" t="n">
        <v>46326</v>
      </c>
      <c r="F1298" t="inlineStr">
        <is>
          <t>GÄVLEBORGS LÄN</t>
        </is>
      </c>
      <c r="G1298" t="inlineStr">
        <is>
          <t>BOLLNÄS</t>
        </is>
      </c>
      <c r="I1298" t="n">
        <v>1.7</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62538-2021</t>
        </is>
      </c>
      <c r="B1299" t="inlineStr">
        <is>
          <t>avverkningsanmälan</t>
        </is>
      </c>
      <c r="C1299" t="inlineStr">
        <is>
          <t>Föryngringsavverkning</t>
        </is>
      </c>
      <c r="D1299" s="1" t="n">
        <v>44503</v>
      </c>
      <c r="E1299" s="1" t="n">
        <v>46326</v>
      </c>
      <c r="F1299" t="inlineStr">
        <is>
          <t>GÄVLEBORGS LÄN</t>
        </is>
      </c>
      <c r="G1299" t="inlineStr">
        <is>
          <t>SÖDERHAMN</t>
        </is>
      </c>
      <c r="I1299" t="n">
        <v>0.7</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70219-2021</t>
        </is>
      </c>
      <c r="B1300" t="inlineStr">
        <is>
          <t>avverkningsanmälan</t>
        </is>
      </c>
      <c r="C1300" t="inlineStr">
        <is>
          <t>Föryngringsavverkning</t>
        </is>
      </c>
      <c r="D1300" s="1" t="n">
        <v>44535</v>
      </c>
      <c r="E1300" s="1" t="n">
        <v>46326</v>
      </c>
      <c r="F1300" t="inlineStr">
        <is>
          <t>GÄVLEBORGS LÄN</t>
        </is>
      </c>
      <c r="G1300" t="inlineStr">
        <is>
          <t>HUDIKSVALL</t>
        </is>
      </c>
      <c r="I1300" t="n">
        <v>1.5</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24347-2022</t>
        </is>
      </c>
      <c r="B1301" t="inlineStr">
        <is>
          <t>avverkningsanmälan</t>
        </is>
      </c>
      <c r="C1301" t="inlineStr">
        <is>
          <t>Föryngringsavverkning</t>
        </is>
      </c>
      <c r="D1301" s="1" t="n">
        <v>44726</v>
      </c>
      <c r="E1301" s="1" t="n">
        <v>46326</v>
      </c>
      <c r="F1301" t="inlineStr">
        <is>
          <t>GÄVLEBORGS LÄN</t>
        </is>
      </c>
      <c r="G1301" t="inlineStr">
        <is>
          <t>LJUSDAL</t>
        </is>
      </c>
      <c r="I1301" t="n">
        <v>1.7</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7102-2022</t>
        </is>
      </c>
      <c r="B1302" t="inlineStr">
        <is>
          <t>avverkningsanmälan</t>
        </is>
      </c>
      <c r="C1302" t="inlineStr">
        <is>
          <t>Föryngringsavverkning</t>
        </is>
      </c>
      <c r="D1302" s="1" t="n">
        <v>44603</v>
      </c>
      <c r="E1302" s="1" t="n">
        <v>46326</v>
      </c>
      <c r="F1302" t="inlineStr">
        <is>
          <t>GÄVLEBORGS LÄN</t>
        </is>
      </c>
      <c r="G1302" t="inlineStr">
        <is>
          <t>BOLLNÄS</t>
        </is>
      </c>
      <c r="I1302" t="n">
        <v>1.9</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1634-2022</t>
        </is>
      </c>
      <c r="B1303" t="inlineStr">
        <is>
          <t>avverkningsanmälan</t>
        </is>
      </c>
      <c r="C1303" t="inlineStr">
        <is>
          <t>Föryngringsavverkning</t>
        </is>
      </c>
      <c r="D1303" s="1" t="n">
        <v>44573</v>
      </c>
      <c r="E1303" s="1" t="n">
        <v>46326</v>
      </c>
      <c r="F1303" t="inlineStr">
        <is>
          <t>GÄVLEBORGS LÄN</t>
        </is>
      </c>
      <c r="G1303" t="inlineStr">
        <is>
          <t>GÄVLE</t>
        </is>
      </c>
      <c r="I1303" t="n">
        <v>2.9</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15704-2022</t>
        </is>
      </c>
      <c r="B1304" t="inlineStr">
        <is>
          <t>avverkningsanmälan</t>
        </is>
      </c>
      <c r="C1304" t="inlineStr">
        <is>
          <t>Föryngringsavverkning</t>
        </is>
      </c>
      <c r="D1304" s="1" t="n">
        <v>44663</v>
      </c>
      <c r="E1304" s="1" t="n">
        <v>46326</v>
      </c>
      <c r="F1304" t="inlineStr">
        <is>
          <t>GÄVLEBORGS LÄN</t>
        </is>
      </c>
      <c r="G1304" t="inlineStr">
        <is>
          <t>GÄVLE</t>
        </is>
      </c>
      <c r="I1304" t="n">
        <v>0.5</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15269-2022</t>
        </is>
      </c>
      <c r="B1305" t="inlineStr">
        <is>
          <t>avverkningsanmälan</t>
        </is>
      </c>
      <c r="C1305" t="inlineStr">
        <is>
          <t>Föryngringsavverkning</t>
        </is>
      </c>
      <c r="D1305" s="1" t="n">
        <v>44659</v>
      </c>
      <c r="E1305" s="1" t="n">
        <v>46326</v>
      </c>
      <c r="F1305" t="inlineStr">
        <is>
          <t>GÄVLEBORGS LÄN</t>
        </is>
      </c>
      <c r="G1305" t="inlineStr">
        <is>
          <t>BOLLNÄS</t>
        </is>
      </c>
      <c r="I1305" t="n">
        <v>0.7</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53673-2022</t>
        </is>
      </c>
      <c r="B1306" t="inlineStr">
        <is>
          <t>avverkningsanmälan</t>
        </is>
      </c>
      <c r="C1306" t="inlineStr">
        <is>
          <t>Föryngringsavverkning</t>
        </is>
      </c>
      <c r="D1306" s="1" t="n">
        <v>44879</v>
      </c>
      <c r="E1306" s="1" t="n">
        <v>46326</v>
      </c>
      <c r="F1306" t="inlineStr">
        <is>
          <t>GÄVLEBORGS LÄN</t>
        </is>
      </c>
      <c r="G1306" t="inlineStr">
        <is>
          <t>NORDANSTIG</t>
        </is>
      </c>
      <c r="H1306" t="inlineStr">
        <is>
          <t>SCA</t>
        </is>
      </c>
      <c r="I1306" t="n">
        <v>2.1</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40342-2022</t>
        </is>
      </c>
      <c r="B1307" t="inlineStr">
        <is>
          <t>avverkningsanmälan</t>
        </is>
      </c>
      <c r="C1307" t="inlineStr">
        <is>
          <t>Föryngringsavverkning</t>
        </is>
      </c>
      <c r="D1307" s="1" t="n">
        <v>44823</v>
      </c>
      <c r="E1307" s="1" t="n">
        <v>46326</v>
      </c>
      <c r="F1307" t="inlineStr">
        <is>
          <t>GÄVLEBORGS LÄN</t>
        </is>
      </c>
      <c r="G1307" t="inlineStr">
        <is>
          <t>NORDANSTIG</t>
        </is>
      </c>
      <c r="H1307" t="inlineStr">
        <is>
          <t>Holmen skog AB</t>
        </is>
      </c>
      <c r="I1307" t="n">
        <v>1.6</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17487-2022</t>
        </is>
      </c>
      <c r="B1308" t="inlineStr">
        <is>
          <t>avverkningsanmälan</t>
        </is>
      </c>
      <c r="C1308" t="inlineStr">
        <is>
          <t>Föryngringsavverkning</t>
        </is>
      </c>
      <c r="D1308" s="1" t="n">
        <v>44679</v>
      </c>
      <c r="E1308" s="1" t="n">
        <v>46326</v>
      </c>
      <c r="F1308" t="inlineStr">
        <is>
          <t>GÄVLEBORGS LÄN</t>
        </is>
      </c>
      <c r="G1308" t="inlineStr">
        <is>
          <t>LJUSDAL</t>
        </is>
      </c>
      <c r="H1308" t="inlineStr">
        <is>
          <t>Holmen skog AB</t>
        </is>
      </c>
      <c r="I1308" t="n">
        <v>0.4</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16646-2022</t>
        </is>
      </c>
      <c r="B1309" t="inlineStr">
        <is>
          <t>avverkningsanmälan</t>
        </is>
      </c>
      <c r="C1309" t="inlineStr">
        <is>
          <t>Föryngringsavverkning</t>
        </is>
      </c>
      <c r="D1309" s="1" t="n">
        <v>44672</v>
      </c>
      <c r="E1309" s="1" t="n">
        <v>46326</v>
      </c>
      <c r="F1309" t="inlineStr">
        <is>
          <t>GÄVLEBORGS LÄN</t>
        </is>
      </c>
      <c r="G1309" t="inlineStr">
        <is>
          <t>BOLLNÄS</t>
        </is>
      </c>
      <c r="I1309" t="n">
        <v>0.5</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54897-2022</t>
        </is>
      </c>
      <c r="B1310" t="inlineStr">
        <is>
          <t>avverkningsanmälan</t>
        </is>
      </c>
      <c r="C1310" t="inlineStr">
        <is>
          <t>Föryngringsavverkning</t>
        </is>
      </c>
      <c r="D1310" s="1" t="n">
        <v>44886</v>
      </c>
      <c r="E1310" s="1" t="n">
        <v>46326</v>
      </c>
      <c r="F1310" t="inlineStr">
        <is>
          <t>GÄVLEBORGS LÄN</t>
        </is>
      </c>
      <c r="G1310" t="inlineStr">
        <is>
          <t>BOLLNÄS</t>
        </is>
      </c>
      <c r="I1310" t="n">
        <v>1</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46256-2022</t>
        </is>
      </c>
      <c r="B1311" t="inlineStr">
        <is>
          <t>avverkningsanmälan</t>
        </is>
      </c>
      <c r="C1311" t="inlineStr">
        <is>
          <t>Föryngringsavverkning</t>
        </is>
      </c>
      <c r="D1311" s="1" t="n">
        <v>44847</v>
      </c>
      <c r="E1311" s="1" t="n">
        <v>46326</v>
      </c>
      <c r="F1311" t="inlineStr">
        <is>
          <t>GÄVLEBORGS LÄN</t>
        </is>
      </c>
      <c r="G1311" t="inlineStr">
        <is>
          <t>LJUSDAL</t>
        </is>
      </c>
      <c r="H1311" t="inlineStr">
        <is>
          <t>Holmen skog AB</t>
        </is>
      </c>
      <c r="I1311" t="n">
        <v>2.5</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42629-2022</t>
        </is>
      </c>
      <c r="B1312" t="inlineStr">
        <is>
          <t>avverkningsanmälan</t>
        </is>
      </c>
      <c r="C1312" t="inlineStr">
        <is>
          <t>Föryngringsavverkning</t>
        </is>
      </c>
      <c r="D1312" s="1" t="n">
        <v>44831</v>
      </c>
      <c r="E1312" s="1" t="n">
        <v>46326</v>
      </c>
      <c r="F1312" t="inlineStr">
        <is>
          <t>GÄVLEBORGS LÄN</t>
        </is>
      </c>
      <c r="G1312" t="inlineStr">
        <is>
          <t>NORDANSTIG</t>
        </is>
      </c>
      <c r="I1312" t="n">
        <v>4.5</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54706-2022</t>
        </is>
      </c>
      <c r="B1313" t="inlineStr">
        <is>
          <t>avverkningsanmälan</t>
        </is>
      </c>
      <c r="C1313" t="inlineStr">
        <is>
          <t>Avverkning för annat ändamål</t>
        </is>
      </c>
      <c r="D1313" s="1" t="n">
        <v>44883</v>
      </c>
      <c r="E1313" s="1" t="n">
        <v>46326</v>
      </c>
      <c r="F1313" t="inlineStr">
        <is>
          <t>GÄVLEBORGS LÄN</t>
        </is>
      </c>
      <c r="G1313" t="inlineStr">
        <is>
          <t>HUDIKSVALL</t>
        </is>
      </c>
      <c r="I1313" t="n">
        <v>1.8</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54731-2022</t>
        </is>
      </c>
      <c r="B1314" t="inlineStr">
        <is>
          <t>avverkningsanmälan</t>
        </is>
      </c>
      <c r="C1314" t="inlineStr">
        <is>
          <t>Föryngringsavverkning</t>
        </is>
      </c>
      <c r="D1314" s="1" t="n">
        <v>44883</v>
      </c>
      <c r="E1314" s="1" t="n">
        <v>46326</v>
      </c>
      <c r="F1314" t="inlineStr">
        <is>
          <t>GÄVLEBORGS LÄN</t>
        </is>
      </c>
      <c r="G1314" t="inlineStr">
        <is>
          <t>OVANÅKER</t>
        </is>
      </c>
      <c r="I1314" t="n">
        <v>21.8</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46302-2022</t>
        </is>
      </c>
      <c r="B1315" t="inlineStr">
        <is>
          <t>avverkningsanmälan</t>
        </is>
      </c>
      <c r="C1315" t="inlineStr">
        <is>
          <t>Föryngringsavverkning</t>
        </is>
      </c>
      <c r="D1315" s="1" t="n">
        <v>44847</v>
      </c>
      <c r="E1315" s="1" t="n">
        <v>46326</v>
      </c>
      <c r="F1315" t="inlineStr">
        <is>
          <t>GÄVLEBORGS LÄN</t>
        </is>
      </c>
      <c r="G1315" t="inlineStr">
        <is>
          <t>SÖDERHAMN</t>
        </is>
      </c>
      <c r="I1315" t="n">
        <v>0.4</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54393-2022</t>
        </is>
      </c>
      <c r="B1316" t="inlineStr">
        <is>
          <t>avverkningsanmälan</t>
        </is>
      </c>
      <c r="C1316" t="inlineStr">
        <is>
          <t>Föryngringsavverkning</t>
        </is>
      </c>
      <c r="D1316" s="1" t="n">
        <v>44882</v>
      </c>
      <c r="E1316" s="1" t="n">
        <v>46326</v>
      </c>
      <c r="F1316" t="inlineStr">
        <is>
          <t>GÄVLEBORGS LÄN</t>
        </is>
      </c>
      <c r="G1316" t="inlineStr">
        <is>
          <t>GÄVLE</t>
        </is>
      </c>
      <c r="I1316" t="n">
        <v>0.9</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23881-2022</t>
        </is>
      </c>
      <c r="B1317" t="inlineStr">
        <is>
          <t>avverkningsanmälan</t>
        </is>
      </c>
      <c r="C1317" t="inlineStr">
        <is>
          <t>Föryngringsavverkning</t>
        </is>
      </c>
      <c r="D1317" s="1" t="n">
        <v>44722</v>
      </c>
      <c r="E1317" s="1" t="n">
        <v>46326</v>
      </c>
      <c r="F1317" t="inlineStr">
        <is>
          <t>GÄVLEBORGS LÄN</t>
        </is>
      </c>
      <c r="G1317" t="inlineStr">
        <is>
          <t>NORDANSTIG</t>
        </is>
      </c>
      <c r="H1317" t="inlineStr">
        <is>
          <t>Holmen skog AB</t>
        </is>
      </c>
      <c r="I1317" t="n">
        <v>1.4</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50235-2022</t>
        </is>
      </c>
      <c r="B1318" t="inlineStr">
        <is>
          <t>avverkningsanmälan</t>
        </is>
      </c>
      <c r="C1318" t="inlineStr">
        <is>
          <t>Föryngringsavverkning</t>
        </is>
      </c>
      <c r="D1318" s="1" t="n">
        <v>44865</v>
      </c>
      <c r="E1318" s="1" t="n">
        <v>46326</v>
      </c>
      <c r="F1318" t="inlineStr">
        <is>
          <t>GÄVLEBORGS LÄN</t>
        </is>
      </c>
      <c r="G1318" t="inlineStr">
        <is>
          <t>HUDIKSVALL</t>
        </is>
      </c>
      <c r="I1318" t="n">
        <v>0.5</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38800-2022</t>
        </is>
      </c>
      <c r="B1319" t="inlineStr">
        <is>
          <t>avverkningsanmälan</t>
        </is>
      </c>
      <c r="C1319" t="inlineStr">
        <is>
          <t>Föryngringsavverkning</t>
        </is>
      </c>
      <c r="D1319" s="1" t="n">
        <v>44816</v>
      </c>
      <c r="E1319" s="1" t="n">
        <v>46326</v>
      </c>
      <c r="F1319" t="inlineStr">
        <is>
          <t>GÄVLEBORGS LÄN</t>
        </is>
      </c>
      <c r="G1319" t="inlineStr">
        <is>
          <t>NORDANSTIG</t>
        </is>
      </c>
      <c r="H1319" t="inlineStr">
        <is>
          <t>Holmen skog AB</t>
        </is>
      </c>
      <c r="I1319" t="n">
        <v>0.8</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48381-2022</t>
        </is>
      </c>
      <c r="B1320" t="inlineStr">
        <is>
          <t>avverkningsanmälan</t>
        </is>
      </c>
      <c r="C1320" t="inlineStr">
        <is>
          <t>Föryngringsavverkning</t>
        </is>
      </c>
      <c r="D1320" s="1" t="n">
        <v>44858</v>
      </c>
      <c r="E1320" s="1" t="n">
        <v>46326</v>
      </c>
      <c r="F1320" t="inlineStr">
        <is>
          <t>GÄVLEBORGS LÄN</t>
        </is>
      </c>
      <c r="G1320" t="inlineStr">
        <is>
          <t>OCKELBO</t>
        </is>
      </c>
      <c r="H1320" t="inlineStr">
        <is>
          <t>Bergvik skog väst AB</t>
        </is>
      </c>
      <c r="I1320" t="n">
        <v>1.1</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40575-2022</t>
        </is>
      </c>
      <c r="B1321" t="inlineStr">
        <is>
          <t>avverkningsanmälan</t>
        </is>
      </c>
      <c r="C1321" t="inlineStr">
        <is>
          <t>Föryngringsavverkning</t>
        </is>
      </c>
      <c r="D1321" s="1" t="n">
        <v>44823</v>
      </c>
      <c r="E1321" s="1" t="n">
        <v>46326</v>
      </c>
      <c r="F1321" t="inlineStr">
        <is>
          <t>GÄVLEBORGS LÄN</t>
        </is>
      </c>
      <c r="G1321" t="inlineStr">
        <is>
          <t>SÖDERHAMN</t>
        </is>
      </c>
      <c r="I1321" t="n">
        <v>1.4</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63783-2021</t>
        </is>
      </c>
      <c r="B1322" t="inlineStr">
        <is>
          <t>avverkningsanmälan</t>
        </is>
      </c>
      <c r="C1322" t="inlineStr">
        <is>
          <t>Föryngringsavverkning</t>
        </is>
      </c>
      <c r="D1322" s="1" t="n">
        <v>44509</v>
      </c>
      <c r="E1322" s="1" t="n">
        <v>46326</v>
      </c>
      <c r="F1322" t="inlineStr">
        <is>
          <t>GÄVLEBORGS LÄN</t>
        </is>
      </c>
      <c r="G1322" t="inlineStr">
        <is>
          <t>HUDIKSVALL</t>
        </is>
      </c>
      <c r="I1322" t="n">
        <v>1.2</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46961-2022</t>
        </is>
      </c>
      <c r="B1323" t="inlineStr">
        <is>
          <t>avverkningsanmälan</t>
        </is>
      </c>
      <c r="C1323" t="inlineStr">
        <is>
          <t>Föryngringsavverkning</t>
        </is>
      </c>
      <c r="D1323" s="1" t="n">
        <v>44851</v>
      </c>
      <c r="E1323" s="1" t="n">
        <v>46326</v>
      </c>
      <c r="F1323" t="inlineStr">
        <is>
          <t>GÄVLEBORGS LÄN</t>
        </is>
      </c>
      <c r="G1323" t="inlineStr">
        <is>
          <t>BOLLNÄS</t>
        </is>
      </c>
      <c r="H1323" t="inlineStr">
        <is>
          <t>Bergvik skog väst AB</t>
        </is>
      </c>
      <c r="I1323" t="n">
        <v>0.4</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534-2022</t>
        </is>
      </c>
      <c r="B1324" t="inlineStr">
        <is>
          <t>avverkningsanmälan</t>
        </is>
      </c>
      <c r="C1324" t="inlineStr">
        <is>
          <t>Föryngringsavverkning</t>
        </is>
      </c>
      <c r="D1324" s="1" t="n">
        <v>44566</v>
      </c>
      <c r="E1324" s="1" t="n">
        <v>46326</v>
      </c>
      <c r="F1324" t="inlineStr">
        <is>
          <t>GÄVLEBORGS LÄN</t>
        </is>
      </c>
      <c r="G1324" t="inlineStr">
        <is>
          <t>BOLLNÄS</t>
        </is>
      </c>
      <c r="I1324" t="n">
        <v>2.5</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52226-2022</t>
        </is>
      </c>
      <c r="B1325" t="inlineStr">
        <is>
          <t>avverkningsanmälan</t>
        </is>
      </c>
      <c r="C1325" t="inlineStr">
        <is>
          <t>Avverkning för annat ändamål</t>
        </is>
      </c>
      <c r="D1325" s="1" t="n">
        <v>44873</v>
      </c>
      <c r="E1325" s="1" t="n">
        <v>46326</v>
      </c>
      <c r="F1325" t="inlineStr">
        <is>
          <t>GÄVLEBORGS LÄN</t>
        </is>
      </c>
      <c r="G1325" t="inlineStr">
        <is>
          <t>LJUSDAL</t>
        </is>
      </c>
      <c r="I1325" t="n">
        <v>0.6</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54398-2022</t>
        </is>
      </c>
      <c r="B1326" t="inlineStr">
        <is>
          <t>avverkningsanmälan</t>
        </is>
      </c>
      <c r="C1326" t="inlineStr">
        <is>
          <t>Föryngringsavverkning</t>
        </is>
      </c>
      <c r="D1326" s="1" t="n">
        <v>44882</v>
      </c>
      <c r="E1326" s="1" t="n">
        <v>46326</v>
      </c>
      <c r="F1326" t="inlineStr">
        <is>
          <t>GÄVLEBORGS LÄN</t>
        </is>
      </c>
      <c r="G1326" t="inlineStr">
        <is>
          <t>BOLLNÄS</t>
        </is>
      </c>
      <c r="I1326" t="n">
        <v>0.5</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54546-2022</t>
        </is>
      </c>
      <c r="B1327" t="inlineStr">
        <is>
          <t>avverkningsanmälan</t>
        </is>
      </c>
      <c r="C1327" t="inlineStr">
        <is>
          <t>Föryngringsavverkning</t>
        </is>
      </c>
      <c r="D1327" s="1" t="n">
        <v>44882</v>
      </c>
      <c r="E1327" s="1" t="n">
        <v>46326</v>
      </c>
      <c r="F1327" t="inlineStr">
        <is>
          <t>GÄVLEBORGS LÄN</t>
        </is>
      </c>
      <c r="G1327" t="inlineStr">
        <is>
          <t>BOLLNÄS</t>
        </is>
      </c>
      <c r="I1327" t="n">
        <v>2</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486-2022</t>
        </is>
      </c>
      <c r="B1328" t="inlineStr">
        <is>
          <t>avverkningsanmälan</t>
        </is>
      </c>
      <c r="C1328" t="inlineStr">
        <is>
          <t>Föryngringsavverkning</t>
        </is>
      </c>
      <c r="D1328" s="1" t="n">
        <v>44566</v>
      </c>
      <c r="E1328" s="1" t="n">
        <v>46326</v>
      </c>
      <c r="F1328" t="inlineStr">
        <is>
          <t>GÄVLEBORGS LÄN</t>
        </is>
      </c>
      <c r="G1328" t="inlineStr">
        <is>
          <t>HUDIKSVALL</t>
        </is>
      </c>
      <c r="I1328" t="n">
        <v>3.5</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45494-2022</t>
        </is>
      </c>
      <c r="B1329" t="inlineStr">
        <is>
          <t>avverkningsanmälan</t>
        </is>
      </c>
      <c r="C1329" t="inlineStr">
        <is>
          <t>Föryngringsavverkning</t>
        </is>
      </c>
      <c r="D1329" s="1" t="n">
        <v>44841</v>
      </c>
      <c r="E1329" s="1" t="n">
        <v>46326</v>
      </c>
      <c r="F1329" t="inlineStr">
        <is>
          <t>GÄVLEBORGS LÄN</t>
        </is>
      </c>
      <c r="G1329" t="inlineStr">
        <is>
          <t>SÖDERHAMN</t>
        </is>
      </c>
      <c r="I1329" t="n">
        <v>1.2</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7592-2022</t>
        </is>
      </c>
      <c r="B1330" t="inlineStr">
        <is>
          <t>avverkningsanmälan</t>
        </is>
      </c>
      <c r="C1330" t="inlineStr">
        <is>
          <t>Föryngringsavverkning</t>
        </is>
      </c>
      <c r="D1330" s="1" t="n">
        <v>44607</v>
      </c>
      <c r="E1330" s="1" t="n">
        <v>46326</v>
      </c>
      <c r="F1330" t="inlineStr">
        <is>
          <t>GÄVLEBORGS LÄN</t>
        </is>
      </c>
      <c r="G1330" t="inlineStr">
        <is>
          <t>LJUSDAL</t>
        </is>
      </c>
      <c r="H1330" t="inlineStr">
        <is>
          <t>Holmen skog AB</t>
        </is>
      </c>
      <c r="I1330" t="n">
        <v>1.1</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13401-2022</t>
        </is>
      </c>
      <c r="B1331" t="inlineStr">
        <is>
          <t>avverkningsanmälan</t>
        </is>
      </c>
      <c r="C1331" t="inlineStr">
        <is>
          <t>Föryngringsavverkning</t>
        </is>
      </c>
      <c r="D1331" s="1" t="n">
        <v>44645</v>
      </c>
      <c r="E1331" s="1" t="n">
        <v>46326</v>
      </c>
      <c r="F1331" t="inlineStr">
        <is>
          <t>GÄVLEBORGS LÄN</t>
        </is>
      </c>
      <c r="G1331" t="inlineStr">
        <is>
          <t>BOLLNÄS</t>
        </is>
      </c>
      <c r="I1331" t="n">
        <v>1.1</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15876-2022</t>
        </is>
      </c>
      <c r="B1332" t="inlineStr">
        <is>
          <t>avverkningsanmälan</t>
        </is>
      </c>
      <c r="C1332" t="inlineStr">
        <is>
          <t>Föryngringsavverkning</t>
        </is>
      </c>
      <c r="D1332" s="1" t="n">
        <v>44664</v>
      </c>
      <c r="E1332" s="1" t="n">
        <v>46326</v>
      </c>
      <c r="F1332" t="inlineStr">
        <is>
          <t>GÄVLEBORGS LÄN</t>
        </is>
      </c>
      <c r="G1332" t="inlineStr">
        <is>
          <t>HUDIKSVALL</t>
        </is>
      </c>
      <c r="H1332" t="inlineStr">
        <is>
          <t>Holmen skog AB</t>
        </is>
      </c>
      <c r="I1332" t="n">
        <v>1.8</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19143-2022</t>
        </is>
      </c>
      <c r="B1333" t="inlineStr">
        <is>
          <t>avverkningsanmälan</t>
        </is>
      </c>
      <c r="C1333" t="inlineStr">
        <is>
          <t>Föryngringsavverkning</t>
        </is>
      </c>
      <c r="D1333" s="1" t="n">
        <v>44691</v>
      </c>
      <c r="E1333" s="1" t="n">
        <v>46326</v>
      </c>
      <c r="F1333" t="inlineStr">
        <is>
          <t>GÄVLEBORGS LÄN</t>
        </is>
      </c>
      <c r="G1333" t="inlineStr">
        <is>
          <t>BOLLNÄS</t>
        </is>
      </c>
      <c r="I1333" t="n">
        <v>0.5</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52276-2022</t>
        </is>
      </c>
      <c r="B1334" t="inlineStr">
        <is>
          <t>avverkningsanmälan</t>
        </is>
      </c>
      <c r="C1334" t="inlineStr">
        <is>
          <t>Föryngringsavverkning</t>
        </is>
      </c>
      <c r="D1334" s="1" t="n">
        <v>44873</v>
      </c>
      <c r="E1334" s="1" t="n">
        <v>46326</v>
      </c>
      <c r="F1334" t="inlineStr">
        <is>
          <t>GÄVLEBORGS LÄN</t>
        </is>
      </c>
      <c r="G1334" t="inlineStr">
        <is>
          <t>SANDVIKEN</t>
        </is>
      </c>
      <c r="I1334" t="n">
        <v>0.7</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21436-2022</t>
        </is>
      </c>
      <c r="B1335" t="inlineStr">
        <is>
          <t>avverkningsanmälan</t>
        </is>
      </c>
      <c r="C1335" t="inlineStr">
        <is>
          <t>Föryngringsavverkning</t>
        </is>
      </c>
      <c r="D1335" s="1" t="n">
        <v>44706</v>
      </c>
      <c r="E1335" s="1" t="n">
        <v>46326</v>
      </c>
      <c r="F1335" t="inlineStr">
        <is>
          <t>GÄVLEBORGS LÄN</t>
        </is>
      </c>
      <c r="G1335" t="inlineStr">
        <is>
          <t>HUDIKSVALL</t>
        </is>
      </c>
      <c r="I1335" t="n">
        <v>0.9</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64706-2021</t>
        </is>
      </c>
      <c r="B1336" t="inlineStr">
        <is>
          <t>avverkningsanmälan</t>
        </is>
      </c>
      <c r="C1336" t="inlineStr">
        <is>
          <t>Föryngringsavverkning</t>
        </is>
      </c>
      <c r="D1336" s="1" t="n">
        <v>44512</v>
      </c>
      <c r="E1336" s="1" t="n">
        <v>46326</v>
      </c>
      <c r="F1336" t="inlineStr">
        <is>
          <t>GÄVLEBORGS LÄN</t>
        </is>
      </c>
      <c r="G1336" t="inlineStr">
        <is>
          <t>HOFORS</t>
        </is>
      </c>
      <c r="I1336" t="n">
        <v>0.6</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29933-2022</t>
        </is>
      </c>
      <c r="B1337" t="inlineStr">
        <is>
          <t>avverkningsanmälan</t>
        </is>
      </c>
      <c r="C1337" t="inlineStr">
        <is>
          <t>Föryngringsavverkning</t>
        </is>
      </c>
      <c r="D1337" s="1" t="n">
        <v>44756</v>
      </c>
      <c r="E1337" s="1" t="n">
        <v>46326</v>
      </c>
      <c r="F1337" t="inlineStr">
        <is>
          <t>GÄVLEBORGS LÄN</t>
        </is>
      </c>
      <c r="G1337" t="inlineStr">
        <is>
          <t>GÄVLE</t>
        </is>
      </c>
      <c r="I1337" t="n">
        <v>1</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16344-2022</t>
        </is>
      </c>
      <c r="B1338" t="inlineStr">
        <is>
          <t>avverkningsanmälan</t>
        </is>
      </c>
      <c r="C1338" t="inlineStr">
        <is>
          <t>Föryngringsavverkning</t>
        </is>
      </c>
      <c r="D1338" s="1" t="n">
        <v>44670</v>
      </c>
      <c r="E1338" s="1" t="n">
        <v>46326</v>
      </c>
      <c r="F1338" t="inlineStr">
        <is>
          <t>GÄVLEBORGS LÄN</t>
        </is>
      </c>
      <c r="G1338" t="inlineStr">
        <is>
          <t>HUDIKSVALL</t>
        </is>
      </c>
      <c r="I1338" t="n">
        <v>0.8</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16923-2022</t>
        </is>
      </c>
      <c r="B1339" t="inlineStr">
        <is>
          <t>avverkningsanmälan</t>
        </is>
      </c>
      <c r="C1339" t="inlineStr">
        <is>
          <t>Föryngringsavverkning</t>
        </is>
      </c>
      <c r="D1339" s="1" t="n">
        <v>44676</v>
      </c>
      <c r="E1339" s="1" t="n">
        <v>46326</v>
      </c>
      <c r="F1339" t="inlineStr">
        <is>
          <t>GÄVLEBORGS LÄN</t>
        </is>
      </c>
      <c r="G1339" t="inlineStr">
        <is>
          <t>BOLLNÄS</t>
        </is>
      </c>
      <c r="I1339" t="n">
        <v>1</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30615-2022</t>
        </is>
      </c>
      <c r="B1340" t="inlineStr">
        <is>
          <t>avverkningsanmälan</t>
        </is>
      </c>
      <c r="C1340" t="inlineStr">
        <is>
          <t>Avverkning för annat ändamål</t>
        </is>
      </c>
      <c r="D1340" s="1" t="n">
        <v>44763</v>
      </c>
      <c r="E1340" s="1" t="n">
        <v>46326</v>
      </c>
      <c r="F1340" t="inlineStr">
        <is>
          <t>GÄVLEBORGS LÄN</t>
        </is>
      </c>
      <c r="G1340" t="inlineStr">
        <is>
          <t>BOLLNÄS</t>
        </is>
      </c>
      <c r="I1340" t="n">
        <v>0.2</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64843-2021</t>
        </is>
      </c>
      <c r="B1341" t="inlineStr">
        <is>
          <t>avverkningsanmälan</t>
        </is>
      </c>
      <c r="C1341" t="inlineStr">
        <is>
          <t>Föryngringsavverkning</t>
        </is>
      </c>
      <c r="D1341" s="1" t="n">
        <v>44512</v>
      </c>
      <c r="E1341" s="1" t="n">
        <v>46326</v>
      </c>
      <c r="F1341" t="inlineStr">
        <is>
          <t>GÄVLEBORGS LÄN</t>
        </is>
      </c>
      <c r="G1341" t="inlineStr">
        <is>
          <t>OVANÅKER</t>
        </is>
      </c>
      <c r="H1341" t="inlineStr">
        <is>
          <t>Bergvik skog väst AB</t>
        </is>
      </c>
      <c r="I1341" t="n">
        <v>0.3</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38447-2022</t>
        </is>
      </c>
      <c r="B1342" t="inlineStr">
        <is>
          <t>avverkningsanmälan</t>
        </is>
      </c>
      <c r="C1342" t="inlineStr">
        <is>
          <t>Föryngringsavverkning</t>
        </is>
      </c>
      <c r="D1342" s="1" t="n">
        <v>44813</v>
      </c>
      <c r="E1342" s="1" t="n">
        <v>46326</v>
      </c>
      <c r="F1342" t="inlineStr">
        <is>
          <t>GÄVLEBORGS LÄN</t>
        </is>
      </c>
      <c r="G1342" t="inlineStr">
        <is>
          <t>GÄVLE</t>
        </is>
      </c>
      <c r="I1342" t="n">
        <v>1.6</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27276-2022</t>
        </is>
      </c>
      <c r="B1343" t="inlineStr">
        <is>
          <t>avverkningsanmälan</t>
        </is>
      </c>
      <c r="C1343" t="inlineStr">
        <is>
          <t>Föryngringsavverkning</t>
        </is>
      </c>
      <c r="D1343" s="1" t="n">
        <v>44741</v>
      </c>
      <c r="E1343" s="1" t="n">
        <v>46326</v>
      </c>
      <c r="F1343" t="inlineStr">
        <is>
          <t>GÄVLEBORGS LÄN</t>
        </is>
      </c>
      <c r="G1343" t="inlineStr">
        <is>
          <t>NORDANSTIG</t>
        </is>
      </c>
      <c r="I1343" t="n">
        <v>0.9</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40787-2022</t>
        </is>
      </c>
      <c r="B1344" t="inlineStr">
        <is>
          <t>avverkningsanmälan</t>
        </is>
      </c>
      <c r="C1344" t="inlineStr">
        <is>
          <t>Föryngringsavverkning</t>
        </is>
      </c>
      <c r="D1344" s="1" t="n">
        <v>44824</v>
      </c>
      <c r="E1344" s="1" t="n">
        <v>46326</v>
      </c>
      <c r="F1344" t="inlineStr">
        <is>
          <t>GÄVLEBORGS LÄN</t>
        </is>
      </c>
      <c r="G1344" t="inlineStr">
        <is>
          <t>LJUSDAL</t>
        </is>
      </c>
      <c r="H1344" t="inlineStr">
        <is>
          <t>Holmen skog AB</t>
        </is>
      </c>
      <c r="I1344" t="n">
        <v>0.5</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38348-2022</t>
        </is>
      </c>
      <c r="B1345" t="inlineStr">
        <is>
          <t>avverkningsanmälan</t>
        </is>
      </c>
      <c r="C1345" t="inlineStr">
        <is>
          <t>Föryngringsavverkning</t>
        </is>
      </c>
      <c r="D1345" s="1" t="n">
        <v>44812</v>
      </c>
      <c r="E1345" s="1" t="n">
        <v>46326</v>
      </c>
      <c r="F1345" t="inlineStr">
        <is>
          <t>GÄVLEBORGS LÄN</t>
        </is>
      </c>
      <c r="G1345" t="inlineStr">
        <is>
          <t>NORDANSTIG</t>
        </is>
      </c>
      <c r="H1345" t="inlineStr">
        <is>
          <t>Holmen skog AB</t>
        </is>
      </c>
      <c r="I1345" t="n">
        <v>0.5</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64120-2021</t>
        </is>
      </c>
      <c r="B1346" t="inlineStr">
        <is>
          <t>avverkningsanmälan</t>
        </is>
      </c>
      <c r="C1346" t="inlineStr">
        <is>
          <t>Föryngringsavverkning</t>
        </is>
      </c>
      <c r="D1346" s="1" t="n">
        <v>44510</v>
      </c>
      <c r="E1346" s="1" t="n">
        <v>46326</v>
      </c>
      <c r="F1346" t="inlineStr">
        <is>
          <t>GÄVLEBORGS LÄN</t>
        </is>
      </c>
      <c r="G1346" t="inlineStr">
        <is>
          <t>LJUSDAL</t>
        </is>
      </c>
      <c r="H1346" t="inlineStr">
        <is>
          <t>Kommuner</t>
        </is>
      </c>
      <c r="I1346" t="n">
        <v>7.3</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43077-2022</t>
        </is>
      </c>
      <c r="B1347" t="inlineStr">
        <is>
          <t>avverkningsanmälan</t>
        </is>
      </c>
      <c r="C1347" t="inlineStr">
        <is>
          <t>Föryngringsavverkning</t>
        </is>
      </c>
      <c r="D1347" s="1" t="n">
        <v>44833</v>
      </c>
      <c r="E1347" s="1" t="n">
        <v>46326</v>
      </c>
      <c r="F1347" t="inlineStr">
        <is>
          <t>GÄVLEBORGS LÄN</t>
        </is>
      </c>
      <c r="G1347" t="inlineStr">
        <is>
          <t>LJUSDAL</t>
        </is>
      </c>
      <c r="I1347" t="n">
        <v>0.8</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50876-2022</t>
        </is>
      </c>
      <c r="B1348" t="inlineStr">
        <is>
          <t>avverkningsanmälan</t>
        </is>
      </c>
      <c r="C1348" t="inlineStr">
        <is>
          <t>Föryngringsavverkning</t>
        </is>
      </c>
      <c r="D1348" s="1" t="n">
        <v>44867</v>
      </c>
      <c r="E1348" s="1" t="n">
        <v>46326</v>
      </c>
      <c r="F1348" t="inlineStr">
        <is>
          <t>GÄVLEBORGS LÄN</t>
        </is>
      </c>
      <c r="G1348" t="inlineStr">
        <is>
          <t>SÖDERHAMN</t>
        </is>
      </c>
      <c r="I1348" t="n">
        <v>0.6</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72594-2021</t>
        </is>
      </c>
      <c r="B1349" t="inlineStr">
        <is>
          <t>avverkningsanmälan</t>
        </is>
      </c>
      <c r="C1349" t="inlineStr">
        <is>
          <t>Föryngringsavverkning</t>
        </is>
      </c>
      <c r="D1349" s="1" t="n">
        <v>44546</v>
      </c>
      <c r="E1349" s="1" t="n">
        <v>46326</v>
      </c>
      <c r="F1349" t="inlineStr">
        <is>
          <t>GÄVLEBORGS LÄN</t>
        </is>
      </c>
      <c r="G1349" t="inlineStr">
        <is>
          <t>NORDANSTIG</t>
        </is>
      </c>
      <c r="I1349" t="n">
        <v>5.7</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72645-2021</t>
        </is>
      </c>
      <c r="B1350" t="inlineStr">
        <is>
          <t>avverkningsanmälan</t>
        </is>
      </c>
      <c r="C1350" t="inlineStr">
        <is>
          <t>Föryngringsavverkning</t>
        </is>
      </c>
      <c r="D1350" s="1" t="n">
        <v>44546</v>
      </c>
      <c r="E1350" s="1" t="n">
        <v>46326</v>
      </c>
      <c r="F1350" t="inlineStr">
        <is>
          <t>GÄVLEBORGS LÄN</t>
        </is>
      </c>
      <c r="G1350" t="inlineStr">
        <is>
          <t>SÖDERHAMN</t>
        </is>
      </c>
      <c r="I1350" t="n">
        <v>3.9</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42325-2022</t>
        </is>
      </c>
      <c r="B1351" t="inlineStr">
        <is>
          <t>avverkningsanmälan</t>
        </is>
      </c>
      <c r="C1351" t="inlineStr">
        <is>
          <t>Föryngringsavverkning</t>
        </is>
      </c>
      <c r="D1351" s="1" t="n">
        <v>44831</v>
      </c>
      <c r="E1351" s="1" t="n">
        <v>46326</v>
      </c>
      <c r="F1351" t="inlineStr">
        <is>
          <t>GÄVLEBORGS LÄN</t>
        </is>
      </c>
      <c r="G1351" t="inlineStr">
        <is>
          <t>BOLLNÄS</t>
        </is>
      </c>
      <c r="I1351" t="n">
        <v>0.5</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47720-2022</t>
        </is>
      </c>
      <c r="B1352" t="inlineStr">
        <is>
          <t>avverkningsanmälan</t>
        </is>
      </c>
      <c r="C1352" t="inlineStr">
        <is>
          <t>Föryngringsavverkning</t>
        </is>
      </c>
      <c r="D1352" s="1" t="n">
        <v>44854</v>
      </c>
      <c r="E1352" s="1" t="n">
        <v>46326</v>
      </c>
      <c r="F1352" t="inlineStr">
        <is>
          <t>GÄVLEBORGS LÄN</t>
        </is>
      </c>
      <c r="G1352" t="inlineStr">
        <is>
          <t>SANDVIKEN</t>
        </is>
      </c>
      <c r="I1352" t="n">
        <v>1.8</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47723-2022</t>
        </is>
      </c>
      <c r="B1353" t="inlineStr">
        <is>
          <t>avverkningsanmälan</t>
        </is>
      </c>
      <c r="C1353" t="inlineStr">
        <is>
          <t>Föryngringsavverkning</t>
        </is>
      </c>
      <c r="D1353" s="1" t="n">
        <v>44854</v>
      </c>
      <c r="E1353" s="1" t="n">
        <v>46326</v>
      </c>
      <c r="F1353" t="inlineStr">
        <is>
          <t>GÄVLEBORGS LÄN</t>
        </is>
      </c>
      <c r="G1353" t="inlineStr">
        <is>
          <t>BOLLNÄS</t>
        </is>
      </c>
      <c r="I1353" t="n">
        <v>0.6</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48811-2022</t>
        </is>
      </c>
      <c r="B1354" t="inlineStr">
        <is>
          <t>avverkningsanmälan</t>
        </is>
      </c>
      <c r="C1354" t="inlineStr">
        <is>
          <t>Föryngringsavverkning</t>
        </is>
      </c>
      <c r="D1354" s="1" t="n">
        <v>44859</v>
      </c>
      <c r="E1354" s="1" t="n">
        <v>46326</v>
      </c>
      <c r="F1354" t="inlineStr">
        <is>
          <t>GÄVLEBORGS LÄN</t>
        </is>
      </c>
      <c r="G1354" t="inlineStr">
        <is>
          <t>OVANÅKER</t>
        </is>
      </c>
      <c r="H1354" t="inlineStr">
        <is>
          <t>Bergvik skog väst AB</t>
        </is>
      </c>
      <c r="I1354" t="n">
        <v>0.8</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29263-2022</t>
        </is>
      </c>
      <c r="B1355" t="inlineStr">
        <is>
          <t>avverkningsanmälan</t>
        </is>
      </c>
      <c r="C1355" t="inlineStr">
        <is>
          <t>Föryngringsavverkning</t>
        </is>
      </c>
      <c r="D1355" s="1" t="n">
        <v>44750</v>
      </c>
      <c r="E1355" s="1" t="n">
        <v>46326</v>
      </c>
      <c r="F1355" t="inlineStr">
        <is>
          <t>GÄVLEBORGS LÄN</t>
        </is>
      </c>
      <c r="G1355" t="inlineStr">
        <is>
          <t>LJUSDAL</t>
        </is>
      </c>
      <c r="H1355" t="inlineStr">
        <is>
          <t>Holmen skog AB</t>
        </is>
      </c>
      <c r="I1355" t="n">
        <v>3.1</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480-2022</t>
        </is>
      </c>
      <c r="B1356" t="inlineStr">
        <is>
          <t>avverkningsanmälan</t>
        </is>
      </c>
      <c r="C1356" t="inlineStr">
        <is>
          <t>Föryngringsavverkning</t>
        </is>
      </c>
      <c r="D1356" s="1" t="n">
        <v>44566</v>
      </c>
      <c r="E1356" s="1" t="n">
        <v>46326</v>
      </c>
      <c r="F1356" t="inlineStr">
        <is>
          <t>GÄVLEBORGS LÄN</t>
        </is>
      </c>
      <c r="G1356" t="inlineStr">
        <is>
          <t>HUDIKSVALL</t>
        </is>
      </c>
      <c r="I1356" t="n">
        <v>4.9</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64720-2021</t>
        </is>
      </c>
      <c r="B1357" t="inlineStr">
        <is>
          <t>avverkningsanmälan</t>
        </is>
      </c>
      <c r="C1357" t="inlineStr">
        <is>
          <t>Föryngringsavverkning</t>
        </is>
      </c>
      <c r="D1357" s="1" t="n">
        <v>44512</v>
      </c>
      <c r="E1357" s="1" t="n">
        <v>46326</v>
      </c>
      <c r="F1357" t="inlineStr">
        <is>
          <t>GÄVLEBORGS LÄN</t>
        </is>
      </c>
      <c r="G1357" t="inlineStr">
        <is>
          <t>SANDVIKEN</t>
        </is>
      </c>
      <c r="I1357" t="n">
        <v>1.8</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62321-2021</t>
        </is>
      </c>
      <c r="B1358" t="inlineStr">
        <is>
          <t>avverkningsanmälan</t>
        </is>
      </c>
      <c r="C1358" t="inlineStr">
        <is>
          <t>Föryngringsavverkning</t>
        </is>
      </c>
      <c r="D1358" s="1" t="n">
        <v>44503</v>
      </c>
      <c r="E1358" s="1" t="n">
        <v>46326</v>
      </c>
      <c r="F1358" t="inlineStr">
        <is>
          <t>GÄVLEBORGS LÄN</t>
        </is>
      </c>
      <c r="G1358" t="inlineStr">
        <is>
          <t>HUDIKSVALL</t>
        </is>
      </c>
      <c r="I1358" t="n">
        <v>3.2</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62111-2021</t>
        </is>
      </c>
      <c r="B1359" t="inlineStr">
        <is>
          <t>avverkningsanmälan</t>
        </is>
      </c>
      <c r="C1359" t="inlineStr">
        <is>
          <t>Föryngringsavverkning</t>
        </is>
      </c>
      <c r="D1359" s="1" t="n">
        <v>44502</v>
      </c>
      <c r="E1359" s="1" t="n">
        <v>46326</v>
      </c>
      <c r="F1359" t="inlineStr">
        <is>
          <t>GÄVLEBORGS LÄN</t>
        </is>
      </c>
      <c r="G1359" t="inlineStr">
        <is>
          <t>NORDANSTIG</t>
        </is>
      </c>
      <c r="I1359" t="n">
        <v>0.6</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14246-2022</t>
        </is>
      </c>
      <c r="B1360" t="inlineStr">
        <is>
          <t>avverkningsanmälan</t>
        </is>
      </c>
      <c r="C1360" t="inlineStr">
        <is>
          <t>Föryngringsavverkning</t>
        </is>
      </c>
      <c r="D1360" s="1" t="n">
        <v>44651</v>
      </c>
      <c r="E1360" s="1" t="n">
        <v>46326</v>
      </c>
      <c r="F1360" t="inlineStr">
        <is>
          <t>GÄVLEBORGS LÄN</t>
        </is>
      </c>
      <c r="G1360" t="inlineStr">
        <is>
          <t>NORDANSTIG</t>
        </is>
      </c>
      <c r="H1360" t="inlineStr">
        <is>
          <t>Holmen skog AB</t>
        </is>
      </c>
      <c r="I1360" t="n">
        <v>0.5</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53258-2022</t>
        </is>
      </c>
      <c r="B1361" t="inlineStr">
        <is>
          <t>avverkningsanmälan</t>
        </is>
      </c>
      <c r="C1361" t="inlineStr">
        <is>
          <t>Avverkning för annat ändamål</t>
        </is>
      </c>
      <c r="D1361" s="1" t="n">
        <v>44876</v>
      </c>
      <c r="E1361" s="1" t="n">
        <v>46326</v>
      </c>
      <c r="F1361" t="inlineStr">
        <is>
          <t>GÄVLEBORGS LÄN</t>
        </is>
      </c>
      <c r="G1361" t="inlineStr">
        <is>
          <t>SANDVIKEN</t>
        </is>
      </c>
      <c r="H1361" t="inlineStr">
        <is>
          <t>Sveaskog</t>
        </is>
      </c>
      <c r="I1361" t="n">
        <v>0.4</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16459-2022</t>
        </is>
      </c>
      <c r="B1362" t="inlineStr">
        <is>
          <t>avverkningsanmälan</t>
        </is>
      </c>
      <c r="C1362" t="inlineStr">
        <is>
          <t>Föryngringsavverkning</t>
        </is>
      </c>
      <c r="D1362" s="1" t="n">
        <v>44671</v>
      </c>
      <c r="E1362" s="1" t="n">
        <v>46326</v>
      </c>
      <c r="F1362" t="inlineStr">
        <is>
          <t>GÄVLEBORGS LÄN</t>
        </is>
      </c>
      <c r="G1362" t="inlineStr">
        <is>
          <t>GÄVLE</t>
        </is>
      </c>
      <c r="H1362" t="inlineStr">
        <is>
          <t>Bergvik skog öst AB</t>
        </is>
      </c>
      <c r="I1362" t="n">
        <v>0.7</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66120-2021</t>
        </is>
      </c>
      <c r="B1363" t="inlineStr">
        <is>
          <t>avverkningsanmälan</t>
        </is>
      </c>
      <c r="C1363" t="inlineStr">
        <is>
          <t>Föryngringsavverkning</t>
        </is>
      </c>
      <c r="D1363" s="1" t="n">
        <v>44517</v>
      </c>
      <c r="E1363" s="1" t="n">
        <v>46326</v>
      </c>
      <c r="F1363" t="inlineStr">
        <is>
          <t>GÄVLEBORGS LÄN</t>
        </is>
      </c>
      <c r="G1363" t="inlineStr">
        <is>
          <t>BOLLNÄS</t>
        </is>
      </c>
      <c r="I1363" t="n">
        <v>0.6</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66128-2021</t>
        </is>
      </c>
      <c r="B1364" t="inlineStr">
        <is>
          <t>avverkningsanmälan</t>
        </is>
      </c>
      <c r="C1364" t="inlineStr">
        <is>
          <t>Föryngringsavverkning</t>
        </is>
      </c>
      <c r="D1364" s="1" t="n">
        <v>44517</v>
      </c>
      <c r="E1364" s="1" t="n">
        <v>46326</v>
      </c>
      <c r="F1364" t="inlineStr">
        <is>
          <t>GÄVLEBORGS LÄN</t>
        </is>
      </c>
      <c r="G1364" t="inlineStr">
        <is>
          <t>BOLLNÄS</t>
        </is>
      </c>
      <c r="I1364" t="n">
        <v>0.3</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66129-2021</t>
        </is>
      </c>
      <c r="B1365" t="inlineStr">
        <is>
          <t>avverkningsanmälan</t>
        </is>
      </c>
      <c r="C1365" t="inlineStr">
        <is>
          <t>Föryngringsavverkning</t>
        </is>
      </c>
      <c r="D1365" s="1" t="n">
        <v>44517</v>
      </c>
      <c r="E1365" s="1" t="n">
        <v>46326</v>
      </c>
      <c r="F1365" t="inlineStr">
        <is>
          <t>GÄVLEBORGS LÄN</t>
        </is>
      </c>
      <c r="G1365" t="inlineStr">
        <is>
          <t>BOLLNÄS</t>
        </is>
      </c>
      <c r="I1365" t="n">
        <v>0.4</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11923-2022</t>
        </is>
      </c>
      <c r="B1366" t="inlineStr">
        <is>
          <t>avverkningsanmälan</t>
        </is>
      </c>
      <c r="C1366" t="inlineStr">
        <is>
          <t>Föryngringsavverkning</t>
        </is>
      </c>
      <c r="D1366" s="1" t="n">
        <v>44635</v>
      </c>
      <c r="E1366" s="1" t="n">
        <v>46326</v>
      </c>
      <c r="F1366" t="inlineStr">
        <is>
          <t>GÄVLEBORGS LÄN</t>
        </is>
      </c>
      <c r="G1366" t="inlineStr">
        <is>
          <t>SANDVIKEN</t>
        </is>
      </c>
      <c r="I1366" t="n">
        <v>6.5</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16469-2022</t>
        </is>
      </c>
      <c r="B1367" t="inlineStr">
        <is>
          <t>avverkningsanmälan</t>
        </is>
      </c>
      <c r="C1367" t="inlineStr">
        <is>
          <t>Föryngringsavverkning</t>
        </is>
      </c>
      <c r="D1367" s="1" t="n">
        <v>44671</v>
      </c>
      <c r="E1367" s="1" t="n">
        <v>46326</v>
      </c>
      <c r="F1367" t="inlineStr">
        <is>
          <t>GÄVLEBORGS LÄN</t>
        </is>
      </c>
      <c r="G1367" t="inlineStr">
        <is>
          <t>GÄVLE</t>
        </is>
      </c>
      <c r="H1367" t="inlineStr">
        <is>
          <t>Bergvik skog öst AB</t>
        </is>
      </c>
      <c r="I1367" t="n">
        <v>0.3</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70573-2021</t>
        </is>
      </c>
      <c r="B1368" t="inlineStr">
        <is>
          <t>avverkningsanmälan</t>
        </is>
      </c>
      <c r="C1368" t="inlineStr">
        <is>
          <t>Föryngringsavverkning</t>
        </is>
      </c>
      <c r="D1368" s="1" t="n">
        <v>44537</v>
      </c>
      <c r="E1368" s="1" t="n">
        <v>46326</v>
      </c>
      <c r="F1368" t="inlineStr">
        <is>
          <t>GÄVLEBORGS LÄN</t>
        </is>
      </c>
      <c r="G1368" t="inlineStr">
        <is>
          <t>OVANÅKER</t>
        </is>
      </c>
      <c r="I1368" t="n">
        <v>2.9</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22019-2022</t>
        </is>
      </c>
      <c r="B1369" t="inlineStr">
        <is>
          <t>avverkningsanmälan</t>
        </is>
      </c>
      <c r="C1369" t="inlineStr">
        <is>
          <t>Avverkning för annat ändamål</t>
        </is>
      </c>
      <c r="D1369" s="1" t="n">
        <v>44711</v>
      </c>
      <c r="E1369" s="1" t="n">
        <v>46326</v>
      </c>
      <c r="F1369" t="inlineStr">
        <is>
          <t>GÄVLEBORGS LÄN</t>
        </is>
      </c>
      <c r="G1369" t="inlineStr">
        <is>
          <t>SÖDERHAMN</t>
        </is>
      </c>
      <c r="I1369" t="n">
        <v>1.2</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64556-2021</t>
        </is>
      </c>
      <c r="B1370" t="inlineStr">
        <is>
          <t>avverkningsanmälan</t>
        </is>
      </c>
      <c r="C1370" t="inlineStr">
        <is>
          <t>Föryngringsavverkning</t>
        </is>
      </c>
      <c r="D1370" s="1" t="n">
        <v>44511</v>
      </c>
      <c r="E1370" s="1" t="n">
        <v>46326</v>
      </c>
      <c r="F1370" t="inlineStr">
        <is>
          <t>GÄVLEBORGS LÄN</t>
        </is>
      </c>
      <c r="G1370" t="inlineStr">
        <is>
          <t>LJUSDAL</t>
        </is>
      </c>
      <c r="H1370" t="inlineStr">
        <is>
          <t>Holmen skog AB</t>
        </is>
      </c>
      <c r="I1370" t="n">
        <v>4.3</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5825-2022</t>
        </is>
      </c>
      <c r="B1371" t="inlineStr">
        <is>
          <t>avverkningsanmälan</t>
        </is>
      </c>
      <c r="C1371" t="inlineStr">
        <is>
          <t>Föryngringsavverkning</t>
        </is>
      </c>
      <c r="D1371" s="1" t="n">
        <v>44596</v>
      </c>
      <c r="E1371" s="1" t="n">
        <v>46326</v>
      </c>
      <c r="F1371" t="inlineStr">
        <is>
          <t>GÄVLEBORGS LÄN</t>
        </is>
      </c>
      <c r="G1371" t="inlineStr">
        <is>
          <t>SANDVIKEN</t>
        </is>
      </c>
      <c r="I1371" t="n">
        <v>2.5</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5610-2022</t>
        </is>
      </c>
      <c r="B1372" t="inlineStr">
        <is>
          <t>avverkningsanmälan</t>
        </is>
      </c>
      <c r="C1372" t="inlineStr">
        <is>
          <t>Föryngringsavverkning</t>
        </is>
      </c>
      <c r="D1372" s="1" t="n">
        <v>44595</v>
      </c>
      <c r="E1372" s="1" t="n">
        <v>46326</v>
      </c>
      <c r="F1372" t="inlineStr">
        <is>
          <t>GÄVLEBORGS LÄN</t>
        </is>
      </c>
      <c r="G1372" t="inlineStr">
        <is>
          <t>SANDVIKEN</t>
        </is>
      </c>
      <c r="I1372" t="n">
        <v>2.1</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26547-2022</t>
        </is>
      </c>
      <c r="B1373" t="inlineStr">
        <is>
          <t>avverkningsanmälan</t>
        </is>
      </c>
      <c r="C1373" t="inlineStr">
        <is>
          <t>Föryngringsavverkning</t>
        </is>
      </c>
      <c r="D1373" s="1" t="n">
        <v>44739</v>
      </c>
      <c r="E1373" s="1" t="n">
        <v>46326</v>
      </c>
      <c r="F1373" t="inlineStr">
        <is>
          <t>GÄVLEBORGS LÄN</t>
        </is>
      </c>
      <c r="G1373" t="inlineStr">
        <is>
          <t>NORDANSTIG</t>
        </is>
      </c>
      <c r="I1373" t="n">
        <v>1.5</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63656-2021</t>
        </is>
      </c>
      <c r="B1374" t="inlineStr">
        <is>
          <t>avverkningsanmälan</t>
        </is>
      </c>
      <c r="C1374" t="inlineStr">
        <is>
          <t>Föryngringsavverkning</t>
        </is>
      </c>
      <c r="D1374" s="1" t="n">
        <v>44509</v>
      </c>
      <c r="E1374" s="1" t="n">
        <v>46326</v>
      </c>
      <c r="F1374" t="inlineStr">
        <is>
          <t>GÄVLEBORGS LÄN</t>
        </is>
      </c>
      <c r="G1374" t="inlineStr">
        <is>
          <t>NORDANSTIG</t>
        </is>
      </c>
      <c r="H1374" t="inlineStr">
        <is>
          <t>Holmen skog AB</t>
        </is>
      </c>
      <c r="I1374" t="n">
        <v>0.7</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19233-2022</t>
        </is>
      </c>
      <c r="B1375" t="inlineStr">
        <is>
          <t>avverkningsanmälan</t>
        </is>
      </c>
      <c r="C1375" t="inlineStr">
        <is>
          <t>Föryngringsavverkning</t>
        </is>
      </c>
      <c r="D1375" s="1" t="n">
        <v>44692</v>
      </c>
      <c r="E1375" s="1" t="n">
        <v>46326</v>
      </c>
      <c r="F1375" t="inlineStr">
        <is>
          <t>GÄVLEBORGS LÄN</t>
        </is>
      </c>
      <c r="G1375" t="inlineStr">
        <is>
          <t>NORDANSTIG</t>
        </is>
      </c>
      <c r="I1375" t="n">
        <v>2.5</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13407-2022</t>
        </is>
      </c>
      <c r="B1376" t="inlineStr">
        <is>
          <t>avverkningsanmälan</t>
        </is>
      </c>
      <c r="C1376" t="inlineStr">
        <is>
          <t>Föryngringsavverkning</t>
        </is>
      </c>
      <c r="D1376" s="1" t="n">
        <v>44645</v>
      </c>
      <c r="E1376" s="1" t="n">
        <v>46326</v>
      </c>
      <c r="F1376" t="inlineStr">
        <is>
          <t>GÄVLEBORGS LÄN</t>
        </is>
      </c>
      <c r="G1376" t="inlineStr">
        <is>
          <t>BOLLNÄS</t>
        </is>
      </c>
      <c r="I1376" t="n">
        <v>2.1</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8769-2022</t>
        </is>
      </c>
      <c r="B1377" t="inlineStr">
        <is>
          <t>avverkningsanmälan</t>
        </is>
      </c>
      <c r="C1377" t="inlineStr">
        <is>
          <t>Föryngringsavverkning</t>
        </is>
      </c>
      <c r="D1377" s="1" t="n">
        <v>44614</v>
      </c>
      <c r="E1377" s="1" t="n">
        <v>46326</v>
      </c>
      <c r="F1377" t="inlineStr">
        <is>
          <t>GÄVLEBORGS LÄN</t>
        </is>
      </c>
      <c r="G1377" t="inlineStr">
        <is>
          <t>OVANÅKER</t>
        </is>
      </c>
      <c r="I1377" t="n">
        <v>0.6</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3098-2022</t>
        </is>
      </c>
      <c r="B1378" t="inlineStr">
        <is>
          <t>avverkningsanmälan</t>
        </is>
      </c>
      <c r="C1378" t="inlineStr">
        <is>
          <t>Avverkning för annat ändamål</t>
        </is>
      </c>
      <c r="D1378" s="1" t="n">
        <v>44582</v>
      </c>
      <c r="E1378" s="1" t="n">
        <v>46326</v>
      </c>
      <c r="F1378" t="inlineStr">
        <is>
          <t>GÄVLEBORGS LÄN</t>
        </is>
      </c>
      <c r="G1378" t="inlineStr">
        <is>
          <t>LJUSDAL</t>
        </is>
      </c>
      <c r="I1378" t="n">
        <v>0.1</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35467-2022</t>
        </is>
      </c>
      <c r="B1379" t="inlineStr">
        <is>
          <t>avverkningsanmälan</t>
        </is>
      </c>
      <c r="C1379" t="inlineStr">
        <is>
          <t>Föryngringsavverkning</t>
        </is>
      </c>
      <c r="D1379" s="1" t="n">
        <v>44798</v>
      </c>
      <c r="E1379" s="1" t="n">
        <v>46326</v>
      </c>
      <c r="F1379" t="inlineStr">
        <is>
          <t>GÄVLEBORGS LÄN</t>
        </is>
      </c>
      <c r="G1379" t="inlineStr">
        <is>
          <t>LJUSDAL</t>
        </is>
      </c>
      <c r="I1379" t="n">
        <v>1.9</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19182-2022</t>
        </is>
      </c>
      <c r="B1380" t="inlineStr">
        <is>
          <t>avverkningsanmälan</t>
        </is>
      </c>
      <c r="C1380" t="inlineStr">
        <is>
          <t>Föryngringsavverkning</t>
        </is>
      </c>
      <c r="D1380" s="1" t="n">
        <v>44691</v>
      </c>
      <c r="E1380" s="1" t="n">
        <v>46326</v>
      </c>
      <c r="F1380" t="inlineStr">
        <is>
          <t>GÄVLEBORGS LÄN</t>
        </is>
      </c>
      <c r="G1380" t="inlineStr">
        <is>
          <t>NORDANSTIG</t>
        </is>
      </c>
      <c r="H1380" t="inlineStr">
        <is>
          <t>Holmen skog AB</t>
        </is>
      </c>
      <c r="I1380" t="n">
        <v>2.4</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35129-2022</t>
        </is>
      </c>
      <c r="B1381" t="inlineStr">
        <is>
          <t>avverkningsanmälan</t>
        </is>
      </c>
      <c r="C1381" t="inlineStr">
        <is>
          <t>Föryngringsavverkning</t>
        </is>
      </c>
      <c r="D1381" s="1" t="n">
        <v>44797</v>
      </c>
      <c r="E1381" s="1" t="n">
        <v>46326</v>
      </c>
      <c r="F1381" t="inlineStr">
        <is>
          <t>GÄVLEBORGS LÄN</t>
        </is>
      </c>
      <c r="G1381" t="inlineStr">
        <is>
          <t>NORDANSTIG</t>
        </is>
      </c>
      <c r="I1381" t="n">
        <v>0.5</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14394-2022</t>
        </is>
      </c>
      <c r="B1382" t="inlineStr">
        <is>
          <t>avverkningsanmälan</t>
        </is>
      </c>
      <c r="C1382" t="inlineStr">
        <is>
          <t>Föryngringsavverkning</t>
        </is>
      </c>
      <c r="D1382" s="1" t="n">
        <v>44652</v>
      </c>
      <c r="E1382" s="1" t="n">
        <v>46326</v>
      </c>
      <c r="F1382" t="inlineStr">
        <is>
          <t>GÄVLEBORGS LÄN</t>
        </is>
      </c>
      <c r="G1382" t="inlineStr">
        <is>
          <t>HUDIKSVALL</t>
        </is>
      </c>
      <c r="I1382" t="n">
        <v>1.7</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19308-2022</t>
        </is>
      </c>
      <c r="B1383" t="inlineStr">
        <is>
          <t>avverkningsanmälan</t>
        </is>
      </c>
      <c r="C1383" t="inlineStr">
        <is>
          <t>Föryngringsavverkning</t>
        </is>
      </c>
      <c r="D1383" s="1" t="n">
        <v>44692</v>
      </c>
      <c r="E1383" s="1" t="n">
        <v>46326</v>
      </c>
      <c r="F1383" t="inlineStr">
        <is>
          <t>GÄVLEBORGS LÄN</t>
        </is>
      </c>
      <c r="G1383" t="inlineStr">
        <is>
          <t>OVANÅKER</t>
        </is>
      </c>
      <c r="H1383" t="inlineStr">
        <is>
          <t>Sveaskog</t>
        </is>
      </c>
      <c r="I1383" t="n">
        <v>1</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11172-2022</t>
        </is>
      </c>
      <c r="B1384" t="inlineStr">
        <is>
          <t>avverkningsanmälan</t>
        </is>
      </c>
      <c r="C1384" t="inlineStr">
        <is>
          <t>Föryngringsavverkning</t>
        </is>
      </c>
      <c r="D1384" s="1" t="n">
        <v>44629</v>
      </c>
      <c r="E1384" s="1" t="n">
        <v>46326</v>
      </c>
      <c r="F1384" t="inlineStr">
        <is>
          <t>GÄVLEBORGS LÄN</t>
        </is>
      </c>
      <c r="G1384" t="inlineStr">
        <is>
          <t>HUDIKSVALL</t>
        </is>
      </c>
      <c r="H1384" t="inlineStr">
        <is>
          <t>Holmen skog AB</t>
        </is>
      </c>
      <c r="I1384" t="n">
        <v>3.2</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14409-2022</t>
        </is>
      </c>
      <c r="B1385" t="inlineStr">
        <is>
          <t>avverkningsanmälan</t>
        </is>
      </c>
      <c r="C1385" t="inlineStr">
        <is>
          <t>Föryngringsavverkning</t>
        </is>
      </c>
      <c r="D1385" s="1" t="n">
        <v>44652</v>
      </c>
      <c r="E1385" s="1" t="n">
        <v>46326</v>
      </c>
      <c r="F1385" t="inlineStr">
        <is>
          <t>GÄVLEBORGS LÄN</t>
        </is>
      </c>
      <c r="G1385" t="inlineStr">
        <is>
          <t>HUDIKSVALL</t>
        </is>
      </c>
      <c r="I1385" t="n">
        <v>23.2</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71973-2021</t>
        </is>
      </c>
      <c r="B1386" t="inlineStr">
        <is>
          <t>avverkningsanmälan</t>
        </is>
      </c>
      <c r="C1386" t="inlineStr">
        <is>
          <t>Föryngringsavverkning</t>
        </is>
      </c>
      <c r="D1386" s="1" t="n">
        <v>44544</v>
      </c>
      <c r="E1386" s="1" t="n">
        <v>46326</v>
      </c>
      <c r="F1386" t="inlineStr">
        <is>
          <t>GÄVLEBORGS LÄN</t>
        </is>
      </c>
      <c r="G1386" t="inlineStr">
        <is>
          <t>NORDANSTIG</t>
        </is>
      </c>
      <c r="H1386" t="inlineStr">
        <is>
          <t>Holmen skog AB</t>
        </is>
      </c>
      <c r="I1386" t="n">
        <v>0.6</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20022-2022</t>
        </is>
      </c>
      <c r="B1387" t="inlineStr">
        <is>
          <t>avverkningsanmälan</t>
        </is>
      </c>
      <c r="C1387" t="inlineStr">
        <is>
          <t>Föryngringsavverkning</t>
        </is>
      </c>
      <c r="D1387" s="1" t="n">
        <v>44697</v>
      </c>
      <c r="E1387" s="1" t="n">
        <v>46326</v>
      </c>
      <c r="F1387" t="inlineStr">
        <is>
          <t>GÄVLEBORGS LÄN</t>
        </is>
      </c>
      <c r="G1387" t="inlineStr">
        <is>
          <t>HUDIKSVALL</t>
        </is>
      </c>
      <c r="I1387" t="n">
        <v>1.1</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64633-2021</t>
        </is>
      </c>
      <c r="B1388" t="inlineStr">
        <is>
          <t>avverkningsanmälan</t>
        </is>
      </c>
      <c r="C1388" t="inlineStr">
        <is>
          <t>Föryngringsavverkning</t>
        </is>
      </c>
      <c r="D1388" s="1" t="n">
        <v>44511</v>
      </c>
      <c r="E1388" s="1" t="n">
        <v>46326</v>
      </c>
      <c r="F1388" t="inlineStr">
        <is>
          <t>GÄVLEBORGS LÄN</t>
        </is>
      </c>
      <c r="G1388" t="inlineStr">
        <is>
          <t>BOLLNÄS</t>
        </is>
      </c>
      <c r="I1388" t="n">
        <v>0.6</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19343-2022</t>
        </is>
      </c>
      <c r="B1389" t="inlineStr">
        <is>
          <t>avverkningsanmälan</t>
        </is>
      </c>
      <c r="C1389" t="inlineStr">
        <is>
          <t>Föryngringsavverkning</t>
        </is>
      </c>
      <c r="D1389" s="1" t="n">
        <v>44692</v>
      </c>
      <c r="E1389" s="1" t="n">
        <v>46326</v>
      </c>
      <c r="F1389" t="inlineStr">
        <is>
          <t>GÄVLEBORGS LÄN</t>
        </is>
      </c>
      <c r="G1389" t="inlineStr">
        <is>
          <t>HUDIKSVALL</t>
        </is>
      </c>
      <c r="H1389" t="inlineStr">
        <is>
          <t>Holmen skog AB</t>
        </is>
      </c>
      <c r="I1389" t="n">
        <v>1.4</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19346-2022</t>
        </is>
      </c>
      <c r="B1390" t="inlineStr">
        <is>
          <t>avverkningsanmälan</t>
        </is>
      </c>
      <c r="C1390" t="inlineStr">
        <is>
          <t>Föryngringsavverkning</t>
        </is>
      </c>
      <c r="D1390" s="1" t="n">
        <v>44692</v>
      </c>
      <c r="E1390" s="1" t="n">
        <v>46326</v>
      </c>
      <c r="F1390" t="inlineStr">
        <is>
          <t>GÄVLEBORGS LÄN</t>
        </is>
      </c>
      <c r="G1390" t="inlineStr">
        <is>
          <t>HUDIKSVALL</t>
        </is>
      </c>
      <c r="H1390" t="inlineStr">
        <is>
          <t>Holmen skog AB</t>
        </is>
      </c>
      <c r="I1390" t="n">
        <v>1.4</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8281-2022</t>
        </is>
      </c>
      <c r="B1391" t="inlineStr">
        <is>
          <t>avverkningsanmälan</t>
        </is>
      </c>
      <c r="C1391" t="inlineStr">
        <is>
          <t>Föryngringsavverkning</t>
        </is>
      </c>
      <c r="D1391" s="1" t="n">
        <v>44610</v>
      </c>
      <c r="E1391" s="1" t="n">
        <v>46326</v>
      </c>
      <c r="F1391" t="inlineStr">
        <is>
          <t>GÄVLEBORGS LÄN</t>
        </is>
      </c>
      <c r="G1391" t="inlineStr">
        <is>
          <t>HUDIKSVALL</t>
        </is>
      </c>
      <c r="I1391" t="n">
        <v>13.9</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31237-2022</t>
        </is>
      </c>
      <c r="B1392" t="inlineStr">
        <is>
          <t>avverkningsanmälan</t>
        </is>
      </c>
      <c r="C1392" t="inlineStr">
        <is>
          <t>Föryngringsavverkning</t>
        </is>
      </c>
      <c r="D1392" s="1" t="n">
        <v>44771</v>
      </c>
      <c r="E1392" s="1" t="n">
        <v>46326</v>
      </c>
      <c r="F1392" t="inlineStr">
        <is>
          <t>GÄVLEBORGS LÄN</t>
        </is>
      </c>
      <c r="G1392" t="inlineStr">
        <is>
          <t>BOLLNÄS</t>
        </is>
      </c>
      <c r="I1392" t="n">
        <v>13.5</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27539-2022</t>
        </is>
      </c>
      <c r="B1393" t="inlineStr">
        <is>
          <t>avverkningsanmälan</t>
        </is>
      </c>
      <c r="C1393" t="inlineStr">
        <is>
          <t>Föryngringsavverkning</t>
        </is>
      </c>
      <c r="D1393" s="1" t="n">
        <v>44742</v>
      </c>
      <c r="E1393" s="1" t="n">
        <v>46326</v>
      </c>
      <c r="F1393" t="inlineStr">
        <is>
          <t>GÄVLEBORGS LÄN</t>
        </is>
      </c>
      <c r="G1393" t="inlineStr">
        <is>
          <t>LJUSDAL</t>
        </is>
      </c>
      <c r="H1393" t="inlineStr">
        <is>
          <t>Holmen skog AB</t>
        </is>
      </c>
      <c r="I1393" t="n">
        <v>1.6</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61616-2021</t>
        </is>
      </c>
      <c r="B1394" t="inlineStr">
        <is>
          <t>avverkningsanmälan</t>
        </is>
      </c>
      <c r="C1394" t="inlineStr">
        <is>
          <t>Föryngringsavverkning</t>
        </is>
      </c>
      <c r="D1394" s="1" t="n">
        <v>44501</v>
      </c>
      <c r="E1394" s="1" t="n">
        <v>46326</v>
      </c>
      <c r="F1394" t="inlineStr">
        <is>
          <t>GÄVLEBORGS LÄN</t>
        </is>
      </c>
      <c r="G1394" t="inlineStr">
        <is>
          <t>SANDVIKEN</t>
        </is>
      </c>
      <c r="I1394" t="n">
        <v>2.5</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13819-2022</t>
        </is>
      </c>
      <c r="B1395" t="inlineStr">
        <is>
          <t>avverkningsanmälan</t>
        </is>
      </c>
      <c r="C1395" t="inlineStr">
        <is>
          <t>Föryngringsavverkning</t>
        </is>
      </c>
      <c r="D1395" s="1" t="n">
        <v>44649</v>
      </c>
      <c r="E1395" s="1" t="n">
        <v>46326</v>
      </c>
      <c r="F1395" t="inlineStr">
        <is>
          <t>GÄVLEBORGS LÄN</t>
        </is>
      </c>
      <c r="G1395" t="inlineStr">
        <is>
          <t>HUDIKSVALL</t>
        </is>
      </c>
      <c r="H1395" t="inlineStr">
        <is>
          <t>Holmen skog AB</t>
        </is>
      </c>
      <c r="I1395" t="n">
        <v>0.9</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28231-2022</t>
        </is>
      </c>
      <c r="B1396" t="inlineStr">
        <is>
          <t>avverkningsanmälan</t>
        </is>
      </c>
      <c r="C1396" t="inlineStr">
        <is>
          <t>Föryngringsavverkning</t>
        </is>
      </c>
      <c r="D1396" s="1" t="n">
        <v>44746</v>
      </c>
      <c r="E1396" s="1" t="n">
        <v>46326</v>
      </c>
      <c r="F1396" t="inlineStr">
        <is>
          <t>GÄVLEBORGS LÄN</t>
        </is>
      </c>
      <c r="G1396" t="inlineStr">
        <is>
          <t>OVANÅKER</t>
        </is>
      </c>
      <c r="I1396" t="n">
        <v>1.9</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47589-2022</t>
        </is>
      </c>
      <c r="B1397" t="inlineStr">
        <is>
          <t>avverkningsanmälan</t>
        </is>
      </c>
      <c r="C1397" t="inlineStr">
        <is>
          <t>Föryngringsavverkning</t>
        </is>
      </c>
      <c r="D1397" s="1" t="n">
        <v>44853</v>
      </c>
      <c r="E1397" s="1" t="n">
        <v>46326</v>
      </c>
      <c r="F1397" t="inlineStr">
        <is>
          <t>GÄVLEBORGS LÄN</t>
        </is>
      </c>
      <c r="G1397" t="inlineStr">
        <is>
          <t>NORDANSTIG</t>
        </is>
      </c>
      <c r="I1397" t="n">
        <v>0.7</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66590-2021</t>
        </is>
      </c>
      <c r="B1398" t="inlineStr">
        <is>
          <t>avverkningsanmälan</t>
        </is>
      </c>
      <c r="C1398" t="inlineStr">
        <is>
          <t>Föryngringsavverkning</t>
        </is>
      </c>
      <c r="D1398" s="1" t="n">
        <v>44519</v>
      </c>
      <c r="E1398" s="1" t="n">
        <v>46326</v>
      </c>
      <c r="F1398" t="inlineStr">
        <is>
          <t>GÄVLEBORGS LÄN</t>
        </is>
      </c>
      <c r="G1398" t="inlineStr">
        <is>
          <t>SANDVIKEN</t>
        </is>
      </c>
      <c r="I1398" t="n">
        <v>7.2</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51519-2022</t>
        </is>
      </c>
      <c r="B1399" t="inlineStr">
        <is>
          <t>avverkningsanmälan</t>
        </is>
      </c>
      <c r="C1399" t="inlineStr">
        <is>
          <t>Föryngringsavverkning</t>
        </is>
      </c>
      <c r="D1399" s="1" t="n">
        <v>44869</v>
      </c>
      <c r="E1399" s="1" t="n">
        <v>46326</v>
      </c>
      <c r="F1399" t="inlineStr">
        <is>
          <t>GÄVLEBORGS LÄN</t>
        </is>
      </c>
      <c r="G1399" t="inlineStr">
        <is>
          <t>LJUSDAL</t>
        </is>
      </c>
      <c r="I1399" t="n">
        <v>0.5</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65907-2021</t>
        </is>
      </c>
      <c r="B1400" t="inlineStr">
        <is>
          <t>avverkningsanmälan</t>
        </is>
      </c>
      <c r="C1400" t="inlineStr">
        <is>
          <t>Föryngringsavverkning</t>
        </is>
      </c>
      <c r="D1400" s="1" t="n">
        <v>44517</v>
      </c>
      <c r="E1400" s="1" t="n">
        <v>46326</v>
      </c>
      <c r="F1400" t="inlineStr">
        <is>
          <t>GÄVLEBORGS LÄN</t>
        </is>
      </c>
      <c r="G1400" t="inlineStr">
        <is>
          <t>HUDIKSVALL</t>
        </is>
      </c>
      <c r="H1400" t="inlineStr">
        <is>
          <t>Holmen skog AB</t>
        </is>
      </c>
      <c r="I1400" t="n">
        <v>1.9</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35890-2022</t>
        </is>
      </c>
      <c r="B1401" t="inlineStr">
        <is>
          <t>avverkningsanmälan</t>
        </is>
      </c>
      <c r="C1401" t="inlineStr">
        <is>
          <t>Föryngringsavverkning</t>
        </is>
      </c>
      <c r="D1401" s="1" t="n">
        <v>44802</v>
      </c>
      <c r="E1401" s="1" t="n">
        <v>46326</v>
      </c>
      <c r="F1401" t="inlineStr">
        <is>
          <t>GÄVLEBORGS LÄN</t>
        </is>
      </c>
      <c r="G1401" t="inlineStr">
        <is>
          <t>LJUSDAL</t>
        </is>
      </c>
      <c r="H1401" t="inlineStr">
        <is>
          <t>Bergvik skog väst AB</t>
        </is>
      </c>
      <c r="I1401" t="n">
        <v>1.8</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8081-2022</t>
        </is>
      </c>
      <c r="B1402" t="inlineStr">
        <is>
          <t>avverkningsanmälan</t>
        </is>
      </c>
      <c r="C1402" t="inlineStr">
        <is>
          <t>Föryngringsavverkning</t>
        </is>
      </c>
      <c r="D1402" s="1" t="n">
        <v>44609</v>
      </c>
      <c r="E1402" s="1" t="n">
        <v>46326</v>
      </c>
      <c r="F1402" t="inlineStr">
        <is>
          <t>GÄVLEBORGS LÄN</t>
        </is>
      </c>
      <c r="G1402" t="inlineStr">
        <is>
          <t>HUDIKSVALL</t>
        </is>
      </c>
      <c r="I1402" t="n">
        <v>0.9</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32749-2022</t>
        </is>
      </c>
      <c r="B1403" t="inlineStr">
        <is>
          <t>avverkningsanmälan</t>
        </is>
      </c>
      <c r="C1403" t="inlineStr">
        <is>
          <t>Föryngringsavverkning</t>
        </is>
      </c>
      <c r="D1403" s="1" t="n">
        <v>44783</v>
      </c>
      <c r="E1403" s="1" t="n">
        <v>46326</v>
      </c>
      <c r="F1403" t="inlineStr">
        <is>
          <t>GÄVLEBORGS LÄN</t>
        </is>
      </c>
      <c r="G1403" t="inlineStr">
        <is>
          <t>SÖDERHAMN</t>
        </is>
      </c>
      <c r="I1403" t="n">
        <v>0.9</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331-2022</t>
        </is>
      </c>
      <c r="B1404" t="inlineStr">
        <is>
          <t>avverkningsanmälan</t>
        </is>
      </c>
      <c r="C1404" t="inlineStr">
        <is>
          <t>Föryngringsavverkning</t>
        </is>
      </c>
      <c r="D1404" s="1" t="n">
        <v>44565</v>
      </c>
      <c r="E1404" s="1" t="n">
        <v>46326</v>
      </c>
      <c r="F1404" t="inlineStr">
        <is>
          <t>GÄVLEBORGS LÄN</t>
        </is>
      </c>
      <c r="G1404" t="inlineStr">
        <is>
          <t>LJUSDAL</t>
        </is>
      </c>
      <c r="H1404" t="inlineStr">
        <is>
          <t>Holmen skog AB</t>
        </is>
      </c>
      <c r="I1404" t="n">
        <v>0.5</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1530-2022</t>
        </is>
      </c>
      <c r="B1405" t="inlineStr">
        <is>
          <t>avverkningsanmälan</t>
        </is>
      </c>
      <c r="C1405" t="inlineStr">
        <is>
          <t>Föryngringsavverkning</t>
        </is>
      </c>
      <c r="D1405" s="1" t="n">
        <v>44573</v>
      </c>
      <c r="E1405" s="1" t="n">
        <v>46326</v>
      </c>
      <c r="F1405" t="inlineStr">
        <is>
          <t>GÄVLEBORGS LÄN</t>
        </is>
      </c>
      <c r="G1405" t="inlineStr">
        <is>
          <t>OVANÅKER</t>
        </is>
      </c>
      <c r="I1405" t="n">
        <v>0.5</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8133-2022</t>
        </is>
      </c>
      <c r="B1406" t="inlineStr">
        <is>
          <t>avverkningsanmälan</t>
        </is>
      </c>
      <c r="C1406" t="inlineStr">
        <is>
          <t>Föryngringsavverkning</t>
        </is>
      </c>
      <c r="D1406" s="1" t="n">
        <v>44609</v>
      </c>
      <c r="E1406" s="1" t="n">
        <v>46326</v>
      </c>
      <c r="F1406" t="inlineStr">
        <is>
          <t>GÄVLEBORGS LÄN</t>
        </is>
      </c>
      <c r="G1406" t="inlineStr">
        <is>
          <t>HUDIKSVALL</t>
        </is>
      </c>
      <c r="I1406" t="n">
        <v>4</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72711-2021</t>
        </is>
      </c>
      <c r="B1407" t="inlineStr">
        <is>
          <t>avverkningsanmälan</t>
        </is>
      </c>
      <c r="C1407" t="inlineStr">
        <is>
          <t>Föryngringsavverkning</t>
        </is>
      </c>
      <c r="D1407" s="1" t="n">
        <v>44546</v>
      </c>
      <c r="E1407" s="1" t="n">
        <v>46326</v>
      </c>
      <c r="F1407" t="inlineStr">
        <is>
          <t>GÄVLEBORGS LÄN</t>
        </is>
      </c>
      <c r="G1407" t="inlineStr">
        <is>
          <t>LJUSDAL</t>
        </is>
      </c>
      <c r="H1407" t="inlineStr">
        <is>
          <t>Sveaskog</t>
        </is>
      </c>
      <c r="I1407" t="n">
        <v>2.3</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5430-2022</t>
        </is>
      </c>
      <c r="B1408" t="inlineStr">
        <is>
          <t>avverkningsanmälan</t>
        </is>
      </c>
      <c r="C1408" t="inlineStr">
        <is>
          <t>Föryngringsavverkning</t>
        </is>
      </c>
      <c r="D1408" s="1" t="n">
        <v>44595</v>
      </c>
      <c r="E1408" s="1" t="n">
        <v>46326</v>
      </c>
      <c r="F1408" t="inlineStr">
        <is>
          <t>GÄVLEBORGS LÄN</t>
        </is>
      </c>
      <c r="G1408" t="inlineStr">
        <is>
          <t>SANDVIKEN</t>
        </is>
      </c>
      <c r="I1408" t="n">
        <v>1.9</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65030-2021</t>
        </is>
      </c>
      <c r="B1409" t="inlineStr">
        <is>
          <t>avverkningsanmälan</t>
        </is>
      </c>
      <c r="C1409" t="inlineStr">
        <is>
          <t>Föryngringsavverkning</t>
        </is>
      </c>
      <c r="D1409" s="1" t="n">
        <v>44515</v>
      </c>
      <c r="E1409" s="1" t="n">
        <v>46326</v>
      </c>
      <c r="F1409" t="inlineStr">
        <is>
          <t>GÄVLEBORGS LÄN</t>
        </is>
      </c>
      <c r="G1409" t="inlineStr">
        <is>
          <t>BOLLNÄS</t>
        </is>
      </c>
      <c r="H1409" t="inlineStr">
        <is>
          <t>Bergvik skog väst AB</t>
        </is>
      </c>
      <c r="I1409" t="n">
        <v>0.7</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72435-2021</t>
        </is>
      </c>
      <c r="B1410" t="inlineStr">
        <is>
          <t>avverkningsanmälan</t>
        </is>
      </c>
      <c r="C1410" t="inlineStr">
        <is>
          <t>Avverkning för annat ändamål</t>
        </is>
      </c>
      <c r="D1410" s="1" t="n">
        <v>44545</v>
      </c>
      <c r="E1410" s="1" t="n">
        <v>46326</v>
      </c>
      <c r="F1410" t="inlineStr">
        <is>
          <t>GÄVLEBORGS LÄN</t>
        </is>
      </c>
      <c r="G1410" t="inlineStr">
        <is>
          <t>NORDANSTIG</t>
        </is>
      </c>
      <c r="I1410" t="n">
        <v>0.1</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70473-2021</t>
        </is>
      </c>
      <c r="B1411" t="inlineStr">
        <is>
          <t>avverkningsanmälan</t>
        </is>
      </c>
      <c r="C1411" t="inlineStr">
        <is>
          <t>Föryngringsavverkning</t>
        </is>
      </c>
      <c r="D1411" s="1" t="n">
        <v>44536</v>
      </c>
      <c r="E1411" s="1" t="n">
        <v>46326</v>
      </c>
      <c r="F1411" t="inlineStr">
        <is>
          <t>GÄVLEBORGS LÄN</t>
        </is>
      </c>
      <c r="G1411" t="inlineStr">
        <is>
          <t>BOLLNÄS</t>
        </is>
      </c>
      <c r="I1411" t="n">
        <v>0.7</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34709-2022</t>
        </is>
      </c>
      <c r="B1412" t="inlineStr">
        <is>
          <t>avverkningsanmälan</t>
        </is>
      </c>
      <c r="C1412" t="inlineStr">
        <is>
          <t>Avverkning för att bevara och utveckla /försöksver</t>
        </is>
      </c>
      <c r="D1412" s="1" t="n">
        <v>44795</v>
      </c>
      <c r="E1412" s="1" t="n">
        <v>46326</v>
      </c>
      <c r="F1412" t="inlineStr">
        <is>
          <t>GÄVLEBORGS LÄN</t>
        </is>
      </c>
      <c r="G1412" t="inlineStr">
        <is>
          <t>OCKELBO</t>
        </is>
      </c>
      <c r="I1412" t="n">
        <v>0.7</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11706-2022</t>
        </is>
      </c>
      <c r="B1413" t="inlineStr">
        <is>
          <t>avverkningsanmälan</t>
        </is>
      </c>
      <c r="C1413" t="inlineStr">
        <is>
          <t>Föryngringsavverkning</t>
        </is>
      </c>
      <c r="D1413" s="1" t="n">
        <v>44634</v>
      </c>
      <c r="E1413" s="1" t="n">
        <v>46326</v>
      </c>
      <c r="F1413" t="inlineStr">
        <is>
          <t>GÄVLEBORGS LÄN</t>
        </is>
      </c>
      <c r="G1413" t="inlineStr">
        <is>
          <t>NORDANSTIG</t>
        </is>
      </c>
      <c r="H1413" t="inlineStr">
        <is>
          <t>Holmen skog AB</t>
        </is>
      </c>
      <c r="I1413" t="n">
        <v>1.3</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6025-2022</t>
        </is>
      </c>
      <c r="B1414" t="inlineStr">
        <is>
          <t>avverkningsanmälan</t>
        </is>
      </c>
      <c r="C1414" t="inlineStr">
        <is>
          <t>Föryngringsavverkning</t>
        </is>
      </c>
      <c r="D1414" s="1" t="n">
        <v>44599</v>
      </c>
      <c r="E1414" s="1" t="n">
        <v>46326</v>
      </c>
      <c r="F1414" t="inlineStr">
        <is>
          <t>GÄVLEBORGS LÄN</t>
        </is>
      </c>
      <c r="G1414" t="inlineStr">
        <is>
          <t>GÄVLE</t>
        </is>
      </c>
      <c r="I1414" t="n">
        <v>2.1</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50567-2022</t>
        </is>
      </c>
      <c r="B1415" t="inlineStr">
        <is>
          <t>avverkningsanmälan</t>
        </is>
      </c>
      <c r="C1415" t="inlineStr">
        <is>
          <t>Föryngringsavverkning</t>
        </is>
      </c>
      <c r="D1415" s="1" t="n">
        <v>44866</v>
      </c>
      <c r="E1415" s="1" t="n">
        <v>46326</v>
      </c>
      <c r="F1415" t="inlineStr">
        <is>
          <t>GÄVLEBORGS LÄN</t>
        </is>
      </c>
      <c r="G1415" t="inlineStr">
        <is>
          <t>LJUSDAL</t>
        </is>
      </c>
      <c r="H1415" t="inlineStr">
        <is>
          <t>Holmen skog AB</t>
        </is>
      </c>
      <c r="I1415" t="n">
        <v>1.8</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26336-2022</t>
        </is>
      </c>
      <c r="B1416" t="inlineStr">
        <is>
          <t>avverkningsanmälan</t>
        </is>
      </c>
      <c r="C1416" t="inlineStr">
        <is>
          <t>Föryngringsavverkning</t>
        </is>
      </c>
      <c r="D1416" s="1" t="n">
        <v>44735</v>
      </c>
      <c r="E1416" s="1" t="n">
        <v>46326</v>
      </c>
      <c r="F1416" t="inlineStr">
        <is>
          <t>GÄVLEBORGS LÄN</t>
        </is>
      </c>
      <c r="G1416" t="inlineStr">
        <is>
          <t>GÄVLE</t>
        </is>
      </c>
      <c r="I1416" t="n">
        <v>1</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48205-2022</t>
        </is>
      </c>
      <c r="B1417" t="inlineStr">
        <is>
          <t>avverkningsanmälan</t>
        </is>
      </c>
      <c r="C1417" t="inlineStr">
        <is>
          <t>Föryngringsavverkning</t>
        </is>
      </c>
      <c r="D1417" s="1" t="n">
        <v>44858</v>
      </c>
      <c r="E1417" s="1" t="n">
        <v>46326</v>
      </c>
      <c r="F1417" t="inlineStr">
        <is>
          <t>GÄVLEBORGS LÄN</t>
        </is>
      </c>
      <c r="G1417" t="inlineStr">
        <is>
          <t>OCKELBO</t>
        </is>
      </c>
      <c r="H1417" t="inlineStr">
        <is>
          <t>Bergvik skog väst AB</t>
        </is>
      </c>
      <c r="I1417" t="n">
        <v>0.8</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40148-2022</t>
        </is>
      </c>
      <c r="B1418" t="inlineStr">
        <is>
          <t>avverkningsanmälan</t>
        </is>
      </c>
      <c r="C1418" t="inlineStr">
        <is>
          <t>Föryngringsavverkning</t>
        </is>
      </c>
      <c r="D1418" s="1" t="n">
        <v>44820</v>
      </c>
      <c r="E1418" s="1" t="n">
        <v>46326</v>
      </c>
      <c r="F1418" t="inlineStr">
        <is>
          <t>GÄVLEBORGS LÄN</t>
        </is>
      </c>
      <c r="G1418" t="inlineStr">
        <is>
          <t>SÖDERHAMN</t>
        </is>
      </c>
      <c r="I1418" t="n">
        <v>0.4</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25460-2022</t>
        </is>
      </c>
      <c r="B1419" t="inlineStr">
        <is>
          <t>avverkningsanmälan</t>
        </is>
      </c>
      <c r="C1419" t="inlineStr">
        <is>
          <t>Föryngringsavverkning</t>
        </is>
      </c>
      <c r="D1419" s="1" t="n">
        <v>44732</v>
      </c>
      <c r="E1419" s="1" t="n">
        <v>46326</v>
      </c>
      <c r="F1419" t="inlineStr">
        <is>
          <t>GÄVLEBORGS LÄN</t>
        </is>
      </c>
      <c r="G1419" t="inlineStr">
        <is>
          <t>NORDANSTIG</t>
        </is>
      </c>
      <c r="I1419" t="n">
        <v>0.7</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15101-2022</t>
        </is>
      </c>
      <c r="B1420" t="inlineStr">
        <is>
          <t>avverkningsanmälan</t>
        </is>
      </c>
      <c r="C1420" t="inlineStr">
        <is>
          <t>Föryngringsavverkning</t>
        </is>
      </c>
      <c r="D1420" s="1" t="n">
        <v>44658</v>
      </c>
      <c r="E1420" s="1" t="n">
        <v>46326</v>
      </c>
      <c r="F1420" t="inlineStr">
        <is>
          <t>GÄVLEBORGS LÄN</t>
        </is>
      </c>
      <c r="G1420" t="inlineStr">
        <is>
          <t>GÄVLE</t>
        </is>
      </c>
      <c r="H1420" t="inlineStr">
        <is>
          <t>Bergvik skog öst AB</t>
        </is>
      </c>
      <c r="I1420" t="n">
        <v>2.2</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22198-2022</t>
        </is>
      </c>
      <c r="B1421" t="inlineStr">
        <is>
          <t>avverkningsanmälan</t>
        </is>
      </c>
      <c r="C1421" t="inlineStr">
        <is>
          <t>Föryngringsavverkning</t>
        </is>
      </c>
      <c r="D1421" s="1" t="n">
        <v>44712</v>
      </c>
      <c r="E1421" s="1" t="n">
        <v>46326</v>
      </c>
      <c r="F1421" t="inlineStr">
        <is>
          <t>GÄVLEBORGS LÄN</t>
        </is>
      </c>
      <c r="G1421" t="inlineStr">
        <is>
          <t>HUDIKSVALL</t>
        </is>
      </c>
      <c r="H1421" t="inlineStr">
        <is>
          <t>Holmen skog AB</t>
        </is>
      </c>
      <c r="I1421" t="n">
        <v>4.5</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9635-2022</t>
        </is>
      </c>
      <c r="B1422" t="inlineStr">
        <is>
          <t>avverkningsanmälan</t>
        </is>
      </c>
      <c r="C1422" t="inlineStr">
        <is>
          <t>Föryngringsavverkning</t>
        </is>
      </c>
      <c r="D1422" s="1" t="n">
        <v>44617</v>
      </c>
      <c r="E1422" s="1" t="n">
        <v>46326</v>
      </c>
      <c r="F1422" t="inlineStr">
        <is>
          <t>GÄVLEBORGS LÄN</t>
        </is>
      </c>
      <c r="G1422" t="inlineStr">
        <is>
          <t>OVANÅKER</t>
        </is>
      </c>
      <c r="I1422" t="n">
        <v>1.7</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17246-2022</t>
        </is>
      </c>
      <c r="B1423" t="inlineStr">
        <is>
          <t>avverkningsanmälan</t>
        </is>
      </c>
      <c r="C1423" t="inlineStr">
        <is>
          <t>Föryngringsavverkning</t>
        </is>
      </c>
      <c r="D1423" s="1" t="n">
        <v>44678</v>
      </c>
      <c r="E1423" s="1" t="n">
        <v>46326</v>
      </c>
      <c r="F1423" t="inlineStr">
        <is>
          <t>GÄVLEBORGS LÄN</t>
        </is>
      </c>
      <c r="G1423" t="inlineStr">
        <is>
          <t>LJUSDAL</t>
        </is>
      </c>
      <c r="H1423" t="inlineStr">
        <is>
          <t>Holmen skog AB</t>
        </is>
      </c>
      <c r="I1423" t="n">
        <v>6.6</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9980-2022</t>
        </is>
      </c>
      <c r="B1424" t="inlineStr">
        <is>
          <t>avverkningsanmälan</t>
        </is>
      </c>
      <c r="C1424" t="inlineStr">
        <is>
          <t>Föryngringsavverkning</t>
        </is>
      </c>
      <c r="D1424" s="1" t="n">
        <v>44621</v>
      </c>
      <c r="E1424" s="1" t="n">
        <v>46326</v>
      </c>
      <c r="F1424" t="inlineStr">
        <is>
          <t>GÄVLEBORGS LÄN</t>
        </is>
      </c>
      <c r="G1424" t="inlineStr">
        <is>
          <t>OVANÅKER</t>
        </is>
      </c>
      <c r="I1424" t="n">
        <v>1.6</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67931-2021</t>
        </is>
      </c>
      <c r="B1425" t="inlineStr">
        <is>
          <t>avverkningsanmälan</t>
        </is>
      </c>
      <c r="C1425" t="inlineStr">
        <is>
          <t>Föryngringsavverkning</t>
        </is>
      </c>
      <c r="D1425" s="1" t="n">
        <v>44525</v>
      </c>
      <c r="E1425" s="1" t="n">
        <v>46326</v>
      </c>
      <c r="F1425" t="inlineStr">
        <is>
          <t>GÄVLEBORGS LÄN</t>
        </is>
      </c>
      <c r="G1425" t="inlineStr">
        <is>
          <t>NORDANSTIG</t>
        </is>
      </c>
      <c r="H1425" t="inlineStr">
        <is>
          <t>Holmen skog AB</t>
        </is>
      </c>
      <c r="I1425" t="n">
        <v>1.5</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50347-2022</t>
        </is>
      </c>
      <c r="B1426" t="inlineStr">
        <is>
          <t>avverkningsanmälan</t>
        </is>
      </c>
      <c r="C1426" t="inlineStr">
        <is>
          <t>Föryngringsavverkning</t>
        </is>
      </c>
      <c r="D1426" s="1" t="n">
        <v>44866</v>
      </c>
      <c r="E1426" s="1" t="n">
        <v>46326</v>
      </c>
      <c r="F1426" t="inlineStr">
        <is>
          <t>GÄVLEBORGS LÄN</t>
        </is>
      </c>
      <c r="G1426" t="inlineStr">
        <is>
          <t>LJUSDAL</t>
        </is>
      </c>
      <c r="H1426" t="inlineStr">
        <is>
          <t>Holmen skog AB</t>
        </is>
      </c>
      <c r="I1426" t="n">
        <v>3.5</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31773-2022</t>
        </is>
      </c>
      <c r="B1427" t="inlineStr">
        <is>
          <t>avverkningsanmälan</t>
        </is>
      </c>
      <c r="C1427" t="inlineStr">
        <is>
          <t>Föryngringsavverkning</t>
        </is>
      </c>
      <c r="D1427" s="1" t="n">
        <v>44776</v>
      </c>
      <c r="E1427" s="1" t="n">
        <v>46326</v>
      </c>
      <c r="F1427" t="inlineStr">
        <is>
          <t>GÄVLEBORGS LÄN</t>
        </is>
      </c>
      <c r="G1427" t="inlineStr">
        <is>
          <t>GÄVLE</t>
        </is>
      </c>
      <c r="H1427" t="inlineStr">
        <is>
          <t>Bergvik skog väst AB</t>
        </is>
      </c>
      <c r="I1427" t="n">
        <v>1.5</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49493-2022</t>
        </is>
      </c>
      <c r="B1428" t="inlineStr">
        <is>
          <t>avverkningsanmälan</t>
        </is>
      </c>
      <c r="C1428" t="inlineStr">
        <is>
          <t>Föryngringsavverkning</t>
        </is>
      </c>
      <c r="D1428" s="1" t="n">
        <v>44861</v>
      </c>
      <c r="E1428" s="1" t="n">
        <v>46326</v>
      </c>
      <c r="F1428" t="inlineStr">
        <is>
          <t>GÄVLEBORGS LÄN</t>
        </is>
      </c>
      <c r="G1428" t="inlineStr">
        <is>
          <t>SANDVIKEN</t>
        </is>
      </c>
      <c r="I1428" t="n">
        <v>3.4</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26301-2022</t>
        </is>
      </c>
      <c r="B1429" t="inlineStr">
        <is>
          <t>avverkningsanmälan</t>
        </is>
      </c>
      <c r="C1429" t="inlineStr">
        <is>
          <t>Föryngringsavverkning</t>
        </is>
      </c>
      <c r="D1429" s="1" t="n">
        <v>44735</v>
      </c>
      <c r="E1429" s="1" t="n">
        <v>46326</v>
      </c>
      <c r="F1429" t="inlineStr">
        <is>
          <t>GÄVLEBORGS LÄN</t>
        </is>
      </c>
      <c r="G1429" t="inlineStr">
        <is>
          <t>BOLLNÄS</t>
        </is>
      </c>
      <c r="I1429" t="n">
        <v>0.7</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20916-2022</t>
        </is>
      </c>
      <c r="B1430" t="inlineStr">
        <is>
          <t>avverkningsanmälan</t>
        </is>
      </c>
      <c r="C1430" t="inlineStr">
        <is>
          <t>Föryngringsavverkning</t>
        </is>
      </c>
      <c r="D1430" s="1" t="n">
        <v>44701</v>
      </c>
      <c r="E1430" s="1" t="n">
        <v>46326</v>
      </c>
      <c r="F1430" t="inlineStr">
        <is>
          <t>GÄVLEBORGS LÄN</t>
        </is>
      </c>
      <c r="G1430" t="inlineStr">
        <is>
          <t>LJUSDAL</t>
        </is>
      </c>
      <c r="H1430" t="inlineStr">
        <is>
          <t>Sveaskog</t>
        </is>
      </c>
      <c r="I1430" t="n">
        <v>8.800000000000001</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1031-2022</t>
        </is>
      </c>
      <c r="B1431" t="inlineStr">
        <is>
          <t>avverkningsanmälan</t>
        </is>
      </c>
      <c r="C1431" t="inlineStr">
        <is>
          <t>Föryngringsavverkning</t>
        </is>
      </c>
      <c r="D1431" s="1" t="n">
        <v>44571</v>
      </c>
      <c r="E1431" s="1" t="n">
        <v>46326</v>
      </c>
      <c r="F1431" t="inlineStr">
        <is>
          <t>GÄVLEBORGS LÄN</t>
        </is>
      </c>
      <c r="G1431" t="inlineStr">
        <is>
          <t>GÄVLE</t>
        </is>
      </c>
      <c r="I1431" t="n">
        <v>12.2</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43490-2022</t>
        </is>
      </c>
      <c r="B1432" t="inlineStr">
        <is>
          <t>avverkningsanmälan</t>
        </is>
      </c>
      <c r="C1432" t="inlineStr">
        <is>
          <t>Föryngringsavverkning</t>
        </is>
      </c>
      <c r="D1432" s="1" t="n">
        <v>44837</v>
      </c>
      <c r="E1432" s="1" t="n">
        <v>46326</v>
      </c>
      <c r="F1432" t="inlineStr">
        <is>
          <t>GÄVLEBORGS LÄN</t>
        </is>
      </c>
      <c r="G1432" t="inlineStr">
        <is>
          <t>SÖDERHAMN</t>
        </is>
      </c>
      <c r="I1432" t="n">
        <v>3.5</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33280-2022</t>
        </is>
      </c>
      <c r="B1433" t="inlineStr">
        <is>
          <t>avverkningsanmälan</t>
        </is>
      </c>
      <c r="C1433" t="inlineStr">
        <is>
          <t>Föryngringsavverkning</t>
        </is>
      </c>
      <c r="D1433" s="1" t="n">
        <v>44788</v>
      </c>
      <c r="E1433" s="1" t="n">
        <v>46326</v>
      </c>
      <c r="F1433" t="inlineStr">
        <is>
          <t>GÄVLEBORGS LÄN</t>
        </is>
      </c>
      <c r="G1433" t="inlineStr">
        <is>
          <t>GÄVLE</t>
        </is>
      </c>
      <c r="H1433" t="inlineStr">
        <is>
          <t>Bergvik skog öst AB</t>
        </is>
      </c>
      <c r="I1433" t="n">
        <v>2.1</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39114-2022</t>
        </is>
      </c>
      <c r="B1434" t="inlineStr">
        <is>
          <t>avverkningsanmälan</t>
        </is>
      </c>
      <c r="C1434" t="inlineStr">
        <is>
          <t>Föryngringsavverkning</t>
        </is>
      </c>
      <c r="D1434" s="1" t="n">
        <v>44817</v>
      </c>
      <c r="E1434" s="1" t="n">
        <v>46326</v>
      </c>
      <c r="F1434" t="inlineStr">
        <is>
          <t>GÄVLEBORGS LÄN</t>
        </is>
      </c>
      <c r="G1434" t="inlineStr">
        <is>
          <t>HUDIKSVALL</t>
        </is>
      </c>
      <c r="H1434" t="inlineStr">
        <is>
          <t>Holmen skog AB</t>
        </is>
      </c>
      <c r="I1434" t="n">
        <v>1.7</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20171-2022</t>
        </is>
      </c>
      <c r="B1435" t="inlineStr">
        <is>
          <t>avverkningsanmälan</t>
        </is>
      </c>
      <c r="C1435" t="inlineStr">
        <is>
          <t>Föryngringsavverkning</t>
        </is>
      </c>
      <c r="D1435" s="1" t="n">
        <v>44698</v>
      </c>
      <c r="E1435" s="1" t="n">
        <v>46326</v>
      </c>
      <c r="F1435" t="inlineStr">
        <is>
          <t>GÄVLEBORGS LÄN</t>
        </is>
      </c>
      <c r="G1435" t="inlineStr">
        <is>
          <t>SÖDERHAMN</t>
        </is>
      </c>
      <c r="I1435" t="n">
        <v>0.5</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36470-2022</t>
        </is>
      </c>
      <c r="B1436" t="inlineStr">
        <is>
          <t>avverkningsanmälan</t>
        </is>
      </c>
      <c r="C1436" t="inlineStr">
        <is>
          <t>Föryngringsavverkning</t>
        </is>
      </c>
      <c r="D1436" s="1" t="n">
        <v>44804</v>
      </c>
      <c r="E1436" s="1" t="n">
        <v>46326</v>
      </c>
      <c r="F1436" t="inlineStr">
        <is>
          <t>GÄVLEBORGS LÄN</t>
        </is>
      </c>
      <c r="G1436" t="inlineStr">
        <is>
          <t>LJUSDAL</t>
        </is>
      </c>
      <c r="I1436" t="n">
        <v>0.8</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39241-2022</t>
        </is>
      </c>
      <c r="B1437" t="inlineStr">
        <is>
          <t>avverkningsanmälan</t>
        </is>
      </c>
      <c r="C1437" t="inlineStr">
        <is>
          <t>Föryngringsavverkning</t>
        </is>
      </c>
      <c r="D1437" s="1" t="n">
        <v>44817</v>
      </c>
      <c r="E1437" s="1" t="n">
        <v>46326</v>
      </c>
      <c r="F1437" t="inlineStr">
        <is>
          <t>GÄVLEBORGS LÄN</t>
        </is>
      </c>
      <c r="G1437" t="inlineStr">
        <is>
          <t>SANDVIKEN</t>
        </is>
      </c>
      <c r="H1437" t="inlineStr">
        <is>
          <t>Bergvik skog öst AB</t>
        </is>
      </c>
      <c r="I1437" t="n">
        <v>1.3</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42129-2022</t>
        </is>
      </c>
      <c r="B1438" t="inlineStr">
        <is>
          <t>avverkningsanmälan</t>
        </is>
      </c>
      <c r="C1438" t="inlineStr">
        <is>
          <t>Föryngringsavverkning</t>
        </is>
      </c>
      <c r="D1438" s="1" t="n">
        <v>44830</v>
      </c>
      <c r="E1438" s="1" t="n">
        <v>46326</v>
      </c>
      <c r="F1438" t="inlineStr">
        <is>
          <t>GÄVLEBORGS LÄN</t>
        </is>
      </c>
      <c r="G1438" t="inlineStr">
        <is>
          <t>NORDANSTIG</t>
        </is>
      </c>
      <c r="H1438" t="inlineStr">
        <is>
          <t>Holmen skog AB</t>
        </is>
      </c>
      <c r="I1438" t="n">
        <v>1.1</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35846-2022</t>
        </is>
      </c>
      <c r="B1439" t="inlineStr">
        <is>
          <t>avverkningsanmälan</t>
        </is>
      </c>
      <c r="C1439" t="inlineStr">
        <is>
          <t>Föryngringsavverkning</t>
        </is>
      </c>
      <c r="D1439" s="1" t="n">
        <v>44802</v>
      </c>
      <c r="E1439" s="1" t="n">
        <v>46326</v>
      </c>
      <c r="F1439" t="inlineStr">
        <is>
          <t>GÄVLEBORGS LÄN</t>
        </is>
      </c>
      <c r="G1439" t="inlineStr">
        <is>
          <t>OCKELBO</t>
        </is>
      </c>
      <c r="I1439" t="n">
        <v>0.9</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54152-2022</t>
        </is>
      </c>
      <c r="B1440" t="inlineStr">
        <is>
          <t>avverkningsanmälan</t>
        </is>
      </c>
      <c r="C1440" t="inlineStr">
        <is>
          <t>Föryngringsavverkning</t>
        </is>
      </c>
      <c r="D1440" s="1" t="n">
        <v>44881</v>
      </c>
      <c r="E1440" s="1" t="n">
        <v>46326</v>
      </c>
      <c r="F1440" t="inlineStr">
        <is>
          <t>GÄVLEBORGS LÄN</t>
        </is>
      </c>
      <c r="G1440" t="inlineStr">
        <is>
          <t>OCKELBO</t>
        </is>
      </c>
      <c r="I1440" t="n">
        <v>0.6</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7079-2022</t>
        </is>
      </c>
      <c r="B1441" t="inlineStr">
        <is>
          <t>avverkningsanmälan</t>
        </is>
      </c>
      <c r="C1441" t="inlineStr">
        <is>
          <t>Föryngringsavverkning</t>
        </is>
      </c>
      <c r="D1441" s="1" t="n">
        <v>44603</v>
      </c>
      <c r="E1441" s="1" t="n">
        <v>46326</v>
      </c>
      <c r="F1441" t="inlineStr">
        <is>
          <t>GÄVLEBORGS LÄN</t>
        </is>
      </c>
      <c r="G1441" t="inlineStr">
        <is>
          <t>BOLLNÄS</t>
        </is>
      </c>
      <c r="I1441" t="n">
        <v>1.4</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9899-2022</t>
        </is>
      </c>
      <c r="B1442" t="inlineStr">
        <is>
          <t>avverkningsanmälan</t>
        </is>
      </c>
      <c r="C1442" t="inlineStr">
        <is>
          <t>Föryngringsavverkning</t>
        </is>
      </c>
      <c r="D1442" s="1" t="n">
        <v>44620</v>
      </c>
      <c r="E1442" s="1" t="n">
        <v>46326</v>
      </c>
      <c r="F1442" t="inlineStr">
        <is>
          <t>GÄVLEBORGS LÄN</t>
        </is>
      </c>
      <c r="G1442" t="inlineStr">
        <is>
          <t>NORDANSTIG</t>
        </is>
      </c>
      <c r="I1442" t="n">
        <v>4.7</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21291-2022</t>
        </is>
      </c>
      <c r="B1443" t="inlineStr">
        <is>
          <t>avverkningsanmälan</t>
        </is>
      </c>
      <c r="C1443" t="inlineStr">
        <is>
          <t>Föryngringsavverkning</t>
        </is>
      </c>
      <c r="D1443" s="1" t="n">
        <v>44705</v>
      </c>
      <c r="E1443" s="1" t="n">
        <v>46326</v>
      </c>
      <c r="F1443" t="inlineStr">
        <is>
          <t>GÄVLEBORGS LÄN</t>
        </is>
      </c>
      <c r="G1443" t="inlineStr">
        <is>
          <t>OCKELBO</t>
        </is>
      </c>
      <c r="I1443" t="n">
        <v>1</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19374-2022</t>
        </is>
      </c>
      <c r="B1444" t="inlineStr">
        <is>
          <t>avverkningsanmälan</t>
        </is>
      </c>
      <c r="C1444" t="inlineStr">
        <is>
          <t>Föryngringsavverkning</t>
        </is>
      </c>
      <c r="D1444" s="1" t="n">
        <v>44692</v>
      </c>
      <c r="E1444" s="1" t="n">
        <v>46326</v>
      </c>
      <c r="F1444" t="inlineStr">
        <is>
          <t>GÄVLEBORGS LÄN</t>
        </is>
      </c>
      <c r="G1444" t="inlineStr">
        <is>
          <t>NORDANSTIG</t>
        </is>
      </c>
      <c r="H1444" t="inlineStr">
        <is>
          <t>Holmen skog AB</t>
        </is>
      </c>
      <c r="I1444" t="n">
        <v>0.7</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29762-2022</t>
        </is>
      </c>
      <c r="B1445" t="inlineStr">
        <is>
          <t>avverkningsanmälan</t>
        </is>
      </c>
      <c r="C1445" t="inlineStr">
        <is>
          <t>Föryngringsavverkning</t>
        </is>
      </c>
      <c r="D1445" s="1" t="n">
        <v>44755</v>
      </c>
      <c r="E1445" s="1" t="n">
        <v>46326</v>
      </c>
      <c r="F1445" t="inlineStr">
        <is>
          <t>GÄVLEBORGS LÄN</t>
        </is>
      </c>
      <c r="G1445" t="inlineStr">
        <is>
          <t>OVANÅKER</t>
        </is>
      </c>
      <c r="H1445" t="inlineStr">
        <is>
          <t>Bergvik skog öst AB</t>
        </is>
      </c>
      <c r="I1445" t="n">
        <v>0.5</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18691-2022</t>
        </is>
      </c>
      <c r="B1446" t="inlineStr">
        <is>
          <t>avverkningsanmälan</t>
        </is>
      </c>
      <c r="C1446" t="inlineStr">
        <is>
          <t>Föryngringsavverkning</t>
        </is>
      </c>
      <c r="D1446" s="1" t="n">
        <v>44687</v>
      </c>
      <c r="E1446" s="1" t="n">
        <v>46326</v>
      </c>
      <c r="F1446" t="inlineStr">
        <is>
          <t>GÄVLEBORGS LÄN</t>
        </is>
      </c>
      <c r="G1446" t="inlineStr">
        <is>
          <t>LJUSDAL</t>
        </is>
      </c>
      <c r="I1446" t="n">
        <v>0.4</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51127-2022</t>
        </is>
      </c>
      <c r="B1447" t="inlineStr">
        <is>
          <t>avverkningsanmälan</t>
        </is>
      </c>
      <c r="C1447" t="inlineStr">
        <is>
          <t>Föryngringsavverkning</t>
        </is>
      </c>
      <c r="D1447" s="1" t="n">
        <v>44868</v>
      </c>
      <c r="E1447" s="1" t="n">
        <v>46326</v>
      </c>
      <c r="F1447" t="inlineStr">
        <is>
          <t>GÄVLEBORGS LÄN</t>
        </is>
      </c>
      <c r="G1447" t="inlineStr">
        <is>
          <t>OVANÅKER</t>
        </is>
      </c>
      <c r="I1447" t="n">
        <v>0.4</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51747-2022</t>
        </is>
      </c>
      <c r="B1448" t="inlineStr">
        <is>
          <t>avverkningsanmälan</t>
        </is>
      </c>
      <c r="C1448" t="inlineStr">
        <is>
          <t>Föryngringsavverkning</t>
        </is>
      </c>
      <c r="D1448" s="1" t="n">
        <v>44872</v>
      </c>
      <c r="E1448" s="1" t="n">
        <v>46326</v>
      </c>
      <c r="F1448" t="inlineStr">
        <is>
          <t>GÄVLEBORGS LÄN</t>
        </is>
      </c>
      <c r="G1448" t="inlineStr">
        <is>
          <t>OCKELBO</t>
        </is>
      </c>
      <c r="H1448" t="inlineStr">
        <is>
          <t>Bergvik skog väst AB</t>
        </is>
      </c>
      <c r="I1448" t="n">
        <v>0.7</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53445-2022</t>
        </is>
      </c>
      <c r="B1449" t="inlineStr">
        <is>
          <t>avverkningsanmälan</t>
        </is>
      </c>
      <c r="C1449" t="inlineStr">
        <is>
          <t>Föryngringsavverkning</t>
        </is>
      </c>
      <c r="D1449" s="1" t="n">
        <v>44879</v>
      </c>
      <c r="E1449" s="1" t="n">
        <v>46326</v>
      </c>
      <c r="F1449" t="inlineStr">
        <is>
          <t>GÄVLEBORGS LÄN</t>
        </is>
      </c>
      <c r="G1449" t="inlineStr">
        <is>
          <t>OVANÅKER</t>
        </is>
      </c>
      <c r="I1449" t="n">
        <v>0.6</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15725-2022</t>
        </is>
      </c>
      <c r="B1450" t="inlineStr">
        <is>
          <t>avverkningsanmälan</t>
        </is>
      </c>
      <c r="C1450" t="inlineStr">
        <is>
          <t>Föryngringsavverkning</t>
        </is>
      </c>
      <c r="D1450" s="1" t="n">
        <v>44663</v>
      </c>
      <c r="E1450" s="1" t="n">
        <v>46326</v>
      </c>
      <c r="F1450" t="inlineStr">
        <is>
          <t>GÄVLEBORGS LÄN</t>
        </is>
      </c>
      <c r="G1450" t="inlineStr">
        <is>
          <t>SÖDERHAMN</t>
        </is>
      </c>
      <c r="I1450" t="n">
        <v>1</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27695-2022</t>
        </is>
      </c>
      <c r="B1451" t="inlineStr">
        <is>
          <t>avverkningsanmälan</t>
        </is>
      </c>
      <c r="C1451" t="inlineStr">
        <is>
          <t>Föryngringsavverkning</t>
        </is>
      </c>
      <c r="D1451" s="1" t="n">
        <v>44743</v>
      </c>
      <c r="E1451" s="1" t="n">
        <v>46326</v>
      </c>
      <c r="F1451" t="inlineStr">
        <is>
          <t>GÄVLEBORGS LÄN</t>
        </is>
      </c>
      <c r="G1451" t="inlineStr">
        <is>
          <t>NORDANSTIG</t>
        </is>
      </c>
      <c r="H1451" t="inlineStr">
        <is>
          <t>Holmen skog AB</t>
        </is>
      </c>
      <c r="I1451" t="n">
        <v>2.6</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4349-2022</t>
        </is>
      </c>
      <c r="B1452" t="inlineStr">
        <is>
          <t>avverkningsanmälan</t>
        </is>
      </c>
      <c r="C1452" t="inlineStr">
        <is>
          <t>Föryngringsavverkning</t>
        </is>
      </c>
      <c r="D1452" s="1" t="n">
        <v>44589</v>
      </c>
      <c r="E1452" s="1" t="n">
        <v>46326</v>
      </c>
      <c r="F1452" t="inlineStr">
        <is>
          <t>GÄVLEBORGS LÄN</t>
        </is>
      </c>
      <c r="G1452" t="inlineStr">
        <is>
          <t>GÄVLE</t>
        </is>
      </c>
      <c r="I1452" t="n">
        <v>3.4</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44765-2022</t>
        </is>
      </c>
      <c r="B1453" t="inlineStr">
        <is>
          <t>avverkningsanmälan</t>
        </is>
      </c>
      <c r="C1453" t="inlineStr">
        <is>
          <t>Föryngringsavverkning</t>
        </is>
      </c>
      <c r="D1453" s="1" t="n">
        <v>44840</v>
      </c>
      <c r="E1453" s="1" t="n">
        <v>46326</v>
      </c>
      <c r="F1453" t="inlineStr">
        <is>
          <t>GÄVLEBORGS LÄN</t>
        </is>
      </c>
      <c r="G1453" t="inlineStr">
        <is>
          <t>NORDANSTIG</t>
        </is>
      </c>
      <c r="H1453" t="inlineStr">
        <is>
          <t>SCA</t>
        </is>
      </c>
      <c r="I1453" t="n">
        <v>0.9</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21871-2022</t>
        </is>
      </c>
      <c r="B1454" t="inlineStr">
        <is>
          <t>avverkningsanmälan</t>
        </is>
      </c>
      <c r="C1454" t="inlineStr">
        <is>
          <t>Föryngringsavverkning</t>
        </is>
      </c>
      <c r="D1454" s="1" t="n">
        <v>44711</v>
      </c>
      <c r="E1454" s="1" t="n">
        <v>46326</v>
      </c>
      <c r="F1454" t="inlineStr">
        <is>
          <t>GÄVLEBORGS LÄN</t>
        </is>
      </c>
      <c r="G1454" t="inlineStr">
        <is>
          <t>NORDANSTIG</t>
        </is>
      </c>
      <c r="I1454" t="n">
        <v>8.800000000000001</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30779-2022</t>
        </is>
      </c>
      <c r="B1455" t="inlineStr">
        <is>
          <t>avverkningsanmälan</t>
        </is>
      </c>
      <c r="C1455" t="inlineStr">
        <is>
          <t>Föryngringsavverkning</t>
        </is>
      </c>
      <c r="D1455" s="1" t="n">
        <v>44764</v>
      </c>
      <c r="E1455" s="1" t="n">
        <v>46326</v>
      </c>
      <c r="F1455" t="inlineStr">
        <is>
          <t>GÄVLEBORGS LÄN</t>
        </is>
      </c>
      <c r="G1455" t="inlineStr">
        <is>
          <t>NORDANSTIG</t>
        </is>
      </c>
      <c r="H1455" t="inlineStr">
        <is>
          <t>Holmen skog AB</t>
        </is>
      </c>
      <c r="I1455" t="n">
        <v>0.8</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47718-2022</t>
        </is>
      </c>
      <c r="B1456" t="inlineStr">
        <is>
          <t>avverkningsanmälan</t>
        </is>
      </c>
      <c r="C1456" t="inlineStr">
        <is>
          <t>Föryngringsavverkning</t>
        </is>
      </c>
      <c r="D1456" s="1" t="n">
        <v>44854</v>
      </c>
      <c r="E1456" s="1" t="n">
        <v>46326</v>
      </c>
      <c r="F1456" t="inlineStr">
        <is>
          <t>GÄVLEBORGS LÄN</t>
        </is>
      </c>
      <c r="G1456" t="inlineStr">
        <is>
          <t>SANDVIKEN</t>
        </is>
      </c>
      <c r="I1456" t="n">
        <v>2.5</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30166-2022</t>
        </is>
      </c>
      <c r="B1457" t="inlineStr">
        <is>
          <t>avverkningsanmälan</t>
        </is>
      </c>
      <c r="C1457" t="inlineStr">
        <is>
          <t>Föryngringsavverkning</t>
        </is>
      </c>
      <c r="D1457" s="1" t="n">
        <v>44757</v>
      </c>
      <c r="E1457" s="1" t="n">
        <v>46326</v>
      </c>
      <c r="F1457" t="inlineStr">
        <is>
          <t>GÄVLEBORGS LÄN</t>
        </is>
      </c>
      <c r="G1457" t="inlineStr">
        <is>
          <t>OVANÅKER</t>
        </is>
      </c>
      <c r="I1457" t="n">
        <v>1</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44181-2022</t>
        </is>
      </c>
      <c r="B1458" t="inlineStr">
        <is>
          <t>avverkningsanmälan</t>
        </is>
      </c>
      <c r="C1458" t="inlineStr">
        <is>
          <t>Föryngringsavverkning</t>
        </is>
      </c>
      <c r="D1458" s="1" t="n">
        <v>44839</v>
      </c>
      <c r="E1458" s="1" t="n">
        <v>46326</v>
      </c>
      <c r="F1458" t="inlineStr">
        <is>
          <t>GÄVLEBORGS LÄN</t>
        </is>
      </c>
      <c r="G1458" t="inlineStr">
        <is>
          <t>HUDIKSVALL</t>
        </is>
      </c>
      <c r="I1458" t="n">
        <v>0.7</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29267-2022</t>
        </is>
      </c>
      <c r="B1459" t="inlineStr">
        <is>
          <t>avverkningsanmälan</t>
        </is>
      </c>
      <c r="C1459" t="inlineStr">
        <is>
          <t>Föryngringsavverkning</t>
        </is>
      </c>
      <c r="D1459" s="1" t="n">
        <v>44750</v>
      </c>
      <c r="E1459" s="1" t="n">
        <v>46326</v>
      </c>
      <c r="F1459" t="inlineStr">
        <is>
          <t>GÄVLEBORGS LÄN</t>
        </is>
      </c>
      <c r="G1459" t="inlineStr">
        <is>
          <t>LJUSDAL</t>
        </is>
      </c>
      <c r="H1459" t="inlineStr">
        <is>
          <t>Holmen skog AB</t>
        </is>
      </c>
      <c r="I1459" t="n">
        <v>1.6</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23957-2022</t>
        </is>
      </c>
      <c r="B1460" t="inlineStr">
        <is>
          <t>avverkningsanmälan</t>
        </is>
      </c>
      <c r="C1460" t="inlineStr">
        <is>
          <t>Föryngringsavverkning</t>
        </is>
      </c>
      <c r="D1460" s="1" t="n">
        <v>44722</v>
      </c>
      <c r="E1460" s="1" t="n">
        <v>46326</v>
      </c>
      <c r="F1460" t="inlineStr">
        <is>
          <t>GÄVLEBORGS LÄN</t>
        </is>
      </c>
      <c r="G1460" t="inlineStr">
        <is>
          <t>LJUSDAL</t>
        </is>
      </c>
      <c r="I1460" t="n">
        <v>1.6</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24763-2022</t>
        </is>
      </c>
      <c r="B1461" t="inlineStr">
        <is>
          <t>avverkningsanmälan</t>
        </is>
      </c>
      <c r="C1461" t="inlineStr">
        <is>
          <t>Avverkning för annat ändamål</t>
        </is>
      </c>
      <c r="D1461" s="1" t="n">
        <v>44728</v>
      </c>
      <c r="E1461" s="1" t="n">
        <v>46326</v>
      </c>
      <c r="F1461" t="inlineStr">
        <is>
          <t>GÄVLEBORGS LÄN</t>
        </is>
      </c>
      <c r="G1461" t="inlineStr">
        <is>
          <t>BOLLNÄS</t>
        </is>
      </c>
      <c r="I1461" t="n">
        <v>1.1</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73725-2021</t>
        </is>
      </c>
      <c r="B1462" t="inlineStr">
        <is>
          <t>avverkningsanmälan</t>
        </is>
      </c>
      <c r="C1462" t="inlineStr">
        <is>
          <t>Föryngringsavverkning</t>
        </is>
      </c>
      <c r="D1462" s="1" t="n">
        <v>44552</v>
      </c>
      <c r="E1462" s="1" t="n">
        <v>46326</v>
      </c>
      <c r="F1462" t="inlineStr">
        <is>
          <t>GÄVLEBORGS LÄN</t>
        </is>
      </c>
      <c r="G1462" t="inlineStr">
        <is>
          <t>NORDANSTIG</t>
        </is>
      </c>
      <c r="H1462" t="inlineStr">
        <is>
          <t>Holmen skog AB</t>
        </is>
      </c>
      <c r="I1462" t="n">
        <v>1.1</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33626-2022</t>
        </is>
      </c>
      <c r="B1463" t="inlineStr">
        <is>
          <t>avverkningsanmälan</t>
        </is>
      </c>
      <c r="C1463" t="inlineStr">
        <is>
          <t>Avverkning för annat ändamål</t>
        </is>
      </c>
      <c r="D1463" s="1" t="n">
        <v>44789</v>
      </c>
      <c r="E1463" s="1" t="n">
        <v>46326</v>
      </c>
      <c r="F1463" t="inlineStr">
        <is>
          <t>GÄVLEBORGS LÄN</t>
        </is>
      </c>
      <c r="G1463" t="inlineStr">
        <is>
          <t>LJUSDAL</t>
        </is>
      </c>
      <c r="I1463" t="n">
        <v>0.6</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43936-2022</t>
        </is>
      </c>
      <c r="B1464" t="inlineStr">
        <is>
          <t>avverkningsanmälan</t>
        </is>
      </c>
      <c r="C1464" t="inlineStr">
        <is>
          <t>Föryngringsavverkning</t>
        </is>
      </c>
      <c r="D1464" s="1" t="n">
        <v>44838</v>
      </c>
      <c r="E1464" s="1" t="n">
        <v>46326</v>
      </c>
      <c r="F1464" t="inlineStr">
        <is>
          <t>GÄVLEBORGS LÄN</t>
        </is>
      </c>
      <c r="G1464" t="inlineStr">
        <is>
          <t>SÖDERHAMN</t>
        </is>
      </c>
      <c r="I1464" t="n">
        <v>0.4</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63882-2021</t>
        </is>
      </c>
      <c r="B1465" t="inlineStr">
        <is>
          <t>avverkningsanmälan</t>
        </is>
      </c>
      <c r="C1465" t="inlineStr">
        <is>
          <t>Avverkning för annat ändamål</t>
        </is>
      </c>
      <c r="D1465" s="1" t="n">
        <v>44509</v>
      </c>
      <c r="E1465" s="1" t="n">
        <v>46326</v>
      </c>
      <c r="F1465" t="inlineStr">
        <is>
          <t>GÄVLEBORGS LÄN</t>
        </is>
      </c>
      <c r="G1465" t="inlineStr">
        <is>
          <t>BOLLNÄS</t>
        </is>
      </c>
      <c r="I1465" t="n">
        <v>0.9</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63128-2021</t>
        </is>
      </c>
      <c r="B1466" t="inlineStr">
        <is>
          <t>avverkningsanmälan</t>
        </is>
      </c>
      <c r="C1466" t="inlineStr">
        <is>
          <t>Föryngringsavverkning</t>
        </is>
      </c>
      <c r="D1466" s="1" t="n">
        <v>44505</v>
      </c>
      <c r="E1466" s="1" t="n">
        <v>46326</v>
      </c>
      <c r="F1466" t="inlineStr">
        <is>
          <t>GÄVLEBORGS LÄN</t>
        </is>
      </c>
      <c r="G1466" t="inlineStr">
        <is>
          <t>BOLLNÄS</t>
        </is>
      </c>
      <c r="I1466" t="n">
        <v>4.4</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69580-2021</t>
        </is>
      </c>
      <c r="B1467" t="inlineStr">
        <is>
          <t>avverkningsanmälan</t>
        </is>
      </c>
      <c r="C1467" t="inlineStr">
        <is>
          <t>Föryngringsavverkning</t>
        </is>
      </c>
      <c r="D1467" s="1" t="n">
        <v>44532</v>
      </c>
      <c r="E1467" s="1" t="n">
        <v>46326</v>
      </c>
      <c r="F1467" t="inlineStr">
        <is>
          <t>GÄVLEBORGS LÄN</t>
        </is>
      </c>
      <c r="G1467" t="inlineStr">
        <is>
          <t>OCKELBO</t>
        </is>
      </c>
      <c r="H1467" t="inlineStr">
        <is>
          <t>Bergvik skog väst AB</t>
        </is>
      </c>
      <c r="I1467" t="n">
        <v>0.6</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53694-2022</t>
        </is>
      </c>
      <c r="B1468" t="inlineStr">
        <is>
          <t>avverkningsanmälan</t>
        </is>
      </c>
      <c r="C1468" t="inlineStr">
        <is>
          <t>Föryngringsavverkning</t>
        </is>
      </c>
      <c r="D1468" s="1" t="n">
        <v>44880</v>
      </c>
      <c r="E1468" s="1" t="n">
        <v>46326</v>
      </c>
      <c r="F1468" t="inlineStr">
        <is>
          <t>GÄVLEBORGS LÄN</t>
        </is>
      </c>
      <c r="G1468" t="inlineStr">
        <is>
          <t>OVANÅKER</t>
        </is>
      </c>
      <c r="I1468" t="n">
        <v>0.6</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44310-2022</t>
        </is>
      </c>
      <c r="B1469" t="inlineStr">
        <is>
          <t>avverkningsanmälan</t>
        </is>
      </c>
      <c r="C1469" t="inlineStr">
        <is>
          <t>Föryngringsavverkning</t>
        </is>
      </c>
      <c r="D1469" s="1" t="n">
        <v>44839</v>
      </c>
      <c r="E1469" s="1" t="n">
        <v>46326</v>
      </c>
      <c r="F1469" t="inlineStr">
        <is>
          <t>GÄVLEBORGS LÄN</t>
        </is>
      </c>
      <c r="G1469" t="inlineStr">
        <is>
          <t>OVANÅKER</t>
        </is>
      </c>
      <c r="I1469" t="n">
        <v>0.5</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12987-2022</t>
        </is>
      </c>
      <c r="B1470" t="inlineStr">
        <is>
          <t>avverkningsanmälan</t>
        </is>
      </c>
      <c r="C1470" t="inlineStr">
        <is>
          <t>Föryngringsavverkning</t>
        </is>
      </c>
      <c r="D1470" s="1" t="n">
        <v>44643</v>
      </c>
      <c r="E1470" s="1" t="n">
        <v>46326</v>
      </c>
      <c r="F1470" t="inlineStr">
        <is>
          <t>GÄVLEBORGS LÄN</t>
        </is>
      </c>
      <c r="G1470" t="inlineStr">
        <is>
          <t>OCKELBO</t>
        </is>
      </c>
      <c r="I1470" t="n">
        <v>7.6</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25001-2022</t>
        </is>
      </c>
      <c r="B1471" t="inlineStr">
        <is>
          <t>avverkningsanmälan</t>
        </is>
      </c>
      <c r="C1471" t="inlineStr">
        <is>
          <t>Avverkning för annat ändamål</t>
        </is>
      </c>
      <c r="D1471" s="1" t="n">
        <v>44728</v>
      </c>
      <c r="E1471" s="1" t="n">
        <v>46326</v>
      </c>
      <c r="F1471" t="inlineStr">
        <is>
          <t>GÄVLEBORGS LÄN</t>
        </is>
      </c>
      <c r="G1471" t="inlineStr">
        <is>
          <t>NORDANSTIG</t>
        </is>
      </c>
      <c r="I1471" t="n">
        <v>0.8</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34871-2022</t>
        </is>
      </c>
      <c r="B1472" t="inlineStr">
        <is>
          <t>avverkningsanmälan</t>
        </is>
      </c>
      <c r="C1472" t="inlineStr">
        <is>
          <t>Föryngringsavverkning</t>
        </is>
      </c>
      <c r="D1472" s="1" t="n">
        <v>44796</v>
      </c>
      <c r="E1472" s="1" t="n">
        <v>46326</v>
      </c>
      <c r="F1472" t="inlineStr">
        <is>
          <t>GÄVLEBORGS LÄN</t>
        </is>
      </c>
      <c r="G1472" t="inlineStr">
        <is>
          <t>GÄVLE</t>
        </is>
      </c>
      <c r="H1472" t="inlineStr">
        <is>
          <t>Bergvik skog öst AB</t>
        </is>
      </c>
      <c r="I1472" t="n">
        <v>0.3</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20602-2022</t>
        </is>
      </c>
      <c r="B1473" t="inlineStr">
        <is>
          <t>avverkningsanmälan</t>
        </is>
      </c>
      <c r="C1473" t="inlineStr">
        <is>
          <t>Föryngringsavverkning</t>
        </is>
      </c>
      <c r="D1473" s="1" t="n">
        <v>44700</v>
      </c>
      <c r="E1473" s="1" t="n">
        <v>46326</v>
      </c>
      <c r="F1473" t="inlineStr">
        <is>
          <t>GÄVLEBORGS LÄN</t>
        </is>
      </c>
      <c r="G1473" t="inlineStr">
        <is>
          <t>HUDIKSVALL</t>
        </is>
      </c>
      <c r="H1473" t="inlineStr">
        <is>
          <t>Holmen skog AB</t>
        </is>
      </c>
      <c r="I1473" t="n">
        <v>1.2</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52320-2022</t>
        </is>
      </c>
      <c r="B1474" t="inlineStr">
        <is>
          <t>avverkningsanmälan</t>
        </is>
      </c>
      <c r="C1474" t="inlineStr">
        <is>
          <t>Föryngringsavverkning</t>
        </is>
      </c>
      <c r="D1474" s="1" t="n">
        <v>44873</v>
      </c>
      <c r="E1474" s="1" t="n">
        <v>46326</v>
      </c>
      <c r="F1474" t="inlineStr">
        <is>
          <t>GÄVLEBORGS LÄN</t>
        </is>
      </c>
      <c r="G1474" t="inlineStr">
        <is>
          <t>HOFORS</t>
        </is>
      </c>
      <c r="I1474" t="n">
        <v>6.1</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25088-2022</t>
        </is>
      </c>
      <c r="B1475" t="inlineStr">
        <is>
          <t>avverkningsanmälan</t>
        </is>
      </c>
      <c r="C1475" t="inlineStr">
        <is>
          <t>Föryngringsavverkning</t>
        </is>
      </c>
      <c r="D1475" s="1" t="n">
        <v>44729</v>
      </c>
      <c r="E1475" s="1" t="n">
        <v>46326</v>
      </c>
      <c r="F1475" t="inlineStr">
        <is>
          <t>GÄVLEBORGS LÄN</t>
        </is>
      </c>
      <c r="G1475" t="inlineStr">
        <is>
          <t>BOLLNÄS</t>
        </is>
      </c>
      <c r="H1475" t="inlineStr">
        <is>
          <t>Bergvik skog väst AB</t>
        </is>
      </c>
      <c r="I1475" t="n">
        <v>0.3</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28649-2022</t>
        </is>
      </c>
      <c r="B1476" t="inlineStr">
        <is>
          <t>avverkningsanmälan</t>
        </is>
      </c>
      <c r="C1476" t="inlineStr">
        <is>
          <t>Avverkning för annat ändamål</t>
        </is>
      </c>
      <c r="D1476" s="1" t="n">
        <v>44748</v>
      </c>
      <c r="E1476" s="1" t="n">
        <v>46326</v>
      </c>
      <c r="F1476" t="inlineStr">
        <is>
          <t>GÄVLEBORGS LÄN</t>
        </is>
      </c>
      <c r="G1476" t="inlineStr">
        <is>
          <t>SÖDERHAMN</t>
        </is>
      </c>
      <c r="I1476" t="n">
        <v>0.5</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4813-2022</t>
        </is>
      </c>
      <c r="B1477" t="inlineStr">
        <is>
          <t>avverkningsanmälan</t>
        </is>
      </c>
      <c r="C1477" t="inlineStr">
        <is>
          <t>Avverkning för annat ändamål</t>
        </is>
      </c>
      <c r="D1477" s="1" t="n">
        <v>44592</v>
      </c>
      <c r="E1477" s="1" t="n">
        <v>46326</v>
      </c>
      <c r="F1477" t="inlineStr">
        <is>
          <t>GÄVLEBORGS LÄN</t>
        </is>
      </c>
      <c r="G1477" t="inlineStr">
        <is>
          <t>LJUSDAL</t>
        </is>
      </c>
      <c r="H1477" t="inlineStr">
        <is>
          <t>Sveaskog</t>
        </is>
      </c>
      <c r="I1477" t="n">
        <v>0.1</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44425-2022</t>
        </is>
      </c>
      <c r="B1478" t="inlineStr">
        <is>
          <t>avverkningsanmälan</t>
        </is>
      </c>
      <c r="C1478" t="inlineStr">
        <is>
          <t>Föryngringsavverkning</t>
        </is>
      </c>
      <c r="D1478" s="1" t="n">
        <v>44839</v>
      </c>
      <c r="E1478" s="1" t="n">
        <v>46326</v>
      </c>
      <c r="F1478" t="inlineStr">
        <is>
          <t>GÄVLEBORGS LÄN</t>
        </is>
      </c>
      <c r="G1478" t="inlineStr">
        <is>
          <t>HUDIKSVALL</t>
        </is>
      </c>
      <c r="I1478" t="n">
        <v>0.6</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67180-2021</t>
        </is>
      </c>
      <c r="B1479" t="inlineStr">
        <is>
          <t>avverkningsanmälan</t>
        </is>
      </c>
      <c r="C1479" t="inlineStr">
        <is>
          <t>Föryngringsavverkning</t>
        </is>
      </c>
      <c r="D1479" s="1" t="n">
        <v>44523</v>
      </c>
      <c r="E1479" s="1" t="n">
        <v>46326</v>
      </c>
      <c r="F1479" t="inlineStr">
        <is>
          <t>GÄVLEBORGS LÄN</t>
        </is>
      </c>
      <c r="G1479" t="inlineStr">
        <is>
          <t>SANDVIKEN</t>
        </is>
      </c>
      <c r="I1479" t="n">
        <v>3.9</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18235-2022</t>
        </is>
      </c>
      <c r="B1480" t="inlineStr">
        <is>
          <t>avverkningsanmälan</t>
        </is>
      </c>
      <c r="C1480" t="inlineStr">
        <is>
          <t>Föryngringsavverkning</t>
        </is>
      </c>
      <c r="D1480" s="1" t="n">
        <v>44685</v>
      </c>
      <c r="E1480" s="1" t="n">
        <v>46326</v>
      </c>
      <c r="F1480" t="inlineStr">
        <is>
          <t>GÄVLEBORGS LÄN</t>
        </is>
      </c>
      <c r="G1480" t="inlineStr">
        <is>
          <t>HUDIKSVALL</t>
        </is>
      </c>
      <c r="I1480" t="n">
        <v>0.6</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30556-2022</t>
        </is>
      </c>
      <c r="B1481" t="inlineStr">
        <is>
          <t>avverkningsanmälan</t>
        </is>
      </c>
      <c r="C1481" t="inlineStr">
        <is>
          <t>Föryngringsavverkning</t>
        </is>
      </c>
      <c r="D1481" s="1" t="n">
        <v>44762</v>
      </c>
      <c r="E1481" s="1" t="n">
        <v>46326</v>
      </c>
      <c r="F1481" t="inlineStr">
        <is>
          <t>GÄVLEBORGS LÄN</t>
        </is>
      </c>
      <c r="G1481" t="inlineStr">
        <is>
          <t>LJUSDAL</t>
        </is>
      </c>
      <c r="H1481" t="inlineStr">
        <is>
          <t>Bergvik skog väst AB</t>
        </is>
      </c>
      <c r="I1481" t="n">
        <v>3.4</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42469-2022</t>
        </is>
      </c>
      <c r="B1482" t="inlineStr">
        <is>
          <t>avverkningsanmälan</t>
        </is>
      </c>
      <c r="C1482" t="inlineStr">
        <is>
          <t>Föryngringsavverkning</t>
        </is>
      </c>
      <c r="D1482" s="1" t="n">
        <v>44831</v>
      </c>
      <c r="E1482" s="1" t="n">
        <v>46326</v>
      </c>
      <c r="F1482" t="inlineStr">
        <is>
          <t>GÄVLEBORGS LÄN</t>
        </is>
      </c>
      <c r="G1482" t="inlineStr">
        <is>
          <t>NORDANSTIG</t>
        </is>
      </c>
      <c r="H1482" t="inlineStr">
        <is>
          <t>Holmen skog AB</t>
        </is>
      </c>
      <c r="I1482" t="n">
        <v>13.2</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42519-2022</t>
        </is>
      </c>
      <c r="B1483" t="inlineStr">
        <is>
          <t>avverkningsanmälan</t>
        </is>
      </c>
      <c r="C1483" t="inlineStr">
        <is>
          <t>Föryngringsavverkning</t>
        </is>
      </c>
      <c r="D1483" s="1" t="n">
        <v>44831</v>
      </c>
      <c r="E1483" s="1" t="n">
        <v>46326</v>
      </c>
      <c r="F1483" t="inlineStr">
        <is>
          <t>GÄVLEBORGS LÄN</t>
        </is>
      </c>
      <c r="G1483" t="inlineStr">
        <is>
          <t>BOLLNÄS</t>
        </is>
      </c>
      <c r="I1483" t="n">
        <v>0.7</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15705-2022</t>
        </is>
      </c>
      <c r="B1484" t="inlineStr">
        <is>
          <t>avverkningsanmälan</t>
        </is>
      </c>
      <c r="C1484" t="inlineStr">
        <is>
          <t>Föryngringsavverkning</t>
        </is>
      </c>
      <c r="D1484" s="1" t="n">
        <v>44663</v>
      </c>
      <c r="E1484" s="1" t="n">
        <v>46326</v>
      </c>
      <c r="F1484" t="inlineStr">
        <is>
          <t>GÄVLEBORGS LÄN</t>
        </is>
      </c>
      <c r="G1484" t="inlineStr">
        <is>
          <t>OCKELBO</t>
        </is>
      </c>
      <c r="H1484" t="inlineStr">
        <is>
          <t>Bergvik skog väst AB</t>
        </is>
      </c>
      <c r="I1484" t="n">
        <v>0.6</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40403-2022</t>
        </is>
      </c>
      <c r="B1485" t="inlineStr">
        <is>
          <t>avverkningsanmälan</t>
        </is>
      </c>
      <c r="C1485" t="inlineStr">
        <is>
          <t>Föryngringsavverkning</t>
        </is>
      </c>
      <c r="D1485" s="1" t="n">
        <v>44823</v>
      </c>
      <c r="E1485" s="1" t="n">
        <v>46326</v>
      </c>
      <c r="F1485" t="inlineStr">
        <is>
          <t>GÄVLEBORGS LÄN</t>
        </is>
      </c>
      <c r="G1485" t="inlineStr">
        <is>
          <t>OVANÅKER</t>
        </is>
      </c>
      <c r="H1485" t="inlineStr">
        <is>
          <t>Bergvik skog väst AB</t>
        </is>
      </c>
      <c r="I1485" t="n">
        <v>3.7</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33178-2022</t>
        </is>
      </c>
      <c r="B1486" t="inlineStr">
        <is>
          <t>avverkningsanmälan</t>
        </is>
      </c>
      <c r="C1486" t="inlineStr">
        <is>
          <t>Föryngringsavverkning</t>
        </is>
      </c>
      <c r="D1486" s="1" t="n">
        <v>44785</v>
      </c>
      <c r="E1486" s="1" t="n">
        <v>46326</v>
      </c>
      <c r="F1486" t="inlineStr">
        <is>
          <t>GÄVLEBORGS LÄN</t>
        </is>
      </c>
      <c r="G1486" t="inlineStr">
        <is>
          <t>GÄVLE</t>
        </is>
      </c>
      <c r="I1486" t="n">
        <v>0.4</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22654-2022</t>
        </is>
      </c>
      <c r="B1487" t="inlineStr">
        <is>
          <t>avverkningsanmälan</t>
        </is>
      </c>
      <c r="C1487" t="inlineStr">
        <is>
          <t>Föryngringsavverkning</t>
        </is>
      </c>
      <c r="D1487" s="1" t="n">
        <v>44714</v>
      </c>
      <c r="E1487" s="1" t="n">
        <v>46326</v>
      </c>
      <c r="F1487" t="inlineStr">
        <is>
          <t>GÄVLEBORGS LÄN</t>
        </is>
      </c>
      <c r="G1487" t="inlineStr">
        <is>
          <t>SANDVIKEN</t>
        </is>
      </c>
      <c r="I1487" t="n">
        <v>3.2</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24217-2022</t>
        </is>
      </c>
      <c r="B1488" t="inlineStr">
        <is>
          <t>avverkningsanmälan</t>
        </is>
      </c>
      <c r="C1488" t="inlineStr">
        <is>
          <t>Föryngringsavverkning</t>
        </is>
      </c>
      <c r="D1488" s="1" t="n">
        <v>44725</v>
      </c>
      <c r="E1488" s="1" t="n">
        <v>46326</v>
      </c>
      <c r="F1488" t="inlineStr">
        <is>
          <t>GÄVLEBORGS LÄN</t>
        </is>
      </c>
      <c r="G1488" t="inlineStr">
        <is>
          <t>LJUSDAL</t>
        </is>
      </c>
      <c r="I1488" t="n">
        <v>1.3</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14012-2022</t>
        </is>
      </c>
      <c r="B1489" t="inlineStr">
        <is>
          <t>avverkningsanmälan</t>
        </is>
      </c>
      <c r="C1489" t="inlineStr">
        <is>
          <t>Föryngringsavverkning</t>
        </is>
      </c>
      <c r="D1489" s="1" t="n">
        <v>44650</v>
      </c>
      <c r="E1489" s="1" t="n">
        <v>46326</v>
      </c>
      <c r="F1489" t="inlineStr">
        <is>
          <t>GÄVLEBORGS LÄN</t>
        </is>
      </c>
      <c r="G1489" t="inlineStr">
        <is>
          <t>BOLLNÄS</t>
        </is>
      </c>
      <c r="I1489" t="n">
        <v>0.7</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20272-2022</t>
        </is>
      </c>
      <c r="B1490" t="inlineStr">
        <is>
          <t>avverkningsanmälan</t>
        </is>
      </c>
      <c r="C1490" t="inlineStr">
        <is>
          <t>Föryngringsavverkning</t>
        </is>
      </c>
      <c r="D1490" s="1" t="n">
        <v>44698</v>
      </c>
      <c r="E1490" s="1" t="n">
        <v>46326</v>
      </c>
      <c r="F1490" t="inlineStr">
        <is>
          <t>GÄVLEBORGS LÄN</t>
        </is>
      </c>
      <c r="G1490" t="inlineStr">
        <is>
          <t>SÖDERHAMN</t>
        </is>
      </c>
      <c r="I1490" t="n">
        <v>0.6</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6001-2022</t>
        </is>
      </c>
      <c r="B1491" t="inlineStr">
        <is>
          <t>avverkningsanmälan</t>
        </is>
      </c>
      <c r="C1491" t="inlineStr">
        <is>
          <t>Föryngringsavverkning</t>
        </is>
      </c>
      <c r="D1491" s="1" t="n">
        <v>44599</v>
      </c>
      <c r="E1491" s="1" t="n">
        <v>46326</v>
      </c>
      <c r="F1491" t="inlineStr">
        <is>
          <t>GÄVLEBORGS LÄN</t>
        </is>
      </c>
      <c r="G1491" t="inlineStr">
        <is>
          <t>GÄVLE</t>
        </is>
      </c>
      <c r="I1491" t="n">
        <v>1.2</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42959-2022</t>
        </is>
      </c>
      <c r="B1492" t="inlineStr">
        <is>
          <t>avverkningsanmälan</t>
        </is>
      </c>
      <c r="C1492" t="inlineStr">
        <is>
          <t>Föryngringsavverkning</t>
        </is>
      </c>
      <c r="D1492" s="1" t="n">
        <v>44833</v>
      </c>
      <c r="E1492" s="1" t="n">
        <v>46326</v>
      </c>
      <c r="F1492" t="inlineStr">
        <is>
          <t>GÄVLEBORGS LÄN</t>
        </is>
      </c>
      <c r="G1492" t="inlineStr">
        <is>
          <t>LJUSDAL</t>
        </is>
      </c>
      <c r="H1492" t="inlineStr">
        <is>
          <t>Bergvik skog väst AB</t>
        </is>
      </c>
      <c r="I1492" t="n">
        <v>0.5</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45592-2022</t>
        </is>
      </c>
      <c r="B1493" t="inlineStr">
        <is>
          <t>avverkningsanmälan</t>
        </is>
      </c>
      <c r="C1493" t="inlineStr">
        <is>
          <t>Föryngringsavverkning</t>
        </is>
      </c>
      <c r="D1493" s="1" t="n">
        <v>44845</v>
      </c>
      <c r="E1493" s="1" t="n">
        <v>46326</v>
      </c>
      <c r="F1493" t="inlineStr">
        <is>
          <t>GÄVLEBORGS LÄN</t>
        </is>
      </c>
      <c r="G1493" t="inlineStr">
        <is>
          <t>GÄVLE</t>
        </is>
      </c>
      <c r="I1493" t="n">
        <v>0.6</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34893-2022</t>
        </is>
      </c>
      <c r="B1494" t="inlineStr">
        <is>
          <t>avverkningsanmälan</t>
        </is>
      </c>
      <c r="C1494" t="inlineStr">
        <is>
          <t>Föryngringsavverkning</t>
        </is>
      </c>
      <c r="D1494" s="1" t="n">
        <v>44796</v>
      </c>
      <c r="E1494" s="1" t="n">
        <v>46326</v>
      </c>
      <c r="F1494" t="inlineStr">
        <is>
          <t>GÄVLEBORGS LÄN</t>
        </is>
      </c>
      <c r="G1494" t="inlineStr">
        <is>
          <t>BOLLNÄS</t>
        </is>
      </c>
      <c r="I1494" t="n">
        <v>1.6</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24996-2022</t>
        </is>
      </c>
      <c r="B1495" t="inlineStr">
        <is>
          <t>avverkningsanmälan</t>
        </is>
      </c>
      <c r="C1495" t="inlineStr">
        <is>
          <t>Föryngringsavverkning</t>
        </is>
      </c>
      <c r="D1495" s="1" t="n">
        <v>44728</v>
      </c>
      <c r="E1495" s="1" t="n">
        <v>46326</v>
      </c>
      <c r="F1495" t="inlineStr">
        <is>
          <t>GÄVLEBORGS LÄN</t>
        </is>
      </c>
      <c r="G1495" t="inlineStr">
        <is>
          <t>NORDANSTIG</t>
        </is>
      </c>
      <c r="I1495" t="n">
        <v>8.1</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23925-2022</t>
        </is>
      </c>
      <c r="B1496" t="inlineStr">
        <is>
          <t>avverkningsanmälan</t>
        </is>
      </c>
      <c r="C1496" t="inlineStr">
        <is>
          <t>Avverkning för annat ändamål</t>
        </is>
      </c>
      <c r="D1496" s="1" t="n">
        <v>44722</v>
      </c>
      <c r="E1496" s="1" t="n">
        <v>46326</v>
      </c>
      <c r="F1496" t="inlineStr">
        <is>
          <t>GÄVLEBORGS LÄN</t>
        </is>
      </c>
      <c r="G1496" t="inlineStr">
        <is>
          <t>BOLLNÄS</t>
        </is>
      </c>
      <c r="I1496" t="n">
        <v>0.1</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44092-2022</t>
        </is>
      </c>
      <c r="B1497" t="inlineStr">
        <is>
          <t>avverkningsanmälan</t>
        </is>
      </c>
      <c r="C1497" t="inlineStr">
        <is>
          <t>Avverkning för annat ändamål</t>
        </is>
      </c>
      <c r="D1497" s="1" t="n">
        <v>44839</v>
      </c>
      <c r="E1497" s="1" t="n">
        <v>46326</v>
      </c>
      <c r="F1497" t="inlineStr">
        <is>
          <t>GÄVLEBORGS LÄN</t>
        </is>
      </c>
      <c r="G1497" t="inlineStr">
        <is>
          <t>OVANÅKER</t>
        </is>
      </c>
      <c r="I1497" t="n">
        <v>0.8</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52947-2022</t>
        </is>
      </c>
      <c r="B1498" t="inlineStr">
        <is>
          <t>avverkningsanmälan</t>
        </is>
      </c>
      <c r="C1498" t="inlineStr">
        <is>
          <t>Föryngringsavverkning</t>
        </is>
      </c>
      <c r="D1498" s="1" t="n">
        <v>44875</v>
      </c>
      <c r="E1498" s="1" t="n">
        <v>46326</v>
      </c>
      <c r="F1498" t="inlineStr">
        <is>
          <t>GÄVLEBORGS LÄN</t>
        </is>
      </c>
      <c r="G1498" t="inlineStr">
        <is>
          <t>HUDIKSVALL</t>
        </is>
      </c>
      <c r="H1498" t="inlineStr">
        <is>
          <t>Holmen skog AB</t>
        </is>
      </c>
      <c r="I1498" t="n">
        <v>1.1</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960-2022</t>
        </is>
      </c>
      <c r="B1499" t="inlineStr">
        <is>
          <t>avverkningsanmälan</t>
        </is>
      </c>
      <c r="C1499" t="inlineStr">
        <is>
          <t>Föryngringsavverkning</t>
        </is>
      </c>
      <c r="D1499" s="1" t="n">
        <v>44571</v>
      </c>
      <c r="E1499" s="1" t="n">
        <v>46326</v>
      </c>
      <c r="F1499" t="inlineStr">
        <is>
          <t>GÄVLEBORGS LÄN</t>
        </is>
      </c>
      <c r="G1499" t="inlineStr">
        <is>
          <t>NORDANSTIG</t>
        </is>
      </c>
      <c r="I1499" t="n">
        <v>1.4</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1707-2022</t>
        </is>
      </c>
      <c r="B1500" t="inlineStr">
        <is>
          <t>avverkningsanmälan</t>
        </is>
      </c>
      <c r="C1500" t="inlineStr">
        <is>
          <t>Avverkning för annat ändamål</t>
        </is>
      </c>
      <c r="D1500" s="1" t="n">
        <v>44574</v>
      </c>
      <c r="E1500" s="1" t="n">
        <v>46326</v>
      </c>
      <c r="F1500" t="inlineStr">
        <is>
          <t>GÄVLEBORGS LÄN</t>
        </is>
      </c>
      <c r="G1500" t="inlineStr">
        <is>
          <t>HUDIKSVALL</t>
        </is>
      </c>
      <c r="I1500" t="n">
        <v>3</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62065-2021</t>
        </is>
      </c>
      <c r="B1501" t="inlineStr">
        <is>
          <t>avverkningsanmälan</t>
        </is>
      </c>
      <c r="C1501" t="inlineStr">
        <is>
          <t>Föryngringsavverkning</t>
        </is>
      </c>
      <c r="D1501" s="1" t="n">
        <v>44502</v>
      </c>
      <c r="E1501" s="1" t="n">
        <v>46326</v>
      </c>
      <c r="F1501" t="inlineStr">
        <is>
          <t>GÄVLEBORGS LÄN</t>
        </is>
      </c>
      <c r="G1501" t="inlineStr">
        <is>
          <t>NORDANSTIG</t>
        </is>
      </c>
      <c r="I1501" t="n">
        <v>2.4</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8328-2022</t>
        </is>
      </c>
      <c r="B1502" t="inlineStr">
        <is>
          <t>avverkningsanmälan</t>
        </is>
      </c>
      <c r="C1502" t="inlineStr">
        <is>
          <t>Föryngringsavverkning</t>
        </is>
      </c>
      <c r="D1502" s="1" t="n">
        <v>44610</v>
      </c>
      <c r="E1502" s="1" t="n">
        <v>46326</v>
      </c>
      <c r="F1502" t="inlineStr">
        <is>
          <t>GÄVLEBORGS LÄN</t>
        </is>
      </c>
      <c r="G1502" t="inlineStr">
        <is>
          <t>HUDIKSVALL</t>
        </is>
      </c>
      <c r="I1502" t="n">
        <v>11.9</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66208-2021</t>
        </is>
      </c>
      <c r="B1503" t="inlineStr">
        <is>
          <t>avverkningsanmälan</t>
        </is>
      </c>
      <c r="C1503" t="inlineStr">
        <is>
          <t>Föryngringsavverkning</t>
        </is>
      </c>
      <c r="D1503" s="1" t="n">
        <v>44518</v>
      </c>
      <c r="E1503" s="1" t="n">
        <v>46326</v>
      </c>
      <c r="F1503" t="inlineStr">
        <is>
          <t>GÄVLEBORGS LÄN</t>
        </is>
      </c>
      <c r="G1503" t="inlineStr">
        <is>
          <t>LJUSDAL</t>
        </is>
      </c>
      <c r="H1503" t="inlineStr">
        <is>
          <t>Sveaskog</t>
        </is>
      </c>
      <c r="I1503" t="n">
        <v>2.1</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71698-2021</t>
        </is>
      </c>
      <c r="B1504" t="inlineStr">
        <is>
          <t>avverkningsanmälan</t>
        </is>
      </c>
      <c r="C1504" t="inlineStr">
        <is>
          <t>Föryngringsavverkning</t>
        </is>
      </c>
      <c r="D1504" s="1" t="n">
        <v>44543</v>
      </c>
      <c r="E1504" s="1" t="n">
        <v>46326</v>
      </c>
      <c r="F1504" t="inlineStr">
        <is>
          <t>GÄVLEBORGS LÄN</t>
        </is>
      </c>
      <c r="G1504" t="inlineStr">
        <is>
          <t>LJUSDAL</t>
        </is>
      </c>
      <c r="I1504" t="n">
        <v>0.5</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62146-2021</t>
        </is>
      </c>
      <c r="B1505" t="inlineStr">
        <is>
          <t>avverkningsanmälan</t>
        </is>
      </c>
      <c r="C1505" t="inlineStr">
        <is>
          <t>Föryngringsavverkning</t>
        </is>
      </c>
      <c r="D1505" s="1" t="n">
        <v>44502</v>
      </c>
      <c r="E1505" s="1" t="n">
        <v>46326</v>
      </c>
      <c r="F1505" t="inlineStr">
        <is>
          <t>GÄVLEBORGS LÄN</t>
        </is>
      </c>
      <c r="G1505" t="inlineStr">
        <is>
          <t>LJUSDAL</t>
        </is>
      </c>
      <c r="I1505" t="n">
        <v>6</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12108-2022</t>
        </is>
      </c>
      <c r="B1506" t="inlineStr">
        <is>
          <t>avverkningsanmälan</t>
        </is>
      </c>
      <c r="C1506" t="inlineStr">
        <is>
          <t>Föryngringsavverkning</t>
        </is>
      </c>
      <c r="D1506" s="1" t="n">
        <v>44636</v>
      </c>
      <c r="E1506" s="1" t="n">
        <v>46326</v>
      </c>
      <c r="F1506" t="inlineStr">
        <is>
          <t>GÄVLEBORGS LÄN</t>
        </is>
      </c>
      <c r="G1506" t="inlineStr">
        <is>
          <t>BOLLNÄS</t>
        </is>
      </c>
      <c r="I1506" t="n">
        <v>0.7</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34457-2022</t>
        </is>
      </c>
      <c r="B1507" t="inlineStr">
        <is>
          <t>avverkningsanmälan</t>
        </is>
      </c>
      <c r="C1507" t="inlineStr">
        <is>
          <t>Föryngringsavverkning</t>
        </is>
      </c>
      <c r="D1507" s="1" t="n">
        <v>44792</v>
      </c>
      <c r="E1507" s="1" t="n">
        <v>46326</v>
      </c>
      <c r="F1507" t="inlineStr">
        <is>
          <t>GÄVLEBORGS LÄN</t>
        </is>
      </c>
      <c r="G1507" t="inlineStr">
        <is>
          <t>LJUSDAL</t>
        </is>
      </c>
      <c r="H1507" t="inlineStr">
        <is>
          <t>Sveaskog</t>
        </is>
      </c>
      <c r="I1507" t="n">
        <v>11.1</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40110-2022</t>
        </is>
      </c>
      <c r="B1508" t="inlineStr">
        <is>
          <t>avverkningsanmälan</t>
        </is>
      </c>
      <c r="C1508" t="inlineStr">
        <is>
          <t>Föryngringsavverkning</t>
        </is>
      </c>
      <c r="D1508" s="1" t="n">
        <v>44820</v>
      </c>
      <c r="E1508" s="1" t="n">
        <v>46326</v>
      </c>
      <c r="F1508" t="inlineStr">
        <is>
          <t>GÄVLEBORGS LÄN</t>
        </is>
      </c>
      <c r="G1508" t="inlineStr">
        <is>
          <t>NORDANSTIG</t>
        </is>
      </c>
      <c r="I1508" t="n">
        <v>1.3</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9593-2022</t>
        </is>
      </c>
      <c r="B1509" t="inlineStr">
        <is>
          <t>avverkningsanmälan</t>
        </is>
      </c>
      <c r="C1509" t="inlineStr">
        <is>
          <t>Föryngringsavverkning</t>
        </is>
      </c>
      <c r="D1509" s="1" t="n">
        <v>44617</v>
      </c>
      <c r="E1509" s="1" t="n">
        <v>46326</v>
      </c>
      <c r="F1509" t="inlineStr">
        <is>
          <t>GÄVLEBORGS LÄN</t>
        </is>
      </c>
      <c r="G1509" t="inlineStr">
        <is>
          <t>OVANÅKER</t>
        </is>
      </c>
      <c r="I1509" t="n">
        <v>11</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2946-2022</t>
        </is>
      </c>
      <c r="B1510" t="inlineStr">
        <is>
          <t>avverkningsanmälan</t>
        </is>
      </c>
      <c r="C1510" t="inlineStr">
        <is>
          <t>Föryngringsavverkning</t>
        </is>
      </c>
      <c r="D1510" s="1" t="n">
        <v>44581</v>
      </c>
      <c r="E1510" s="1" t="n">
        <v>46326</v>
      </c>
      <c r="F1510" t="inlineStr">
        <is>
          <t>GÄVLEBORGS LÄN</t>
        </is>
      </c>
      <c r="G1510" t="inlineStr">
        <is>
          <t>OVANÅKER</t>
        </is>
      </c>
      <c r="I1510" t="n">
        <v>0.5</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11993-2022</t>
        </is>
      </c>
      <c r="B1511" t="inlineStr">
        <is>
          <t>avverkningsanmälan</t>
        </is>
      </c>
      <c r="C1511" t="inlineStr">
        <is>
          <t>Föryngringsavverkning</t>
        </is>
      </c>
      <c r="D1511" s="1" t="n">
        <v>44635</v>
      </c>
      <c r="E1511" s="1" t="n">
        <v>46326</v>
      </c>
      <c r="F1511" t="inlineStr">
        <is>
          <t>GÄVLEBORGS LÄN</t>
        </is>
      </c>
      <c r="G1511" t="inlineStr">
        <is>
          <t>SANDVIKEN</t>
        </is>
      </c>
      <c r="I1511" t="n">
        <v>3.6</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20926-2022</t>
        </is>
      </c>
      <c r="B1512" t="inlineStr">
        <is>
          <t>avverkningsanmälan</t>
        </is>
      </c>
      <c r="C1512" t="inlineStr">
        <is>
          <t>Föryngringsavverkning</t>
        </is>
      </c>
      <c r="D1512" s="1" t="n">
        <v>44701</v>
      </c>
      <c r="E1512" s="1" t="n">
        <v>46326</v>
      </c>
      <c r="F1512" t="inlineStr">
        <is>
          <t>GÄVLEBORGS LÄN</t>
        </is>
      </c>
      <c r="G1512" t="inlineStr">
        <is>
          <t>OVANÅKER</t>
        </is>
      </c>
      <c r="I1512" t="n">
        <v>0.9</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25087-2022</t>
        </is>
      </c>
      <c r="B1513" t="inlineStr">
        <is>
          <t>avverkningsanmälan</t>
        </is>
      </c>
      <c r="C1513" t="inlineStr">
        <is>
          <t>Föryngringsavverkning</t>
        </is>
      </c>
      <c r="D1513" s="1" t="n">
        <v>44729</v>
      </c>
      <c r="E1513" s="1" t="n">
        <v>46326</v>
      </c>
      <c r="F1513" t="inlineStr">
        <is>
          <t>GÄVLEBORGS LÄN</t>
        </is>
      </c>
      <c r="G1513" t="inlineStr">
        <is>
          <t>OVANÅKER</t>
        </is>
      </c>
      <c r="H1513" t="inlineStr">
        <is>
          <t>Bergvik skog väst AB</t>
        </is>
      </c>
      <c r="I1513" t="n">
        <v>0.4</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44151-2022</t>
        </is>
      </c>
      <c r="B1514" t="inlineStr">
        <is>
          <t>avverkningsanmälan</t>
        </is>
      </c>
      <c r="C1514" t="inlineStr">
        <is>
          <t>Avverkning för annat ändamål</t>
        </is>
      </c>
      <c r="D1514" s="1" t="n">
        <v>44839</v>
      </c>
      <c r="E1514" s="1" t="n">
        <v>46326</v>
      </c>
      <c r="F1514" t="inlineStr">
        <is>
          <t>GÄVLEBORGS LÄN</t>
        </is>
      </c>
      <c r="G1514" t="inlineStr">
        <is>
          <t>BOLLNÄS</t>
        </is>
      </c>
      <c r="I1514" t="n">
        <v>1.4</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46064-2022</t>
        </is>
      </c>
      <c r="B1515" t="inlineStr">
        <is>
          <t>avverkningsanmälan</t>
        </is>
      </c>
      <c r="C1515" t="inlineStr">
        <is>
          <t>Föryngringsavverkning</t>
        </is>
      </c>
      <c r="D1515" s="1" t="n">
        <v>44847</v>
      </c>
      <c r="E1515" s="1" t="n">
        <v>46326</v>
      </c>
      <c r="F1515" t="inlineStr">
        <is>
          <t>GÄVLEBORGS LÄN</t>
        </is>
      </c>
      <c r="G1515" t="inlineStr">
        <is>
          <t>HUDIKSVALL</t>
        </is>
      </c>
      <c r="H1515" t="inlineStr">
        <is>
          <t>Naturvårdsverket</t>
        </is>
      </c>
      <c r="I1515" t="n">
        <v>0.8</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10858-2022</t>
        </is>
      </c>
      <c r="B1516" t="inlineStr">
        <is>
          <t>avverkningsanmälan</t>
        </is>
      </c>
      <c r="C1516" t="inlineStr">
        <is>
          <t>Föryngringsavverkning</t>
        </is>
      </c>
      <c r="D1516" s="1" t="n">
        <v>44627</v>
      </c>
      <c r="E1516" s="1" t="n">
        <v>46326</v>
      </c>
      <c r="F1516" t="inlineStr">
        <is>
          <t>GÄVLEBORGS LÄN</t>
        </is>
      </c>
      <c r="G1516" t="inlineStr">
        <is>
          <t>HUDIKSVALL</t>
        </is>
      </c>
      <c r="I1516" t="n">
        <v>1.8</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45280-2022</t>
        </is>
      </c>
      <c r="B1517" t="inlineStr">
        <is>
          <t>avverkningsanmälan</t>
        </is>
      </c>
      <c r="C1517" t="inlineStr">
        <is>
          <t>Föryngringsavverkning</t>
        </is>
      </c>
      <c r="D1517" s="1" t="n">
        <v>44840</v>
      </c>
      <c r="E1517" s="1" t="n">
        <v>46326</v>
      </c>
      <c r="F1517" t="inlineStr">
        <is>
          <t>GÄVLEBORGS LÄN</t>
        </is>
      </c>
      <c r="G1517" t="inlineStr">
        <is>
          <t>GÄVLE</t>
        </is>
      </c>
      <c r="H1517" t="inlineStr">
        <is>
          <t>Bergvik skog väst AB</t>
        </is>
      </c>
      <c r="I1517" t="n">
        <v>4</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6947-2022</t>
        </is>
      </c>
      <c r="B1518" t="inlineStr">
        <is>
          <t>avverkningsanmälan</t>
        </is>
      </c>
      <c r="C1518" t="inlineStr">
        <is>
          <t>Avverkning för annat ändamål</t>
        </is>
      </c>
      <c r="D1518" s="1" t="n">
        <v>44603</v>
      </c>
      <c r="E1518" s="1" t="n">
        <v>46326</v>
      </c>
      <c r="F1518" t="inlineStr">
        <is>
          <t>GÄVLEBORGS LÄN</t>
        </is>
      </c>
      <c r="G1518" t="inlineStr">
        <is>
          <t>SANDVIKEN</t>
        </is>
      </c>
      <c r="I1518" t="n">
        <v>1.8</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3632-2022</t>
        </is>
      </c>
      <c r="B1519" t="inlineStr">
        <is>
          <t>avverkningsanmälan</t>
        </is>
      </c>
      <c r="C1519" t="inlineStr">
        <is>
          <t>Föryngringsavverkning</t>
        </is>
      </c>
      <c r="D1519" s="1" t="n">
        <v>44586</v>
      </c>
      <c r="E1519" s="1" t="n">
        <v>46326</v>
      </c>
      <c r="F1519" t="inlineStr">
        <is>
          <t>GÄVLEBORGS LÄN</t>
        </is>
      </c>
      <c r="G1519" t="inlineStr">
        <is>
          <t>NORDANSTIG</t>
        </is>
      </c>
      <c r="I1519" t="n">
        <v>2.3</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46823-2022</t>
        </is>
      </c>
      <c r="B1520" t="inlineStr">
        <is>
          <t>avverkningsanmälan</t>
        </is>
      </c>
      <c r="C1520" t="inlineStr">
        <is>
          <t>Föryngringsavverkning</t>
        </is>
      </c>
      <c r="D1520" s="1" t="n">
        <v>44851</v>
      </c>
      <c r="E1520" s="1" t="n">
        <v>46326</v>
      </c>
      <c r="F1520" t="inlineStr">
        <is>
          <t>GÄVLEBORGS LÄN</t>
        </is>
      </c>
      <c r="G1520" t="inlineStr">
        <is>
          <t>OVANÅKER</t>
        </is>
      </c>
      <c r="I1520" t="n">
        <v>1.7</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33175-2022</t>
        </is>
      </c>
      <c r="B1521" t="inlineStr">
        <is>
          <t>avverkningsanmälan</t>
        </is>
      </c>
      <c r="C1521" t="inlineStr">
        <is>
          <t>Föryngringsavverkning</t>
        </is>
      </c>
      <c r="D1521" s="1" t="n">
        <v>44785</v>
      </c>
      <c r="E1521" s="1" t="n">
        <v>46326</v>
      </c>
      <c r="F1521" t="inlineStr">
        <is>
          <t>GÄVLEBORGS LÄN</t>
        </is>
      </c>
      <c r="G1521" t="inlineStr">
        <is>
          <t>GÄVLE</t>
        </is>
      </c>
      <c r="I1521" t="n">
        <v>0.4</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25002-2022</t>
        </is>
      </c>
      <c r="B1522" t="inlineStr">
        <is>
          <t>avverkningsanmälan</t>
        </is>
      </c>
      <c r="C1522" t="inlineStr">
        <is>
          <t>Avverkning för annat ändamål</t>
        </is>
      </c>
      <c r="D1522" s="1" t="n">
        <v>44728</v>
      </c>
      <c r="E1522" s="1" t="n">
        <v>46326</v>
      </c>
      <c r="F1522" t="inlineStr">
        <is>
          <t>GÄVLEBORGS LÄN</t>
        </is>
      </c>
      <c r="G1522" t="inlineStr">
        <is>
          <t>NORDANSTIG</t>
        </is>
      </c>
      <c r="I1522" t="n">
        <v>1.1</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72464-2021</t>
        </is>
      </c>
      <c r="B1523" t="inlineStr">
        <is>
          <t>avverkningsanmälan</t>
        </is>
      </c>
      <c r="C1523" t="inlineStr">
        <is>
          <t>Föryngringsavverkning</t>
        </is>
      </c>
      <c r="D1523" s="1" t="n">
        <v>44545</v>
      </c>
      <c r="E1523" s="1" t="n">
        <v>46326</v>
      </c>
      <c r="F1523" t="inlineStr">
        <is>
          <t>GÄVLEBORGS LÄN</t>
        </is>
      </c>
      <c r="G1523" t="inlineStr">
        <is>
          <t>LJUSDAL</t>
        </is>
      </c>
      <c r="I1523" t="n">
        <v>0.7</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33109-2022</t>
        </is>
      </c>
      <c r="B1524" t="inlineStr">
        <is>
          <t>avverkningsanmälan</t>
        </is>
      </c>
      <c r="C1524" t="inlineStr">
        <is>
          <t>Föryngringsavverkning</t>
        </is>
      </c>
      <c r="D1524" s="1" t="n">
        <v>44785</v>
      </c>
      <c r="E1524" s="1" t="n">
        <v>46326</v>
      </c>
      <c r="F1524" t="inlineStr">
        <is>
          <t>GÄVLEBORGS LÄN</t>
        </is>
      </c>
      <c r="G1524" t="inlineStr">
        <is>
          <t>NORDANSTIG</t>
        </is>
      </c>
      <c r="I1524" t="n">
        <v>4.7</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69127-2021</t>
        </is>
      </c>
      <c r="B1525" t="inlineStr">
        <is>
          <t>avverkningsanmälan</t>
        </is>
      </c>
      <c r="C1525" t="inlineStr">
        <is>
          <t>Föryngringsavverkning</t>
        </is>
      </c>
      <c r="D1525" s="1" t="n">
        <v>44530</v>
      </c>
      <c r="E1525" s="1" t="n">
        <v>46326</v>
      </c>
      <c r="F1525" t="inlineStr">
        <is>
          <t>GÄVLEBORGS LÄN</t>
        </is>
      </c>
      <c r="G1525" t="inlineStr">
        <is>
          <t>NORDANSTIG</t>
        </is>
      </c>
      <c r="I1525" t="n">
        <v>7.8</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62450-2021</t>
        </is>
      </c>
      <c r="B1526" t="inlineStr">
        <is>
          <t>avverkningsanmälan</t>
        </is>
      </c>
      <c r="C1526" t="inlineStr">
        <is>
          <t>Föryngringsavverkning</t>
        </is>
      </c>
      <c r="D1526" s="1" t="n">
        <v>44503</v>
      </c>
      <c r="E1526" s="1" t="n">
        <v>46326</v>
      </c>
      <c r="F1526" t="inlineStr">
        <is>
          <t>GÄVLEBORGS LÄN</t>
        </is>
      </c>
      <c r="G1526" t="inlineStr">
        <is>
          <t>NORDANSTIG</t>
        </is>
      </c>
      <c r="I1526" t="n">
        <v>0.7</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69001-2021</t>
        </is>
      </c>
      <c r="B1527" t="inlineStr">
        <is>
          <t>avverkningsanmälan</t>
        </is>
      </c>
      <c r="C1527" t="inlineStr">
        <is>
          <t>Föryngringsavverkning</t>
        </is>
      </c>
      <c r="D1527" s="1" t="n">
        <v>44530</v>
      </c>
      <c r="E1527" s="1" t="n">
        <v>46326</v>
      </c>
      <c r="F1527" t="inlineStr">
        <is>
          <t>GÄVLEBORGS LÄN</t>
        </is>
      </c>
      <c r="G1527" t="inlineStr">
        <is>
          <t>OVANÅKER</t>
        </is>
      </c>
      <c r="I1527" t="n">
        <v>0.8</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22027-2022</t>
        </is>
      </c>
      <c r="B1528" t="inlineStr">
        <is>
          <t>avverkningsanmälan</t>
        </is>
      </c>
      <c r="C1528" t="inlineStr">
        <is>
          <t>Föryngringsavverkning</t>
        </is>
      </c>
      <c r="D1528" s="1" t="n">
        <v>44711</v>
      </c>
      <c r="E1528" s="1" t="n">
        <v>46326</v>
      </c>
      <c r="F1528" t="inlineStr">
        <is>
          <t>GÄVLEBORGS LÄN</t>
        </is>
      </c>
      <c r="G1528" t="inlineStr">
        <is>
          <t>NORDANSTIG</t>
        </is>
      </c>
      <c r="I1528" t="n">
        <v>3.1</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40593-2022</t>
        </is>
      </c>
      <c r="B1529" t="inlineStr">
        <is>
          <t>avverkningsanmälan</t>
        </is>
      </c>
      <c r="C1529" t="inlineStr">
        <is>
          <t>Föryngringsavverkning</t>
        </is>
      </c>
      <c r="D1529" s="1" t="n">
        <v>44823</v>
      </c>
      <c r="E1529" s="1" t="n">
        <v>46326</v>
      </c>
      <c r="F1529" t="inlineStr">
        <is>
          <t>GÄVLEBORGS LÄN</t>
        </is>
      </c>
      <c r="G1529" t="inlineStr">
        <is>
          <t>HUDIKSVALL</t>
        </is>
      </c>
      <c r="H1529" t="inlineStr">
        <is>
          <t>Holmen skog AB</t>
        </is>
      </c>
      <c r="I1529" t="n">
        <v>15.3</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39228-2022</t>
        </is>
      </c>
      <c r="B1530" t="inlineStr">
        <is>
          <t>avverkningsanmälan</t>
        </is>
      </c>
      <c r="C1530" t="inlineStr">
        <is>
          <t>Föryngringsavverkning</t>
        </is>
      </c>
      <c r="D1530" s="1" t="n">
        <v>44817</v>
      </c>
      <c r="E1530" s="1" t="n">
        <v>46326</v>
      </c>
      <c r="F1530" t="inlineStr">
        <is>
          <t>GÄVLEBORGS LÄN</t>
        </is>
      </c>
      <c r="G1530" t="inlineStr">
        <is>
          <t>LJUSDAL</t>
        </is>
      </c>
      <c r="I1530" t="n">
        <v>0.5</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39258-2022</t>
        </is>
      </c>
      <c r="B1531" t="inlineStr">
        <is>
          <t>avverkningsanmälan</t>
        </is>
      </c>
      <c r="C1531" t="inlineStr">
        <is>
          <t>Föryngringsavverkning</t>
        </is>
      </c>
      <c r="D1531" s="1" t="n">
        <v>44817</v>
      </c>
      <c r="E1531" s="1" t="n">
        <v>46326</v>
      </c>
      <c r="F1531" t="inlineStr">
        <is>
          <t>GÄVLEBORGS LÄN</t>
        </is>
      </c>
      <c r="G1531" t="inlineStr">
        <is>
          <t>HUDIKSVALL</t>
        </is>
      </c>
      <c r="H1531" t="inlineStr">
        <is>
          <t>Holmen skog AB</t>
        </is>
      </c>
      <c r="I1531" t="n">
        <v>3.4</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575-2022</t>
        </is>
      </c>
      <c r="B1532" t="inlineStr">
        <is>
          <t>avverkningsanmälan</t>
        </is>
      </c>
      <c r="C1532" t="inlineStr">
        <is>
          <t>Föryngringsavverkning</t>
        </is>
      </c>
      <c r="D1532" s="1" t="n">
        <v>44566</v>
      </c>
      <c r="E1532" s="1" t="n">
        <v>46326</v>
      </c>
      <c r="F1532" t="inlineStr">
        <is>
          <t>GÄVLEBORGS LÄN</t>
        </is>
      </c>
      <c r="G1532" t="inlineStr">
        <is>
          <t>NORDANSTIG</t>
        </is>
      </c>
      <c r="I1532" t="n">
        <v>3.1</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17342-2022</t>
        </is>
      </c>
      <c r="B1533" t="inlineStr">
        <is>
          <t>avverkningsanmälan</t>
        </is>
      </c>
      <c r="C1533" t="inlineStr">
        <is>
          <t>Föryngringsavverkning</t>
        </is>
      </c>
      <c r="D1533" s="1" t="n">
        <v>44678</v>
      </c>
      <c r="E1533" s="1" t="n">
        <v>46326</v>
      </c>
      <c r="F1533" t="inlineStr">
        <is>
          <t>GÄVLEBORGS LÄN</t>
        </is>
      </c>
      <c r="G1533" t="inlineStr">
        <is>
          <t>HUDIKSVALL</t>
        </is>
      </c>
      <c r="H1533" t="inlineStr">
        <is>
          <t>Holmen skog AB</t>
        </is>
      </c>
      <c r="I1533" t="n">
        <v>2.7</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13995-2022</t>
        </is>
      </c>
      <c r="B1534" t="inlineStr">
        <is>
          <t>avverkningsanmälan</t>
        </is>
      </c>
      <c r="C1534" t="inlineStr">
        <is>
          <t>Föryngringsavverkning</t>
        </is>
      </c>
      <c r="D1534" s="1" t="n">
        <v>44650</v>
      </c>
      <c r="E1534" s="1" t="n">
        <v>46326</v>
      </c>
      <c r="F1534" t="inlineStr">
        <is>
          <t>GÄVLEBORGS LÄN</t>
        </is>
      </c>
      <c r="G1534" t="inlineStr">
        <is>
          <t>OVANÅKER</t>
        </is>
      </c>
      <c r="I1534" t="n">
        <v>1.7</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25938-2022</t>
        </is>
      </c>
      <c r="B1535" t="inlineStr">
        <is>
          <t>avverkningsanmälan</t>
        </is>
      </c>
      <c r="C1535" t="inlineStr">
        <is>
          <t>Föryngringsavverkning</t>
        </is>
      </c>
      <c r="D1535" s="1" t="n">
        <v>44734</v>
      </c>
      <c r="E1535" s="1" t="n">
        <v>46326</v>
      </c>
      <c r="F1535" t="inlineStr">
        <is>
          <t>GÄVLEBORGS LÄN</t>
        </is>
      </c>
      <c r="G1535" t="inlineStr">
        <is>
          <t>GÄVLE</t>
        </is>
      </c>
      <c r="I1535" t="n">
        <v>4.1</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25100-2022</t>
        </is>
      </c>
      <c r="B1536" t="inlineStr">
        <is>
          <t>avverkningsanmälan</t>
        </is>
      </c>
      <c r="C1536" t="inlineStr">
        <is>
          <t>Föryngringsavverkning</t>
        </is>
      </c>
      <c r="D1536" s="1" t="n">
        <v>44729</v>
      </c>
      <c r="E1536" s="1" t="n">
        <v>46326</v>
      </c>
      <c r="F1536" t="inlineStr">
        <is>
          <t>GÄVLEBORGS LÄN</t>
        </is>
      </c>
      <c r="G1536" t="inlineStr">
        <is>
          <t>BOLLNÄS</t>
        </is>
      </c>
      <c r="I1536" t="n">
        <v>0.5</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21438-2022</t>
        </is>
      </c>
      <c r="B1537" t="inlineStr">
        <is>
          <t>avverkningsanmälan</t>
        </is>
      </c>
      <c r="C1537" t="inlineStr">
        <is>
          <t>Föryngringsavverkning</t>
        </is>
      </c>
      <c r="D1537" s="1" t="n">
        <v>44706</v>
      </c>
      <c r="E1537" s="1" t="n">
        <v>46326</v>
      </c>
      <c r="F1537" t="inlineStr">
        <is>
          <t>GÄVLEBORGS LÄN</t>
        </is>
      </c>
      <c r="G1537" t="inlineStr">
        <is>
          <t>BOLLNÄS</t>
        </is>
      </c>
      <c r="I1537" t="n">
        <v>0.6</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22126-2022</t>
        </is>
      </c>
      <c r="B1538" t="inlineStr">
        <is>
          <t>avverkningsanmälan</t>
        </is>
      </c>
      <c r="C1538" t="inlineStr">
        <is>
          <t>Avverkning för annat ändamål</t>
        </is>
      </c>
      <c r="D1538" s="1" t="n">
        <v>44712</v>
      </c>
      <c r="E1538" s="1" t="n">
        <v>46326</v>
      </c>
      <c r="F1538" t="inlineStr">
        <is>
          <t>GÄVLEBORGS LÄN</t>
        </is>
      </c>
      <c r="G1538" t="inlineStr">
        <is>
          <t>BOLLNÄS</t>
        </is>
      </c>
      <c r="I1538" t="n">
        <v>1</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30374-2022</t>
        </is>
      </c>
      <c r="B1539" t="inlineStr">
        <is>
          <t>avverkningsanmälan</t>
        </is>
      </c>
      <c r="C1539" t="inlineStr">
        <is>
          <t>Föryngringsavverkning</t>
        </is>
      </c>
      <c r="D1539" s="1" t="n">
        <v>44760</v>
      </c>
      <c r="E1539" s="1" t="n">
        <v>46326</v>
      </c>
      <c r="F1539" t="inlineStr">
        <is>
          <t>GÄVLEBORGS LÄN</t>
        </is>
      </c>
      <c r="G1539" t="inlineStr">
        <is>
          <t>OVANÅKER</t>
        </is>
      </c>
      <c r="I1539" t="n">
        <v>0.2</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39170-2022</t>
        </is>
      </c>
      <c r="B1540" t="inlineStr">
        <is>
          <t>avverkningsanmälan</t>
        </is>
      </c>
      <c r="C1540" t="inlineStr">
        <is>
          <t>Föryngringsavverkning</t>
        </is>
      </c>
      <c r="D1540" s="1" t="n">
        <v>44817</v>
      </c>
      <c r="E1540" s="1" t="n">
        <v>46326</v>
      </c>
      <c r="F1540" t="inlineStr">
        <is>
          <t>GÄVLEBORGS LÄN</t>
        </is>
      </c>
      <c r="G1540" t="inlineStr">
        <is>
          <t>SANDVIKEN</t>
        </is>
      </c>
      <c r="I1540" t="n">
        <v>0.6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51645-2022</t>
        </is>
      </c>
      <c r="B1541" t="inlineStr">
        <is>
          <t>avverkningsanmälan</t>
        </is>
      </c>
      <c r="C1541" t="inlineStr">
        <is>
          <t>Föryngringsavverkning</t>
        </is>
      </c>
      <c r="D1541" s="1" t="n">
        <v>44872</v>
      </c>
      <c r="E1541" s="1" t="n">
        <v>46326</v>
      </c>
      <c r="F1541" t="inlineStr">
        <is>
          <t>GÄVLEBORGS LÄN</t>
        </is>
      </c>
      <c r="G1541" t="inlineStr">
        <is>
          <t>BOLLNÄS</t>
        </is>
      </c>
      <c r="I1541" t="n">
        <v>0.6</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53618-2022</t>
        </is>
      </c>
      <c r="B1542" t="inlineStr">
        <is>
          <t>avverkningsanmälan</t>
        </is>
      </c>
      <c r="C1542" t="inlineStr">
        <is>
          <t>Föryngringsavverkning</t>
        </is>
      </c>
      <c r="D1542" s="1" t="n">
        <v>44879</v>
      </c>
      <c r="E1542" s="1" t="n">
        <v>46326</v>
      </c>
      <c r="F1542" t="inlineStr">
        <is>
          <t>GÄVLEBORGS LÄN</t>
        </is>
      </c>
      <c r="G1542" t="inlineStr">
        <is>
          <t>BOLLNÄS</t>
        </is>
      </c>
      <c r="H1542" t="inlineStr">
        <is>
          <t>Bergvik skog väst AB</t>
        </is>
      </c>
      <c r="I1542" t="n">
        <v>7.1</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21189-2022</t>
        </is>
      </c>
      <c r="B1543" t="inlineStr">
        <is>
          <t>avverkningsanmälan</t>
        </is>
      </c>
      <c r="C1543" t="inlineStr">
        <is>
          <t>Föryngringsavverkning</t>
        </is>
      </c>
      <c r="D1543" s="1" t="n">
        <v>44704</v>
      </c>
      <c r="E1543" s="1" t="n">
        <v>46326</v>
      </c>
      <c r="F1543" t="inlineStr">
        <is>
          <t>GÄVLEBORGS LÄN</t>
        </is>
      </c>
      <c r="G1543" t="inlineStr">
        <is>
          <t>NORDANSTIG</t>
        </is>
      </c>
      <c r="I1543" t="n">
        <v>0.6</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28527-2022</t>
        </is>
      </c>
      <c r="B1544" t="inlineStr">
        <is>
          <t>avverkningsanmälan</t>
        </is>
      </c>
      <c r="C1544" t="inlineStr">
        <is>
          <t>Avverkning för annat ändamål</t>
        </is>
      </c>
      <c r="D1544" s="1" t="n">
        <v>44748</v>
      </c>
      <c r="E1544" s="1" t="n">
        <v>46326</v>
      </c>
      <c r="F1544" t="inlineStr">
        <is>
          <t>GÄVLEBORGS LÄN</t>
        </is>
      </c>
      <c r="G1544" t="inlineStr">
        <is>
          <t>LJUSDAL</t>
        </is>
      </c>
      <c r="I1544" t="n">
        <v>1.1</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73672-2021</t>
        </is>
      </c>
      <c r="B1545" t="inlineStr">
        <is>
          <t>avverkningsanmälan</t>
        </is>
      </c>
      <c r="C1545" t="inlineStr">
        <is>
          <t>Föryngringsavverkning</t>
        </is>
      </c>
      <c r="D1545" s="1" t="n">
        <v>44552</v>
      </c>
      <c r="E1545" s="1" t="n">
        <v>46326</v>
      </c>
      <c r="F1545" t="inlineStr">
        <is>
          <t>GÄVLEBORGS LÄN</t>
        </is>
      </c>
      <c r="G1545" t="inlineStr">
        <is>
          <t>LJUSDAL</t>
        </is>
      </c>
      <c r="I1545" t="n">
        <v>1</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28454-2022</t>
        </is>
      </c>
      <c r="B1546" t="inlineStr">
        <is>
          <t>avverkningsanmälan</t>
        </is>
      </c>
      <c r="C1546" t="inlineStr">
        <is>
          <t>Föryngringsavverkning</t>
        </is>
      </c>
      <c r="D1546" s="1" t="n">
        <v>44747</v>
      </c>
      <c r="E1546" s="1" t="n">
        <v>46326</v>
      </c>
      <c r="F1546" t="inlineStr">
        <is>
          <t>GÄVLEBORGS LÄN</t>
        </is>
      </c>
      <c r="G1546" t="inlineStr">
        <is>
          <t>LJUSDAL</t>
        </is>
      </c>
      <c r="I1546" t="n">
        <v>2.4</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12330-2022</t>
        </is>
      </c>
      <c r="B1547" t="inlineStr">
        <is>
          <t>avverkningsanmälan</t>
        </is>
      </c>
      <c r="C1547" t="inlineStr">
        <is>
          <t>Föryngringsavverkning</t>
        </is>
      </c>
      <c r="D1547" s="1" t="n">
        <v>44637</v>
      </c>
      <c r="E1547" s="1" t="n">
        <v>46326</v>
      </c>
      <c r="F1547" t="inlineStr">
        <is>
          <t>GÄVLEBORGS LÄN</t>
        </is>
      </c>
      <c r="G1547" t="inlineStr">
        <is>
          <t>OVANÅKER</t>
        </is>
      </c>
      <c r="I1547" t="n">
        <v>0.7</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19279-2022</t>
        </is>
      </c>
      <c r="B1548" t="inlineStr">
        <is>
          <t>avverkningsanmälan</t>
        </is>
      </c>
      <c r="C1548" t="inlineStr">
        <is>
          <t>Föryngringsavverkning</t>
        </is>
      </c>
      <c r="D1548" s="1" t="n">
        <v>44692</v>
      </c>
      <c r="E1548" s="1" t="n">
        <v>46326</v>
      </c>
      <c r="F1548" t="inlineStr">
        <is>
          <t>GÄVLEBORGS LÄN</t>
        </is>
      </c>
      <c r="G1548" t="inlineStr">
        <is>
          <t>NORDANSTIG</t>
        </is>
      </c>
      <c r="I1548" t="n">
        <v>0.9</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18167-2022</t>
        </is>
      </c>
      <c r="B1549" t="inlineStr">
        <is>
          <t>avverkningsanmälan</t>
        </is>
      </c>
      <c r="C1549" t="inlineStr">
        <is>
          <t>Föryngringsavverkning</t>
        </is>
      </c>
      <c r="D1549" s="1" t="n">
        <v>44684</v>
      </c>
      <c r="E1549" s="1" t="n">
        <v>46326</v>
      </c>
      <c r="F1549" t="inlineStr">
        <is>
          <t>GÄVLEBORGS LÄN</t>
        </is>
      </c>
      <c r="G1549" t="inlineStr">
        <is>
          <t>NORDANSTIG</t>
        </is>
      </c>
      <c r="H1549" t="inlineStr">
        <is>
          <t>Holmen skog AB</t>
        </is>
      </c>
      <c r="I1549" t="n">
        <v>0.8</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18181-2022</t>
        </is>
      </c>
      <c r="B1550" t="inlineStr">
        <is>
          <t>avverkningsanmälan</t>
        </is>
      </c>
      <c r="C1550" t="inlineStr">
        <is>
          <t>Föryngringsavverkning</t>
        </is>
      </c>
      <c r="D1550" s="1" t="n">
        <v>44684</v>
      </c>
      <c r="E1550" s="1" t="n">
        <v>46326</v>
      </c>
      <c r="F1550" t="inlineStr">
        <is>
          <t>GÄVLEBORGS LÄN</t>
        </is>
      </c>
      <c r="G1550" t="inlineStr">
        <is>
          <t>GÄVLE</t>
        </is>
      </c>
      <c r="I1550" t="n">
        <v>4.2</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19288-2022</t>
        </is>
      </c>
      <c r="B1551" t="inlineStr">
        <is>
          <t>avverkningsanmälan</t>
        </is>
      </c>
      <c r="C1551" t="inlineStr">
        <is>
          <t>Föryngringsavverkning</t>
        </is>
      </c>
      <c r="D1551" s="1" t="n">
        <v>44692</v>
      </c>
      <c r="E1551" s="1" t="n">
        <v>46326</v>
      </c>
      <c r="F1551" t="inlineStr">
        <is>
          <t>GÄVLEBORGS LÄN</t>
        </is>
      </c>
      <c r="G1551" t="inlineStr">
        <is>
          <t>LJUSDAL</t>
        </is>
      </c>
      <c r="H1551" t="inlineStr">
        <is>
          <t>Holmen skog AB</t>
        </is>
      </c>
      <c r="I1551" t="n">
        <v>2.9</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19292-2022</t>
        </is>
      </c>
      <c r="B1552" t="inlineStr">
        <is>
          <t>avverkningsanmälan</t>
        </is>
      </c>
      <c r="C1552" t="inlineStr">
        <is>
          <t>Föryngringsavverkning</t>
        </is>
      </c>
      <c r="D1552" s="1" t="n">
        <v>44692</v>
      </c>
      <c r="E1552" s="1" t="n">
        <v>46326</v>
      </c>
      <c r="F1552" t="inlineStr">
        <is>
          <t>GÄVLEBORGS LÄN</t>
        </is>
      </c>
      <c r="G1552" t="inlineStr">
        <is>
          <t>HOFORS</t>
        </is>
      </c>
      <c r="I1552" t="n">
        <v>0.9</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32238-2022</t>
        </is>
      </c>
      <c r="B1553" t="inlineStr">
        <is>
          <t>avverkningsanmälan</t>
        </is>
      </c>
      <c r="C1553" t="inlineStr">
        <is>
          <t>Föryngringsavverkning</t>
        </is>
      </c>
      <c r="D1553" s="1" t="n">
        <v>44781</v>
      </c>
      <c r="E1553" s="1" t="n">
        <v>46326</v>
      </c>
      <c r="F1553" t="inlineStr">
        <is>
          <t>GÄVLEBORGS LÄN</t>
        </is>
      </c>
      <c r="G1553" t="inlineStr">
        <is>
          <t>LJUSDAL</t>
        </is>
      </c>
      <c r="H1553" t="inlineStr">
        <is>
          <t>Holmen skog AB</t>
        </is>
      </c>
      <c r="I1553" t="n">
        <v>1.7</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5614-2022</t>
        </is>
      </c>
      <c r="B1554" t="inlineStr">
        <is>
          <t>avverkningsanmälan</t>
        </is>
      </c>
      <c r="C1554" t="inlineStr">
        <is>
          <t>Föryngringsavverkning</t>
        </is>
      </c>
      <c r="D1554" s="1" t="n">
        <v>44595</v>
      </c>
      <c r="E1554" s="1" t="n">
        <v>46326</v>
      </c>
      <c r="F1554" t="inlineStr">
        <is>
          <t>GÄVLEBORGS LÄN</t>
        </is>
      </c>
      <c r="G1554" t="inlineStr">
        <is>
          <t>LJUSDAL</t>
        </is>
      </c>
      <c r="I1554" t="n">
        <v>4.2</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51567-2022</t>
        </is>
      </c>
      <c r="B1555" t="inlineStr">
        <is>
          <t>avverkningsanmälan</t>
        </is>
      </c>
      <c r="C1555" t="inlineStr">
        <is>
          <t>Föryngringsavverkning</t>
        </is>
      </c>
      <c r="D1555" s="1" t="n">
        <v>44869</v>
      </c>
      <c r="E1555" s="1" t="n">
        <v>46326</v>
      </c>
      <c r="F1555" t="inlineStr">
        <is>
          <t>GÄVLEBORGS LÄN</t>
        </is>
      </c>
      <c r="G1555" t="inlineStr">
        <is>
          <t>HUDIKSVALL</t>
        </is>
      </c>
      <c r="I1555" t="n">
        <v>0.5</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34706-2022</t>
        </is>
      </c>
      <c r="B1556" t="inlineStr">
        <is>
          <t>avverkningsanmälan</t>
        </is>
      </c>
      <c r="C1556" t="inlineStr">
        <is>
          <t>Föryngringsavverkning</t>
        </is>
      </c>
      <c r="D1556" s="1" t="n">
        <v>44795</v>
      </c>
      <c r="E1556" s="1" t="n">
        <v>46326</v>
      </c>
      <c r="F1556" t="inlineStr">
        <is>
          <t>GÄVLEBORGS LÄN</t>
        </is>
      </c>
      <c r="G1556" t="inlineStr">
        <is>
          <t>GÄVLE</t>
        </is>
      </c>
      <c r="I1556" t="n">
        <v>1.5</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26113-2022</t>
        </is>
      </c>
      <c r="B1557" t="inlineStr">
        <is>
          <t>avverkningsanmälan</t>
        </is>
      </c>
      <c r="C1557" t="inlineStr">
        <is>
          <t>Avverkning för annat ändamål</t>
        </is>
      </c>
      <c r="D1557" s="1" t="n">
        <v>44734</v>
      </c>
      <c r="E1557" s="1" t="n">
        <v>46326</v>
      </c>
      <c r="F1557" t="inlineStr">
        <is>
          <t>GÄVLEBORGS LÄN</t>
        </is>
      </c>
      <c r="G1557" t="inlineStr">
        <is>
          <t>NORDANSTIG</t>
        </is>
      </c>
      <c r="I1557" t="n">
        <v>0.3</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51202-2022</t>
        </is>
      </c>
      <c r="B1558" t="inlineStr">
        <is>
          <t>avverkningsanmälan</t>
        </is>
      </c>
      <c r="C1558" t="inlineStr">
        <is>
          <t>Föryngringsavverkning</t>
        </is>
      </c>
      <c r="D1558" s="1" t="n">
        <v>44868</v>
      </c>
      <c r="E1558" s="1" t="n">
        <v>46326</v>
      </c>
      <c r="F1558" t="inlineStr">
        <is>
          <t>GÄVLEBORGS LÄN</t>
        </is>
      </c>
      <c r="G1558" t="inlineStr">
        <is>
          <t>HOFORS</t>
        </is>
      </c>
      <c r="H1558" t="inlineStr">
        <is>
          <t>Sveaskog</t>
        </is>
      </c>
      <c r="I1558" t="n">
        <v>11.3</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25005-2022</t>
        </is>
      </c>
      <c r="B1559" t="inlineStr">
        <is>
          <t>avverkningsanmälan</t>
        </is>
      </c>
      <c r="C1559" t="inlineStr">
        <is>
          <t>Föryngringsavverkning</t>
        </is>
      </c>
      <c r="D1559" s="1" t="n">
        <v>44728</v>
      </c>
      <c r="E1559" s="1" t="n">
        <v>46326</v>
      </c>
      <c r="F1559" t="inlineStr">
        <is>
          <t>GÄVLEBORGS LÄN</t>
        </is>
      </c>
      <c r="G1559" t="inlineStr">
        <is>
          <t>NORDANSTIG</t>
        </is>
      </c>
      <c r="I1559" t="n">
        <v>1.4</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16603-2022</t>
        </is>
      </c>
      <c r="B1560" t="inlineStr">
        <is>
          <t>avverkningsanmälan</t>
        </is>
      </c>
      <c r="C1560" t="inlineStr">
        <is>
          <t>Föryngringsavverkning</t>
        </is>
      </c>
      <c r="D1560" s="1" t="n">
        <v>44672</v>
      </c>
      <c r="E1560" s="1" t="n">
        <v>46326</v>
      </c>
      <c r="F1560" t="inlineStr">
        <is>
          <t>GÄVLEBORGS LÄN</t>
        </is>
      </c>
      <c r="G1560" t="inlineStr">
        <is>
          <t>SANDVIKEN</t>
        </is>
      </c>
      <c r="H1560" t="inlineStr">
        <is>
          <t>Bergvik skog öst AB</t>
        </is>
      </c>
      <c r="I1560" t="n">
        <v>0.4</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36563-2022</t>
        </is>
      </c>
      <c r="B1561" t="inlineStr">
        <is>
          <t>avverkningsanmälan</t>
        </is>
      </c>
      <c r="C1561" t="inlineStr">
        <is>
          <t>Föryngringsavverkning</t>
        </is>
      </c>
      <c r="D1561" s="1" t="n">
        <v>44804</v>
      </c>
      <c r="E1561" s="1" t="n">
        <v>46326</v>
      </c>
      <c r="F1561" t="inlineStr">
        <is>
          <t>GÄVLEBORGS LÄN</t>
        </is>
      </c>
      <c r="G1561" t="inlineStr">
        <is>
          <t>LJUSDAL</t>
        </is>
      </c>
      <c r="H1561" t="inlineStr">
        <is>
          <t>Holmen skog AB</t>
        </is>
      </c>
      <c r="I1561" t="n">
        <v>1.3</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64423-2021</t>
        </is>
      </c>
      <c r="B1562" t="inlineStr">
        <is>
          <t>avverkningsanmälan</t>
        </is>
      </c>
      <c r="C1562" t="inlineStr">
        <is>
          <t>Föryngringsavverkning</t>
        </is>
      </c>
      <c r="D1562" s="1" t="n">
        <v>44511</v>
      </c>
      <c r="E1562" s="1" t="n">
        <v>46326</v>
      </c>
      <c r="F1562" t="inlineStr">
        <is>
          <t>GÄVLEBORGS LÄN</t>
        </is>
      </c>
      <c r="G1562" t="inlineStr">
        <is>
          <t>LJUSDAL</t>
        </is>
      </c>
      <c r="I1562" t="n">
        <v>0.8</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7743-2025</t>
        </is>
      </c>
      <c r="B1563" t="inlineStr">
        <is>
          <t>avverkningsanmälan</t>
        </is>
      </c>
      <c r="C1563" t="inlineStr">
        <is>
          <t>Föryngringsavverkning</t>
        </is>
      </c>
      <c r="D1563" s="1" t="n">
        <v>45706</v>
      </c>
      <c r="E1563" s="1" t="n">
        <v>46326</v>
      </c>
      <c r="F1563" t="inlineStr">
        <is>
          <t>GÄVLEBORGS LÄN</t>
        </is>
      </c>
      <c r="G1563" t="inlineStr">
        <is>
          <t>GÄVLE</t>
        </is>
      </c>
      <c r="I1563" t="n">
        <v>2.3</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23924-2023</t>
        </is>
      </c>
      <c r="B1564" t="inlineStr">
        <is>
          <t>avverkningsanmälan</t>
        </is>
      </c>
      <c r="C1564" t="inlineStr">
        <is>
          <t>Föryngringsavverkning</t>
        </is>
      </c>
      <c r="D1564" s="1" t="n">
        <v>45078</v>
      </c>
      <c r="E1564" s="1" t="n">
        <v>46326</v>
      </c>
      <c r="F1564" t="inlineStr">
        <is>
          <t>GÄVLEBORGS LÄN</t>
        </is>
      </c>
      <c r="G1564" t="inlineStr">
        <is>
          <t>HUDIKSVALL</t>
        </is>
      </c>
      <c r="H1564" t="inlineStr">
        <is>
          <t>Holmen skog AB</t>
        </is>
      </c>
      <c r="I1564" t="n">
        <v>4.6</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15312-2022</t>
        </is>
      </c>
      <c r="B1565" t="inlineStr">
        <is>
          <t>avverkningsanmälan</t>
        </is>
      </c>
      <c r="C1565" t="inlineStr">
        <is>
          <t>Föryngringsavverkning</t>
        </is>
      </c>
      <c r="D1565" s="1" t="n">
        <v>44659</v>
      </c>
      <c r="E1565" s="1" t="n">
        <v>46326</v>
      </c>
      <c r="F1565" t="inlineStr">
        <is>
          <t>GÄVLEBORGS LÄN</t>
        </is>
      </c>
      <c r="G1565" t="inlineStr">
        <is>
          <t>NORDANSTIG</t>
        </is>
      </c>
      <c r="I1565" t="n">
        <v>1.1</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3472-2022</t>
        </is>
      </c>
      <c r="B1566" t="inlineStr">
        <is>
          <t>avverkningsanmälan</t>
        </is>
      </c>
      <c r="C1566" t="inlineStr">
        <is>
          <t>Föryngringsavverkning</t>
        </is>
      </c>
      <c r="D1566" s="1" t="n">
        <v>44585</v>
      </c>
      <c r="E1566" s="1" t="n">
        <v>46326</v>
      </c>
      <c r="F1566" t="inlineStr">
        <is>
          <t>GÄVLEBORGS LÄN</t>
        </is>
      </c>
      <c r="G1566" t="inlineStr">
        <is>
          <t>GÄVLE</t>
        </is>
      </c>
      <c r="I1566" t="n">
        <v>1.5</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2885-2023</t>
        </is>
      </c>
      <c r="B1567" t="inlineStr">
        <is>
          <t>avverkningsanmälan</t>
        </is>
      </c>
      <c r="C1567" t="inlineStr">
        <is>
          <t>Föryngringsavverkning</t>
        </is>
      </c>
      <c r="D1567" s="1" t="n">
        <v>44945</v>
      </c>
      <c r="E1567" s="1" t="n">
        <v>46326</v>
      </c>
      <c r="F1567" t="inlineStr">
        <is>
          <t>GÄVLEBORGS LÄN</t>
        </is>
      </c>
      <c r="G1567" t="inlineStr">
        <is>
          <t>BOLLNÄS</t>
        </is>
      </c>
      <c r="I1567" t="n">
        <v>2.7</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39068-2023</t>
        </is>
      </c>
      <c r="B1568" t="inlineStr">
        <is>
          <t>avverkningsanmälan</t>
        </is>
      </c>
      <c r="C1568" t="inlineStr">
        <is>
          <t>Föryngringsavverkning</t>
        </is>
      </c>
      <c r="D1568" s="1" t="n">
        <v>45163</v>
      </c>
      <c r="E1568" s="1" t="n">
        <v>46326</v>
      </c>
      <c r="F1568" t="inlineStr">
        <is>
          <t>GÄVLEBORGS LÄN</t>
        </is>
      </c>
      <c r="G1568" t="inlineStr">
        <is>
          <t>NORDANSTIG</t>
        </is>
      </c>
      <c r="H1568" t="inlineStr">
        <is>
          <t>SCA</t>
        </is>
      </c>
      <c r="I1568" t="n">
        <v>11.8</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6752-2024</t>
        </is>
      </c>
      <c r="B1569" t="inlineStr">
        <is>
          <t>avverkningsanmälan</t>
        </is>
      </c>
      <c r="C1569" t="inlineStr">
        <is>
          <t>Föryngringsavverkning</t>
        </is>
      </c>
      <c r="D1569" s="1" t="n">
        <v>45342</v>
      </c>
      <c r="E1569" s="1" t="n">
        <v>46326</v>
      </c>
      <c r="F1569" t="inlineStr">
        <is>
          <t>GÄVLEBORGS LÄN</t>
        </is>
      </c>
      <c r="G1569" t="inlineStr">
        <is>
          <t>BOLLNÄS</t>
        </is>
      </c>
      <c r="I1569" t="n">
        <v>0.9</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26625-2023</t>
        </is>
      </c>
      <c r="B1570" t="inlineStr">
        <is>
          <t>avverkningsanmälan</t>
        </is>
      </c>
      <c r="C1570" t="inlineStr">
        <is>
          <t>Föryngringsavverkning</t>
        </is>
      </c>
      <c r="D1570" s="1" t="n">
        <v>45092</v>
      </c>
      <c r="E1570" s="1" t="n">
        <v>46326</v>
      </c>
      <c r="F1570" t="inlineStr">
        <is>
          <t>GÄVLEBORGS LÄN</t>
        </is>
      </c>
      <c r="G1570" t="inlineStr">
        <is>
          <t>LJUSDAL</t>
        </is>
      </c>
      <c r="I1570" t="n">
        <v>3.1</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19364-2022</t>
        </is>
      </c>
      <c r="B1571" t="inlineStr">
        <is>
          <t>avverkningsanmälan</t>
        </is>
      </c>
      <c r="C1571" t="inlineStr">
        <is>
          <t>Föryngringsavverkning</t>
        </is>
      </c>
      <c r="D1571" s="1" t="n">
        <v>44692</v>
      </c>
      <c r="E1571" s="1" t="n">
        <v>46326</v>
      </c>
      <c r="F1571" t="inlineStr">
        <is>
          <t>GÄVLEBORGS LÄN</t>
        </is>
      </c>
      <c r="G1571" t="inlineStr">
        <is>
          <t>NORDANSTIG</t>
        </is>
      </c>
      <c r="H1571" t="inlineStr">
        <is>
          <t>Holmen skog AB</t>
        </is>
      </c>
      <c r="I1571" t="n">
        <v>2.9</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24119-2024</t>
        </is>
      </c>
      <c r="B1572" t="inlineStr">
        <is>
          <t>avverkningsanmälan</t>
        </is>
      </c>
      <c r="C1572" t="inlineStr">
        <is>
          <t>Föryngringsavverkning</t>
        </is>
      </c>
      <c r="D1572" s="1" t="n">
        <v>45456</v>
      </c>
      <c r="E1572" s="1" t="n">
        <v>46326</v>
      </c>
      <c r="F1572" t="inlineStr">
        <is>
          <t>GÄVLEBORGS LÄN</t>
        </is>
      </c>
      <c r="G1572" t="inlineStr">
        <is>
          <t>HUDIKSVALL</t>
        </is>
      </c>
      <c r="I1572" t="n">
        <v>0.5</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15907-2023</t>
        </is>
      </c>
      <c r="B1573" t="inlineStr">
        <is>
          <t>avverkningsanmälan</t>
        </is>
      </c>
      <c r="C1573" t="inlineStr">
        <is>
          <t>Föryngringsavverkning</t>
        </is>
      </c>
      <c r="D1573" s="1" t="n">
        <v>45022</v>
      </c>
      <c r="E1573" s="1" t="n">
        <v>46326</v>
      </c>
      <c r="F1573" t="inlineStr">
        <is>
          <t>GÄVLEBORGS LÄN</t>
        </is>
      </c>
      <c r="G1573" t="inlineStr">
        <is>
          <t>SANDVIKEN</t>
        </is>
      </c>
      <c r="I1573" t="n">
        <v>1.4</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36210-2024</t>
        </is>
      </c>
      <c r="B1574" t="inlineStr">
        <is>
          <t>avverkningsanmälan</t>
        </is>
      </c>
      <c r="C1574" t="inlineStr">
        <is>
          <t>Föryngringsavverkning</t>
        </is>
      </c>
      <c r="D1574" s="1" t="n">
        <v>45534</v>
      </c>
      <c r="E1574" s="1" t="n">
        <v>46326</v>
      </c>
      <c r="F1574" t="inlineStr">
        <is>
          <t>GÄVLEBORGS LÄN</t>
        </is>
      </c>
      <c r="G1574" t="inlineStr">
        <is>
          <t>OCKELBO</t>
        </is>
      </c>
      <c r="H1574" t="inlineStr">
        <is>
          <t>Kyrkan</t>
        </is>
      </c>
      <c r="I1574" t="n">
        <v>4.4</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58929-2023</t>
        </is>
      </c>
      <c r="B1575" t="inlineStr">
        <is>
          <t>avverkningsanmälan</t>
        </is>
      </c>
      <c r="C1575" t="inlineStr">
        <is>
          <t>Föryngringsavverkning</t>
        </is>
      </c>
      <c r="D1575" s="1" t="n">
        <v>45252</v>
      </c>
      <c r="E1575" s="1" t="n">
        <v>46326</v>
      </c>
      <c r="F1575" t="inlineStr">
        <is>
          <t>GÄVLEBORGS LÄN</t>
        </is>
      </c>
      <c r="G1575" t="inlineStr">
        <is>
          <t>BOLLNÄS</t>
        </is>
      </c>
      <c r="H1575" t="inlineStr">
        <is>
          <t>Holmen skog AB</t>
        </is>
      </c>
      <c r="I1575" t="n">
        <v>1.6</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60869-2024</t>
        </is>
      </c>
      <c r="B1576" t="inlineStr">
        <is>
          <t>avverkningsanmälan</t>
        </is>
      </c>
      <c r="C1576" t="inlineStr">
        <is>
          <t>Föryngringsavverkning</t>
        </is>
      </c>
      <c r="D1576" s="1" t="n">
        <v>45644</v>
      </c>
      <c r="E1576" s="1" t="n">
        <v>46326</v>
      </c>
      <c r="F1576" t="inlineStr">
        <is>
          <t>GÄVLEBORGS LÄN</t>
        </is>
      </c>
      <c r="G1576" t="inlineStr">
        <is>
          <t>NORDANSTIG</t>
        </is>
      </c>
      <c r="H1576" t="inlineStr">
        <is>
          <t>Holmen skog AB</t>
        </is>
      </c>
      <c r="I1576" t="n">
        <v>3.5</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58339-2024</t>
        </is>
      </c>
      <c r="B1577" t="inlineStr">
        <is>
          <t>avverkningsanmälan</t>
        </is>
      </c>
      <c r="C1577" t="inlineStr">
        <is>
          <t>Föryngringsavverkning</t>
        </is>
      </c>
      <c r="D1577" s="1" t="n">
        <v>45632</v>
      </c>
      <c r="E1577" s="1" t="n">
        <v>46326</v>
      </c>
      <c r="F1577" t="inlineStr">
        <is>
          <t>GÄVLEBORGS LÄN</t>
        </is>
      </c>
      <c r="G1577" t="inlineStr">
        <is>
          <t>HUDIKSVALL</t>
        </is>
      </c>
      <c r="I1577" t="n">
        <v>1</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65208-2023</t>
        </is>
      </c>
      <c r="B1578" t="inlineStr">
        <is>
          <t>avverkningsanmälan</t>
        </is>
      </c>
      <c r="C1578" t="inlineStr">
        <is>
          <t>Föryngringsavverkning</t>
        </is>
      </c>
      <c r="D1578" s="1" t="n">
        <v>45289</v>
      </c>
      <c r="E1578" s="1" t="n">
        <v>46326</v>
      </c>
      <c r="F1578" t="inlineStr">
        <is>
          <t>GÄVLEBORGS LÄN</t>
        </is>
      </c>
      <c r="G1578" t="inlineStr">
        <is>
          <t>NORDANSTIG</t>
        </is>
      </c>
      <c r="I1578" t="n">
        <v>0.7</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28697-2023</t>
        </is>
      </c>
      <c r="B1579" t="inlineStr">
        <is>
          <t>avverkningsanmälan</t>
        </is>
      </c>
      <c r="C1579" t="inlineStr">
        <is>
          <t>Föryngringsavverkning</t>
        </is>
      </c>
      <c r="D1579" s="1" t="n">
        <v>45103</v>
      </c>
      <c r="E1579" s="1" t="n">
        <v>46326</v>
      </c>
      <c r="F1579" t="inlineStr">
        <is>
          <t>GÄVLEBORGS LÄN</t>
        </is>
      </c>
      <c r="G1579" t="inlineStr">
        <is>
          <t>NORDANSTIG</t>
        </is>
      </c>
      <c r="H1579" t="inlineStr">
        <is>
          <t>Holmen skog AB</t>
        </is>
      </c>
      <c r="I1579" t="n">
        <v>0.5</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38701-2024</t>
        </is>
      </c>
      <c r="B1580" t="inlineStr">
        <is>
          <t>avverkningsanmälan</t>
        </is>
      </c>
      <c r="C1580" t="inlineStr">
        <is>
          <t>Föryngringsavverkning</t>
        </is>
      </c>
      <c r="D1580" s="1" t="n">
        <v>45547</v>
      </c>
      <c r="E1580" s="1" t="n">
        <v>46326</v>
      </c>
      <c r="F1580" t="inlineStr">
        <is>
          <t>GÄVLEBORGS LÄN</t>
        </is>
      </c>
      <c r="G1580" t="inlineStr">
        <is>
          <t>HUDIKSVALL</t>
        </is>
      </c>
      <c r="I1580" t="n">
        <v>6</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11394-2025</t>
        </is>
      </c>
      <c r="B1581" t="inlineStr">
        <is>
          <t>avverkningsanmälan</t>
        </is>
      </c>
      <c r="C1581" t="inlineStr">
        <is>
          <t>Föryngringsavverkning</t>
        </is>
      </c>
      <c r="D1581" s="1" t="n">
        <v>45726</v>
      </c>
      <c r="E1581" s="1" t="n">
        <v>46326</v>
      </c>
      <c r="F1581" t="inlineStr">
        <is>
          <t>GÄVLEBORGS LÄN</t>
        </is>
      </c>
      <c r="G1581" t="inlineStr">
        <is>
          <t>NORDANSTIG</t>
        </is>
      </c>
      <c r="I1581" t="n">
        <v>0.7</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53174-2022</t>
        </is>
      </c>
      <c r="B1582" t="inlineStr">
        <is>
          <t>avverkningsanmälan</t>
        </is>
      </c>
      <c r="C1582" t="inlineStr">
        <is>
          <t>Föryngringsavverkning</t>
        </is>
      </c>
      <c r="D1582" s="1" t="n">
        <v>44876</v>
      </c>
      <c r="E1582" s="1" t="n">
        <v>46326</v>
      </c>
      <c r="F1582" t="inlineStr">
        <is>
          <t>GÄVLEBORGS LÄN</t>
        </is>
      </c>
      <c r="G1582" t="inlineStr">
        <is>
          <t>OVANÅKER</t>
        </is>
      </c>
      <c r="I1582" t="n">
        <v>6.4</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42313-2023</t>
        </is>
      </c>
      <c r="B1583" t="inlineStr">
        <is>
          <t>avverkningsanmälan</t>
        </is>
      </c>
      <c r="C1583" t="inlineStr">
        <is>
          <t>Föryngringsavverkning</t>
        </is>
      </c>
      <c r="D1583" s="1" t="n">
        <v>45180</v>
      </c>
      <c r="E1583" s="1" t="n">
        <v>46326</v>
      </c>
      <c r="F1583" t="inlineStr">
        <is>
          <t>GÄVLEBORGS LÄN</t>
        </is>
      </c>
      <c r="G1583" t="inlineStr">
        <is>
          <t>OCKELBO</t>
        </is>
      </c>
      <c r="I1583" t="n">
        <v>0.4</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8096-2024</t>
        </is>
      </c>
      <c r="B1584" t="inlineStr">
        <is>
          <t>avverkningsanmälan</t>
        </is>
      </c>
      <c r="C1584" t="inlineStr">
        <is>
          <t>Föryngringsavverkning</t>
        </is>
      </c>
      <c r="D1584" s="1" t="n">
        <v>45351</v>
      </c>
      <c r="E1584" s="1" t="n">
        <v>46326</v>
      </c>
      <c r="F1584" t="inlineStr">
        <is>
          <t>GÄVLEBORGS LÄN</t>
        </is>
      </c>
      <c r="G1584" t="inlineStr">
        <is>
          <t>HUDIKSVALL</t>
        </is>
      </c>
      <c r="H1584" t="inlineStr">
        <is>
          <t>Holmen skog AB</t>
        </is>
      </c>
      <c r="I1584" t="n">
        <v>1</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624-2025</t>
        </is>
      </c>
      <c r="B1585" t="inlineStr">
        <is>
          <t>avverkningsanmälan</t>
        </is>
      </c>
      <c r="C1585" t="inlineStr">
        <is>
          <t>Föryngringsavverkning</t>
        </is>
      </c>
      <c r="D1585" s="1" t="n">
        <v>45664</v>
      </c>
      <c r="E1585" s="1" t="n">
        <v>46326</v>
      </c>
      <c r="F1585" t="inlineStr">
        <is>
          <t>GÄVLEBORGS LÄN</t>
        </is>
      </c>
      <c r="G1585" t="inlineStr">
        <is>
          <t>HUDIKSVALL</t>
        </is>
      </c>
      <c r="H1585" t="inlineStr">
        <is>
          <t>Holmen skog AB</t>
        </is>
      </c>
      <c r="I1585" t="n">
        <v>3.2</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6879-2023</t>
        </is>
      </c>
      <c r="B1586" t="inlineStr">
        <is>
          <t>avverkningsanmälan</t>
        </is>
      </c>
      <c r="C1586" t="inlineStr">
        <is>
          <t>Föryngringsavverkning</t>
        </is>
      </c>
      <c r="D1586" s="1" t="n">
        <v>44967</v>
      </c>
      <c r="E1586" s="1" t="n">
        <v>46326</v>
      </c>
      <c r="F1586" t="inlineStr">
        <is>
          <t>GÄVLEBORGS LÄN</t>
        </is>
      </c>
      <c r="G1586" t="inlineStr">
        <is>
          <t>BOLLNÄS</t>
        </is>
      </c>
      <c r="I1586" t="n">
        <v>6.3</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6922-2023</t>
        </is>
      </c>
      <c r="B1587" t="inlineStr">
        <is>
          <t>avverkningsanmälan</t>
        </is>
      </c>
      <c r="C1587" t="inlineStr">
        <is>
          <t>Föryngringsavverkning</t>
        </is>
      </c>
      <c r="D1587" s="1" t="n">
        <v>44967</v>
      </c>
      <c r="E1587" s="1" t="n">
        <v>46326</v>
      </c>
      <c r="F1587" t="inlineStr">
        <is>
          <t>GÄVLEBORGS LÄN</t>
        </is>
      </c>
      <c r="G1587" t="inlineStr">
        <is>
          <t>BOLLNÄS</t>
        </is>
      </c>
      <c r="I1587" t="n">
        <v>2.1</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23587-2024</t>
        </is>
      </c>
      <c r="B1588" t="inlineStr">
        <is>
          <t>avverkningsanmälan</t>
        </is>
      </c>
      <c r="C1588" t="inlineStr">
        <is>
          <t>Föryngringsavverkning</t>
        </is>
      </c>
      <c r="D1588" s="1" t="n">
        <v>45454</v>
      </c>
      <c r="E1588" s="1" t="n">
        <v>46326</v>
      </c>
      <c r="F1588" t="inlineStr">
        <is>
          <t>GÄVLEBORGS LÄN</t>
        </is>
      </c>
      <c r="G1588" t="inlineStr">
        <is>
          <t>GÄVLE</t>
        </is>
      </c>
      <c r="I1588" t="n">
        <v>0.9</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22010-2024</t>
        </is>
      </c>
      <c r="B1589" t="inlineStr">
        <is>
          <t>avverkningsanmälan</t>
        </is>
      </c>
      <c r="C1589" t="inlineStr">
        <is>
          <t>Föryngringsavverkning</t>
        </is>
      </c>
      <c r="D1589" s="1" t="n">
        <v>45443</v>
      </c>
      <c r="E1589" s="1" t="n">
        <v>46326</v>
      </c>
      <c r="F1589" t="inlineStr">
        <is>
          <t>GÄVLEBORGS LÄN</t>
        </is>
      </c>
      <c r="G1589" t="inlineStr">
        <is>
          <t>BOLLNÄS</t>
        </is>
      </c>
      <c r="I1589" t="n">
        <v>0.5</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37386-2023</t>
        </is>
      </c>
      <c r="B1590" t="inlineStr">
        <is>
          <t>avverkningsanmälan</t>
        </is>
      </c>
      <c r="C1590" t="inlineStr">
        <is>
          <t>Föryngringsavverkning</t>
        </is>
      </c>
      <c r="D1590" s="1" t="n">
        <v>45156</v>
      </c>
      <c r="E1590" s="1" t="n">
        <v>46326</v>
      </c>
      <c r="F1590" t="inlineStr">
        <is>
          <t>GÄVLEBORGS LÄN</t>
        </is>
      </c>
      <c r="G1590" t="inlineStr">
        <is>
          <t>OCKELBO</t>
        </is>
      </c>
      <c r="H1590" t="inlineStr">
        <is>
          <t>Bergvik skog väst AB</t>
        </is>
      </c>
      <c r="I1590" t="n">
        <v>3.1</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18538-2024</t>
        </is>
      </c>
      <c r="B1591" t="inlineStr">
        <is>
          <t>avverkningsanmälan</t>
        </is>
      </c>
      <c r="C1591" t="inlineStr">
        <is>
          <t>Föryngringsavverkning</t>
        </is>
      </c>
      <c r="D1591" s="1" t="n">
        <v>45425</v>
      </c>
      <c r="E1591" s="1" t="n">
        <v>46326</v>
      </c>
      <c r="F1591" t="inlineStr">
        <is>
          <t>GÄVLEBORGS LÄN</t>
        </is>
      </c>
      <c r="G1591" t="inlineStr">
        <is>
          <t>HUDIKSVALL</t>
        </is>
      </c>
      <c r="H1591" t="inlineStr">
        <is>
          <t>Holmen skog AB</t>
        </is>
      </c>
      <c r="I1591" t="n">
        <v>2.3</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23928-2023</t>
        </is>
      </c>
      <c r="B1592" t="inlineStr">
        <is>
          <t>avverkningsanmälan</t>
        </is>
      </c>
      <c r="C1592" t="inlineStr">
        <is>
          <t>Föryngringsavverkning</t>
        </is>
      </c>
      <c r="D1592" s="1" t="n">
        <v>45078</v>
      </c>
      <c r="E1592" s="1" t="n">
        <v>46326</v>
      </c>
      <c r="F1592" t="inlineStr">
        <is>
          <t>GÄVLEBORGS LÄN</t>
        </is>
      </c>
      <c r="G1592" t="inlineStr">
        <is>
          <t>HUDIKSVALL</t>
        </is>
      </c>
      <c r="H1592" t="inlineStr">
        <is>
          <t>Holmen skog AB</t>
        </is>
      </c>
      <c r="I1592" t="n">
        <v>5.7</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23930-2023</t>
        </is>
      </c>
      <c r="B1593" t="inlineStr">
        <is>
          <t>avverkningsanmälan</t>
        </is>
      </c>
      <c r="C1593" t="inlineStr">
        <is>
          <t>Föryngringsavverkning</t>
        </is>
      </c>
      <c r="D1593" s="1" t="n">
        <v>45078</v>
      </c>
      <c r="E1593" s="1" t="n">
        <v>46326</v>
      </c>
      <c r="F1593" t="inlineStr">
        <is>
          <t>GÄVLEBORGS LÄN</t>
        </is>
      </c>
      <c r="G1593" t="inlineStr">
        <is>
          <t>LJUSDAL</t>
        </is>
      </c>
      <c r="I1593" t="n">
        <v>3.8</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29928-2024</t>
        </is>
      </c>
      <c r="B1594" t="inlineStr">
        <is>
          <t>avverkningsanmälan</t>
        </is>
      </c>
      <c r="C1594" t="inlineStr">
        <is>
          <t>Föryngringsavverkning</t>
        </is>
      </c>
      <c r="D1594" s="1" t="n">
        <v>45488</v>
      </c>
      <c r="E1594" s="1" t="n">
        <v>46326</v>
      </c>
      <c r="F1594" t="inlineStr">
        <is>
          <t>GÄVLEBORGS LÄN</t>
        </is>
      </c>
      <c r="G1594" t="inlineStr">
        <is>
          <t>SANDVIKEN</t>
        </is>
      </c>
      <c r="I1594" t="n">
        <v>1.5</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18279-2023</t>
        </is>
      </c>
      <c r="B1595" t="inlineStr">
        <is>
          <t>avverkningsanmälan</t>
        </is>
      </c>
      <c r="C1595" t="inlineStr">
        <is>
          <t>Föryngringsavverkning</t>
        </is>
      </c>
      <c r="D1595" s="1" t="n">
        <v>45041</v>
      </c>
      <c r="E1595" s="1" t="n">
        <v>46326</v>
      </c>
      <c r="F1595" t="inlineStr">
        <is>
          <t>GÄVLEBORGS LÄN</t>
        </is>
      </c>
      <c r="G1595" t="inlineStr">
        <is>
          <t>NORDANSTIG</t>
        </is>
      </c>
      <c r="H1595" t="inlineStr">
        <is>
          <t>Holmen skog AB</t>
        </is>
      </c>
      <c r="I1595" t="n">
        <v>0.7</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14801-2023</t>
        </is>
      </c>
      <c r="B1596" t="inlineStr">
        <is>
          <t>avverkningsanmälan</t>
        </is>
      </c>
      <c r="C1596" t="inlineStr">
        <is>
          <t>Föryngringsavverkning</t>
        </is>
      </c>
      <c r="D1596" s="1" t="n">
        <v>45014</v>
      </c>
      <c r="E1596" s="1" t="n">
        <v>46326</v>
      </c>
      <c r="F1596" t="inlineStr">
        <is>
          <t>GÄVLEBORGS LÄN</t>
        </is>
      </c>
      <c r="G1596" t="inlineStr">
        <is>
          <t>GÄVLE</t>
        </is>
      </c>
      <c r="I1596" t="n">
        <v>1.5</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53719-2024</t>
        </is>
      </c>
      <c r="B1597" t="inlineStr">
        <is>
          <t>avverkningsanmälan</t>
        </is>
      </c>
      <c r="C1597" t="inlineStr">
        <is>
          <t>Föryngringsavverkning</t>
        </is>
      </c>
      <c r="D1597" s="1" t="n">
        <v>45615</v>
      </c>
      <c r="E1597" s="1" t="n">
        <v>46326</v>
      </c>
      <c r="F1597" t="inlineStr">
        <is>
          <t>GÄVLEBORGS LÄN</t>
        </is>
      </c>
      <c r="G1597" t="inlineStr">
        <is>
          <t>SANDVIKEN</t>
        </is>
      </c>
      <c r="I1597" t="n">
        <v>0.5</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44009-2023</t>
        </is>
      </c>
      <c r="B1598" t="inlineStr">
        <is>
          <t>avverkningsanmälan</t>
        </is>
      </c>
      <c r="C1598" t="inlineStr">
        <is>
          <t>Föryngringsavverkning</t>
        </is>
      </c>
      <c r="D1598" s="1" t="n">
        <v>45188</v>
      </c>
      <c r="E1598" s="1" t="n">
        <v>46326</v>
      </c>
      <c r="F1598" t="inlineStr">
        <is>
          <t>GÄVLEBORGS LÄN</t>
        </is>
      </c>
      <c r="G1598" t="inlineStr">
        <is>
          <t>NORDANSTIG</t>
        </is>
      </c>
      <c r="H1598" t="inlineStr">
        <is>
          <t>Holmen skog AB</t>
        </is>
      </c>
      <c r="I1598" t="n">
        <v>4.1</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2056-2025</t>
        </is>
      </c>
      <c r="B1599" t="inlineStr">
        <is>
          <t>avverkningsanmälan</t>
        </is>
      </c>
      <c r="C1599" t="inlineStr">
        <is>
          <t>Föryngringsavverkning</t>
        </is>
      </c>
      <c r="D1599" s="1" t="n">
        <v>45672</v>
      </c>
      <c r="E1599" s="1" t="n">
        <v>46326</v>
      </c>
      <c r="F1599" t="inlineStr">
        <is>
          <t>GÄVLEBORGS LÄN</t>
        </is>
      </c>
      <c r="G1599" t="inlineStr">
        <is>
          <t>LJUSDAL</t>
        </is>
      </c>
      <c r="I1599" t="n">
        <v>1.2</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34427-2022</t>
        </is>
      </c>
      <c r="B1600" t="inlineStr">
        <is>
          <t>avverkningsanmälan</t>
        </is>
      </c>
      <c r="C1600" t="inlineStr">
        <is>
          <t>Föryngringsavverkning</t>
        </is>
      </c>
      <c r="D1600" s="1" t="n">
        <v>44792</v>
      </c>
      <c r="E1600" s="1" t="n">
        <v>46326</v>
      </c>
      <c r="F1600" t="inlineStr">
        <is>
          <t>GÄVLEBORGS LÄN</t>
        </is>
      </c>
      <c r="G1600" t="inlineStr">
        <is>
          <t>HUDIKSVALL</t>
        </is>
      </c>
      <c r="H1600" t="inlineStr">
        <is>
          <t>Holmen skog AB</t>
        </is>
      </c>
      <c r="I1600" t="n">
        <v>0.9</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54945-2022</t>
        </is>
      </c>
      <c r="B1601" t="inlineStr">
        <is>
          <t>avverkningsanmälan</t>
        </is>
      </c>
      <c r="C1601" t="inlineStr">
        <is>
          <t>Föryngringsavverkning</t>
        </is>
      </c>
      <c r="D1601" s="1" t="n">
        <v>44886</v>
      </c>
      <c r="E1601" s="1" t="n">
        <v>46326</v>
      </c>
      <c r="F1601" t="inlineStr">
        <is>
          <t>GÄVLEBORGS LÄN</t>
        </is>
      </c>
      <c r="G1601" t="inlineStr">
        <is>
          <t>BOLLNÄS</t>
        </is>
      </c>
      <c r="I1601" t="n">
        <v>1.2</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44339-2024</t>
        </is>
      </c>
      <c r="B1602" t="inlineStr">
        <is>
          <t>avverkningsanmälan</t>
        </is>
      </c>
      <c r="C1602" t="inlineStr">
        <is>
          <t>Föryngringsavverkning</t>
        </is>
      </c>
      <c r="D1602" s="1" t="n">
        <v>45573</v>
      </c>
      <c r="E1602" s="1" t="n">
        <v>46326</v>
      </c>
      <c r="F1602" t="inlineStr">
        <is>
          <t>GÄVLEBORGS LÄN</t>
        </is>
      </c>
      <c r="G1602" t="inlineStr">
        <is>
          <t>NORDANSTIG</t>
        </is>
      </c>
      <c r="I1602" t="n">
        <v>10.7</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9191-2022</t>
        </is>
      </c>
      <c r="B1603" t="inlineStr">
        <is>
          <t>avverkningsanmälan</t>
        </is>
      </c>
      <c r="C1603" t="inlineStr">
        <is>
          <t>Föryngringsavverkning</t>
        </is>
      </c>
      <c r="D1603" s="1" t="n">
        <v>44615</v>
      </c>
      <c r="E1603" s="1" t="n">
        <v>46326</v>
      </c>
      <c r="F1603" t="inlineStr">
        <is>
          <t>GÄVLEBORGS LÄN</t>
        </is>
      </c>
      <c r="G1603" t="inlineStr">
        <is>
          <t>LJUSDAL</t>
        </is>
      </c>
      <c r="I1603" t="n">
        <v>1.5</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17665-2025</t>
        </is>
      </c>
      <c r="B1604" t="inlineStr">
        <is>
          <t>avverkningsanmälan</t>
        </is>
      </c>
      <c r="C1604" t="inlineStr">
        <is>
          <t>Föryngringsavverkning</t>
        </is>
      </c>
      <c r="D1604" s="1" t="n">
        <v>45758</v>
      </c>
      <c r="E1604" s="1" t="n">
        <v>46326</v>
      </c>
      <c r="F1604" t="inlineStr">
        <is>
          <t>GÄVLEBORGS LÄN</t>
        </is>
      </c>
      <c r="G1604" t="inlineStr">
        <is>
          <t>OVANÅKER</t>
        </is>
      </c>
      <c r="H1604" t="inlineStr">
        <is>
          <t>Sveaskog</t>
        </is>
      </c>
      <c r="I1604" t="n">
        <v>1.8</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17668-2025</t>
        </is>
      </c>
      <c r="B1605" t="inlineStr">
        <is>
          <t>avverkningsanmälan</t>
        </is>
      </c>
      <c r="C1605" t="inlineStr">
        <is>
          <t>Föryngringsavverkning</t>
        </is>
      </c>
      <c r="D1605" s="1" t="n">
        <v>45758</v>
      </c>
      <c r="E1605" s="1" t="n">
        <v>46326</v>
      </c>
      <c r="F1605" t="inlineStr">
        <is>
          <t>GÄVLEBORGS LÄN</t>
        </is>
      </c>
      <c r="G1605" t="inlineStr">
        <is>
          <t>OVANÅKER</t>
        </is>
      </c>
      <c r="H1605" t="inlineStr">
        <is>
          <t>Sveaskog</t>
        </is>
      </c>
      <c r="I1605" t="n">
        <v>8.199999999999999</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62465-2021</t>
        </is>
      </c>
      <c r="B1606" t="inlineStr">
        <is>
          <t>avverkningsanmälan</t>
        </is>
      </c>
      <c r="C1606" t="inlineStr">
        <is>
          <t>Föryngringsavverkning</t>
        </is>
      </c>
      <c r="D1606" s="1" t="n">
        <v>44503</v>
      </c>
      <c r="E1606" s="1" t="n">
        <v>46326</v>
      </c>
      <c r="F1606" t="inlineStr">
        <is>
          <t>GÄVLEBORGS LÄN</t>
        </is>
      </c>
      <c r="G1606" t="inlineStr">
        <is>
          <t>NORDANSTIG</t>
        </is>
      </c>
      <c r="I1606" t="n">
        <v>3.1</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21941-2022</t>
        </is>
      </c>
      <c r="B1607" t="inlineStr">
        <is>
          <t>avverkningsanmälan</t>
        </is>
      </c>
      <c r="C1607" t="inlineStr">
        <is>
          <t>Föryngringsavverkning</t>
        </is>
      </c>
      <c r="D1607" s="1" t="n">
        <v>44711</v>
      </c>
      <c r="E1607" s="1" t="n">
        <v>46326</v>
      </c>
      <c r="F1607" t="inlineStr">
        <is>
          <t>GÄVLEBORGS LÄN</t>
        </is>
      </c>
      <c r="G1607" t="inlineStr">
        <is>
          <t>LJUSDAL</t>
        </is>
      </c>
      <c r="H1607" t="inlineStr">
        <is>
          <t>Bergvik skog väst AB</t>
        </is>
      </c>
      <c r="I1607" t="n">
        <v>1.4</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36521-2022</t>
        </is>
      </c>
      <c r="B1608" t="inlineStr">
        <is>
          <t>avverkningsanmälan</t>
        </is>
      </c>
      <c r="C1608" t="inlineStr">
        <is>
          <t>Föryngringsavverkning</t>
        </is>
      </c>
      <c r="D1608" s="1" t="n">
        <v>44804</v>
      </c>
      <c r="E1608" s="1" t="n">
        <v>46326</v>
      </c>
      <c r="F1608" t="inlineStr">
        <is>
          <t>GÄVLEBORGS LÄN</t>
        </is>
      </c>
      <c r="G1608" t="inlineStr">
        <is>
          <t>OCKELBO</t>
        </is>
      </c>
      <c r="I1608" t="n">
        <v>1</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53139-2024</t>
        </is>
      </c>
      <c r="B1609" t="inlineStr">
        <is>
          <t>avverkningsanmälan</t>
        </is>
      </c>
      <c r="C1609" t="inlineStr">
        <is>
          <t>Föryngringsavverkning</t>
        </is>
      </c>
      <c r="D1609" s="1" t="n">
        <v>45611</v>
      </c>
      <c r="E1609" s="1" t="n">
        <v>46326</v>
      </c>
      <c r="F1609" t="inlineStr">
        <is>
          <t>GÄVLEBORGS LÄN</t>
        </is>
      </c>
      <c r="G1609" t="inlineStr">
        <is>
          <t>OCKELBO</t>
        </is>
      </c>
      <c r="H1609" t="inlineStr">
        <is>
          <t>Bergvik skog väst AB</t>
        </is>
      </c>
      <c r="I1609" t="n">
        <v>4.1</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56215-2024</t>
        </is>
      </c>
      <c r="B1610" t="inlineStr">
        <is>
          <t>avverkningsanmälan</t>
        </is>
      </c>
      <c r="C1610" t="inlineStr">
        <is>
          <t>Avverkning för annat ändamål</t>
        </is>
      </c>
      <c r="D1610" s="1" t="n">
        <v>45624</v>
      </c>
      <c r="E1610" s="1" t="n">
        <v>46326</v>
      </c>
      <c r="F1610" t="inlineStr">
        <is>
          <t>GÄVLEBORGS LÄN</t>
        </is>
      </c>
      <c r="G1610" t="inlineStr">
        <is>
          <t>HUDIKSVALL</t>
        </is>
      </c>
      <c r="H1610" t="inlineStr">
        <is>
          <t>Holmen skog AB</t>
        </is>
      </c>
      <c r="I1610" t="n">
        <v>1.6</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48369-2022</t>
        </is>
      </c>
      <c r="B1611" t="inlineStr">
        <is>
          <t>avverkningsanmälan</t>
        </is>
      </c>
      <c r="C1611" t="inlineStr">
        <is>
          <t>Föryngringsavverkning</t>
        </is>
      </c>
      <c r="D1611" s="1" t="n">
        <v>44858</v>
      </c>
      <c r="E1611" s="1" t="n">
        <v>46326</v>
      </c>
      <c r="F1611" t="inlineStr">
        <is>
          <t>GÄVLEBORGS LÄN</t>
        </is>
      </c>
      <c r="G1611" t="inlineStr">
        <is>
          <t>OVANÅKER</t>
        </is>
      </c>
      <c r="I1611" t="n">
        <v>1.5</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17179-2025</t>
        </is>
      </c>
      <c r="B1612" t="inlineStr">
        <is>
          <t>avverkningsanmälan</t>
        </is>
      </c>
      <c r="C1612" t="inlineStr">
        <is>
          <t>Föryngringsavverkning</t>
        </is>
      </c>
      <c r="D1612" s="1" t="n">
        <v>45755</v>
      </c>
      <c r="E1612" s="1" t="n">
        <v>46326</v>
      </c>
      <c r="F1612" t="inlineStr">
        <is>
          <t>GÄVLEBORGS LÄN</t>
        </is>
      </c>
      <c r="G1612" t="inlineStr">
        <is>
          <t>HOFORS</t>
        </is>
      </c>
      <c r="H1612" t="inlineStr">
        <is>
          <t>Bergvik skog väst AB</t>
        </is>
      </c>
      <c r="I1612" t="n">
        <v>1.3</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27051-2022</t>
        </is>
      </c>
      <c r="B1613" t="inlineStr">
        <is>
          <t>avverkningsanmälan</t>
        </is>
      </c>
      <c r="C1613" t="inlineStr">
        <is>
          <t>Föryngringsavverkning</t>
        </is>
      </c>
      <c r="D1613" s="1" t="n">
        <v>44741</v>
      </c>
      <c r="E1613" s="1" t="n">
        <v>46326</v>
      </c>
      <c r="F1613" t="inlineStr">
        <is>
          <t>GÄVLEBORGS LÄN</t>
        </is>
      </c>
      <c r="G1613" t="inlineStr">
        <is>
          <t>HUDIKSVALL</t>
        </is>
      </c>
      <c r="I1613" t="n">
        <v>2.2</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64225-2021</t>
        </is>
      </c>
      <c r="B1614" t="inlineStr">
        <is>
          <t>avverkningsanmälan</t>
        </is>
      </c>
      <c r="C1614" t="inlineStr">
        <is>
          <t>Föryngringsavverkning</t>
        </is>
      </c>
      <c r="D1614" s="1" t="n">
        <v>44510</v>
      </c>
      <c r="E1614" s="1" t="n">
        <v>46326</v>
      </c>
      <c r="F1614" t="inlineStr">
        <is>
          <t>GÄVLEBORGS LÄN</t>
        </is>
      </c>
      <c r="G1614" t="inlineStr">
        <is>
          <t>SANDVIKEN</t>
        </is>
      </c>
      <c r="I1614" t="n">
        <v>3.2</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19818-2025</t>
        </is>
      </c>
      <c r="B1615" t="inlineStr">
        <is>
          <t>avverkningsanmälan</t>
        </is>
      </c>
      <c r="C1615" t="inlineStr">
        <is>
          <t>Föryngringsavverkning</t>
        </is>
      </c>
      <c r="D1615" s="1" t="n">
        <v>45771</v>
      </c>
      <c r="E1615" s="1" t="n">
        <v>46326</v>
      </c>
      <c r="F1615" t="inlineStr">
        <is>
          <t>GÄVLEBORGS LÄN</t>
        </is>
      </c>
      <c r="G1615" t="inlineStr">
        <is>
          <t>OVANÅKER</t>
        </is>
      </c>
      <c r="I1615" t="n">
        <v>3.2</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35498-2024</t>
        </is>
      </c>
      <c r="B1616" t="inlineStr">
        <is>
          <t>avverkningsanmälan</t>
        </is>
      </c>
      <c r="C1616" t="inlineStr">
        <is>
          <t>Föryngringsavverkning</t>
        </is>
      </c>
      <c r="D1616" s="1" t="n">
        <v>45531</v>
      </c>
      <c r="E1616" s="1" t="n">
        <v>46326</v>
      </c>
      <c r="F1616" t="inlineStr">
        <is>
          <t>GÄVLEBORGS LÄN</t>
        </is>
      </c>
      <c r="G1616" t="inlineStr">
        <is>
          <t>HOFORS</t>
        </is>
      </c>
      <c r="H1616" t="inlineStr">
        <is>
          <t>Sveaskog</t>
        </is>
      </c>
      <c r="I1616" t="n">
        <v>2.7</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21999-2023</t>
        </is>
      </c>
      <c r="B1617" t="inlineStr">
        <is>
          <t>avverkningsanmälan</t>
        </is>
      </c>
      <c r="C1617" t="inlineStr">
        <is>
          <t>Föryngringsavverkning</t>
        </is>
      </c>
      <c r="D1617" s="1" t="n">
        <v>45068</v>
      </c>
      <c r="E1617" s="1" t="n">
        <v>46326</v>
      </c>
      <c r="F1617" t="inlineStr">
        <is>
          <t>GÄVLEBORGS LÄN</t>
        </is>
      </c>
      <c r="G1617" t="inlineStr">
        <is>
          <t>NORDANSTIG</t>
        </is>
      </c>
      <c r="I1617" t="n">
        <v>2.3</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42128-2023</t>
        </is>
      </c>
      <c r="B1618" t="inlineStr">
        <is>
          <t>avverkningsanmälan</t>
        </is>
      </c>
      <c r="C1618" t="inlineStr">
        <is>
          <t>Föryngringsavverkning</t>
        </is>
      </c>
      <c r="D1618" s="1" t="n">
        <v>45177</v>
      </c>
      <c r="E1618" s="1" t="n">
        <v>46326</v>
      </c>
      <c r="F1618" t="inlineStr">
        <is>
          <t>GÄVLEBORGS LÄN</t>
        </is>
      </c>
      <c r="G1618" t="inlineStr">
        <is>
          <t>HUDIKSVALL</t>
        </is>
      </c>
      <c r="H1618" t="inlineStr">
        <is>
          <t>Holmen skog AB</t>
        </is>
      </c>
      <c r="I1618" t="n">
        <v>9.1</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5408-2023</t>
        </is>
      </c>
      <c r="B1619" t="inlineStr">
        <is>
          <t>avverkningsanmälan</t>
        </is>
      </c>
      <c r="C1619" t="inlineStr">
        <is>
          <t>Föryngringsavverkning</t>
        </is>
      </c>
      <c r="D1619" s="1" t="n">
        <v>44959</v>
      </c>
      <c r="E1619" s="1" t="n">
        <v>46326</v>
      </c>
      <c r="F1619" t="inlineStr">
        <is>
          <t>GÄVLEBORGS LÄN</t>
        </is>
      </c>
      <c r="G1619" t="inlineStr">
        <is>
          <t>GÄVLE</t>
        </is>
      </c>
      <c r="I1619" t="n">
        <v>0.3</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18288-2023</t>
        </is>
      </c>
      <c r="B1620" t="inlineStr">
        <is>
          <t>avverkningsanmälan</t>
        </is>
      </c>
      <c r="C1620" t="inlineStr">
        <is>
          <t>Föryngringsavverkning</t>
        </is>
      </c>
      <c r="D1620" s="1" t="n">
        <v>45041</v>
      </c>
      <c r="E1620" s="1" t="n">
        <v>46326</v>
      </c>
      <c r="F1620" t="inlineStr">
        <is>
          <t>GÄVLEBORGS LÄN</t>
        </is>
      </c>
      <c r="G1620" t="inlineStr">
        <is>
          <t>NORDANSTIG</t>
        </is>
      </c>
      <c r="H1620" t="inlineStr">
        <is>
          <t>Holmen skog AB</t>
        </is>
      </c>
      <c r="I1620" t="n">
        <v>4.4</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56494-2024</t>
        </is>
      </c>
      <c r="B1621" t="inlineStr">
        <is>
          <t>avverkningsanmälan</t>
        </is>
      </c>
      <c r="C1621" t="inlineStr">
        <is>
          <t>Föryngringsavverkning</t>
        </is>
      </c>
      <c r="D1621" s="1" t="n">
        <v>45625</v>
      </c>
      <c r="E1621" s="1" t="n">
        <v>46326</v>
      </c>
      <c r="F1621" t="inlineStr">
        <is>
          <t>GÄVLEBORGS LÄN</t>
        </is>
      </c>
      <c r="G1621" t="inlineStr">
        <is>
          <t>NORDANSTIG</t>
        </is>
      </c>
      <c r="I1621" t="n">
        <v>10.1</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13085-2023</t>
        </is>
      </c>
      <c r="B1622" t="inlineStr">
        <is>
          <t>avverkningsanmälan</t>
        </is>
      </c>
      <c r="C1622" t="inlineStr">
        <is>
          <t>Föryngringsavverkning</t>
        </is>
      </c>
      <c r="D1622" s="1" t="n">
        <v>45002</v>
      </c>
      <c r="E1622" s="1" t="n">
        <v>46326</v>
      </c>
      <c r="F1622" t="inlineStr">
        <is>
          <t>GÄVLEBORGS LÄN</t>
        </is>
      </c>
      <c r="G1622" t="inlineStr">
        <is>
          <t>HUDIKSVALL</t>
        </is>
      </c>
      <c r="H1622" t="inlineStr">
        <is>
          <t>Holmen skog AB</t>
        </is>
      </c>
      <c r="I1622" t="n">
        <v>2</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49607-2022</t>
        </is>
      </c>
      <c r="B1623" t="inlineStr">
        <is>
          <t>avverkningsanmälan</t>
        </is>
      </c>
      <c r="C1623" t="inlineStr">
        <is>
          <t>Föryngringsavverkning</t>
        </is>
      </c>
      <c r="D1623" s="1" t="n">
        <v>44862</v>
      </c>
      <c r="E1623" s="1" t="n">
        <v>46326</v>
      </c>
      <c r="F1623" t="inlineStr">
        <is>
          <t>GÄVLEBORGS LÄN</t>
        </is>
      </c>
      <c r="G1623" t="inlineStr">
        <is>
          <t>NORDANSTIG</t>
        </is>
      </c>
      <c r="I1623" t="n">
        <v>1.5</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68342-2021</t>
        </is>
      </c>
      <c r="B1624" t="inlineStr">
        <is>
          <t>avverkningsanmälan</t>
        </is>
      </c>
      <c r="C1624" t="inlineStr">
        <is>
          <t>Föryngringsavverkning</t>
        </is>
      </c>
      <c r="D1624" s="1" t="n">
        <v>44528</v>
      </c>
      <c r="E1624" s="1" t="n">
        <v>46326</v>
      </c>
      <c r="F1624" t="inlineStr">
        <is>
          <t>GÄVLEBORGS LÄN</t>
        </is>
      </c>
      <c r="G1624" t="inlineStr">
        <is>
          <t>HUDIKSVALL</t>
        </is>
      </c>
      <c r="I1624" t="n">
        <v>1</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53138-2024</t>
        </is>
      </c>
      <c r="B1625" t="inlineStr">
        <is>
          <t>avverkningsanmälan</t>
        </is>
      </c>
      <c r="C1625" t="inlineStr">
        <is>
          <t>Föryngringsavverkning</t>
        </is>
      </c>
      <c r="D1625" s="1" t="n">
        <v>45611</v>
      </c>
      <c r="E1625" s="1" t="n">
        <v>46326</v>
      </c>
      <c r="F1625" t="inlineStr">
        <is>
          <t>GÄVLEBORGS LÄN</t>
        </is>
      </c>
      <c r="G1625" t="inlineStr">
        <is>
          <t>GÄVLE</t>
        </is>
      </c>
      <c r="I1625" t="n">
        <v>1.5</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29813-2023</t>
        </is>
      </c>
      <c r="B1626" t="inlineStr">
        <is>
          <t>avverkningsanmälan</t>
        </is>
      </c>
      <c r="C1626" t="inlineStr">
        <is>
          <t>Föryngringsavverkning</t>
        </is>
      </c>
      <c r="D1626" s="1" t="n">
        <v>45107</v>
      </c>
      <c r="E1626" s="1" t="n">
        <v>46326</v>
      </c>
      <c r="F1626" t="inlineStr">
        <is>
          <t>GÄVLEBORGS LÄN</t>
        </is>
      </c>
      <c r="G1626" t="inlineStr">
        <is>
          <t>SÖDERHAMN</t>
        </is>
      </c>
      <c r="I1626" t="n">
        <v>0.4</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21346-2024</t>
        </is>
      </c>
      <c r="B1627" t="inlineStr">
        <is>
          <t>avverkningsanmälan</t>
        </is>
      </c>
      <c r="C1627" t="inlineStr">
        <is>
          <t>Föryngringsavverkning</t>
        </is>
      </c>
      <c r="D1627" s="1" t="n">
        <v>45440</v>
      </c>
      <c r="E1627" s="1" t="n">
        <v>46326</v>
      </c>
      <c r="F1627" t="inlineStr">
        <is>
          <t>GÄVLEBORGS LÄN</t>
        </is>
      </c>
      <c r="G1627" t="inlineStr">
        <is>
          <t>LJUSDAL</t>
        </is>
      </c>
      <c r="I1627" t="n">
        <v>2.5</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35053-2022</t>
        </is>
      </c>
      <c r="B1628" t="inlineStr">
        <is>
          <t>avverkningsanmälan</t>
        </is>
      </c>
      <c r="C1628" t="inlineStr">
        <is>
          <t>Föryngringsavverkning</t>
        </is>
      </c>
      <c r="D1628" s="1" t="n">
        <v>44797</v>
      </c>
      <c r="E1628" s="1" t="n">
        <v>46326</v>
      </c>
      <c r="F1628" t="inlineStr">
        <is>
          <t>GÄVLEBORGS LÄN</t>
        </is>
      </c>
      <c r="G1628" t="inlineStr">
        <is>
          <t>OVANÅKER</t>
        </is>
      </c>
      <c r="I1628" t="n">
        <v>2.2</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21347-2024</t>
        </is>
      </c>
      <c r="B1629" t="inlineStr">
        <is>
          <t>avverkningsanmälan</t>
        </is>
      </c>
      <c r="C1629" t="inlineStr">
        <is>
          <t>Föryngringsavverkning</t>
        </is>
      </c>
      <c r="D1629" s="1" t="n">
        <v>45440</v>
      </c>
      <c r="E1629" s="1" t="n">
        <v>46326</v>
      </c>
      <c r="F1629" t="inlineStr">
        <is>
          <t>GÄVLEBORGS LÄN</t>
        </is>
      </c>
      <c r="G1629" t="inlineStr">
        <is>
          <t>LJUSDAL</t>
        </is>
      </c>
      <c r="I1629" t="n">
        <v>2.8</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16768-2024</t>
        </is>
      </c>
      <c r="B1630" t="inlineStr">
        <is>
          <t>avverkningsanmälan</t>
        </is>
      </c>
      <c r="C1630" t="inlineStr">
        <is>
          <t>Föryngringsavverkning</t>
        </is>
      </c>
      <c r="D1630" s="1" t="n">
        <v>45411</v>
      </c>
      <c r="E1630" s="1" t="n">
        <v>46326</v>
      </c>
      <c r="F1630" t="inlineStr">
        <is>
          <t>GÄVLEBORGS LÄN</t>
        </is>
      </c>
      <c r="G1630" t="inlineStr">
        <is>
          <t>HUDIKSVALL</t>
        </is>
      </c>
      <c r="H1630" t="inlineStr">
        <is>
          <t>Holmen skog AB</t>
        </is>
      </c>
      <c r="I1630" t="n">
        <v>0.6</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16827-2024</t>
        </is>
      </c>
      <c r="B1631" t="inlineStr">
        <is>
          <t>avverkningsanmälan</t>
        </is>
      </c>
      <c r="C1631" t="inlineStr">
        <is>
          <t>Föryngringsavverkning</t>
        </is>
      </c>
      <c r="D1631" s="1" t="n">
        <v>45411</v>
      </c>
      <c r="E1631" s="1" t="n">
        <v>46326</v>
      </c>
      <c r="F1631" t="inlineStr">
        <is>
          <t>GÄVLEBORGS LÄN</t>
        </is>
      </c>
      <c r="G1631" t="inlineStr">
        <is>
          <t>HUDIKSVALL</t>
        </is>
      </c>
      <c r="H1631" t="inlineStr">
        <is>
          <t>Holmen skog AB</t>
        </is>
      </c>
      <c r="I1631" t="n">
        <v>5.9</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2611-2022</t>
        </is>
      </c>
      <c r="B1632" t="inlineStr">
        <is>
          <t>avverkningsanmälan</t>
        </is>
      </c>
      <c r="C1632" t="inlineStr">
        <is>
          <t>Föryngringsavverkning</t>
        </is>
      </c>
      <c r="D1632" s="1" t="n">
        <v>44580</v>
      </c>
      <c r="E1632" s="1" t="n">
        <v>46326</v>
      </c>
      <c r="F1632" t="inlineStr">
        <is>
          <t>GÄVLEBORGS LÄN</t>
        </is>
      </c>
      <c r="G1632" t="inlineStr">
        <is>
          <t>BOLLNÄS</t>
        </is>
      </c>
      <c r="I1632" t="n">
        <v>1.4</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205-2025</t>
        </is>
      </c>
      <c r="B1633" t="inlineStr">
        <is>
          <t>avverkningsanmälan</t>
        </is>
      </c>
      <c r="C1633" t="inlineStr">
        <is>
          <t>Föryngringsavverkning</t>
        </is>
      </c>
      <c r="D1633" s="1" t="n">
        <v>45660</v>
      </c>
      <c r="E1633" s="1" t="n">
        <v>46326</v>
      </c>
      <c r="F1633" t="inlineStr">
        <is>
          <t>GÄVLEBORGS LÄN</t>
        </is>
      </c>
      <c r="G1633" t="inlineStr">
        <is>
          <t>LJUSDAL</t>
        </is>
      </c>
      <c r="I1633" t="n">
        <v>1.7</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6096-2022</t>
        </is>
      </c>
      <c r="B1634" t="inlineStr">
        <is>
          <t>avverkningsanmälan</t>
        </is>
      </c>
      <c r="C1634" t="inlineStr">
        <is>
          <t>Föryngringsavverkning</t>
        </is>
      </c>
      <c r="D1634" s="1" t="n">
        <v>44599</v>
      </c>
      <c r="E1634" s="1" t="n">
        <v>46326</v>
      </c>
      <c r="F1634" t="inlineStr">
        <is>
          <t>GÄVLEBORGS LÄN</t>
        </is>
      </c>
      <c r="G1634" t="inlineStr">
        <is>
          <t>NORDANSTIG</t>
        </is>
      </c>
      <c r="I1634" t="n">
        <v>1.5</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59476-2022</t>
        </is>
      </c>
      <c r="B1635" t="inlineStr">
        <is>
          <t>avverkningsanmälan</t>
        </is>
      </c>
      <c r="C1635" t="inlineStr">
        <is>
          <t>Föryngringsavverkning</t>
        </is>
      </c>
      <c r="D1635" s="1" t="n">
        <v>44907</v>
      </c>
      <c r="E1635" s="1" t="n">
        <v>46326</v>
      </c>
      <c r="F1635" t="inlineStr">
        <is>
          <t>GÄVLEBORGS LÄN</t>
        </is>
      </c>
      <c r="G1635" t="inlineStr">
        <is>
          <t>SÖDERHAMN</t>
        </is>
      </c>
      <c r="I1635" t="n">
        <v>1.7</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6367-2025</t>
        </is>
      </c>
      <c r="B1636" t="inlineStr">
        <is>
          <t>avverkningsanmälan</t>
        </is>
      </c>
      <c r="C1636" t="inlineStr">
        <is>
          <t>Föryngringsavverkning</t>
        </is>
      </c>
      <c r="D1636" s="1" t="n">
        <v>45699</v>
      </c>
      <c r="E1636" s="1" t="n">
        <v>46326</v>
      </c>
      <c r="F1636" t="inlineStr">
        <is>
          <t>GÄVLEBORGS LÄN</t>
        </is>
      </c>
      <c r="G1636" t="inlineStr">
        <is>
          <t>GÄVLE</t>
        </is>
      </c>
      <c r="I1636" t="n">
        <v>3.5</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41451-2023</t>
        </is>
      </c>
      <c r="B1637" t="inlineStr">
        <is>
          <t>avverkningsanmälan</t>
        </is>
      </c>
      <c r="C1637" t="inlineStr">
        <is>
          <t>Föryngringsavverkning</t>
        </is>
      </c>
      <c r="D1637" s="1" t="n">
        <v>45175</v>
      </c>
      <c r="E1637" s="1" t="n">
        <v>46326</v>
      </c>
      <c r="F1637" t="inlineStr">
        <is>
          <t>GÄVLEBORGS LÄN</t>
        </is>
      </c>
      <c r="G1637" t="inlineStr">
        <is>
          <t>OVANÅKER</t>
        </is>
      </c>
      <c r="I1637" t="n">
        <v>2.2</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56232-2022</t>
        </is>
      </c>
      <c r="B1638" t="inlineStr">
        <is>
          <t>avverkningsanmälan</t>
        </is>
      </c>
      <c r="C1638" t="inlineStr">
        <is>
          <t>Föryngringsavverkning</t>
        </is>
      </c>
      <c r="D1638" s="1" t="n">
        <v>44890</v>
      </c>
      <c r="E1638" s="1" t="n">
        <v>46326</v>
      </c>
      <c r="F1638" t="inlineStr">
        <is>
          <t>GÄVLEBORGS LÄN</t>
        </is>
      </c>
      <c r="G1638" t="inlineStr">
        <is>
          <t>OCKELBO</t>
        </is>
      </c>
      <c r="I1638" t="n">
        <v>1.6</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60428-2024</t>
        </is>
      </c>
      <c r="B1639" t="inlineStr">
        <is>
          <t>avverkningsanmälan</t>
        </is>
      </c>
      <c r="C1639" t="inlineStr">
        <is>
          <t>Avverkning för annat ändamål</t>
        </is>
      </c>
      <c r="D1639" s="1" t="n">
        <v>45643</v>
      </c>
      <c r="E1639" s="1" t="n">
        <v>46326</v>
      </c>
      <c r="F1639" t="inlineStr">
        <is>
          <t>GÄVLEBORGS LÄN</t>
        </is>
      </c>
      <c r="G1639" t="inlineStr">
        <is>
          <t>BOLLNÄS</t>
        </is>
      </c>
      <c r="I1639" t="n">
        <v>5.5</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27620-2024</t>
        </is>
      </c>
      <c r="B1640" t="inlineStr">
        <is>
          <t>avverkningsanmälan</t>
        </is>
      </c>
      <c r="C1640" t="inlineStr">
        <is>
          <t>Föryngringsavverkning</t>
        </is>
      </c>
      <c r="D1640" s="1" t="n">
        <v>45474</v>
      </c>
      <c r="E1640" s="1" t="n">
        <v>46326</v>
      </c>
      <c r="F1640" t="inlineStr">
        <is>
          <t>GÄVLEBORGS LÄN</t>
        </is>
      </c>
      <c r="G1640" t="inlineStr">
        <is>
          <t>HUDIKSVALL</t>
        </is>
      </c>
      <c r="H1640" t="inlineStr">
        <is>
          <t>Holmen skog AB</t>
        </is>
      </c>
      <c r="I1640" t="n">
        <v>11.7</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56754-2022</t>
        </is>
      </c>
      <c r="B1641" t="inlineStr">
        <is>
          <t>avverkningsanmälan</t>
        </is>
      </c>
      <c r="C1641" t="inlineStr">
        <is>
          <t>Avverkning för annat ändamål</t>
        </is>
      </c>
      <c r="D1641" s="1" t="n">
        <v>44894</v>
      </c>
      <c r="E1641" s="1" t="n">
        <v>46326</v>
      </c>
      <c r="F1641" t="inlineStr">
        <is>
          <t>GÄVLEBORGS LÄN</t>
        </is>
      </c>
      <c r="G1641" t="inlineStr">
        <is>
          <t>HUDIKSVALL</t>
        </is>
      </c>
      <c r="H1641" t="inlineStr">
        <is>
          <t>Holmen skog AB</t>
        </is>
      </c>
      <c r="I1641" t="n">
        <v>1.5</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29716-2023</t>
        </is>
      </c>
      <c r="B1642" t="inlineStr">
        <is>
          <t>avverkningsanmälan</t>
        </is>
      </c>
      <c r="C1642" t="inlineStr">
        <is>
          <t>Föryngringsavverkning</t>
        </is>
      </c>
      <c r="D1642" s="1" t="n">
        <v>45107</v>
      </c>
      <c r="E1642" s="1" t="n">
        <v>46326</v>
      </c>
      <c r="F1642" t="inlineStr">
        <is>
          <t>GÄVLEBORGS LÄN</t>
        </is>
      </c>
      <c r="G1642" t="inlineStr">
        <is>
          <t>BOLLNÄS</t>
        </is>
      </c>
      <c r="H1642" t="inlineStr">
        <is>
          <t>Sveaskog</t>
        </is>
      </c>
      <c r="I1642" t="n">
        <v>7.3</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5892-2025</t>
        </is>
      </c>
      <c r="B1643" t="inlineStr">
        <is>
          <t>avverkningsanmälan</t>
        </is>
      </c>
      <c r="C1643" t="inlineStr">
        <is>
          <t>Föryngringsavverkning</t>
        </is>
      </c>
      <c r="D1643" s="1" t="n">
        <v>45695</v>
      </c>
      <c r="E1643" s="1" t="n">
        <v>46326</v>
      </c>
      <c r="F1643" t="inlineStr">
        <is>
          <t>GÄVLEBORGS LÄN</t>
        </is>
      </c>
      <c r="G1643" t="inlineStr">
        <is>
          <t>HUDIKSVALL</t>
        </is>
      </c>
      <c r="H1643" t="inlineStr">
        <is>
          <t>Holmen skog AB</t>
        </is>
      </c>
      <c r="I1643" t="n">
        <v>2.1</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31404-2023</t>
        </is>
      </c>
      <c r="B1644" t="inlineStr">
        <is>
          <t>avverkningsanmälan</t>
        </is>
      </c>
      <c r="C1644" t="inlineStr">
        <is>
          <t>Föryngringsavverkning</t>
        </is>
      </c>
      <c r="D1644" s="1" t="n">
        <v>45114</v>
      </c>
      <c r="E1644" s="1" t="n">
        <v>46326</v>
      </c>
      <c r="F1644" t="inlineStr">
        <is>
          <t>GÄVLEBORGS LÄN</t>
        </is>
      </c>
      <c r="G1644" t="inlineStr">
        <is>
          <t>OVANÅKER</t>
        </is>
      </c>
      <c r="I1644" t="n">
        <v>0.7</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57977-2024</t>
        </is>
      </c>
      <c r="B1645" t="inlineStr">
        <is>
          <t>avverkningsanmälan</t>
        </is>
      </c>
      <c r="C1645" t="inlineStr">
        <is>
          <t>Föryngringsavverkning</t>
        </is>
      </c>
      <c r="D1645" s="1" t="n">
        <v>45631</v>
      </c>
      <c r="E1645" s="1" t="n">
        <v>46326</v>
      </c>
      <c r="F1645" t="inlineStr">
        <is>
          <t>GÄVLEBORGS LÄN</t>
        </is>
      </c>
      <c r="G1645" t="inlineStr">
        <is>
          <t>NORDANSTIG</t>
        </is>
      </c>
      <c r="H1645" t="inlineStr">
        <is>
          <t>Holmen skog AB</t>
        </is>
      </c>
      <c r="I1645" t="n">
        <v>1.8</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34339-2023</t>
        </is>
      </c>
      <c r="B1646" t="inlineStr">
        <is>
          <t>avverkningsanmälan</t>
        </is>
      </c>
      <c r="C1646" t="inlineStr">
        <is>
          <t>Föryngringsavverkning</t>
        </is>
      </c>
      <c r="D1646" s="1" t="n">
        <v>45139</v>
      </c>
      <c r="E1646" s="1" t="n">
        <v>46326</v>
      </c>
      <c r="F1646" t="inlineStr">
        <is>
          <t>GÄVLEBORGS LÄN</t>
        </is>
      </c>
      <c r="G1646" t="inlineStr">
        <is>
          <t>NORDANSTIG</t>
        </is>
      </c>
      <c r="H1646" t="inlineStr">
        <is>
          <t>Holmen skog AB</t>
        </is>
      </c>
      <c r="I1646" t="n">
        <v>1.6</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12228-2022</t>
        </is>
      </c>
      <c r="B1647" t="inlineStr">
        <is>
          <t>avverkningsanmälan</t>
        </is>
      </c>
      <c r="C1647" t="inlineStr">
        <is>
          <t>Föryngringsavverkning</t>
        </is>
      </c>
      <c r="D1647" s="1" t="n">
        <v>44637</v>
      </c>
      <c r="E1647" s="1" t="n">
        <v>46326</v>
      </c>
      <c r="F1647" t="inlineStr">
        <is>
          <t>GÄVLEBORGS LÄN</t>
        </is>
      </c>
      <c r="G1647" t="inlineStr">
        <is>
          <t>GÄVLE</t>
        </is>
      </c>
      <c r="I1647" t="n">
        <v>2.1</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54690-2024</t>
        </is>
      </c>
      <c r="B1648" t="inlineStr">
        <is>
          <t>avverkningsanmälan</t>
        </is>
      </c>
      <c r="C1648" t="inlineStr">
        <is>
          <t>Avverkning för att bevara och utveckla /försöksver</t>
        </is>
      </c>
      <c r="D1648" s="1" t="n">
        <v>45618</v>
      </c>
      <c r="E1648" s="1" t="n">
        <v>46326</v>
      </c>
      <c r="F1648" t="inlineStr">
        <is>
          <t>GÄVLEBORGS LÄN</t>
        </is>
      </c>
      <c r="G1648" t="inlineStr">
        <is>
          <t>HUDIKSVALL</t>
        </is>
      </c>
      <c r="H1648" t="inlineStr">
        <is>
          <t>Holmen skog AB</t>
        </is>
      </c>
      <c r="I1648" t="n">
        <v>1.4</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62339-2023</t>
        </is>
      </c>
      <c r="B1649" t="inlineStr">
        <is>
          <t>avverkningsanmälan</t>
        </is>
      </c>
      <c r="C1649" t="inlineStr">
        <is>
          <t>Föryngringsavverkning</t>
        </is>
      </c>
      <c r="D1649" s="1" t="n">
        <v>45267</v>
      </c>
      <c r="E1649" s="1" t="n">
        <v>46326</v>
      </c>
      <c r="F1649" t="inlineStr">
        <is>
          <t>GÄVLEBORGS LÄN</t>
        </is>
      </c>
      <c r="G1649" t="inlineStr">
        <is>
          <t>SÖDERHAMN</t>
        </is>
      </c>
      <c r="I1649" t="n">
        <v>2.9</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18017-2023</t>
        </is>
      </c>
      <c r="B1650" t="inlineStr">
        <is>
          <t>avverkningsanmälan</t>
        </is>
      </c>
      <c r="C1650" t="inlineStr">
        <is>
          <t>Föryngringsavverkning</t>
        </is>
      </c>
      <c r="D1650" s="1" t="n">
        <v>45040</v>
      </c>
      <c r="E1650" s="1" t="n">
        <v>46326</v>
      </c>
      <c r="F1650" t="inlineStr">
        <is>
          <t>GÄVLEBORGS LÄN</t>
        </is>
      </c>
      <c r="G1650" t="inlineStr">
        <is>
          <t>GÄVLE</t>
        </is>
      </c>
      <c r="H1650" t="inlineStr">
        <is>
          <t>Bergvik skog väst AB</t>
        </is>
      </c>
      <c r="I1650" t="n">
        <v>0.7</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50544-2023</t>
        </is>
      </c>
      <c r="B1651" t="inlineStr">
        <is>
          <t>avverkningsanmälan</t>
        </is>
      </c>
      <c r="C1651" t="inlineStr">
        <is>
          <t>Föryngringsavverkning</t>
        </is>
      </c>
      <c r="D1651" s="1" t="n">
        <v>45217</v>
      </c>
      <c r="E1651" s="1" t="n">
        <v>46326</v>
      </c>
      <c r="F1651" t="inlineStr">
        <is>
          <t>GÄVLEBORGS LÄN</t>
        </is>
      </c>
      <c r="G1651" t="inlineStr">
        <is>
          <t>BOLLNÄS</t>
        </is>
      </c>
      <c r="I1651" t="n">
        <v>1.5</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6882-2023</t>
        </is>
      </c>
      <c r="B1652" t="inlineStr">
        <is>
          <t>avverkningsanmälan</t>
        </is>
      </c>
      <c r="C1652" t="inlineStr">
        <is>
          <t>Föryngringsavverkning</t>
        </is>
      </c>
      <c r="D1652" s="1" t="n">
        <v>44967</v>
      </c>
      <c r="E1652" s="1" t="n">
        <v>46326</v>
      </c>
      <c r="F1652" t="inlineStr">
        <is>
          <t>GÄVLEBORGS LÄN</t>
        </is>
      </c>
      <c r="G1652" t="inlineStr">
        <is>
          <t>BOLLNÄS</t>
        </is>
      </c>
      <c r="I1652" t="n">
        <v>4.1</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6929-2023</t>
        </is>
      </c>
      <c r="B1653" t="inlineStr">
        <is>
          <t>avverkningsanmälan</t>
        </is>
      </c>
      <c r="C1653" t="inlineStr">
        <is>
          <t>Föryngringsavverkning</t>
        </is>
      </c>
      <c r="D1653" s="1" t="n">
        <v>44967</v>
      </c>
      <c r="E1653" s="1" t="n">
        <v>46326</v>
      </c>
      <c r="F1653" t="inlineStr">
        <is>
          <t>GÄVLEBORGS LÄN</t>
        </is>
      </c>
      <c r="G1653" t="inlineStr">
        <is>
          <t>HOFORS</t>
        </is>
      </c>
      <c r="I1653" t="n">
        <v>0.9</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257-2025</t>
        </is>
      </c>
      <c r="B1654" t="inlineStr">
        <is>
          <t>avverkningsanmälan</t>
        </is>
      </c>
      <c r="C1654" t="inlineStr">
        <is>
          <t>Föryngringsavverkning</t>
        </is>
      </c>
      <c r="D1654" s="1" t="n">
        <v>45660</v>
      </c>
      <c r="E1654" s="1" t="n">
        <v>46326</v>
      </c>
      <c r="F1654" t="inlineStr">
        <is>
          <t>GÄVLEBORGS LÄN</t>
        </is>
      </c>
      <c r="G1654" t="inlineStr">
        <is>
          <t>GÄVLE</t>
        </is>
      </c>
      <c r="I1654" t="n">
        <v>2.9</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36447-2024</t>
        </is>
      </c>
      <c r="B1655" t="inlineStr">
        <is>
          <t>avverkningsanmälan</t>
        </is>
      </c>
      <c r="C1655" t="inlineStr">
        <is>
          <t>Föryngringsavverkning</t>
        </is>
      </c>
      <c r="D1655" s="1" t="n">
        <v>45537</v>
      </c>
      <c r="E1655" s="1" t="n">
        <v>46326</v>
      </c>
      <c r="F1655" t="inlineStr">
        <is>
          <t>GÄVLEBORGS LÄN</t>
        </is>
      </c>
      <c r="G1655" t="inlineStr">
        <is>
          <t>LJUSDAL</t>
        </is>
      </c>
      <c r="H1655" t="inlineStr">
        <is>
          <t>Sveaskog</t>
        </is>
      </c>
      <c r="I1655" t="n">
        <v>1.2</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3271-2025</t>
        </is>
      </c>
      <c r="B1656" t="inlineStr">
        <is>
          <t>avverkningsanmälan</t>
        </is>
      </c>
      <c r="C1656" t="inlineStr">
        <is>
          <t>Föryngringsavverkning</t>
        </is>
      </c>
      <c r="D1656" s="1" t="n">
        <v>45679</v>
      </c>
      <c r="E1656" s="1" t="n">
        <v>46326</v>
      </c>
      <c r="F1656" t="inlineStr">
        <is>
          <t>GÄVLEBORGS LÄN</t>
        </is>
      </c>
      <c r="G1656" t="inlineStr">
        <is>
          <t>BOLLNÄS</t>
        </is>
      </c>
      <c r="I1656" t="n">
        <v>2.5</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19113-2024</t>
        </is>
      </c>
      <c r="B1657" t="inlineStr">
        <is>
          <t>avverkningsanmälan</t>
        </is>
      </c>
      <c r="C1657" t="inlineStr">
        <is>
          <t>Föryngringsavverkning</t>
        </is>
      </c>
      <c r="D1657" s="1" t="n">
        <v>45428</v>
      </c>
      <c r="E1657" s="1" t="n">
        <v>46326</v>
      </c>
      <c r="F1657" t="inlineStr">
        <is>
          <t>GÄVLEBORGS LÄN</t>
        </is>
      </c>
      <c r="G1657" t="inlineStr">
        <is>
          <t>SÖDERHAMN</t>
        </is>
      </c>
      <c r="H1657" t="inlineStr">
        <is>
          <t>Bergvik skog väst AB</t>
        </is>
      </c>
      <c r="I1657" t="n">
        <v>2</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59740-2023</t>
        </is>
      </c>
      <c r="B1658" t="inlineStr">
        <is>
          <t>avverkningsanmälan</t>
        </is>
      </c>
      <c r="C1658" t="inlineStr">
        <is>
          <t>Föryngringsavverkning</t>
        </is>
      </c>
      <c r="D1658" s="1" t="n">
        <v>45257</v>
      </c>
      <c r="E1658" s="1" t="n">
        <v>46326</v>
      </c>
      <c r="F1658" t="inlineStr">
        <is>
          <t>GÄVLEBORGS LÄN</t>
        </is>
      </c>
      <c r="G1658" t="inlineStr">
        <is>
          <t>BOLLNÄS</t>
        </is>
      </c>
      <c r="I1658" t="n">
        <v>1.1</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16424-2025</t>
        </is>
      </c>
      <c r="B1659" t="inlineStr">
        <is>
          <t>avverkningsanmälan</t>
        </is>
      </c>
      <c r="C1659" t="inlineStr">
        <is>
          <t>Föryngringsavverkning</t>
        </is>
      </c>
      <c r="D1659" s="1" t="n">
        <v>45751</v>
      </c>
      <c r="E1659" s="1" t="n">
        <v>46326</v>
      </c>
      <c r="F1659" t="inlineStr">
        <is>
          <t>GÄVLEBORGS LÄN</t>
        </is>
      </c>
      <c r="G1659" t="inlineStr">
        <is>
          <t>OVANÅKER</t>
        </is>
      </c>
      <c r="H1659" t="inlineStr">
        <is>
          <t>Bergvik skog öst AB</t>
        </is>
      </c>
      <c r="I1659" t="n">
        <v>2</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57776-2022</t>
        </is>
      </c>
      <c r="B1660" t="inlineStr">
        <is>
          <t>avverkningsanmälan</t>
        </is>
      </c>
      <c r="C1660" t="inlineStr">
        <is>
          <t>Föryngringsavverkning</t>
        </is>
      </c>
      <c r="D1660" s="1" t="n">
        <v>44897</v>
      </c>
      <c r="E1660" s="1" t="n">
        <v>46326</v>
      </c>
      <c r="F1660" t="inlineStr">
        <is>
          <t>GÄVLEBORGS LÄN</t>
        </is>
      </c>
      <c r="G1660" t="inlineStr">
        <is>
          <t>OVANÅKER</t>
        </is>
      </c>
      <c r="I1660" t="n">
        <v>0.7</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328-2024</t>
        </is>
      </c>
      <c r="B1661" t="inlineStr">
        <is>
          <t>avverkningsanmälan</t>
        </is>
      </c>
      <c r="C1661" t="inlineStr">
        <is>
          <t>Föryngringsavverkning</t>
        </is>
      </c>
      <c r="D1661" s="1" t="n">
        <v>45295</v>
      </c>
      <c r="E1661" s="1" t="n">
        <v>46326</v>
      </c>
      <c r="F1661" t="inlineStr">
        <is>
          <t>GÄVLEBORGS LÄN</t>
        </is>
      </c>
      <c r="G1661" t="inlineStr">
        <is>
          <t>LJUSDAL</t>
        </is>
      </c>
      <c r="I1661" t="n">
        <v>0.9</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56455-2022</t>
        </is>
      </c>
      <c r="B1662" t="inlineStr">
        <is>
          <t>avverkningsanmälan</t>
        </is>
      </c>
      <c r="C1662" t="inlineStr">
        <is>
          <t>Föryngringsavverkning</t>
        </is>
      </c>
      <c r="D1662" s="1" t="n">
        <v>44893</v>
      </c>
      <c r="E1662" s="1" t="n">
        <v>46326</v>
      </c>
      <c r="F1662" t="inlineStr">
        <is>
          <t>GÄVLEBORGS LÄN</t>
        </is>
      </c>
      <c r="G1662" t="inlineStr">
        <is>
          <t>OVANÅKER</t>
        </is>
      </c>
      <c r="I1662" t="n">
        <v>1</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57013-2022</t>
        </is>
      </c>
      <c r="B1663" t="inlineStr">
        <is>
          <t>avverkningsanmälan</t>
        </is>
      </c>
      <c r="C1663" t="inlineStr">
        <is>
          <t>Föryngringsavverkning</t>
        </is>
      </c>
      <c r="D1663" s="1" t="n">
        <v>44894</v>
      </c>
      <c r="E1663" s="1" t="n">
        <v>46326</v>
      </c>
      <c r="F1663" t="inlineStr">
        <is>
          <t>GÄVLEBORGS LÄN</t>
        </is>
      </c>
      <c r="G1663" t="inlineStr">
        <is>
          <t>NORDANSTIG</t>
        </is>
      </c>
      <c r="H1663" t="inlineStr">
        <is>
          <t>SCA</t>
        </is>
      </c>
      <c r="I1663" t="n">
        <v>11</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8395-2024</t>
        </is>
      </c>
      <c r="B1664" t="inlineStr">
        <is>
          <t>avverkningsanmälan</t>
        </is>
      </c>
      <c r="C1664" t="inlineStr">
        <is>
          <t>Föryngringsavverkning</t>
        </is>
      </c>
      <c r="D1664" s="1" t="n">
        <v>45352</v>
      </c>
      <c r="E1664" s="1" t="n">
        <v>46326</v>
      </c>
      <c r="F1664" t="inlineStr">
        <is>
          <t>GÄVLEBORGS LÄN</t>
        </is>
      </c>
      <c r="G1664" t="inlineStr">
        <is>
          <t>NORDANSTIG</t>
        </is>
      </c>
      <c r="H1664" t="inlineStr">
        <is>
          <t>Holmen skog AB</t>
        </is>
      </c>
      <c r="I1664" t="n">
        <v>1.1</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57260-2023</t>
        </is>
      </c>
      <c r="B1665" t="inlineStr">
        <is>
          <t>avverkningsanmälan</t>
        </is>
      </c>
      <c r="C1665" t="inlineStr">
        <is>
          <t>Föryngringsavverkning</t>
        </is>
      </c>
      <c r="D1665" s="1" t="n">
        <v>45239</v>
      </c>
      <c r="E1665" s="1" t="n">
        <v>46326</v>
      </c>
      <c r="F1665" t="inlineStr">
        <is>
          <t>GÄVLEBORGS LÄN</t>
        </is>
      </c>
      <c r="G1665" t="inlineStr">
        <is>
          <t>BOLLNÄS</t>
        </is>
      </c>
      <c r="H1665" t="inlineStr">
        <is>
          <t>Kommuner</t>
        </is>
      </c>
      <c r="I1665" t="n">
        <v>1.2</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6274-2025</t>
        </is>
      </c>
      <c r="B1666" t="inlineStr">
        <is>
          <t>avverkningsanmälan</t>
        </is>
      </c>
      <c r="C1666" t="inlineStr">
        <is>
          <t>Föryngringsavverkning</t>
        </is>
      </c>
      <c r="D1666" s="1" t="n">
        <v>45698</v>
      </c>
      <c r="E1666" s="1" t="n">
        <v>46326</v>
      </c>
      <c r="F1666" t="inlineStr">
        <is>
          <t>GÄVLEBORGS LÄN</t>
        </is>
      </c>
      <c r="G1666" t="inlineStr">
        <is>
          <t>HUDIKSVALL</t>
        </is>
      </c>
      <c r="I1666" t="n">
        <v>1</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18902-2025</t>
        </is>
      </c>
      <c r="B1667" t="inlineStr">
        <is>
          <t>avverkningsanmälan</t>
        </is>
      </c>
      <c r="C1667" t="inlineStr">
        <is>
          <t>Föryngringsavverkning</t>
        </is>
      </c>
      <c r="D1667" s="1" t="n">
        <v>45764</v>
      </c>
      <c r="E1667" s="1" t="n">
        <v>46326</v>
      </c>
      <c r="F1667" t="inlineStr">
        <is>
          <t>GÄVLEBORGS LÄN</t>
        </is>
      </c>
      <c r="G1667" t="inlineStr">
        <is>
          <t>SÖDERHAMN</t>
        </is>
      </c>
      <c r="H1667" t="inlineStr">
        <is>
          <t>Kommuner</t>
        </is>
      </c>
      <c r="I1667" t="n">
        <v>1.3</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18614-2023</t>
        </is>
      </c>
      <c r="B1668" t="inlineStr">
        <is>
          <t>avverkningsanmälan</t>
        </is>
      </c>
      <c r="C1668" t="inlineStr">
        <is>
          <t>Föryngringsavverkning</t>
        </is>
      </c>
      <c r="D1668" s="1" t="n">
        <v>45043</v>
      </c>
      <c r="E1668" s="1" t="n">
        <v>46326</v>
      </c>
      <c r="F1668" t="inlineStr">
        <is>
          <t>GÄVLEBORGS LÄN</t>
        </is>
      </c>
      <c r="G1668" t="inlineStr">
        <is>
          <t>BOLLNÄS</t>
        </is>
      </c>
      <c r="I1668" t="n">
        <v>5.4</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40733-2023</t>
        </is>
      </c>
      <c r="B1669" t="inlineStr">
        <is>
          <t>avverkningsanmälan</t>
        </is>
      </c>
      <c r="C1669" t="inlineStr">
        <is>
          <t>Föryngringsavverkning</t>
        </is>
      </c>
      <c r="D1669" s="1" t="n">
        <v>45170</v>
      </c>
      <c r="E1669" s="1" t="n">
        <v>46326</v>
      </c>
      <c r="F1669" t="inlineStr">
        <is>
          <t>GÄVLEBORGS LÄN</t>
        </is>
      </c>
      <c r="G1669" t="inlineStr">
        <is>
          <t>NORDANSTIG</t>
        </is>
      </c>
      <c r="H1669" t="inlineStr">
        <is>
          <t>Holmen skog AB</t>
        </is>
      </c>
      <c r="I1669" t="n">
        <v>3.7</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39062-2024</t>
        </is>
      </c>
      <c r="B1670" t="inlineStr">
        <is>
          <t>avverkningsanmälan</t>
        </is>
      </c>
      <c r="C1670" t="inlineStr">
        <is>
          <t>Föryngringsavverkning</t>
        </is>
      </c>
      <c r="D1670" s="1" t="n">
        <v>45548</v>
      </c>
      <c r="E1670" s="1" t="n">
        <v>46326</v>
      </c>
      <c r="F1670" t="inlineStr">
        <is>
          <t>GÄVLEBORGS LÄN</t>
        </is>
      </c>
      <c r="G1670" t="inlineStr">
        <is>
          <t>OCKELBO</t>
        </is>
      </c>
      <c r="H1670" t="inlineStr">
        <is>
          <t>Bergvik skog väst AB</t>
        </is>
      </c>
      <c r="I1670" t="n">
        <v>10.1</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39091-2024</t>
        </is>
      </c>
      <c r="B1671" t="inlineStr">
        <is>
          <t>avverkningsanmälan</t>
        </is>
      </c>
      <c r="C1671" t="inlineStr">
        <is>
          <t>Föryngringsavverkning</t>
        </is>
      </c>
      <c r="D1671" s="1" t="n">
        <v>45548</v>
      </c>
      <c r="E1671" s="1" t="n">
        <v>46326</v>
      </c>
      <c r="F1671" t="inlineStr">
        <is>
          <t>GÄVLEBORGS LÄN</t>
        </is>
      </c>
      <c r="G1671" t="inlineStr">
        <is>
          <t>BOLLNÄS</t>
        </is>
      </c>
      <c r="I1671" t="n">
        <v>1.6</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55952-2022</t>
        </is>
      </c>
      <c r="B1672" t="inlineStr">
        <is>
          <t>avverkningsanmälan</t>
        </is>
      </c>
      <c r="C1672" t="inlineStr">
        <is>
          <t>Föryngringsavverkning</t>
        </is>
      </c>
      <c r="D1672" s="1" t="n">
        <v>44889</v>
      </c>
      <c r="E1672" s="1" t="n">
        <v>46326</v>
      </c>
      <c r="F1672" t="inlineStr">
        <is>
          <t>GÄVLEBORGS LÄN</t>
        </is>
      </c>
      <c r="G1672" t="inlineStr">
        <is>
          <t>OCKELBO</t>
        </is>
      </c>
      <c r="I1672" t="n">
        <v>0.9</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55976-2022</t>
        </is>
      </c>
      <c r="B1673" t="inlineStr">
        <is>
          <t>avverkningsanmälan</t>
        </is>
      </c>
      <c r="C1673" t="inlineStr">
        <is>
          <t>Föryngringsavverkning</t>
        </is>
      </c>
      <c r="D1673" s="1" t="n">
        <v>44889</v>
      </c>
      <c r="E1673" s="1" t="n">
        <v>46326</v>
      </c>
      <c r="F1673" t="inlineStr">
        <is>
          <t>GÄVLEBORGS LÄN</t>
        </is>
      </c>
      <c r="G1673" t="inlineStr">
        <is>
          <t>GÄVLE</t>
        </is>
      </c>
      <c r="H1673" t="inlineStr">
        <is>
          <t>Kyrkan</t>
        </is>
      </c>
      <c r="I1673" t="n">
        <v>1</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28314-2023</t>
        </is>
      </c>
      <c r="B1674" t="inlineStr">
        <is>
          <t>avverkningsanmälan</t>
        </is>
      </c>
      <c r="C1674" t="inlineStr">
        <is>
          <t>Föryngringsavverkning</t>
        </is>
      </c>
      <c r="D1674" s="1" t="n">
        <v>45099</v>
      </c>
      <c r="E1674" s="1" t="n">
        <v>46326</v>
      </c>
      <c r="F1674" t="inlineStr">
        <is>
          <t>GÄVLEBORGS LÄN</t>
        </is>
      </c>
      <c r="G1674" t="inlineStr">
        <is>
          <t>BOLLNÄS</t>
        </is>
      </c>
      <c r="I1674" t="n">
        <v>1.4</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28348-2023</t>
        </is>
      </c>
      <c r="B1675" t="inlineStr">
        <is>
          <t>avverkningsanmälan</t>
        </is>
      </c>
      <c r="C1675" t="inlineStr">
        <is>
          <t>Föryngringsavverkning</t>
        </is>
      </c>
      <c r="D1675" s="1" t="n">
        <v>45099</v>
      </c>
      <c r="E1675" s="1" t="n">
        <v>46326</v>
      </c>
      <c r="F1675" t="inlineStr">
        <is>
          <t>GÄVLEBORGS LÄN</t>
        </is>
      </c>
      <c r="G1675" t="inlineStr">
        <is>
          <t>LJUSDAL</t>
        </is>
      </c>
      <c r="I1675" t="n">
        <v>2.6</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56709-2024</t>
        </is>
      </c>
      <c r="B1676" t="inlineStr">
        <is>
          <t>avverkningsanmälan</t>
        </is>
      </c>
      <c r="C1676" t="inlineStr">
        <is>
          <t>Föryngringsavverkning</t>
        </is>
      </c>
      <c r="D1676" s="1" t="n">
        <v>45627</v>
      </c>
      <c r="E1676" s="1" t="n">
        <v>46326</v>
      </c>
      <c r="F1676" t="inlineStr">
        <is>
          <t>GÄVLEBORGS LÄN</t>
        </is>
      </c>
      <c r="G1676" t="inlineStr">
        <is>
          <t>HUDIKSVALL</t>
        </is>
      </c>
      <c r="I1676" t="n">
        <v>0.3</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3877-2024</t>
        </is>
      </c>
      <c r="B1677" t="inlineStr">
        <is>
          <t>avverkningsanmälan</t>
        </is>
      </c>
      <c r="C1677" t="inlineStr">
        <is>
          <t>Föryngringsavverkning</t>
        </is>
      </c>
      <c r="D1677" s="1" t="n">
        <v>45322</v>
      </c>
      <c r="E1677" s="1" t="n">
        <v>46326</v>
      </c>
      <c r="F1677" t="inlineStr">
        <is>
          <t>GÄVLEBORGS LÄN</t>
        </is>
      </c>
      <c r="G1677" t="inlineStr">
        <is>
          <t>OVANÅKER</t>
        </is>
      </c>
      <c r="I1677" t="n">
        <v>2.3</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59883-2023</t>
        </is>
      </c>
      <c r="B1678" t="inlineStr">
        <is>
          <t>avverkningsanmälan</t>
        </is>
      </c>
      <c r="C1678" t="inlineStr">
        <is>
          <t>Föryngringsavverkning</t>
        </is>
      </c>
      <c r="D1678" s="1" t="n">
        <v>45257</v>
      </c>
      <c r="E1678" s="1" t="n">
        <v>46326</v>
      </c>
      <c r="F1678" t="inlineStr">
        <is>
          <t>GÄVLEBORGS LÄN</t>
        </is>
      </c>
      <c r="G1678" t="inlineStr">
        <is>
          <t>LJUSDAL</t>
        </is>
      </c>
      <c r="I1678" t="n">
        <v>16.6</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15630-2025</t>
        </is>
      </c>
      <c r="B1679" t="inlineStr">
        <is>
          <t>avverkningsanmälan</t>
        </is>
      </c>
      <c r="C1679" t="inlineStr">
        <is>
          <t>Föryngringsavverkning</t>
        </is>
      </c>
      <c r="D1679" s="1" t="n">
        <v>45748</v>
      </c>
      <c r="E1679" s="1" t="n">
        <v>46326</v>
      </c>
      <c r="F1679" t="inlineStr">
        <is>
          <t>GÄVLEBORGS LÄN</t>
        </is>
      </c>
      <c r="G1679" t="inlineStr">
        <is>
          <t>SÖDERHAMN</t>
        </is>
      </c>
      <c r="H1679" t="inlineStr">
        <is>
          <t>Kommuner</t>
        </is>
      </c>
      <c r="I1679" t="n">
        <v>0.9</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11410-2025</t>
        </is>
      </c>
      <c r="B1680" t="inlineStr">
        <is>
          <t>avverkningsanmälan</t>
        </is>
      </c>
      <c r="C1680" t="inlineStr">
        <is>
          <t>Föryngringsavverkning</t>
        </is>
      </c>
      <c r="D1680" s="1" t="n">
        <v>45726</v>
      </c>
      <c r="E1680" s="1" t="n">
        <v>46326</v>
      </c>
      <c r="F1680" t="inlineStr">
        <is>
          <t>GÄVLEBORGS LÄN</t>
        </is>
      </c>
      <c r="G1680" t="inlineStr">
        <is>
          <t>GÄVLE</t>
        </is>
      </c>
      <c r="I1680" t="n">
        <v>2</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19641-2023</t>
        </is>
      </c>
      <c r="B1681" t="inlineStr">
        <is>
          <t>avverkningsanmälan</t>
        </is>
      </c>
      <c r="C1681" t="inlineStr">
        <is>
          <t>Föryngringsavverkning</t>
        </is>
      </c>
      <c r="D1681" s="1" t="n">
        <v>45051</v>
      </c>
      <c r="E1681" s="1" t="n">
        <v>46326</v>
      </c>
      <c r="F1681" t="inlineStr">
        <is>
          <t>GÄVLEBORGS LÄN</t>
        </is>
      </c>
      <c r="G1681" t="inlineStr">
        <is>
          <t>HUDIKSVALL</t>
        </is>
      </c>
      <c r="H1681" t="inlineStr">
        <is>
          <t>Holmen skog AB</t>
        </is>
      </c>
      <c r="I1681" t="n">
        <v>6.2</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43177-2024</t>
        </is>
      </c>
      <c r="B1682" t="inlineStr">
        <is>
          <t>avverkningsanmälan</t>
        </is>
      </c>
      <c r="C1682" t="inlineStr">
        <is>
          <t>Föryngringsavverkning</t>
        </is>
      </c>
      <c r="D1682" s="1" t="n">
        <v>45567</v>
      </c>
      <c r="E1682" s="1" t="n">
        <v>46326</v>
      </c>
      <c r="F1682" t="inlineStr">
        <is>
          <t>GÄVLEBORGS LÄN</t>
        </is>
      </c>
      <c r="G1682" t="inlineStr">
        <is>
          <t>BOLLNÄS</t>
        </is>
      </c>
      <c r="I1682" t="n">
        <v>4.3</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43180-2024</t>
        </is>
      </c>
      <c r="B1683" t="inlineStr">
        <is>
          <t>avverkningsanmälan</t>
        </is>
      </c>
      <c r="C1683" t="inlineStr">
        <is>
          <t>Föryngringsavverkning</t>
        </is>
      </c>
      <c r="D1683" s="1" t="n">
        <v>45567</v>
      </c>
      <c r="E1683" s="1" t="n">
        <v>46326</v>
      </c>
      <c r="F1683" t="inlineStr">
        <is>
          <t>GÄVLEBORGS LÄN</t>
        </is>
      </c>
      <c r="G1683" t="inlineStr">
        <is>
          <t>LJUSDAL</t>
        </is>
      </c>
      <c r="I1683" t="n">
        <v>0.4</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52181-2024</t>
        </is>
      </c>
      <c r="B1684" t="inlineStr">
        <is>
          <t>avverkningsanmälan</t>
        </is>
      </c>
      <c r="C1684" t="inlineStr">
        <is>
          <t>Föryngringsavverkning</t>
        </is>
      </c>
      <c r="D1684" s="1" t="n">
        <v>45608</v>
      </c>
      <c r="E1684" s="1" t="n">
        <v>46326</v>
      </c>
      <c r="F1684" t="inlineStr">
        <is>
          <t>GÄVLEBORGS LÄN</t>
        </is>
      </c>
      <c r="G1684" t="inlineStr">
        <is>
          <t>BOLLNÄS</t>
        </is>
      </c>
      <c r="I1684" t="n">
        <v>0.5</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61492-2024</t>
        </is>
      </c>
      <c r="B1685" t="inlineStr">
        <is>
          <t>avverkningsanmälan</t>
        </is>
      </c>
      <c r="C1685" t="inlineStr">
        <is>
          <t>Föryngringsavverkning</t>
        </is>
      </c>
      <c r="D1685" s="1" t="n">
        <v>45646</v>
      </c>
      <c r="E1685" s="1" t="n">
        <v>46326</v>
      </c>
      <c r="F1685" t="inlineStr">
        <is>
          <t>GÄVLEBORGS LÄN</t>
        </is>
      </c>
      <c r="G1685" t="inlineStr">
        <is>
          <t>GÄVLE</t>
        </is>
      </c>
      <c r="I1685" t="n">
        <v>1.5</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20577-2025</t>
        </is>
      </c>
      <c r="B1686" t="inlineStr">
        <is>
          <t>avverkningsanmälan</t>
        </is>
      </c>
      <c r="C1686" t="inlineStr">
        <is>
          <t>Föryngringsavverkning</t>
        </is>
      </c>
      <c r="D1686" s="1" t="n">
        <v>45775</v>
      </c>
      <c r="E1686" s="1" t="n">
        <v>46326</v>
      </c>
      <c r="F1686" t="inlineStr">
        <is>
          <t>GÄVLEBORGS LÄN</t>
        </is>
      </c>
      <c r="G1686" t="inlineStr">
        <is>
          <t>NORDANSTIG</t>
        </is>
      </c>
      <c r="H1686" t="inlineStr">
        <is>
          <t>Holmen skog AB</t>
        </is>
      </c>
      <c r="I1686" t="n">
        <v>3.3</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45920-2022</t>
        </is>
      </c>
      <c r="B1687" t="inlineStr">
        <is>
          <t>avverkningsanmälan</t>
        </is>
      </c>
      <c r="C1687" t="inlineStr">
        <is>
          <t>Föryngringsavverkning</t>
        </is>
      </c>
      <c r="D1687" s="1" t="n">
        <v>44846</v>
      </c>
      <c r="E1687" s="1" t="n">
        <v>46326</v>
      </c>
      <c r="F1687" t="inlineStr">
        <is>
          <t>GÄVLEBORGS LÄN</t>
        </is>
      </c>
      <c r="G1687" t="inlineStr">
        <is>
          <t>SANDVIKEN</t>
        </is>
      </c>
      <c r="I1687" t="n">
        <v>1.6</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53393-2022</t>
        </is>
      </c>
      <c r="B1688" t="inlineStr">
        <is>
          <t>avverkningsanmälan</t>
        </is>
      </c>
      <c r="C1688" t="inlineStr">
        <is>
          <t>Föryngringsavverkning</t>
        </is>
      </c>
      <c r="D1688" s="1" t="n">
        <v>44879</v>
      </c>
      <c r="E1688" s="1" t="n">
        <v>46326</v>
      </c>
      <c r="F1688" t="inlineStr">
        <is>
          <t>GÄVLEBORGS LÄN</t>
        </is>
      </c>
      <c r="G1688" t="inlineStr">
        <is>
          <t>OCKELBO</t>
        </is>
      </c>
      <c r="I1688" t="n">
        <v>4.2</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30590-2022</t>
        </is>
      </c>
      <c r="B1689" t="inlineStr">
        <is>
          <t>avverkningsanmälan</t>
        </is>
      </c>
      <c r="C1689" t="inlineStr">
        <is>
          <t>Föryngringsavverkning</t>
        </is>
      </c>
      <c r="D1689" s="1" t="n">
        <v>44762</v>
      </c>
      <c r="E1689" s="1" t="n">
        <v>46326</v>
      </c>
      <c r="F1689" t="inlineStr">
        <is>
          <t>GÄVLEBORGS LÄN</t>
        </is>
      </c>
      <c r="G1689" t="inlineStr">
        <is>
          <t>HUDIKSVALL</t>
        </is>
      </c>
      <c r="H1689" t="inlineStr">
        <is>
          <t>Sveaskog</t>
        </is>
      </c>
      <c r="I1689" t="n">
        <v>0.7</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21633-2024</t>
        </is>
      </c>
      <c r="B1690" t="inlineStr">
        <is>
          <t>avverkningsanmälan</t>
        </is>
      </c>
      <c r="C1690" t="inlineStr">
        <is>
          <t>Föryngringsavverkning</t>
        </is>
      </c>
      <c r="D1690" s="1" t="n">
        <v>45442</v>
      </c>
      <c r="E1690" s="1" t="n">
        <v>46326</v>
      </c>
      <c r="F1690" t="inlineStr">
        <is>
          <t>GÄVLEBORGS LÄN</t>
        </is>
      </c>
      <c r="G1690" t="inlineStr">
        <is>
          <t>LJUSDAL</t>
        </is>
      </c>
      <c r="I1690" t="n">
        <v>3.1</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386-2023</t>
        </is>
      </c>
      <c r="B1691" t="inlineStr">
        <is>
          <t>avverkningsanmälan</t>
        </is>
      </c>
      <c r="C1691" t="inlineStr">
        <is>
          <t>Föryngringsavverkning</t>
        </is>
      </c>
      <c r="D1691" s="1" t="n">
        <v>44929</v>
      </c>
      <c r="E1691" s="1" t="n">
        <v>46326</v>
      </c>
      <c r="F1691" t="inlineStr">
        <is>
          <t>GÄVLEBORGS LÄN</t>
        </is>
      </c>
      <c r="G1691" t="inlineStr">
        <is>
          <t>HUDIKSVALL</t>
        </is>
      </c>
      <c r="H1691" t="inlineStr">
        <is>
          <t>Holmen skog AB</t>
        </is>
      </c>
      <c r="I1691" t="n">
        <v>1.1</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14240-2023</t>
        </is>
      </c>
      <c r="B1692" t="inlineStr">
        <is>
          <t>avverkningsanmälan</t>
        </is>
      </c>
      <c r="C1692" t="inlineStr">
        <is>
          <t>Föryngringsavverkning</t>
        </is>
      </c>
      <c r="D1692" s="1" t="n">
        <v>45009</v>
      </c>
      <c r="E1692" s="1" t="n">
        <v>46326</v>
      </c>
      <c r="F1692" t="inlineStr">
        <is>
          <t>GÄVLEBORGS LÄN</t>
        </is>
      </c>
      <c r="G1692" t="inlineStr">
        <is>
          <t>OVANÅKER</t>
        </is>
      </c>
      <c r="I1692" t="n">
        <v>0.7</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32879-2022</t>
        </is>
      </c>
      <c r="B1693" t="inlineStr">
        <is>
          <t>avverkningsanmälan</t>
        </is>
      </c>
      <c r="C1693" t="inlineStr">
        <is>
          <t>Föryngringsavverkning</t>
        </is>
      </c>
      <c r="D1693" s="1" t="n">
        <v>44784</v>
      </c>
      <c r="E1693" s="1" t="n">
        <v>46326</v>
      </c>
      <c r="F1693" t="inlineStr">
        <is>
          <t>GÄVLEBORGS LÄN</t>
        </is>
      </c>
      <c r="G1693" t="inlineStr">
        <is>
          <t>LJUSDAL</t>
        </is>
      </c>
      <c r="H1693" t="inlineStr">
        <is>
          <t>Bergvik skog väst AB</t>
        </is>
      </c>
      <c r="I1693" t="n">
        <v>4.3</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29289-2022</t>
        </is>
      </c>
      <c r="B1694" t="inlineStr">
        <is>
          <t>avverkningsanmälan</t>
        </is>
      </c>
      <c r="C1694" t="inlineStr">
        <is>
          <t>Föryngringsavverkning</t>
        </is>
      </c>
      <c r="D1694" s="1" t="n">
        <v>44750</v>
      </c>
      <c r="E1694" s="1" t="n">
        <v>46326</v>
      </c>
      <c r="F1694" t="inlineStr">
        <is>
          <t>GÄVLEBORGS LÄN</t>
        </is>
      </c>
      <c r="G1694" t="inlineStr">
        <is>
          <t>SÖDERHAMN</t>
        </is>
      </c>
      <c r="I1694" t="n">
        <v>2.4</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53450-2024</t>
        </is>
      </c>
      <c r="B1695" t="inlineStr">
        <is>
          <t>avverkningsanmälan</t>
        </is>
      </c>
      <c r="C1695" t="inlineStr">
        <is>
          <t>Avverkning för annat ändamål</t>
        </is>
      </c>
      <c r="D1695" s="1" t="n">
        <v>45614</v>
      </c>
      <c r="E1695" s="1" t="n">
        <v>46326</v>
      </c>
      <c r="F1695" t="inlineStr">
        <is>
          <t>GÄVLEBORGS LÄN</t>
        </is>
      </c>
      <c r="G1695" t="inlineStr">
        <is>
          <t>LJUSDAL</t>
        </is>
      </c>
      <c r="H1695" t="inlineStr">
        <is>
          <t>Sveaskog</t>
        </is>
      </c>
      <c r="I1695" t="n">
        <v>0.1</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42324-2024</t>
        </is>
      </c>
      <c r="B1696" t="inlineStr">
        <is>
          <t>avverkningsanmälan</t>
        </is>
      </c>
      <c r="C1696" t="inlineStr">
        <is>
          <t>Föryngringsavverkning</t>
        </is>
      </c>
      <c r="D1696" s="1" t="n">
        <v>45562</v>
      </c>
      <c r="E1696" s="1" t="n">
        <v>46326</v>
      </c>
      <c r="F1696" t="inlineStr">
        <is>
          <t>GÄVLEBORGS LÄN</t>
        </is>
      </c>
      <c r="G1696" t="inlineStr">
        <is>
          <t>OVANÅKER</t>
        </is>
      </c>
      <c r="I1696" t="n">
        <v>0.4</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24512-2022</t>
        </is>
      </c>
      <c r="B1697" t="inlineStr">
        <is>
          <t>avverkningsanmälan</t>
        </is>
      </c>
      <c r="C1697" t="inlineStr">
        <is>
          <t>Föryngringsavverkning</t>
        </is>
      </c>
      <c r="D1697" s="1" t="n">
        <v>44726</v>
      </c>
      <c r="E1697" s="1" t="n">
        <v>46326</v>
      </c>
      <c r="F1697" t="inlineStr">
        <is>
          <t>GÄVLEBORGS LÄN</t>
        </is>
      </c>
      <c r="G1697" t="inlineStr">
        <is>
          <t>LJUSDAL</t>
        </is>
      </c>
      <c r="I1697" t="n">
        <v>1.6</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50620-2023</t>
        </is>
      </c>
      <c r="B1698" t="inlineStr">
        <is>
          <t>avverkningsanmälan</t>
        </is>
      </c>
      <c r="C1698" t="inlineStr">
        <is>
          <t>Föryngringsavverkning</t>
        </is>
      </c>
      <c r="D1698" s="1" t="n">
        <v>45217</v>
      </c>
      <c r="E1698" s="1" t="n">
        <v>46326</v>
      </c>
      <c r="F1698" t="inlineStr">
        <is>
          <t>GÄVLEBORGS LÄN</t>
        </is>
      </c>
      <c r="G1698" t="inlineStr">
        <is>
          <t>OVANÅKER</t>
        </is>
      </c>
      <c r="I1698" t="n">
        <v>3.5</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8732-2023</t>
        </is>
      </c>
      <c r="B1699" t="inlineStr">
        <is>
          <t>avverkningsanmälan</t>
        </is>
      </c>
      <c r="C1699" t="inlineStr">
        <is>
          <t>Föryngringsavverkning</t>
        </is>
      </c>
      <c r="D1699" s="1" t="n">
        <v>44978</v>
      </c>
      <c r="E1699" s="1" t="n">
        <v>46326</v>
      </c>
      <c r="F1699" t="inlineStr">
        <is>
          <t>GÄVLEBORGS LÄN</t>
        </is>
      </c>
      <c r="G1699" t="inlineStr">
        <is>
          <t>HUDIKSVALL</t>
        </is>
      </c>
      <c r="I1699" t="n">
        <v>2.7</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49957-2024</t>
        </is>
      </c>
      <c r="B1700" t="inlineStr">
        <is>
          <t>avverkningsanmälan</t>
        </is>
      </c>
      <c r="C1700" t="inlineStr">
        <is>
          <t>Föryngringsavverkning</t>
        </is>
      </c>
      <c r="D1700" s="1" t="n">
        <v>45597</v>
      </c>
      <c r="E1700" s="1" t="n">
        <v>46326</v>
      </c>
      <c r="F1700" t="inlineStr">
        <is>
          <t>GÄVLEBORGS LÄN</t>
        </is>
      </c>
      <c r="G1700" t="inlineStr">
        <is>
          <t>LJUSDAL</t>
        </is>
      </c>
      <c r="I1700" t="n">
        <v>4.6</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12880-2023</t>
        </is>
      </c>
      <c r="B1701" t="inlineStr">
        <is>
          <t>avverkningsanmälan</t>
        </is>
      </c>
      <c r="C1701" t="inlineStr">
        <is>
          <t>Föryngringsavverkning</t>
        </is>
      </c>
      <c r="D1701" s="1" t="n">
        <v>45001</v>
      </c>
      <c r="E1701" s="1" t="n">
        <v>46326</v>
      </c>
      <c r="F1701" t="inlineStr">
        <is>
          <t>GÄVLEBORGS LÄN</t>
        </is>
      </c>
      <c r="G1701" t="inlineStr">
        <is>
          <t>HUDIKSVALL</t>
        </is>
      </c>
      <c r="I1701" t="n">
        <v>11.4</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14750-2022</t>
        </is>
      </c>
      <c r="B1702" t="inlineStr">
        <is>
          <t>avverkningsanmälan</t>
        </is>
      </c>
      <c r="C1702" t="inlineStr">
        <is>
          <t>Avverkning för annat ändamål</t>
        </is>
      </c>
      <c r="D1702" s="1" t="n">
        <v>44656</v>
      </c>
      <c r="E1702" s="1" t="n">
        <v>46326</v>
      </c>
      <c r="F1702" t="inlineStr">
        <is>
          <t>GÄVLEBORGS LÄN</t>
        </is>
      </c>
      <c r="G1702" t="inlineStr">
        <is>
          <t>GÄVLE</t>
        </is>
      </c>
      <c r="I1702" t="n">
        <v>0.1</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55120-2022</t>
        </is>
      </c>
      <c r="B1703" t="inlineStr">
        <is>
          <t>avverkningsanmälan</t>
        </is>
      </c>
      <c r="C1703" t="inlineStr">
        <is>
          <t>Föryngringsavverkning</t>
        </is>
      </c>
      <c r="D1703" s="1" t="n">
        <v>44886</v>
      </c>
      <c r="E1703" s="1" t="n">
        <v>46326</v>
      </c>
      <c r="F1703" t="inlineStr">
        <is>
          <t>GÄVLEBORGS LÄN</t>
        </is>
      </c>
      <c r="G1703" t="inlineStr">
        <is>
          <t>NORDANSTIG</t>
        </is>
      </c>
      <c r="H1703" t="inlineStr">
        <is>
          <t>Holmen skog AB</t>
        </is>
      </c>
      <c r="I1703" t="n">
        <v>8.4</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14840-2022</t>
        </is>
      </c>
      <c r="B1704" t="inlineStr">
        <is>
          <t>avverkningsanmälan</t>
        </is>
      </c>
      <c r="C1704" t="inlineStr">
        <is>
          <t>Föryngringsavverkning</t>
        </is>
      </c>
      <c r="D1704" s="1" t="n">
        <v>44656</v>
      </c>
      <c r="E1704" s="1" t="n">
        <v>46326</v>
      </c>
      <c r="F1704" t="inlineStr">
        <is>
          <t>GÄVLEBORGS LÄN</t>
        </is>
      </c>
      <c r="G1704" t="inlineStr">
        <is>
          <t>SANDVIKEN</t>
        </is>
      </c>
      <c r="I1704" t="n">
        <v>0.4</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19484-2023</t>
        </is>
      </c>
      <c r="B1705" t="inlineStr">
        <is>
          <t>avverkningsanmälan</t>
        </is>
      </c>
      <c r="C1705" t="inlineStr">
        <is>
          <t>Föryngringsavverkning</t>
        </is>
      </c>
      <c r="D1705" s="1" t="n">
        <v>45050</v>
      </c>
      <c r="E1705" s="1" t="n">
        <v>46326</v>
      </c>
      <c r="F1705" t="inlineStr">
        <is>
          <t>GÄVLEBORGS LÄN</t>
        </is>
      </c>
      <c r="G1705" t="inlineStr">
        <is>
          <t>HUDIKSVALL</t>
        </is>
      </c>
      <c r="H1705" t="inlineStr">
        <is>
          <t>Holmen skog AB</t>
        </is>
      </c>
      <c r="I1705" t="n">
        <v>3.9</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60193-2024</t>
        </is>
      </c>
      <c r="B1706" t="inlineStr">
        <is>
          <t>avverkningsanmälan</t>
        </is>
      </c>
      <c r="C1706" t="inlineStr">
        <is>
          <t>Föryngringsavverkning</t>
        </is>
      </c>
      <c r="D1706" s="1" t="n">
        <v>45642</v>
      </c>
      <c r="E1706" s="1" t="n">
        <v>46326</v>
      </c>
      <c r="F1706" t="inlineStr">
        <is>
          <t>GÄVLEBORGS LÄN</t>
        </is>
      </c>
      <c r="G1706" t="inlineStr">
        <is>
          <t>NORDANSTIG</t>
        </is>
      </c>
      <c r="I1706" t="n">
        <v>1.6</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60197-2024</t>
        </is>
      </c>
      <c r="B1707" t="inlineStr">
        <is>
          <t>avverkningsanmälan</t>
        </is>
      </c>
      <c r="C1707" t="inlineStr">
        <is>
          <t>Föryngringsavverkning</t>
        </is>
      </c>
      <c r="D1707" s="1" t="n">
        <v>45642</v>
      </c>
      <c r="E1707" s="1" t="n">
        <v>46326</v>
      </c>
      <c r="F1707" t="inlineStr">
        <is>
          <t>GÄVLEBORGS LÄN</t>
        </is>
      </c>
      <c r="G1707" t="inlineStr">
        <is>
          <t>LJUSDAL</t>
        </is>
      </c>
      <c r="I1707" t="n">
        <v>4.9</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31876-2023</t>
        </is>
      </c>
      <c r="B1708" t="inlineStr">
        <is>
          <t>avverkningsanmälan</t>
        </is>
      </c>
      <c r="C1708" t="inlineStr">
        <is>
          <t>Föryngringsavverkning</t>
        </is>
      </c>
      <c r="D1708" s="1" t="n">
        <v>45118</v>
      </c>
      <c r="E1708" s="1" t="n">
        <v>46326</v>
      </c>
      <c r="F1708" t="inlineStr">
        <is>
          <t>GÄVLEBORGS LÄN</t>
        </is>
      </c>
      <c r="G1708" t="inlineStr">
        <is>
          <t>HUDIKSVALL</t>
        </is>
      </c>
      <c r="I1708" t="n">
        <v>2.4</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11920-2025</t>
        </is>
      </c>
      <c r="B1709" t="inlineStr">
        <is>
          <t>avverkningsanmälan</t>
        </is>
      </c>
      <c r="C1709" t="inlineStr">
        <is>
          <t>Föryngringsavverkning</t>
        </is>
      </c>
      <c r="D1709" s="1" t="n">
        <v>45728</v>
      </c>
      <c r="E1709" s="1" t="n">
        <v>46326</v>
      </c>
      <c r="F1709" t="inlineStr">
        <is>
          <t>GÄVLEBORGS LÄN</t>
        </is>
      </c>
      <c r="G1709" t="inlineStr">
        <is>
          <t>LJUSDAL</t>
        </is>
      </c>
      <c r="I1709" t="n">
        <v>3</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53815-2022</t>
        </is>
      </c>
      <c r="B1710" t="inlineStr">
        <is>
          <t>avverkningsanmälan</t>
        </is>
      </c>
      <c r="C1710" t="inlineStr">
        <is>
          <t>Föryngringsavverkning</t>
        </is>
      </c>
      <c r="D1710" s="1" t="n">
        <v>44880</v>
      </c>
      <c r="E1710" s="1" t="n">
        <v>46326</v>
      </c>
      <c r="F1710" t="inlineStr">
        <is>
          <t>GÄVLEBORGS LÄN</t>
        </is>
      </c>
      <c r="G1710" t="inlineStr">
        <is>
          <t>BOLLNÄS</t>
        </is>
      </c>
      <c r="I1710" t="n">
        <v>1.2</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22459-2023</t>
        </is>
      </c>
      <c r="B1711" t="inlineStr">
        <is>
          <t>avverkningsanmälan</t>
        </is>
      </c>
      <c r="C1711" t="inlineStr">
        <is>
          <t>Föryngringsavverkning</t>
        </is>
      </c>
      <c r="D1711" s="1" t="n">
        <v>45070</v>
      </c>
      <c r="E1711" s="1" t="n">
        <v>46326</v>
      </c>
      <c r="F1711" t="inlineStr">
        <is>
          <t>GÄVLEBORGS LÄN</t>
        </is>
      </c>
      <c r="G1711" t="inlineStr">
        <is>
          <t>NORDANSTIG</t>
        </is>
      </c>
      <c r="I1711" t="n">
        <v>1</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7748-2025</t>
        </is>
      </c>
      <c r="B1712" t="inlineStr">
        <is>
          <t>avverkningsanmälan</t>
        </is>
      </c>
      <c r="C1712" t="inlineStr">
        <is>
          <t>Föryngringsavverkning</t>
        </is>
      </c>
      <c r="D1712" s="1" t="n">
        <v>45706</v>
      </c>
      <c r="E1712" s="1" t="n">
        <v>46326</v>
      </c>
      <c r="F1712" t="inlineStr">
        <is>
          <t>GÄVLEBORGS LÄN</t>
        </is>
      </c>
      <c r="G1712" t="inlineStr">
        <is>
          <t>GÄVLE</t>
        </is>
      </c>
      <c r="I1712" t="n">
        <v>0.9</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42417-2024</t>
        </is>
      </c>
      <c r="B1713" t="inlineStr">
        <is>
          <t>avverkningsanmälan</t>
        </is>
      </c>
      <c r="C1713" t="inlineStr">
        <is>
          <t>Föryngringsavverkning</t>
        </is>
      </c>
      <c r="D1713" s="1" t="n">
        <v>45565</v>
      </c>
      <c r="E1713" s="1" t="n">
        <v>46326</v>
      </c>
      <c r="F1713" t="inlineStr">
        <is>
          <t>GÄVLEBORGS LÄN</t>
        </is>
      </c>
      <c r="G1713" t="inlineStr">
        <is>
          <t>LJUSDAL</t>
        </is>
      </c>
      <c r="I1713" t="n">
        <v>5.3</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11762-2023</t>
        </is>
      </c>
      <c r="B1714" t="inlineStr">
        <is>
          <t>avverkningsanmälan</t>
        </is>
      </c>
      <c r="C1714" t="inlineStr">
        <is>
          <t>Föryngringsavverkning</t>
        </is>
      </c>
      <c r="D1714" s="1" t="n">
        <v>44994</v>
      </c>
      <c r="E1714" s="1" t="n">
        <v>46326</v>
      </c>
      <c r="F1714" t="inlineStr">
        <is>
          <t>GÄVLEBORGS LÄN</t>
        </is>
      </c>
      <c r="G1714" t="inlineStr">
        <is>
          <t>NORDANSTIG</t>
        </is>
      </c>
      <c r="I1714" t="n">
        <v>9.5</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62926-2023</t>
        </is>
      </c>
      <c r="B1715" t="inlineStr">
        <is>
          <t>avverkningsanmälan</t>
        </is>
      </c>
      <c r="C1715" t="inlineStr">
        <is>
          <t>Föryngringsavverkning</t>
        </is>
      </c>
      <c r="D1715" s="1" t="n">
        <v>45272</v>
      </c>
      <c r="E1715" s="1" t="n">
        <v>46326</v>
      </c>
      <c r="F1715" t="inlineStr">
        <is>
          <t>GÄVLEBORGS LÄN</t>
        </is>
      </c>
      <c r="G1715" t="inlineStr">
        <is>
          <t>HUDIKSVALL</t>
        </is>
      </c>
      <c r="I1715" t="n">
        <v>1.1</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25532-2023</t>
        </is>
      </c>
      <c r="B1716" t="inlineStr">
        <is>
          <t>avverkningsanmälan</t>
        </is>
      </c>
      <c r="C1716" t="inlineStr">
        <is>
          <t>Föryngringsavverkning</t>
        </is>
      </c>
      <c r="D1716" s="1" t="n">
        <v>45089</v>
      </c>
      <c r="E1716" s="1" t="n">
        <v>46326</v>
      </c>
      <c r="F1716" t="inlineStr">
        <is>
          <t>GÄVLEBORGS LÄN</t>
        </is>
      </c>
      <c r="G1716" t="inlineStr">
        <is>
          <t>GÄVLE</t>
        </is>
      </c>
      <c r="I1716" t="n">
        <v>3</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22588-2023</t>
        </is>
      </c>
      <c r="B1717" t="inlineStr">
        <is>
          <t>avverkningsanmälan</t>
        </is>
      </c>
      <c r="C1717" t="inlineStr">
        <is>
          <t>Föryngringsavverkning</t>
        </is>
      </c>
      <c r="D1717" s="1" t="n">
        <v>45071</v>
      </c>
      <c r="E1717" s="1" t="n">
        <v>46326</v>
      </c>
      <c r="F1717" t="inlineStr">
        <is>
          <t>GÄVLEBORGS LÄN</t>
        </is>
      </c>
      <c r="G1717" t="inlineStr">
        <is>
          <t>HUDIKSVALL</t>
        </is>
      </c>
      <c r="I1717" t="n">
        <v>8.4</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19954-2023</t>
        </is>
      </c>
      <c r="B1718" t="inlineStr">
        <is>
          <t>avverkningsanmälan</t>
        </is>
      </c>
      <c r="C1718" t="inlineStr">
        <is>
          <t>Föryngringsavverkning</t>
        </is>
      </c>
      <c r="D1718" s="1" t="n">
        <v>45054</v>
      </c>
      <c r="E1718" s="1" t="n">
        <v>46326</v>
      </c>
      <c r="F1718" t="inlineStr">
        <is>
          <t>GÄVLEBORGS LÄN</t>
        </is>
      </c>
      <c r="G1718" t="inlineStr">
        <is>
          <t>LJUSDAL</t>
        </is>
      </c>
      <c r="H1718" t="inlineStr">
        <is>
          <t>Holmen skog AB</t>
        </is>
      </c>
      <c r="I1718" t="n">
        <v>6.1</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1072-2025</t>
        </is>
      </c>
      <c r="B1719" t="inlineStr">
        <is>
          <t>avverkningsanmälan</t>
        </is>
      </c>
      <c r="C1719" t="inlineStr">
        <is>
          <t>Föryngringsavverkning</t>
        </is>
      </c>
      <c r="D1719" s="1" t="n">
        <v>45666</v>
      </c>
      <c r="E1719" s="1" t="n">
        <v>46326</v>
      </c>
      <c r="F1719" t="inlineStr">
        <is>
          <t>GÄVLEBORGS LÄN</t>
        </is>
      </c>
      <c r="G1719" t="inlineStr">
        <is>
          <t>OVANÅKER</t>
        </is>
      </c>
      <c r="I1719" t="n">
        <v>0.5</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64015-2023</t>
        </is>
      </c>
      <c r="B1720" t="inlineStr">
        <is>
          <t>avverkningsanmälan</t>
        </is>
      </c>
      <c r="C1720" t="inlineStr">
        <is>
          <t>Föryngringsavverkning</t>
        </is>
      </c>
      <c r="D1720" s="1" t="n">
        <v>45278</v>
      </c>
      <c r="E1720" s="1" t="n">
        <v>46326</v>
      </c>
      <c r="F1720" t="inlineStr">
        <is>
          <t>GÄVLEBORGS LÄN</t>
        </is>
      </c>
      <c r="G1720" t="inlineStr">
        <is>
          <t>HUDIKSVALL</t>
        </is>
      </c>
      <c r="I1720" t="n">
        <v>1.4</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11438-2023</t>
        </is>
      </c>
      <c r="B1721" t="inlineStr">
        <is>
          <t>avverkningsanmälan</t>
        </is>
      </c>
      <c r="C1721" t="inlineStr">
        <is>
          <t>Föryngringsavverkning</t>
        </is>
      </c>
      <c r="D1721" s="1" t="n">
        <v>44988</v>
      </c>
      <c r="E1721" s="1" t="n">
        <v>46326</v>
      </c>
      <c r="F1721" t="inlineStr">
        <is>
          <t>GÄVLEBORGS LÄN</t>
        </is>
      </c>
      <c r="G1721" t="inlineStr">
        <is>
          <t>SANDVIKEN</t>
        </is>
      </c>
      <c r="I1721" t="n">
        <v>0.9</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65363-2021</t>
        </is>
      </c>
      <c r="B1722" t="inlineStr">
        <is>
          <t>avverkningsanmälan</t>
        </is>
      </c>
      <c r="C1722" t="inlineStr">
        <is>
          <t>Föryngringsavverkning</t>
        </is>
      </c>
      <c r="D1722" s="1" t="n">
        <v>44515</v>
      </c>
      <c r="E1722" s="1" t="n">
        <v>46326</v>
      </c>
      <c r="F1722" t="inlineStr">
        <is>
          <t>GÄVLEBORGS LÄN</t>
        </is>
      </c>
      <c r="G1722" t="inlineStr">
        <is>
          <t>HUDIKSVALL</t>
        </is>
      </c>
      <c r="I1722" t="n">
        <v>1.8</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11447-2023</t>
        </is>
      </c>
      <c r="B1723" t="inlineStr">
        <is>
          <t>avverkningsanmälan</t>
        </is>
      </c>
      <c r="C1723" t="inlineStr">
        <is>
          <t>Föryngringsavverkning</t>
        </is>
      </c>
      <c r="D1723" s="1" t="n">
        <v>44988</v>
      </c>
      <c r="E1723" s="1" t="n">
        <v>46326</v>
      </c>
      <c r="F1723" t="inlineStr">
        <is>
          <t>GÄVLEBORGS LÄN</t>
        </is>
      </c>
      <c r="G1723" t="inlineStr">
        <is>
          <t>SANDVIKEN</t>
        </is>
      </c>
      <c r="I1723" t="n">
        <v>1.6</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12166-2024</t>
        </is>
      </c>
      <c r="B1724" t="inlineStr">
        <is>
          <t>avverkningsanmälan</t>
        </is>
      </c>
      <c r="C1724" t="inlineStr">
        <is>
          <t>Föryngringsavverkning</t>
        </is>
      </c>
      <c r="D1724" s="1" t="n">
        <v>45377</v>
      </c>
      <c r="E1724" s="1" t="n">
        <v>46326</v>
      </c>
      <c r="F1724" t="inlineStr">
        <is>
          <t>GÄVLEBORGS LÄN</t>
        </is>
      </c>
      <c r="G1724" t="inlineStr">
        <is>
          <t>BOLLNÄS</t>
        </is>
      </c>
      <c r="I1724" t="n">
        <v>1.8</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51983-2024</t>
        </is>
      </c>
      <c r="B1725" t="inlineStr">
        <is>
          <t>avverkningsanmälan</t>
        </is>
      </c>
      <c r="C1725" t="inlineStr">
        <is>
          <t>Föryngringsavverkning</t>
        </is>
      </c>
      <c r="D1725" s="1" t="n">
        <v>45607</v>
      </c>
      <c r="E1725" s="1" t="n">
        <v>46326</v>
      </c>
      <c r="F1725" t="inlineStr">
        <is>
          <t>GÄVLEBORGS LÄN</t>
        </is>
      </c>
      <c r="G1725" t="inlineStr">
        <is>
          <t>BOLLNÄS</t>
        </is>
      </c>
      <c r="I1725" t="n">
        <v>0.4</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38667-2023</t>
        </is>
      </c>
      <c r="B1726" t="inlineStr">
        <is>
          <t>avverkningsanmälan</t>
        </is>
      </c>
      <c r="C1726" t="inlineStr">
        <is>
          <t>Föryngringsavverkning</t>
        </is>
      </c>
      <c r="D1726" s="1" t="n">
        <v>45162</v>
      </c>
      <c r="E1726" s="1" t="n">
        <v>46326</v>
      </c>
      <c r="F1726" t="inlineStr">
        <is>
          <t>GÄVLEBORGS LÄN</t>
        </is>
      </c>
      <c r="G1726" t="inlineStr">
        <is>
          <t>HUDIKSVALL</t>
        </is>
      </c>
      <c r="I1726" t="n">
        <v>2.5</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45299-2023</t>
        </is>
      </c>
      <c r="B1727" t="inlineStr">
        <is>
          <t>avverkningsanmälan</t>
        </is>
      </c>
      <c r="C1727" t="inlineStr">
        <is>
          <t>Föryngringsavverkning</t>
        </is>
      </c>
      <c r="D1727" s="1" t="n">
        <v>45191</v>
      </c>
      <c r="E1727" s="1" t="n">
        <v>46326</v>
      </c>
      <c r="F1727" t="inlineStr">
        <is>
          <t>GÄVLEBORGS LÄN</t>
        </is>
      </c>
      <c r="G1727" t="inlineStr">
        <is>
          <t>SANDVIKEN</t>
        </is>
      </c>
      <c r="H1727" t="inlineStr">
        <is>
          <t>Bergvik skog öst AB</t>
        </is>
      </c>
      <c r="I1727" t="n">
        <v>5.1</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13551-2025</t>
        </is>
      </c>
      <c r="B1728" t="inlineStr">
        <is>
          <t>avverkningsanmälan</t>
        </is>
      </c>
      <c r="C1728" t="inlineStr">
        <is>
          <t>Föryngringsavverkning</t>
        </is>
      </c>
      <c r="D1728" s="1" t="n">
        <v>45736</v>
      </c>
      <c r="E1728" s="1" t="n">
        <v>46326</v>
      </c>
      <c r="F1728" t="inlineStr">
        <is>
          <t>GÄVLEBORGS LÄN</t>
        </is>
      </c>
      <c r="G1728" t="inlineStr">
        <is>
          <t>LJUSDAL</t>
        </is>
      </c>
      <c r="I1728" t="n">
        <v>2.5</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59901-2022</t>
        </is>
      </c>
      <c r="B1729" t="inlineStr">
        <is>
          <t>avverkningsanmälan</t>
        </is>
      </c>
      <c r="C1729" t="inlineStr">
        <is>
          <t>Föryngringsavverkning</t>
        </is>
      </c>
      <c r="D1729" s="1" t="n">
        <v>44908</v>
      </c>
      <c r="E1729" s="1" t="n">
        <v>46326</v>
      </c>
      <c r="F1729" t="inlineStr">
        <is>
          <t>GÄVLEBORGS LÄN</t>
        </is>
      </c>
      <c r="G1729" t="inlineStr">
        <is>
          <t>LJUSDAL</t>
        </is>
      </c>
      <c r="I1729" t="n">
        <v>10.3</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15295-2025</t>
        </is>
      </c>
      <c r="B1730" t="inlineStr">
        <is>
          <t>avverkningsanmälan</t>
        </is>
      </c>
      <c r="C1730" t="inlineStr">
        <is>
          <t>Föryngringsavverkning</t>
        </is>
      </c>
      <c r="D1730" s="1" t="n">
        <v>45745</v>
      </c>
      <c r="E1730" s="1" t="n">
        <v>46326</v>
      </c>
      <c r="F1730" t="inlineStr">
        <is>
          <t>GÄVLEBORGS LÄN</t>
        </is>
      </c>
      <c r="G1730" t="inlineStr">
        <is>
          <t>LJUSDAL</t>
        </is>
      </c>
      <c r="I1730" t="n">
        <v>0.5</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61053-2023</t>
        </is>
      </c>
      <c r="B1731" t="inlineStr">
        <is>
          <t>avverkningsanmälan</t>
        </is>
      </c>
      <c r="C1731" t="inlineStr">
        <is>
          <t>Föryngringsavverkning</t>
        </is>
      </c>
      <c r="D1731" s="1" t="n">
        <v>45261</v>
      </c>
      <c r="E1731" s="1" t="n">
        <v>46326</v>
      </c>
      <c r="F1731" t="inlineStr">
        <is>
          <t>GÄVLEBORGS LÄN</t>
        </is>
      </c>
      <c r="G1731" t="inlineStr">
        <is>
          <t>LJUSDAL</t>
        </is>
      </c>
      <c r="I1731" t="n">
        <v>1.3</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58544-2023</t>
        </is>
      </c>
      <c r="B1732" t="inlineStr">
        <is>
          <t>avverkningsanmälan</t>
        </is>
      </c>
      <c r="C1732" t="inlineStr">
        <is>
          <t>Avverkning för annat ändamål</t>
        </is>
      </c>
      <c r="D1732" s="1" t="n">
        <v>45251</v>
      </c>
      <c r="E1732" s="1" t="n">
        <v>46326</v>
      </c>
      <c r="F1732" t="inlineStr">
        <is>
          <t>GÄVLEBORGS LÄN</t>
        </is>
      </c>
      <c r="G1732" t="inlineStr">
        <is>
          <t>SÖDERHAMN</t>
        </is>
      </c>
      <c r="H1732" t="inlineStr">
        <is>
          <t>Bergvik skog väst AB</t>
        </is>
      </c>
      <c r="I1732" t="n">
        <v>1.1</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61060-2023</t>
        </is>
      </c>
      <c r="B1733" t="inlineStr">
        <is>
          <t>avverkningsanmälan</t>
        </is>
      </c>
      <c r="C1733" t="inlineStr">
        <is>
          <t>Föryngringsavverkning</t>
        </is>
      </c>
      <c r="D1733" s="1" t="n">
        <v>45261</v>
      </c>
      <c r="E1733" s="1" t="n">
        <v>46326</v>
      </c>
      <c r="F1733" t="inlineStr">
        <is>
          <t>GÄVLEBORGS LÄN</t>
        </is>
      </c>
      <c r="G1733" t="inlineStr">
        <is>
          <t>BOLLNÄS</t>
        </is>
      </c>
      <c r="I1733" t="n">
        <v>0.5</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61092-2023</t>
        </is>
      </c>
      <c r="B1734" t="inlineStr">
        <is>
          <t>avverkningsanmälan</t>
        </is>
      </c>
      <c r="C1734" t="inlineStr">
        <is>
          <t>Föryngringsavverkning</t>
        </is>
      </c>
      <c r="D1734" s="1" t="n">
        <v>45261</v>
      </c>
      <c r="E1734" s="1" t="n">
        <v>46326</v>
      </c>
      <c r="F1734" t="inlineStr">
        <is>
          <t>GÄVLEBORGS LÄN</t>
        </is>
      </c>
      <c r="G1734" t="inlineStr">
        <is>
          <t>LJUSDAL</t>
        </is>
      </c>
      <c r="I1734" t="n">
        <v>1.1</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38793-2024</t>
        </is>
      </c>
      <c r="B1735" t="inlineStr">
        <is>
          <t>avverkningsanmälan</t>
        </is>
      </c>
      <c r="C1735" t="inlineStr">
        <is>
          <t>Föryngringsavverkning</t>
        </is>
      </c>
      <c r="D1735" s="1" t="n">
        <v>45547</v>
      </c>
      <c r="E1735" s="1" t="n">
        <v>46326</v>
      </c>
      <c r="F1735" t="inlineStr">
        <is>
          <t>GÄVLEBORGS LÄN</t>
        </is>
      </c>
      <c r="G1735" t="inlineStr">
        <is>
          <t>GÄVLE</t>
        </is>
      </c>
      <c r="I1735" t="n">
        <v>4.4</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33978-2024</t>
        </is>
      </c>
      <c r="B1736" t="inlineStr">
        <is>
          <t>avverkningsanmälan</t>
        </is>
      </c>
      <c r="C1736" t="inlineStr">
        <is>
          <t>Föryngringsavverkning</t>
        </is>
      </c>
      <c r="D1736" s="1" t="n">
        <v>45523</v>
      </c>
      <c r="E1736" s="1" t="n">
        <v>46326</v>
      </c>
      <c r="F1736" t="inlineStr">
        <is>
          <t>GÄVLEBORGS LÄN</t>
        </is>
      </c>
      <c r="G1736" t="inlineStr">
        <is>
          <t>HOFORS</t>
        </is>
      </c>
      <c r="I1736" t="n">
        <v>0.6</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33984-2024</t>
        </is>
      </c>
      <c r="B1737" t="inlineStr">
        <is>
          <t>avverkningsanmälan</t>
        </is>
      </c>
      <c r="C1737" t="inlineStr">
        <is>
          <t>Föryngringsavverkning</t>
        </is>
      </c>
      <c r="D1737" s="1" t="n">
        <v>45523</v>
      </c>
      <c r="E1737" s="1" t="n">
        <v>46326</v>
      </c>
      <c r="F1737" t="inlineStr">
        <is>
          <t>GÄVLEBORGS LÄN</t>
        </is>
      </c>
      <c r="G1737" t="inlineStr">
        <is>
          <t>HOFORS</t>
        </is>
      </c>
      <c r="I1737" t="n">
        <v>0.5</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34013-2024</t>
        </is>
      </c>
      <c r="B1738" t="inlineStr">
        <is>
          <t>avverkningsanmälan</t>
        </is>
      </c>
      <c r="C1738" t="inlineStr">
        <is>
          <t>Föryngringsavverkning</t>
        </is>
      </c>
      <c r="D1738" s="1" t="n">
        <v>45523</v>
      </c>
      <c r="E1738" s="1" t="n">
        <v>46326</v>
      </c>
      <c r="F1738" t="inlineStr">
        <is>
          <t>GÄVLEBORGS LÄN</t>
        </is>
      </c>
      <c r="G1738" t="inlineStr">
        <is>
          <t>SANDVIKEN</t>
        </is>
      </c>
      <c r="H1738" t="inlineStr">
        <is>
          <t>Bergvik skog öst AB</t>
        </is>
      </c>
      <c r="I1738" t="n">
        <v>5.2</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19724-2024</t>
        </is>
      </c>
      <c r="B1739" t="inlineStr">
        <is>
          <t>avverkningsanmälan</t>
        </is>
      </c>
      <c r="C1739" t="inlineStr">
        <is>
          <t>Föryngringsavverkning</t>
        </is>
      </c>
      <c r="D1739" s="1" t="n">
        <v>45432</v>
      </c>
      <c r="E1739" s="1" t="n">
        <v>46326</v>
      </c>
      <c r="F1739" t="inlineStr">
        <is>
          <t>GÄVLEBORGS LÄN</t>
        </is>
      </c>
      <c r="G1739" t="inlineStr">
        <is>
          <t>HUDIKSVALL</t>
        </is>
      </c>
      <c r="I1739" t="n">
        <v>0.6</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45318-2023</t>
        </is>
      </c>
      <c r="B1740" t="inlineStr">
        <is>
          <t>avverkningsanmälan</t>
        </is>
      </c>
      <c r="C1740" t="inlineStr">
        <is>
          <t>Föryngringsavverkning</t>
        </is>
      </c>
      <c r="D1740" s="1" t="n">
        <v>45191</v>
      </c>
      <c r="E1740" s="1" t="n">
        <v>46326</v>
      </c>
      <c r="F1740" t="inlineStr">
        <is>
          <t>GÄVLEBORGS LÄN</t>
        </is>
      </c>
      <c r="G1740" t="inlineStr">
        <is>
          <t>HUDIKSVALL</t>
        </is>
      </c>
      <c r="I1740" t="n">
        <v>1.8</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49448-2023</t>
        </is>
      </c>
      <c r="B1741" t="inlineStr">
        <is>
          <t>avverkningsanmälan</t>
        </is>
      </c>
      <c r="C1741" t="inlineStr">
        <is>
          <t>Föryngringsavverkning</t>
        </is>
      </c>
      <c r="D1741" s="1" t="n">
        <v>45211</v>
      </c>
      <c r="E1741" s="1" t="n">
        <v>46326</v>
      </c>
      <c r="F1741" t="inlineStr">
        <is>
          <t>GÄVLEBORGS LÄN</t>
        </is>
      </c>
      <c r="G1741" t="inlineStr">
        <is>
          <t>OCKELBO</t>
        </is>
      </c>
      <c r="H1741" t="inlineStr">
        <is>
          <t>Bergvik skog väst AB</t>
        </is>
      </c>
      <c r="I1741" t="n">
        <v>0.7</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43274-2023</t>
        </is>
      </c>
      <c r="B1742" t="inlineStr">
        <is>
          <t>avverkningsanmälan</t>
        </is>
      </c>
      <c r="C1742" t="inlineStr">
        <is>
          <t>Föryngringsavverkning</t>
        </is>
      </c>
      <c r="D1742" s="1" t="n">
        <v>45183</v>
      </c>
      <c r="E1742" s="1" t="n">
        <v>46326</v>
      </c>
      <c r="F1742" t="inlineStr">
        <is>
          <t>GÄVLEBORGS LÄN</t>
        </is>
      </c>
      <c r="G1742" t="inlineStr">
        <is>
          <t>OVANÅKER</t>
        </is>
      </c>
      <c r="I1742" t="n">
        <v>0.6</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43469-2023</t>
        </is>
      </c>
      <c r="B1743" t="inlineStr">
        <is>
          <t>avverkningsanmälan</t>
        </is>
      </c>
      <c r="C1743" t="inlineStr">
        <is>
          <t>Föryngringsavverkning</t>
        </is>
      </c>
      <c r="D1743" s="1" t="n">
        <v>45184</v>
      </c>
      <c r="E1743" s="1" t="n">
        <v>46326</v>
      </c>
      <c r="F1743" t="inlineStr">
        <is>
          <t>GÄVLEBORGS LÄN</t>
        </is>
      </c>
      <c r="G1743" t="inlineStr">
        <is>
          <t>HUDIKSVALL</t>
        </is>
      </c>
      <c r="I1743" t="n">
        <v>1.7</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37534-2023</t>
        </is>
      </c>
      <c r="B1744" t="inlineStr">
        <is>
          <t>avverkningsanmälan</t>
        </is>
      </c>
      <c r="C1744" t="inlineStr">
        <is>
          <t>Föryngringsavverkning</t>
        </is>
      </c>
      <c r="D1744" s="1" t="n">
        <v>45158</v>
      </c>
      <c r="E1744" s="1" t="n">
        <v>46326</v>
      </c>
      <c r="F1744" t="inlineStr">
        <is>
          <t>GÄVLEBORGS LÄN</t>
        </is>
      </c>
      <c r="G1744" t="inlineStr">
        <is>
          <t>GÄVLE</t>
        </is>
      </c>
      <c r="I1744" t="n">
        <v>3.6</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37538-2023</t>
        </is>
      </c>
      <c r="B1745" t="inlineStr">
        <is>
          <t>avverkningsanmälan</t>
        </is>
      </c>
      <c r="C1745" t="inlineStr">
        <is>
          <t>Föryngringsavverkning</t>
        </is>
      </c>
      <c r="D1745" s="1" t="n">
        <v>45158</v>
      </c>
      <c r="E1745" s="1" t="n">
        <v>46326</v>
      </c>
      <c r="F1745" t="inlineStr">
        <is>
          <t>GÄVLEBORGS LÄN</t>
        </is>
      </c>
      <c r="G1745" t="inlineStr">
        <is>
          <t>GÄVLE</t>
        </is>
      </c>
      <c r="I1745" t="n">
        <v>2.9</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61672-2023</t>
        </is>
      </c>
      <c r="B1746" t="inlineStr">
        <is>
          <t>avverkningsanmälan</t>
        </is>
      </c>
      <c r="C1746" t="inlineStr">
        <is>
          <t>Föryngringsavverkning</t>
        </is>
      </c>
      <c r="D1746" s="1" t="n">
        <v>45265</v>
      </c>
      <c r="E1746" s="1" t="n">
        <v>46326</v>
      </c>
      <c r="F1746" t="inlineStr">
        <is>
          <t>GÄVLEBORGS LÄN</t>
        </is>
      </c>
      <c r="G1746" t="inlineStr">
        <is>
          <t>GÄVLE</t>
        </is>
      </c>
      <c r="I1746" t="n">
        <v>1</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18250-2025</t>
        </is>
      </c>
      <c r="B1747" t="inlineStr">
        <is>
          <t>avverkningsanmälan</t>
        </is>
      </c>
      <c r="C1747" t="inlineStr">
        <is>
          <t>Föryngringsavverkning</t>
        </is>
      </c>
      <c r="D1747" s="1" t="n">
        <v>45762</v>
      </c>
      <c r="E1747" s="1" t="n">
        <v>46326</v>
      </c>
      <c r="F1747" t="inlineStr">
        <is>
          <t>GÄVLEBORGS LÄN</t>
        </is>
      </c>
      <c r="G1747" t="inlineStr">
        <is>
          <t>LJUSDAL</t>
        </is>
      </c>
      <c r="I1747" t="n">
        <v>1.9</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55423-2023</t>
        </is>
      </c>
      <c r="B1748" t="inlineStr">
        <is>
          <t>avverkningsanmälan</t>
        </is>
      </c>
      <c r="C1748" t="inlineStr">
        <is>
          <t>Föryngringsavverkning</t>
        </is>
      </c>
      <c r="D1748" s="1" t="n">
        <v>45238</v>
      </c>
      <c r="E1748" s="1" t="n">
        <v>46326</v>
      </c>
      <c r="F1748" t="inlineStr">
        <is>
          <t>GÄVLEBORGS LÄN</t>
        </is>
      </c>
      <c r="G1748" t="inlineStr">
        <is>
          <t>OVANÅKER</t>
        </is>
      </c>
      <c r="I1748" t="n">
        <v>1.3</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37767-2024</t>
        </is>
      </c>
      <c r="B1749" t="inlineStr">
        <is>
          <t>avverkningsanmälan</t>
        </is>
      </c>
      <c r="C1749" t="inlineStr">
        <is>
          <t>Föryngringsavverkning</t>
        </is>
      </c>
      <c r="D1749" s="1" t="n">
        <v>45541</v>
      </c>
      <c r="E1749" s="1" t="n">
        <v>46326</v>
      </c>
      <c r="F1749" t="inlineStr">
        <is>
          <t>GÄVLEBORGS LÄN</t>
        </is>
      </c>
      <c r="G1749" t="inlineStr">
        <is>
          <t>LJUSDAL</t>
        </is>
      </c>
      <c r="I1749" t="n">
        <v>0.9</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1712-2025</t>
        </is>
      </c>
      <c r="B1750" t="inlineStr">
        <is>
          <t>avverkningsanmälan</t>
        </is>
      </c>
      <c r="C1750" t="inlineStr">
        <is>
          <t>Föryngringsavverkning</t>
        </is>
      </c>
      <c r="D1750" s="1" t="n">
        <v>45671</v>
      </c>
      <c r="E1750" s="1" t="n">
        <v>46326</v>
      </c>
      <c r="F1750" t="inlineStr">
        <is>
          <t>GÄVLEBORGS LÄN</t>
        </is>
      </c>
      <c r="G1750" t="inlineStr">
        <is>
          <t>SANDVIKEN</t>
        </is>
      </c>
      <c r="I1750" t="n">
        <v>1.6</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35002-2023</t>
        </is>
      </c>
      <c r="B1751" t="inlineStr">
        <is>
          <t>avverkningsanmälan</t>
        </is>
      </c>
      <c r="C1751" t="inlineStr">
        <is>
          <t>Föryngringsavverkning</t>
        </is>
      </c>
      <c r="D1751" s="1" t="n">
        <v>45142</v>
      </c>
      <c r="E1751" s="1" t="n">
        <v>46326</v>
      </c>
      <c r="F1751" t="inlineStr">
        <is>
          <t>GÄVLEBORGS LÄN</t>
        </is>
      </c>
      <c r="G1751" t="inlineStr">
        <is>
          <t>HUDIKSVALL</t>
        </is>
      </c>
      <c r="I1751" t="n">
        <v>2.5</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21795-2022</t>
        </is>
      </c>
      <c r="B1752" t="inlineStr">
        <is>
          <t>avverkningsanmälan</t>
        </is>
      </c>
      <c r="C1752" t="inlineStr">
        <is>
          <t>Föryngringsavverkning</t>
        </is>
      </c>
      <c r="D1752" s="1" t="n">
        <v>44708</v>
      </c>
      <c r="E1752" s="1" t="n">
        <v>46326</v>
      </c>
      <c r="F1752" t="inlineStr">
        <is>
          <t>GÄVLEBORGS LÄN</t>
        </is>
      </c>
      <c r="G1752" t="inlineStr">
        <is>
          <t>GÄVLE</t>
        </is>
      </c>
      <c r="I1752" t="n">
        <v>0.9</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15877-2025</t>
        </is>
      </c>
      <c r="B1753" t="inlineStr">
        <is>
          <t>avverkningsanmälan</t>
        </is>
      </c>
      <c r="C1753" t="inlineStr">
        <is>
          <t>Föryngringsavverkning</t>
        </is>
      </c>
      <c r="D1753" s="1" t="n">
        <v>45749</v>
      </c>
      <c r="E1753" s="1" t="n">
        <v>46326</v>
      </c>
      <c r="F1753" t="inlineStr">
        <is>
          <t>GÄVLEBORGS LÄN</t>
        </is>
      </c>
      <c r="G1753" t="inlineStr">
        <is>
          <t>SÖDERHAMN</t>
        </is>
      </c>
      <c r="I1753" t="n">
        <v>1.4</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42067-2023</t>
        </is>
      </c>
      <c r="B1754" t="inlineStr">
        <is>
          <t>avverkningsanmälan</t>
        </is>
      </c>
      <c r="C1754" t="inlineStr">
        <is>
          <t>Föryngringsavverkning</t>
        </is>
      </c>
      <c r="D1754" s="1" t="n">
        <v>45177</v>
      </c>
      <c r="E1754" s="1" t="n">
        <v>46326</v>
      </c>
      <c r="F1754" t="inlineStr">
        <is>
          <t>GÄVLEBORGS LÄN</t>
        </is>
      </c>
      <c r="G1754" t="inlineStr">
        <is>
          <t>OVANÅKER</t>
        </is>
      </c>
      <c r="I1754" t="n">
        <v>5.8</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50830-2024</t>
        </is>
      </c>
      <c r="B1755" t="inlineStr">
        <is>
          <t>avverkningsanmälan</t>
        </is>
      </c>
      <c r="C1755" t="inlineStr">
        <is>
          <t>Föryngringsavverkning</t>
        </is>
      </c>
      <c r="D1755" s="1" t="n">
        <v>45602</v>
      </c>
      <c r="E1755" s="1" t="n">
        <v>46326</v>
      </c>
      <c r="F1755" t="inlineStr">
        <is>
          <t>GÄVLEBORGS LÄN</t>
        </is>
      </c>
      <c r="G1755" t="inlineStr">
        <is>
          <t>LJUSDAL</t>
        </is>
      </c>
      <c r="H1755" t="inlineStr">
        <is>
          <t>Holmen skog AB</t>
        </is>
      </c>
      <c r="I1755" t="n">
        <v>16.9</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39710-2023</t>
        </is>
      </c>
      <c r="B1756" t="inlineStr">
        <is>
          <t>avverkningsanmälan</t>
        </is>
      </c>
      <c r="C1756" t="inlineStr">
        <is>
          <t>Föryngringsavverkning</t>
        </is>
      </c>
      <c r="D1756" s="1" t="n">
        <v>45167</v>
      </c>
      <c r="E1756" s="1" t="n">
        <v>46326</v>
      </c>
      <c r="F1756" t="inlineStr">
        <is>
          <t>GÄVLEBORGS LÄN</t>
        </is>
      </c>
      <c r="G1756" t="inlineStr">
        <is>
          <t>OCKELBO</t>
        </is>
      </c>
      <c r="I1756" t="n">
        <v>0.5</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59048-2024</t>
        </is>
      </c>
      <c r="B1757" t="inlineStr">
        <is>
          <t>avverkningsanmälan</t>
        </is>
      </c>
      <c r="C1757" t="inlineStr">
        <is>
          <t>Föryngringsavverkning</t>
        </is>
      </c>
      <c r="D1757" s="1" t="n">
        <v>45636</v>
      </c>
      <c r="E1757" s="1" t="n">
        <v>46326</v>
      </c>
      <c r="F1757" t="inlineStr">
        <is>
          <t>GÄVLEBORGS LÄN</t>
        </is>
      </c>
      <c r="G1757" t="inlineStr">
        <is>
          <t>SÖDERHAMN</t>
        </is>
      </c>
      <c r="I1757" t="n">
        <v>1.3</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16093-2024</t>
        </is>
      </c>
      <c r="B1758" t="inlineStr">
        <is>
          <t>avverkningsanmälan</t>
        </is>
      </c>
      <c r="C1758" t="inlineStr">
        <is>
          <t>Föryngringsavverkning</t>
        </is>
      </c>
      <c r="D1758" s="1" t="n">
        <v>45406</v>
      </c>
      <c r="E1758" s="1" t="n">
        <v>46326</v>
      </c>
      <c r="F1758" t="inlineStr">
        <is>
          <t>GÄVLEBORGS LÄN</t>
        </is>
      </c>
      <c r="G1758" t="inlineStr">
        <is>
          <t>HUDIKSVALL</t>
        </is>
      </c>
      <c r="I1758" t="n">
        <v>1</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6581-2022</t>
        </is>
      </c>
      <c r="B1759" t="inlineStr">
        <is>
          <t>avverkningsanmälan</t>
        </is>
      </c>
      <c r="C1759" t="inlineStr">
        <is>
          <t>Föryngringsavverkning</t>
        </is>
      </c>
      <c r="D1759" s="1" t="n">
        <v>44601</v>
      </c>
      <c r="E1759" s="1" t="n">
        <v>46326</v>
      </c>
      <c r="F1759" t="inlineStr">
        <is>
          <t>GÄVLEBORGS LÄN</t>
        </is>
      </c>
      <c r="G1759" t="inlineStr">
        <is>
          <t>NORDANSTIG</t>
        </is>
      </c>
      <c r="I1759" t="n">
        <v>3.6</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591-2024</t>
        </is>
      </c>
      <c r="B1760" t="inlineStr">
        <is>
          <t>avverkningsanmälan</t>
        </is>
      </c>
      <c r="C1760" t="inlineStr">
        <is>
          <t>Föryngringsavverkning</t>
        </is>
      </c>
      <c r="D1760" s="1" t="n">
        <v>45299</v>
      </c>
      <c r="E1760" s="1" t="n">
        <v>46326</v>
      </c>
      <c r="F1760" t="inlineStr">
        <is>
          <t>GÄVLEBORGS LÄN</t>
        </is>
      </c>
      <c r="G1760" t="inlineStr">
        <is>
          <t>LJUSDAL</t>
        </is>
      </c>
      <c r="I1760" t="n">
        <v>14.1</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50712-2024</t>
        </is>
      </c>
      <c r="B1761" t="inlineStr">
        <is>
          <t>avverkningsanmälan</t>
        </is>
      </c>
      <c r="C1761" t="inlineStr">
        <is>
          <t>Föryngringsavverkning</t>
        </is>
      </c>
      <c r="D1761" s="1" t="n">
        <v>45602</v>
      </c>
      <c r="E1761" s="1" t="n">
        <v>46326</v>
      </c>
      <c r="F1761" t="inlineStr">
        <is>
          <t>GÄVLEBORGS LÄN</t>
        </is>
      </c>
      <c r="G1761" t="inlineStr">
        <is>
          <t>LJUSDAL</t>
        </is>
      </c>
      <c r="I1761" t="n">
        <v>0.9</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549-2024</t>
        </is>
      </c>
      <c r="B1762" t="inlineStr">
        <is>
          <t>avverkningsanmälan</t>
        </is>
      </c>
      <c r="C1762" t="inlineStr">
        <is>
          <t>Avverkning för annat ändamål</t>
        </is>
      </c>
      <c r="D1762" s="1" t="n">
        <v>45299</v>
      </c>
      <c r="E1762" s="1" t="n">
        <v>46326</v>
      </c>
      <c r="F1762" t="inlineStr">
        <is>
          <t>GÄVLEBORGS LÄN</t>
        </is>
      </c>
      <c r="G1762" t="inlineStr">
        <is>
          <t>BOLLNÄS</t>
        </is>
      </c>
      <c r="I1762" t="n">
        <v>0.7</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71068-2021</t>
        </is>
      </c>
      <c r="B1763" t="inlineStr">
        <is>
          <t>avverkningsanmälan</t>
        </is>
      </c>
      <c r="C1763" t="inlineStr">
        <is>
          <t>Avverkning för annat ändamål</t>
        </is>
      </c>
      <c r="D1763" s="1" t="n">
        <v>44538</v>
      </c>
      <c r="E1763" s="1" t="n">
        <v>46326</v>
      </c>
      <c r="F1763" t="inlineStr">
        <is>
          <t>GÄVLEBORGS LÄN</t>
        </is>
      </c>
      <c r="G1763" t="inlineStr">
        <is>
          <t>LJUSDAL</t>
        </is>
      </c>
      <c r="I1763" t="n">
        <v>5.8</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27050-2024</t>
        </is>
      </c>
      <c r="B1764" t="inlineStr">
        <is>
          <t>avverkningsanmälan</t>
        </is>
      </c>
      <c r="C1764" t="inlineStr">
        <is>
          <t>Föryngringsavverkning</t>
        </is>
      </c>
      <c r="D1764" s="1" t="n">
        <v>45471</v>
      </c>
      <c r="E1764" s="1" t="n">
        <v>46326</v>
      </c>
      <c r="F1764" t="inlineStr">
        <is>
          <t>GÄVLEBORGS LÄN</t>
        </is>
      </c>
      <c r="G1764" t="inlineStr">
        <is>
          <t>SÖDERHAMN</t>
        </is>
      </c>
      <c r="H1764" t="inlineStr">
        <is>
          <t>Kommuner</t>
        </is>
      </c>
      <c r="I1764" t="n">
        <v>10.8</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45562-2022</t>
        </is>
      </c>
      <c r="B1765" t="inlineStr">
        <is>
          <t>avverkningsanmälan</t>
        </is>
      </c>
      <c r="C1765" t="inlineStr">
        <is>
          <t>Föryngringsavverkning</t>
        </is>
      </c>
      <c r="D1765" s="1" t="n">
        <v>44845</v>
      </c>
      <c r="E1765" s="1" t="n">
        <v>46326</v>
      </c>
      <c r="F1765" t="inlineStr">
        <is>
          <t>GÄVLEBORGS LÄN</t>
        </is>
      </c>
      <c r="G1765" t="inlineStr">
        <is>
          <t>SANDVIKEN</t>
        </is>
      </c>
      <c r="I1765" t="n">
        <v>1.5</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7485-2025</t>
        </is>
      </c>
      <c r="B1766" t="inlineStr">
        <is>
          <t>avverkningsanmälan</t>
        </is>
      </c>
      <c r="C1766" t="inlineStr">
        <is>
          <t>Föryngringsavverkning</t>
        </is>
      </c>
      <c r="D1766" s="1" t="n">
        <v>45705</v>
      </c>
      <c r="E1766" s="1" t="n">
        <v>46326</v>
      </c>
      <c r="F1766" t="inlineStr">
        <is>
          <t>GÄVLEBORGS LÄN</t>
        </is>
      </c>
      <c r="G1766" t="inlineStr">
        <is>
          <t>HUDIKSVALL</t>
        </is>
      </c>
      <c r="H1766" t="inlineStr">
        <is>
          <t>Holmen skog AB</t>
        </is>
      </c>
      <c r="I1766" t="n">
        <v>9.199999999999999</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64587-2023</t>
        </is>
      </c>
      <c r="B1767" t="inlineStr">
        <is>
          <t>avverkningsanmälan</t>
        </is>
      </c>
      <c r="C1767" t="inlineStr">
        <is>
          <t>Föryngringsavverkning</t>
        </is>
      </c>
      <c r="D1767" s="1" t="n">
        <v>45281</v>
      </c>
      <c r="E1767" s="1" t="n">
        <v>46326</v>
      </c>
      <c r="F1767" t="inlineStr">
        <is>
          <t>GÄVLEBORGS LÄN</t>
        </is>
      </c>
      <c r="G1767" t="inlineStr">
        <is>
          <t>SANDVIKEN</t>
        </is>
      </c>
      <c r="I1767" t="n">
        <v>1.3</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64593-2023</t>
        </is>
      </c>
      <c r="B1768" t="inlineStr">
        <is>
          <t>avverkningsanmälan</t>
        </is>
      </c>
      <c r="C1768" t="inlineStr">
        <is>
          <t>Avverkning för annat ändamål</t>
        </is>
      </c>
      <c r="D1768" s="1" t="n">
        <v>45281</v>
      </c>
      <c r="E1768" s="1" t="n">
        <v>46326</v>
      </c>
      <c r="F1768" t="inlineStr">
        <is>
          <t>GÄVLEBORGS LÄN</t>
        </is>
      </c>
      <c r="G1768" t="inlineStr">
        <is>
          <t>HUDIKSVALL</t>
        </is>
      </c>
      <c r="H1768" t="inlineStr">
        <is>
          <t>Holmen skog AB</t>
        </is>
      </c>
      <c r="I1768" t="n">
        <v>0.9</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49704-2023</t>
        </is>
      </c>
      <c r="B1769" t="inlineStr">
        <is>
          <t>avverkningsanmälan</t>
        </is>
      </c>
      <c r="C1769" t="inlineStr">
        <is>
          <t>Avverkning för att bevara och utveckla /försöksver</t>
        </is>
      </c>
      <c r="D1769" s="1" t="n">
        <v>45212</v>
      </c>
      <c r="E1769" s="1" t="n">
        <v>46326</v>
      </c>
      <c r="F1769" t="inlineStr">
        <is>
          <t>GÄVLEBORGS LÄN</t>
        </is>
      </c>
      <c r="G1769" t="inlineStr">
        <is>
          <t>SANDVIKEN</t>
        </is>
      </c>
      <c r="H1769" t="inlineStr">
        <is>
          <t>Sveaskog</t>
        </is>
      </c>
      <c r="I1769" t="n">
        <v>0.5</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58723-2022</t>
        </is>
      </c>
      <c r="B1770" t="inlineStr">
        <is>
          <t>avverkningsanmälan</t>
        </is>
      </c>
      <c r="C1770" t="inlineStr">
        <is>
          <t>Föryngringsavverkning</t>
        </is>
      </c>
      <c r="D1770" s="1" t="n">
        <v>44902</v>
      </c>
      <c r="E1770" s="1" t="n">
        <v>46326</v>
      </c>
      <c r="F1770" t="inlineStr">
        <is>
          <t>GÄVLEBORGS LÄN</t>
        </is>
      </c>
      <c r="G1770" t="inlineStr">
        <is>
          <t>HUDIKSVALL</t>
        </is>
      </c>
      <c r="I1770" t="n">
        <v>0.7</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1458-2023</t>
        </is>
      </c>
      <c r="B1771" t="inlineStr">
        <is>
          <t>avverkningsanmälan</t>
        </is>
      </c>
      <c r="C1771" t="inlineStr">
        <is>
          <t>Avverkning för annat ändamål</t>
        </is>
      </c>
      <c r="D1771" s="1" t="n">
        <v>44937</v>
      </c>
      <c r="E1771" s="1" t="n">
        <v>46326</v>
      </c>
      <c r="F1771" t="inlineStr">
        <is>
          <t>GÄVLEBORGS LÄN</t>
        </is>
      </c>
      <c r="G1771" t="inlineStr">
        <is>
          <t>SÖDERHAMN</t>
        </is>
      </c>
      <c r="I1771" t="n">
        <v>1</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12018-2024</t>
        </is>
      </c>
      <c r="B1772" t="inlineStr">
        <is>
          <t>avverkningsanmälan</t>
        </is>
      </c>
      <c r="C1772" t="inlineStr">
        <is>
          <t>Föryngringsavverkning</t>
        </is>
      </c>
      <c r="D1772" s="1" t="n">
        <v>45377</v>
      </c>
      <c r="E1772" s="1" t="n">
        <v>46326</v>
      </c>
      <c r="F1772" t="inlineStr">
        <is>
          <t>GÄVLEBORGS LÄN</t>
        </is>
      </c>
      <c r="G1772" t="inlineStr">
        <is>
          <t>BOLLNÄS</t>
        </is>
      </c>
      <c r="I1772" t="n">
        <v>2.7</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12023-2024</t>
        </is>
      </c>
      <c r="B1773" t="inlineStr">
        <is>
          <t>avverkningsanmälan</t>
        </is>
      </c>
      <c r="C1773" t="inlineStr">
        <is>
          <t>Föryngringsavverkning</t>
        </is>
      </c>
      <c r="D1773" s="1" t="n">
        <v>45377</v>
      </c>
      <c r="E1773" s="1" t="n">
        <v>46326</v>
      </c>
      <c r="F1773" t="inlineStr">
        <is>
          <t>GÄVLEBORGS LÄN</t>
        </is>
      </c>
      <c r="G1773" t="inlineStr">
        <is>
          <t>BOLLNÄS</t>
        </is>
      </c>
      <c r="I1773" t="n">
        <v>1</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54820-2024</t>
        </is>
      </c>
      <c r="B1774" t="inlineStr">
        <is>
          <t>avverkningsanmälan</t>
        </is>
      </c>
      <c r="C1774" t="inlineStr">
        <is>
          <t>Föryngringsavverkning</t>
        </is>
      </c>
      <c r="D1774" s="1" t="n">
        <v>45618</v>
      </c>
      <c r="E1774" s="1" t="n">
        <v>46326</v>
      </c>
      <c r="F1774" t="inlineStr">
        <is>
          <t>GÄVLEBORGS LÄN</t>
        </is>
      </c>
      <c r="G1774" t="inlineStr">
        <is>
          <t>LJUSDAL</t>
        </is>
      </c>
      <c r="I1774" t="n">
        <v>2.8</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55276-2024</t>
        </is>
      </c>
      <c r="B1775" t="inlineStr">
        <is>
          <t>avverkningsanmälan</t>
        </is>
      </c>
      <c r="C1775" t="inlineStr">
        <is>
          <t>Föryngringsavverkning</t>
        </is>
      </c>
      <c r="D1775" s="1" t="n">
        <v>45621</v>
      </c>
      <c r="E1775" s="1" t="n">
        <v>46326</v>
      </c>
      <c r="F1775" t="inlineStr">
        <is>
          <t>GÄVLEBORGS LÄN</t>
        </is>
      </c>
      <c r="G1775" t="inlineStr">
        <is>
          <t>NORDANSTIG</t>
        </is>
      </c>
      <c r="H1775" t="inlineStr">
        <is>
          <t>Holmen skog AB</t>
        </is>
      </c>
      <c r="I1775" t="n">
        <v>1.3</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9309-2022</t>
        </is>
      </c>
      <c r="B1776" t="inlineStr">
        <is>
          <t>avverkningsanmälan</t>
        </is>
      </c>
      <c r="C1776" t="inlineStr">
        <is>
          <t>Föryngringsavverkning</t>
        </is>
      </c>
      <c r="D1776" s="1" t="n">
        <v>44616</v>
      </c>
      <c r="E1776" s="1" t="n">
        <v>46326</v>
      </c>
      <c r="F1776" t="inlineStr">
        <is>
          <t>GÄVLEBORGS LÄN</t>
        </is>
      </c>
      <c r="G1776" t="inlineStr">
        <is>
          <t>HUDIKSVALL</t>
        </is>
      </c>
      <c r="I1776" t="n">
        <v>1.7</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45807-2022</t>
        </is>
      </c>
      <c r="B1777" t="inlineStr">
        <is>
          <t>avverkningsanmälan</t>
        </is>
      </c>
      <c r="C1777" t="inlineStr">
        <is>
          <t>Föryngringsavverkning</t>
        </is>
      </c>
      <c r="D1777" s="1" t="n">
        <v>44846</v>
      </c>
      <c r="E1777" s="1" t="n">
        <v>46326</v>
      </c>
      <c r="F1777" t="inlineStr">
        <is>
          <t>GÄVLEBORGS LÄN</t>
        </is>
      </c>
      <c r="G1777" t="inlineStr">
        <is>
          <t>SÖDERHAMN</t>
        </is>
      </c>
      <c r="I1777" t="n">
        <v>1.2</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58423-2022</t>
        </is>
      </c>
      <c r="B1778" t="inlineStr">
        <is>
          <t>avverkningsanmälan</t>
        </is>
      </c>
      <c r="C1778" t="inlineStr">
        <is>
          <t>Föryngringsavverkning</t>
        </is>
      </c>
      <c r="D1778" s="1" t="n">
        <v>44901</v>
      </c>
      <c r="E1778" s="1" t="n">
        <v>46326</v>
      </c>
      <c r="F1778" t="inlineStr">
        <is>
          <t>GÄVLEBORGS LÄN</t>
        </is>
      </c>
      <c r="G1778" t="inlineStr">
        <is>
          <t>HUDIKSVALL</t>
        </is>
      </c>
      <c r="I1778" t="n">
        <v>1</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48310-2023</t>
        </is>
      </c>
      <c r="B1779" t="inlineStr">
        <is>
          <t>avverkningsanmälan</t>
        </is>
      </c>
      <c r="C1779" t="inlineStr">
        <is>
          <t>Föryngringsavverkning</t>
        </is>
      </c>
      <c r="D1779" s="1" t="n">
        <v>45205</v>
      </c>
      <c r="E1779" s="1" t="n">
        <v>46326</v>
      </c>
      <c r="F1779" t="inlineStr">
        <is>
          <t>GÄVLEBORGS LÄN</t>
        </is>
      </c>
      <c r="G1779" t="inlineStr">
        <is>
          <t>BOLLNÄS</t>
        </is>
      </c>
      <c r="I1779" t="n">
        <v>1.9</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58467-2022</t>
        </is>
      </c>
      <c r="B1780" t="inlineStr">
        <is>
          <t>avverkningsanmälan</t>
        </is>
      </c>
      <c r="C1780" t="inlineStr">
        <is>
          <t>Föryngringsavverkning</t>
        </is>
      </c>
      <c r="D1780" s="1" t="n">
        <v>44902</v>
      </c>
      <c r="E1780" s="1" t="n">
        <v>46326</v>
      </c>
      <c r="F1780" t="inlineStr">
        <is>
          <t>GÄVLEBORGS LÄN</t>
        </is>
      </c>
      <c r="G1780" t="inlineStr">
        <is>
          <t>OVANÅKER</t>
        </is>
      </c>
      <c r="H1780" t="inlineStr">
        <is>
          <t>Bergvik skog väst AB</t>
        </is>
      </c>
      <c r="I1780" t="n">
        <v>2.7</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58530-2022</t>
        </is>
      </c>
      <c r="B1781" t="inlineStr">
        <is>
          <t>avverkningsanmälan</t>
        </is>
      </c>
      <c r="C1781" t="inlineStr">
        <is>
          <t>Föryngringsavverkning</t>
        </is>
      </c>
      <c r="D1781" s="1" t="n">
        <v>44902</v>
      </c>
      <c r="E1781" s="1" t="n">
        <v>46326</v>
      </c>
      <c r="F1781" t="inlineStr">
        <is>
          <t>GÄVLEBORGS LÄN</t>
        </is>
      </c>
      <c r="G1781" t="inlineStr">
        <is>
          <t>LJUSDAL</t>
        </is>
      </c>
      <c r="I1781" t="n">
        <v>4.8</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30240-2023</t>
        </is>
      </c>
      <c r="B1782" t="inlineStr">
        <is>
          <t>avverkningsanmälan</t>
        </is>
      </c>
      <c r="C1782" t="inlineStr">
        <is>
          <t>Föryngringsavverkning</t>
        </is>
      </c>
      <c r="D1782" s="1" t="n">
        <v>45110</v>
      </c>
      <c r="E1782" s="1" t="n">
        <v>46326</v>
      </c>
      <c r="F1782" t="inlineStr">
        <is>
          <t>GÄVLEBORGS LÄN</t>
        </is>
      </c>
      <c r="G1782" t="inlineStr">
        <is>
          <t>LJUSDAL</t>
        </is>
      </c>
      <c r="H1782" t="inlineStr">
        <is>
          <t>Sveaskog</t>
        </is>
      </c>
      <c r="I1782" t="n">
        <v>0.5</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38220-2024</t>
        </is>
      </c>
      <c r="B1783" t="inlineStr">
        <is>
          <t>avverkningsanmälan</t>
        </is>
      </c>
      <c r="C1783" t="inlineStr">
        <is>
          <t>Föryngringsavverkning</t>
        </is>
      </c>
      <c r="D1783" s="1" t="n">
        <v>45545</v>
      </c>
      <c r="E1783" s="1" t="n">
        <v>46326</v>
      </c>
      <c r="F1783" t="inlineStr">
        <is>
          <t>GÄVLEBORGS LÄN</t>
        </is>
      </c>
      <c r="G1783" t="inlineStr">
        <is>
          <t>HUDIKSVALL</t>
        </is>
      </c>
      <c r="H1783" t="inlineStr">
        <is>
          <t>Holmen skog AB</t>
        </is>
      </c>
      <c r="I1783" t="n">
        <v>1.9</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54236-2023</t>
        </is>
      </c>
      <c r="B1784" t="inlineStr">
        <is>
          <t>avverkningsanmälan</t>
        </is>
      </c>
      <c r="C1784" t="inlineStr">
        <is>
          <t>Föryngringsavverkning</t>
        </is>
      </c>
      <c r="D1784" s="1" t="n">
        <v>45232</v>
      </c>
      <c r="E1784" s="1" t="n">
        <v>46326</v>
      </c>
      <c r="F1784" t="inlineStr">
        <is>
          <t>GÄVLEBORGS LÄN</t>
        </is>
      </c>
      <c r="G1784" t="inlineStr">
        <is>
          <t>BOLLNÄS</t>
        </is>
      </c>
      <c r="I1784" t="n">
        <v>1.7</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16431-2025</t>
        </is>
      </c>
      <c r="B1785" t="inlineStr">
        <is>
          <t>avverkningsanmälan</t>
        </is>
      </c>
      <c r="C1785" t="inlineStr">
        <is>
          <t>Föryngringsavverkning</t>
        </is>
      </c>
      <c r="D1785" s="1" t="n">
        <v>45751</v>
      </c>
      <c r="E1785" s="1" t="n">
        <v>46326</v>
      </c>
      <c r="F1785" t="inlineStr">
        <is>
          <t>GÄVLEBORGS LÄN</t>
        </is>
      </c>
      <c r="G1785" t="inlineStr">
        <is>
          <t>OVANÅKER</t>
        </is>
      </c>
      <c r="H1785" t="inlineStr">
        <is>
          <t>Bergvik skog öst AB</t>
        </is>
      </c>
      <c r="I1785" t="n">
        <v>2</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42942-2024</t>
        </is>
      </c>
      <c r="B1786" t="inlineStr">
        <is>
          <t>avverkningsanmälan</t>
        </is>
      </c>
      <c r="C1786" t="inlineStr">
        <is>
          <t>Föryngringsavverkning</t>
        </is>
      </c>
      <c r="D1786" s="1" t="n">
        <v>45567</v>
      </c>
      <c r="E1786" s="1" t="n">
        <v>46326</v>
      </c>
      <c r="F1786" t="inlineStr">
        <is>
          <t>GÄVLEBORGS LÄN</t>
        </is>
      </c>
      <c r="G1786" t="inlineStr">
        <is>
          <t>HUDIKSVALL</t>
        </is>
      </c>
      <c r="H1786" t="inlineStr">
        <is>
          <t>Holmen skog AB</t>
        </is>
      </c>
      <c r="I1786" t="n">
        <v>5.4</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1820-2024</t>
        </is>
      </c>
      <c r="B1787" t="inlineStr">
        <is>
          <t>avverkningsanmälan</t>
        </is>
      </c>
      <c r="C1787" t="inlineStr">
        <is>
          <t>Föryngringsavverkning</t>
        </is>
      </c>
      <c r="D1787" s="1" t="n">
        <v>45307</v>
      </c>
      <c r="E1787" s="1" t="n">
        <v>46326</v>
      </c>
      <c r="F1787" t="inlineStr">
        <is>
          <t>GÄVLEBORGS LÄN</t>
        </is>
      </c>
      <c r="G1787" t="inlineStr">
        <is>
          <t>LJUSDAL</t>
        </is>
      </c>
      <c r="I1787" t="n">
        <v>2.2</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2658-2024</t>
        </is>
      </c>
      <c r="B1788" t="inlineStr">
        <is>
          <t>avverkningsanmälan</t>
        </is>
      </c>
      <c r="C1788" t="inlineStr">
        <is>
          <t>Föryngringsavverkning</t>
        </is>
      </c>
      <c r="D1788" s="1" t="n">
        <v>45314</v>
      </c>
      <c r="E1788" s="1" t="n">
        <v>46326</v>
      </c>
      <c r="F1788" t="inlineStr">
        <is>
          <t>GÄVLEBORGS LÄN</t>
        </is>
      </c>
      <c r="G1788" t="inlineStr">
        <is>
          <t>HUDIKSVALL</t>
        </is>
      </c>
      <c r="H1788" t="inlineStr">
        <is>
          <t>Holmen skog AB</t>
        </is>
      </c>
      <c r="I1788" t="n">
        <v>0.4</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59063-2023</t>
        </is>
      </c>
      <c r="B1789" t="inlineStr">
        <is>
          <t>avverkningsanmälan</t>
        </is>
      </c>
      <c r="C1789" t="inlineStr">
        <is>
          <t>Föryngringsavverkning</t>
        </is>
      </c>
      <c r="D1789" s="1" t="n">
        <v>45252</v>
      </c>
      <c r="E1789" s="1" t="n">
        <v>46326</v>
      </c>
      <c r="F1789" t="inlineStr">
        <is>
          <t>GÄVLEBORGS LÄN</t>
        </is>
      </c>
      <c r="G1789" t="inlineStr">
        <is>
          <t>OCKELBO</t>
        </is>
      </c>
      <c r="I1789" t="n">
        <v>2.3</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40241-2023</t>
        </is>
      </c>
      <c r="B1790" t="inlineStr">
        <is>
          <t>avverkningsanmälan</t>
        </is>
      </c>
      <c r="C1790" t="inlineStr">
        <is>
          <t>Avverkning för att bevara och utveckla /försöksver</t>
        </is>
      </c>
      <c r="D1790" s="1" t="n">
        <v>45169</v>
      </c>
      <c r="E1790" s="1" t="n">
        <v>46326</v>
      </c>
      <c r="F1790" t="inlineStr">
        <is>
          <t>GÄVLEBORGS LÄN</t>
        </is>
      </c>
      <c r="G1790" t="inlineStr">
        <is>
          <t>NORDANSTIG</t>
        </is>
      </c>
      <c r="H1790" t="inlineStr">
        <is>
          <t>Holmen skog AB</t>
        </is>
      </c>
      <c r="I1790" t="n">
        <v>4.3</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63798-2023</t>
        </is>
      </c>
      <c r="B1791" t="inlineStr">
        <is>
          <t>avverkningsanmälan</t>
        </is>
      </c>
      <c r="C1791" t="inlineStr">
        <is>
          <t>Föryngringsavverkning</t>
        </is>
      </c>
      <c r="D1791" s="1" t="n">
        <v>45278</v>
      </c>
      <c r="E1791" s="1" t="n">
        <v>46326</v>
      </c>
      <c r="F1791" t="inlineStr">
        <is>
          <t>GÄVLEBORGS LÄN</t>
        </is>
      </c>
      <c r="G1791" t="inlineStr">
        <is>
          <t>SÖDERHAMN</t>
        </is>
      </c>
      <c r="I1791" t="n">
        <v>1</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23187-2023</t>
        </is>
      </c>
      <c r="B1792" t="inlineStr">
        <is>
          <t>avverkningsanmälan</t>
        </is>
      </c>
      <c r="C1792" t="inlineStr">
        <is>
          <t>Avverkning för annat ändamål</t>
        </is>
      </c>
      <c r="D1792" s="1" t="n">
        <v>45075</v>
      </c>
      <c r="E1792" s="1" t="n">
        <v>46326</v>
      </c>
      <c r="F1792" t="inlineStr">
        <is>
          <t>GÄVLEBORGS LÄN</t>
        </is>
      </c>
      <c r="G1792" t="inlineStr">
        <is>
          <t>HUDIKSVALL</t>
        </is>
      </c>
      <c r="H1792" t="inlineStr">
        <is>
          <t>Kommuner</t>
        </is>
      </c>
      <c r="I1792" t="n">
        <v>0.3</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43007-2023</t>
        </is>
      </c>
      <c r="B1793" t="inlineStr">
        <is>
          <t>avverkningsanmälan</t>
        </is>
      </c>
      <c r="C1793" t="inlineStr">
        <is>
          <t>Föryngringsavverkning</t>
        </is>
      </c>
      <c r="D1793" s="1" t="n">
        <v>45182</v>
      </c>
      <c r="E1793" s="1" t="n">
        <v>46326</v>
      </c>
      <c r="F1793" t="inlineStr">
        <is>
          <t>GÄVLEBORGS LÄN</t>
        </is>
      </c>
      <c r="G1793" t="inlineStr">
        <is>
          <t>HUDIKSVALL</t>
        </is>
      </c>
      <c r="H1793" t="inlineStr">
        <is>
          <t>Holmen skog AB</t>
        </is>
      </c>
      <c r="I1793" t="n">
        <v>5.8</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37458-2024</t>
        </is>
      </c>
      <c r="B1794" t="inlineStr">
        <is>
          <t>avverkningsanmälan</t>
        </is>
      </c>
      <c r="C1794" t="inlineStr">
        <is>
          <t>Föryngringsavverkning</t>
        </is>
      </c>
      <c r="D1794" s="1" t="n">
        <v>45540</v>
      </c>
      <c r="E1794" s="1" t="n">
        <v>46326</v>
      </c>
      <c r="F1794" t="inlineStr">
        <is>
          <t>GÄVLEBORGS LÄN</t>
        </is>
      </c>
      <c r="G1794" t="inlineStr">
        <is>
          <t>SANDVIKEN</t>
        </is>
      </c>
      <c r="I1794" t="n">
        <v>0.6</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12815-2023</t>
        </is>
      </c>
      <c r="B1795" t="inlineStr">
        <is>
          <t>avverkningsanmälan</t>
        </is>
      </c>
      <c r="C1795" t="inlineStr">
        <is>
          <t>Föryngringsavverkning</t>
        </is>
      </c>
      <c r="D1795" s="1" t="n">
        <v>45001</v>
      </c>
      <c r="E1795" s="1" t="n">
        <v>46326</v>
      </c>
      <c r="F1795" t="inlineStr">
        <is>
          <t>GÄVLEBORGS LÄN</t>
        </is>
      </c>
      <c r="G1795" t="inlineStr">
        <is>
          <t>NORDANSTIG</t>
        </is>
      </c>
      <c r="I1795" t="n">
        <v>1.4</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52423-2023</t>
        </is>
      </c>
      <c r="B1796" t="inlineStr">
        <is>
          <t>avverkningsanmälan</t>
        </is>
      </c>
      <c r="C1796" t="inlineStr">
        <is>
          <t>Föryngringsavverkning</t>
        </is>
      </c>
      <c r="D1796" s="1" t="n">
        <v>45225</v>
      </c>
      <c r="E1796" s="1" t="n">
        <v>46326</v>
      </c>
      <c r="F1796" t="inlineStr">
        <is>
          <t>GÄVLEBORGS LÄN</t>
        </is>
      </c>
      <c r="G1796" t="inlineStr">
        <is>
          <t>OVANÅKER</t>
        </is>
      </c>
      <c r="I1796" t="n">
        <v>3.4</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50392-2023</t>
        </is>
      </c>
      <c r="B1797" t="inlineStr">
        <is>
          <t>avverkningsanmälan</t>
        </is>
      </c>
      <c r="C1797" t="inlineStr">
        <is>
          <t>Föryngringsavverkning</t>
        </is>
      </c>
      <c r="D1797" s="1" t="n">
        <v>45216</v>
      </c>
      <c r="E1797" s="1" t="n">
        <v>46326</v>
      </c>
      <c r="F1797" t="inlineStr">
        <is>
          <t>GÄVLEBORGS LÄN</t>
        </is>
      </c>
      <c r="G1797" t="inlineStr">
        <is>
          <t>LJUSDAL</t>
        </is>
      </c>
      <c r="I1797" t="n">
        <v>6.5</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52438-2023</t>
        </is>
      </c>
      <c r="B1798" t="inlineStr">
        <is>
          <t>avverkningsanmälan</t>
        </is>
      </c>
      <c r="C1798" t="inlineStr">
        <is>
          <t>Föryngringsavverkning</t>
        </is>
      </c>
      <c r="D1798" s="1" t="n">
        <v>45225</v>
      </c>
      <c r="E1798" s="1" t="n">
        <v>46326</v>
      </c>
      <c r="F1798" t="inlineStr">
        <is>
          <t>GÄVLEBORGS LÄN</t>
        </is>
      </c>
      <c r="G1798" t="inlineStr">
        <is>
          <t>HUDIKSVALL</t>
        </is>
      </c>
      <c r="I1798" t="n">
        <v>1</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18991-2025</t>
        </is>
      </c>
      <c r="B1799" t="inlineStr">
        <is>
          <t>avverkningsanmälan</t>
        </is>
      </c>
      <c r="C1799" t="inlineStr">
        <is>
          <t>Föryngringsavverkning</t>
        </is>
      </c>
      <c r="D1799" s="1" t="n">
        <v>45764</v>
      </c>
      <c r="E1799" s="1" t="n">
        <v>46326</v>
      </c>
      <c r="F1799" t="inlineStr">
        <is>
          <t>GÄVLEBORGS LÄN</t>
        </is>
      </c>
      <c r="G1799" t="inlineStr">
        <is>
          <t>HUDIKSVALL</t>
        </is>
      </c>
      <c r="H1799" t="inlineStr">
        <is>
          <t>Holmen skog AB</t>
        </is>
      </c>
      <c r="I1799" t="n">
        <v>6.8</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4221-2024</t>
        </is>
      </c>
      <c r="B1800" t="inlineStr">
        <is>
          <t>avverkningsanmälan</t>
        </is>
      </c>
      <c r="C1800" t="inlineStr">
        <is>
          <t>Föryngringsavverkning</t>
        </is>
      </c>
      <c r="D1800" s="1" t="n">
        <v>45324</v>
      </c>
      <c r="E1800" s="1" t="n">
        <v>46326</v>
      </c>
      <c r="F1800" t="inlineStr">
        <is>
          <t>GÄVLEBORGS LÄN</t>
        </is>
      </c>
      <c r="G1800" t="inlineStr">
        <is>
          <t>LJUSDAL</t>
        </is>
      </c>
      <c r="I1800" t="n">
        <v>14.5</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4230-2024</t>
        </is>
      </c>
      <c r="B1801" t="inlineStr">
        <is>
          <t>avverkningsanmälan</t>
        </is>
      </c>
      <c r="C1801" t="inlineStr">
        <is>
          <t>Föryngringsavverkning</t>
        </is>
      </c>
      <c r="D1801" s="1" t="n">
        <v>45324</v>
      </c>
      <c r="E1801" s="1" t="n">
        <v>46326</v>
      </c>
      <c r="F1801" t="inlineStr">
        <is>
          <t>GÄVLEBORGS LÄN</t>
        </is>
      </c>
      <c r="G1801" t="inlineStr">
        <is>
          <t>LJUSDAL</t>
        </is>
      </c>
      <c r="I1801" t="n">
        <v>1.2</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4301-2023</t>
        </is>
      </c>
      <c r="B1802" t="inlineStr">
        <is>
          <t>avverkningsanmälan</t>
        </is>
      </c>
      <c r="C1802" t="inlineStr">
        <is>
          <t>Föryngringsavverkning</t>
        </is>
      </c>
      <c r="D1802" s="1" t="n">
        <v>44953</v>
      </c>
      <c r="E1802" s="1" t="n">
        <v>46326</v>
      </c>
      <c r="F1802" t="inlineStr">
        <is>
          <t>GÄVLEBORGS LÄN</t>
        </is>
      </c>
      <c r="G1802" t="inlineStr">
        <is>
          <t>HUDIKSVALL</t>
        </is>
      </c>
      <c r="I1802" t="n">
        <v>1.5</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9392-2025</t>
        </is>
      </c>
      <c r="B1803" t="inlineStr">
        <is>
          <t>avverkningsanmälan</t>
        </is>
      </c>
      <c r="C1803" t="inlineStr">
        <is>
          <t>Föryngringsavverkning</t>
        </is>
      </c>
      <c r="D1803" s="1" t="n">
        <v>45715</v>
      </c>
      <c r="E1803" s="1" t="n">
        <v>46326</v>
      </c>
      <c r="F1803" t="inlineStr">
        <is>
          <t>GÄVLEBORGS LÄN</t>
        </is>
      </c>
      <c r="G1803" t="inlineStr">
        <is>
          <t>HUDIKSVALL</t>
        </is>
      </c>
      <c r="I1803" t="n">
        <v>0.8</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59826-2022</t>
        </is>
      </c>
      <c r="B1804" t="inlineStr">
        <is>
          <t>avverkningsanmälan</t>
        </is>
      </c>
      <c r="C1804" t="inlineStr">
        <is>
          <t>Föryngringsavverkning</t>
        </is>
      </c>
      <c r="D1804" s="1" t="n">
        <v>44908</v>
      </c>
      <c r="E1804" s="1" t="n">
        <v>46326</v>
      </c>
      <c r="F1804" t="inlineStr">
        <is>
          <t>GÄVLEBORGS LÄN</t>
        </is>
      </c>
      <c r="G1804" t="inlineStr">
        <is>
          <t>LJUSDAL</t>
        </is>
      </c>
      <c r="H1804" t="inlineStr">
        <is>
          <t>Kommuner</t>
        </is>
      </c>
      <c r="I1804" t="n">
        <v>1</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10176-2023</t>
        </is>
      </c>
      <c r="B1805" t="inlineStr">
        <is>
          <t>avverkningsanmälan</t>
        </is>
      </c>
      <c r="C1805" t="inlineStr">
        <is>
          <t>Föryngringsavverkning</t>
        </is>
      </c>
      <c r="D1805" s="1" t="n">
        <v>44986</v>
      </c>
      <c r="E1805" s="1" t="n">
        <v>46326</v>
      </c>
      <c r="F1805" t="inlineStr">
        <is>
          <t>GÄVLEBORGS LÄN</t>
        </is>
      </c>
      <c r="G1805" t="inlineStr">
        <is>
          <t>LJUSDAL</t>
        </is>
      </c>
      <c r="H1805" t="inlineStr">
        <is>
          <t>Bergvik skog väst AB</t>
        </is>
      </c>
      <c r="I1805" t="n">
        <v>4.5</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38596-2022</t>
        </is>
      </c>
      <c r="B1806" t="inlineStr">
        <is>
          <t>avverkningsanmälan</t>
        </is>
      </c>
      <c r="C1806" t="inlineStr">
        <is>
          <t>Föryngringsavverkning</t>
        </is>
      </c>
      <c r="D1806" s="1" t="n">
        <v>44813</v>
      </c>
      <c r="E1806" s="1" t="n">
        <v>46326</v>
      </c>
      <c r="F1806" t="inlineStr">
        <is>
          <t>GÄVLEBORGS LÄN</t>
        </is>
      </c>
      <c r="G1806" t="inlineStr">
        <is>
          <t>LJUSDAL</t>
        </is>
      </c>
      <c r="I1806" t="n">
        <v>3.1</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9426-2025</t>
        </is>
      </c>
      <c r="B1807" t="inlineStr">
        <is>
          <t>avverkningsanmälan</t>
        </is>
      </c>
      <c r="C1807" t="inlineStr">
        <is>
          <t>Föryngringsavverkning</t>
        </is>
      </c>
      <c r="D1807" s="1" t="n">
        <v>45715</v>
      </c>
      <c r="E1807" s="1" t="n">
        <v>46326</v>
      </c>
      <c r="F1807" t="inlineStr">
        <is>
          <t>GÄVLEBORGS LÄN</t>
        </is>
      </c>
      <c r="G1807" t="inlineStr">
        <is>
          <t>GÄVLE</t>
        </is>
      </c>
      <c r="I1807" t="n">
        <v>2</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72535-2021</t>
        </is>
      </c>
      <c r="B1808" t="inlineStr">
        <is>
          <t>avverkningsanmälan</t>
        </is>
      </c>
      <c r="C1808" t="inlineStr">
        <is>
          <t>Föryngringsavverkning</t>
        </is>
      </c>
      <c r="D1808" s="1" t="n">
        <v>44546</v>
      </c>
      <c r="E1808" s="1" t="n">
        <v>46326</v>
      </c>
      <c r="F1808" t="inlineStr">
        <is>
          <t>GÄVLEBORGS LÄN</t>
        </is>
      </c>
      <c r="G1808" t="inlineStr">
        <is>
          <t>HUDIKSVALL</t>
        </is>
      </c>
      <c r="H1808" t="inlineStr">
        <is>
          <t>Sveaskog</t>
        </is>
      </c>
      <c r="I1808" t="n">
        <v>23</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60962-2024</t>
        </is>
      </c>
      <c r="B1809" t="inlineStr">
        <is>
          <t>avverkningsanmälan</t>
        </is>
      </c>
      <c r="C1809" t="inlineStr">
        <is>
          <t>Föryngringsavverkning</t>
        </is>
      </c>
      <c r="D1809" s="1" t="n">
        <v>45645</v>
      </c>
      <c r="E1809" s="1" t="n">
        <v>46326</v>
      </c>
      <c r="F1809" t="inlineStr">
        <is>
          <t>GÄVLEBORGS LÄN</t>
        </is>
      </c>
      <c r="G1809" t="inlineStr">
        <is>
          <t>OCKELBO</t>
        </is>
      </c>
      <c r="H1809" t="inlineStr">
        <is>
          <t>Kyrkan</t>
        </is>
      </c>
      <c r="I1809" t="n">
        <v>5.9</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61859-2024</t>
        </is>
      </c>
      <c r="B1810" t="inlineStr">
        <is>
          <t>avverkningsanmälan</t>
        </is>
      </c>
      <c r="C1810" t="inlineStr">
        <is>
          <t>Föryngringsavverkning</t>
        </is>
      </c>
      <c r="D1810" s="1" t="n">
        <v>45649</v>
      </c>
      <c r="E1810" s="1" t="n">
        <v>46326</v>
      </c>
      <c r="F1810" t="inlineStr">
        <is>
          <t>GÄVLEBORGS LÄN</t>
        </is>
      </c>
      <c r="G1810" t="inlineStr">
        <is>
          <t>SANDVIKEN</t>
        </is>
      </c>
      <c r="I1810" t="n">
        <v>0.5</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42118-2022</t>
        </is>
      </c>
      <c r="B1811" t="inlineStr">
        <is>
          <t>avverkningsanmälan</t>
        </is>
      </c>
      <c r="C1811" t="inlineStr">
        <is>
          <t>Föryngringsavverkning</t>
        </is>
      </c>
      <c r="D1811" s="1" t="n">
        <v>44830</v>
      </c>
      <c r="E1811" s="1" t="n">
        <v>46326</v>
      </c>
      <c r="F1811" t="inlineStr">
        <is>
          <t>GÄVLEBORGS LÄN</t>
        </is>
      </c>
      <c r="G1811" t="inlineStr">
        <is>
          <t>NORDANSTIG</t>
        </is>
      </c>
      <c r="I1811" t="n">
        <v>3.3</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61881-2024</t>
        </is>
      </c>
      <c r="B1812" t="inlineStr">
        <is>
          <t>avverkningsanmälan</t>
        </is>
      </c>
      <c r="C1812" t="inlineStr">
        <is>
          <t>Föryngringsavverkning</t>
        </is>
      </c>
      <c r="D1812" s="1" t="n">
        <v>45652</v>
      </c>
      <c r="E1812" s="1" t="n">
        <v>46326</v>
      </c>
      <c r="F1812" t="inlineStr">
        <is>
          <t>GÄVLEBORGS LÄN</t>
        </is>
      </c>
      <c r="G1812" t="inlineStr">
        <is>
          <t>SÖDERHAMN</t>
        </is>
      </c>
      <c r="I1812" t="n">
        <v>2.3</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45278-2022</t>
        </is>
      </c>
      <c r="B1813" t="inlineStr">
        <is>
          <t>avverkningsanmälan</t>
        </is>
      </c>
      <c r="C1813" t="inlineStr">
        <is>
          <t>Föryngringsavverkning</t>
        </is>
      </c>
      <c r="D1813" s="1" t="n">
        <v>44840</v>
      </c>
      <c r="E1813" s="1" t="n">
        <v>46326</v>
      </c>
      <c r="F1813" t="inlineStr">
        <is>
          <t>GÄVLEBORGS LÄN</t>
        </is>
      </c>
      <c r="G1813" t="inlineStr">
        <is>
          <t>GÄVLE</t>
        </is>
      </c>
      <c r="H1813" t="inlineStr">
        <is>
          <t>Bergvik skog väst AB</t>
        </is>
      </c>
      <c r="I1813" t="n">
        <v>8.5</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19771-2025</t>
        </is>
      </c>
      <c r="B1814" t="inlineStr">
        <is>
          <t>avverkningsanmälan</t>
        </is>
      </c>
      <c r="C1814" t="inlineStr">
        <is>
          <t>Föryngringsavverkning</t>
        </is>
      </c>
      <c r="D1814" s="1" t="n">
        <v>45771</v>
      </c>
      <c r="E1814" s="1" t="n">
        <v>46326</v>
      </c>
      <c r="F1814" t="inlineStr">
        <is>
          <t>GÄVLEBORGS LÄN</t>
        </is>
      </c>
      <c r="G1814" t="inlineStr">
        <is>
          <t>SANDVIKEN</t>
        </is>
      </c>
      <c r="I1814" t="n">
        <v>1.1</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28391-2024</t>
        </is>
      </c>
      <c r="B1815" t="inlineStr">
        <is>
          <t>avverkningsanmälan</t>
        </is>
      </c>
      <c r="C1815" t="inlineStr">
        <is>
          <t>Föryngringsavverkning</t>
        </is>
      </c>
      <c r="D1815" s="1" t="n">
        <v>45477</v>
      </c>
      <c r="E1815" s="1" t="n">
        <v>46326</v>
      </c>
      <c r="F1815" t="inlineStr">
        <is>
          <t>GÄVLEBORGS LÄN</t>
        </is>
      </c>
      <c r="G1815" t="inlineStr">
        <is>
          <t>HOFORS</t>
        </is>
      </c>
      <c r="H1815" t="inlineStr">
        <is>
          <t>Sveaskog</t>
        </is>
      </c>
      <c r="I1815" t="n">
        <v>2.7</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55427-2024</t>
        </is>
      </c>
      <c r="B1816" t="inlineStr">
        <is>
          <t>avverkningsanmälan</t>
        </is>
      </c>
      <c r="C1816" t="inlineStr">
        <is>
          <t>Föryngringsavverkning</t>
        </is>
      </c>
      <c r="D1816" s="1" t="n">
        <v>45622</v>
      </c>
      <c r="E1816" s="1" t="n">
        <v>46326</v>
      </c>
      <c r="F1816" t="inlineStr">
        <is>
          <t>GÄVLEBORGS LÄN</t>
        </is>
      </c>
      <c r="G1816" t="inlineStr">
        <is>
          <t>OVANÅKER</t>
        </is>
      </c>
      <c r="I1816" t="n">
        <v>2.4</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61785-2024</t>
        </is>
      </c>
      <c r="B1817" t="inlineStr">
        <is>
          <t>avverkningsanmälan</t>
        </is>
      </c>
      <c r="C1817" t="inlineStr">
        <is>
          <t>Föryngringsavverkning</t>
        </is>
      </c>
      <c r="D1817" s="1" t="n">
        <v>45649</v>
      </c>
      <c r="E1817" s="1" t="n">
        <v>46326</v>
      </c>
      <c r="F1817" t="inlineStr">
        <is>
          <t>GÄVLEBORGS LÄN</t>
        </is>
      </c>
      <c r="G1817" t="inlineStr">
        <is>
          <t>HUDIKSVALL</t>
        </is>
      </c>
      <c r="I1817" t="n">
        <v>3</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61792-2024</t>
        </is>
      </c>
      <c r="B1818" t="inlineStr">
        <is>
          <t>avverkningsanmälan</t>
        </is>
      </c>
      <c r="C1818" t="inlineStr">
        <is>
          <t>Föryngringsavverkning</t>
        </is>
      </c>
      <c r="D1818" s="1" t="n">
        <v>45649</v>
      </c>
      <c r="E1818" s="1" t="n">
        <v>46326</v>
      </c>
      <c r="F1818" t="inlineStr">
        <is>
          <t>GÄVLEBORGS LÄN</t>
        </is>
      </c>
      <c r="G1818" t="inlineStr">
        <is>
          <t>HUDIKSVALL</t>
        </is>
      </c>
      <c r="I1818" t="n">
        <v>1.2</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11215-2023</t>
        </is>
      </c>
      <c r="B1819" t="inlineStr">
        <is>
          <t>avverkningsanmälan</t>
        </is>
      </c>
      <c r="C1819" t="inlineStr">
        <is>
          <t>Föryngringsavverkning</t>
        </is>
      </c>
      <c r="D1819" s="1" t="n">
        <v>44992</v>
      </c>
      <c r="E1819" s="1" t="n">
        <v>46326</v>
      </c>
      <c r="F1819" t="inlineStr">
        <is>
          <t>GÄVLEBORGS LÄN</t>
        </is>
      </c>
      <c r="G1819" t="inlineStr">
        <is>
          <t>SÖDERHAMN</t>
        </is>
      </c>
      <c r="I1819" t="n">
        <v>0.4</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28905-2023</t>
        </is>
      </c>
      <c r="B1820" t="inlineStr">
        <is>
          <t>avverkningsanmälan</t>
        </is>
      </c>
      <c r="C1820" t="inlineStr">
        <is>
          <t>Föryngringsavverkning</t>
        </is>
      </c>
      <c r="D1820" s="1" t="n">
        <v>45104</v>
      </c>
      <c r="E1820" s="1" t="n">
        <v>46326</v>
      </c>
      <c r="F1820" t="inlineStr">
        <is>
          <t>GÄVLEBORGS LÄN</t>
        </is>
      </c>
      <c r="G1820" t="inlineStr">
        <is>
          <t>GÄVLE</t>
        </is>
      </c>
      <c r="H1820" t="inlineStr">
        <is>
          <t>Bergvik skog väst AB</t>
        </is>
      </c>
      <c r="I1820" t="n">
        <v>1.4</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49771-2022</t>
        </is>
      </c>
      <c r="B1821" t="inlineStr">
        <is>
          <t>avverkningsanmälan</t>
        </is>
      </c>
      <c r="C1821" t="inlineStr">
        <is>
          <t>Föryngringsavverkning</t>
        </is>
      </c>
      <c r="D1821" s="1" t="n">
        <v>44862</v>
      </c>
      <c r="E1821" s="1" t="n">
        <v>46326</v>
      </c>
      <c r="F1821" t="inlineStr">
        <is>
          <t>GÄVLEBORGS LÄN</t>
        </is>
      </c>
      <c r="G1821" t="inlineStr">
        <is>
          <t>GÄVLE</t>
        </is>
      </c>
      <c r="I1821" t="n">
        <v>1.1</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18445-2025</t>
        </is>
      </c>
      <c r="B1822" t="inlineStr">
        <is>
          <t>avverkningsanmälan</t>
        </is>
      </c>
      <c r="C1822" t="inlineStr">
        <is>
          <t>Föryngringsavverkning</t>
        </is>
      </c>
      <c r="D1822" s="1" t="n">
        <v>45762</v>
      </c>
      <c r="E1822" s="1" t="n">
        <v>46326</v>
      </c>
      <c r="F1822" t="inlineStr">
        <is>
          <t>GÄVLEBORGS LÄN</t>
        </is>
      </c>
      <c r="G1822" t="inlineStr">
        <is>
          <t>NORDANSTIG</t>
        </is>
      </c>
      <c r="H1822" t="inlineStr">
        <is>
          <t>Holmen skog AB</t>
        </is>
      </c>
      <c r="I1822" t="n">
        <v>5.2</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23014-2022</t>
        </is>
      </c>
      <c r="B1823" t="inlineStr">
        <is>
          <t>avverkningsanmälan</t>
        </is>
      </c>
      <c r="C1823" t="inlineStr">
        <is>
          <t>Föryngringsavverkning</t>
        </is>
      </c>
      <c r="D1823" s="1" t="n">
        <v>44719</v>
      </c>
      <c r="E1823" s="1" t="n">
        <v>46326</v>
      </c>
      <c r="F1823" t="inlineStr">
        <is>
          <t>GÄVLEBORGS LÄN</t>
        </is>
      </c>
      <c r="G1823" t="inlineStr">
        <is>
          <t>OVANÅKER</t>
        </is>
      </c>
      <c r="I1823" t="n">
        <v>1.5</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13337-2024</t>
        </is>
      </c>
      <c r="B1824" t="inlineStr">
        <is>
          <t>avverkningsanmälan</t>
        </is>
      </c>
      <c r="C1824" t="inlineStr">
        <is>
          <t>Avverkning för annat ändamål</t>
        </is>
      </c>
      <c r="D1824" s="1" t="n">
        <v>45386</v>
      </c>
      <c r="E1824" s="1" t="n">
        <v>46326</v>
      </c>
      <c r="F1824" t="inlineStr">
        <is>
          <t>GÄVLEBORGS LÄN</t>
        </is>
      </c>
      <c r="G1824" t="inlineStr">
        <is>
          <t>LJUSDAL</t>
        </is>
      </c>
      <c r="I1824" t="n">
        <v>0.4</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37232-2024</t>
        </is>
      </c>
      <c r="B1825" t="inlineStr">
        <is>
          <t>avverkningsanmälan</t>
        </is>
      </c>
      <c r="C1825" t="inlineStr">
        <is>
          <t>Föryngringsavverkning</t>
        </is>
      </c>
      <c r="D1825" s="1" t="n">
        <v>45540</v>
      </c>
      <c r="E1825" s="1" t="n">
        <v>46326</v>
      </c>
      <c r="F1825" t="inlineStr">
        <is>
          <t>GÄVLEBORGS LÄN</t>
        </is>
      </c>
      <c r="G1825" t="inlineStr">
        <is>
          <t>SANDVIKEN</t>
        </is>
      </c>
      <c r="I1825" t="n">
        <v>4.9</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32635-2022</t>
        </is>
      </c>
      <c r="B1826" t="inlineStr">
        <is>
          <t>avverkningsanmälan</t>
        </is>
      </c>
      <c r="C1826" t="inlineStr">
        <is>
          <t>Föryngringsavverkning</t>
        </is>
      </c>
      <c r="D1826" s="1" t="n">
        <v>44783</v>
      </c>
      <c r="E1826" s="1" t="n">
        <v>46326</v>
      </c>
      <c r="F1826" t="inlineStr">
        <is>
          <t>GÄVLEBORGS LÄN</t>
        </is>
      </c>
      <c r="G1826" t="inlineStr">
        <is>
          <t>NORDANSTIG</t>
        </is>
      </c>
      <c r="I1826" t="n">
        <v>10</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61091-2024</t>
        </is>
      </c>
      <c r="B1827" t="inlineStr">
        <is>
          <t>avverkningsanmälan</t>
        </is>
      </c>
      <c r="C1827" t="inlineStr">
        <is>
          <t>Föryngringsavverkning</t>
        </is>
      </c>
      <c r="D1827" s="1" t="n">
        <v>45645</v>
      </c>
      <c r="E1827" s="1" t="n">
        <v>46326</v>
      </c>
      <c r="F1827" t="inlineStr">
        <is>
          <t>GÄVLEBORGS LÄN</t>
        </is>
      </c>
      <c r="G1827" t="inlineStr">
        <is>
          <t>LJUSDAL</t>
        </is>
      </c>
      <c r="I1827" t="n">
        <v>1.5</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45768-2024</t>
        </is>
      </c>
      <c r="B1828" t="inlineStr">
        <is>
          <t>avverkningsanmälan</t>
        </is>
      </c>
      <c r="C1828" t="inlineStr">
        <is>
          <t>Föryngringsavverkning</t>
        </is>
      </c>
      <c r="D1828" s="1" t="n">
        <v>45579</v>
      </c>
      <c r="E1828" s="1" t="n">
        <v>46326</v>
      </c>
      <c r="F1828" t="inlineStr">
        <is>
          <t>GÄVLEBORGS LÄN</t>
        </is>
      </c>
      <c r="G1828" t="inlineStr">
        <is>
          <t>LJUSDAL</t>
        </is>
      </c>
      <c r="I1828" t="n">
        <v>0.7</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56547-2023</t>
        </is>
      </c>
      <c r="B1829" t="inlineStr">
        <is>
          <t>avverkningsanmälan</t>
        </is>
      </c>
      <c r="C1829" t="inlineStr">
        <is>
          <t>Avverkning för annat ändamål</t>
        </is>
      </c>
      <c r="D1829" s="1" t="n">
        <v>45243</v>
      </c>
      <c r="E1829" s="1" t="n">
        <v>46326</v>
      </c>
      <c r="F1829" t="inlineStr">
        <is>
          <t>GÄVLEBORGS LÄN</t>
        </is>
      </c>
      <c r="G1829" t="inlineStr">
        <is>
          <t>BOLLNÄS</t>
        </is>
      </c>
      <c r="I1829" t="n">
        <v>0.9</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48605-2023</t>
        </is>
      </c>
      <c r="B1830" t="inlineStr">
        <is>
          <t>avverkningsanmälan</t>
        </is>
      </c>
      <c r="C1830" t="inlineStr">
        <is>
          <t>Föryngringsavverkning</t>
        </is>
      </c>
      <c r="D1830" s="1" t="n">
        <v>45208</v>
      </c>
      <c r="E1830" s="1" t="n">
        <v>46326</v>
      </c>
      <c r="F1830" t="inlineStr">
        <is>
          <t>GÄVLEBORGS LÄN</t>
        </is>
      </c>
      <c r="G1830" t="inlineStr">
        <is>
          <t>BOLLNÄS</t>
        </is>
      </c>
      <c r="I1830" t="n">
        <v>0.2</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31005-2023</t>
        </is>
      </c>
      <c r="B1831" t="inlineStr">
        <is>
          <t>avverkningsanmälan</t>
        </is>
      </c>
      <c r="C1831" t="inlineStr">
        <is>
          <t>Föryngringsavverkning</t>
        </is>
      </c>
      <c r="D1831" s="1" t="n">
        <v>45113</v>
      </c>
      <c r="E1831" s="1" t="n">
        <v>46326</v>
      </c>
      <c r="F1831" t="inlineStr">
        <is>
          <t>GÄVLEBORGS LÄN</t>
        </is>
      </c>
      <c r="G1831" t="inlineStr">
        <is>
          <t>OVANÅKER</t>
        </is>
      </c>
      <c r="I1831" t="n">
        <v>1.5</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28795-2024</t>
        </is>
      </c>
      <c r="B1832" t="inlineStr">
        <is>
          <t>avverkningsanmälan</t>
        </is>
      </c>
      <c r="C1832" t="inlineStr">
        <is>
          <t>Föryngringsavverkning</t>
        </is>
      </c>
      <c r="D1832" s="1" t="n">
        <v>45478</v>
      </c>
      <c r="E1832" s="1" t="n">
        <v>46326</v>
      </c>
      <c r="F1832" t="inlineStr">
        <is>
          <t>GÄVLEBORGS LÄN</t>
        </is>
      </c>
      <c r="G1832" t="inlineStr">
        <is>
          <t>BOLLNÄS</t>
        </is>
      </c>
      <c r="I1832" t="n">
        <v>1.3</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52090-2024</t>
        </is>
      </c>
      <c r="B1833" t="inlineStr">
        <is>
          <t>avverkningsanmälan</t>
        </is>
      </c>
      <c r="C1833" t="inlineStr">
        <is>
          <t>Avverkning för annat ändamål</t>
        </is>
      </c>
      <c r="D1833" s="1" t="n">
        <v>45608</v>
      </c>
      <c r="E1833" s="1" t="n">
        <v>46326</v>
      </c>
      <c r="F1833" t="inlineStr">
        <is>
          <t>GÄVLEBORGS LÄN</t>
        </is>
      </c>
      <c r="G1833" t="inlineStr">
        <is>
          <t>LJUSDAL</t>
        </is>
      </c>
      <c r="I1833" t="n">
        <v>0.3</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54309-2024</t>
        </is>
      </c>
      <c r="B1834" t="inlineStr">
        <is>
          <t>avverkningsanmälan</t>
        </is>
      </c>
      <c r="C1834" t="inlineStr">
        <is>
          <t>Föryngringsavverkning</t>
        </is>
      </c>
      <c r="D1834" s="1" t="n">
        <v>45617</v>
      </c>
      <c r="E1834" s="1" t="n">
        <v>46326</v>
      </c>
      <c r="F1834" t="inlineStr">
        <is>
          <t>GÄVLEBORGS LÄN</t>
        </is>
      </c>
      <c r="G1834" t="inlineStr">
        <is>
          <t>OCKELBO</t>
        </is>
      </c>
      <c r="H1834" t="inlineStr">
        <is>
          <t>Bergvik skog väst AB</t>
        </is>
      </c>
      <c r="I1834" t="n">
        <v>1.4</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34783-2022</t>
        </is>
      </c>
      <c r="B1835" t="inlineStr">
        <is>
          <t>avverkningsanmälan</t>
        </is>
      </c>
      <c r="C1835" t="inlineStr">
        <is>
          <t>Föryngringsavverkning</t>
        </is>
      </c>
      <c r="D1835" s="1" t="n">
        <v>44795</v>
      </c>
      <c r="E1835" s="1" t="n">
        <v>46326</v>
      </c>
      <c r="F1835" t="inlineStr">
        <is>
          <t>GÄVLEBORGS LÄN</t>
        </is>
      </c>
      <c r="G1835" t="inlineStr">
        <is>
          <t>NORDANSTIG</t>
        </is>
      </c>
      <c r="I1835" t="n">
        <v>7.8</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58184-2022</t>
        </is>
      </c>
      <c r="B1836" t="inlineStr">
        <is>
          <t>avverkningsanmälan</t>
        </is>
      </c>
      <c r="C1836" t="inlineStr">
        <is>
          <t>Föryngringsavverkning</t>
        </is>
      </c>
      <c r="D1836" s="1" t="n">
        <v>44900</v>
      </c>
      <c r="E1836" s="1" t="n">
        <v>46326</v>
      </c>
      <c r="F1836" t="inlineStr">
        <is>
          <t>GÄVLEBORGS LÄN</t>
        </is>
      </c>
      <c r="G1836" t="inlineStr">
        <is>
          <t>NORDANSTIG</t>
        </is>
      </c>
      <c r="H1836" t="inlineStr">
        <is>
          <t>SCA</t>
        </is>
      </c>
      <c r="I1836" t="n">
        <v>5</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1570-2024</t>
        </is>
      </c>
      <c r="B1837" t="inlineStr">
        <is>
          <t>avverkningsanmälan</t>
        </is>
      </c>
      <c r="C1837" t="inlineStr">
        <is>
          <t>Föryngringsavverkning</t>
        </is>
      </c>
      <c r="D1837" s="1" t="n">
        <v>45306</v>
      </c>
      <c r="E1837" s="1" t="n">
        <v>46326</v>
      </c>
      <c r="F1837" t="inlineStr">
        <is>
          <t>GÄVLEBORGS LÄN</t>
        </is>
      </c>
      <c r="G1837" t="inlineStr">
        <is>
          <t>OVANÅKER</t>
        </is>
      </c>
      <c r="I1837" t="n">
        <v>2.7</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21991-2024</t>
        </is>
      </c>
      <c r="B1838" t="inlineStr">
        <is>
          <t>avverkningsanmälan</t>
        </is>
      </c>
      <c r="C1838" t="inlineStr">
        <is>
          <t>Föryngringsavverkning</t>
        </is>
      </c>
      <c r="D1838" s="1" t="n">
        <v>45443</v>
      </c>
      <c r="E1838" s="1" t="n">
        <v>46326</v>
      </c>
      <c r="F1838" t="inlineStr">
        <is>
          <t>GÄVLEBORGS LÄN</t>
        </is>
      </c>
      <c r="G1838" t="inlineStr">
        <is>
          <t>SÖDERHAMN</t>
        </is>
      </c>
      <c r="H1838" t="inlineStr">
        <is>
          <t>Kommuner</t>
        </is>
      </c>
      <c r="I1838" t="n">
        <v>5.9</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34887-2022</t>
        </is>
      </c>
      <c r="B1839" t="inlineStr">
        <is>
          <t>avverkningsanmälan</t>
        </is>
      </c>
      <c r="C1839" t="inlineStr">
        <is>
          <t>Föryngringsavverkning</t>
        </is>
      </c>
      <c r="D1839" s="1" t="n">
        <v>44796</v>
      </c>
      <c r="E1839" s="1" t="n">
        <v>46326</v>
      </c>
      <c r="F1839" t="inlineStr">
        <is>
          <t>GÄVLEBORGS LÄN</t>
        </is>
      </c>
      <c r="G1839" t="inlineStr">
        <is>
          <t>BOLLNÄS</t>
        </is>
      </c>
      <c r="I1839" t="n">
        <v>1</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2802-2025</t>
        </is>
      </c>
      <c r="B1840" t="inlineStr">
        <is>
          <t>avverkningsanmälan</t>
        </is>
      </c>
      <c r="C1840" t="inlineStr">
        <is>
          <t>Föryngringsavverkning</t>
        </is>
      </c>
      <c r="D1840" s="1" t="n">
        <v>45677</v>
      </c>
      <c r="E1840" s="1" t="n">
        <v>46326</v>
      </c>
      <c r="F1840" t="inlineStr">
        <is>
          <t>GÄVLEBORGS LÄN</t>
        </is>
      </c>
      <c r="G1840" t="inlineStr">
        <is>
          <t>BOLLNÄS</t>
        </is>
      </c>
      <c r="I1840" t="n">
        <v>4.4</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55367-2023</t>
        </is>
      </c>
      <c r="B1841" t="inlineStr">
        <is>
          <t>avverkningsanmälan</t>
        </is>
      </c>
      <c r="C1841" t="inlineStr">
        <is>
          <t>Föryngringsavverkning</t>
        </is>
      </c>
      <c r="D1841" s="1" t="n">
        <v>45238</v>
      </c>
      <c r="E1841" s="1" t="n">
        <v>46326</v>
      </c>
      <c r="F1841" t="inlineStr">
        <is>
          <t>GÄVLEBORGS LÄN</t>
        </is>
      </c>
      <c r="G1841" t="inlineStr">
        <is>
          <t>BOLLNÄS</t>
        </is>
      </c>
      <c r="I1841" t="n">
        <v>1.1</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27320-2023</t>
        </is>
      </c>
      <c r="B1842" t="inlineStr">
        <is>
          <t>avverkningsanmälan</t>
        </is>
      </c>
      <c r="C1842" t="inlineStr">
        <is>
          <t>Föryngringsavverkning</t>
        </is>
      </c>
      <c r="D1842" s="1" t="n">
        <v>45096</v>
      </c>
      <c r="E1842" s="1" t="n">
        <v>46326</v>
      </c>
      <c r="F1842" t="inlineStr">
        <is>
          <t>GÄVLEBORGS LÄN</t>
        </is>
      </c>
      <c r="G1842" t="inlineStr">
        <is>
          <t>OVANÅKER</t>
        </is>
      </c>
      <c r="I1842" t="n">
        <v>0.7</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61848-2023</t>
        </is>
      </c>
      <c r="B1843" t="inlineStr">
        <is>
          <t>avverkningsanmälan</t>
        </is>
      </c>
      <c r="C1843" t="inlineStr">
        <is>
          <t>Föryngringsavverkning</t>
        </is>
      </c>
      <c r="D1843" s="1" t="n">
        <v>45265</v>
      </c>
      <c r="E1843" s="1" t="n">
        <v>46326</v>
      </c>
      <c r="F1843" t="inlineStr">
        <is>
          <t>GÄVLEBORGS LÄN</t>
        </is>
      </c>
      <c r="G1843" t="inlineStr">
        <is>
          <t>SANDVIKEN</t>
        </is>
      </c>
      <c r="I1843" t="n">
        <v>4.4</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30782-2024</t>
        </is>
      </c>
      <c r="B1844" t="inlineStr">
        <is>
          <t>avverkningsanmälan</t>
        </is>
      </c>
      <c r="C1844" t="inlineStr">
        <is>
          <t>Föryngringsavverkning</t>
        </is>
      </c>
      <c r="D1844" s="1" t="n">
        <v>45496</v>
      </c>
      <c r="E1844" s="1" t="n">
        <v>46326</v>
      </c>
      <c r="F1844" t="inlineStr">
        <is>
          <t>GÄVLEBORGS LÄN</t>
        </is>
      </c>
      <c r="G1844" t="inlineStr">
        <is>
          <t>LJUSDAL</t>
        </is>
      </c>
      <c r="H1844" t="inlineStr">
        <is>
          <t>SCA</t>
        </is>
      </c>
      <c r="I1844" t="n">
        <v>2.2</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7436-2024</t>
        </is>
      </c>
      <c r="B1845" t="inlineStr">
        <is>
          <t>avverkningsanmälan</t>
        </is>
      </c>
      <c r="C1845" t="inlineStr">
        <is>
          <t>Föryngringsavverkning</t>
        </is>
      </c>
      <c r="D1845" s="1" t="n">
        <v>45345</v>
      </c>
      <c r="E1845" s="1" t="n">
        <v>46326</v>
      </c>
      <c r="F1845" t="inlineStr">
        <is>
          <t>GÄVLEBORGS LÄN</t>
        </is>
      </c>
      <c r="G1845" t="inlineStr">
        <is>
          <t>NORDANSTIG</t>
        </is>
      </c>
      <c r="H1845" t="inlineStr">
        <is>
          <t>Holmen skog AB</t>
        </is>
      </c>
      <c r="I1845" t="n">
        <v>62.5</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36061-2024</t>
        </is>
      </c>
      <c r="B1846" t="inlineStr">
        <is>
          <t>avverkningsanmälan</t>
        </is>
      </c>
      <c r="C1846" t="inlineStr">
        <is>
          <t>Föryngringsavverkning</t>
        </is>
      </c>
      <c r="D1846" s="1" t="n">
        <v>45533</v>
      </c>
      <c r="E1846" s="1" t="n">
        <v>46326</v>
      </c>
      <c r="F1846" t="inlineStr">
        <is>
          <t>GÄVLEBORGS LÄN</t>
        </is>
      </c>
      <c r="G1846" t="inlineStr">
        <is>
          <t>LJUSDAL</t>
        </is>
      </c>
      <c r="I1846" t="n">
        <v>2.8</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56036-2023</t>
        </is>
      </c>
      <c r="B1847" t="inlineStr">
        <is>
          <t>avverkningsanmälan</t>
        </is>
      </c>
      <c r="C1847" t="inlineStr">
        <is>
          <t>Föryngringsavverkning</t>
        </is>
      </c>
      <c r="D1847" s="1" t="n">
        <v>45240</v>
      </c>
      <c r="E1847" s="1" t="n">
        <v>46326</v>
      </c>
      <c r="F1847" t="inlineStr">
        <is>
          <t>GÄVLEBORGS LÄN</t>
        </is>
      </c>
      <c r="G1847" t="inlineStr">
        <is>
          <t>SANDVIKEN</t>
        </is>
      </c>
      <c r="I1847" t="n">
        <v>2.6</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36405-2024</t>
        </is>
      </c>
      <c r="B1848" t="inlineStr">
        <is>
          <t>avverkningsanmälan</t>
        </is>
      </c>
      <c r="C1848" t="inlineStr">
        <is>
          <t>Föryngringsavverkning</t>
        </is>
      </c>
      <c r="D1848" s="1" t="n">
        <v>45535</v>
      </c>
      <c r="E1848" s="1" t="n">
        <v>46326</v>
      </c>
      <c r="F1848" t="inlineStr">
        <is>
          <t>GÄVLEBORGS LÄN</t>
        </is>
      </c>
      <c r="G1848" t="inlineStr">
        <is>
          <t>HUDIKSVALL</t>
        </is>
      </c>
      <c r="H1848" t="inlineStr">
        <is>
          <t>Holmen skog AB</t>
        </is>
      </c>
      <c r="I1848" t="n">
        <v>16.8</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55704-2024</t>
        </is>
      </c>
      <c r="B1849" t="inlineStr">
        <is>
          <t>avverkningsanmälan</t>
        </is>
      </c>
      <c r="C1849" t="inlineStr">
        <is>
          <t>Föryngringsavverkning</t>
        </is>
      </c>
      <c r="D1849" s="1" t="n">
        <v>45622</v>
      </c>
      <c r="E1849" s="1" t="n">
        <v>46326</v>
      </c>
      <c r="F1849" t="inlineStr">
        <is>
          <t>GÄVLEBORGS LÄN</t>
        </is>
      </c>
      <c r="G1849" t="inlineStr">
        <is>
          <t>NORDANSTIG</t>
        </is>
      </c>
      <c r="H1849" t="inlineStr">
        <is>
          <t>Holmen skog AB</t>
        </is>
      </c>
      <c r="I1849" t="n">
        <v>2.3</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5979-2025</t>
        </is>
      </c>
      <c r="B1850" t="inlineStr">
        <is>
          <t>avverkningsanmälan</t>
        </is>
      </c>
      <c r="C1850" t="inlineStr">
        <is>
          <t>Föryngringsavverkning</t>
        </is>
      </c>
      <c r="D1850" s="1" t="n">
        <v>45695</v>
      </c>
      <c r="E1850" s="1" t="n">
        <v>46326</v>
      </c>
      <c r="F1850" t="inlineStr">
        <is>
          <t>GÄVLEBORGS LÄN</t>
        </is>
      </c>
      <c r="G1850" t="inlineStr">
        <is>
          <t>OVANÅKER</t>
        </is>
      </c>
      <c r="I1850" t="n">
        <v>8.4</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33296-2023</t>
        </is>
      </c>
      <c r="B1851" t="inlineStr">
        <is>
          <t>avverkningsanmälan</t>
        </is>
      </c>
      <c r="C1851" t="inlineStr">
        <is>
          <t>Föryngringsavverkning</t>
        </is>
      </c>
      <c r="D1851" s="1" t="n">
        <v>45127</v>
      </c>
      <c r="E1851" s="1" t="n">
        <v>46326</v>
      </c>
      <c r="F1851" t="inlineStr">
        <is>
          <t>GÄVLEBORGS LÄN</t>
        </is>
      </c>
      <c r="G1851" t="inlineStr">
        <is>
          <t>HOFORS</t>
        </is>
      </c>
      <c r="H1851" t="inlineStr">
        <is>
          <t>Sveaskog</t>
        </is>
      </c>
      <c r="I1851" t="n">
        <v>6.4</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2400-2023</t>
        </is>
      </c>
      <c r="B1852" t="inlineStr">
        <is>
          <t>avverkningsanmälan</t>
        </is>
      </c>
      <c r="C1852" t="inlineStr">
        <is>
          <t>Avverkning för annat ändamål</t>
        </is>
      </c>
      <c r="D1852" s="1" t="n">
        <v>44942</v>
      </c>
      <c r="E1852" s="1" t="n">
        <v>46326</v>
      </c>
      <c r="F1852" t="inlineStr">
        <is>
          <t>GÄVLEBORGS LÄN</t>
        </is>
      </c>
      <c r="G1852" t="inlineStr">
        <is>
          <t>GÄVLE</t>
        </is>
      </c>
      <c r="I1852" t="n">
        <v>1.4</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49856-2024</t>
        </is>
      </c>
      <c r="B1853" t="inlineStr">
        <is>
          <t>avverkningsanmälan</t>
        </is>
      </c>
      <c r="C1853" t="inlineStr">
        <is>
          <t>Föryngringsavverkning</t>
        </is>
      </c>
      <c r="D1853" s="1" t="n">
        <v>45597</v>
      </c>
      <c r="E1853" s="1" t="n">
        <v>46326</v>
      </c>
      <c r="F1853" t="inlineStr">
        <is>
          <t>GÄVLEBORGS LÄN</t>
        </is>
      </c>
      <c r="G1853" t="inlineStr">
        <is>
          <t>OVANÅKER</t>
        </is>
      </c>
      <c r="I1853" t="n">
        <v>3.4</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7460-2024</t>
        </is>
      </c>
      <c r="B1854" t="inlineStr">
        <is>
          <t>avverkningsanmälan</t>
        </is>
      </c>
      <c r="C1854" t="inlineStr">
        <is>
          <t>Föryngringsavverkning</t>
        </is>
      </c>
      <c r="D1854" s="1" t="n">
        <v>45345</v>
      </c>
      <c r="E1854" s="1" t="n">
        <v>46326</v>
      </c>
      <c r="F1854" t="inlineStr">
        <is>
          <t>GÄVLEBORGS LÄN</t>
        </is>
      </c>
      <c r="G1854" t="inlineStr">
        <is>
          <t>NORDANSTIG</t>
        </is>
      </c>
      <c r="I1854" t="n">
        <v>10.8</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19200-2022</t>
        </is>
      </c>
      <c r="B1855" t="inlineStr">
        <is>
          <t>avverkningsanmälan</t>
        </is>
      </c>
      <c r="C1855" t="inlineStr">
        <is>
          <t>Föryngringsavverkning</t>
        </is>
      </c>
      <c r="D1855" s="1" t="n">
        <v>44691</v>
      </c>
      <c r="E1855" s="1" t="n">
        <v>46326</v>
      </c>
      <c r="F1855" t="inlineStr">
        <is>
          <t>GÄVLEBORGS LÄN</t>
        </is>
      </c>
      <c r="G1855" t="inlineStr">
        <is>
          <t>LJUSDAL</t>
        </is>
      </c>
      <c r="H1855" t="inlineStr">
        <is>
          <t>Bergvik skog väst AB</t>
        </is>
      </c>
      <c r="I1855" t="n">
        <v>2</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17345-2024</t>
        </is>
      </c>
      <c r="B1856" t="inlineStr">
        <is>
          <t>avverkningsanmälan</t>
        </is>
      </c>
      <c r="C1856" t="inlineStr">
        <is>
          <t>Föryngringsavverkning</t>
        </is>
      </c>
      <c r="D1856" s="1" t="n">
        <v>45414</v>
      </c>
      <c r="E1856" s="1" t="n">
        <v>46326</v>
      </c>
      <c r="F1856" t="inlineStr">
        <is>
          <t>GÄVLEBORGS LÄN</t>
        </is>
      </c>
      <c r="G1856" t="inlineStr">
        <is>
          <t>HUDIKSVALL</t>
        </is>
      </c>
      <c r="I1856" t="n">
        <v>3.2</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17375-2024</t>
        </is>
      </c>
      <c r="B1857" t="inlineStr">
        <is>
          <t>avverkningsanmälan</t>
        </is>
      </c>
      <c r="C1857" t="inlineStr">
        <is>
          <t>Föryngringsavverkning</t>
        </is>
      </c>
      <c r="D1857" s="1" t="n">
        <v>45414</v>
      </c>
      <c r="E1857" s="1" t="n">
        <v>46326</v>
      </c>
      <c r="F1857" t="inlineStr">
        <is>
          <t>GÄVLEBORGS LÄN</t>
        </is>
      </c>
      <c r="G1857" t="inlineStr">
        <is>
          <t>BOLLNÄS</t>
        </is>
      </c>
      <c r="I1857" t="n">
        <v>2.5</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6568-2024</t>
        </is>
      </c>
      <c r="B1858" t="inlineStr">
        <is>
          <t>avverkningsanmälan</t>
        </is>
      </c>
      <c r="C1858" t="inlineStr">
        <is>
          <t>Föryngringsavverkning</t>
        </is>
      </c>
      <c r="D1858" s="1" t="n">
        <v>45341</v>
      </c>
      <c r="E1858" s="1" t="n">
        <v>46326</v>
      </c>
      <c r="F1858" t="inlineStr">
        <is>
          <t>GÄVLEBORGS LÄN</t>
        </is>
      </c>
      <c r="G1858" t="inlineStr">
        <is>
          <t>OCKELBO</t>
        </is>
      </c>
      <c r="I1858" t="n">
        <v>2.9</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57196-2022</t>
        </is>
      </c>
      <c r="B1859" t="inlineStr">
        <is>
          <t>avverkningsanmälan</t>
        </is>
      </c>
      <c r="C1859" t="inlineStr">
        <is>
          <t>Föryngringsavverkning</t>
        </is>
      </c>
      <c r="D1859" s="1" t="n">
        <v>44895</v>
      </c>
      <c r="E1859" s="1" t="n">
        <v>46326</v>
      </c>
      <c r="F1859" t="inlineStr">
        <is>
          <t>GÄVLEBORGS LÄN</t>
        </is>
      </c>
      <c r="G1859" t="inlineStr">
        <is>
          <t>NORDANSTIG</t>
        </is>
      </c>
      <c r="H1859" t="inlineStr">
        <is>
          <t>Holmen skog AB</t>
        </is>
      </c>
      <c r="I1859" t="n">
        <v>1.1</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17792-2023</t>
        </is>
      </c>
      <c r="B1860" t="inlineStr">
        <is>
          <t>avverkningsanmälan</t>
        </is>
      </c>
      <c r="C1860" t="inlineStr">
        <is>
          <t>Föryngringsavverkning</t>
        </is>
      </c>
      <c r="D1860" s="1" t="n">
        <v>45037</v>
      </c>
      <c r="E1860" s="1" t="n">
        <v>46326</v>
      </c>
      <c r="F1860" t="inlineStr">
        <is>
          <t>GÄVLEBORGS LÄN</t>
        </is>
      </c>
      <c r="G1860" t="inlineStr">
        <is>
          <t>BOLLNÄS</t>
        </is>
      </c>
      <c r="H1860" t="inlineStr">
        <is>
          <t>Kyrkan</t>
        </is>
      </c>
      <c r="I1860" t="n">
        <v>4.1</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27460-2023</t>
        </is>
      </c>
      <c r="B1861" t="inlineStr">
        <is>
          <t>avverkningsanmälan</t>
        </is>
      </c>
      <c r="C1861" t="inlineStr">
        <is>
          <t>Föryngringsavverkning</t>
        </is>
      </c>
      <c r="D1861" s="1" t="n">
        <v>45097</v>
      </c>
      <c r="E1861" s="1" t="n">
        <v>46326</v>
      </c>
      <c r="F1861" t="inlineStr">
        <is>
          <t>GÄVLEBORGS LÄN</t>
        </is>
      </c>
      <c r="G1861" t="inlineStr">
        <is>
          <t>LJUSDAL</t>
        </is>
      </c>
      <c r="I1861" t="n">
        <v>3.7</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27475-2023</t>
        </is>
      </c>
      <c r="B1862" t="inlineStr">
        <is>
          <t>avverkningsanmälan</t>
        </is>
      </c>
      <c r="C1862" t="inlineStr">
        <is>
          <t>Föryngringsavverkning</t>
        </is>
      </c>
      <c r="D1862" s="1" t="n">
        <v>45097</v>
      </c>
      <c r="E1862" s="1" t="n">
        <v>46326</v>
      </c>
      <c r="F1862" t="inlineStr">
        <is>
          <t>GÄVLEBORGS LÄN</t>
        </is>
      </c>
      <c r="G1862" t="inlineStr">
        <is>
          <t>HUDIKSVALL</t>
        </is>
      </c>
      <c r="H1862" t="inlineStr">
        <is>
          <t>Holmen skog AB</t>
        </is>
      </c>
      <c r="I1862" t="n">
        <v>14.6</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2120-2024</t>
        </is>
      </c>
      <c r="B1863" t="inlineStr">
        <is>
          <t>avverkningsanmälan</t>
        </is>
      </c>
      <c r="C1863" t="inlineStr">
        <is>
          <t>Föryngringsavverkning</t>
        </is>
      </c>
      <c r="D1863" s="1" t="n">
        <v>45309</v>
      </c>
      <c r="E1863" s="1" t="n">
        <v>46326</v>
      </c>
      <c r="F1863" t="inlineStr">
        <is>
          <t>GÄVLEBORGS LÄN</t>
        </is>
      </c>
      <c r="G1863" t="inlineStr">
        <is>
          <t>HUDIKSVALL</t>
        </is>
      </c>
      <c r="H1863" t="inlineStr">
        <is>
          <t>Holmen skog AB</t>
        </is>
      </c>
      <c r="I1863" t="n">
        <v>10.9</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51599-2024</t>
        </is>
      </c>
      <c r="B1864" t="inlineStr">
        <is>
          <t>avverkningsanmälan</t>
        </is>
      </c>
      <c r="C1864" t="inlineStr">
        <is>
          <t>Föryngringsavverkning</t>
        </is>
      </c>
      <c r="D1864" s="1" t="n">
        <v>45604</v>
      </c>
      <c r="E1864" s="1" t="n">
        <v>46326</v>
      </c>
      <c r="F1864" t="inlineStr">
        <is>
          <t>GÄVLEBORGS LÄN</t>
        </is>
      </c>
      <c r="G1864" t="inlineStr">
        <is>
          <t>LJUSDAL</t>
        </is>
      </c>
      <c r="H1864" t="inlineStr">
        <is>
          <t>Sveaskog</t>
        </is>
      </c>
      <c r="I1864" t="n">
        <v>0.9</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5586-2025</t>
        </is>
      </c>
      <c r="B1865" t="inlineStr">
        <is>
          <t>avverkningsanmälan</t>
        </is>
      </c>
      <c r="C1865" t="inlineStr">
        <is>
          <t>Föryngringsavverkning</t>
        </is>
      </c>
      <c r="D1865" s="1" t="n">
        <v>45693</v>
      </c>
      <c r="E1865" s="1" t="n">
        <v>46326</v>
      </c>
      <c r="F1865" t="inlineStr">
        <is>
          <t>GÄVLEBORGS LÄN</t>
        </is>
      </c>
      <c r="G1865" t="inlineStr">
        <is>
          <t>SANDVIKEN</t>
        </is>
      </c>
      <c r="I1865" t="n">
        <v>3.6</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51681-2024</t>
        </is>
      </c>
      <c r="B1866" t="inlineStr">
        <is>
          <t>avverkningsanmälan</t>
        </is>
      </c>
      <c r="C1866" t="inlineStr">
        <is>
          <t>Föryngringsavverkning</t>
        </is>
      </c>
      <c r="D1866" s="1" t="n">
        <v>45607</v>
      </c>
      <c r="E1866" s="1" t="n">
        <v>46326</v>
      </c>
      <c r="F1866" t="inlineStr">
        <is>
          <t>GÄVLEBORGS LÄN</t>
        </is>
      </c>
      <c r="G1866" t="inlineStr">
        <is>
          <t>BOLLNÄS</t>
        </is>
      </c>
      <c r="H1866" t="inlineStr">
        <is>
          <t>Bergvik skog väst AB</t>
        </is>
      </c>
      <c r="I1866" t="n">
        <v>0.3</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15146-2023</t>
        </is>
      </c>
      <c r="B1867" t="inlineStr">
        <is>
          <t>avverkningsanmälan</t>
        </is>
      </c>
      <c r="C1867" t="inlineStr">
        <is>
          <t>Föryngringsavverkning</t>
        </is>
      </c>
      <c r="D1867" s="1" t="n">
        <v>45016</v>
      </c>
      <c r="E1867" s="1" t="n">
        <v>46326</v>
      </c>
      <c r="F1867" t="inlineStr">
        <is>
          <t>GÄVLEBORGS LÄN</t>
        </is>
      </c>
      <c r="G1867" t="inlineStr">
        <is>
          <t>BOLLNÄS</t>
        </is>
      </c>
      <c r="I1867" t="n">
        <v>0.4</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7731-2024</t>
        </is>
      </c>
      <c r="B1868" t="inlineStr">
        <is>
          <t>avverkningsanmälan</t>
        </is>
      </c>
      <c r="C1868" t="inlineStr">
        <is>
          <t>Föryngringsavverkning</t>
        </is>
      </c>
      <c r="D1868" s="1" t="n">
        <v>45349</v>
      </c>
      <c r="E1868" s="1" t="n">
        <v>46326</v>
      </c>
      <c r="F1868" t="inlineStr">
        <is>
          <t>GÄVLEBORGS LÄN</t>
        </is>
      </c>
      <c r="G1868" t="inlineStr">
        <is>
          <t>LJUSDAL</t>
        </is>
      </c>
      <c r="I1868" t="n">
        <v>1.1</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42685-2022</t>
        </is>
      </c>
      <c r="B1869" t="inlineStr">
        <is>
          <t>avverkningsanmälan</t>
        </is>
      </c>
      <c r="C1869" t="inlineStr">
        <is>
          <t>Föryngringsavverkning</t>
        </is>
      </c>
      <c r="D1869" s="1" t="n">
        <v>44832</v>
      </c>
      <c r="E1869" s="1" t="n">
        <v>46326</v>
      </c>
      <c r="F1869" t="inlineStr">
        <is>
          <t>GÄVLEBORGS LÄN</t>
        </is>
      </c>
      <c r="G1869" t="inlineStr">
        <is>
          <t>OVANÅKER</t>
        </is>
      </c>
      <c r="I1869" t="n">
        <v>7.2</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816-2022</t>
        </is>
      </c>
      <c r="B1870" t="inlineStr">
        <is>
          <t>avverkningsanmälan</t>
        </is>
      </c>
      <c r="C1870" t="inlineStr">
        <is>
          <t>Föryngringsavverkning</t>
        </is>
      </c>
      <c r="D1870" s="1" t="n">
        <v>44571</v>
      </c>
      <c r="E1870" s="1" t="n">
        <v>46326</v>
      </c>
      <c r="F1870" t="inlineStr">
        <is>
          <t>GÄVLEBORGS LÄN</t>
        </is>
      </c>
      <c r="G1870" t="inlineStr">
        <is>
          <t>HUDIKSVALL</t>
        </is>
      </c>
      <c r="I1870" t="n">
        <v>1.2</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31022-2024</t>
        </is>
      </c>
      <c r="B1871" t="inlineStr">
        <is>
          <t>avverkningsanmälan</t>
        </is>
      </c>
      <c r="C1871" t="inlineStr">
        <is>
          <t>Föryngringsavverkning</t>
        </is>
      </c>
      <c r="D1871" s="1" t="n">
        <v>45500</v>
      </c>
      <c r="E1871" s="1" t="n">
        <v>46326</v>
      </c>
      <c r="F1871" t="inlineStr">
        <is>
          <t>GÄVLEBORGS LÄN</t>
        </is>
      </c>
      <c r="G1871" t="inlineStr">
        <is>
          <t>BOLLNÄS</t>
        </is>
      </c>
      <c r="I1871" t="n">
        <v>0.9</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31052-2024</t>
        </is>
      </c>
      <c r="B1872" t="inlineStr">
        <is>
          <t>avverkningsanmälan</t>
        </is>
      </c>
      <c r="C1872" t="inlineStr">
        <is>
          <t>Föryngringsavverkning</t>
        </is>
      </c>
      <c r="D1872" s="1" t="n">
        <v>45502</v>
      </c>
      <c r="E1872" s="1" t="n">
        <v>46326</v>
      </c>
      <c r="F1872" t="inlineStr">
        <is>
          <t>GÄVLEBORGS LÄN</t>
        </is>
      </c>
      <c r="G1872" t="inlineStr">
        <is>
          <t>OVANÅKER</t>
        </is>
      </c>
      <c r="H1872" t="inlineStr">
        <is>
          <t>Bergvik skog väst AB</t>
        </is>
      </c>
      <c r="I1872" t="n">
        <v>2.9</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18311-2023</t>
        </is>
      </c>
      <c r="B1873" t="inlineStr">
        <is>
          <t>avverkningsanmälan</t>
        </is>
      </c>
      <c r="C1873" t="inlineStr">
        <is>
          <t>Föryngringsavverkning</t>
        </is>
      </c>
      <c r="D1873" s="1" t="n">
        <v>45041</v>
      </c>
      <c r="E1873" s="1" t="n">
        <v>46326</v>
      </c>
      <c r="F1873" t="inlineStr">
        <is>
          <t>GÄVLEBORGS LÄN</t>
        </is>
      </c>
      <c r="G1873" t="inlineStr">
        <is>
          <t>BOLLNÄS</t>
        </is>
      </c>
      <c r="I1873" t="n">
        <v>3.3</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54173-2023</t>
        </is>
      </c>
      <c r="B1874" t="inlineStr">
        <is>
          <t>avverkningsanmälan</t>
        </is>
      </c>
      <c r="C1874" t="inlineStr">
        <is>
          <t>Föryngringsavverkning</t>
        </is>
      </c>
      <c r="D1874" s="1" t="n">
        <v>45232</v>
      </c>
      <c r="E1874" s="1" t="n">
        <v>46326</v>
      </c>
      <c r="F1874" t="inlineStr">
        <is>
          <t>GÄVLEBORGS LÄN</t>
        </is>
      </c>
      <c r="G1874" t="inlineStr">
        <is>
          <t>HUDIKSVALL</t>
        </is>
      </c>
      <c r="I1874" t="n">
        <v>3.2</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5719-2023</t>
        </is>
      </c>
      <c r="B1875" t="inlineStr">
        <is>
          <t>avverkningsanmälan</t>
        </is>
      </c>
      <c r="C1875" t="inlineStr">
        <is>
          <t>Föryngringsavverkning</t>
        </is>
      </c>
      <c r="D1875" s="1" t="n">
        <v>44961</v>
      </c>
      <c r="E1875" s="1" t="n">
        <v>46326</v>
      </c>
      <c r="F1875" t="inlineStr">
        <is>
          <t>GÄVLEBORGS LÄN</t>
        </is>
      </c>
      <c r="G1875" t="inlineStr">
        <is>
          <t>OVANÅKER</t>
        </is>
      </c>
      <c r="I1875" t="n">
        <v>0.9</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4032-2025</t>
        </is>
      </c>
      <c r="B1876" t="inlineStr">
        <is>
          <t>avverkningsanmälan</t>
        </is>
      </c>
      <c r="C1876" t="inlineStr">
        <is>
          <t>Avverkning för annat ändamål</t>
        </is>
      </c>
      <c r="D1876" s="1" t="n">
        <v>45684</v>
      </c>
      <c r="E1876" s="1" t="n">
        <v>46326</v>
      </c>
      <c r="F1876" t="inlineStr">
        <is>
          <t>GÄVLEBORGS LÄN</t>
        </is>
      </c>
      <c r="G1876" t="inlineStr">
        <is>
          <t>HOFORS</t>
        </is>
      </c>
      <c r="I1876" t="n">
        <v>2.7</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49858-2024</t>
        </is>
      </c>
      <c r="B1877" t="inlineStr">
        <is>
          <t>avverkningsanmälan</t>
        </is>
      </c>
      <c r="C1877" t="inlineStr">
        <is>
          <t>Föryngringsavverkning</t>
        </is>
      </c>
      <c r="D1877" s="1" t="n">
        <v>45597</v>
      </c>
      <c r="E1877" s="1" t="n">
        <v>46326</v>
      </c>
      <c r="F1877" t="inlineStr">
        <is>
          <t>GÄVLEBORGS LÄN</t>
        </is>
      </c>
      <c r="G1877" t="inlineStr">
        <is>
          <t>OVANÅKER</t>
        </is>
      </c>
      <c r="I1877" t="n">
        <v>1.2</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57041-2022</t>
        </is>
      </c>
      <c r="B1878" t="inlineStr">
        <is>
          <t>avverkningsanmälan</t>
        </is>
      </c>
      <c r="C1878" t="inlineStr">
        <is>
          <t>Föryngringsavverkning</t>
        </is>
      </c>
      <c r="D1878" s="1" t="n">
        <v>44895</v>
      </c>
      <c r="E1878" s="1" t="n">
        <v>46326</v>
      </c>
      <c r="F1878" t="inlineStr">
        <is>
          <t>GÄVLEBORGS LÄN</t>
        </is>
      </c>
      <c r="G1878" t="inlineStr">
        <is>
          <t>BOLLNÄS</t>
        </is>
      </c>
      <c r="I1878" t="n">
        <v>0.8</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25297-2024</t>
        </is>
      </c>
      <c r="B1879" t="inlineStr">
        <is>
          <t>avverkningsanmälan</t>
        </is>
      </c>
      <c r="C1879" t="inlineStr">
        <is>
          <t>Föryngringsavverkning</t>
        </is>
      </c>
      <c r="D1879" s="1" t="n">
        <v>45462</v>
      </c>
      <c r="E1879" s="1" t="n">
        <v>46326</v>
      </c>
      <c r="F1879" t="inlineStr">
        <is>
          <t>GÄVLEBORGS LÄN</t>
        </is>
      </c>
      <c r="G1879" t="inlineStr">
        <is>
          <t>OVANÅKER</t>
        </is>
      </c>
      <c r="I1879" t="n">
        <v>1.9</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25299-2024</t>
        </is>
      </c>
      <c r="B1880" t="inlineStr">
        <is>
          <t>avverkningsanmälan</t>
        </is>
      </c>
      <c r="C1880" t="inlineStr">
        <is>
          <t>Föryngringsavverkning</t>
        </is>
      </c>
      <c r="D1880" s="1" t="n">
        <v>45462</v>
      </c>
      <c r="E1880" s="1" t="n">
        <v>46326</v>
      </c>
      <c r="F1880" t="inlineStr">
        <is>
          <t>GÄVLEBORGS LÄN</t>
        </is>
      </c>
      <c r="G1880" t="inlineStr">
        <is>
          <t>OVANÅKER</t>
        </is>
      </c>
      <c r="I1880" t="n">
        <v>0.7</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46000-2024</t>
        </is>
      </c>
      <c r="B1881" t="inlineStr">
        <is>
          <t>avverkningsanmälan</t>
        </is>
      </c>
      <c r="C1881" t="inlineStr">
        <is>
          <t>Föryngringsavverkning</t>
        </is>
      </c>
      <c r="D1881" s="1" t="n">
        <v>45580</v>
      </c>
      <c r="E1881" s="1" t="n">
        <v>46326</v>
      </c>
      <c r="F1881" t="inlineStr">
        <is>
          <t>GÄVLEBORGS LÄN</t>
        </is>
      </c>
      <c r="G1881" t="inlineStr">
        <is>
          <t>OVANÅKER</t>
        </is>
      </c>
      <c r="I1881" t="n">
        <v>2.5</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9363-2024</t>
        </is>
      </c>
      <c r="B1882" t="inlineStr">
        <is>
          <t>avverkningsanmälan</t>
        </is>
      </c>
      <c r="C1882" t="inlineStr">
        <is>
          <t>Föryngringsavverkning</t>
        </is>
      </c>
      <c r="D1882" s="1" t="n">
        <v>45359</v>
      </c>
      <c r="E1882" s="1" t="n">
        <v>46326</v>
      </c>
      <c r="F1882" t="inlineStr">
        <is>
          <t>GÄVLEBORGS LÄN</t>
        </is>
      </c>
      <c r="G1882" t="inlineStr">
        <is>
          <t>LJUSDAL</t>
        </is>
      </c>
      <c r="I1882" t="n">
        <v>1.6</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58918-2022</t>
        </is>
      </c>
      <c r="B1883" t="inlineStr">
        <is>
          <t>avverkningsanmälan</t>
        </is>
      </c>
      <c r="C1883" t="inlineStr">
        <is>
          <t>Föryngringsavverkning</t>
        </is>
      </c>
      <c r="D1883" s="1" t="n">
        <v>44903</v>
      </c>
      <c r="E1883" s="1" t="n">
        <v>46326</v>
      </c>
      <c r="F1883" t="inlineStr">
        <is>
          <t>GÄVLEBORGS LÄN</t>
        </is>
      </c>
      <c r="G1883" t="inlineStr">
        <is>
          <t>OVANÅKER</t>
        </is>
      </c>
      <c r="H1883" t="inlineStr">
        <is>
          <t>Bergvik skog väst AB</t>
        </is>
      </c>
      <c r="I1883" t="n">
        <v>0.5</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10327-2024</t>
        </is>
      </c>
      <c r="B1884" t="inlineStr">
        <is>
          <t>avverkningsanmälan</t>
        </is>
      </c>
      <c r="C1884" t="inlineStr">
        <is>
          <t>Föryngringsavverkning</t>
        </is>
      </c>
      <c r="D1884" s="1" t="n">
        <v>45365</v>
      </c>
      <c r="E1884" s="1" t="n">
        <v>46326</v>
      </c>
      <c r="F1884" t="inlineStr">
        <is>
          <t>GÄVLEBORGS LÄN</t>
        </is>
      </c>
      <c r="G1884" t="inlineStr">
        <is>
          <t>SÖDERHAMN</t>
        </is>
      </c>
      <c r="I1884" t="n">
        <v>1</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8434-2024</t>
        </is>
      </c>
      <c r="B1885" t="inlineStr">
        <is>
          <t>avverkningsanmälan</t>
        </is>
      </c>
      <c r="C1885" t="inlineStr">
        <is>
          <t>Föryngringsavverkning</t>
        </is>
      </c>
      <c r="D1885" s="1" t="n">
        <v>45353</v>
      </c>
      <c r="E1885" s="1" t="n">
        <v>46326</v>
      </c>
      <c r="F1885" t="inlineStr">
        <is>
          <t>GÄVLEBORGS LÄN</t>
        </is>
      </c>
      <c r="G1885" t="inlineStr">
        <is>
          <t>HUDIKSVALL</t>
        </is>
      </c>
      <c r="H1885" t="inlineStr">
        <is>
          <t>Holmen skog AB</t>
        </is>
      </c>
      <c r="I1885" t="n">
        <v>10.1</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51337-2023</t>
        </is>
      </c>
      <c r="B1886" t="inlineStr">
        <is>
          <t>avverkningsanmälan</t>
        </is>
      </c>
      <c r="C1886" t="inlineStr">
        <is>
          <t>Föryngringsavverkning</t>
        </is>
      </c>
      <c r="D1886" s="1" t="n">
        <v>45219</v>
      </c>
      <c r="E1886" s="1" t="n">
        <v>46326</v>
      </c>
      <c r="F1886" t="inlineStr">
        <is>
          <t>GÄVLEBORGS LÄN</t>
        </is>
      </c>
      <c r="G1886" t="inlineStr">
        <is>
          <t>HOFORS</t>
        </is>
      </c>
      <c r="I1886" t="n">
        <v>1</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19227-2025</t>
        </is>
      </c>
      <c r="B1887" t="inlineStr">
        <is>
          <t>avverkningsanmälan</t>
        </is>
      </c>
      <c r="C1887" t="inlineStr">
        <is>
          <t>Föryngringsavverkning</t>
        </is>
      </c>
      <c r="D1887" s="1" t="n">
        <v>45769</v>
      </c>
      <c r="E1887" s="1" t="n">
        <v>46326</v>
      </c>
      <c r="F1887" t="inlineStr">
        <is>
          <t>GÄVLEBORGS LÄN</t>
        </is>
      </c>
      <c r="G1887" t="inlineStr">
        <is>
          <t>HUDIKSVALL</t>
        </is>
      </c>
      <c r="H1887" t="inlineStr">
        <is>
          <t>Holmen skog AB</t>
        </is>
      </c>
      <c r="I1887" t="n">
        <v>5.3</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41258-2024</t>
        </is>
      </c>
      <c r="B1888" t="inlineStr">
        <is>
          <t>avverkningsanmälan</t>
        </is>
      </c>
      <c r="C1888" t="inlineStr">
        <is>
          <t>Föryngringsavverkning</t>
        </is>
      </c>
      <c r="D1888" s="1" t="n">
        <v>45559</v>
      </c>
      <c r="E1888" s="1" t="n">
        <v>46326</v>
      </c>
      <c r="F1888" t="inlineStr">
        <is>
          <t>GÄVLEBORGS LÄN</t>
        </is>
      </c>
      <c r="G1888" t="inlineStr">
        <is>
          <t>HUDIKSVALL</t>
        </is>
      </c>
      <c r="H1888" t="inlineStr">
        <is>
          <t>Holmen skog AB</t>
        </is>
      </c>
      <c r="I1888" t="n">
        <v>8.4</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36028-2024</t>
        </is>
      </c>
      <c r="B1889" t="inlineStr">
        <is>
          <t>avverkningsanmälan</t>
        </is>
      </c>
      <c r="C1889" t="inlineStr">
        <is>
          <t>Föryngringsavverkning</t>
        </is>
      </c>
      <c r="D1889" s="1" t="n">
        <v>45533</v>
      </c>
      <c r="E1889" s="1" t="n">
        <v>46326</v>
      </c>
      <c r="F1889" t="inlineStr">
        <is>
          <t>GÄVLEBORGS LÄN</t>
        </is>
      </c>
      <c r="G1889" t="inlineStr">
        <is>
          <t>NORDANSTIG</t>
        </is>
      </c>
      <c r="H1889" t="inlineStr">
        <is>
          <t>Holmen skog AB</t>
        </is>
      </c>
      <c r="I1889" t="n">
        <v>1.7</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4619-2024</t>
        </is>
      </c>
      <c r="B1890" t="inlineStr">
        <is>
          <t>avverkningsanmälan</t>
        </is>
      </c>
      <c r="C1890" t="inlineStr">
        <is>
          <t>Föryngringsavverkning</t>
        </is>
      </c>
      <c r="D1890" s="1" t="n">
        <v>45328</v>
      </c>
      <c r="E1890" s="1" t="n">
        <v>46326</v>
      </c>
      <c r="F1890" t="inlineStr">
        <is>
          <t>GÄVLEBORGS LÄN</t>
        </is>
      </c>
      <c r="G1890" t="inlineStr">
        <is>
          <t>HUDIKSVALL</t>
        </is>
      </c>
      <c r="H1890" t="inlineStr">
        <is>
          <t>Holmen skog AB</t>
        </is>
      </c>
      <c r="I1890" t="n">
        <v>2.2</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6730-2025</t>
        </is>
      </c>
      <c r="B1891" t="inlineStr">
        <is>
          <t>avverkningsanmälan</t>
        </is>
      </c>
      <c r="C1891" t="inlineStr">
        <is>
          <t>Föryngringsavverkning</t>
        </is>
      </c>
      <c r="D1891" s="1" t="n">
        <v>45700</v>
      </c>
      <c r="E1891" s="1" t="n">
        <v>46326</v>
      </c>
      <c r="F1891" t="inlineStr">
        <is>
          <t>GÄVLEBORGS LÄN</t>
        </is>
      </c>
      <c r="G1891" t="inlineStr">
        <is>
          <t>HUDIKSVALL</t>
        </is>
      </c>
      <c r="I1891" t="n">
        <v>25</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19095-2022</t>
        </is>
      </c>
      <c r="B1892" t="inlineStr">
        <is>
          <t>avverkningsanmälan</t>
        </is>
      </c>
      <c r="C1892" t="inlineStr">
        <is>
          <t>Avverkning för annat ändamål</t>
        </is>
      </c>
      <c r="D1892" s="1" t="n">
        <v>44691</v>
      </c>
      <c r="E1892" s="1" t="n">
        <v>46326</v>
      </c>
      <c r="F1892" t="inlineStr">
        <is>
          <t>GÄVLEBORGS LÄN</t>
        </is>
      </c>
      <c r="G1892" t="inlineStr">
        <is>
          <t>GÄVLE</t>
        </is>
      </c>
      <c r="I1892" t="n">
        <v>1.9</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17523-2025</t>
        </is>
      </c>
      <c r="B1893" t="inlineStr">
        <is>
          <t>avverkningsanmälan</t>
        </is>
      </c>
      <c r="C1893" t="inlineStr">
        <is>
          <t>Föryngringsavverkning</t>
        </is>
      </c>
      <c r="D1893" s="1" t="n">
        <v>45757</v>
      </c>
      <c r="E1893" s="1" t="n">
        <v>46326</v>
      </c>
      <c r="F1893" t="inlineStr">
        <is>
          <t>GÄVLEBORGS LÄN</t>
        </is>
      </c>
      <c r="G1893" t="inlineStr">
        <is>
          <t>OVANÅKER</t>
        </is>
      </c>
      <c r="H1893" t="inlineStr">
        <is>
          <t>Bergvik skog öst AB</t>
        </is>
      </c>
      <c r="I1893" t="n">
        <v>3.1</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59409-2023</t>
        </is>
      </c>
      <c r="B1894" t="inlineStr">
        <is>
          <t>avverkningsanmälan</t>
        </is>
      </c>
      <c r="C1894" t="inlineStr">
        <is>
          <t>Föryngringsavverkning</t>
        </is>
      </c>
      <c r="D1894" s="1" t="n">
        <v>45253</v>
      </c>
      <c r="E1894" s="1" t="n">
        <v>46326</v>
      </c>
      <c r="F1894" t="inlineStr">
        <is>
          <t>GÄVLEBORGS LÄN</t>
        </is>
      </c>
      <c r="G1894" t="inlineStr">
        <is>
          <t>NORDANSTIG</t>
        </is>
      </c>
      <c r="I1894" t="n">
        <v>12.5</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57664-2024</t>
        </is>
      </c>
      <c r="B1895" t="inlineStr">
        <is>
          <t>avverkningsanmälan</t>
        </is>
      </c>
      <c r="C1895" t="inlineStr">
        <is>
          <t>Avverkning för annat ändamål</t>
        </is>
      </c>
      <c r="D1895" s="1" t="n">
        <v>45630</v>
      </c>
      <c r="E1895" s="1" t="n">
        <v>46326</v>
      </c>
      <c r="F1895" t="inlineStr">
        <is>
          <t>GÄVLEBORGS LÄN</t>
        </is>
      </c>
      <c r="G1895" t="inlineStr">
        <is>
          <t>LJUSDAL</t>
        </is>
      </c>
      <c r="I1895" t="n">
        <v>1.7</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2127-2024</t>
        </is>
      </c>
      <c r="B1896" t="inlineStr">
        <is>
          <t>avverkningsanmälan</t>
        </is>
      </c>
      <c r="C1896" t="inlineStr">
        <is>
          <t>Föryngringsavverkning</t>
        </is>
      </c>
      <c r="D1896" s="1" t="n">
        <v>45309</v>
      </c>
      <c r="E1896" s="1" t="n">
        <v>46326</v>
      </c>
      <c r="F1896" t="inlineStr">
        <is>
          <t>GÄVLEBORGS LÄN</t>
        </is>
      </c>
      <c r="G1896" t="inlineStr">
        <is>
          <t>HUDIKSVALL</t>
        </is>
      </c>
      <c r="H1896" t="inlineStr">
        <is>
          <t>Holmen skog AB</t>
        </is>
      </c>
      <c r="I1896" t="n">
        <v>3.1</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2141-2024</t>
        </is>
      </c>
      <c r="B1897" t="inlineStr">
        <is>
          <t>avverkningsanmälan</t>
        </is>
      </c>
      <c r="C1897" t="inlineStr">
        <is>
          <t>Föryngringsavverkning</t>
        </is>
      </c>
      <c r="D1897" s="1" t="n">
        <v>45309</v>
      </c>
      <c r="E1897" s="1" t="n">
        <v>46326</v>
      </c>
      <c r="F1897" t="inlineStr">
        <is>
          <t>GÄVLEBORGS LÄN</t>
        </is>
      </c>
      <c r="G1897" t="inlineStr">
        <is>
          <t>NORDANSTIG</t>
        </is>
      </c>
      <c r="I1897" t="n">
        <v>0.7</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36186-2023</t>
        </is>
      </c>
      <c r="B1898" t="inlineStr">
        <is>
          <t>avverkningsanmälan</t>
        </is>
      </c>
      <c r="C1898" t="inlineStr">
        <is>
          <t>Föryngringsavverkning</t>
        </is>
      </c>
      <c r="D1898" s="1" t="n">
        <v>45149</v>
      </c>
      <c r="E1898" s="1" t="n">
        <v>46326</v>
      </c>
      <c r="F1898" t="inlineStr">
        <is>
          <t>GÄVLEBORGS LÄN</t>
        </is>
      </c>
      <c r="G1898" t="inlineStr">
        <is>
          <t>NORDANSTIG</t>
        </is>
      </c>
      <c r="I1898" t="n">
        <v>2.7</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52788-2024</t>
        </is>
      </c>
      <c r="B1899" t="inlineStr">
        <is>
          <t>avverkningsanmälan</t>
        </is>
      </c>
      <c r="C1899" t="inlineStr">
        <is>
          <t>Föryngringsavverkning</t>
        </is>
      </c>
      <c r="D1899" s="1" t="n">
        <v>45610</v>
      </c>
      <c r="E1899" s="1" t="n">
        <v>46326</v>
      </c>
      <c r="F1899" t="inlineStr">
        <is>
          <t>GÄVLEBORGS LÄN</t>
        </is>
      </c>
      <c r="G1899" t="inlineStr">
        <is>
          <t>NORDANSTIG</t>
        </is>
      </c>
      <c r="H1899" t="inlineStr">
        <is>
          <t>Holmen skog AB</t>
        </is>
      </c>
      <c r="I1899" t="n">
        <v>4.3</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4605-2023</t>
        </is>
      </c>
      <c r="B1900" t="inlineStr">
        <is>
          <t>avverkningsanmälan</t>
        </is>
      </c>
      <c r="C1900" t="inlineStr">
        <is>
          <t>Föryngringsavverkning</t>
        </is>
      </c>
      <c r="D1900" s="1" t="n">
        <v>44956</v>
      </c>
      <c r="E1900" s="1" t="n">
        <v>46326</v>
      </c>
      <c r="F1900" t="inlineStr">
        <is>
          <t>GÄVLEBORGS LÄN</t>
        </is>
      </c>
      <c r="G1900" t="inlineStr">
        <is>
          <t>HUDIKSVALL</t>
        </is>
      </c>
      <c r="I1900" t="n">
        <v>1.3</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5999-2024</t>
        </is>
      </c>
      <c r="B1901" t="inlineStr">
        <is>
          <t>avverkningsanmälan</t>
        </is>
      </c>
      <c r="C1901" t="inlineStr">
        <is>
          <t>Föryngringsavverkning</t>
        </is>
      </c>
      <c r="D1901" s="1" t="n">
        <v>45336</v>
      </c>
      <c r="E1901" s="1" t="n">
        <v>46326</v>
      </c>
      <c r="F1901" t="inlineStr">
        <is>
          <t>GÄVLEBORGS LÄN</t>
        </is>
      </c>
      <c r="G1901" t="inlineStr">
        <is>
          <t>NORDANSTIG</t>
        </is>
      </c>
      <c r="I1901" t="n">
        <v>1.7</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54149-2023</t>
        </is>
      </c>
      <c r="B1902" t="inlineStr">
        <is>
          <t>avverkningsanmälan</t>
        </is>
      </c>
      <c r="C1902" t="inlineStr">
        <is>
          <t>Föryngringsavverkning</t>
        </is>
      </c>
      <c r="D1902" s="1" t="n">
        <v>45232</v>
      </c>
      <c r="E1902" s="1" t="n">
        <v>46326</v>
      </c>
      <c r="F1902" t="inlineStr">
        <is>
          <t>GÄVLEBORGS LÄN</t>
        </is>
      </c>
      <c r="G1902" t="inlineStr">
        <is>
          <t>HOFORS</t>
        </is>
      </c>
      <c r="I1902" t="n">
        <v>4.6</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24770-2022</t>
        </is>
      </c>
      <c r="B1903" t="inlineStr">
        <is>
          <t>avverkningsanmälan</t>
        </is>
      </c>
      <c r="C1903" t="inlineStr">
        <is>
          <t>Föryngringsavverkning</t>
        </is>
      </c>
      <c r="D1903" s="1" t="n">
        <v>44728</v>
      </c>
      <c r="E1903" s="1" t="n">
        <v>46326</v>
      </c>
      <c r="F1903" t="inlineStr">
        <is>
          <t>GÄVLEBORGS LÄN</t>
        </is>
      </c>
      <c r="G1903" t="inlineStr">
        <is>
          <t>BOLLNÄS</t>
        </is>
      </c>
      <c r="I1903" t="n">
        <v>0.5</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2546-2023</t>
        </is>
      </c>
      <c r="B1904" t="inlineStr">
        <is>
          <t>avverkningsanmälan</t>
        </is>
      </c>
      <c r="C1904" t="inlineStr">
        <is>
          <t>Föryngringsavverkning</t>
        </is>
      </c>
      <c r="D1904" s="1" t="n">
        <v>44943</v>
      </c>
      <c r="E1904" s="1" t="n">
        <v>46326</v>
      </c>
      <c r="F1904" t="inlineStr">
        <is>
          <t>GÄVLEBORGS LÄN</t>
        </is>
      </c>
      <c r="G1904" t="inlineStr">
        <is>
          <t>OVANÅKER</t>
        </is>
      </c>
      <c r="I1904" t="n">
        <v>1.6</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10260-2024</t>
        </is>
      </c>
      <c r="B1905" t="inlineStr">
        <is>
          <t>avverkningsanmälan</t>
        </is>
      </c>
      <c r="C1905" t="inlineStr">
        <is>
          <t>Föryngringsavverkning</t>
        </is>
      </c>
      <c r="D1905" s="1" t="n">
        <v>45365</v>
      </c>
      <c r="E1905" s="1" t="n">
        <v>46326</v>
      </c>
      <c r="F1905" t="inlineStr">
        <is>
          <t>GÄVLEBORGS LÄN</t>
        </is>
      </c>
      <c r="G1905" t="inlineStr">
        <is>
          <t>SANDVIKEN</t>
        </is>
      </c>
      <c r="H1905" t="inlineStr">
        <is>
          <t>Kommuner</t>
        </is>
      </c>
      <c r="I1905" t="n">
        <v>1.8</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19601-2024</t>
        </is>
      </c>
      <c r="B1906" t="inlineStr">
        <is>
          <t>avverkningsanmälan</t>
        </is>
      </c>
      <c r="C1906" t="inlineStr">
        <is>
          <t>Föryngringsavverkning</t>
        </is>
      </c>
      <c r="D1906" s="1" t="n">
        <v>45431</v>
      </c>
      <c r="E1906" s="1" t="n">
        <v>46326</v>
      </c>
      <c r="F1906" t="inlineStr">
        <is>
          <t>GÄVLEBORGS LÄN</t>
        </is>
      </c>
      <c r="G1906" t="inlineStr">
        <is>
          <t>HUDIKSVALL</t>
        </is>
      </c>
      <c r="H1906" t="inlineStr">
        <is>
          <t>Holmen skog AB</t>
        </is>
      </c>
      <c r="I1906" t="n">
        <v>2.8</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19617-2024</t>
        </is>
      </c>
      <c r="B1907" t="inlineStr">
        <is>
          <t>avverkningsanmälan</t>
        </is>
      </c>
      <c r="C1907" t="inlineStr">
        <is>
          <t>Föryngringsavverkning</t>
        </is>
      </c>
      <c r="D1907" s="1" t="n">
        <v>45432</v>
      </c>
      <c r="E1907" s="1" t="n">
        <v>46326</v>
      </c>
      <c r="F1907" t="inlineStr">
        <is>
          <t>GÄVLEBORGS LÄN</t>
        </is>
      </c>
      <c r="G1907" t="inlineStr">
        <is>
          <t>SÖDERHAMN</t>
        </is>
      </c>
      <c r="I1907" t="n">
        <v>3.3</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59533-2023</t>
        </is>
      </c>
      <c r="B1908" t="inlineStr">
        <is>
          <t>avverkningsanmälan</t>
        </is>
      </c>
      <c r="C1908" t="inlineStr">
        <is>
          <t>Föryngringsavverkning</t>
        </is>
      </c>
      <c r="D1908" s="1" t="n">
        <v>45254</v>
      </c>
      <c r="E1908" s="1" t="n">
        <v>46326</v>
      </c>
      <c r="F1908" t="inlineStr">
        <is>
          <t>GÄVLEBORGS LÄN</t>
        </is>
      </c>
      <c r="G1908" t="inlineStr">
        <is>
          <t>OCKELBO</t>
        </is>
      </c>
      <c r="I1908" t="n">
        <v>2.7</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5143-2025</t>
        </is>
      </c>
      <c r="B1909" t="inlineStr">
        <is>
          <t>avverkningsanmälan</t>
        </is>
      </c>
      <c r="C1909" t="inlineStr">
        <is>
          <t>Föryngringsavverkning</t>
        </is>
      </c>
      <c r="D1909" s="1" t="n">
        <v>45691</v>
      </c>
      <c r="E1909" s="1" t="n">
        <v>46326</v>
      </c>
      <c r="F1909" t="inlineStr">
        <is>
          <t>GÄVLEBORGS LÄN</t>
        </is>
      </c>
      <c r="G1909" t="inlineStr">
        <is>
          <t>NORDANSTIG</t>
        </is>
      </c>
      <c r="I1909" t="n">
        <v>4.4</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56894-2023</t>
        </is>
      </c>
      <c r="B1910" t="inlineStr">
        <is>
          <t>avverkningsanmälan</t>
        </is>
      </c>
      <c r="C1910" t="inlineStr">
        <is>
          <t>Föryngringsavverkning</t>
        </is>
      </c>
      <c r="D1910" s="1" t="n">
        <v>45244</v>
      </c>
      <c r="E1910" s="1" t="n">
        <v>46326</v>
      </c>
      <c r="F1910" t="inlineStr">
        <is>
          <t>GÄVLEBORGS LÄN</t>
        </is>
      </c>
      <c r="G1910" t="inlineStr">
        <is>
          <t>HUDIKSVALL</t>
        </is>
      </c>
      <c r="H1910" t="inlineStr">
        <is>
          <t>Holmen skog AB</t>
        </is>
      </c>
      <c r="I1910" t="n">
        <v>0.8</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4294-2024</t>
        </is>
      </c>
      <c r="B1911" t="inlineStr">
        <is>
          <t>avverkningsanmälan</t>
        </is>
      </c>
      <c r="C1911" t="inlineStr">
        <is>
          <t>Föryngringsavverkning</t>
        </is>
      </c>
      <c r="D1911" s="1" t="n">
        <v>45324</v>
      </c>
      <c r="E1911" s="1" t="n">
        <v>46326</v>
      </c>
      <c r="F1911" t="inlineStr">
        <is>
          <t>GÄVLEBORGS LÄN</t>
        </is>
      </c>
      <c r="G1911" t="inlineStr">
        <is>
          <t>GÄVLE</t>
        </is>
      </c>
      <c r="I1911" t="n">
        <v>2.2</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57315-2024</t>
        </is>
      </c>
      <c r="B1912" t="inlineStr">
        <is>
          <t>avverkningsanmälan</t>
        </is>
      </c>
      <c r="C1912" t="inlineStr">
        <is>
          <t>Föryngringsavverkning</t>
        </is>
      </c>
      <c r="D1912" s="1" t="n">
        <v>45629</v>
      </c>
      <c r="E1912" s="1" t="n">
        <v>46326</v>
      </c>
      <c r="F1912" t="inlineStr">
        <is>
          <t>GÄVLEBORGS LÄN</t>
        </is>
      </c>
      <c r="G1912" t="inlineStr">
        <is>
          <t>LJUSDAL</t>
        </is>
      </c>
      <c r="I1912" t="n">
        <v>0.9</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1468-2025</t>
        </is>
      </c>
      <c r="B1913" t="inlineStr">
        <is>
          <t>avverkningsanmälan</t>
        </is>
      </c>
      <c r="C1913" t="inlineStr">
        <is>
          <t>Föryngringsavverkning</t>
        </is>
      </c>
      <c r="D1913" s="1" t="n">
        <v>45670</v>
      </c>
      <c r="E1913" s="1" t="n">
        <v>46326</v>
      </c>
      <c r="F1913" t="inlineStr">
        <is>
          <t>GÄVLEBORGS LÄN</t>
        </is>
      </c>
      <c r="G1913" t="inlineStr">
        <is>
          <t>HUDIKSVALL</t>
        </is>
      </c>
      <c r="I1913" t="n">
        <v>11.8</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1570-2025</t>
        </is>
      </c>
      <c r="B1914" t="inlineStr">
        <is>
          <t>avverkningsanmälan</t>
        </is>
      </c>
      <c r="C1914" t="inlineStr">
        <is>
          <t>Föryngringsavverkning</t>
        </is>
      </c>
      <c r="D1914" s="1" t="n">
        <v>45670</v>
      </c>
      <c r="E1914" s="1" t="n">
        <v>46326</v>
      </c>
      <c r="F1914" t="inlineStr">
        <is>
          <t>GÄVLEBORGS LÄN</t>
        </is>
      </c>
      <c r="G1914" t="inlineStr">
        <is>
          <t>LJUSDAL</t>
        </is>
      </c>
      <c r="I1914" t="n">
        <v>0.7</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46664-2024</t>
        </is>
      </c>
      <c r="B1915" t="inlineStr">
        <is>
          <t>avverkningsanmälan</t>
        </is>
      </c>
      <c r="C1915" t="inlineStr">
        <is>
          <t>Föryngringsavverkning</t>
        </is>
      </c>
      <c r="D1915" s="1" t="n">
        <v>45583</v>
      </c>
      <c r="E1915" s="1" t="n">
        <v>46326</v>
      </c>
      <c r="F1915" t="inlineStr">
        <is>
          <t>GÄVLEBORGS LÄN</t>
        </is>
      </c>
      <c r="G1915" t="inlineStr">
        <is>
          <t>BOLLNÄS</t>
        </is>
      </c>
      <c r="I1915" t="n">
        <v>3.8</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46669-2024</t>
        </is>
      </c>
      <c r="B1916" t="inlineStr">
        <is>
          <t>avverkningsanmälan</t>
        </is>
      </c>
      <c r="C1916" t="inlineStr">
        <is>
          <t>Föryngringsavverkning</t>
        </is>
      </c>
      <c r="D1916" s="1" t="n">
        <v>45583</v>
      </c>
      <c r="E1916" s="1" t="n">
        <v>46326</v>
      </c>
      <c r="F1916" t="inlineStr">
        <is>
          <t>GÄVLEBORGS LÄN</t>
        </is>
      </c>
      <c r="G1916" t="inlineStr">
        <is>
          <t>BOLLNÄS</t>
        </is>
      </c>
      <c r="I1916" t="n">
        <v>1.7</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30187-2024</t>
        </is>
      </c>
      <c r="B1917" t="inlineStr">
        <is>
          <t>avverkningsanmälan</t>
        </is>
      </c>
      <c r="C1917" t="inlineStr">
        <is>
          <t>Föryngringsavverkning</t>
        </is>
      </c>
      <c r="D1917" s="1" t="n">
        <v>45490</v>
      </c>
      <c r="E1917" s="1" t="n">
        <v>46326</v>
      </c>
      <c r="F1917" t="inlineStr">
        <is>
          <t>GÄVLEBORGS LÄN</t>
        </is>
      </c>
      <c r="G1917" t="inlineStr">
        <is>
          <t>BOLLNÄS</t>
        </is>
      </c>
      <c r="I1917" t="n">
        <v>0.5</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14864-2025</t>
        </is>
      </c>
      <c r="B1918" t="inlineStr">
        <is>
          <t>avverkningsanmälan</t>
        </is>
      </c>
      <c r="C1918" t="inlineStr">
        <is>
          <t>Föryngringsavverkning</t>
        </is>
      </c>
      <c r="D1918" s="1" t="n">
        <v>45743</v>
      </c>
      <c r="E1918" s="1" t="n">
        <v>46326</v>
      </c>
      <c r="F1918" t="inlineStr">
        <is>
          <t>GÄVLEBORGS LÄN</t>
        </is>
      </c>
      <c r="G1918" t="inlineStr">
        <is>
          <t>BOLLNÄS</t>
        </is>
      </c>
      <c r="I1918" t="n">
        <v>11.7</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11810-2023</t>
        </is>
      </c>
      <c r="B1919" t="inlineStr">
        <is>
          <t>avverkningsanmälan</t>
        </is>
      </c>
      <c r="C1919" t="inlineStr">
        <is>
          <t>Föryngringsavverkning</t>
        </is>
      </c>
      <c r="D1919" s="1" t="n">
        <v>44994</v>
      </c>
      <c r="E1919" s="1" t="n">
        <v>46326</v>
      </c>
      <c r="F1919" t="inlineStr">
        <is>
          <t>GÄVLEBORGS LÄN</t>
        </is>
      </c>
      <c r="G1919" t="inlineStr">
        <is>
          <t>SANDVIKEN</t>
        </is>
      </c>
      <c r="I1919" t="n">
        <v>4.9</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43556-2023</t>
        </is>
      </c>
      <c r="B1920" t="inlineStr">
        <is>
          <t>avverkningsanmälan</t>
        </is>
      </c>
      <c r="C1920" t="inlineStr">
        <is>
          <t>Föryngringsavverkning</t>
        </is>
      </c>
      <c r="D1920" s="1" t="n">
        <v>45184</v>
      </c>
      <c r="E1920" s="1" t="n">
        <v>46326</v>
      </c>
      <c r="F1920" t="inlineStr">
        <is>
          <t>GÄVLEBORGS LÄN</t>
        </is>
      </c>
      <c r="G1920" t="inlineStr">
        <is>
          <t>GÄVLE</t>
        </is>
      </c>
      <c r="I1920" t="n">
        <v>0.9</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60778-2022</t>
        </is>
      </c>
      <c r="B1921" t="inlineStr">
        <is>
          <t>avverkningsanmälan</t>
        </is>
      </c>
      <c r="C1921" t="inlineStr">
        <is>
          <t>Föryngringsavverkning</t>
        </is>
      </c>
      <c r="D1921" s="1" t="n">
        <v>44914</v>
      </c>
      <c r="E1921" s="1" t="n">
        <v>46326</v>
      </c>
      <c r="F1921" t="inlineStr">
        <is>
          <t>GÄVLEBORGS LÄN</t>
        </is>
      </c>
      <c r="G1921" t="inlineStr">
        <is>
          <t>OVANÅKER</t>
        </is>
      </c>
      <c r="I1921" t="n">
        <v>2</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7031-2025</t>
        </is>
      </c>
      <c r="B1922" t="inlineStr">
        <is>
          <t>avverkningsanmälan</t>
        </is>
      </c>
      <c r="C1922" t="inlineStr">
        <is>
          <t>Föryngringsavverkning</t>
        </is>
      </c>
      <c r="D1922" s="1" t="n">
        <v>45701</v>
      </c>
      <c r="E1922" s="1" t="n">
        <v>46326</v>
      </c>
      <c r="F1922" t="inlineStr">
        <is>
          <t>GÄVLEBORGS LÄN</t>
        </is>
      </c>
      <c r="G1922" t="inlineStr">
        <is>
          <t>SANDVIKEN</t>
        </is>
      </c>
      <c r="I1922" t="n">
        <v>1.6</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37996-2024</t>
        </is>
      </c>
      <c r="B1923" t="inlineStr">
        <is>
          <t>avverkningsanmälan</t>
        </is>
      </c>
      <c r="C1923" t="inlineStr">
        <is>
          <t>Föryngringsavverkning</t>
        </is>
      </c>
      <c r="D1923" s="1" t="n">
        <v>45544</v>
      </c>
      <c r="E1923" s="1" t="n">
        <v>46326</v>
      </c>
      <c r="F1923" t="inlineStr">
        <is>
          <t>GÄVLEBORGS LÄN</t>
        </is>
      </c>
      <c r="G1923" t="inlineStr">
        <is>
          <t>SANDVIKEN</t>
        </is>
      </c>
      <c r="I1923" t="n">
        <v>0.7</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31544-2023</t>
        </is>
      </c>
      <c r="B1924" t="inlineStr">
        <is>
          <t>avverkningsanmälan</t>
        </is>
      </c>
      <c r="C1924" t="inlineStr">
        <is>
          <t>Föryngringsavverkning</t>
        </is>
      </c>
      <c r="D1924" s="1" t="n">
        <v>45117</v>
      </c>
      <c r="E1924" s="1" t="n">
        <v>46326</v>
      </c>
      <c r="F1924" t="inlineStr">
        <is>
          <t>GÄVLEBORGS LÄN</t>
        </is>
      </c>
      <c r="G1924" t="inlineStr">
        <is>
          <t>GÄVLE</t>
        </is>
      </c>
      <c r="H1924" t="inlineStr">
        <is>
          <t>Bergvik skog väst AB</t>
        </is>
      </c>
      <c r="I1924" t="n">
        <v>1.1</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29923-2022</t>
        </is>
      </c>
      <c r="B1925" t="inlineStr">
        <is>
          <t>avverkningsanmälan</t>
        </is>
      </c>
      <c r="C1925" t="inlineStr">
        <is>
          <t>Föryngringsavverkning</t>
        </is>
      </c>
      <c r="D1925" s="1" t="n">
        <v>44756</v>
      </c>
      <c r="E1925" s="1" t="n">
        <v>46326</v>
      </c>
      <c r="F1925" t="inlineStr">
        <is>
          <t>GÄVLEBORGS LÄN</t>
        </is>
      </c>
      <c r="G1925" t="inlineStr">
        <is>
          <t>GÄVLE</t>
        </is>
      </c>
      <c r="I1925" t="n">
        <v>0.9</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29927-2022</t>
        </is>
      </c>
      <c r="B1926" t="inlineStr">
        <is>
          <t>avverkningsanmälan</t>
        </is>
      </c>
      <c r="C1926" t="inlineStr">
        <is>
          <t>Föryngringsavverkning</t>
        </is>
      </c>
      <c r="D1926" s="1" t="n">
        <v>44756</v>
      </c>
      <c r="E1926" s="1" t="n">
        <v>46326</v>
      </c>
      <c r="F1926" t="inlineStr">
        <is>
          <t>GÄVLEBORGS LÄN</t>
        </is>
      </c>
      <c r="G1926" t="inlineStr">
        <is>
          <t>GÄVLE</t>
        </is>
      </c>
      <c r="I1926" t="n">
        <v>1.4</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24618-2023</t>
        </is>
      </c>
      <c r="B1927" t="inlineStr">
        <is>
          <t>avverkningsanmälan</t>
        </is>
      </c>
      <c r="C1927" t="inlineStr">
        <is>
          <t>Föryngringsavverkning</t>
        </is>
      </c>
      <c r="D1927" s="1" t="n">
        <v>45084</v>
      </c>
      <c r="E1927" s="1" t="n">
        <v>46326</v>
      </c>
      <c r="F1927" t="inlineStr">
        <is>
          <t>GÄVLEBORGS LÄN</t>
        </is>
      </c>
      <c r="G1927" t="inlineStr">
        <is>
          <t>GÄVLE</t>
        </is>
      </c>
      <c r="I1927" t="n">
        <v>3.2</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11107-2024</t>
        </is>
      </c>
      <c r="B1928" t="inlineStr">
        <is>
          <t>avverkningsanmälan</t>
        </is>
      </c>
      <c r="C1928" t="inlineStr">
        <is>
          <t>Föryngringsavverkning</t>
        </is>
      </c>
      <c r="D1928" s="1" t="n">
        <v>45371</v>
      </c>
      <c r="E1928" s="1" t="n">
        <v>46326</v>
      </c>
      <c r="F1928" t="inlineStr">
        <is>
          <t>GÄVLEBORGS LÄN</t>
        </is>
      </c>
      <c r="G1928" t="inlineStr">
        <is>
          <t>HUDIKSVALL</t>
        </is>
      </c>
      <c r="H1928" t="inlineStr">
        <is>
          <t>Holmen skog AB</t>
        </is>
      </c>
      <c r="I1928" t="n">
        <v>4</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34103-2023</t>
        </is>
      </c>
      <c r="B1929" t="inlineStr">
        <is>
          <t>avverkningsanmälan</t>
        </is>
      </c>
      <c r="C1929" t="inlineStr">
        <is>
          <t>Föryngringsavverkning</t>
        </is>
      </c>
      <c r="D1929" s="1" t="n">
        <v>45135</v>
      </c>
      <c r="E1929" s="1" t="n">
        <v>46326</v>
      </c>
      <c r="F1929" t="inlineStr">
        <is>
          <t>GÄVLEBORGS LÄN</t>
        </is>
      </c>
      <c r="G1929" t="inlineStr">
        <is>
          <t>LJUSDAL</t>
        </is>
      </c>
      <c r="H1929" t="inlineStr">
        <is>
          <t>Holmen skog AB</t>
        </is>
      </c>
      <c r="I1929" t="n">
        <v>4.4</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34113-2023</t>
        </is>
      </c>
      <c r="B1930" t="inlineStr">
        <is>
          <t>avverkningsanmälan</t>
        </is>
      </c>
      <c r="C1930" t="inlineStr">
        <is>
          <t>Föryngringsavverkning</t>
        </is>
      </c>
      <c r="D1930" s="1" t="n">
        <v>45135</v>
      </c>
      <c r="E1930" s="1" t="n">
        <v>46326</v>
      </c>
      <c r="F1930" t="inlineStr">
        <is>
          <t>GÄVLEBORGS LÄN</t>
        </is>
      </c>
      <c r="G1930" t="inlineStr">
        <is>
          <t>LJUSDAL</t>
        </is>
      </c>
      <c r="H1930" t="inlineStr">
        <is>
          <t>Holmen skog AB</t>
        </is>
      </c>
      <c r="I1930" t="n">
        <v>6.6</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38232-2024</t>
        </is>
      </c>
      <c r="B1931" t="inlineStr">
        <is>
          <t>avverkningsanmälan</t>
        </is>
      </c>
      <c r="C1931" t="inlineStr">
        <is>
          <t>Föryngringsavverkning</t>
        </is>
      </c>
      <c r="D1931" s="1" t="n">
        <v>45545</v>
      </c>
      <c r="E1931" s="1" t="n">
        <v>46326</v>
      </c>
      <c r="F1931" t="inlineStr">
        <is>
          <t>GÄVLEBORGS LÄN</t>
        </is>
      </c>
      <c r="G1931" t="inlineStr">
        <is>
          <t>LJUSDAL</t>
        </is>
      </c>
      <c r="H1931" t="inlineStr">
        <is>
          <t>Sveaskog</t>
        </is>
      </c>
      <c r="I1931" t="n">
        <v>1.4</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55434-2022</t>
        </is>
      </c>
      <c r="B1932" t="inlineStr">
        <is>
          <t>avverkningsanmälan</t>
        </is>
      </c>
      <c r="C1932" t="inlineStr">
        <is>
          <t>Föryngringsavverkning</t>
        </is>
      </c>
      <c r="D1932" s="1" t="n">
        <v>44887</v>
      </c>
      <c r="E1932" s="1" t="n">
        <v>46326</v>
      </c>
      <c r="F1932" t="inlineStr">
        <is>
          <t>GÄVLEBORGS LÄN</t>
        </is>
      </c>
      <c r="G1932" t="inlineStr">
        <is>
          <t>HUDIKSVALL</t>
        </is>
      </c>
      <c r="H1932" t="inlineStr">
        <is>
          <t>Holmen skog AB</t>
        </is>
      </c>
      <c r="I1932" t="n">
        <v>1.7</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18357-2024</t>
        </is>
      </c>
      <c r="B1933" t="inlineStr">
        <is>
          <t>avverkningsanmälan</t>
        </is>
      </c>
      <c r="C1933" t="inlineStr">
        <is>
          <t>Föryngringsavverkning</t>
        </is>
      </c>
      <c r="D1933" s="1" t="n">
        <v>45422</v>
      </c>
      <c r="E1933" s="1" t="n">
        <v>46326</v>
      </c>
      <c r="F1933" t="inlineStr">
        <is>
          <t>GÄVLEBORGS LÄN</t>
        </is>
      </c>
      <c r="G1933" t="inlineStr">
        <is>
          <t>LJUSDAL</t>
        </is>
      </c>
      <c r="I1933" t="n">
        <v>3.8</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42858-2024</t>
        </is>
      </c>
      <c r="B1934" t="inlineStr">
        <is>
          <t>avverkningsanmälan</t>
        </is>
      </c>
      <c r="C1934" t="inlineStr">
        <is>
          <t>Föryngringsavverkning</t>
        </is>
      </c>
      <c r="D1934" s="1" t="n">
        <v>45566</v>
      </c>
      <c r="E1934" s="1" t="n">
        <v>46326</v>
      </c>
      <c r="F1934" t="inlineStr">
        <is>
          <t>GÄVLEBORGS LÄN</t>
        </is>
      </c>
      <c r="G1934" t="inlineStr">
        <is>
          <t>NORDANSTIG</t>
        </is>
      </c>
      <c r="I1934" t="n">
        <v>3.2</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23375-2024</t>
        </is>
      </c>
      <c r="B1935" t="inlineStr">
        <is>
          <t>avverkningsanmälan</t>
        </is>
      </c>
      <c r="C1935" t="inlineStr">
        <is>
          <t>Föryngringsavverkning</t>
        </is>
      </c>
      <c r="D1935" s="1" t="n">
        <v>45453</v>
      </c>
      <c r="E1935" s="1" t="n">
        <v>46326</v>
      </c>
      <c r="F1935" t="inlineStr">
        <is>
          <t>GÄVLEBORGS LÄN</t>
        </is>
      </c>
      <c r="G1935" t="inlineStr">
        <is>
          <t>BOLLNÄS</t>
        </is>
      </c>
      <c r="I1935" t="n">
        <v>3.5</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37005-2022</t>
        </is>
      </c>
      <c r="B1936" t="inlineStr">
        <is>
          <t>avverkningsanmälan</t>
        </is>
      </c>
      <c r="C1936" t="inlineStr">
        <is>
          <t>Föryngringsavverkning</t>
        </is>
      </c>
      <c r="D1936" s="1" t="n">
        <v>44806</v>
      </c>
      <c r="E1936" s="1" t="n">
        <v>46326</v>
      </c>
      <c r="F1936" t="inlineStr">
        <is>
          <t>GÄVLEBORGS LÄN</t>
        </is>
      </c>
      <c r="G1936" t="inlineStr">
        <is>
          <t>NORDANSTIG</t>
        </is>
      </c>
      <c r="I1936" t="n">
        <v>3.4</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50169-2024</t>
        </is>
      </c>
      <c r="B1937" t="inlineStr">
        <is>
          <t>avverkningsanmälan</t>
        </is>
      </c>
      <c r="C1937" t="inlineStr">
        <is>
          <t>Föryngringsavverkning</t>
        </is>
      </c>
      <c r="D1937" s="1" t="n">
        <v>45600</v>
      </c>
      <c r="E1937" s="1" t="n">
        <v>46326</v>
      </c>
      <c r="F1937" t="inlineStr">
        <is>
          <t>GÄVLEBORGS LÄN</t>
        </is>
      </c>
      <c r="G1937" t="inlineStr">
        <is>
          <t>LJUSDAL</t>
        </is>
      </c>
      <c r="H1937" t="inlineStr">
        <is>
          <t>Sveaskog</t>
        </is>
      </c>
      <c r="I1937" t="n">
        <v>0.6</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9172-2023</t>
        </is>
      </c>
      <c r="B1938" t="inlineStr">
        <is>
          <t>avverkningsanmälan</t>
        </is>
      </c>
      <c r="C1938" t="inlineStr">
        <is>
          <t>Föryngringsavverkning</t>
        </is>
      </c>
      <c r="D1938" s="1" t="n">
        <v>44980</v>
      </c>
      <c r="E1938" s="1" t="n">
        <v>46326</v>
      </c>
      <c r="F1938" t="inlineStr">
        <is>
          <t>GÄVLEBORGS LÄN</t>
        </is>
      </c>
      <c r="G1938" t="inlineStr">
        <is>
          <t>HUDIKSVALL</t>
        </is>
      </c>
      <c r="H1938" t="inlineStr">
        <is>
          <t>Holmen skog AB</t>
        </is>
      </c>
      <c r="I1938" t="n">
        <v>1</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45284-2023</t>
        </is>
      </c>
      <c r="B1939" t="inlineStr">
        <is>
          <t>avverkningsanmälan</t>
        </is>
      </c>
      <c r="C1939" t="inlineStr">
        <is>
          <t>Föryngringsavverkning</t>
        </is>
      </c>
      <c r="D1939" s="1" t="n">
        <v>45191</v>
      </c>
      <c r="E1939" s="1" t="n">
        <v>46326</v>
      </c>
      <c r="F1939" t="inlineStr">
        <is>
          <t>GÄVLEBORGS LÄN</t>
        </is>
      </c>
      <c r="G1939" t="inlineStr">
        <is>
          <t>SANDVIKEN</t>
        </is>
      </c>
      <c r="I1939" t="n">
        <v>3.1</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37743-2022</t>
        </is>
      </c>
      <c r="B1940" t="inlineStr">
        <is>
          <t>avverkningsanmälan</t>
        </is>
      </c>
      <c r="C1940" t="inlineStr">
        <is>
          <t>Föryngringsavverkning</t>
        </is>
      </c>
      <c r="D1940" s="1" t="n">
        <v>44810</v>
      </c>
      <c r="E1940" s="1" t="n">
        <v>46326</v>
      </c>
      <c r="F1940" t="inlineStr">
        <is>
          <t>GÄVLEBORGS LÄN</t>
        </is>
      </c>
      <c r="G1940" t="inlineStr">
        <is>
          <t>HOFORS</t>
        </is>
      </c>
      <c r="I1940" t="n">
        <v>1.6</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16196-2025</t>
        </is>
      </c>
      <c r="B1941" t="inlineStr">
        <is>
          <t>avverkningsanmälan</t>
        </is>
      </c>
      <c r="C1941" t="inlineStr">
        <is>
          <t>Föryngringsavverkning</t>
        </is>
      </c>
      <c r="D1941" s="1" t="n">
        <v>45750</v>
      </c>
      <c r="E1941" s="1" t="n">
        <v>46326</v>
      </c>
      <c r="F1941" t="inlineStr">
        <is>
          <t>GÄVLEBORGS LÄN</t>
        </is>
      </c>
      <c r="G1941" t="inlineStr">
        <is>
          <t>SÖDERHAMN</t>
        </is>
      </c>
      <c r="H1941" t="inlineStr">
        <is>
          <t>Kommuner</t>
        </is>
      </c>
      <c r="I1941" t="n">
        <v>4.2</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2688-2025</t>
        </is>
      </c>
      <c r="B1942" t="inlineStr">
        <is>
          <t>avverkningsanmälan</t>
        </is>
      </c>
      <c r="C1942" t="inlineStr">
        <is>
          <t>Föryngringsavverkning</t>
        </is>
      </c>
      <c r="D1942" s="1" t="n">
        <v>45677</v>
      </c>
      <c r="E1942" s="1" t="n">
        <v>46326</v>
      </c>
      <c r="F1942" t="inlineStr">
        <is>
          <t>GÄVLEBORGS LÄN</t>
        </is>
      </c>
      <c r="G1942" t="inlineStr">
        <is>
          <t>HUDIKSVALL</t>
        </is>
      </c>
      <c r="H1942" t="inlineStr">
        <is>
          <t>Holmen skog AB</t>
        </is>
      </c>
      <c r="I1942" t="n">
        <v>7.4</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59614-2024</t>
        </is>
      </c>
      <c r="B1943" t="inlineStr">
        <is>
          <t>avverkningsanmälan</t>
        </is>
      </c>
      <c r="C1943" t="inlineStr">
        <is>
          <t>Föryngringsavverkning</t>
        </is>
      </c>
      <c r="D1943" s="1" t="n">
        <v>45638</v>
      </c>
      <c r="E1943" s="1" t="n">
        <v>46326</v>
      </c>
      <c r="F1943" t="inlineStr">
        <is>
          <t>GÄVLEBORGS LÄN</t>
        </is>
      </c>
      <c r="G1943" t="inlineStr">
        <is>
          <t>SANDVIKEN</t>
        </is>
      </c>
      <c r="I1943" t="n">
        <v>4.1</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16995-2024</t>
        </is>
      </c>
      <c r="B1944" t="inlineStr">
        <is>
          <t>avverkningsanmälan</t>
        </is>
      </c>
      <c r="C1944" t="inlineStr">
        <is>
          <t>Föryngringsavverkning</t>
        </is>
      </c>
      <c r="D1944" s="1" t="n">
        <v>45412</v>
      </c>
      <c r="E1944" s="1" t="n">
        <v>46326</v>
      </c>
      <c r="F1944" t="inlineStr">
        <is>
          <t>GÄVLEBORGS LÄN</t>
        </is>
      </c>
      <c r="G1944" t="inlineStr">
        <is>
          <t>HUDIKSVALL</t>
        </is>
      </c>
      <c r="H1944" t="inlineStr">
        <is>
          <t>Holmen skog AB</t>
        </is>
      </c>
      <c r="I1944" t="n">
        <v>28.6</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15233-2023</t>
        </is>
      </c>
      <c r="B1945" t="inlineStr">
        <is>
          <t>avverkningsanmälan</t>
        </is>
      </c>
      <c r="C1945" t="inlineStr">
        <is>
          <t>Föryngringsavverkning</t>
        </is>
      </c>
      <c r="D1945" s="1" t="n">
        <v>45019</v>
      </c>
      <c r="E1945" s="1" t="n">
        <v>46326</v>
      </c>
      <c r="F1945" t="inlineStr">
        <is>
          <t>GÄVLEBORGS LÄN</t>
        </is>
      </c>
      <c r="G1945" t="inlineStr">
        <is>
          <t>HUDIKSVALL</t>
        </is>
      </c>
      <c r="H1945" t="inlineStr">
        <is>
          <t>Holmen skog AB</t>
        </is>
      </c>
      <c r="I1945" t="n">
        <v>4.8</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41318-2024</t>
        </is>
      </c>
      <c r="B1946" t="inlineStr">
        <is>
          <t>avverkningsanmälan</t>
        </is>
      </c>
      <c r="C1946" t="inlineStr">
        <is>
          <t>Föryngringsavverkning</t>
        </is>
      </c>
      <c r="D1946" s="1" t="n">
        <v>45559</v>
      </c>
      <c r="E1946" s="1" t="n">
        <v>46326</v>
      </c>
      <c r="F1946" t="inlineStr">
        <is>
          <t>GÄVLEBORGS LÄN</t>
        </is>
      </c>
      <c r="G1946" t="inlineStr">
        <is>
          <t>NORDANSTIG</t>
        </is>
      </c>
      <c r="H1946" t="inlineStr">
        <is>
          <t>Holmen skog AB</t>
        </is>
      </c>
      <c r="I1946" t="n">
        <v>2</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405-2025</t>
        </is>
      </c>
      <c r="B1947" t="inlineStr">
        <is>
          <t>avverkningsanmälan</t>
        </is>
      </c>
      <c r="C1947" t="inlineStr">
        <is>
          <t>Föryngringsavverkning</t>
        </is>
      </c>
      <c r="D1947" s="1" t="n">
        <v>45663</v>
      </c>
      <c r="E1947" s="1" t="n">
        <v>46326</v>
      </c>
      <c r="F1947" t="inlineStr">
        <is>
          <t>GÄVLEBORGS LÄN</t>
        </is>
      </c>
      <c r="G1947" t="inlineStr">
        <is>
          <t>HUDIKSVALL</t>
        </is>
      </c>
      <c r="I1947" t="n">
        <v>0.3</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15285-2023</t>
        </is>
      </c>
      <c r="B1948" t="inlineStr">
        <is>
          <t>avverkningsanmälan</t>
        </is>
      </c>
      <c r="C1948" t="inlineStr">
        <is>
          <t>Föryngringsavverkning</t>
        </is>
      </c>
      <c r="D1948" s="1" t="n">
        <v>45019</v>
      </c>
      <c r="E1948" s="1" t="n">
        <v>46326</v>
      </c>
      <c r="F1948" t="inlineStr">
        <is>
          <t>GÄVLEBORGS LÄN</t>
        </is>
      </c>
      <c r="G1948" t="inlineStr">
        <is>
          <t>LJUSDAL</t>
        </is>
      </c>
      <c r="H1948" t="inlineStr">
        <is>
          <t>Holmen skog AB</t>
        </is>
      </c>
      <c r="I1948" t="n">
        <v>1.8</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55526-2024</t>
        </is>
      </c>
      <c r="B1949" t="inlineStr">
        <is>
          <t>avverkningsanmälan</t>
        </is>
      </c>
      <c r="C1949" t="inlineStr">
        <is>
          <t>Föryngringsavverkning</t>
        </is>
      </c>
      <c r="D1949" s="1" t="n">
        <v>45622</v>
      </c>
      <c r="E1949" s="1" t="n">
        <v>46326</v>
      </c>
      <c r="F1949" t="inlineStr">
        <is>
          <t>GÄVLEBORGS LÄN</t>
        </is>
      </c>
      <c r="G1949" t="inlineStr">
        <is>
          <t>NORDANSTIG</t>
        </is>
      </c>
      <c r="I1949" t="n">
        <v>1.8</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60495-2023</t>
        </is>
      </c>
      <c r="B1950" t="inlineStr">
        <is>
          <t>avverkningsanmälan</t>
        </is>
      </c>
      <c r="C1950" t="inlineStr">
        <is>
          <t>Föryngringsavverkning</t>
        </is>
      </c>
      <c r="D1950" s="1" t="n">
        <v>45258</v>
      </c>
      <c r="E1950" s="1" t="n">
        <v>46326</v>
      </c>
      <c r="F1950" t="inlineStr">
        <is>
          <t>GÄVLEBORGS LÄN</t>
        </is>
      </c>
      <c r="G1950" t="inlineStr">
        <is>
          <t>BOLLNÄS</t>
        </is>
      </c>
      <c r="I1950" t="n">
        <v>7.1</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49941-2024</t>
        </is>
      </c>
      <c r="B1951" t="inlineStr">
        <is>
          <t>avverkningsanmälan</t>
        </is>
      </c>
      <c r="C1951" t="inlineStr">
        <is>
          <t>Föryngringsavverkning</t>
        </is>
      </c>
      <c r="D1951" s="1" t="n">
        <v>45597</v>
      </c>
      <c r="E1951" s="1" t="n">
        <v>46326</v>
      </c>
      <c r="F1951" t="inlineStr">
        <is>
          <t>GÄVLEBORGS LÄN</t>
        </is>
      </c>
      <c r="G1951" t="inlineStr">
        <is>
          <t>SÖDERHAMN</t>
        </is>
      </c>
      <c r="I1951" t="n">
        <v>0.6</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12686-2025</t>
        </is>
      </c>
      <c r="B1952" t="inlineStr">
        <is>
          <t>avverkningsanmälan</t>
        </is>
      </c>
      <c r="C1952" t="inlineStr">
        <is>
          <t>Föryngringsavverkning</t>
        </is>
      </c>
      <c r="D1952" s="1" t="n">
        <v>45733</v>
      </c>
      <c r="E1952" s="1" t="n">
        <v>46326</v>
      </c>
      <c r="F1952" t="inlineStr">
        <is>
          <t>GÄVLEBORGS LÄN</t>
        </is>
      </c>
      <c r="G1952" t="inlineStr">
        <is>
          <t>BOLLNÄS</t>
        </is>
      </c>
      <c r="I1952" t="n">
        <v>2.7</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2720-2025</t>
        </is>
      </c>
      <c r="B1953" t="inlineStr">
        <is>
          <t>avverkningsanmälan</t>
        </is>
      </c>
      <c r="C1953" t="inlineStr">
        <is>
          <t>Föryngringsavverkning</t>
        </is>
      </c>
      <c r="D1953" s="1" t="n">
        <v>45677</v>
      </c>
      <c r="E1953" s="1" t="n">
        <v>46326</v>
      </c>
      <c r="F1953" t="inlineStr">
        <is>
          <t>GÄVLEBORGS LÄN</t>
        </is>
      </c>
      <c r="G1953" t="inlineStr">
        <is>
          <t>HUDIKSVALL</t>
        </is>
      </c>
      <c r="H1953" t="inlineStr">
        <is>
          <t>Holmen skog AB</t>
        </is>
      </c>
      <c r="I1953" t="n">
        <v>1.7</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53917-2024</t>
        </is>
      </c>
      <c r="B1954" t="inlineStr">
        <is>
          <t>avverkningsanmälan</t>
        </is>
      </c>
      <c r="C1954" t="inlineStr">
        <is>
          <t>Föryngringsavverkning</t>
        </is>
      </c>
      <c r="D1954" s="1" t="n">
        <v>45615</v>
      </c>
      <c r="E1954" s="1" t="n">
        <v>46326</v>
      </c>
      <c r="F1954" t="inlineStr">
        <is>
          <t>GÄVLEBORGS LÄN</t>
        </is>
      </c>
      <c r="G1954" t="inlineStr">
        <is>
          <t>SÖDERHAMN</t>
        </is>
      </c>
      <c r="I1954" t="n">
        <v>1.1</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22155-2022</t>
        </is>
      </c>
      <c r="B1955" t="inlineStr">
        <is>
          <t>avverkningsanmälan</t>
        </is>
      </c>
      <c r="C1955" t="inlineStr">
        <is>
          <t>Avverkning för annat ändamål</t>
        </is>
      </c>
      <c r="D1955" s="1" t="n">
        <v>44712</v>
      </c>
      <c r="E1955" s="1" t="n">
        <v>46326</v>
      </c>
      <c r="F1955" t="inlineStr">
        <is>
          <t>GÄVLEBORGS LÄN</t>
        </is>
      </c>
      <c r="G1955" t="inlineStr">
        <is>
          <t>LJUSDAL</t>
        </is>
      </c>
      <c r="I1955" t="n">
        <v>0.8</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13759-2022</t>
        </is>
      </c>
      <c r="B1956" t="inlineStr">
        <is>
          <t>avverkningsanmälan</t>
        </is>
      </c>
      <c r="C1956" t="inlineStr">
        <is>
          <t>Föryngringsavverkning</t>
        </is>
      </c>
      <c r="D1956" s="1" t="n">
        <v>44649</v>
      </c>
      <c r="E1956" s="1" t="n">
        <v>46326</v>
      </c>
      <c r="F1956" t="inlineStr">
        <is>
          <t>GÄVLEBORGS LÄN</t>
        </is>
      </c>
      <c r="G1956" t="inlineStr">
        <is>
          <t>HUDIKSVALL</t>
        </is>
      </c>
      <c r="H1956" t="inlineStr">
        <is>
          <t>Holmen skog AB</t>
        </is>
      </c>
      <c r="I1956" t="n">
        <v>1.3</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33015-2023</t>
        </is>
      </c>
      <c r="B1957" t="inlineStr">
        <is>
          <t>avverkningsanmälan</t>
        </is>
      </c>
      <c r="C1957" t="inlineStr">
        <is>
          <t>Föryngringsavverkning</t>
        </is>
      </c>
      <c r="D1957" s="1" t="n">
        <v>45125</v>
      </c>
      <c r="E1957" s="1" t="n">
        <v>46326</v>
      </c>
      <c r="F1957" t="inlineStr">
        <is>
          <t>GÄVLEBORGS LÄN</t>
        </is>
      </c>
      <c r="G1957" t="inlineStr">
        <is>
          <t>GÄVLE</t>
        </is>
      </c>
      <c r="I1957" t="n">
        <v>0.8</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6923-2024</t>
        </is>
      </c>
      <c r="B1958" t="inlineStr">
        <is>
          <t>avverkningsanmälan</t>
        </is>
      </c>
      <c r="C1958" t="inlineStr">
        <is>
          <t>Föryngringsavverkning</t>
        </is>
      </c>
      <c r="D1958" s="1" t="n">
        <v>45343</v>
      </c>
      <c r="E1958" s="1" t="n">
        <v>46326</v>
      </c>
      <c r="F1958" t="inlineStr">
        <is>
          <t>GÄVLEBORGS LÄN</t>
        </is>
      </c>
      <c r="G1958" t="inlineStr">
        <is>
          <t>NORDANSTIG</t>
        </is>
      </c>
      <c r="H1958" t="inlineStr">
        <is>
          <t>Holmen skog AB</t>
        </is>
      </c>
      <c r="I1958" t="n">
        <v>1.1</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51156-2023</t>
        </is>
      </c>
      <c r="B1959" t="inlineStr">
        <is>
          <t>avverkningsanmälan</t>
        </is>
      </c>
      <c r="C1959" t="inlineStr">
        <is>
          <t>Föryngringsavverkning</t>
        </is>
      </c>
      <c r="D1959" s="1" t="n">
        <v>45212</v>
      </c>
      <c r="E1959" s="1" t="n">
        <v>46326</v>
      </c>
      <c r="F1959" t="inlineStr">
        <is>
          <t>GÄVLEBORGS LÄN</t>
        </is>
      </c>
      <c r="G1959" t="inlineStr">
        <is>
          <t>BOLLNÄS</t>
        </is>
      </c>
      <c r="I1959" t="n">
        <v>2.2</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51310-2023</t>
        </is>
      </c>
      <c r="B1960" t="inlineStr">
        <is>
          <t>avverkningsanmälan</t>
        </is>
      </c>
      <c r="C1960" t="inlineStr">
        <is>
          <t>Föryngringsavverkning</t>
        </is>
      </c>
      <c r="D1960" s="1" t="n">
        <v>45219</v>
      </c>
      <c r="E1960" s="1" t="n">
        <v>46326</v>
      </c>
      <c r="F1960" t="inlineStr">
        <is>
          <t>GÄVLEBORGS LÄN</t>
        </is>
      </c>
      <c r="G1960" t="inlineStr">
        <is>
          <t>BOLLNÄS</t>
        </is>
      </c>
      <c r="I1960" t="n">
        <v>0.8</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59118-2022</t>
        </is>
      </c>
      <c r="B1961" t="inlineStr">
        <is>
          <t>avverkningsanmälan</t>
        </is>
      </c>
      <c r="C1961" t="inlineStr">
        <is>
          <t>Föryngringsavverkning</t>
        </is>
      </c>
      <c r="D1961" s="1" t="n">
        <v>44904</v>
      </c>
      <c r="E1961" s="1" t="n">
        <v>46326</v>
      </c>
      <c r="F1961" t="inlineStr">
        <is>
          <t>GÄVLEBORGS LÄN</t>
        </is>
      </c>
      <c r="G1961" t="inlineStr">
        <is>
          <t>HUDIKSVALL</t>
        </is>
      </c>
      <c r="I1961" t="n">
        <v>1.9</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36125-2023</t>
        </is>
      </c>
      <c r="B1962" t="inlineStr">
        <is>
          <t>avverkningsanmälan</t>
        </is>
      </c>
      <c r="C1962" t="inlineStr">
        <is>
          <t>Föryngringsavverkning</t>
        </is>
      </c>
      <c r="D1962" s="1" t="n">
        <v>45149</v>
      </c>
      <c r="E1962" s="1" t="n">
        <v>46326</v>
      </c>
      <c r="F1962" t="inlineStr">
        <is>
          <t>GÄVLEBORGS LÄN</t>
        </is>
      </c>
      <c r="G1962" t="inlineStr">
        <is>
          <t>HUDIKSVALL</t>
        </is>
      </c>
      <c r="I1962" t="n">
        <v>0.8</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9477-2025</t>
        </is>
      </c>
      <c r="B1963" t="inlineStr">
        <is>
          <t>avverkningsanmälan</t>
        </is>
      </c>
      <c r="C1963" t="inlineStr">
        <is>
          <t>Föryngringsavverkning</t>
        </is>
      </c>
      <c r="D1963" s="1" t="n">
        <v>45715</v>
      </c>
      <c r="E1963" s="1" t="n">
        <v>46326</v>
      </c>
      <c r="F1963" t="inlineStr">
        <is>
          <t>GÄVLEBORGS LÄN</t>
        </is>
      </c>
      <c r="G1963" t="inlineStr">
        <is>
          <t>HUDIKSVALL</t>
        </is>
      </c>
      <c r="I1963" t="n">
        <v>2.5</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15859-2023</t>
        </is>
      </c>
      <c r="B1964" t="inlineStr">
        <is>
          <t>avverkningsanmälan</t>
        </is>
      </c>
      <c r="C1964" t="inlineStr">
        <is>
          <t>Föryngringsavverkning</t>
        </is>
      </c>
      <c r="D1964" s="1" t="n">
        <v>45022</v>
      </c>
      <c r="E1964" s="1" t="n">
        <v>46326</v>
      </c>
      <c r="F1964" t="inlineStr">
        <is>
          <t>GÄVLEBORGS LÄN</t>
        </is>
      </c>
      <c r="G1964" t="inlineStr">
        <is>
          <t>HUDIKSVALL</t>
        </is>
      </c>
      <c r="I1964" t="n">
        <v>1.1</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3620-2023</t>
        </is>
      </c>
      <c r="B1965" t="inlineStr">
        <is>
          <t>avverkningsanmälan</t>
        </is>
      </c>
      <c r="C1965" t="inlineStr">
        <is>
          <t>Föryngringsavverkning</t>
        </is>
      </c>
      <c r="D1965" s="1" t="n">
        <v>44950</v>
      </c>
      <c r="E1965" s="1" t="n">
        <v>46326</v>
      </c>
      <c r="F1965" t="inlineStr">
        <is>
          <t>GÄVLEBORGS LÄN</t>
        </is>
      </c>
      <c r="G1965" t="inlineStr">
        <is>
          <t>OCKELBO</t>
        </is>
      </c>
      <c r="I1965" t="n">
        <v>3.8</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67794-2021</t>
        </is>
      </c>
      <c r="B1966" t="inlineStr">
        <is>
          <t>avverkningsanmälan</t>
        </is>
      </c>
      <c r="C1966" t="inlineStr">
        <is>
          <t>Föryngringsavverkning</t>
        </is>
      </c>
      <c r="D1966" s="1" t="n">
        <v>44525</v>
      </c>
      <c r="E1966" s="1" t="n">
        <v>46326</v>
      </c>
      <c r="F1966" t="inlineStr">
        <is>
          <t>GÄVLEBORGS LÄN</t>
        </is>
      </c>
      <c r="G1966" t="inlineStr">
        <is>
          <t>LJUSDAL</t>
        </is>
      </c>
      <c r="H1966" t="inlineStr">
        <is>
          <t>Allmännings- och besparingsskogar</t>
        </is>
      </c>
      <c r="I1966" t="n">
        <v>3.1</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23251-2022</t>
        </is>
      </c>
      <c r="B1967" t="inlineStr">
        <is>
          <t>avverkningsanmälan</t>
        </is>
      </c>
      <c r="C1967" t="inlineStr">
        <is>
          <t>Föryngringsavverkning</t>
        </is>
      </c>
      <c r="D1967" s="1" t="n">
        <v>44720</v>
      </c>
      <c r="E1967" s="1" t="n">
        <v>46326</v>
      </c>
      <c r="F1967" t="inlineStr">
        <is>
          <t>GÄVLEBORGS LÄN</t>
        </is>
      </c>
      <c r="G1967" t="inlineStr">
        <is>
          <t>OVANÅKER</t>
        </is>
      </c>
      <c r="I1967" t="n">
        <v>3.2</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13884-2025</t>
        </is>
      </c>
      <c r="B1968" t="inlineStr">
        <is>
          <t>avverkningsanmälan</t>
        </is>
      </c>
      <c r="C1968" t="inlineStr">
        <is>
          <t>Föryngringsavverkning</t>
        </is>
      </c>
      <c r="D1968" s="1" t="n">
        <v>45737</v>
      </c>
      <c r="E1968" s="1" t="n">
        <v>46326</v>
      </c>
      <c r="F1968" t="inlineStr">
        <is>
          <t>GÄVLEBORGS LÄN</t>
        </is>
      </c>
      <c r="G1968" t="inlineStr">
        <is>
          <t>LJUSDAL</t>
        </is>
      </c>
      <c r="I1968" t="n">
        <v>1.1</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49281-2024</t>
        </is>
      </c>
      <c r="B1969" t="inlineStr">
        <is>
          <t>avverkningsanmälan</t>
        </is>
      </c>
      <c r="C1969" t="inlineStr">
        <is>
          <t>Föryngringsavverkning</t>
        </is>
      </c>
      <c r="D1969" s="1" t="n">
        <v>45595</v>
      </c>
      <c r="E1969" s="1" t="n">
        <v>46326</v>
      </c>
      <c r="F1969" t="inlineStr">
        <is>
          <t>GÄVLEBORGS LÄN</t>
        </is>
      </c>
      <c r="G1969" t="inlineStr">
        <is>
          <t>SÖDERHAMN</t>
        </is>
      </c>
      <c r="I1969" t="n">
        <v>0.7</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20059-2025</t>
        </is>
      </c>
      <c r="B1970" t="inlineStr">
        <is>
          <t>avverkningsanmälan</t>
        </is>
      </c>
      <c r="C1970" t="inlineStr">
        <is>
          <t>Föryngringsavverkning</t>
        </is>
      </c>
      <c r="D1970" s="1" t="n">
        <v>45772</v>
      </c>
      <c r="E1970" s="1" t="n">
        <v>46326</v>
      </c>
      <c r="F1970" t="inlineStr">
        <is>
          <t>GÄVLEBORGS LÄN</t>
        </is>
      </c>
      <c r="G1970" t="inlineStr">
        <is>
          <t>OCKELBO</t>
        </is>
      </c>
      <c r="I1970" t="n">
        <v>14.8</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18130-2024</t>
        </is>
      </c>
      <c r="B1971" t="inlineStr">
        <is>
          <t>avverkningsanmälan</t>
        </is>
      </c>
      <c r="C1971" t="inlineStr">
        <is>
          <t>Föryngringsavverkning</t>
        </is>
      </c>
      <c r="D1971" s="1" t="n">
        <v>45420</v>
      </c>
      <c r="E1971" s="1" t="n">
        <v>46326</v>
      </c>
      <c r="F1971" t="inlineStr">
        <is>
          <t>GÄVLEBORGS LÄN</t>
        </is>
      </c>
      <c r="G1971" t="inlineStr">
        <is>
          <t>LJUSDAL</t>
        </is>
      </c>
      <c r="I1971" t="n">
        <v>1.1</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18156-2024</t>
        </is>
      </c>
      <c r="B1972" t="inlineStr">
        <is>
          <t>avverkningsanmälan</t>
        </is>
      </c>
      <c r="C1972" t="inlineStr">
        <is>
          <t>Föryngringsavverkning</t>
        </is>
      </c>
      <c r="D1972" s="1" t="n">
        <v>45420</v>
      </c>
      <c r="E1972" s="1" t="n">
        <v>46326</v>
      </c>
      <c r="F1972" t="inlineStr">
        <is>
          <t>GÄVLEBORGS LÄN</t>
        </is>
      </c>
      <c r="G1972" t="inlineStr">
        <is>
          <t>OVANÅKER</t>
        </is>
      </c>
      <c r="I1972" t="n">
        <v>0.8</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55026-2022</t>
        </is>
      </c>
      <c r="B1973" t="inlineStr">
        <is>
          <t>avverkningsanmälan</t>
        </is>
      </c>
      <c r="C1973" t="inlineStr">
        <is>
          <t>Föryngringsavverkning</t>
        </is>
      </c>
      <c r="D1973" s="1" t="n">
        <v>44886</v>
      </c>
      <c r="E1973" s="1" t="n">
        <v>46326</v>
      </c>
      <c r="F1973" t="inlineStr">
        <is>
          <t>GÄVLEBORGS LÄN</t>
        </is>
      </c>
      <c r="G1973" t="inlineStr">
        <is>
          <t>NORDANSTIG</t>
        </is>
      </c>
      <c r="H1973" t="inlineStr">
        <is>
          <t>Holmen skog AB</t>
        </is>
      </c>
      <c r="I1973" t="n">
        <v>1.5</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61399-2023</t>
        </is>
      </c>
      <c r="B1974" t="inlineStr">
        <is>
          <t>avverkningsanmälan</t>
        </is>
      </c>
      <c r="C1974" t="inlineStr">
        <is>
          <t>Föryngringsavverkning</t>
        </is>
      </c>
      <c r="D1974" s="1" t="n">
        <v>45264</v>
      </c>
      <c r="E1974" s="1" t="n">
        <v>46326</v>
      </c>
      <c r="F1974" t="inlineStr">
        <is>
          <t>GÄVLEBORGS LÄN</t>
        </is>
      </c>
      <c r="G1974" t="inlineStr">
        <is>
          <t>BOLLNÄS</t>
        </is>
      </c>
      <c r="I1974" t="n">
        <v>1.1</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48282-2023</t>
        </is>
      </c>
      <c r="B1975" t="inlineStr">
        <is>
          <t>avverkningsanmälan</t>
        </is>
      </c>
      <c r="C1975" t="inlineStr">
        <is>
          <t>Föryngringsavverkning</t>
        </is>
      </c>
      <c r="D1975" s="1" t="n">
        <v>45205</v>
      </c>
      <c r="E1975" s="1" t="n">
        <v>46326</v>
      </c>
      <c r="F1975" t="inlineStr">
        <is>
          <t>GÄVLEBORGS LÄN</t>
        </is>
      </c>
      <c r="G1975" t="inlineStr">
        <is>
          <t>OVANÅKER</t>
        </is>
      </c>
      <c r="I1975" t="n">
        <v>0.4</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40363-2023</t>
        </is>
      </c>
      <c r="B1976" t="inlineStr">
        <is>
          <t>avverkningsanmälan</t>
        </is>
      </c>
      <c r="C1976" t="inlineStr">
        <is>
          <t>Föryngringsavverkning</t>
        </is>
      </c>
      <c r="D1976" s="1" t="n">
        <v>45169</v>
      </c>
      <c r="E1976" s="1" t="n">
        <v>46326</v>
      </c>
      <c r="F1976" t="inlineStr">
        <is>
          <t>GÄVLEBORGS LÄN</t>
        </is>
      </c>
      <c r="G1976" t="inlineStr">
        <is>
          <t>SANDVIKEN</t>
        </is>
      </c>
      <c r="I1976" t="n">
        <v>1.4</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50790-2024</t>
        </is>
      </c>
      <c r="B1977" t="inlineStr">
        <is>
          <t>avverkningsanmälan</t>
        </is>
      </c>
      <c r="C1977" t="inlineStr">
        <is>
          <t>Föryngringsavverkning</t>
        </is>
      </c>
      <c r="D1977" s="1" t="n">
        <v>45602</v>
      </c>
      <c r="E1977" s="1" t="n">
        <v>46326</v>
      </c>
      <c r="F1977" t="inlineStr">
        <is>
          <t>GÄVLEBORGS LÄN</t>
        </is>
      </c>
      <c r="G1977" t="inlineStr">
        <is>
          <t>HUDIKSVALL</t>
        </is>
      </c>
      <c r="H1977" t="inlineStr">
        <is>
          <t>Holmen skog AB</t>
        </is>
      </c>
      <c r="I1977" t="n">
        <v>13.9</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34370-2022</t>
        </is>
      </c>
      <c r="B1978" t="inlineStr">
        <is>
          <t>avverkningsanmälan</t>
        </is>
      </c>
      <c r="C1978" t="inlineStr">
        <is>
          <t>Föryngringsavverkning</t>
        </is>
      </c>
      <c r="D1978" s="1" t="n">
        <v>44792</v>
      </c>
      <c r="E1978" s="1" t="n">
        <v>46326</v>
      </c>
      <c r="F1978" t="inlineStr">
        <is>
          <t>GÄVLEBORGS LÄN</t>
        </is>
      </c>
      <c r="G1978" t="inlineStr">
        <is>
          <t>HUDIKSVALL</t>
        </is>
      </c>
      <c r="H1978" t="inlineStr">
        <is>
          <t>Holmen skog AB</t>
        </is>
      </c>
      <c r="I1978" t="n">
        <v>3.7</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24920-2025</t>
        </is>
      </c>
      <c r="B1979" t="inlineStr">
        <is>
          <t>avverkningsanmälan</t>
        </is>
      </c>
      <c r="C1979" t="inlineStr">
        <is>
          <t>Föryngringsavverkning</t>
        </is>
      </c>
      <c r="D1979" s="1" t="n">
        <v>45799</v>
      </c>
      <c r="E1979" s="1" t="n">
        <v>46326</v>
      </c>
      <c r="F1979" t="inlineStr">
        <is>
          <t>GÄVLEBORGS LÄN</t>
        </is>
      </c>
      <c r="G1979" t="inlineStr">
        <is>
          <t>BOLLNÄS</t>
        </is>
      </c>
      <c r="I1979" t="n">
        <v>1.5</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35054-2022</t>
        </is>
      </c>
      <c r="B1980" t="inlineStr">
        <is>
          <t>avverkningsanmälan</t>
        </is>
      </c>
      <c r="C1980" t="inlineStr">
        <is>
          <t>Föryngringsavverkning</t>
        </is>
      </c>
      <c r="D1980" s="1" t="n">
        <v>44797</v>
      </c>
      <c r="E1980" s="1" t="n">
        <v>46326</v>
      </c>
      <c r="F1980" t="inlineStr">
        <is>
          <t>GÄVLEBORGS LÄN</t>
        </is>
      </c>
      <c r="G1980" t="inlineStr">
        <is>
          <t>OCKELBO</t>
        </is>
      </c>
      <c r="I1980" t="n">
        <v>3.6</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38295-2024</t>
        </is>
      </c>
      <c r="B1981" t="inlineStr">
        <is>
          <t>avverkningsanmälan</t>
        </is>
      </c>
      <c r="C1981" t="inlineStr">
        <is>
          <t>Föryngringsavverkning</t>
        </is>
      </c>
      <c r="D1981" s="1" t="n">
        <v>45545</v>
      </c>
      <c r="E1981" s="1" t="n">
        <v>46326</v>
      </c>
      <c r="F1981" t="inlineStr">
        <is>
          <t>GÄVLEBORGS LÄN</t>
        </is>
      </c>
      <c r="G1981" t="inlineStr">
        <is>
          <t>HUDIKSVALL</t>
        </is>
      </c>
      <c r="H1981" t="inlineStr">
        <is>
          <t>Holmen skog AB</t>
        </is>
      </c>
      <c r="I1981" t="n">
        <v>1</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24584-2025</t>
        </is>
      </c>
      <c r="B1982" t="inlineStr">
        <is>
          <t>avverkningsanmälan</t>
        </is>
      </c>
      <c r="C1982" t="inlineStr">
        <is>
          <t>Avverkning för annat ändamål</t>
        </is>
      </c>
      <c r="D1982" s="1" t="n">
        <v>45798</v>
      </c>
      <c r="E1982" s="1" t="n">
        <v>46326</v>
      </c>
      <c r="F1982" t="inlineStr">
        <is>
          <t>GÄVLEBORGS LÄN</t>
        </is>
      </c>
      <c r="G1982" t="inlineStr">
        <is>
          <t>HUDIKSVALL</t>
        </is>
      </c>
      <c r="I1982" t="n">
        <v>0.9</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2370-2023</t>
        </is>
      </c>
      <c r="B1983" t="inlineStr">
        <is>
          <t>avverkningsanmälan</t>
        </is>
      </c>
      <c r="C1983" t="inlineStr">
        <is>
          <t>Föryngringsavverkning</t>
        </is>
      </c>
      <c r="D1983" s="1" t="n">
        <v>44942</v>
      </c>
      <c r="E1983" s="1" t="n">
        <v>46326</v>
      </c>
      <c r="F1983" t="inlineStr">
        <is>
          <t>GÄVLEBORGS LÄN</t>
        </is>
      </c>
      <c r="G1983" t="inlineStr">
        <is>
          <t>LJUSDAL</t>
        </is>
      </c>
      <c r="I1983" t="n">
        <v>3.2</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51149-2023</t>
        </is>
      </c>
      <c r="B1984" t="inlineStr">
        <is>
          <t>avverkningsanmälan</t>
        </is>
      </c>
      <c r="C1984" t="inlineStr">
        <is>
          <t>Föryngringsavverkning</t>
        </is>
      </c>
      <c r="D1984" s="1" t="n">
        <v>45212</v>
      </c>
      <c r="E1984" s="1" t="n">
        <v>46326</v>
      </c>
      <c r="F1984" t="inlineStr">
        <is>
          <t>GÄVLEBORGS LÄN</t>
        </is>
      </c>
      <c r="G1984" t="inlineStr">
        <is>
          <t>BOLLNÄS</t>
        </is>
      </c>
      <c r="I1984" t="n">
        <v>1.6</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14866-2024</t>
        </is>
      </c>
      <c r="B1985" t="inlineStr">
        <is>
          <t>avverkningsanmälan</t>
        </is>
      </c>
      <c r="C1985" t="inlineStr">
        <is>
          <t>Avverkning för annat ändamål</t>
        </is>
      </c>
      <c r="D1985" s="1" t="n">
        <v>45397</v>
      </c>
      <c r="E1985" s="1" t="n">
        <v>46326</v>
      </c>
      <c r="F1985" t="inlineStr">
        <is>
          <t>GÄVLEBORGS LÄN</t>
        </is>
      </c>
      <c r="G1985" t="inlineStr">
        <is>
          <t>NORDANSTIG</t>
        </is>
      </c>
      <c r="I1985" t="n">
        <v>0.3</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59237-2024</t>
        </is>
      </c>
      <c r="B1986" t="inlineStr">
        <is>
          <t>avverkningsanmälan</t>
        </is>
      </c>
      <c r="C1986" t="inlineStr">
        <is>
          <t>Föryngringsavverkning</t>
        </is>
      </c>
      <c r="D1986" s="1" t="n">
        <v>45637</v>
      </c>
      <c r="E1986" s="1" t="n">
        <v>46326</v>
      </c>
      <c r="F1986" t="inlineStr">
        <is>
          <t>GÄVLEBORGS LÄN</t>
        </is>
      </c>
      <c r="G1986" t="inlineStr">
        <is>
          <t>BOLLNÄS</t>
        </is>
      </c>
      <c r="I1986" t="n">
        <v>3.1</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37294-2024</t>
        </is>
      </c>
      <c r="B1987" t="inlineStr">
        <is>
          <t>avverkningsanmälan</t>
        </is>
      </c>
      <c r="C1987" t="inlineStr">
        <is>
          <t>Föryngringsavverkning</t>
        </is>
      </c>
      <c r="D1987" s="1" t="n">
        <v>45540</v>
      </c>
      <c r="E1987" s="1" t="n">
        <v>46326</v>
      </c>
      <c r="F1987" t="inlineStr">
        <is>
          <t>GÄVLEBORGS LÄN</t>
        </is>
      </c>
      <c r="G1987" t="inlineStr">
        <is>
          <t>NORDANSTIG</t>
        </is>
      </c>
      <c r="I1987" t="n">
        <v>3.9</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21940-2024</t>
        </is>
      </c>
      <c r="B1988" t="inlineStr">
        <is>
          <t>avverkningsanmälan</t>
        </is>
      </c>
      <c r="C1988" t="inlineStr">
        <is>
          <t>Föryngringsavverkning</t>
        </is>
      </c>
      <c r="D1988" s="1" t="n">
        <v>45443</v>
      </c>
      <c r="E1988" s="1" t="n">
        <v>46326</v>
      </c>
      <c r="F1988" t="inlineStr">
        <is>
          <t>GÄVLEBORGS LÄN</t>
        </is>
      </c>
      <c r="G1988" t="inlineStr">
        <is>
          <t>HUDIKSVALL</t>
        </is>
      </c>
      <c r="H1988" t="inlineStr">
        <is>
          <t>Holmen skog AB</t>
        </is>
      </c>
      <c r="I1988" t="n">
        <v>1.6</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47238-2024</t>
        </is>
      </c>
      <c r="B1989" t="inlineStr">
        <is>
          <t>avverkningsanmälan</t>
        </is>
      </c>
      <c r="C1989" t="inlineStr">
        <is>
          <t>Föryngringsavverkning</t>
        </is>
      </c>
      <c r="D1989" s="1" t="n">
        <v>45586</v>
      </c>
      <c r="E1989" s="1" t="n">
        <v>46326</v>
      </c>
      <c r="F1989" t="inlineStr">
        <is>
          <t>GÄVLEBORGS LÄN</t>
        </is>
      </c>
      <c r="G1989" t="inlineStr">
        <is>
          <t>NORDANSTIG</t>
        </is>
      </c>
      <c r="I1989" t="n">
        <v>4.2</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35741-2024</t>
        </is>
      </c>
      <c r="B1990" t="inlineStr">
        <is>
          <t>avverkningsanmälan</t>
        </is>
      </c>
      <c r="C1990" t="inlineStr">
        <is>
          <t>Föryngringsavverkning</t>
        </is>
      </c>
      <c r="D1990" s="1" t="n">
        <v>45532</v>
      </c>
      <c r="E1990" s="1" t="n">
        <v>46326</v>
      </c>
      <c r="F1990" t="inlineStr">
        <is>
          <t>GÄVLEBORGS LÄN</t>
        </is>
      </c>
      <c r="G1990" t="inlineStr">
        <is>
          <t>NORDANSTIG</t>
        </is>
      </c>
      <c r="I1990" t="n">
        <v>1.9</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24999-2025</t>
        </is>
      </c>
      <c r="B1991" t="inlineStr">
        <is>
          <t>avverkningsanmälan</t>
        </is>
      </c>
      <c r="C1991" t="inlineStr">
        <is>
          <t>Föryngringsavverkning</t>
        </is>
      </c>
      <c r="D1991" s="1" t="n">
        <v>45799</v>
      </c>
      <c r="E1991" s="1" t="n">
        <v>46326</v>
      </c>
      <c r="F1991" t="inlineStr">
        <is>
          <t>GÄVLEBORGS LÄN</t>
        </is>
      </c>
      <c r="G1991" t="inlineStr">
        <is>
          <t>HUDIKSVALL</t>
        </is>
      </c>
      <c r="H1991" t="inlineStr">
        <is>
          <t>Holmen skog AB</t>
        </is>
      </c>
      <c r="I1991" t="n">
        <v>6.9</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9286-2022</t>
        </is>
      </c>
      <c r="B1992" t="inlineStr">
        <is>
          <t>avverkningsanmälan</t>
        </is>
      </c>
      <c r="C1992" t="inlineStr">
        <is>
          <t>Föryngringsavverkning</t>
        </is>
      </c>
      <c r="D1992" s="1" t="n">
        <v>44616</v>
      </c>
      <c r="E1992" s="1" t="n">
        <v>46326</v>
      </c>
      <c r="F1992" t="inlineStr">
        <is>
          <t>GÄVLEBORGS LÄN</t>
        </is>
      </c>
      <c r="G1992" t="inlineStr">
        <is>
          <t>OVANÅKER</t>
        </is>
      </c>
      <c r="I1992" t="n">
        <v>2.4</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27967-2022</t>
        </is>
      </c>
      <c r="B1993" t="inlineStr">
        <is>
          <t>avverkningsanmälan</t>
        </is>
      </c>
      <c r="C1993" t="inlineStr">
        <is>
          <t>Föryngringsavverkning</t>
        </is>
      </c>
      <c r="D1993" s="1" t="n">
        <v>44744</v>
      </c>
      <c r="E1993" s="1" t="n">
        <v>46326</v>
      </c>
      <c r="F1993" t="inlineStr">
        <is>
          <t>GÄVLEBORGS LÄN</t>
        </is>
      </c>
      <c r="G1993" t="inlineStr">
        <is>
          <t>SANDVIKEN</t>
        </is>
      </c>
      <c r="I1993" t="n">
        <v>6.9</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2911-2024</t>
        </is>
      </c>
      <c r="B1994" t="inlineStr">
        <is>
          <t>avverkningsanmälan</t>
        </is>
      </c>
      <c r="C1994" t="inlineStr">
        <is>
          <t>Avverkning för annat ändamål</t>
        </is>
      </c>
      <c r="D1994" s="1" t="n">
        <v>45315</v>
      </c>
      <c r="E1994" s="1" t="n">
        <v>46326</v>
      </c>
      <c r="F1994" t="inlineStr">
        <is>
          <t>GÄVLEBORGS LÄN</t>
        </is>
      </c>
      <c r="G1994" t="inlineStr">
        <is>
          <t>OVANÅKER</t>
        </is>
      </c>
      <c r="I1994" t="n">
        <v>0.7</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44092-2024</t>
        </is>
      </c>
      <c r="B1995" t="inlineStr">
        <is>
          <t>avverkningsanmälan</t>
        </is>
      </c>
      <c r="C1995" t="inlineStr">
        <is>
          <t>Föryngringsavverkning</t>
        </is>
      </c>
      <c r="D1995" s="1" t="n">
        <v>45572</v>
      </c>
      <c r="E1995" s="1" t="n">
        <v>46326</v>
      </c>
      <c r="F1995" t="inlineStr">
        <is>
          <t>GÄVLEBORGS LÄN</t>
        </is>
      </c>
      <c r="G1995" t="inlineStr">
        <is>
          <t>LJUSDAL</t>
        </is>
      </c>
      <c r="I1995" t="n">
        <v>1.3</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49470-2024</t>
        </is>
      </c>
      <c r="B1996" t="inlineStr">
        <is>
          <t>avverkningsanmälan</t>
        </is>
      </c>
      <c r="C1996" t="inlineStr">
        <is>
          <t>Föryngringsavverkning</t>
        </is>
      </c>
      <c r="D1996" s="1" t="n">
        <v>45596</v>
      </c>
      <c r="E1996" s="1" t="n">
        <v>46326</v>
      </c>
      <c r="F1996" t="inlineStr">
        <is>
          <t>GÄVLEBORGS LÄN</t>
        </is>
      </c>
      <c r="G1996" t="inlineStr">
        <is>
          <t>OCKELBO</t>
        </is>
      </c>
      <c r="I1996" t="n">
        <v>1.9</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3404-2025</t>
        </is>
      </c>
      <c r="B1997" t="inlineStr">
        <is>
          <t>avverkningsanmälan</t>
        </is>
      </c>
      <c r="C1997" t="inlineStr">
        <is>
          <t>Föryngringsavverkning</t>
        </is>
      </c>
      <c r="D1997" s="1" t="n">
        <v>45680</v>
      </c>
      <c r="E1997" s="1" t="n">
        <v>46326</v>
      </c>
      <c r="F1997" t="inlineStr">
        <is>
          <t>GÄVLEBORGS LÄN</t>
        </is>
      </c>
      <c r="G1997" t="inlineStr">
        <is>
          <t>NORDANSTIG</t>
        </is>
      </c>
      <c r="I1997" t="n">
        <v>2.8</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24938-2025</t>
        </is>
      </c>
      <c r="B1998" t="inlineStr">
        <is>
          <t>avverkningsanmälan</t>
        </is>
      </c>
      <c r="C1998" t="inlineStr">
        <is>
          <t>Föryngringsavverkning</t>
        </is>
      </c>
      <c r="D1998" s="1" t="n">
        <v>45799</v>
      </c>
      <c r="E1998" s="1" t="n">
        <v>46326</v>
      </c>
      <c r="F1998" t="inlineStr">
        <is>
          <t>GÄVLEBORGS LÄN</t>
        </is>
      </c>
      <c r="G1998" t="inlineStr">
        <is>
          <t>NORDANSTIG</t>
        </is>
      </c>
      <c r="H1998" t="inlineStr">
        <is>
          <t>Holmen skog AB</t>
        </is>
      </c>
      <c r="I1998" t="n">
        <v>30.1</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24881-2025</t>
        </is>
      </c>
      <c r="B1999" t="inlineStr">
        <is>
          <t>avverkningsanmälan</t>
        </is>
      </c>
      <c r="C1999" t="inlineStr">
        <is>
          <t>Föryngringsavverkning</t>
        </is>
      </c>
      <c r="D1999" s="1" t="n">
        <v>45799</v>
      </c>
      <c r="E1999" s="1" t="n">
        <v>46326</v>
      </c>
      <c r="F1999" t="inlineStr">
        <is>
          <t>GÄVLEBORGS LÄN</t>
        </is>
      </c>
      <c r="G1999" t="inlineStr">
        <is>
          <t>LJUSDAL</t>
        </is>
      </c>
      <c r="H1999" t="inlineStr">
        <is>
          <t>Holmen skog AB</t>
        </is>
      </c>
      <c r="I1999" t="n">
        <v>3.4</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28771-2023</t>
        </is>
      </c>
      <c r="B2000" t="inlineStr">
        <is>
          <t>avverkningsanmälan</t>
        </is>
      </c>
      <c r="C2000" t="inlineStr">
        <is>
          <t>Föryngringsavverkning</t>
        </is>
      </c>
      <c r="D2000" s="1" t="n">
        <v>45104</v>
      </c>
      <c r="E2000" s="1" t="n">
        <v>46326</v>
      </c>
      <c r="F2000" t="inlineStr">
        <is>
          <t>GÄVLEBORGS LÄN</t>
        </is>
      </c>
      <c r="G2000" t="inlineStr">
        <is>
          <t>BOLLNÄS</t>
        </is>
      </c>
      <c r="I2000" t="n">
        <v>0.7</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12129-2022</t>
        </is>
      </c>
      <c r="B2001" t="inlineStr">
        <is>
          <t>avverkningsanmälan</t>
        </is>
      </c>
      <c r="C2001" t="inlineStr">
        <is>
          <t>Föryngringsavverkning</t>
        </is>
      </c>
      <c r="D2001" s="1" t="n">
        <v>44636</v>
      </c>
      <c r="E2001" s="1" t="n">
        <v>46326</v>
      </c>
      <c r="F2001" t="inlineStr">
        <is>
          <t>GÄVLEBORGS LÄN</t>
        </is>
      </c>
      <c r="G2001" t="inlineStr">
        <is>
          <t>OVANÅKER</t>
        </is>
      </c>
      <c r="I2001" t="n">
        <v>0.5</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16137-2022</t>
        </is>
      </c>
      <c r="B2002" t="inlineStr">
        <is>
          <t>avverkningsanmälan</t>
        </is>
      </c>
      <c r="C2002" t="inlineStr">
        <is>
          <t>Föryngringsavverkning</t>
        </is>
      </c>
      <c r="D2002" s="1" t="n">
        <v>44665</v>
      </c>
      <c r="E2002" s="1" t="n">
        <v>46326</v>
      </c>
      <c r="F2002" t="inlineStr">
        <is>
          <t>GÄVLEBORGS LÄN</t>
        </is>
      </c>
      <c r="G2002" t="inlineStr">
        <is>
          <t>SÖDERHAMN</t>
        </is>
      </c>
      <c r="I2002" t="n">
        <v>1.1</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2861-2023</t>
        </is>
      </c>
      <c r="B2003" t="inlineStr">
        <is>
          <t>avverkningsanmälan</t>
        </is>
      </c>
      <c r="C2003" t="inlineStr">
        <is>
          <t>Föryngringsavverkning</t>
        </is>
      </c>
      <c r="D2003" s="1" t="n">
        <v>44945</v>
      </c>
      <c r="E2003" s="1" t="n">
        <v>46326</v>
      </c>
      <c r="F2003" t="inlineStr">
        <is>
          <t>GÄVLEBORGS LÄN</t>
        </is>
      </c>
      <c r="G2003" t="inlineStr">
        <is>
          <t>NORDANSTIG</t>
        </is>
      </c>
      <c r="I2003" t="n">
        <v>5.2</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24940-2025</t>
        </is>
      </c>
      <c r="B2004" t="inlineStr">
        <is>
          <t>avverkningsanmälan</t>
        </is>
      </c>
      <c r="C2004" t="inlineStr">
        <is>
          <t>Föryngringsavverkning</t>
        </is>
      </c>
      <c r="D2004" s="1" t="n">
        <v>45799</v>
      </c>
      <c r="E2004" s="1" t="n">
        <v>46326</v>
      </c>
      <c r="F2004" t="inlineStr">
        <is>
          <t>GÄVLEBORGS LÄN</t>
        </is>
      </c>
      <c r="G2004" t="inlineStr">
        <is>
          <t>SANDVIKEN</t>
        </is>
      </c>
      <c r="I2004" t="n">
        <v>3.8</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24948-2025</t>
        </is>
      </c>
      <c r="B2005" t="inlineStr">
        <is>
          <t>avverkningsanmälan</t>
        </is>
      </c>
      <c r="C2005" t="inlineStr">
        <is>
          <t>Föryngringsavverkning</t>
        </is>
      </c>
      <c r="D2005" s="1" t="n">
        <v>45799</v>
      </c>
      <c r="E2005" s="1" t="n">
        <v>46326</v>
      </c>
      <c r="F2005" t="inlineStr">
        <is>
          <t>GÄVLEBORGS LÄN</t>
        </is>
      </c>
      <c r="G2005" t="inlineStr">
        <is>
          <t>SANDVIKEN</t>
        </is>
      </c>
      <c r="I2005" t="n">
        <v>0.8</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24953-2025</t>
        </is>
      </c>
      <c r="B2006" t="inlineStr">
        <is>
          <t>avverkningsanmälan</t>
        </is>
      </c>
      <c r="C2006" t="inlineStr">
        <is>
          <t>Föryngringsavverkning</t>
        </is>
      </c>
      <c r="D2006" s="1" t="n">
        <v>45799</v>
      </c>
      <c r="E2006" s="1" t="n">
        <v>46326</v>
      </c>
      <c r="F2006" t="inlineStr">
        <is>
          <t>GÄVLEBORGS LÄN</t>
        </is>
      </c>
      <c r="G2006" t="inlineStr">
        <is>
          <t>SANDVIKEN</t>
        </is>
      </c>
      <c r="I2006" t="n">
        <v>10</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15502-2025</t>
        </is>
      </c>
      <c r="B2007" t="inlineStr">
        <is>
          <t>avverkningsanmälan</t>
        </is>
      </c>
      <c r="C2007" t="inlineStr">
        <is>
          <t>Föryngringsavverkning</t>
        </is>
      </c>
      <c r="D2007" s="1" t="n">
        <v>45747</v>
      </c>
      <c r="E2007" s="1" t="n">
        <v>46326</v>
      </c>
      <c r="F2007" t="inlineStr">
        <is>
          <t>GÄVLEBORGS LÄN</t>
        </is>
      </c>
      <c r="G2007" t="inlineStr">
        <is>
          <t>OCKELBO</t>
        </is>
      </c>
      <c r="H2007" t="inlineStr">
        <is>
          <t>Bergvik skog väst AB</t>
        </is>
      </c>
      <c r="I2007" t="n">
        <v>5.7</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53517-2024</t>
        </is>
      </c>
      <c r="B2008" t="inlineStr">
        <is>
          <t>avverkningsanmälan</t>
        </is>
      </c>
      <c r="C2008" t="inlineStr">
        <is>
          <t>Föryngringsavverkning</t>
        </is>
      </c>
      <c r="D2008" s="1" t="n">
        <v>45614</v>
      </c>
      <c r="E2008" s="1" t="n">
        <v>46326</v>
      </c>
      <c r="F2008" t="inlineStr">
        <is>
          <t>GÄVLEBORGS LÄN</t>
        </is>
      </c>
      <c r="G2008" t="inlineStr">
        <is>
          <t>HOFORS</t>
        </is>
      </c>
      <c r="I2008" t="n">
        <v>1</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59252-2024</t>
        </is>
      </c>
      <c r="B2009" t="inlineStr">
        <is>
          <t>avverkningsanmälan</t>
        </is>
      </c>
      <c r="C2009" t="inlineStr">
        <is>
          <t>Föryngringsavverkning</t>
        </is>
      </c>
      <c r="D2009" s="1" t="n">
        <v>45637</v>
      </c>
      <c r="E2009" s="1" t="n">
        <v>46326</v>
      </c>
      <c r="F2009" t="inlineStr">
        <is>
          <t>GÄVLEBORGS LÄN</t>
        </is>
      </c>
      <c r="G2009" t="inlineStr">
        <is>
          <t>LJUSDAL</t>
        </is>
      </c>
      <c r="I2009" t="n">
        <v>0.2</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25036-2025</t>
        </is>
      </c>
      <c r="B2010" t="inlineStr">
        <is>
          <t>avverkningsanmälan</t>
        </is>
      </c>
      <c r="C2010" t="inlineStr">
        <is>
          <t>Föryngringsavverkning</t>
        </is>
      </c>
      <c r="D2010" s="1" t="n">
        <v>45799</v>
      </c>
      <c r="E2010" s="1" t="n">
        <v>46326</v>
      </c>
      <c r="F2010" t="inlineStr">
        <is>
          <t>GÄVLEBORGS LÄN</t>
        </is>
      </c>
      <c r="G2010" t="inlineStr">
        <is>
          <t>SÖDERHAMN</t>
        </is>
      </c>
      <c r="H2010" t="inlineStr">
        <is>
          <t>Bergvik skog väst AB</t>
        </is>
      </c>
      <c r="I2010" t="n">
        <v>3.2</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61420-2024</t>
        </is>
      </c>
      <c r="B2011" t="inlineStr">
        <is>
          <t>avverkningsanmälan</t>
        </is>
      </c>
      <c r="C2011" t="inlineStr">
        <is>
          <t>Föryngringsavverkning</t>
        </is>
      </c>
      <c r="D2011" s="1" t="n">
        <v>45646</v>
      </c>
      <c r="E2011" s="1" t="n">
        <v>46326</v>
      </c>
      <c r="F2011" t="inlineStr">
        <is>
          <t>GÄVLEBORGS LÄN</t>
        </is>
      </c>
      <c r="G2011" t="inlineStr">
        <is>
          <t>LJUSDAL</t>
        </is>
      </c>
      <c r="H2011" t="inlineStr">
        <is>
          <t>Sveaskog</t>
        </is>
      </c>
      <c r="I2011" t="n">
        <v>3.1</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60359-2024</t>
        </is>
      </c>
      <c r="B2012" t="inlineStr">
        <is>
          <t>avverkningsanmälan</t>
        </is>
      </c>
      <c r="C2012" t="inlineStr">
        <is>
          <t>Föryngringsavverkning</t>
        </is>
      </c>
      <c r="D2012" s="1" t="n">
        <v>45643</v>
      </c>
      <c r="E2012" s="1" t="n">
        <v>46326</v>
      </c>
      <c r="F2012" t="inlineStr">
        <is>
          <t>GÄVLEBORGS LÄN</t>
        </is>
      </c>
      <c r="G2012" t="inlineStr">
        <is>
          <t>HUDIKSVALL</t>
        </is>
      </c>
      <c r="I2012" t="n">
        <v>1.1</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38110-2024</t>
        </is>
      </c>
      <c r="B2013" t="inlineStr">
        <is>
          <t>avverkningsanmälan</t>
        </is>
      </c>
      <c r="C2013" t="inlineStr">
        <is>
          <t>Föryngringsavverkning</t>
        </is>
      </c>
      <c r="D2013" s="1" t="n">
        <v>45545</v>
      </c>
      <c r="E2013" s="1" t="n">
        <v>46326</v>
      </c>
      <c r="F2013" t="inlineStr">
        <is>
          <t>GÄVLEBORGS LÄN</t>
        </is>
      </c>
      <c r="G2013" t="inlineStr">
        <is>
          <t>SÖDERHAMN</t>
        </is>
      </c>
      <c r="I2013" t="n">
        <v>0.6</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38111-2024</t>
        </is>
      </c>
      <c r="B2014" t="inlineStr">
        <is>
          <t>avverkningsanmälan</t>
        </is>
      </c>
      <c r="C2014" t="inlineStr">
        <is>
          <t>Föryngringsavverkning</t>
        </is>
      </c>
      <c r="D2014" s="1" t="n">
        <v>45545</v>
      </c>
      <c r="E2014" s="1" t="n">
        <v>46326</v>
      </c>
      <c r="F2014" t="inlineStr">
        <is>
          <t>GÄVLEBORGS LÄN</t>
        </is>
      </c>
      <c r="G2014" t="inlineStr">
        <is>
          <t>SÖDERHAMN</t>
        </is>
      </c>
      <c r="I2014" t="n">
        <v>0.6</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60292-2024</t>
        </is>
      </c>
      <c r="B2015" t="inlineStr">
        <is>
          <t>avverkningsanmälan</t>
        </is>
      </c>
      <c r="C2015" t="inlineStr">
        <is>
          <t>Föryngringsavverkning</t>
        </is>
      </c>
      <c r="D2015" s="1" t="n">
        <v>45643</v>
      </c>
      <c r="E2015" s="1" t="n">
        <v>46326</v>
      </c>
      <c r="F2015" t="inlineStr">
        <is>
          <t>GÄVLEBORGS LÄN</t>
        </is>
      </c>
      <c r="G2015" t="inlineStr">
        <is>
          <t>SÖDERHAMN</t>
        </is>
      </c>
      <c r="I2015" t="n">
        <v>1.3</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43659-2023</t>
        </is>
      </c>
      <c r="B2016" t="inlineStr">
        <is>
          <t>avverkningsanmälan</t>
        </is>
      </c>
      <c r="C2016" t="inlineStr">
        <is>
          <t>Föryngringsavverkning</t>
        </is>
      </c>
      <c r="D2016" s="1" t="n">
        <v>45187</v>
      </c>
      <c r="E2016" s="1" t="n">
        <v>46326</v>
      </c>
      <c r="F2016" t="inlineStr">
        <is>
          <t>GÄVLEBORGS LÄN</t>
        </is>
      </c>
      <c r="G2016" t="inlineStr">
        <is>
          <t>HUDIKSVALL</t>
        </is>
      </c>
      <c r="I2016" t="n">
        <v>2.3</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25614-2025</t>
        </is>
      </c>
      <c r="B2017" t="inlineStr">
        <is>
          <t>avverkningsanmälan</t>
        </is>
      </c>
      <c r="C2017" t="inlineStr">
        <is>
          <t>Föryngringsavverkning</t>
        </is>
      </c>
      <c r="D2017" s="1" t="n">
        <v>45803</v>
      </c>
      <c r="E2017" s="1" t="n">
        <v>46326</v>
      </c>
      <c r="F2017" t="inlineStr">
        <is>
          <t>GÄVLEBORGS LÄN</t>
        </is>
      </c>
      <c r="G2017" t="inlineStr">
        <is>
          <t>LJUSDAL</t>
        </is>
      </c>
      <c r="H2017" t="inlineStr">
        <is>
          <t>Holmen skog AB</t>
        </is>
      </c>
      <c r="I2017" t="n">
        <v>16.3</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25684-2025</t>
        </is>
      </c>
      <c r="B2018" t="inlineStr">
        <is>
          <t>avverkningsanmälan</t>
        </is>
      </c>
      <c r="C2018" t="inlineStr">
        <is>
          <t>Föryngringsavverkning</t>
        </is>
      </c>
      <c r="D2018" s="1" t="n">
        <v>45803</v>
      </c>
      <c r="E2018" s="1" t="n">
        <v>46326</v>
      </c>
      <c r="F2018" t="inlineStr">
        <is>
          <t>GÄVLEBORGS LÄN</t>
        </is>
      </c>
      <c r="G2018" t="inlineStr">
        <is>
          <t>LJUSDAL</t>
        </is>
      </c>
      <c r="H2018" t="inlineStr">
        <is>
          <t>Holmen skog AB</t>
        </is>
      </c>
      <c r="I2018" t="n">
        <v>22.6</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38762-2025</t>
        </is>
      </c>
      <c r="B2019" t="inlineStr">
        <is>
          <t>avverkningsanmälan</t>
        </is>
      </c>
      <c r="C2019" t="inlineStr">
        <is>
          <t>Föryngringsavverkning</t>
        </is>
      </c>
      <c r="D2019" s="1" t="n">
        <v>45887</v>
      </c>
      <c r="E2019" s="1" t="n">
        <v>46326</v>
      </c>
      <c r="F2019" t="inlineStr">
        <is>
          <t>GÄVLEBORGS LÄN</t>
        </is>
      </c>
      <c r="G2019" t="inlineStr">
        <is>
          <t>BOLLNÄS</t>
        </is>
      </c>
      <c r="I2019" t="n">
        <v>1.9</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38769-2025</t>
        </is>
      </c>
      <c r="B2020" t="inlineStr">
        <is>
          <t>avverkningsanmälan</t>
        </is>
      </c>
      <c r="C2020" t="inlineStr">
        <is>
          <t>Föryngringsavverkning</t>
        </is>
      </c>
      <c r="D2020" s="1" t="n">
        <v>45887</v>
      </c>
      <c r="E2020" s="1" t="n">
        <v>46326</v>
      </c>
      <c r="F2020" t="inlineStr">
        <is>
          <t>GÄVLEBORGS LÄN</t>
        </is>
      </c>
      <c r="G2020" t="inlineStr">
        <is>
          <t>BOLLNÄS</t>
        </is>
      </c>
      <c r="I2020" t="n">
        <v>0.8</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38642-2025</t>
        </is>
      </c>
      <c r="B2021" t="inlineStr">
        <is>
          <t>avverkningsanmälan</t>
        </is>
      </c>
      <c r="C2021" t="inlineStr">
        <is>
          <t>Föryngringsavverkning</t>
        </is>
      </c>
      <c r="D2021" s="1" t="n">
        <v>45884</v>
      </c>
      <c r="E2021" s="1" t="n">
        <v>46326</v>
      </c>
      <c r="F2021" t="inlineStr">
        <is>
          <t>GÄVLEBORGS LÄN</t>
        </is>
      </c>
      <c r="G2021" t="inlineStr">
        <is>
          <t>LJUSDAL</t>
        </is>
      </c>
      <c r="H2021" t="inlineStr">
        <is>
          <t>Allmännings- och besparingsskogar</t>
        </is>
      </c>
      <c r="I2021" t="n">
        <v>9.5</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16327-2023</t>
        </is>
      </c>
      <c r="B2022" t="inlineStr">
        <is>
          <t>avverkningsanmälan</t>
        </is>
      </c>
      <c r="C2022" t="inlineStr">
        <is>
          <t>Föryngringsavverkning</t>
        </is>
      </c>
      <c r="D2022" s="1" t="n">
        <v>45028</v>
      </c>
      <c r="E2022" s="1" t="n">
        <v>46326</v>
      </c>
      <c r="F2022" t="inlineStr">
        <is>
          <t>GÄVLEBORGS LÄN</t>
        </is>
      </c>
      <c r="G2022" t="inlineStr">
        <is>
          <t>HUDIKSVALL</t>
        </is>
      </c>
      <c r="I2022" t="n">
        <v>2</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25467-2025</t>
        </is>
      </c>
      <c r="B2023" t="inlineStr">
        <is>
          <t>avverkningsanmälan</t>
        </is>
      </c>
      <c r="C2023" t="inlineStr">
        <is>
          <t>Föryngringsavverkning</t>
        </is>
      </c>
      <c r="D2023" s="1" t="n">
        <v>45802</v>
      </c>
      <c r="E2023" s="1" t="n">
        <v>46326</v>
      </c>
      <c r="F2023" t="inlineStr">
        <is>
          <t>GÄVLEBORGS LÄN</t>
        </is>
      </c>
      <c r="G2023" t="inlineStr">
        <is>
          <t>NORDANSTIG</t>
        </is>
      </c>
      <c r="H2023" t="inlineStr">
        <is>
          <t>Holmen skog AB</t>
        </is>
      </c>
      <c r="I2023" t="n">
        <v>2.2</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25468-2025</t>
        </is>
      </c>
      <c r="B2024" t="inlineStr">
        <is>
          <t>avverkningsanmälan</t>
        </is>
      </c>
      <c r="C2024" t="inlineStr">
        <is>
          <t>Föryngringsavverkning</t>
        </is>
      </c>
      <c r="D2024" s="1" t="n">
        <v>45802</v>
      </c>
      <c r="E2024" s="1" t="n">
        <v>46326</v>
      </c>
      <c r="F2024" t="inlineStr">
        <is>
          <t>GÄVLEBORGS LÄN</t>
        </is>
      </c>
      <c r="G2024" t="inlineStr">
        <is>
          <t>NORDANSTIG</t>
        </is>
      </c>
      <c r="H2024" t="inlineStr">
        <is>
          <t>Holmen skog AB</t>
        </is>
      </c>
      <c r="I2024" t="n">
        <v>5.5</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25551-2025</t>
        </is>
      </c>
      <c r="B2025" t="inlineStr">
        <is>
          <t>avverkningsanmälan</t>
        </is>
      </c>
      <c r="C2025" t="inlineStr">
        <is>
          <t>Föryngringsavverkning</t>
        </is>
      </c>
      <c r="D2025" s="1" t="n">
        <v>45803</v>
      </c>
      <c r="E2025" s="1" t="n">
        <v>46326</v>
      </c>
      <c r="F2025" t="inlineStr">
        <is>
          <t>GÄVLEBORGS LÄN</t>
        </is>
      </c>
      <c r="G2025" t="inlineStr">
        <is>
          <t>HUDIKSVALL</t>
        </is>
      </c>
      <c r="H2025" t="inlineStr">
        <is>
          <t>Holmen skog AB</t>
        </is>
      </c>
      <c r="I2025" t="n">
        <v>5.2</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40477-2024</t>
        </is>
      </c>
      <c r="B2026" t="inlineStr">
        <is>
          <t>avverkningsanmälan</t>
        </is>
      </c>
      <c r="C2026" t="inlineStr">
        <is>
          <t>Föryngringsavverkning</t>
        </is>
      </c>
      <c r="D2026" s="1" t="n">
        <v>45555</v>
      </c>
      <c r="E2026" s="1" t="n">
        <v>46326</v>
      </c>
      <c r="F2026" t="inlineStr">
        <is>
          <t>GÄVLEBORGS LÄN</t>
        </is>
      </c>
      <c r="G2026" t="inlineStr">
        <is>
          <t>NORDANSTIG</t>
        </is>
      </c>
      <c r="I2026" t="n">
        <v>2.3</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25640-2025</t>
        </is>
      </c>
      <c r="B2027" t="inlineStr">
        <is>
          <t>avverkningsanmälan</t>
        </is>
      </c>
      <c r="C2027" t="inlineStr">
        <is>
          <t>Föryngringsavverkning</t>
        </is>
      </c>
      <c r="D2027" s="1" t="n">
        <v>45803</v>
      </c>
      <c r="E2027" s="1" t="n">
        <v>46326</v>
      </c>
      <c r="F2027" t="inlineStr">
        <is>
          <t>GÄVLEBORGS LÄN</t>
        </is>
      </c>
      <c r="G2027" t="inlineStr">
        <is>
          <t>OCKELBO</t>
        </is>
      </c>
      <c r="I2027" t="n">
        <v>2.5</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25281-2025</t>
        </is>
      </c>
      <c r="B2028" t="inlineStr">
        <is>
          <t>avverkningsanmälan</t>
        </is>
      </c>
      <c r="C2028" t="inlineStr">
        <is>
          <t>Föryngringsavverkning</t>
        </is>
      </c>
      <c r="D2028" s="1" t="n">
        <v>45800</v>
      </c>
      <c r="E2028" s="1" t="n">
        <v>46326</v>
      </c>
      <c r="F2028" t="inlineStr">
        <is>
          <t>GÄVLEBORGS LÄN</t>
        </is>
      </c>
      <c r="G2028" t="inlineStr">
        <is>
          <t>OVANÅKER</t>
        </is>
      </c>
      <c r="H2028" t="inlineStr">
        <is>
          <t>Bergvik skog öst AB</t>
        </is>
      </c>
      <c r="I2028" t="n">
        <v>1.4</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25673-2025</t>
        </is>
      </c>
      <c r="B2029" t="inlineStr">
        <is>
          <t>avverkningsanmälan</t>
        </is>
      </c>
      <c r="C2029" t="inlineStr">
        <is>
          <t>Föryngringsavverkning</t>
        </is>
      </c>
      <c r="D2029" s="1" t="n">
        <v>45803</v>
      </c>
      <c r="E2029" s="1" t="n">
        <v>46326</v>
      </c>
      <c r="F2029" t="inlineStr">
        <is>
          <t>GÄVLEBORGS LÄN</t>
        </is>
      </c>
      <c r="G2029" t="inlineStr">
        <is>
          <t>HUDIKSVALL</t>
        </is>
      </c>
      <c r="H2029" t="inlineStr">
        <is>
          <t>Holmen skog AB</t>
        </is>
      </c>
      <c r="I2029" t="n">
        <v>6</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25538-2025</t>
        </is>
      </c>
      <c r="B2030" t="inlineStr">
        <is>
          <t>avverkningsanmälan</t>
        </is>
      </c>
      <c r="C2030" t="inlineStr">
        <is>
          <t>Föryngringsavverkning</t>
        </is>
      </c>
      <c r="D2030" s="1" t="n">
        <v>45803</v>
      </c>
      <c r="E2030" s="1" t="n">
        <v>46326</v>
      </c>
      <c r="F2030" t="inlineStr">
        <is>
          <t>GÄVLEBORGS LÄN</t>
        </is>
      </c>
      <c r="G2030" t="inlineStr">
        <is>
          <t>HUDIKSVALL</t>
        </is>
      </c>
      <c r="H2030" t="inlineStr">
        <is>
          <t>Holmen skog AB</t>
        </is>
      </c>
      <c r="I2030" t="n">
        <v>3.6</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10689-2025</t>
        </is>
      </c>
      <c r="B2031" t="inlineStr">
        <is>
          <t>avverkningsanmälan</t>
        </is>
      </c>
      <c r="C2031" t="inlineStr">
        <is>
          <t>Föryngringsavverkning</t>
        </is>
      </c>
      <c r="D2031" s="1" t="n">
        <v>45722</v>
      </c>
      <c r="E2031" s="1" t="n">
        <v>46326</v>
      </c>
      <c r="F2031" t="inlineStr">
        <is>
          <t>GÄVLEBORGS LÄN</t>
        </is>
      </c>
      <c r="G2031" t="inlineStr">
        <is>
          <t>OVANÅKER</t>
        </is>
      </c>
      <c r="H2031" t="inlineStr">
        <is>
          <t>Bergvik skog öst AB</t>
        </is>
      </c>
      <c r="I2031" t="n">
        <v>4.2</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25337-2025</t>
        </is>
      </c>
      <c r="B2032" t="inlineStr">
        <is>
          <t>avverkningsanmälan</t>
        </is>
      </c>
      <c r="C2032" t="inlineStr">
        <is>
          <t>Föryngringsavverkning</t>
        </is>
      </c>
      <c r="D2032" s="1" t="n">
        <v>45800</v>
      </c>
      <c r="E2032" s="1" t="n">
        <v>46326</v>
      </c>
      <c r="F2032" t="inlineStr">
        <is>
          <t>GÄVLEBORGS LÄN</t>
        </is>
      </c>
      <c r="G2032" t="inlineStr">
        <is>
          <t>OVANÅKER</t>
        </is>
      </c>
      <c r="H2032" t="inlineStr">
        <is>
          <t>Bergvik skog väst AB</t>
        </is>
      </c>
      <c r="I2032" t="n">
        <v>4.5</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10150-2023</t>
        </is>
      </c>
      <c r="B2033" t="inlineStr">
        <is>
          <t>avverkningsanmälan</t>
        </is>
      </c>
      <c r="C2033" t="inlineStr">
        <is>
          <t>Föryngringsavverkning</t>
        </is>
      </c>
      <c r="D2033" s="1" t="n">
        <v>44986</v>
      </c>
      <c r="E2033" s="1" t="n">
        <v>46326</v>
      </c>
      <c r="F2033" t="inlineStr">
        <is>
          <t>GÄVLEBORGS LÄN</t>
        </is>
      </c>
      <c r="G2033" t="inlineStr">
        <is>
          <t>OCKELBO</t>
        </is>
      </c>
      <c r="I2033" t="n">
        <v>3.2</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17392-2025</t>
        </is>
      </c>
      <c r="B2034" t="inlineStr">
        <is>
          <t>avverkningsanmälan</t>
        </is>
      </c>
      <c r="C2034" t="inlineStr">
        <is>
          <t>Föryngringsavverkning</t>
        </is>
      </c>
      <c r="D2034" s="1" t="n">
        <v>45757</v>
      </c>
      <c r="E2034" s="1" t="n">
        <v>46326</v>
      </c>
      <c r="F2034" t="inlineStr">
        <is>
          <t>GÄVLEBORGS LÄN</t>
        </is>
      </c>
      <c r="G2034" t="inlineStr">
        <is>
          <t>OVANÅKER</t>
        </is>
      </c>
      <c r="H2034" t="inlineStr">
        <is>
          <t>Bergvik skog öst AB</t>
        </is>
      </c>
      <c r="I2034" t="n">
        <v>1.2</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50871-2022</t>
        </is>
      </c>
      <c r="B2035" t="inlineStr">
        <is>
          <t>avverkningsanmälan</t>
        </is>
      </c>
      <c r="C2035" t="inlineStr">
        <is>
          <t>Avverkning för annat ändamål</t>
        </is>
      </c>
      <c r="D2035" s="1" t="n">
        <v>44867</v>
      </c>
      <c r="E2035" s="1" t="n">
        <v>46326</v>
      </c>
      <c r="F2035" t="inlineStr">
        <is>
          <t>GÄVLEBORGS LÄN</t>
        </is>
      </c>
      <c r="G2035" t="inlineStr">
        <is>
          <t>GÄVLE</t>
        </is>
      </c>
      <c r="I2035" t="n">
        <v>1.5</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11286-2022</t>
        </is>
      </c>
      <c r="B2036" t="inlineStr">
        <is>
          <t>avverkningsanmälan</t>
        </is>
      </c>
      <c r="C2036" t="inlineStr">
        <is>
          <t>Föryngringsavverkning</t>
        </is>
      </c>
      <c r="D2036" s="1" t="n">
        <v>44629</v>
      </c>
      <c r="E2036" s="1" t="n">
        <v>46326</v>
      </c>
      <c r="F2036" t="inlineStr">
        <is>
          <t>GÄVLEBORGS LÄN</t>
        </is>
      </c>
      <c r="G2036" t="inlineStr">
        <is>
          <t>LJUSDAL</t>
        </is>
      </c>
      <c r="I2036" t="n">
        <v>11.5</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25233-2025</t>
        </is>
      </c>
      <c r="B2037" t="inlineStr">
        <is>
          <t>avverkningsanmälan</t>
        </is>
      </c>
      <c r="C2037" t="inlineStr">
        <is>
          <t>Föryngringsavverkning</t>
        </is>
      </c>
      <c r="D2037" s="1" t="n">
        <v>45800</v>
      </c>
      <c r="E2037" s="1" t="n">
        <v>46326</v>
      </c>
      <c r="F2037" t="inlineStr">
        <is>
          <t>GÄVLEBORGS LÄN</t>
        </is>
      </c>
      <c r="G2037" t="inlineStr">
        <is>
          <t>OCKELBO</t>
        </is>
      </c>
      <c r="H2037" t="inlineStr">
        <is>
          <t>Bergvik skog väst AB</t>
        </is>
      </c>
      <c r="I2037" t="n">
        <v>6.1</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38537-2025</t>
        </is>
      </c>
      <c r="B2038" t="inlineStr">
        <is>
          <t>avverkningsanmälan</t>
        </is>
      </c>
      <c r="C2038" t="inlineStr">
        <is>
          <t>Föryngringsavverkning</t>
        </is>
      </c>
      <c r="D2038" s="1" t="n">
        <v>45884</v>
      </c>
      <c r="E2038" s="1" t="n">
        <v>46326</v>
      </c>
      <c r="F2038" t="inlineStr">
        <is>
          <t>GÄVLEBORGS LÄN</t>
        </is>
      </c>
      <c r="G2038" t="inlineStr">
        <is>
          <t>SÖDERHAMN</t>
        </is>
      </c>
      <c r="I2038" t="n">
        <v>1.7</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11813-2024</t>
        </is>
      </c>
      <c r="B2039" t="inlineStr">
        <is>
          <t>avverkningsanmälan</t>
        </is>
      </c>
      <c r="C2039" t="inlineStr">
        <is>
          <t>Föryngringsavverkning</t>
        </is>
      </c>
      <c r="D2039" s="1" t="n">
        <v>45376</v>
      </c>
      <c r="E2039" s="1" t="n">
        <v>46326</v>
      </c>
      <c r="F2039" t="inlineStr">
        <is>
          <t>GÄVLEBORGS LÄN</t>
        </is>
      </c>
      <c r="G2039" t="inlineStr">
        <is>
          <t>HOFORS</t>
        </is>
      </c>
      <c r="I2039" t="n">
        <v>2.3</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35181-2023</t>
        </is>
      </c>
      <c r="B2040" t="inlineStr">
        <is>
          <t>avverkningsanmälan</t>
        </is>
      </c>
      <c r="C2040" t="inlineStr">
        <is>
          <t>Föryngringsavverkning</t>
        </is>
      </c>
      <c r="D2040" s="1" t="n">
        <v>45145</v>
      </c>
      <c r="E2040" s="1" t="n">
        <v>46326</v>
      </c>
      <c r="F2040" t="inlineStr">
        <is>
          <t>GÄVLEBORGS LÄN</t>
        </is>
      </c>
      <c r="G2040" t="inlineStr">
        <is>
          <t>BOLLNÄS</t>
        </is>
      </c>
      <c r="H2040" t="inlineStr">
        <is>
          <t>Holmen skog AB</t>
        </is>
      </c>
      <c r="I2040" t="n">
        <v>1.1</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33136-2023</t>
        </is>
      </c>
      <c r="B2041" t="inlineStr">
        <is>
          <t>avverkningsanmälan</t>
        </is>
      </c>
      <c r="C2041" t="inlineStr">
        <is>
          <t>Föryngringsavverkning</t>
        </is>
      </c>
      <c r="D2041" s="1" t="n">
        <v>45126</v>
      </c>
      <c r="E2041" s="1" t="n">
        <v>46326</v>
      </c>
      <c r="F2041" t="inlineStr">
        <is>
          <t>GÄVLEBORGS LÄN</t>
        </is>
      </c>
      <c r="G2041" t="inlineStr">
        <is>
          <t>SANDVIKEN</t>
        </is>
      </c>
      <c r="I2041" t="n">
        <v>4.5</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19424-2022</t>
        </is>
      </c>
      <c r="B2042" t="inlineStr">
        <is>
          <t>avverkningsanmälan</t>
        </is>
      </c>
      <c r="C2042" t="inlineStr">
        <is>
          <t>Föryngringsavverkning</t>
        </is>
      </c>
      <c r="D2042" s="1" t="n">
        <v>44693</v>
      </c>
      <c r="E2042" s="1" t="n">
        <v>46326</v>
      </c>
      <c r="F2042" t="inlineStr">
        <is>
          <t>GÄVLEBORGS LÄN</t>
        </is>
      </c>
      <c r="G2042" t="inlineStr">
        <is>
          <t>GÄVLE</t>
        </is>
      </c>
      <c r="H2042" t="inlineStr">
        <is>
          <t>Bergvik skog väst AB</t>
        </is>
      </c>
      <c r="I2042" t="n">
        <v>2.2</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25246-2025</t>
        </is>
      </c>
      <c r="B2043" t="inlineStr">
        <is>
          <t>avverkningsanmälan</t>
        </is>
      </c>
      <c r="C2043" t="inlineStr">
        <is>
          <t>Föryngringsavverkning</t>
        </is>
      </c>
      <c r="D2043" s="1" t="n">
        <v>45800</v>
      </c>
      <c r="E2043" s="1" t="n">
        <v>46326</v>
      </c>
      <c r="F2043" t="inlineStr">
        <is>
          <t>GÄVLEBORGS LÄN</t>
        </is>
      </c>
      <c r="G2043" t="inlineStr">
        <is>
          <t>OCKELBO</t>
        </is>
      </c>
      <c r="H2043" t="inlineStr">
        <is>
          <t>Bergvik skog väst AB</t>
        </is>
      </c>
      <c r="I2043" t="n">
        <v>1.6</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25248-2025</t>
        </is>
      </c>
      <c r="B2044" t="inlineStr">
        <is>
          <t>avverkningsanmälan</t>
        </is>
      </c>
      <c r="C2044" t="inlineStr">
        <is>
          <t>Föryngringsavverkning</t>
        </is>
      </c>
      <c r="D2044" s="1" t="n">
        <v>45800</v>
      </c>
      <c r="E2044" s="1" t="n">
        <v>46326</v>
      </c>
      <c r="F2044" t="inlineStr">
        <is>
          <t>GÄVLEBORGS LÄN</t>
        </is>
      </c>
      <c r="G2044" t="inlineStr">
        <is>
          <t>OCKELBO</t>
        </is>
      </c>
      <c r="H2044" t="inlineStr">
        <is>
          <t>Bergvik skog väst AB</t>
        </is>
      </c>
      <c r="I2044" t="n">
        <v>0.5</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53036-2024</t>
        </is>
      </c>
      <c r="B2045" t="inlineStr">
        <is>
          <t>avverkningsanmälan</t>
        </is>
      </c>
      <c r="C2045" t="inlineStr">
        <is>
          <t>Föryngringsavverkning</t>
        </is>
      </c>
      <c r="D2045" s="1" t="n">
        <v>45611</v>
      </c>
      <c r="E2045" s="1" t="n">
        <v>46326</v>
      </c>
      <c r="F2045" t="inlineStr">
        <is>
          <t>GÄVLEBORGS LÄN</t>
        </is>
      </c>
      <c r="G2045" t="inlineStr">
        <is>
          <t>BOLLNÄS</t>
        </is>
      </c>
      <c r="I2045" t="n">
        <v>6.1</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25191-2025</t>
        </is>
      </c>
      <c r="B2046" t="inlineStr">
        <is>
          <t>avverkningsanmälan</t>
        </is>
      </c>
      <c r="C2046" t="inlineStr">
        <is>
          <t>Föryngringsavverkning</t>
        </is>
      </c>
      <c r="D2046" s="1" t="n">
        <v>45800</v>
      </c>
      <c r="E2046" s="1" t="n">
        <v>46326</v>
      </c>
      <c r="F2046" t="inlineStr">
        <is>
          <t>GÄVLEBORGS LÄN</t>
        </is>
      </c>
      <c r="G2046" t="inlineStr">
        <is>
          <t>OCKELBO</t>
        </is>
      </c>
      <c r="H2046" t="inlineStr">
        <is>
          <t>Bergvik skog väst AB</t>
        </is>
      </c>
      <c r="I2046" t="n">
        <v>5.1</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25234-2025</t>
        </is>
      </c>
      <c r="B2047" t="inlineStr">
        <is>
          <t>avverkningsanmälan</t>
        </is>
      </c>
      <c r="C2047" t="inlineStr">
        <is>
          <t>Föryngringsavverkning</t>
        </is>
      </c>
      <c r="D2047" s="1" t="n">
        <v>45800</v>
      </c>
      <c r="E2047" s="1" t="n">
        <v>46326</v>
      </c>
      <c r="F2047" t="inlineStr">
        <is>
          <t>GÄVLEBORGS LÄN</t>
        </is>
      </c>
      <c r="G2047" t="inlineStr">
        <is>
          <t>OCKELBO</t>
        </is>
      </c>
      <c r="H2047" t="inlineStr">
        <is>
          <t>Bergvik skog väst AB</t>
        </is>
      </c>
      <c r="I2047" t="n">
        <v>0.8</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25278-2025</t>
        </is>
      </c>
      <c r="B2048" t="inlineStr">
        <is>
          <t>avverkningsanmälan</t>
        </is>
      </c>
      <c r="C2048" t="inlineStr">
        <is>
          <t>Föryngringsavverkning</t>
        </is>
      </c>
      <c r="D2048" s="1" t="n">
        <v>45800</v>
      </c>
      <c r="E2048" s="1" t="n">
        <v>46326</v>
      </c>
      <c r="F2048" t="inlineStr">
        <is>
          <t>GÄVLEBORGS LÄN</t>
        </is>
      </c>
      <c r="G2048" t="inlineStr">
        <is>
          <t>OVANÅKER</t>
        </is>
      </c>
      <c r="H2048" t="inlineStr">
        <is>
          <t>Bergvik skog öst AB</t>
        </is>
      </c>
      <c r="I2048" t="n">
        <v>6.1</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25283-2025</t>
        </is>
      </c>
      <c r="B2049" t="inlineStr">
        <is>
          <t>avverkningsanmälan</t>
        </is>
      </c>
      <c r="C2049" t="inlineStr">
        <is>
          <t>Föryngringsavverkning</t>
        </is>
      </c>
      <c r="D2049" s="1" t="n">
        <v>45800</v>
      </c>
      <c r="E2049" s="1" t="n">
        <v>46326</v>
      </c>
      <c r="F2049" t="inlineStr">
        <is>
          <t>GÄVLEBORGS LÄN</t>
        </is>
      </c>
      <c r="G2049" t="inlineStr">
        <is>
          <t>OVANÅKER</t>
        </is>
      </c>
      <c r="H2049" t="inlineStr">
        <is>
          <t>Bergvik skog öst AB</t>
        </is>
      </c>
      <c r="I2049" t="n">
        <v>2.4</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25300-2025</t>
        </is>
      </c>
      <c r="B2050" t="inlineStr">
        <is>
          <t>avverkningsanmälan</t>
        </is>
      </c>
      <c r="C2050" t="inlineStr">
        <is>
          <t>Föryngringsavverkning</t>
        </is>
      </c>
      <c r="D2050" s="1" t="n">
        <v>45800</v>
      </c>
      <c r="E2050" s="1" t="n">
        <v>46326</v>
      </c>
      <c r="F2050" t="inlineStr">
        <is>
          <t>GÄVLEBORGS LÄN</t>
        </is>
      </c>
      <c r="G2050" t="inlineStr">
        <is>
          <t>SANDVIKEN</t>
        </is>
      </c>
      <c r="H2050" t="inlineStr">
        <is>
          <t>Sveaskog</t>
        </is>
      </c>
      <c r="I2050" t="n">
        <v>2.5</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25327-2025</t>
        </is>
      </c>
      <c r="B2051" t="inlineStr">
        <is>
          <t>avverkningsanmälan</t>
        </is>
      </c>
      <c r="C2051" t="inlineStr">
        <is>
          <t>Föryngringsavverkning</t>
        </is>
      </c>
      <c r="D2051" s="1" t="n">
        <v>45800</v>
      </c>
      <c r="E2051" s="1" t="n">
        <v>46326</v>
      </c>
      <c r="F2051" t="inlineStr">
        <is>
          <t>GÄVLEBORGS LÄN</t>
        </is>
      </c>
      <c r="G2051" t="inlineStr">
        <is>
          <t>SANDVIKEN</t>
        </is>
      </c>
      <c r="H2051" t="inlineStr">
        <is>
          <t>Sveaskog</t>
        </is>
      </c>
      <c r="I2051" t="n">
        <v>1.3</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16683-2024</t>
        </is>
      </c>
      <c r="B2052" t="inlineStr">
        <is>
          <t>avverkningsanmälan</t>
        </is>
      </c>
      <c r="C2052" t="inlineStr">
        <is>
          <t>Föryngringsavverkning</t>
        </is>
      </c>
      <c r="D2052" s="1" t="n">
        <v>45408</v>
      </c>
      <c r="E2052" s="1" t="n">
        <v>46326</v>
      </c>
      <c r="F2052" t="inlineStr">
        <is>
          <t>GÄVLEBORGS LÄN</t>
        </is>
      </c>
      <c r="G2052" t="inlineStr">
        <is>
          <t>SANDVIKEN</t>
        </is>
      </c>
      <c r="H2052" t="inlineStr">
        <is>
          <t>Bergvik skog väst AB</t>
        </is>
      </c>
      <c r="I2052" t="n">
        <v>14.2</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25193-2025</t>
        </is>
      </c>
      <c r="B2053" t="inlineStr">
        <is>
          <t>avverkningsanmälan</t>
        </is>
      </c>
      <c r="C2053" t="inlineStr">
        <is>
          <t>Föryngringsavverkning</t>
        </is>
      </c>
      <c r="D2053" s="1" t="n">
        <v>45800</v>
      </c>
      <c r="E2053" s="1" t="n">
        <v>46326</v>
      </c>
      <c r="F2053" t="inlineStr">
        <is>
          <t>GÄVLEBORGS LÄN</t>
        </is>
      </c>
      <c r="G2053" t="inlineStr">
        <is>
          <t>OVANÅKER</t>
        </is>
      </c>
      <c r="H2053" t="inlineStr">
        <is>
          <t>Bergvik skog väst AB</t>
        </is>
      </c>
      <c r="I2053" t="n">
        <v>0.8</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61478-2023</t>
        </is>
      </c>
      <c r="B2054" t="inlineStr">
        <is>
          <t>avverkningsanmälan</t>
        </is>
      </c>
      <c r="C2054" t="inlineStr">
        <is>
          <t>Föryngringsavverkning</t>
        </is>
      </c>
      <c r="D2054" s="1" t="n">
        <v>45264</v>
      </c>
      <c r="E2054" s="1" t="n">
        <v>46326</v>
      </c>
      <c r="F2054" t="inlineStr">
        <is>
          <t>GÄVLEBORGS LÄN</t>
        </is>
      </c>
      <c r="G2054" t="inlineStr">
        <is>
          <t>HUDIKSVALL</t>
        </is>
      </c>
      <c r="I2054" t="n">
        <v>4.1</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25226-2025</t>
        </is>
      </c>
      <c r="B2055" t="inlineStr">
        <is>
          <t>avverkningsanmälan</t>
        </is>
      </c>
      <c r="C2055" t="inlineStr">
        <is>
          <t>Föryngringsavverkning</t>
        </is>
      </c>
      <c r="D2055" s="1" t="n">
        <v>45800</v>
      </c>
      <c r="E2055" s="1" t="n">
        <v>46326</v>
      </c>
      <c r="F2055" t="inlineStr">
        <is>
          <t>GÄVLEBORGS LÄN</t>
        </is>
      </c>
      <c r="G2055" t="inlineStr">
        <is>
          <t>BOLLNÄS</t>
        </is>
      </c>
      <c r="H2055" t="inlineStr">
        <is>
          <t>Holmen skog AB</t>
        </is>
      </c>
      <c r="I2055" t="n">
        <v>17.7</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59000-2023</t>
        </is>
      </c>
      <c r="B2056" t="inlineStr">
        <is>
          <t>avverkningsanmälan</t>
        </is>
      </c>
      <c r="C2056" t="inlineStr">
        <is>
          <t>Föryngringsavverkning</t>
        </is>
      </c>
      <c r="D2056" s="1" t="n">
        <v>45252</v>
      </c>
      <c r="E2056" s="1" t="n">
        <v>46326</v>
      </c>
      <c r="F2056" t="inlineStr">
        <is>
          <t>GÄVLEBORGS LÄN</t>
        </is>
      </c>
      <c r="G2056" t="inlineStr">
        <is>
          <t>SÖDERHAMN</t>
        </is>
      </c>
      <c r="I2056" t="n">
        <v>0.5</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25596-2025</t>
        </is>
      </c>
      <c r="B2057" t="inlineStr">
        <is>
          <t>avverkningsanmälan</t>
        </is>
      </c>
      <c r="C2057" t="inlineStr">
        <is>
          <t>Föryngringsavverkning</t>
        </is>
      </c>
      <c r="D2057" s="1" t="n">
        <v>45803</v>
      </c>
      <c r="E2057" s="1" t="n">
        <v>46326</v>
      </c>
      <c r="F2057" t="inlineStr">
        <is>
          <t>GÄVLEBORGS LÄN</t>
        </is>
      </c>
      <c r="G2057" t="inlineStr">
        <is>
          <t>BOLLNÄS</t>
        </is>
      </c>
      <c r="I2057" t="n">
        <v>1.3</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54807-2024</t>
        </is>
      </c>
      <c r="B2058" t="inlineStr">
        <is>
          <t>avverkningsanmälan</t>
        </is>
      </c>
      <c r="C2058" t="inlineStr">
        <is>
          <t>Föryngringsavverkning</t>
        </is>
      </c>
      <c r="D2058" s="1" t="n">
        <v>45618</v>
      </c>
      <c r="E2058" s="1" t="n">
        <v>46326</v>
      </c>
      <c r="F2058" t="inlineStr">
        <is>
          <t>GÄVLEBORGS LÄN</t>
        </is>
      </c>
      <c r="G2058" t="inlineStr">
        <is>
          <t>OCKELBO</t>
        </is>
      </c>
      <c r="I2058" t="n">
        <v>8</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19188-2024</t>
        </is>
      </c>
      <c r="B2059" t="inlineStr">
        <is>
          <t>avverkningsanmälan</t>
        </is>
      </c>
      <c r="C2059" t="inlineStr">
        <is>
          <t>Föryngringsavverkning</t>
        </is>
      </c>
      <c r="D2059" s="1" t="n">
        <v>45428</v>
      </c>
      <c r="E2059" s="1" t="n">
        <v>46326</v>
      </c>
      <c r="F2059" t="inlineStr">
        <is>
          <t>GÄVLEBORGS LÄN</t>
        </is>
      </c>
      <c r="G2059" t="inlineStr">
        <is>
          <t>SÖDERHAMN</t>
        </is>
      </c>
      <c r="H2059" t="inlineStr">
        <is>
          <t>Bergvik skog väst AB</t>
        </is>
      </c>
      <c r="I2059" t="n">
        <v>1.7</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25080-2025</t>
        </is>
      </c>
      <c r="B2060" t="inlineStr">
        <is>
          <t>avverkningsanmälan</t>
        </is>
      </c>
      <c r="C2060" t="inlineStr">
        <is>
          <t>Föryngringsavverkning</t>
        </is>
      </c>
      <c r="D2060" s="1" t="n">
        <v>45799</v>
      </c>
      <c r="E2060" s="1" t="n">
        <v>46326</v>
      </c>
      <c r="F2060" t="inlineStr">
        <is>
          <t>GÄVLEBORGS LÄN</t>
        </is>
      </c>
      <c r="G2060" t="inlineStr">
        <is>
          <t>NORDANSTIG</t>
        </is>
      </c>
      <c r="I2060" t="n">
        <v>1.6</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25110-2025</t>
        </is>
      </c>
      <c r="B2061" t="inlineStr">
        <is>
          <t>avverkningsanmälan</t>
        </is>
      </c>
      <c r="C2061" t="inlineStr">
        <is>
          <t>Föryngringsavverkning</t>
        </is>
      </c>
      <c r="D2061" s="1" t="n">
        <v>45800</v>
      </c>
      <c r="E2061" s="1" t="n">
        <v>46326</v>
      </c>
      <c r="F2061" t="inlineStr">
        <is>
          <t>GÄVLEBORGS LÄN</t>
        </is>
      </c>
      <c r="G2061" t="inlineStr">
        <is>
          <t>OVANÅKER</t>
        </is>
      </c>
      <c r="H2061" t="inlineStr">
        <is>
          <t>Bergvik skog väst AB</t>
        </is>
      </c>
      <c r="I2061" t="n">
        <v>10.1</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53796-2023</t>
        </is>
      </c>
      <c r="B2062" t="inlineStr">
        <is>
          <t>avverkningsanmälan</t>
        </is>
      </c>
      <c r="C2062" t="inlineStr">
        <is>
          <t>Föryngringsavverkning</t>
        </is>
      </c>
      <c r="D2062" s="1" t="n">
        <v>45231</v>
      </c>
      <c r="E2062" s="1" t="n">
        <v>46326</v>
      </c>
      <c r="F2062" t="inlineStr">
        <is>
          <t>GÄVLEBORGS LÄN</t>
        </is>
      </c>
      <c r="G2062" t="inlineStr">
        <is>
          <t>HUDIKSVALL</t>
        </is>
      </c>
      <c r="I2062" t="n">
        <v>17.6</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53821-2023</t>
        </is>
      </c>
      <c r="B2063" t="inlineStr">
        <is>
          <t>avverkningsanmälan</t>
        </is>
      </c>
      <c r="C2063" t="inlineStr">
        <is>
          <t>Föryngringsavverkning</t>
        </is>
      </c>
      <c r="D2063" s="1" t="n">
        <v>45231</v>
      </c>
      <c r="E2063" s="1" t="n">
        <v>46326</v>
      </c>
      <c r="F2063" t="inlineStr">
        <is>
          <t>GÄVLEBORGS LÄN</t>
        </is>
      </c>
      <c r="G2063" t="inlineStr">
        <is>
          <t>OVANÅKER</t>
        </is>
      </c>
      <c r="I2063" t="n">
        <v>1.6</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25111-2025</t>
        </is>
      </c>
      <c r="B2064" t="inlineStr">
        <is>
          <t>avverkningsanmälan</t>
        </is>
      </c>
      <c r="C2064" t="inlineStr">
        <is>
          <t>Föryngringsavverkning</t>
        </is>
      </c>
      <c r="D2064" s="1" t="n">
        <v>45800</v>
      </c>
      <c r="E2064" s="1" t="n">
        <v>46326</v>
      </c>
      <c r="F2064" t="inlineStr">
        <is>
          <t>GÄVLEBORGS LÄN</t>
        </is>
      </c>
      <c r="G2064" t="inlineStr">
        <is>
          <t>SANDVIKEN</t>
        </is>
      </c>
      <c r="I2064" t="n">
        <v>1.4</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25148-2025</t>
        </is>
      </c>
      <c r="B2065" t="inlineStr">
        <is>
          <t>avverkningsanmälan</t>
        </is>
      </c>
      <c r="C2065" t="inlineStr">
        <is>
          <t>Föryngringsavverkning</t>
        </is>
      </c>
      <c r="D2065" s="1" t="n">
        <v>45800</v>
      </c>
      <c r="E2065" s="1" t="n">
        <v>46326</v>
      </c>
      <c r="F2065" t="inlineStr">
        <is>
          <t>GÄVLEBORGS LÄN</t>
        </is>
      </c>
      <c r="G2065" t="inlineStr">
        <is>
          <t>HUDIKSVALL</t>
        </is>
      </c>
      <c r="H2065" t="inlineStr">
        <is>
          <t>Holmen skog AB</t>
        </is>
      </c>
      <c r="I2065" t="n">
        <v>20</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25250-2025</t>
        </is>
      </c>
      <c r="B2066" t="inlineStr">
        <is>
          <t>avverkningsanmälan</t>
        </is>
      </c>
      <c r="C2066" t="inlineStr">
        <is>
          <t>Avverkning för att bevara och utveckla /försöksver</t>
        </is>
      </c>
      <c r="D2066" s="1" t="n">
        <v>45800</v>
      </c>
      <c r="E2066" s="1" t="n">
        <v>46326</v>
      </c>
      <c r="F2066" t="inlineStr">
        <is>
          <t>GÄVLEBORGS LÄN</t>
        </is>
      </c>
      <c r="G2066" t="inlineStr">
        <is>
          <t>OCKELBO</t>
        </is>
      </c>
      <c r="H2066" t="inlineStr">
        <is>
          <t>Bergvik skog väst AB</t>
        </is>
      </c>
      <c r="I2066" t="n">
        <v>0.4</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25292-2025</t>
        </is>
      </c>
      <c r="B2067" t="inlineStr">
        <is>
          <t>avverkningsanmälan</t>
        </is>
      </c>
      <c r="C2067" t="inlineStr">
        <is>
          <t>Föryngringsavverkning</t>
        </is>
      </c>
      <c r="D2067" s="1" t="n">
        <v>45800</v>
      </c>
      <c r="E2067" s="1" t="n">
        <v>46326</v>
      </c>
      <c r="F2067" t="inlineStr">
        <is>
          <t>GÄVLEBORGS LÄN</t>
        </is>
      </c>
      <c r="G2067" t="inlineStr">
        <is>
          <t>OVANÅKER</t>
        </is>
      </c>
      <c r="H2067" t="inlineStr">
        <is>
          <t>Bergvik skog öst AB</t>
        </is>
      </c>
      <c r="I2067" t="n">
        <v>2.2</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49703-2023</t>
        </is>
      </c>
      <c r="B2068" t="inlineStr">
        <is>
          <t>avverkningsanmälan</t>
        </is>
      </c>
      <c r="C2068" t="inlineStr">
        <is>
          <t>Föryngringsavverkning</t>
        </is>
      </c>
      <c r="D2068" s="1" t="n">
        <v>45212</v>
      </c>
      <c r="E2068" s="1" t="n">
        <v>46326</v>
      </c>
      <c r="F2068" t="inlineStr">
        <is>
          <t>GÄVLEBORGS LÄN</t>
        </is>
      </c>
      <c r="G2068" t="inlineStr">
        <is>
          <t>SÖDERHAMN</t>
        </is>
      </c>
      <c r="I2068" t="n">
        <v>1.3</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25469-2025</t>
        </is>
      </c>
      <c r="B2069" t="inlineStr">
        <is>
          <t>avverkningsanmälan</t>
        </is>
      </c>
      <c r="C2069" t="inlineStr">
        <is>
          <t>Föryngringsavverkning</t>
        </is>
      </c>
      <c r="D2069" s="1" t="n">
        <v>45802</v>
      </c>
      <c r="E2069" s="1" t="n">
        <v>46326</v>
      </c>
      <c r="F2069" t="inlineStr">
        <is>
          <t>GÄVLEBORGS LÄN</t>
        </is>
      </c>
      <c r="G2069" t="inlineStr">
        <is>
          <t>NORDANSTIG</t>
        </is>
      </c>
      <c r="H2069" t="inlineStr">
        <is>
          <t>Holmen skog AB</t>
        </is>
      </c>
      <c r="I2069" t="n">
        <v>6.4</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25289-2025</t>
        </is>
      </c>
      <c r="B2070" t="inlineStr">
        <is>
          <t>avverkningsanmälan</t>
        </is>
      </c>
      <c r="C2070" t="inlineStr">
        <is>
          <t>Föryngringsavverkning</t>
        </is>
      </c>
      <c r="D2070" s="1" t="n">
        <v>45800</v>
      </c>
      <c r="E2070" s="1" t="n">
        <v>46326</v>
      </c>
      <c r="F2070" t="inlineStr">
        <is>
          <t>GÄVLEBORGS LÄN</t>
        </is>
      </c>
      <c r="G2070" t="inlineStr">
        <is>
          <t>OVANÅKER</t>
        </is>
      </c>
      <c r="H2070" t="inlineStr">
        <is>
          <t>Bergvik skog öst AB</t>
        </is>
      </c>
      <c r="I2070" t="n">
        <v>0.4</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25317-2025</t>
        </is>
      </c>
      <c r="B2071" t="inlineStr">
        <is>
          <t>avverkningsanmälan</t>
        </is>
      </c>
      <c r="C2071" t="inlineStr">
        <is>
          <t>Föryngringsavverkning</t>
        </is>
      </c>
      <c r="D2071" s="1" t="n">
        <v>45800</v>
      </c>
      <c r="E2071" s="1" t="n">
        <v>46326</v>
      </c>
      <c r="F2071" t="inlineStr">
        <is>
          <t>GÄVLEBORGS LÄN</t>
        </is>
      </c>
      <c r="G2071" t="inlineStr">
        <is>
          <t>SANDVIKEN</t>
        </is>
      </c>
      <c r="H2071" t="inlineStr">
        <is>
          <t>Sveaskog</t>
        </is>
      </c>
      <c r="I2071" t="n">
        <v>0.8</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26564-2022</t>
        </is>
      </c>
      <c r="B2072" t="inlineStr">
        <is>
          <t>avverkningsanmälan</t>
        </is>
      </c>
      <c r="C2072" t="inlineStr">
        <is>
          <t>Avverkning för annat ändamål</t>
        </is>
      </c>
      <c r="D2072" s="1" t="n">
        <v>44739</v>
      </c>
      <c r="E2072" s="1" t="n">
        <v>46326</v>
      </c>
      <c r="F2072" t="inlineStr">
        <is>
          <t>GÄVLEBORGS LÄN</t>
        </is>
      </c>
      <c r="G2072" t="inlineStr">
        <is>
          <t>GÄVLE</t>
        </is>
      </c>
      <c r="I2072" t="n">
        <v>1.4</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25503-2025</t>
        </is>
      </c>
      <c r="B2073" t="inlineStr">
        <is>
          <t>avverkningsanmälan</t>
        </is>
      </c>
      <c r="C2073" t="inlineStr">
        <is>
          <t>Föryngringsavverkning</t>
        </is>
      </c>
      <c r="D2073" s="1" t="n">
        <v>45803</v>
      </c>
      <c r="E2073" s="1" t="n">
        <v>46326</v>
      </c>
      <c r="F2073" t="inlineStr">
        <is>
          <t>GÄVLEBORGS LÄN</t>
        </is>
      </c>
      <c r="G2073" t="inlineStr">
        <is>
          <t>HUDIKSVALL</t>
        </is>
      </c>
      <c r="H2073" t="inlineStr">
        <is>
          <t>Holmen skog AB</t>
        </is>
      </c>
      <c r="I2073" t="n">
        <v>7.8</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25504-2025</t>
        </is>
      </c>
      <c r="B2074" t="inlineStr">
        <is>
          <t>avverkningsanmälan</t>
        </is>
      </c>
      <c r="C2074" t="inlineStr">
        <is>
          <t>Föryngringsavverkning</t>
        </is>
      </c>
      <c r="D2074" s="1" t="n">
        <v>45803</v>
      </c>
      <c r="E2074" s="1" t="n">
        <v>46326</v>
      </c>
      <c r="F2074" t="inlineStr">
        <is>
          <t>GÄVLEBORGS LÄN</t>
        </is>
      </c>
      <c r="G2074" t="inlineStr">
        <is>
          <t>LJUSDAL</t>
        </is>
      </c>
      <c r="I2074" t="n">
        <v>3.1</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16736-2025</t>
        </is>
      </c>
      <c r="B2075" t="inlineStr">
        <is>
          <t>avverkningsanmälan</t>
        </is>
      </c>
      <c r="C2075" t="inlineStr">
        <is>
          <t>Föryngringsavverkning</t>
        </is>
      </c>
      <c r="D2075" s="1" t="n">
        <v>45754</v>
      </c>
      <c r="E2075" s="1" t="n">
        <v>46326</v>
      </c>
      <c r="F2075" t="inlineStr">
        <is>
          <t>GÄVLEBORGS LÄN</t>
        </is>
      </c>
      <c r="G2075" t="inlineStr">
        <is>
          <t>HUDIKSVALL</t>
        </is>
      </c>
      <c r="I2075" t="n">
        <v>3.4</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44688-2024</t>
        </is>
      </c>
      <c r="B2076" t="inlineStr">
        <is>
          <t>avverkningsanmälan</t>
        </is>
      </c>
      <c r="C2076" t="inlineStr">
        <is>
          <t>Föryngringsavverkning</t>
        </is>
      </c>
      <c r="D2076" s="1" t="n">
        <v>45574</v>
      </c>
      <c r="E2076" s="1" t="n">
        <v>46326</v>
      </c>
      <c r="F2076" t="inlineStr">
        <is>
          <t>GÄVLEBORGS LÄN</t>
        </is>
      </c>
      <c r="G2076" t="inlineStr">
        <is>
          <t>HUDIKSVALL</t>
        </is>
      </c>
      <c r="I2076" t="n">
        <v>66.59999999999999</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13471-2024</t>
        </is>
      </c>
      <c r="B2077" t="inlineStr">
        <is>
          <t>avverkningsanmälan</t>
        </is>
      </c>
      <c r="C2077" t="inlineStr">
        <is>
          <t>Föryngringsavverkning</t>
        </is>
      </c>
      <c r="D2077" s="1" t="n">
        <v>45387</v>
      </c>
      <c r="E2077" s="1" t="n">
        <v>46326</v>
      </c>
      <c r="F2077" t="inlineStr">
        <is>
          <t>GÄVLEBORGS LÄN</t>
        </is>
      </c>
      <c r="G2077" t="inlineStr">
        <is>
          <t>HOFORS</t>
        </is>
      </c>
      <c r="I2077" t="n">
        <v>2.9</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26303-2025</t>
        </is>
      </c>
      <c r="B2078" t="inlineStr">
        <is>
          <t>avverkningsanmälan</t>
        </is>
      </c>
      <c r="C2078" t="inlineStr">
        <is>
          <t>Föryngringsavverkning</t>
        </is>
      </c>
      <c r="D2078" s="1" t="n">
        <v>45805</v>
      </c>
      <c r="E2078" s="1" t="n">
        <v>46326</v>
      </c>
      <c r="F2078" t="inlineStr">
        <is>
          <t>GÄVLEBORGS LÄN</t>
        </is>
      </c>
      <c r="G2078" t="inlineStr">
        <is>
          <t>BOLLNÄS</t>
        </is>
      </c>
      <c r="I2078" t="n">
        <v>1.4</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57689-2022</t>
        </is>
      </c>
      <c r="B2079" t="inlineStr">
        <is>
          <t>avverkningsanmälan</t>
        </is>
      </c>
      <c r="C2079" t="inlineStr">
        <is>
          <t>Föryngringsavverkning</t>
        </is>
      </c>
      <c r="D2079" s="1" t="n">
        <v>44897</v>
      </c>
      <c r="E2079" s="1" t="n">
        <v>46326</v>
      </c>
      <c r="F2079" t="inlineStr">
        <is>
          <t>GÄVLEBORGS LÄN</t>
        </is>
      </c>
      <c r="G2079" t="inlineStr">
        <is>
          <t>BOLLNÄS</t>
        </is>
      </c>
      <c r="I2079" t="n">
        <v>6.7</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25832-2025</t>
        </is>
      </c>
      <c r="B2080" t="inlineStr">
        <is>
          <t>avverkningsanmälan</t>
        </is>
      </c>
      <c r="C2080" t="inlineStr">
        <is>
          <t>Föryngringsavverkning</t>
        </is>
      </c>
      <c r="D2080" s="1" t="n">
        <v>45804</v>
      </c>
      <c r="E2080" s="1" t="n">
        <v>46326</v>
      </c>
      <c r="F2080" t="inlineStr">
        <is>
          <t>GÄVLEBORGS LÄN</t>
        </is>
      </c>
      <c r="G2080" t="inlineStr">
        <is>
          <t>LJUSDAL</t>
        </is>
      </c>
      <c r="H2080" t="inlineStr">
        <is>
          <t>Holmen skog AB</t>
        </is>
      </c>
      <c r="I2080" t="n">
        <v>23.1</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71249-2021</t>
        </is>
      </c>
      <c r="B2081" t="inlineStr">
        <is>
          <t>avverkningsanmälan</t>
        </is>
      </c>
      <c r="C2081" t="inlineStr">
        <is>
          <t>Föryngringsavverkning</t>
        </is>
      </c>
      <c r="D2081" s="1" t="n">
        <v>44539</v>
      </c>
      <c r="E2081" s="1" t="n">
        <v>46326</v>
      </c>
      <c r="F2081" t="inlineStr">
        <is>
          <t>GÄVLEBORGS LÄN</t>
        </is>
      </c>
      <c r="G2081" t="inlineStr">
        <is>
          <t>GÄVLE</t>
        </is>
      </c>
      <c r="I2081" t="n">
        <v>2.1</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26195-2025</t>
        </is>
      </c>
      <c r="B2082" t="inlineStr">
        <is>
          <t>avverkningsanmälan</t>
        </is>
      </c>
      <c r="C2082" t="inlineStr">
        <is>
          <t>Föryngringsavverkning</t>
        </is>
      </c>
      <c r="D2082" s="1" t="n">
        <v>45805</v>
      </c>
      <c r="E2082" s="1" t="n">
        <v>46326</v>
      </c>
      <c r="F2082" t="inlineStr">
        <is>
          <t>GÄVLEBORGS LÄN</t>
        </is>
      </c>
      <c r="G2082" t="inlineStr">
        <is>
          <t>OCKELBO</t>
        </is>
      </c>
      <c r="I2082" t="n">
        <v>1.8</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32149-2024</t>
        </is>
      </c>
      <c r="B2083" t="inlineStr">
        <is>
          <t>avverkningsanmälan</t>
        </is>
      </c>
      <c r="C2083" t="inlineStr">
        <is>
          <t>Avverkning för annat ändamål</t>
        </is>
      </c>
      <c r="D2083" s="1" t="n">
        <v>45511</v>
      </c>
      <c r="E2083" s="1" t="n">
        <v>46326</v>
      </c>
      <c r="F2083" t="inlineStr">
        <is>
          <t>GÄVLEBORGS LÄN</t>
        </is>
      </c>
      <c r="G2083" t="inlineStr">
        <is>
          <t>NORDANSTIG</t>
        </is>
      </c>
      <c r="I2083" t="n">
        <v>1.9</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25993-2025</t>
        </is>
      </c>
      <c r="B2084" t="inlineStr">
        <is>
          <t>avverkningsanmälan</t>
        </is>
      </c>
      <c r="C2084" t="inlineStr">
        <is>
          <t>Föryngringsavverkning</t>
        </is>
      </c>
      <c r="D2084" s="1" t="n">
        <v>45804</v>
      </c>
      <c r="E2084" s="1" t="n">
        <v>46326</v>
      </c>
      <c r="F2084" t="inlineStr">
        <is>
          <t>GÄVLEBORGS LÄN</t>
        </is>
      </c>
      <c r="G2084" t="inlineStr">
        <is>
          <t>LJUSDAL</t>
        </is>
      </c>
      <c r="H2084" t="inlineStr">
        <is>
          <t>Holmen skog AB</t>
        </is>
      </c>
      <c r="I2084" t="n">
        <v>26.6</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26294-2025</t>
        </is>
      </c>
      <c r="B2085" t="inlineStr">
        <is>
          <t>avverkningsanmälan</t>
        </is>
      </c>
      <c r="C2085" t="inlineStr">
        <is>
          <t>Föryngringsavverkning</t>
        </is>
      </c>
      <c r="D2085" s="1" t="n">
        <v>45805</v>
      </c>
      <c r="E2085" s="1" t="n">
        <v>46326</v>
      </c>
      <c r="F2085" t="inlineStr">
        <is>
          <t>GÄVLEBORGS LÄN</t>
        </is>
      </c>
      <c r="G2085" t="inlineStr">
        <is>
          <t>SANDVIKEN</t>
        </is>
      </c>
      <c r="H2085" t="inlineStr">
        <is>
          <t>Sveaskog</t>
        </is>
      </c>
      <c r="I2085" t="n">
        <v>3.1</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26323-2025</t>
        </is>
      </c>
      <c r="B2086" t="inlineStr">
        <is>
          <t>avverkningsanmälan</t>
        </is>
      </c>
      <c r="C2086" t="inlineStr">
        <is>
          <t>Föryngringsavverkning</t>
        </is>
      </c>
      <c r="D2086" s="1" t="n">
        <v>45805</v>
      </c>
      <c r="E2086" s="1" t="n">
        <v>46326</v>
      </c>
      <c r="F2086" t="inlineStr">
        <is>
          <t>GÄVLEBORGS LÄN</t>
        </is>
      </c>
      <c r="G2086" t="inlineStr">
        <is>
          <t>BOLLNÄS</t>
        </is>
      </c>
      <c r="I2086" t="n">
        <v>2.2</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16968-2023</t>
        </is>
      </c>
      <c r="B2087" t="inlineStr">
        <is>
          <t>avverkningsanmälan</t>
        </is>
      </c>
      <c r="C2087" t="inlineStr">
        <is>
          <t>Föryngringsavverkning</t>
        </is>
      </c>
      <c r="D2087" s="1" t="n">
        <v>45033</v>
      </c>
      <c r="E2087" s="1" t="n">
        <v>46326</v>
      </c>
      <c r="F2087" t="inlineStr">
        <is>
          <t>GÄVLEBORGS LÄN</t>
        </is>
      </c>
      <c r="G2087" t="inlineStr">
        <is>
          <t>OVANÅKER</t>
        </is>
      </c>
      <c r="I2087" t="n">
        <v>1.5</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9935-2022</t>
        </is>
      </c>
      <c r="B2088" t="inlineStr">
        <is>
          <t>avverkningsanmälan</t>
        </is>
      </c>
      <c r="C2088" t="inlineStr">
        <is>
          <t>Föryngringsavverkning</t>
        </is>
      </c>
      <c r="D2088" s="1" t="n">
        <v>44620</v>
      </c>
      <c r="E2088" s="1" t="n">
        <v>46326</v>
      </c>
      <c r="F2088" t="inlineStr">
        <is>
          <t>GÄVLEBORGS LÄN</t>
        </is>
      </c>
      <c r="G2088" t="inlineStr">
        <is>
          <t>LJUSDAL</t>
        </is>
      </c>
      <c r="I2088" t="n">
        <v>1.8</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26268-2025</t>
        </is>
      </c>
      <c r="B2089" t="inlineStr">
        <is>
          <t>avverkningsanmälan</t>
        </is>
      </c>
      <c r="C2089" t="inlineStr">
        <is>
          <t>Föryngringsavverkning</t>
        </is>
      </c>
      <c r="D2089" s="1" t="n">
        <v>45805</v>
      </c>
      <c r="E2089" s="1" t="n">
        <v>46326</v>
      </c>
      <c r="F2089" t="inlineStr">
        <is>
          <t>GÄVLEBORGS LÄN</t>
        </is>
      </c>
      <c r="G2089" t="inlineStr">
        <is>
          <t>LJUSDAL</t>
        </is>
      </c>
      <c r="H2089" t="inlineStr">
        <is>
          <t>Kommuner</t>
        </is>
      </c>
      <c r="I2089" t="n">
        <v>4.9</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26308-2025</t>
        </is>
      </c>
      <c r="B2090" t="inlineStr">
        <is>
          <t>avverkningsanmälan</t>
        </is>
      </c>
      <c r="C2090" t="inlineStr">
        <is>
          <t>Föryngringsavverkning</t>
        </is>
      </c>
      <c r="D2090" s="1" t="n">
        <v>45805</v>
      </c>
      <c r="E2090" s="1" t="n">
        <v>46326</v>
      </c>
      <c r="F2090" t="inlineStr">
        <is>
          <t>GÄVLEBORGS LÄN</t>
        </is>
      </c>
      <c r="G2090" t="inlineStr">
        <is>
          <t>BOLLNÄS</t>
        </is>
      </c>
      <c r="I2090" t="n">
        <v>1.3</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24994-2024</t>
        </is>
      </c>
      <c r="B2091" t="inlineStr">
        <is>
          <t>avverkningsanmälan</t>
        </is>
      </c>
      <c r="C2091" t="inlineStr">
        <is>
          <t>Avverkning för annat ändamål</t>
        </is>
      </c>
      <c r="D2091" s="1" t="n">
        <v>45461</v>
      </c>
      <c r="E2091" s="1" t="n">
        <v>46326</v>
      </c>
      <c r="F2091" t="inlineStr">
        <is>
          <t>GÄVLEBORGS LÄN</t>
        </is>
      </c>
      <c r="G2091" t="inlineStr">
        <is>
          <t>BOLLNÄS</t>
        </is>
      </c>
      <c r="I2091" t="n">
        <v>0.8</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24372-2023</t>
        </is>
      </c>
      <c r="B2092" t="inlineStr">
        <is>
          <t>avverkningsanmälan</t>
        </is>
      </c>
      <c r="C2092" t="inlineStr">
        <is>
          <t>Föryngringsavverkning</t>
        </is>
      </c>
      <c r="D2092" s="1" t="n">
        <v>45082</v>
      </c>
      <c r="E2092" s="1" t="n">
        <v>46326</v>
      </c>
      <c r="F2092" t="inlineStr">
        <is>
          <t>GÄVLEBORGS LÄN</t>
        </is>
      </c>
      <c r="G2092" t="inlineStr">
        <is>
          <t>HUDIKSVALL</t>
        </is>
      </c>
      <c r="I2092" t="n">
        <v>5.9</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56209-2023</t>
        </is>
      </c>
      <c r="B2093" t="inlineStr">
        <is>
          <t>avverkningsanmälan</t>
        </is>
      </c>
      <c r="C2093" t="inlineStr">
        <is>
          <t>Föryngringsavverkning</t>
        </is>
      </c>
      <c r="D2093" s="1" t="n">
        <v>45240</v>
      </c>
      <c r="E2093" s="1" t="n">
        <v>46326</v>
      </c>
      <c r="F2093" t="inlineStr">
        <is>
          <t>GÄVLEBORGS LÄN</t>
        </is>
      </c>
      <c r="G2093" t="inlineStr">
        <is>
          <t>BOLLNÄS</t>
        </is>
      </c>
      <c r="I2093" t="n">
        <v>0.7</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26266-2025</t>
        </is>
      </c>
      <c r="B2094" t="inlineStr">
        <is>
          <t>avverkningsanmälan</t>
        </is>
      </c>
      <c r="C2094" t="inlineStr">
        <is>
          <t>Föryngringsavverkning</t>
        </is>
      </c>
      <c r="D2094" s="1" t="n">
        <v>45805</v>
      </c>
      <c r="E2094" s="1" t="n">
        <v>46326</v>
      </c>
      <c r="F2094" t="inlineStr">
        <is>
          <t>GÄVLEBORGS LÄN</t>
        </is>
      </c>
      <c r="G2094" t="inlineStr">
        <is>
          <t>SÖDERHAMN</t>
        </is>
      </c>
      <c r="I2094" t="n">
        <v>2.1</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38673-2025</t>
        </is>
      </c>
      <c r="B2095" t="inlineStr">
        <is>
          <t>avverkningsanmälan</t>
        </is>
      </c>
      <c r="C2095" t="inlineStr">
        <is>
          <t>Föryngringsavverkning</t>
        </is>
      </c>
      <c r="D2095" s="1" t="n">
        <v>45884</v>
      </c>
      <c r="E2095" s="1" t="n">
        <v>46326</v>
      </c>
      <c r="F2095" t="inlineStr">
        <is>
          <t>GÄVLEBORGS LÄN</t>
        </is>
      </c>
      <c r="G2095" t="inlineStr">
        <is>
          <t>SANDVIKEN</t>
        </is>
      </c>
      <c r="I2095" t="n">
        <v>1.5</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26289-2025</t>
        </is>
      </c>
      <c r="B2096" t="inlineStr">
        <is>
          <t>avverkningsanmälan</t>
        </is>
      </c>
      <c r="C2096" t="inlineStr">
        <is>
          <t>Föryngringsavverkning</t>
        </is>
      </c>
      <c r="D2096" s="1" t="n">
        <v>45805</v>
      </c>
      <c r="E2096" s="1" t="n">
        <v>46326</v>
      </c>
      <c r="F2096" t="inlineStr">
        <is>
          <t>GÄVLEBORGS LÄN</t>
        </is>
      </c>
      <c r="G2096" t="inlineStr">
        <is>
          <t>BOLLNÄS</t>
        </is>
      </c>
      <c r="I2096" t="n">
        <v>0.8</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11393-2023</t>
        </is>
      </c>
      <c r="B2097" t="inlineStr">
        <is>
          <t>avverkningsanmälan</t>
        </is>
      </c>
      <c r="C2097" t="inlineStr">
        <is>
          <t>Föryngringsavverkning</t>
        </is>
      </c>
      <c r="D2097" s="1" t="n">
        <v>44988</v>
      </c>
      <c r="E2097" s="1" t="n">
        <v>46326</v>
      </c>
      <c r="F2097" t="inlineStr">
        <is>
          <t>GÄVLEBORGS LÄN</t>
        </is>
      </c>
      <c r="G2097" t="inlineStr">
        <is>
          <t>SANDVIKEN</t>
        </is>
      </c>
      <c r="I2097" t="n">
        <v>1.3</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58370-2024</t>
        </is>
      </c>
      <c r="B2098" t="inlineStr">
        <is>
          <t>avverkningsanmälan</t>
        </is>
      </c>
      <c r="C2098" t="inlineStr">
        <is>
          <t>Föryngringsavverkning</t>
        </is>
      </c>
      <c r="D2098" s="1" t="n">
        <v>45632</v>
      </c>
      <c r="E2098" s="1" t="n">
        <v>46326</v>
      </c>
      <c r="F2098" t="inlineStr">
        <is>
          <t>GÄVLEBORGS LÄN</t>
        </is>
      </c>
      <c r="G2098" t="inlineStr">
        <is>
          <t>GÄVLE</t>
        </is>
      </c>
      <c r="I2098" t="n">
        <v>1.8</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25987-2025</t>
        </is>
      </c>
      <c r="B2099" t="inlineStr">
        <is>
          <t>avverkningsanmälan</t>
        </is>
      </c>
      <c r="C2099" t="inlineStr">
        <is>
          <t>Föryngringsavverkning</t>
        </is>
      </c>
      <c r="D2099" s="1" t="n">
        <v>45804</v>
      </c>
      <c r="E2099" s="1" t="n">
        <v>46326</v>
      </c>
      <c r="F2099" t="inlineStr">
        <is>
          <t>GÄVLEBORGS LÄN</t>
        </is>
      </c>
      <c r="G2099" t="inlineStr">
        <is>
          <t>BOLLNÄS</t>
        </is>
      </c>
      <c r="H2099" t="inlineStr">
        <is>
          <t>Bergvik skog väst AB</t>
        </is>
      </c>
      <c r="I2099" t="n">
        <v>1.2</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4142-2023</t>
        </is>
      </c>
      <c r="B2100" t="inlineStr">
        <is>
          <t>avverkningsanmälan</t>
        </is>
      </c>
      <c r="C2100" t="inlineStr">
        <is>
          <t>Föryngringsavverkning</t>
        </is>
      </c>
      <c r="D2100" s="1" t="n">
        <v>44953</v>
      </c>
      <c r="E2100" s="1" t="n">
        <v>46326</v>
      </c>
      <c r="F2100" t="inlineStr">
        <is>
          <t>GÄVLEBORGS LÄN</t>
        </is>
      </c>
      <c r="G2100" t="inlineStr">
        <is>
          <t>NORDANSTIG</t>
        </is>
      </c>
      <c r="H2100" t="inlineStr">
        <is>
          <t>Holmen skog AB</t>
        </is>
      </c>
      <c r="I2100" t="n">
        <v>1.6</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20016-2023</t>
        </is>
      </c>
      <c r="B2101" t="inlineStr">
        <is>
          <t>avverkningsanmälan</t>
        </is>
      </c>
      <c r="C2101" t="inlineStr">
        <is>
          <t>Föryngringsavverkning</t>
        </is>
      </c>
      <c r="D2101" s="1" t="n">
        <v>45054</v>
      </c>
      <c r="E2101" s="1" t="n">
        <v>46326</v>
      </c>
      <c r="F2101" t="inlineStr">
        <is>
          <t>GÄVLEBORGS LÄN</t>
        </is>
      </c>
      <c r="G2101" t="inlineStr">
        <is>
          <t>LJUSDAL</t>
        </is>
      </c>
      <c r="H2101" t="inlineStr">
        <is>
          <t>Kommuner</t>
        </is>
      </c>
      <c r="I2101" t="n">
        <v>2.1</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11432-2023</t>
        </is>
      </c>
      <c r="B2102" t="inlineStr">
        <is>
          <t>avverkningsanmälan</t>
        </is>
      </c>
      <c r="C2102" t="inlineStr">
        <is>
          <t>Föryngringsavverkning</t>
        </is>
      </c>
      <c r="D2102" s="1" t="n">
        <v>44993</v>
      </c>
      <c r="E2102" s="1" t="n">
        <v>46326</v>
      </c>
      <c r="F2102" t="inlineStr">
        <is>
          <t>GÄVLEBORGS LÄN</t>
        </is>
      </c>
      <c r="G2102" t="inlineStr">
        <is>
          <t>HUDIKSVALL</t>
        </is>
      </c>
      <c r="I2102" t="n">
        <v>6.3</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38846-2025</t>
        </is>
      </c>
      <c r="B2103" t="inlineStr">
        <is>
          <t>avverkningsanmälan</t>
        </is>
      </c>
      <c r="C2103" t="inlineStr">
        <is>
          <t>Föryngringsavverkning</t>
        </is>
      </c>
      <c r="D2103" s="1" t="n">
        <v>45887</v>
      </c>
      <c r="E2103" s="1" t="n">
        <v>46326</v>
      </c>
      <c r="F2103" t="inlineStr">
        <is>
          <t>GÄVLEBORGS LÄN</t>
        </is>
      </c>
      <c r="G2103" t="inlineStr">
        <is>
          <t>SANDVIKEN</t>
        </is>
      </c>
      <c r="H2103" t="inlineStr">
        <is>
          <t>Sveaskog</t>
        </is>
      </c>
      <c r="I2103" t="n">
        <v>0.9</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25756-2025</t>
        </is>
      </c>
      <c r="B2104" t="inlineStr">
        <is>
          <t>avverkningsanmälan</t>
        </is>
      </c>
      <c r="C2104" t="inlineStr">
        <is>
          <t>Föryngringsavverkning</t>
        </is>
      </c>
      <c r="D2104" s="1" t="n">
        <v>45804</v>
      </c>
      <c r="E2104" s="1" t="n">
        <v>46326</v>
      </c>
      <c r="F2104" t="inlineStr">
        <is>
          <t>GÄVLEBORGS LÄN</t>
        </is>
      </c>
      <c r="G2104" t="inlineStr">
        <is>
          <t>LJUSDAL</t>
        </is>
      </c>
      <c r="H2104" t="inlineStr">
        <is>
          <t>Holmen skog AB</t>
        </is>
      </c>
      <c r="I2104" t="n">
        <v>7.5</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25878-2025</t>
        </is>
      </c>
      <c r="B2105" t="inlineStr">
        <is>
          <t>avverkningsanmälan</t>
        </is>
      </c>
      <c r="C2105" t="inlineStr">
        <is>
          <t>Föryngringsavverkning</t>
        </is>
      </c>
      <c r="D2105" s="1" t="n">
        <v>45804</v>
      </c>
      <c r="E2105" s="1" t="n">
        <v>46326</v>
      </c>
      <c r="F2105" t="inlineStr">
        <is>
          <t>GÄVLEBORGS LÄN</t>
        </is>
      </c>
      <c r="G2105" t="inlineStr">
        <is>
          <t>GÄVLE</t>
        </is>
      </c>
      <c r="H2105" t="inlineStr">
        <is>
          <t>Bergvik skog öst AB</t>
        </is>
      </c>
      <c r="I2105" t="n">
        <v>0.4</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38428-2023</t>
        </is>
      </c>
      <c r="B2106" t="inlineStr">
        <is>
          <t>avverkningsanmälan</t>
        </is>
      </c>
      <c r="C2106" t="inlineStr">
        <is>
          <t>Föryngringsavverkning</t>
        </is>
      </c>
      <c r="D2106" s="1" t="n">
        <v>45162</v>
      </c>
      <c r="E2106" s="1" t="n">
        <v>46326</v>
      </c>
      <c r="F2106" t="inlineStr">
        <is>
          <t>GÄVLEBORGS LÄN</t>
        </is>
      </c>
      <c r="G2106" t="inlineStr">
        <is>
          <t>SANDVIKEN</t>
        </is>
      </c>
      <c r="I2106" t="n">
        <v>1.9</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26187-2025</t>
        </is>
      </c>
      <c r="B2107" t="inlineStr">
        <is>
          <t>avverkningsanmälan</t>
        </is>
      </c>
      <c r="C2107" t="inlineStr">
        <is>
          <t>Föryngringsavverkning</t>
        </is>
      </c>
      <c r="D2107" s="1" t="n">
        <v>45805</v>
      </c>
      <c r="E2107" s="1" t="n">
        <v>46326</v>
      </c>
      <c r="F2107" t="inlineStr">
        <is>
          <t>GÄVLEBORGS LÄN</t>
        </is>
      </c>
      <c r="G2107" t="inlineStr">
        <is>
          <t>SÖDERHAMN</t>
        </is>
      </c>
      <c r="I2107" t="n">
        <v>2.4</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38431-2023</t>
        </is>
      </c>
      <c r="B2108" t="inlineStr">
        <is>
          <t>avverkningsanmälan</t>
        </is>
      </c>
      <c r="C2108" t="inlineStr">
        <is>
          <t>Föryngringsavverkning</t>
        </is>
      </c>
      <c r="D2108" s="1" t="n">
        <v>45162</v>
      </c>
      <c r="E2108" s="1" t="n">
        <v>46326</v>
      </c>
      <c r="F2108" t="inlineStr">
        <is>
          <t>GÄVLEBORGS LÄN</t>
        </is>
      </c>
      <c r="G2108" t="inlineStr">
        <is>
          <t>SANDVIKEN</t>
        </is>
      </c>
      <c r="I2108" t="n">
        <v>1.1</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38449-2023</t>
        </is>
      </c>
      <c r="B2109" t="inlineStr">
        <is>
          <t>avverkningsanmälan</t>
        </is>
      </c>
      <c r="C2109" t="inlineStr">
        <is>
          <t>Föryngringsavverkning</t>
        </is>
      </c>
      <c r="D2109" s="1" t="n">
        <v>45162</v>
      </c>
      <c r="E2109" s="1" t="n">
        <v>46326</v>
      </c>
      <c r="F2109" t="inlineStr">
        <is>
          <t>GÄVLEBORGS LÄN</t>
        </is>
      </c>
      <c r="G2109" t="inlineStr">
        <is>
          <t>SANDVIKEN</t>
        </is>
      </c>
      <c r="I2109" t="n">
        <v>1.9</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38558-2023</t>
        </is>
      </c>
      <c r="B2110" t="inlineStr">
        <is>
          <t>avverkningsanmälan</t>
        </is>
      </c>
      <c r="C2110" t="inlineStr">
        <is>
          <t>Föryngringsavverkning</t>
        </is>
      </c>
      <c r="D2110" s="1" t="n">
        <v>45162</v>
      </c>
      <c r="E2110" s="1" t="n">
        <v>46326</v>
      </c>
      <c r="F2110" t="inlineStr">
        <is>
          <t>GÄVLEBORGS LÄN</t>
        </is>
      </c>
      <c r="G2110" t="inlineStr">
        <is>
          <t>GÄVLE</t>
        </is>
      </c>
      <c r="I2110" t="n">
        <v>1.2</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10001-2025</t>
        </is>
      </c>
      <c r="B2111" t="inlineStr">
        <is>
          <t>avverkningsanmälan</t>
        </is>
      </c>
      <c r="C2111" t="inlineStr">
        <is>
          <t>Föryngringsavverkning</t>
        </is>
      </c>
      <c r="D2111" s="1" t="n">
        <v>45719</v>
      </c>
      <c r="E2111" s="1" t="n">
        <v>46326</v>
      </c>
      <c r="F2111" t="inlineStr">
        <is>
          <t>GÄVLEBORGS LÄN</t>
        </is>
      </c>
      <c r="G2111" t="inlineStr">
        <is>
          <t>GÄVLE</t>
        </is>
      </c>
      <c r="I2111" t="n">
        <v>0.5</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1532-2024</t>
        </is>
      </c>
      <c r="B2112" t="inlineStr">
        <is>
          <t>avverkningsanmälan</t>
        </is>
      </c>
      <c r="C2112" t="inlineStr">
        <is>
          <t>Föryngringsavverkning</t>
        </is>
      </c>
      <c r="D2112" s="1" t="n">
        <v>45306</v>
      </c>
      <c r="E2112" s="1" t="n">
        <v>46326</v>
      </c>
      <c r="F2112" t="inlineStr">
        <is>
          <t>GÄVLEBORGS LÄN</t>
        </is>
      </c>
      <c r="G2112" t="inlineStr">
        <is>
          <t>NORDANSTIG</t>
        </is>
      </c>
      <c r="I2112" t="n">
        <v>1.2</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26103-2025</t>
        </is>
      </c>
      <c r="B2113" t="inlineStr">
        <is>
          <t>avverkningsanmälan</t>
        </is>
      </c>
      <c r="C2113" t="inlineStr">
        <is>
          <t>Föryngringsavverkning</t>
        </is>
      </c>
      <c r="D2113" s="1" t="n">
        <v>45805</v>
      </c>
      <c r="E2113" s="1" t="n">
        <v>46326</v>
      </c>
      <c r="F2113" t="inlineStr">
        <is>
          <t>GÄVLEBORGS LÄN</t>
        </is>
      </c>
      <c r="G2113" t="inlineStr">
        <is>
          <t>LJUSDAL</t>
        </is>
      </c>
      <c r="I2113" t="n">
        <v>2</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38573-2025</t>
        </is>
      </c>
      <c r="B2114" t="inlineStr">
        <is>
          <t>avverkningsanmälan</t>
        </is>
      </c>
      <c r="C2114" t="inlineStr">
        <is>
          <t>Föryngringsavverkning</t>
        </is>
      </c>
      <c r="D2114" s="1" t="n">
        <v>45884</v>
      </c>
      <c r="E2114" s="1" t="n">
        <v>46326</v>
      </c>
      <c r="F2114" t="inlineStr">
        <is>
          <t>GÄVLEBORGS LÄN</t>
        </is>
      </c>
      <c r="G2114" t="inlineStr">
        <is>
          <t>LJUSDAL</t>
        </is>
      </c>
      <c r="I2114" t="n">
        <v>1.8</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61408-2023</t>
        </is>
      </c>
      <c r="B2115" t="inlineStr">
        <is>
          <t>avverkningsanmälan</t>
        </is>
      </c>
      <c r="C2115" t="inlineStr">
        <is>
          <t>Föryngringsavverkning</t>
        </is>
      </c>
      <c r="D2115" s="1" t="n">
        <v>45264</v>
      </c>
      <c r="E2115" s="1" t="n">
        <v>46326</v>
      </c>
      <c r="F2115" t="inlineStr">
        <is>
          <t>GÄVLEBORGS LÄN</t>
        </is>
      </c>
      <c r="G2115" t="inlineStr">
        <is>
          <t>SÖDERHAMN</t>
        </is>
      </c>
      <c r="I2115" t="n">
        <v>0.8</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26402-2025</t>
        </is>
      </c>
      <c r="B2116" t="inlineStr">
        <is>
          <t>avverkningsanmälan</t>
        </is>
      </c>
      <c r="C2116" t="inlineStr">
        <is>
          <t>Föryngringsavverkning</t>
        </is>
      </c>
      <c r="D2116" s="1" t="n">
        <v>45807</v>
      </c>
      <c r="E2116" s="1" t="n">
        <v>46326</v>
      </c>
      <c r="F2116" t="inlineStr">
        <is>
          <t>GÄVLEBORGS LÄN</t>
        </is>
      </c>
      <c r="G2116" t="inlineStr">
        <is>
          <t>HUDIKSVALL</t>
        </is>
      </c>
      <c r="I2116" t="n">
        <v>1</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26557-2025</t>
        </is>
      </c>
      <c r="B2117" t="inlineStr">
        <is>
          <t>avverkningsanmälan</t>
        </is>
      </c>
      <c r="C2117" t="inlineStr">
        <is>
          <t>Föryngringsavverkning</t>
        </is>
      </c>
      <c r="D2117" s="1" t="n">
        <v>45807</v>
      </c>
      <c r="E2117" s="1" t="n">
        <v>46326</v>
      </c>
      <c r="F2117" t="inlineStr">
        <is>
          <t>GÄVLEBORGS LÄN</t>
        </is>
      </c>
      <c r="G2117" t="inlineStr">
        <is>
          <t>LJUSDAL</t>
        </is>
      </c>
      <c r="I2117" t="n">
        <v>4.4</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61977-2022</t>
        </is>
      </c>
      <c r="B2118" t="inlineStr">
        <is>
          <t>avverkningsanmälan</t>
        </is>
      </c>
      <c r="C2118" t="inlineStr">
        <is>
          <t>Föryngringsavverkning</t>
        </is>
      </c>
      <c r="D2118" s="1" t="n">
        <v>44918</v>
      </c>
      <c r="E2118" s="1" t="n">
        <v>46326</v>
      </c>
      <c r="F2118" t="inlineStr">
        <is>
          <t>GÄVLEBORGS LÄN</t>
        </is>
      </c>
      <c r="G2118" t="inlineStr">
        <is>
          <t>HUDIKSVALL</t>
        </is>
      </c>
      <c r="I2118" t="n">
        <v>1</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24927-2025</t>
        </is>
      </c>
      <c r="B2119" t="inlineStr">
        <is>
          <t>avverkningsanmälan</t>
        </is>
      </c>
      <c r="C2119" t="inlineStr">
        <is>
          <t>Föryngringsavverkning</t>
        </is>
      </c>
      <c r="D2119" s="1" t="n">
        <v>45799</v>
      </c>
      <c r="E2119" s="1" t="n">
        <v>46326</v>
      </c>
      <c r="F2119" t="inlineStr">
        <is>
          <t>GÄVLEBORGS LÄN</t>
        </is>
      </c>
      <c r="G2119" t="inlineStr">
        <is>
          <t>OCKELBO</t>
        </is>
      </c>
      <c r="H2119" t="inlineStr">
        <is>
          <t>Bergvik skog väst AB</t>
        </is>
      </c>
      <c r="I2119" t="n">
        <v>2</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61419-2024</t>
        </is>
      </c>
      <c r="B2120" t="inlineStr">
        <is>
          <t>avverkningsanmälan</t>
        </is>
      </c>
      <c r="C2120" t="inlineStr">
        <is>
          <t>Avverkning för annat ändamål</t>
        </is>
      </c>
      <c r="D2120" s="1" t="n">
        <v>45646</v>
      </c>
      <c r="E2120" s="1" t="n">
        <v>46326</v>
      </c>
      <c r="F2120" t="inlineStr">
        <is>
          <t>GÄVLEBORGS LÄN</t>
        </is>
      </c>
      <c r="G2120" t="inlineStr">
        <is>
          <t>NORDANSTIG</t>
        </is>
      </c>
      <c r="I2120" t="n">
        <v>0.5</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53137-2024</t>
        </is>
      </c>
      <c r="B2121" t="inlineStr">
        <is>
          <t>avverkningsanmälan</t>
        </is>
      </c>
      <c r="C2121" t="inlineStr">
        <is>
          <t>Föryngringsavverkning</t>
        </is>
      </c>
      <c r="D2121" s="1" t="n">
        <v>45611</v>
      </c>
      <c r="E2121" s="1" t="n">
        <v>46326</v>
      </c>
      <c r="F2121" t="inlineStr">
        <is>
          <t>GÄVLEBORGS LÄN</t>
        </is>
      </c>
      <c r="G2121" t="inlineStr">
        <is>
          <t>OCKELBO</t>
        </is>
      </c>
      <c r="H2121" t="inlineStr">
        <is>
          <t>Bergvik skog väst AB</t>
        </is>
      </c>
      <c r="I2121" t="n">
        <v>5.5</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26403-2025</t>
        </is>
      </c>
      <c r="B2122" t="inlineStr">
        <is>
          <t>avverkningsanmälan</t>
        </is>
      </c>
      <c r="C2122" t="inlineStr">
        <is>
          <t>Föryngringsavverkning</t>
        </is>
      </c>
      <c r="D2122" s="1" t="n">
        <v>45807</v>
      </c>
      <c r="E2122" s="1" t="n">
        <v>46326</v>
      </c>
      <c r="F2122" t="inlineStr">
        <is>
          <t>GÄVLEBORGS LÄN</t>
        </is>
      </c>
      <c r="G2122" t="inlineStr">
        <is>
          <t>HUDIKSVALL</t>
        </is>
      </c>
      <c r="I2122" t="n">
        <v>1</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20200-2023</t>
        </is>
      </c>
      <c r="B2123" t="inlineStr">
        <is>
          <t>avverkningsanmälan</t>
        </is>
      </c>
      <c r="C2123" t="inlineStr">
        <is>
          <t>Föryngringsavverkning</t>
        </is>
      </c>
      <c r="D2123" s="1" t="n">
        <v>45055</v>
      </c>
      <c r="E2123" s="1" t="n">
        <v>46326</v>
      </c>
      <c r="F2123" t="inlineStr">
        <is>
          <t>GÄVLEBORGS LÄN</t>
        </is>
      </c>
      <c r="G2123" t="inlineStr">
        <is>
          <t>HUDIKSVALL</t>
        </is>
      </c>
      <c r="I2123" t="n">
        <v>0.9</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34128-2024</t>
        </is>
      </c>
      <c r="B2124" t="inlineStr">
        <is>
          <t>avverkningsanmälan</t>
        </is>
      </c>
      <c r="C2124" t="inlineStr">
        <is>
          <t>Föryngringsavverkning</t>
        </is>
      </c>
      <c r="D2124" s="1" t="n">
        <v>45524</v>
      </c>
      <c r="E2124" s="1" t="n">
        <v>46326</v>
      </c>
      <c r="F2124" t="inlineStr">
        <is>
          <t>GÄVLEBORGS LÄN</t>
        </is>
      </c>
      <c r="G2124" t="inlineStr">
        <is>
          <t>HUDIKSVALL</t>
        </is>
      </c>
      <c r="H2124" t="inlineStr">
        <is>
          <t>Holmen skog AB</t>
        </is>
      </c>
      <c r="I2124" t="n">
        <v>5</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33617-2023</t>
        </is>
      </c>
      <c r="B2125" t="inlineStr">
        <is>
          <t>avverkningsanmälan</t>
        </is>
      </c>
      <c r="C2125" t="inlineStr">
        <is>
          <t>Föryngringsavverkning</t>
        </is>
      </c>
      <c r="D2125" s="1" t="n">
        <v>45132</v>
      </c>
      <c r="E2125" s="1" t="n">
        <v>46326</v>
      </c>
      <c r="F2125" t="inlineStr">
        <is>
          <t>GÄVLEBORGS LÄN</t>
        </is>
      </c>
      <c r="G2125" t="inlineStr">
        <is>
          <t>OCKELBO</t>
        </is>
      </c>
      <c r="H2125" t="inlineStr">
        <is>
          <t>Bergvik skog väst AB</t>
        </is>
      </c>
      <c r="I2125" t="n">
        <v>1.4</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11668-2024</t>
        </is>
      </c>
      <c r="B2126" t="inlineStr">
        <is>
          <t>avverkningsanmälan</t>
        </is>
      </c>
      <c r="C2126" t="inlineStr">
        <is>
          <t>Föryngringsavverkning</t>
        </is>
      </c>
      <c r="D2126" s="1" t="n">
        <v>45373</v>
      </c>
      <c r="E2126" s="1" t="n">
        <v>46326</v>
      </c>
      <c r="F2126" t="inlineStr">
        <is>
          <t>GÄVLEBORGS LÄN</t>
        </is>
      </c>
      <c r="G2126" t="inlineStr">
        <is>
          <t>HUDIKSVALL</t>
        </is>
      </c>
      <c r="I2126" t="n">
        <v>0.7</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27027-2025</t>
        </is>
      </c>
      <c r="B2127" t="inlineStr">
        <is>
          <t>avverkningsanmälan</t>
        </is>
      </c>
      <c r="C2127" t="inlineStr">
        <is>
          <t>Föryngringsavverkning</t>
        </is>
      </c>
      <c r="D2127" s="1" t="n">
        <v>45811</v>
      </c>
      <c r="E2127" s="1" t="n">
        <v>46326</v>
      </c>
      <c r="F2127" t="inlineStr">
        <is>
          <t>GÄVLEBORGS LÄN</t>
        </is>
      </c>
      <c r="G2127" t="inlineStr">
        <is>
          <t>LJUSDAL</t>
        </is>
      </c>
      <c r="H2127" t="inlineStr">
        <is>
          <t>Holmen skog AB</t>
        </is>
      </c>
      <c r="I2127" t="n">
        <v>27.2</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27086-2025</t>
        </is>
      </c>
      <c r="B2128" t="inlineStr">
        <is>
          <t>avverkningsanmälan</t>
        </is>
      </c>
      <c r="C2128" t="inlineStr">
        <is>
          <t>Föryngringsavverkning</t>
        </is>
      </c>
      <c r="D2128" s="1" t="n">
        <v>45811</v>
      </c>
      <c r="E2128" s="1" t="n">
        <v>46326</v>
      </c>
      <c r="F2128" t="inlineStr">
        <is>
          <t>GÄVLEBORGS LÄN</t>
        </is>
      </c>
      <c r="G2128" t="inlineStr">
        <is>
          <t>LJUSDAL</t>
        </is>
      </c>
      <c r="H2128" t="inlineStr">
        <is>
          <t>Holmen skog AB</t>
        </is>
      </c>
      <c r="I2128" t="n">
        <v>8.9</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20231-2024</t>
        </is>
      </c>
      <c r="B2129" t="inlineStr">
        <is>
          <t>avverkningsanmälan</t>
        </is>
      </c>
      <c r="C2129" t="inlineStr">
        <is>
          <t>Avverkning för annat ändamål</t>
        </is>
      </c>
      <c r="D2129" s="1" t="n">
        <v>45434</v>
      </c>
      <c r="E2129" s="1" t="n">
        <v>46326</v>
      </c>
      <c r="F2129" t="inlineStr">
        <is>
          <t>GÄVLEBORGS LÄN</t>
        </is>
      </c>
      <c r="G2129" t="inlineStr">
        <is>
          <t>OCKELBO</t>
        </is>
      </c>
      <c r="I2129" t="n">
        <v>0.7</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28460-2022</t>
        </is>
      </c>
      <c r="B2130" t="inlineStr">
        <is>
          <t>avverkningsanmälan</t>
        </is>
      </c>
      <c r="C2130" t="inlineStr">
        <is>
          <t>Föryngringsavverkning</t>
        </is>
      </c>
      <c r="D2130" s="1" t="n">
        <v>44747</v>
      </c>
      <c r="E2130" s="1" t="n">
        <v>46326</v>
      </c>
      <c r="F2130" t="inlineStr">
        <is>
          <t>GÄVLEBORGS LÄN</t>
        </is>
      </c>
      <c r="G2130" t="inlineStr">
        <is>
          <t>LJUSDAL</t>
        </is>
      </c>
      <c r="I2130" t="n">
        <v>4</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24040-2025</t>
        </is>
      </c>
      <c r="B2131" t="inlineStr">
        <is>
          <t>avverkningsanmälan</t>
        </is>
      </c>
      <c r="C2131" t="inlineStr">
        <is>
          <t>Föryngringsavverkning</t>
        </is>
      </c>
      <c r="D2131" s="1" t="n">
        <v>45796</v>
      </c>
      <c r="E2131" s="1" t="n">
        <v>46326</v>
      </c>
      <c r="F2131" t="inlineStr">
        <is>
          <t>GÄVLEBORGS LÄN</t>
        </is>
      </c>
      <c r="G2131" t="inlineStr">
        <is>
          <t>HUDIKSVALL</t>
        </is>
      </c>
      <c r="H2131" t="inlineStr">
        <is>
          <t>Holmen skog AB</t>
        </is>
      </c>
      <c r="I2131" t="n">
        <v>16.3</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10074-2022</t>
        </is>
      </c>
      <c r="B2132" t="inlineStr">
        <is>
          <t>avverkningsanmälan</t>
        </is>
      </c>
      <c r="C2132" t="inlineStr">
        <is>
          <t>Föryngringsavverkning</t>
        </is>
      </c>
      <c r="D2132" s="1" t="n">
        <v>44621</v>
      </c>
      <c r="E2132" s="1" t="n">
        <v>46326</v>
      </c>
      <c r="F2132" t="inlineStr">
        <is>
          <t>GÄVLEBORGS LÄN</t>
        </is>
      </c>
      <c r="G2132" t="inlineStr">
        <is>
          <t>LJUSDAL</t>
        </is>
      </c>
      <c r="H2132" t="inlineStr">
        <is>
          <t>Kommuner</t>
        </is>
      </c>
      <c r="I2132" t="n">
        <v>1.8</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38741-2025</t>
        </is>
      </c>
      <c r="B2133" t="inlineStr">
        <is>
          <t>avverkningsanmälan</t>
        </is>
      </c>
      <c r="C2133" t="inlineStr">
        <is>
          <t>Föryngringsavverkning</t>
        </is>
      </c>
      <c r="D2133" s="1" t="n">
        <v>45887</v>
      </c>
      <c r="E2133" s="1" t="n">
        <v>46326</v>
      </c>
      <c r="F2133" t="inlineStr">
        <is>
          <t>GÄVLEBORGS LÄN</t>
        </is>
      </c>
      <c r="G2133" t="inlineStr">
        <is>
          <t>HOFORS</t>
        </is>
      </c>
      <c r="H2133" t="inlineStr">
        <is>
          <t>Sveaskog</t>
        </is>
      </c>
      <c r="I2133" t="n">
        <v>2.5</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59823-2024</t>
        </is>
      </c>
      <c r="B2134" t="inlineStr">
        <is>
          <t>avverkningsanmälan</t>
        </is>
      </c>
      <c r="C2134" t="inlineStr">
        <is>
          <t>Föryngringsavverkning</t>
        </is>
      </c>
      <c r="D2134" s="1" t="n">
        <v>45639</v>
      </c>
      <c r="E2134" s="1" t="n">
        <v>46326</v>
      </c>
      <c r="F2134" t="inlineStr">
        <is>
          <t>GÄVLEBORGS LÄN</t>
        </is>
      </c>
      <c r="G2134" t="inlineStr">
        <is>
          <t>HUDIKSVALL</t>
        </is>
      </c>
      <c r="I2134" t="n">
        <v>0.8</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62903-2023</t>
        </is>
      </c>
      <c r="B2135" t="inlineStr">
        <is>
          <t>avverkningsanmälan</t>
        </is>
      </c>
      <c r="C2135" t="inlineStr">
        <is>
          <t>Föryngringsavverkning</t>
        </is>
      </c>
      <c r="D2135" s="1" t="n">
        <v>45272</v>
      </c>
      <c r="E2135" s="1" t="n">
        <v>46326</v>
      </c>
      <c r="F2135" t="inlineStr">
        <is>
          <t>GÄVLEBORGS LÄN</t>
        </is>
      </c>
      <c r="G2135" t="inlineStr">
        <is>
          <t>SÖDERHAMN</t>
        </is>
      </c>
      <c r="I2135" t="n">
        <v>7.4</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30818-2024</t>
        </is>
      </c>
      <c r="B2136" t="inlineStr">
        <is>
          <t>avverkningsanmälan</t>
        </is>
      </c>
      <c r="C2136" t="inlineStr">
        <is>
          <t>Föryngringsavverkning</t>
        </is>
      </c>
      <c r="D2136" s="1" t="n">
        <v>45497</v>
      </c>
      <c r="E2136" s="1" t="n">
        <v>46326</v>
      </c>
      <c r="F2136" t="inlineStr">
        <is>
          <t>GÄVLEBORGS LÄN</t>
        </is>
      </c>
      <c r="G2136" t="inlineStr">
        <is>
          <t>LJUSDAL</t>
        </is>
      </c>
      <c r="H2136" t="inlineStr">
        <is>
          <t>Bergvik skog väst AB</t>
        </is>
      </c>
      <c r="I2136" t="n">
        <v>35</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33588-2024</t>
        </is>
      </c>
      <c r="B2137" t="inlineStr">
        <is>
          <t>avverkningsanmälan</t>
        </is>
      </c>
      <c r="C2137" t="inlineStr">
        <is>
          <t>Föryngringsavverkning</t>
        </is>
      </c>
      <c r="D2137" s="1" t="n">
        <v>45520</v>
      </c>
      <c r="E2137" s="1" t="n">
        <v>46326</v>
      </c>
      <c r="F2137" t="inlineStr">
        <is>
          <t>GÄVLEBORGS LÄN</t>
        </is>
      </c>
      <c r="G2137" t="inlineStr">
        <is>
          <t>HUDIKSVALL</t>
        </is>
      </c>
      <c r="H2137" t="inlineStr">
        <is>
          <t>Holmen skog AB</t>
        </is>
      </c>
      <c r="I2137" t="n">
        <v>0.8</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29812-2024</t>
        </is>
      </c>
      <c r="B2138" t="inlineStr">
        <is>
          <t>avverkningsanmälan</t>
        </is>
      </c>
      <c r="C2138" t="inlineStr">
        <is>
          <t>Föryngringsavverkning</t>
        </is>
      </c>
      <c r="D2138" s="1" t="n">
        <v>45485</v>
      </c>
      <c r="E2138" s="1" t="n">
        <v>46326</v>
      </c>
      <c r="F2138" t="inlineStr">
        <is>
          <t>GÄVLEBORGS LÄN</t>
        </is>
      </c>
      <c r="G2138" t="inlineStr">
        <is>
          <t>LJUSDAL</t>
        </is>
      </c>
      <c r="H2138" t="inlineStr">
        <is>
          <t>Allmännings- och besparingsskogar</t>
        </is>
      </c>
      <c r="I2138" t="n">
        <v>10.3</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33297-2024</t>
        </is>
      </c>
      <c r="B2139" t="inlineStr">
        <is>
          <t>avverkningsanmälan</t>
        </is>
      </c>
      <c r="C2139" t="inlineStr">
        <is>
          <t>Föryngringsavverkning</t>
        </is>
      </c>
      <c r="D2139" s="1" t="n">
        <v>45518</v>
      </c>
      <c r="E2139" s="1" t="n">
        <v>46326</v>
      </c>
      <c r="F2139" t="inlineStr">
        <is>
          <t>GÄVLEBORGS LÄN</t>
        </is>
      </c>
      <c r="G2139" t="inlineStr">
        <is>
          <t>LJUSDAL</t>
        </is>
      </c>
      <c r="I2139" t="n">
        <v>1.5</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27-2026</t>
        </is>
      </c>
      <c r="B2140" t="inlineStr">
        <is>
          <t>avverkningsanmälan</t>
        </is>
      </c>
      <c r="C2140" t="inlineStr">
        <is>
          <t>Föryngringsavverkning</t>
        </is>
      </c>
      <c r="D2140" s="1" t="n">
        <v>46024</v>
      </c>
      <c r="E2140" s="1" t="n">
        <v>46326</v>
      </c>
      <c r="F2140" t="inlineStr">
        <is>
          <t>GÄVLEBORGS LÄN</t>
        </is>
      </c>
      <c r="G2140" t="inlineStr">
        <is>
          <t>BOLLNÄS</t>
        </is>
      </c>
      <c r="I2140" t="n">
        <v>2.6</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61820-2024</t>
        </is>
      </c>
      <c r="B2141" t="inlineStr">
        <is>
          <t>avverkningsanmälan</t>
        </is>
      </c>
      <c r="C2141" t="inlineStr">
        <is>
          <t>Föryngringsavverkning</t>
        </is>
      </c>
      <c r="D2141" s="1" t="n">
        <v>45649</v>
      </c>
      <c r="E2141" s="1" t="n">
        <v>46326</v>
      </c>
      <c r="F2141" t="inlineStr">
        <is>
          <t>GÄVLEBORGS LÄN</t>
        </is>
      </c>
      <c r="G2141" t="inlineStr">
        <is>
          <t>SANDVIKEN</t>
        </is>
      </c>
      <c r="I2141" t="n">
        <v>11.1</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52120-2022</t>
        </is>
      </c>
      <c r="B2142" t="inlineStr">
        <is>
          <t>avverkningsanmälan</t>
        </is>
      </c>
      <c r="C2142" t="inlineStr">
        <is>
          <t>Föryngringsavverkning</t>
        </is>
      </c>
      <c r="D2142" s="1" t="n">
        <v>44873</v>
      </c>
      <c r="E2142" s="1" t="n">
        <v>46326</v>
      </c>
      <c r="F2142" t="inlineStr">
        <is>
          <t>GÄVLEBORGS LÄN</t>
        </is>
      </c>
      <c r="G2142" t="inlineStr">
        <is>
          <t>NORDANSTIG</t>
        </is>
      </c>
      <c r="I2142" t="n">
        <v>6.9</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43521-2024</t>
        </is>
      </c>
      <c r="B2143" t="inlineStr">
        <is>
          <t>avverkningsanmälan</t>
        </is>
      </c>
      <c r="C2143" t="inlineStr">
        <is>
          <t>Föryngringsavverkning</t>
        </is>
      </c>
      <c r="D2143" s="1" t="n">
        <v>45569</v>
      </c>
      <c r="E2143" s="1" t="n">
        <v>46326</v>
      </c>
      <c r="F2143" t="inlineStr">
        <is>
          <t>GÄVLEBORGS LÄN</t>
        </is>
      </c>
      <c r="G2143" t="inlineStr">
        <is>
          <t>OVANÅKER</t>
        </is>
      </c>
      <c r="I2143" t="n">
        <v>0.7</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43384-2024</t>
        </is>
      </c>
      <c r="B2144" t="inlineStr">
        <is>
          <t>avverkningsanmälan</t>
        </is>
      </c>
      <c r="C2144" t="inlineStr">
        <is>
          <t>Föryngringsavverkning</t>
        </is>
      </c>
      <c r="D2144" s="1" t="n">
        <v>45568</v>
      </c>
      <c r="E2144" s="1" t="n">
        <v>46326</v>
      </c>
      <c r="F2144" t="inlineStr">
        <is>
          <t>GÄVLEBORGS LÄN</t>
        </is>
      </c>
      <c r="G2144" t="inlineStr">
        <is>
          <t>BOLLNÄS</t>
        </is>
      </c>
      <c r="I2144" t="n">
        <v>2.2</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287-2026</t>
        </is>
      </c>
      <c r="B2145" t="inlineStr">
        <is>
          <t>avverkningsanmälan</t>
        </is>
      </c>
      <c r="C2145" t="inlineStr">
        <is>
          <t>Föryngringsavverkning</t>
        </is>
      </c>
      <c r="D2145" s="1" t="n">
        <v>46027</v>
      </c>
      <c r="E2145" s="1" t="n">
        <v>46326</v>
      </c>
      <c r="F2145" t="inlineStr">
        <is>
          <t>GÄVLEBORGS LÄN</t>
        </is>
      </c>
      <c r="G2145" t="inlineStr">
        <is>
          <t>OCKELBO</t>
        </is>
      </c>
      <c r="I2145" t="n">
        <v>5.1</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201-2026</t>
        </is>
      </c>
      <c r="B2146" t="inlineStr">
        <is>
          <t>avverkningsanmälan</t>
        </is>
      </c>
      <c r="C2146" t="inlineStr">
        <is>
          <t>Föryngringsavverkning</t>
        </is>
      </c>
      <c r="D2146" s="1" t="n">
        <v>46026</v>
      </c>
      <c r="E2146" s="1" t="n">
        <v>46326</v>
      </c>
      <c r="F2146" t="inlineStr">
        <is>
          <t>GÄVLEBORGS LÄN</t>
        </is>
      </c>
      <c r="G2146" t="inlineStr">
        <is>
          <t>SÖDERHAMN</t>
        </is>
      </c>
      <c r="I2146" t="n">
        <v>3.7</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61-2026</t>
        </is>
      </c>
      <c r="B2147" t="inlineStr">
        <is>
          <t>avverkningsanmälan</t>
        </is>
      </c>
      <c r="C2147" t="inlineStr">
        <is>
          <t>Föryngringsavverkning</t>
        </is>
      </c>
      <c r="D2147" s="1" t="n">
        <v>46024</v>
      </c>
      <c r="E2147" s="1" t="n">
        <v>46326</v>
      </c>
      <c r="F2147" t="inlineStr">
        <is>
          <t>GÄVLEBORGS LÄN</t>
        </is>
      </c>
      <c r="G2147" t="inlineStr">
        <is>
          <t>HUDIKSVALL</t>
        </is>
      </c>
      <c r="I2147" t="n">
        <v>3.5</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25265-2025</t>
        </is>
      </c>
      <c r="B2148" t="inlineStr">
        <is>
          <t>avverkningsanmälan</t>
        </is>
      </c>
      <c r="C2148" t="inlineStr">
        <is>
          <t>Föryngringsavverkning</t>
        </is>
      </c>
      <c r="D2148" s="1" t="n">
        <v>45800</v>
      </c>
      <c r="E2148" s="1" t="n">
        <v>46326</v>
      </c>
      <c r="F2148" t="inlineStr">
        <is>
          <t>GÄVLEBORGS LÄN</t>
        </is>
      </c>
      <c r="G2148" t="inlineStr">
        <is>
          <t>SANDVIKEN</t>
        </is>
      </c>
      <c r="I2148" t="n">
        <v>1.8</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21194-2024</t>
        </is>
      </c>
      <c r="B2149" t="inlineStr">
        <is>
          <t>avverkningsanmälan</t>
        </is>
      </c>
      <c r="C2149" t="inlineStr">
        <is>
          <t>Avverkning för annat ändamål</t>
        </is>
      </c>
      <c r="D2149" s="1" t="n">
        <v>45440</v>
      </c>
      <c r="E2149" s="1" t="n">
        <v>46326</v>
      </c>
      <c r="F2149" t="inlineStr">
        <is>
          <t>GÄVLEBORGS LÄN</t>
        </is>
      </c>
      <c r="G2149" t="inlineStr">
        <is>
          <t>LJUSDAL</t>
        </is>
      </c>
      <c r="I2149" t="n">
        <v>2.1</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43668-2024</t>
        </is>
      </c>
      <c r="B2150" t="inlineStr">
        <is>
          <t>avverkningsanmälan</t>
        </is>
      </c>
      <c r="C2150" t="inlineStr">
        <is>
          <t>Föryngringsavverkning</t>
        </is>
      </c>
      <c r="D2150" s="1" t="n">
        <v>45569</v>
      </c>
      <c r="E2150" s="1" t="n">
        <v>46326</v>
      </c>
      <c r="F2150" t="inlineStr">
        <is>
          <t>GÄVLEBORGS LÄN</t>
        </is>
      </c>
      <c r="G2150" t="inlineStr">
        <is>
          <t>LJUSDAL</t>
        </is>
      </c>
      <c r="I2150" t="n">
        <v>2.2</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106-2026</t>
        </is>
      </c>
      <c r="B2151" t="inlineStr">
        <is>
          <t>avverkningsanmälan</t>
        </is>
      </c>
      <c r="C2151" t="inlineStr">
        <is>
          <t>Föryngringsavverkning</t>
        </is>
      </c>
      <c r="D2151" s="1" t="n">
        <v>46024</v>
      </c>
      <c r="E2151" s="1" t="n">
        <v>46326</v>
      </c>
      <c r="F2151" t="inlineStr">
        <is>
          <t>GÄVLEBORGS LÄN</t>
        </is>
      </c>
      <c r="G2151" t="inlineStr">
        <is>
          <t>OVANÅKER</t>
        </is>
      </c>
      <c r="I2151" t="n">
        <v>2</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113-2026</t>
        </is>
      </c>
      <c r="B2152" t="inlineStr">
        <is>
          <t>avverkningsanmälan</t>
        </is>
      </c>
      <c r="C2152" t="inlineStr">
        <is>
          <t>Föryngringsavverkning</t>
        </is>
      </c>
      <c r="D2152" s="1" t="n">
        <v>46024</v>
      </c>
      <c r="E2152" s="1" t="n">
        <v>46326</v>
      </c>
      <c r="F2152" t="inlineStr">
        <is>
          <t>GÄVLEBORGS LÄN</t>
        </is>
      </c>
      <c r="G2152" t="inlineStr">
        <is>
          <t>LJUSDAL</t>
        </is>
      </c>
      <c r="H2152" t="inlineStr">
        <is>
          <t>Övriga Aktiebolag</t>
        </is>
      </c>
      <c r="I2152" t="n">
        <v>10</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26819-2025</t>
        </is>
      </c>
      <c r="B2153" t="inlineStr">
        <is>
          <t>avverkningsanmälan</t>
        </is>
      </c>
      <c r="C2153" t="inlineStr">
        <is>
          <t>Föryngringsavverkning</t>
        </is>
      </c>
      <c r="D2153" s="1" t="n">
        <v>45810</v>
      </c>
      <c r="E2153" s="1" t="n">
        <v>46326</v>
      </c>
      <c r="F2153" t="inlineStr">
        <is>
          <t>GÄVLEBORGS LÄN</t>
        </is>
      </c>
      <c r="G2153" t="inlineStr">
        <is>
          <t>LJUSDAL</t>
        </is>
      </c>
      <c r="H2153" t="inlineStr">
        <is>
          <t>SCA</t>
        </is>
      </c>
      <c r="I2153" t="n">
        <v>2.3</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1526-2024</t>
        </is>
      </c>
      <c r="B2154" t="inlineStr">
        <is>
          <t>avverkningsanmälan</t>
        </is>
      </c>
      <c r="C2154" t="inlineStr">
        <is>
          <t>Föryngringsavverkning</t>
        </is>
      </c>
      <c r="D2154" s="1" t="n">
        <v>45306</v>
      </c>
      <c r="E2154" s="1" t="n">
        <v>46326</v>
      </c>
      <c r="F2154" t="inlineStr">
        <is>
          <t>GÄVLEBORGS LÄN</t>
        </is>
      </c>
      <c r="G2154" t="inlineStr">
        <is>
          <t>NORDANSTIG</t>
        </is>
      </c>
      <c r="I2154" t="n">
        <v>1.5</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38486-2025</t>
        </is>
      </c>
      <c r="B2155" t="inlineStr">
        <is>
          <t>avverkningsanmälan</t>
        </is>
      </c>
      <c r="C2155" t="inlineStr">
        <is>
          <t>Föryngringsavverkning</t>
        </is>
      </c>
      <c r="D2155" s="1" t="n">
        <v>45884</v>
      </c>
      <c r="E2155" s="1" t="n">
        <v>46326</v>
      </c>
      <c r="F2155" t="inlineStr">
        <is>
          <t>GÄVLEBORGS LÄN</t>
        </is>
      </c>
      <c r="G2155" t="inlineStr">
        <is>
          <t>HOFORS</t>
        </is>
      </c>
      <c r="I2155" t="n">
        <v>1.9</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62825-2025</t>
        </is>
      </c>
      <c r="B2156" t="inlineStr">
        <is>
          <t>avverkningsanmälan</t>
        </is>
      </c>
      <c r="C2156" t="inlineStr">
        <is>
          <t>Föryngringsavverkning</t>
        </is>
      </c>
      <c r="D2156" s="1" t="n">
        <v>46008</v>
      </c>
      <c r="E2156" s="1" t="n">
        <v>46326</v>
      </c>
      <c r="F2156" t="inlineStr">
        <is>
          <t>GÄVLEBORGS LÄN</t>
        </is>
      </c>
      <c r="G2156" t="inlineStr">
        <is>
          <t>BOLLNÄS</t>
        </is>
      </c>
      <c r="I2156" t="n">
        <v>3.1</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48597-2023</t>
        </is>
      </c>
      <c r="B2157" t="inlineStr">
        <is>
          <t>avverkningsanmälan</t>
        </is>
      </c>
      <c r="C2157" t="inlineStr">
        <is>
          <t>Föryngringsavverkning</t>
        </is>
      </c>
      <c r="D2157" s="1" t="n">
        <v>45208</v>
      </c>
      <c r="E2157" s="1" t="n">
        <v>46326</v>
      </c>
      <c r="F2157" t="inlineStr">
        <is>
          <t>GÄVLEBORGS LÄN</t>
        </is>
      </c>
      <c r="G2157" t="inlineStr">
        <is>
          <t>SANDVIKEN</t>
        </is>
      </c>
      <c r="I2157" t="n">
        <v>1.8</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38589-2025</t>
        </is>
      </c>
      <c r="B2158" t="inlineStr">
        <is>
          <t>avverkningsanmälan</t>
        </is>
      </c>
      <c r="C2158" t="inlineStr">
        <is>
          <t>Föryngringsavverkning</t>
        </is>
      </c>
      <c r="D2158" s="1" t="n">
        <v>45884</v>
      </c>
      <c r="E2158" s="1" t="n">
        <v>46326</v>
      </c>
      <c r="F2158" t="inlineStr">
        <is>
          <t>GÄVLEBORGS LÄN</t>
        </is>
      </c>
      <c r="G2158" t="inlineStr">
        <is>
          <t>NORDANSTIG</t>
        </is>
      </c>
      <c r="I2158" t="n">
        <v>10.8</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38633-2025</t>
        </is>
      </c>
      <c r="B2159" t="inlineStr">
        <is>
          <t>avverkningsanmälan</t>
        </is>
      </c>
      <c r="C2159" t="inlineStr">
        <is>
          <t>Föryngringsavverkning</t>
        </is>
      </c>
      <c r="D2159" s="1" t="n">
        <v>45884</v>
      </c>
      <c r="E2159" s="1" t="n">
        <v>46326</v>
      </c>
      <c r="F2159" t="inlineStr">
        <is>
          <t>GÄVLEBORGS LÄN</t>
        </is>
      </c>
      <c r="G2159" t="inlineStr">
        <is>
          <t>HUDIKSVALL</t>
        </is>
      </c>
      <c r="I2159" t="n">
        <v>2.7</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26723-2025</t>
        </is>
      </c>
      <c r="B2160" t="inlineStr">
        <is>
          <t>avverkningsanmälan</t>
        </is>
      </c>
      <c r="C2160" t="inlineStr">
        <is>
          <t>Föryngringsavverkning</t>
        </is>
      </c>
      <c r="D2160" s="1" t="n">
        <v>45810</v>
      </c>
      <c r="E2160" s="1" t="n">
        <v>46326</v>
      </c>
      <c r="F2160" t="inlineStr">
        <is>
          <t>GÄVLEBORGS LÄN</t>
        </is>
      </c>
      <c r="G2160" t="inlineStr">
        <is>
          <t>BOLLNÄS</t>
        </is>
      </c>
      <c r="I2160" t="n">
        <v>0.9</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38676-2025</t>
        </is>
      </c>
      <c r="B2161" t="inlineStr">
        <is>
          <t>avverkningsanmälan</t>
        </is>
      </c>
      <c r="C2161" t="inlineStr">
        <is>
          <t>Föryngringsavverkning</t>
        </is>
      </c>
      <c r="D2161" s="1" t="n">
        <v>45884</v>
      </c>
      <c r="E2161" s="1" t="n">
        <v>46326</v>
      </c>
      <c r="F2161" t="inlineStr">
        <is>
          <t>GÄVLEBORGS LÄN</t>
        </is>
      </c>
      <c r="G2161" t="inlineStr">
        <is>
          <t>SANDVIKEN</t>
        </is>
      </c>
      <c r="I2161" t="n">
        <v>1.2</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38677-2025</t>
        </is>
      </c>
      <c r="B2162" t="inlineStr">
        <is>
          <t>avverkningsanmälan</t>
        </is>
      </c>
      <c r="C2162" t="inlineStr">
        <is>
          <t>Föryngringsavverkning</t>
        </is>
      </c>
      <c r="D2162" s="1" t="n">
        <v>45884</v>
      </c>
      <c r="E2162" s="1" t="n">
        <v>46326</v>
      </c>
      <c r="F2162" t="inlineStr">
        <is>
          <t>GÄVLEBORGS LÄN</t>
        </is>
      </c>
      <c r="G2162" t="inlineStr">
        <is>
          <t>SANDVIKEN</t>
        </is>
      </c>
      <c r="I2162" t="n">
        <v>1.4</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7369-2023</t>
        </is>
      </c>
      <c r="B2163" t="inlineStr">
        <is>
          <t>avverkningsanmälan</t>
        </is>
      </c>
      <c r="C2163" t="inlineStr">
        <is>
          <t>Föryngringsavverkning</t>
        </is>
      </c>
      <c r="D2163" s="1" t="n">
        <v>44966</v>
      </c>
      <c r="E2163" s="1" t="n">
        <v>46326</v>
      </c>
      <c r="F2163" t="inlineStr">
        <is>
          <t>GÄVLEBORGS LÄN</t>
        </is>
      </c>
      <c r="G2163" t="inlineStr">
        <is>
          <t>HUDIKSVALL</t>
        </is>
      </c>
      <c r="I2163" t="n">
        <v>1.2</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27078-2025</t>
        </is>
      </c>
      <c r="B2164" t="inlineStr">
        <is>
          <t>avverkningsanmälan</t>
        </is>
      </c>
      <c r="C2164" t="inlineStr">
        <is>
          <t>Föryngringsavverkning</t>
        </is>
      </c>
      <c r="D2164" s="1" t="n">
        <v>45811</v>
      </c>
      <c r="E2164" s="1" t="n">
        <v>46326</v>
      </c>
      <c r="F2164" t="inlineStr">
        <is>
          <t>GÄVLEBORGS LÄN</t>
        </is>
      </c>
      <c r="G2164" t="inlineStr">
        <is>
          <t>HUDIKSVALL</t>
        </is>
      </c>
      <c r="I2164" t="n">
        <v>5.9</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57510-2023</t>
        </is>
      </c>
      <c r="B2165" t="inlineStr">
        <is>
          <t>avverkningsanmälan</t>
        </is>
      </c>
      <c r="C2165" t="inlineStr">
        <is>
          <t>Avverkning för annat ändamål</t>
        </is>
      </c>
      <c r="D2165" s="1" t="n">
        <v>45246</v>
      </c>
      <c r="E2165" s="1" t="n">
        <v>46326</v>
      </c>
      <c r="F2165" t="inlineStr">
        <is>
          <t>GÄVLEBORGS LÄN</t>
        </is>
      </c>
      <c r="G2165" t="inlineStr">
        <is>
          <t>BOLLNÄS</t>
        </is>
      </c>
      <c r="I2165" t="n">
        <v>2.5</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335-2026</t>
        </is>
      </c>
      <c r="B2166" t="inlineStr">
        <is>
          <t>avverkningsanmälan</t>
        </is>
      </c>
      <c r="C2166" t="inlineStr">
        <is>
          <t>Föryngringsavverkning</t>
        </is>
      </c>
      <c r="D2166" s="1" t="n">
        <v>46027</v>
      </c>
      <c r="E2166" s="1" t="n">
        <v>46326</v>
      </c>
      <c r="F2166" t="inlineStr">
        <is>
          <t>GÄVLEBORGS LÄN</t>
        </is>
      </c>
      <c r="G2166" t="inlineStr">
        <is>
          <t>OCKELBO</t>
        </is>
      </c>
      <c r="I2166" t="n">
        <v>1.3</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24838-2024</t>
        </is>
      </c>
      <c r="B2167" t="inlineStr">
        <is>
          <t>avverkningsanmälan</t>
        </is>
      </c>
      <c r="C2167" t="inlineStr">
        <is>
          <t>Föryngringsavverkning</t>
        </is>
      </c>
      <c r="D2167" s="1" t="n">
        <v>45461</v>
      </c>
      <c r="E2167" s="1" t="n">
        <v>46326</v>
      </c>
      <c r="F2167" t="inlineStr">
        <is>
          <t>GÄVLEBORGS LÄN</t>
        </is>
      </c>
      <c r="G2167" t="inlineStr">
        <is>
          <t>LJUSDAL</t>
        </is>
      </c>
      <c r="I2167" t="n">
        <v>1.3</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26894-2025</t>
        </is>
      </c>
      <c r="B2168" t="inlineStr">
        <is>
          <t>avverkningsanmälan</t>
        </is>
      </c>
      <c r="C2168" t="inlineStr">
        <is>
          <t>Föryngringsavverkning</t>
        </is>
      </c>
      <c r="D2168" s="1" t="n">
        <v>45811</v>
      </c>
      <c r="E2168" s="1" t="n">
        <v>46326</v>
      </c>
      <c r="F2168" t="inlineStr">
        <is>
          <t>GÄVLEBORGS LÄN</t>
        </is>
      </c>
      <c r="G2168" t="inlineStr">
        <is>
          <t>HUDIKSVALL</t>
        </is>
      </c>
      <c r="I2168" t="n">
        <v>1.3</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25-2026</t>
        </is>
      </c>
      <c r="B2169" t="inlineStr">
        <is>
          <t>avverkningsanmälan</t>
        </is>
      </c>
      <c r="C2169" t="inlineStr">
        <is>
          <t>Föryngringsavverkning</t>
        </is>
      </c>
      <c r="D2169" s="1" t="n">
        <v>46024</v>
      </c>
      <c r="E2169" s="1" t="n">
        <v>46326</v>
      </c>
      <c r="F2169" t="inlineStr">
        <is>
          <t>GÄVLEBORGS LÄN</t>
        </is>
      </c>
      <c r="G2169" t="inlineStr">
        <is>
          <t>BOLLNÄS</t>
        </is>
      </c>
      <c r="I2169" t="n">
        <v>1.2</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45-2026</t>
        </is>
      </c>
      <c r="B2170" t="inlineStr">
        <is>
          <t>avverkningsanmälan</t>
        </is>
      </c>
      <c r="C2170" t="inlineStr">
        <is>
          <t>Föryngringsavverkning</t>
        </is>
      </c>
      <c r="D2170" s="1" t="n">
        <v>46024</v>
      </c>
      <c r="E2170" s="1" t="n">
        <v>46326</v>
      </c>
      <c r="F2170" t="inlineStr">
        <is>
          <t>GÄVLEBORGS LÄN</t>
        </is>
      </c>
      <c r="G2170" t="inlineStr">
        <is>
          <t>NORDANSTIG</t>
        </is>
      </c>
      <c r="I2170" t="n">
        <v>4.9</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361-2026</t>
        </is>
      </c>
      <c r="B2171" t="inlineStr">
        <is>
          <t>avverkningsanmälan</t>
        </is>
      </c>
      <c r="C2171" t="inlineStr">
        <is>
          <t>Föryngringsavverkning</t>
        </is>
      </c>
      <c r="D2171" s="1" t="n">
        <v>46027</v>
      </c>
      <c r="E2171" s="1" t="n">
        <v>46326</v>
      </c>
      <c r="F2171" t="inlineStr">
        <is>
          <t>GÄVLEBORGS LÄN</t>
        </is>
      </c>
      <c r="G2171" t="inlineStr">
        <is>
          <t>OVANÅKER</t>
        </is>
      </c>
      <c r="I2171" t="n">
        <v>2.6</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18013-2023</t>
        </is>
      </c>
      <c r="B2172" t="inlineStr">
        <is>
          <t>avverkningsanmälan</t>
        </is>
      </c>
      <c r="C2172" t="inlineStr">
        <is>
          <t>Föryngringsavverkning</t>
        </is>
      </c>
      <c r="D2172" s="1" t="n">
        <v>45040</v>
      </c>
      <c r="E2172" s="1" t="n">
        <v>46326</v>
      </c>
      <c r="F2172" t="inlineStr">
        <is>
          <t>GÄVLEBORGS LÄN</t>
        </is>
      </c>
      <c r="G2172" t="inlineStr">
        <is>
          <t>BOLLNÄS</t>
        </is>
      </c>
      <c r="I2172" t="n">
        <v>1.7</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35590-2023</t>
        </is>
      </c>
      <c r="B2173" t="inlineStr">
        <is>
          <t>avverkningsanmälan</t>
        </is>
      </c>
      <c r="C2173" t="inlineStr">
        <is>
          <t>Föryngringsavverkning</t>
        </is>
      </c>
      <c r="D2173" s="1" t="n">
        <v>45147</v>
      </c>
      <c r="E2173" s="1" t="n">
        <v>46326</v>
      </c>
      <c r="F2173" t="inlineStr">
        <is>
          <t>GÄVLEBORGS LÄN</t>
        </is>
      </c>
      <c r="G2173" t="inlineStr">
        <is>
          <t>HUDIKSVALL</t>
        </is>
      </c>
      <c r="H2173" t="inlineStr">
        <is>
          <t>Holmen skog AB</t>
        </is>
      </c>
      <c r="I2173" t="n">
        <v>3.3</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142-2026</t>
        </is>
      </c>
      <c r="B2174" t="inlineStr">
        <is>
          <t>avverkningsanmälan</t>
        </is>
      </c>
      <c r="C2174" t="inlineStr">
        <is>
          <t>Föryngringsavverkning</t>
        </is>
      </c>
      <c r="D2174" s="1" t="n">
        <v>46024</v>
      </c>
      <c r="E2174" s="1" t="n">
        <v>46326</v>
      </c>
      <c r="F2174" t="inlineStr">
        <is>
          <t>GÄVLEBORGS LÄN</t>
        </is>
      </c>
      <c r="G2174" t="inlineStr">
        <is>
          <t>OCKELBO</t>
        </is>
      </c>
      <c r="I2174" t="n">
        <v>1.1</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103-2026</t>
        </is>
      </c>
      <c r="B2175" t="inlineStr">
        <is>
          <t>avverkningsanmälan</t>
        </is>
      </c>
      <c r="C2175" t="inlineStr">
        <is>
          <t>Föryngringsavverkning</t>
        </is>
      </c>
      <c r="D2175" s="1" t="n">
        <v>46024</v>
      </c>
      <c r="E2175" s="1" t="n">
        <v>46326</v>
      </c>
      <c r="F2175" t="inlineStr">
        <is>
          <t>GÄVLEBORGS LÄN</t>
        </is>
      </c>
      <c r="G2175" t="inlineStr">
        <is>
          <t>OVANÅKER</t>
        </is>
      </c>
      <c r="I2175" t="n">
        <v>6.5</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26816-2025</t>
        </is>
      </c>
      <c r="B2176" t="inlineStr">
        <is>
          <t>avverkningsanmälan</t>
        </is>
      </c>
      <c r="C2176" t="inlineStr">
        <is>
          <t>Föryngringsavverkning</t>
        </is>
      </c>
      <c r="D2176" s="1" t="n">
        <v>45810</v>
      </c>
      <c r="E2176" s="1" t="n">
        <v>46326</v>
      </c>
      <c r="F2176" t="inlineStr">
        <is>
          <t>GÄVLEBORGS LÄN</t>
        </is>
      </c>
      <c r="G2176" t="inlineStr">
        <is>
          <t>LJUSDAL</t>
        </is>
      </c>
      <c r="H2176" t="inlineStr">
        <is>
          <t>SCA</t>
        </is>
      </c>
      <c r="I2176" t="n">
        <v>1.4</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26827-2025</t>
        </is>
      </c>
      <c r="B2177" t="inlineStr">
        <is>
          <t>avverkningsanmälan</t>
        </is>
      </c>
      <c r="C2177" t="inlineStr">
        <is>
          <t>Föryngringsavverkning</t>
        </is>
      </c>
      <c r="D2177" s="1" t="n">
        <v>45810</v>
      </c>
      <c r="E2177" s="1" t="n">
        <v>46326</v>
      </c>
      <c r="F2177" t="inlineStr">
        <is>
          <t>GÄVLEBORGS LÄN</t>
        </is>
      </c>
      <c r="G2177" t="inlineStr">
        <is>
          <t>HUDIKSVALL</t>
        </is>
      </c>
      <c r="I2177" t="n">
        <v>2.4</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54799-2022</t>
        </is>
      </c>
      <c r="B2178" t="inlineStr">
        <is>
          <t>avverkningsanmälan</t>
        </is>
      </c>
      <c r="C2178" t="inlineStr">
        <is>
          <t>Avverkning för annat ändamål</t>
        </is>
      </c>
      <c r="D2178" s="1" t="n">
        <v>44883</v>
      </c>
      <c r="E2178" s="1" t="n">
        <v>46326</v>
      </c>
      <c r="F2178" t="inlineStr">
        <is>
          <t>GÄVLEBORGS LÄN</t>
        </is>
      </c>
      <c r="G2178" t="inlineStr">
        <is>
          <t>SÖDERHAMN</t>
        </is>
      </c>
      <c r="I2178" t="n">
        <v>2</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224-2026</t>
        </is>
      </c>
      <c r="B2179" t="inlineStr">
        <is>
          <t>avverkningsanmälan</t>
        </is>
      </c>
      <c r="C2179" t="inlineStr">
        <is>
          <t>Föryngringsavverkning</t>
        </is>
      </c>
      <c r="D2179" s="1" t="n">
        <v>46026</v>
      </c>
      <c r="E2179" s="1" t="n">
        <v>46326</v>
      </c>
      <c r="F2179" t="inlineStr">
        <is>
          <t>GÄVLEBORGS LÄN</t>
        </is>
      </c>
      <c r="G2179" t="inlineStr">
        <is>
          <t>NORDANSTIG</t>
        </is>
      </c>
      <c r="I2179" t="n">
        <v>7.5</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43423-2022</t>
        </is>
      </c>
      <c r="B2180" t="inlineStr">
        <is>
          <t>avverkningsanmälan</t>
        </is>
      </c>
      <c r="C2180" t="inlineStr">
        <is>
          <t>Avverkning för att bevara och utveckla /försöksver</t>
        </is>
      </c>
      <c r="D2180" s="1" t="n">
        <v>44834</v>
      </c>
      <c r="E2180" s="1" t="n">
        <v>46326</v>
      </c>
      <c r="F2180" t="inlineStr">
        <is>
          <t>GÄVLEBORGS LÄN</t>
        </is>
      </c>
      <c r="G2180" t="inlineStr">
        <is>
          <t>LJUSDAL</t>
        </is>
      </c>
      <c r="H2180" t="inlineStr">
        <is>
          <t>SCA</t>
        </is>
      </c>
      <c r="I2180" t="n">
        <v>6.2</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221-2026</t>
        </is>
      </c>
      <c r="B2181" t="inlineStr">
        <is>
          <t>avverkningsanmälan</t>
        </is>
      </c>
      <c r="C2181" t="inlineStr">
        <is>
          <t>Föryngringsavverkning</t>
        </is>
      </c>
      <c r="D2181" s="1" t="n">
        <v>46026</v>
      </c>
      <c r="E2181" s="1" t="n">
        <v>46326</v>
      </c>
      <c r="F2181" t="inlineStr">
        <is>
          <t>GÄVLEBORGS LÄN</t>
        </is>
      </c>
      <c r="G2181" t="inlineStr">
        <is>
          <t>OVANÅKER</t>
        </is>
      </c>
      <c r="I2181" t="n">
        <v>1.3</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48-2026</t>
        </is>
      </c>
      <c r="B2182" t="inlineStr">
        <is>
          <t>avverkningsanmälan</t>
        </is>
      </c>
      <c r="C2182" t="inlineStr">
        <is>
          <t>Föryngringsavverkning</t>
        </is>
      </c>
      <c r="D2182" s="1" t="n">
        <v>46024</v>
      </c>
      <c r="E2182" s="1" t="n">
        <v>46326</v>
      </c>
      <c r="F2182" t="inlineStr">
        <is>
          <t>GÄVLEBORGS LÄN</t>
        </is>
      </c>
      <c r="G2182" t="inlineStr">
        <is>
          <t>LJUSDAL</t>
        </is>
      </c>
      <c r="I2182" t="n">
        <v>1.4</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26805-2025</t>
        </is>
      </c>
      <c r="B2183" t="inlineStr">
        <is>
          <t>avverkningsanmälan</t>
        </is>
      </c>
      <c r="C2183" t="inlineStr">
        <is>
          <t>Föryngringsavverkning</t>
        </is>
      </c>
      <c r="D2183" s="1" t="n">
        <v>45810</v>
      </c>
      <c r="E2183" s="1" t="n">
        <v>46326</v>
      </c>
      <c r="F2183" t="inlineStr">
        <is>
          <t>GÄVLEBORGS LÄN</t>
        </is>
      </c>
      <c r="G2183" t="inlineStr">
        <is>
          <t>SÖDERHAMN</t>
        </is>
      </c>
      <c r="I2183" t="n">
        <v>1.7</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327-2026</t>
        </is>
      </c>
      <c r="B2184" t="inlineStr">
        <is>
          <t>avverkningsanmälan</t>
        </is>
      </c>
      <c r="C2184" t="inlineStr">
        <is>
          <t>Föryngringsavverkning</t>
        </is>
      </c>
      <c r="D2184" s="1" t="n">
        <v>46027</v>
      </c>
      <c r="E2184" s="1" t="n">
        <v>46326</v>
      </c>
      <c r="F2184" t="inlineStr">
        <is>
          <t>GÄVLEBORGS LÄN</t>
        </is>
      </c>
      <c r="G2184" t="inlineStr">
        <is>
          <t>OCKELBO</t>
        </is>
      </c>
      <c r="I2184" t="n">
        <v>3.5</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533-2026</t>
        </is>
      </c>
      <c r="B2185" t="inlineStr">
        <is>
          <t>avverkningsanmälan</t>
        </is>
      </c>
      <c r="C2185" t="inlineStr">
        <is>
          <t>Föryngringsavverkning</t>
        </is>
      </c>
      <c r="D2185" s="1" t="n">
        <v>46029</v>
      </c>
      <c r="E2185" s="1" t="n">
        <v>46326</v>
      </c>
      <c r="F2185" t="inlineStr">
        <is>
          <t>GÄVLEBORGS LÄN</t>
        </is>
      </c>
      <c r="G2185" t="inlineStr">
        <is>
          <t>BOLLNÄS</t>
        </is>
      </c>
      <c r="I2185" t="n">
        <v>0.6</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551-2026</t>
        </is>
      </c>
      <c r="B2186" t="inlineStr">
        <is>
          <t>avverkningsanmälan</t>
        </is>
      </c>
      <c r="C2186" t="inlineStr">
        <is>
          <t>Föryngringsavverkning</t>
        </is>
      </c>
      <c r="D2186" s="1" t="n">
        <v>46029</v>
      </c>
      <c r="E2186" s="1" t="n">
        <v>46326</v>
      </c>
      <c r="F2186" t="inlineStr">
        <is>
          <t>GÄVLEBORGS LÄN</t>
        </is>
      </c>
      <c r="G2186" t="inlineStr">
        <is>
          <t>BOLLNÄS</t>
        </is>
      </c>
      <c r="I2186" t="n">
        <v>2.5</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56355-2024</t>
        </is>
      </c>
      <c r="B2187" t="inlineStr">
        <is>
          <t>avverkningsanmälan</t>
        </is>
      </c>
      <c r="C2187" t="inlineStr">
        <is>
          <t>Föryngringsavverkning</t>
        </is>
      </c>
      <c r="D2187" s="1" t="n">
        <v>45624</v>
      </c>
      <c r="E2187" s="1" t="n">
        <v>46326</v>
      </c>
      <c r="F2187" t="inlineStr">
        <is>
          <t>GÄVLEBORGS LÄN</t>
        </is>
      </c>
      <c r="G2187" t="inlineStr">
        <is>
          <t>LJUSDAL</t>
        </is>
      </c>
      <c r="I2187" t="n">
        <v>1.3</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16858-2024</t>
        </is>
      </c>
      <c r="B2188" t="inlineStr">
        <is>
          <t>avverkningsanmälan</t>
        </is>
      </c>
      <c r="C2188" t="inlineStr">
        <is>
          <t>Föryngringsavverkning</t>
        </is>
      </c>
      <c r="D2188" s="1" t="n">
        <v>45411</v>
      </c>
      <c r="E2188" s="1" t="n">
        <v>46326</v>
      </c>
      <c r="F2188" t="inlineStr">
        <is>
          <t>GÄVLEBORGS LÄN</t>
        </is>
      </c>
      <c r="G2188" t="inlineStr">
        <is>
          <t>HUDIKSVALL</t>
        </is>
      </c>
      <c r="I2188" t="n">
        <v>5.7</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465-2026</t>
        </is>
      </c>
      <c r="B2189" t="inlineStr">
        <is>
          <t>avverkningsanmälan</t>
        </is>
      </c>
      <c r="C2189" t="inlineStr">
        <is>
          <t>Föryngringsavverkning</t>
        </is>
      </c>
      <c r="D2189" s="1" t="n">
        <v>46029</v>
      </c>
      <c r="E2189" s="1" t="n">
        <v>46326</v>
      </c>
      <c r="F2189" t="inlineStr">
        <is>
          <t>GÄVLEBORGS LÄN</t>
        </is>
      </c>
      <c r="G2189" t="inlineStr">
        <is>
          <t>OCKELBO</t>
        </is>
      </c>
      <c r="I2189" t="n">
        <v>1.8</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10890-2025</t>
        </is>
      </c>
      <c r="B2190" t="inlineStr">
        <is>
          <t>avverkningsanmälan</t>
        </is>
      </c>
      <c r="C2190" t="inlineStr">
        <is>
          <t>Föryngringsavverkning</t>
        </is>
      </c>
      <c r="D2190" s="1" t="n">
        <v>45722</v>
      </c>
      <c r="E2190" s="1" t="n">
        <v>46326</v>
      </c>
      <c r="F2190" t="inlineStr">
        <is>
          <t>GÄVLEBORGS LÄN</t>
        </is>
      </c>
      <c r="G2190" t="inlineStr">
        <is>
          <t>HUDIKSVALL</t>
        </is>
      </c>
      <c r="I2190" t="n">
        <v>1.9</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714-2026</t>
        </is>
      </c>
      <c r="B2191" t="inlineStr">
        <is>
          <t>avverkningsanmälan</t>
        </is>
      </c>
      <c r="C2191" t="inlineStr">
        <is>
          <t>Föryngringsavverkning</t>
        </is>
      </c>
      <c r="D2191" s="1" t="n">
        <v>46029</v>
      </c>
      <c r="E2191" s="1" t="n">
        <v>46326</v>
      </c>
      <c r="F2191" t="inlineStr">
        <is>
          <t>GÄVLEBORGS LÄN</t>
        </is>
      </c>
      <c r="G2191" t="inlineStr">
        <is>
          <t>LJUSDAL</t>
        </is>
      </c>
      <c r="I2191" t="n">
        <v>23.3</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428-2026</t>
        </is>
      </c>
      <c r="B2192" t="inlineStr">
        <is>
          <t>avverkningsanmälan</t>
        </is>
      </c>
      <c r="C2192" t="inlineStr">
        <is>
          <t>Föryngringsavverkning</t>
        </is>
      </c>
      <c r="D2192" s="1" t="n">
        <v>46029</v>
      </c>
      <c r="E2192" s="1" t="n">
        <v>46326</v>
      </c>
      <c r="F2192" t="inlineStr">
        <is>
          <t>GÄVLEBORGS LÄN</t>
        </is>
      </c>
      <c r="G2192" t="inlineStr">
        <is>
          <t>HUDIKSVALL</t>
        </is>
      </c>
      <c r="I2192" t="n">
        <v>4.2</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437-2026</t>
        </is>
      </c>
      <c r="B2193" t="inlineStr">
        <is>
          <t>avverkningsanmälan</t>
        </is>
      </c>
      <c r="C2193" t="inlineStr">
        <is>
          <t>Föryngringsavverkning</t>
        </is>
      </c>
      <c r="D2193" s="1" t="n">
        <v>46029</v>
      </c>
      <c r="E2193" s="1" t="n">
        <v>46326</v>
      </c>
      <c r="F2193" t="inlineStr">
        <is>
          <t>GÄVLEBORGS LÄN</t>
        </is>
      </c>
      <c r="G2193" t="inlineStr">
        <is>
          <t>SÖDERHAMN</t>
        </is>
      </c>
      <c r="I2193" t="n">
        <v>13.8</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471-2026</t>
        </is>
      </c>
      <c r="B2194" t="inlineStr">
        <is>
          <t>avverkningsanmälan</t>
        </is>
      </c>
      <c r="C2194" t="inlineStr">
        <is>
          <t>Föryngringsavverkning</t>
        </is>
      </c>
      <c r="D2194" s="1" t="n">
        <v>46029</v>
      </c>
      <c r="E2194" s="1" t="n">
        <v>46326</v>
      </c>
      <c r="F2194" t="inlineStr">
        <is>
          <t>GÄVLEBORGS LÄN</t>
        </is>
      </c>
      <c r="G2194" t="inlineStr">
        <is>
          <t>LJUSDAL</t>
        </is>
      </c>
      <c r="I2194" t="n">
        <v>7.6</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9563-2025</t>
        </is>
      </c>
      <c r="B2195" t="inlineStr">
        <is>
          <t>avverkningsanmälan</t>
        </is>
      </c>
      <c r="C2195" t="inlineStr">
        <is>
          <t>Föryngringsavverkning</t>
        </is>
      </c>
      <c r="D2195" s="1" t="n">
        <v>45715</v>
      </c>
      <c r="E2195" s="1" t="n">
        <v>46326</v>
      </c>
      <c r="F2195" t="inlineStr">
        <is>
          <t>GÄVLEBORGS LÄN</t>
        </is>
      </c>
      <c r="G2195" t="inlineStr">
        <is>
          <t>HUDIKSVALL</t>
        </is>
      </c>
      <c r="I2195" t="n">
        <v>2.2</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39665-2024</t>
        </is>
      </c>
      <c r="B2196" t="inlineStr">
        <is>
          <t>avverkningsanmälan</t>
        </is>
      </c>
      <c r="C2196" t="inlineStr">
        <is>
          <t>Föryngringsavverkning</t>
        </is>
      </c>
      <c r="D2196" s="1" t="n">
        <v>45552</v>
      </c>
      <c r="E2196" s="1" t="n">
        <v>46326</v>
      </c>
      <c r="F2196" t="inlineStr">
        <is>
          <t>GÄVLEBORGS LÄN</t>
        </is>
      </c>
      <c r="G2196" t="inlineStr">
        <is>
          <t>LJUSDAL</t>
        </is>
      </c>
      <c r="I2196" t="n">
        <v>4.6</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12674-2023</t>
        </is>
      </c>
      <c r="B2197" t="inlineStr">
        <is>
          <t>avverkningsanmälan</t>
        </is>
      </c>
      <c r="C2197" t="inlineStr">
        <is>
          <t>Föryngringsavverkning</t>
        </is>
      </c>
      <c r="D2197" s="1" t="n">
        <v>45000</v>
      </c>
      <c r="E2197" s="1" t="n">
        <v>46326</v>
      </c>
      <c r="F2197" t="inlineStr">
        <is>
          <t>GÄVLEBORGS LÄN</t>
        </is>
      </c>
      <c r="G2197" t="inlineStr">
        <is>
          <t>HUDIKSVALL</t>
        </is>
      </c>
      <c r="H2197" t="inlineStr">
        <is>
          <t>Holmen skog AB</t>
        </is>
      </c>
      <c r="I2197" t="n">
        <v>1.3</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659-2026</t>
        </is>
      </c>
      <c r="B2198" t="inlineStr">
        <is>
          <t>avverkningsanmälan</t>
        </is>
      </c>
      <c r="C2198" t="inlineStr">
        <is>
          <t>Föryngringsavverkning</t>
        </is>
      </c>
      <c r="D2198" s="1" t="n">
        <v>46029</v>
      </c>
      <c r="E2198" s="1" t="n">
        <v>46326</v>
      </c>
      <c r="F2198" t="inlineStr">
        <is>
          <t>GÄVLEBORGS LÄN</t>
        </is>
      </c>
      <c r="G2198" t="inlineStr">
        <is>
          <t>HOFORS</t>
        </is>
      </c>
      <c r="I2198" t="n">
        <v>9.199999999999999</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8027-2024</t>
        </is>
      </c>
      <c r="B2199" t="inlineStr">
        <is>
          <t>avverkningsanmälan</t>
        </is>
      </c>
      <c r="C2199" t="inlineStr">
        <is>
          <t>Avverkning för annat ändamål</t>
        </is>
      </c>
      <c r="D2199" s="1" t="n">
        <v>45350</v>
      </c>
      <c r="E2199" s="1" t="n">
        <v>46326</v>
      </c>
      <c r="F2199" t="inlineStr">
        <is>
          <t>GÄVLEBORGS LÄN</t>
        </is>
      </c>
      <c r="G2199" t="inlineStr">
        <is>
          <t>HUDIKSVALL</t>
        </is>
      </c>
      <c r="I2199" t="n">
        <v>1.4</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692-2026</t>
        </is>
      </c>
      <c r="B2200" t="inlineStr">
        <is>
          <t>avverkningsanmälan</t>
        </is>
      </c>
      <c r="C2200" t="inlineStr">
        <is>
          <t>Föryngringsavverkning</t>
        </is>
      </c>
      <c r="D2200" s="1" t="n">
        <v>46029</v>
      </c>
      <c r="E2200" s="1" t="n">
        <v>46326</v>
      </c>
      <c r="F2200" t="inlineStr">
        <is>
          <t>GÄVLEBORGS LÄN</t>
        </is>
      </c>
      <c r="G2200" t="inlineStr">
        <is>
          <t>HOFORS</t>
        </is>
      </c>
      <c r="I2200" t="n">
        <v>0.5</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56858-2024</t>
        </is>
      </c>
      <c r="B2201" t="inlineStr">
        <is>
          <t>avverkningsanmälan</t>
        </is>
      </c>
      <c r="C2201" t="inlineStr">
        <is>
          <t>Föryngringsavverkning</t>
        </is>
      </c>
      <c r="D2201" s="1" t="n">
        <v>45628</v>
      </c>
      <c r="E2201" s="1" t="n">
        <v>46326</v>
      </c>
      <c r="F2201" t="inlineStr">
        <is>
          <t>GÄVLEBORGS LÄN</t>
        </is>
      </c>
      <c r="G2201" t="inlineStr">
        <is>
          <t>HUDIKSVALL</t>
        </is>
      </c>
      <c r="I2201" t="n">
        <v>0.9</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7472-2022</t>
        </is>
      </c>
      <c r="B2202" t="inlineStr">
        <is>
          <t>avverkningsanmälan</t>
        </is>
      </c>
      <c r="C2202" t="inlineStr">
        <is>
          <t>Föryngringsavverkning</t>
        </is>
      </c>
      <c r="D2202" s="1" t="n">
        <v>44607</v>
      </c>
      <c r="E2202" s="1" t="n">
        <v>46326</v>
      </c>
      <c r="F2202" t="inlineStr">
        <is>
          <t>GÄVLEBORGS LÄN</t>
        </is>
      </c>
      <c r="G2202" t="inlineStr">
        <is>
          <t>LJUSDAL</t>
        </is>
      </c>
      <c r="H2202" t="inlineStr">
        <is>
          <t>Holmen skog AB</t>
        </is>
      </c>
      <c r="I2202" t="n">
        <v>7.3</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16070-2025</t>
        </is>
      </c>
      <c r="B2203" t="inlineStr">
        <is>
          <t>avverkningsanmälan</t>
        </is>
      </c>
      <c r="C2203" t="inlineStr">
        <is>
          <t>Föryngringsavverkning</t>
        </is>
      </c>
      <c r="D2203" s="1" t="n">
        <v>45749</v>
      </c>
      <c r="E2203" s="1" t="n">
        <v>46326</v>
      </c>
      <c r="F2203" t="inlineStr">
        <is>
          <t>GÄVLEBORGS LÄN</t>
        </is>
      </c>
      <c r="G2203" t="inlineStr">
        <is>
          <t>HUDIKSVALL</t>
        </is>
      </c>
      <c r="I2203" t="n">
        <v>2.2</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82-2026</t>
        </is>
      </c>
      <c r="B2204" t="inlineStr">
        <is>
          <t>avverkningsanmälan</t>
        </is>
      </c>
      <c r="C2204" t="inlineStr">
        <is>
          <t>Föryngringsavverkning</t>
        </is>
      </c>
      <c r="D2204" s="1" t="n">
        <v>46024</v>
      </c>
      <c r="E2204" s="1" t="n">
        <v>46326</v>
      </c>
      <c r="F2204" t="inlineStr">
        <is>
          <t>GÄVLEBORGS LÄN</t>
        </is>
      </c>
      <c r="G2204" t="inlineStr">
        <is>
          <t>BOLLNÄS</t>
        </is>
      </c>
      <c r="I2204" t="n">
        <v>1.7</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37258-2024</t>
        </is>
      </c>
      <c r="B2205" t="inlineStr">
        <is>
          <t>avverkningsanmälan</t>
        </is>
      </c>
      <c r="C2205" t="inlineStr">
        <is>
          <t>Föryngringsavverkning</t>
        </is>
      </c>
      <c r="D2205" s="1" t="n">
        <v>45540</v>
      </c>
      <c r="E2205" s="1" t="n">
        <v>46326</v>
      </c>
      <c r="F2205" t="inlineStr">
        <is>
          <t>GÄVLEBORGS LÄN</t>
        </is>
      </c>
      <c r="G2205" t="inlineStr">
        <is>
          <t>GÄVLE</t>
        </is>
      </c>
      <c r="I2205" t="n">
        <v>2.4</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37306-2024</t>
        </is>
      </c>
      <c r="B2206" t="inlineStr">
        <is>
          <t>avverkningsanmälan</t>
        </is>
      </c>
      <c r="C2206" t="inlineStr">
        <is>
          <t>Föryngringsavverkning</t>
        </is>
      </c>
      <c r="D2206" s="1" t="n">
        <v>45540</v>
      </c>
      <c r="E2206" s="1" t="n">
        <v>46326</v>
      </c>
      <c r="F2206" t="inlineStr">
        <is>
          <t>GÄVLEBORGS LÄN</t>
        </is>
      </c>
      <c r="G2206" t="inlineStr">
        <is>
          <t>OVANÅKER</t>
        </is>
      </c>
      <c r="I2206" t="n">
        <v>0.7</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10130-2025</t>
        </is>
      </c>
      <c r="B2207" t="inlineStr">
        <is>
          <t>avverkningsanmälan</t>
        </is>
      </c>
      <c r="C2207" t="inlineStr">
        <is>
          <t>Föryngringsavverkning</t>
        </is>
      </c>
      <c r="D2207" s="1" t="n">
        <v>45719</v>
      </c>
      <c r="E2207" s="1" t="n">
        <v>46326</v>
      </c>
      <c r="F2207" t="inlineStr">
        <is>
          <t>GÄVLEBORGS LÄN</t>
        </is>
      </c>
      <c r="G2207" t="inlineStr">
        <is>
          <t>HUDIKSVALL</t>
        </is>
      </c>
      <c r="I2207" t="n">
        <v>1.3</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417-2026</t>
        </is>
      </c>
      <c r="B2208" t="inlineStr">
        <is>
          <t>avverkningsanmälan</t>
        </is>
      </c>
      <c r="C2208" t="inlineStr">
        <is>
          <t>Föryngringsavverkning</t>
        </is>
      </c>
      <c r="D2208" s="1" t="n">
        <v>46028</v>
      </c>
      <c r="E2208" s="1" t="n">
        <v>46326</v>
      </c>
      <c r="F2208" t="inlineStr">
        <is>
          <t>GÄVLEBORGS LÄN</t>
        </is>
      </c>
      <c r="G2208" t="inlineStr">
        <is>
          <t>OCKELBO</t>
        </is>
      </c>
      <c r="I2208" t="n">
        <v>4</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423-2026</t>
        </is>
      </c>
      <c r="B2209" t="inlineStr">
        <is>
          <t>avverkningsanmälan</t>
        </is>
      </c>
      <c r="C2209" t="inlineStr">
        <is>
          <t>Föryngringsavverkning</t>
        </is>
      </c>
      <c r="D2209" s="1" t="n">
        <v>46028</v>
      </c>
      <c r="E2209" s="1" t="n">
        <v>46326</v>
      </c>
      <c r="F2209" t="inlineStr">
        <is>
          <t>GÄVLEBORGS LÄN</t>
        </is>
      </c>
      <c r="G2209" t="inlineStr">
        <is>
          <t>OCKELBO</t>
        </is>
      </c>
      <c r="I2209" t="n">
        <v>1.4</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439-2026</t>
        </is>
      </c>
      <c r="B2210" t="inlineStr">
        <is>
          <t>avverkningsanmälan</t>
        </is>
      </c>
      <c r="C2210" t="inlineStr">
        <is>
          <t>Föryngringsavverkning</t>
        </is>
      </c>
      <c r="D2210" s="1" t="n">
        <v>46029</v>
      </c>
      <c r="E2210" s="1" t="n">
        <v>46326</v>
      </c>
      <c r="F2210" t="inlineStr">
        <is>
          <t>GÄVLEBORGS LÄN</t>
        </is>
      </c>
      <c r="G2210" t="inlineStr">
        <is>
          <t>BOLLNÄS</t>
        </is>
      </c>
      <c r="I2210" t="n">
        <v>0.3</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42732-2023</t>
        </is>
      </c>
      <c r="B2211" t="inlineStr">
        <is>
          <t>avverkningsanmälan</t>
        </is>
      </c>
      <c r="C2211" t="inlineStr">
        <is>
          <t>Avverkning för annat ändamål</t>
        </is>
      </c>
      <c r="D2211" s="1" t="n">
        <v>45181</v>
      </c>
      <c r="E2211" s="1" t="n">
        <v>46326</v>
      </c>
      <c r="F2211" t="inlineStr">
        <is>
          <t>GÄVLEBORGS LÄN</t>
        </is>
      </c>
      <c r="G2211" t="inlineStr">
        <is>
          <t>LJUSDAL</t>
        </is>
      </c>
      <c r="H2211" t="inlineStr">
        <is>
          <t>Kommuner</t>
        </is>
      </c>
      <c r="I2211" t="n">
        <v>1.8</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5475-2023</t>
        </is>
      </c>
      <c r="B2212" t="inlineStr">
        <is>
          <t>avverkningsanmälan</t>
        </is>
      </c>
      <c r="C2212" t="inlineStr">
        <is>
          <t>Föryngringsavverkning</t>
        </is>
      </c>
      <c r="D2212" s="1" t="n">
        <v>44960</v>
      </c>
      <c r="E2212" s="1" t="n">
        <v>46326</v>
      </c>
      <c r="F2212" t="inlineStr">
        <is>
          <t>GÄVLEBORGS LÄN</t>
        </is>
      </c>
      <c r="G2212" t="inlineStr">
        <is>
          <t>NORDANSTIG</t>
        </is>
      </c>
      <c r="I2212" t="n">
        <v>7</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36503-2025</t>
        </is>
      </c>
      <c r="B2213" t="inlineStr">
        <is>
          <t>avverkningsanmälan</t>
        </is>
      </c>
      <c r="C2213" t="inlineStr">
        <is>
          <t>Föryngringsavverkning</t>
        </is>
      </c>
      <c r="D2213" s="1" t="n">
        <v>45869</v>
      </c>
      <c r="E2213" s="1" t="n">
        <v>46326</v>
      </c>
      <c r="F2213" t="inlineStr">
        <is>
          <t>GÄVLEBORGS LÄN</t>
        </is>
      </c>
      <c r="G2213" t="inlineStr">
        <is>
          <t>HUDIKSVALL</t>
        </is>
      </c>
      <c r="I2213" t="n">
        <v>0.9</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727-2026</t>
        </is>
      </c>
      <c r="B2214" t="inlineStr">
        <is>
          <t>avverkningsanmälan</t>
        </is>
      </c>
      <c r="C2214" t="inlineStr">
        <is>
          <t>Föryngringsavverkning</t>
        </is>
      </c>
      <c r="D2214" s="1" t="n">
        <v>46029</v>
      </c>
      <c r="E2214" s="1" t="n">
        <v>46326</v>
      </c>
      <c r="F2214" t="inlineStr">
        <is>
          <t>GÄVLEBORGS LÄN</t>
        </is>
      </c>
      <c r="G2214" t="inlineStr">
        <is>
          <t>LJUSDAL</t>
        </is>
      </c>
      <c r="I2214" t="n">
        <v>11.6</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29723-2024</t>
        </is>
      </c>
      <c r="B2215" t="inlineStr">
        <is>
          <t>avverkningsanmälan</t>
        </is>
      </c>
      <c r="C2215" t="inlineStr">
        <is>
          <t>Föryngringsavverkning</t>
        </is>
      </c>
      <c r="D2215" s="1" t="n">
        <v>45485</v>
      </c>
      <c r="E2215" s="1" t="n">
        <v>46326</v>
      </c>
      <c r="F2215" t="inlineStr">
        <is>
          <t>GÄVLEBORGS LÄN</t>
        </is>
      </c>
      <c r="G2215" t="inlineStr">
        <is>
          <t>BOLLNÄS</t>
        </is>
      </c>
      <c r="I2215" t="n">
        <v>0.3</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26787-2025</t>
        </is>
      </c>
      <c r="B2216" t="inlineStr">
        <is>
          <t>avverkningsanmälan</t>
        </is>
      </c>
      <c r="C2216" t="inlineStr">
        <is>
          <t>Föryngringsavverkning</t>
        </is>
      </c>
      <c r="D2216" s="1" t="n">
        <v>45810</v>
      </c>
      <c r="E2216" s="1" t="n">
        <v>46326</v>
      </c>
      <c r="F2216" t="inlineStr">
        <is>
          <t>GÄVLEBORGS LÄN</t>
        </is>
      </c>
      <c r="G2216" t="inlineStr">
        <is>
          <t>SANDVIKEN</t>
        </is>
      </c>
      <c r="H2216" t="inlineStr">
        <is>
          <t>Sveaskog</t>
        </is>
      </c>
      <c r="I2216" t="n">
        <v>3.5</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36388-2025</t>
        </is>
      </c>
      <c r="B2217" t="inlineStr">
        <is>
          <t>avverkningsanmälan</t>
        </is>
      </c>
      <c r="C2217" t="inlineStr">
        <is>
          <t>Föryngringsavverkning</t>
        </is>
      </c>
      <c r="D2217" s="1" t="n">
        <v>45868</v>
      </c>
      <c r="E2217" s="1" t="n">
        <v>46326</v>
      </c>
      <c r="F2217" t="inlineStr">
        <is>
          <t>GÄVLEBORGS LÄN</t>
        </is>
      </c>
      <c r="G2217" t="inlineStr">
        <is>
          <t>HUDIKSVALL</t>
        </is>
      </c>
      <c r="I2217" t="n">
        <v>2.3</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36394-2025</t>
        </is>
      </c>
      <c r="B2218" t="inlineStr">
        <is>
          <t>avverkningsanmälan</t>
        </is>
      </c>
      <c r="C2218" t="inlineStr">
        <is>
          <t>Föryngringsavverkning</t>
        </is>
      </c>
      <c r="D2218" s="1" t="n">
        <v>45868</v>
      </c>
      <c r="E2218" s="1" t="n">
        <v>46326</v>
      </c>
      <c r="F2218" t="inlineStr">
        <is>
          <t>GÄVLEBORGS LÄN</t>
        </is>
      </c>
      <c r="G2218" t="inlineStr">
        <is>
          <t>HUDIKSVALL</t>
        </is>
      </c>
      <c r="I2218" t="n">
        <v>1.9</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38369-2024</t>
        </is>
      </c>
      <c r="B2219" t="inlineStr">
        <is>
          <t>avverkningsanmälan</t>
        </is>
      </c>
      <c r="C2219" t="inlineStr">
        <is>
          <t>Föryngringsavverkning</t>
        </is>
      </c>
      <c r="D2219" s="1" t="n">
        <v>45545</v>
      </c>
      <c r="E2219" s="1" t="n">
        <v>46326</v>
      </c>
      <c r="F2219" t="inlineStr">
        <is>
          <t>GÄVLEBORGS LÄN</t>
        </is>
      </c>
      <c r="G2219" t="inlineStr">
        <is>
          <t>OVANÅKER</t>
        </is>
      </c>
      <c r="I2219" t="n">
        <v>1.5</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479-2026</t>
        </is>
      </c>
      <c r="B2220" t="inlineStr">
        <is>
          <t>avverkningsanmälan</t>
        </is>
      </c>
      <c r="C2220" t="inlineStr">
        <is>
          <t>Föryngringsavverkning</t>
        </is>
      </c>
      <c r="D2220" s="1" t="n">
        <v>46029</v>
      </c>
      <c r="E2220" s="1" t="n">
        <v>46326</v>
      </c>
      <c r="F2220" t="inlineStr">
        <is>
          <t>GÄVLEBORGS LÄN</t>
        </is>
      </c>
      <c r="G2220" t="inlineStr">
        <is>
          <t>OCKELBO</t>
        </is>
      </c>
      <c r="I2220" t="n">
        <v>4.7</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26788-2025</t>
        </is>
      </c>
      <c r="B2221" t="inlineStr">
        <is>
          <t>avverkningsanmälan</t>
        </is>
      </c>
      <c r="C2221" t="inlineStr">
        <is>
          <t>Föryngringsavverkning</t>
        </is>
      </c>
      <c r="D2221" s="1" t="n">
        <v>45810</v>
      </c>
      <c r="E2221" s="1" t="n">
        <v>46326</v>
      </c>
      <c r="F2221" t="inlineStr">
        <is>
          <t>GÄVLEBORGS LÄN</t>
        </is>
      </c>
      <c r="G2221" t="inlineStr">
        <is>
          <t>HUDIKSVALL</t>
        </is>
      </c>
      <c r="I2221" t="n">
        <v>2.4</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60520-2023</t>
        </is>
      </c>
      <c r="B2222" t="inlineStr">
        <is>
          <t>avverkningsanmälan</t>
        </is>
      </c>
      <c r="C2222" t="inlineStr">
        <is>
          <t>Föryngringsavverkning</t>
        </is>
      </c>
      <c r="D2222" s="1" t="n">
        <v>45259</v>
      </c>
      <c r="E2222" s="1" t="n">
        <v>46326</v>
      </c>
      <c r="F2222" t="inlineStr">
        <is>
          <t>GÄVLEBORGS LÄN</t>
        </is>
      </c>
      <c r="G2222" t="inlineStr">
        <is>
          <t>NORDANSTIG</t>
        </is>
      </c>
      <c r="I2222" t="n">
        <v>1.1</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2149-2024</t>
        </is>
      </c>
      <c r="B2223" t="inlineStr">
        <is>
          <t>avverkningsanmälan</t>
        </is>
      </c>
      <c r="C2223" t="inlineStr">
        <is>
          <t>Föryngringsavverkning</t>
        </is>
      </c>
      <c r="D2223" s="1" t="n">
        <v>45309</v>
      </c>
      <c r="E2223" s="1" t="n">
        <v>46326</v>
      </c>
      <c r="F2223" t="inlineStr">
        <is>
          <t>GÄVLEBORGS LÄN</t>
        </is>
      </c>
      <c r="G2223" t="inlineStr">
        <is>
          <t>NORDANSTIG</t>
        </is>
      </c>
      <c r="I2223" t="n">
        <v>1.6</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16781-2024</t>
        </is>
      </c>
      <c r="B2224" t="inlineStr">
        <is>
          <t>avverkningsanmälan</t>
        </is>
      </c>
      <c r="C2224" t="inlineStr">
        <is>
          <t>Föryngringsavverkning</t>
        </is>
      </c>
      <c r="D2224" s="1" t="n">
        <v>45411</v>
      </c>
      <c r="E2224" s="1" t="n">
        <v>46326</v>
      </c>
      <c r="F2224" t="inlineStr">
        <is>
          <t>GÄVLEBORGS LÄN</t>
        </is>
      </c>
      <c r="G2224" t="inlineStr">
        <is>
          <t>HUDIKSVALL</t>
        </is>
      </c>
      <c r="I2224" t="n">
        <v>2.5</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507-2026</t>
        </is>
      </c>
      <c r="B2225" t="inlineStr">
        <is>
          <t>avverkningsanmälan</t>
        </is>
      </c>
      <c r="C2225" t="inlineStr">
        <is>
          <t>Föryngringsavverkning</t>
        </is>
      </c>
      <c r="D2225" s="1" t="n">
        <v>46029</v>
      </c>
      <c r="E2225" s="1" t="n">
        <v>46326</v>
      </c>
      <c r="F2225" t="inlineStr">
        <is>
          <t>GÄVLEBORGS LÄN</t>
        </is>
      </c>
      <c r="G2225" t="inlineStr">
        <is>
          <t>BOLLNÄS</t>
        </is>
      </c>
      <c r="I2225" t="n">
        <v>3.9</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62469-2025</t>
        </is>
      </c>
      <c r="B2226" t="inlineStr">
        <is>
          <t>avverkningsanmälan</t>
        </is>
      </c>
      <c r="C2226" t="inlineStr">
        <is>
          <t>Föryngringsavverkning</t>
        </is>
      </c>
      <c r="D2226" s="1" t="n">
        <v>46007</v>
      </c>
      <c r="E2226" s="1" t="n">
        <v>46326</v>
      </c>
      <c r="F2226" t="inlineStr">
        <is>
          <t>GÄVLEBORGS LÄN</t>
        </is>
      </c>
      <c r="G2226" t="inlineStr">
        <is>
          <t>HUDIKSVALL</t>
        </is>
      </c>
      <c r="I2226" t="n">
        <v>1.2</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9989-2025</t>
        </is>
      </c>
      <c r="B2227" t="inlineStr">
        <is>
          <t>avverkningsanmälan</t>
        </is>
      </c>
      <c r="C2227" t="inlineStr">
        <is>
          <t>Föryngringsavverkning</t>
        </is>
      </c>
      <c r="D2227" s="1" t="n">
        <v>45719</v>
      </c>
      <c r="E2227" s="1" t="n">
        <v>46326</v>
      </c>
      <c r="F2227" t="inlineStr">
        <is>
          <t>GÄVLEBORGS LÄN</t>
        </is>
      </c>
      <c r="G2227" t="inlineStr">
        <is>
          <t>HUDIKSVALL</t>
        </is>
      </c>
      <c r="I2227" t="n">
        <v>5</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136-2026</t>
        </is>
      </c>
      <c r="B2228" t="inlineStr">
        <is>
          <t>avverkningsanmälan</t>
        </is>
      </c>
      <c r="C2228" t="inlineStr">
        <is>
          <t>Föryngringsavverkning</t>
        </is>
      </c>
      <c r="D2228" s="1" t="n">
        <v>46024</v>
      </c>
      <c r="E2228" s="1" t="n">
        <v>46326</v>
      </c>
      <c r="F2228" t="inlineStr">
        <is>
          <t>GÄVLEBORGS LÄN</t>
        </is>
      </c>
      <c r="G2228" t="inlineStr">
        <is>
          <t>OCKELBO</t>
        </is>
      </c>
      <c r="I2228" t="n">
        <v>12.9</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690-2026</t>
        </is>
      </c>
      <c r="B2229" t="inlineStr">
        <is>
          <t>avverkningsanmälan</t>
        </is>
      </c>
      <c r="C2229" t="inlineStr">
        <is>
          <t>Föryngringsavverkning</t>
        </is>
      </c>
      <c r="D2229" s="1" t="n">
        <v>46029</v>
      </c>
      <c r="E2229" s="1" t="n">
        <v>46326</v>
      </c>
      <c r="F2229" t="inlineStr">
        <is>
          <t>GÄVLEBORGS LÄN</t>
        </is>
      </c>
      <c r="G2229" t="inlineStr">
        <is>
          <t>OVANÅKER</t>
        </is>
      </c>
      <c r="I2229" t="n">
        <v>2.6</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25768-2022</t>
        </is>
      </c>
      <c r="B2230" t="inlineStr">
        <is>
          <t>avverkningsanmälan</t>
        </is>
      </c>
      <c r="C2230" t="inlineStr">
        <is>
          <t>Föryngringsavverkning</t>
        </is>
      </c>
      <c r="D2230" s="1" t="n">
        <v>44733</v>
      </c>
      <c r="E2230" s="1" t="n">
        <v>46326</v>
      </c>
      <c r="F2230" t="inlineStr">
        <is>
          <t>GÄVLEBORGS LÄN</t>
        </is>
      </c>
      <c r="G2230" t="inlineStr">
        <is>
          <t>GÄVLE</t>
        </is>
      </c>
      <c r="H2230" t="inlineStr">
        <is>
          <t>Bergvik skog öst AB</t>
        </is>
      </c>
      <c r="I2230" t="n">
        <v>3</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27345-2025</t>
        </is>
      </c>
      <c r="B2231" t="inlineStr">
        <is>
          <t>avverkningsanmälan</t>
        </is>
      </c>
      <c r="C2231" t="inlineStr">
        <is>
          <t>Föryngringsavverkning</t>
        </is>
      </c>
      <c r="D2231" s="1" t="n">
        <v>45812</v>
      </c>
      <c r="E2231" s="1" t="n">
        <v>46326</v>
      </c>
      <c r="F2231" t="inlineStr">
        <is>
          <t>GÄVLEBORGS LÄN</t>
        </is>
      </c>
      <c r="G2231" t="inlineStr">
        <is>
          <t>BOLLNÄS</t>
        </is>
      </c>
      <c r="I2231" t="n">
        <v>9.199999999999999</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27361-2025</t>
        </is>
      </c>
      <c r="B2232" t="inlineStr">
        <is>
          <t>avverkningsanmälan</t>
        </is>
      </c>
      <c r="C2232" t="inlineStr">
        <is>
          <t>Föryngringsavverkning</t>
        </is>
      </c>
      <c r="D2232" s="1" t="n">
        <v>45812</v>
      </c>
      <c r="E2232" s="1" t="n">
        <v>46326</v>
      </c>
      <c r="F2232" t="inlineStr">
        <is>
          <t>GÄVLEBORGS LÄN</t>
        </is>
      </c>
      <c r="G2232" t="inlineStr">
        <is>
          <t>BOLLNÄS</t>
        </is>
      </c>
      <c r="I2232" t="n">
        <v>2.1</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18466-2025</t>
        </is>
      </c>
      <c r="B2233" t="inlineStr">
        <is>
          <t>avverkningsanmälan</t>
        </is>
      </c>
      <c r="C2233" t="inlineStr">
        <is>
          <t>Föryngringsavverkning</t>
        </is>
      </c>
      <c r="D2233" s="1" t="n">
        <v>45762</v>
      </c>
      <c r="E2233" s="1" t="n">
        <v>46326</v>
      </c>
      <c r="F2233" t="inlineStr">
        <is>
          <t>GÄVLEBORGS LÄN</t>
        </is>
      </c>
      <c r="G2233" t="inlineStr">
        <is>
          <t>SÖDERHAMN</t>
        </is>
      </c>
      <c r="I2233" t="n">
        <v>1.9</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40400-2022</t>
        </is>
      </c>
      <c r="B2234" t="inlineStr">
        <is>
          <t>avverkningsanmälan</t>
        </is>
      </c>
      <c r="C2234" t="inlineStr">
        <is>
          <t>Föryngringsavverkning</t>
        </is>
      </c>
      <c r="D2234" s="1" t="n">
        <v>44823</v>
      </c>
      <c r="E2234" s="1" t="n">
        <v>46326</v>
      </c>
      <c r="F2234" t="inlineStr">
        <is>
          <t>GÄVLEBORGS LÄN</t>
        </is>
      </c>
      <c r="G2234" t="inlineStr">
        <is>
          <t>OVANÅKER</t>
        </is>
      </c>
      <c r="H2234" t="inlineStr">
        <is>
          <t>Bergvik skog väst AB</t>
        </is>
      </c>
      <c r="I2234" t="n">
        <v>2.7</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12393-2025</t>
        </is>
      </c>
      <c r="B2235" t="inlineStr">
        <is>
          <t>avverkningsanmälan</t>
        </is>
      </c>
      <c r="C2235" t="inlineStr">
        <is>
          <t>Föryngringsavverkning</t>
        </is>
      </c>
      <c r="D2235" s="1" t="n">
        <v>45730</v>
      </c>
      <c r="E2235" s="1" t="n">
        <v>46326</v>
      </c>
      <c r="F2235" t="inlineStr">
        <is>
          <t>GÄVLEBORGS LÄN</t>
        </is>
      </c>
      <c r="G2235" t="inlineStr">
        <is>
          <t>HUDIKSVALL</t>
        </is>
      </c>
      <c r="I2235" t="n">
        <v>3.2</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12421-2025</t>
        </is>
      </c>
      <c r="B2236" t="inlineStr">
        <is>
          <t>avverkningsanmälan</t>
        </is>
      </c>
      <c r="C2236" t="inlineStr">
        <is>
          <t>Föryngringsavverkning</t>
        </is>
      </c>
      <c r="D2236" s="1" t="n">
        <v>45730</v>
      </c>
      <c r="E2236" s="1" t="n">
        <v>46326</v>
      </c>
      <c r="F2236" t="inlineStr">
        <is>
          <t>GÄVLEBORGS LÄN</t>
        </is>
      </c>
      <c r="G2236" t="inlineStr">
        <is>
          <t>SANDVIKEN</t>
        </is>
      </c>
      <c r="H2236" t="inlineStr">
        <is>
          <t>Bergvik skog öst AB</t>
        </is>
      </c>
      <c r="I2236" t="n">
        <v>2.8</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7496-2025</t>
        </is>
      </c>
      <c r="B2237" t="inlineStr">
        <is>
          <t>avverkningsanmälan</t>
        </is>
      </c>
      <c r="C2237" t="inlineStr">
        <is>
          <t>Föryngringsavverkning</t>
        </is>
      </c>
      <c r="D2237" s="1" t="n">
        <v>45702</v>
      </c>
      <c r="E2237" s="1" t="n">
        <v>46326</v>
      </c>
      <c r="F2237" t="inlineStr">
        <is>
          <t>GÄVLEBORGS LÄN</t>
        </is>
      </c>
      <c r="G2237" t="inlineStr">
        <is>
          <t>HUDIKSVALL</t>
        </is>
      </c>
      <c r="I2237" t="n">
        <v>0.8</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652-2026</t>
        </is>
      </c>
      <c r="B2238" t="inlineStr">
        <is>
          <t>avverkningsanmälan</t>
        </is>
      </c>
      <c r="C2238" t="inlineStr">
        <is>
          <t>Föryngringsavverkning</t>
        </is>
      </c>
      <c r="D2238" s="1" t="n">
        <v>46029</v>
      </c>
      <c r="E2238" s="1" t="n">
        <v>46326</v>
      </c>
      <c r="F2238" t="inlineStr">
        <is>
          <t>GÄVLEBORGS LÄN</t>
        </is>
      </c>
      <c r="G2238" t="inlineStr">
        <is>
          <t>BOLLNÄS</t>
        </is>
      </c>
      <c r="I2238" t="n">
        <v>0.7</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27253-2025</t>
        </is>
      </c>
      <c r="B2239" t="inlineStr">
        <is>
          <t>avverkningsanmälan</t>
        </is>
      </c>
      <c r="C2239" t="inlineStr">
        <is>
          <t>Föryngringsavverkning</t>
        </is>
      </c>
      <c r="D2239" s="1" t="n">
        <v>45812</v>
      </c>
      <c r="E2239" s="1" t="n">
        <v>46326</v>
      </c>
      <c r="F2239" t="inlineStr">
        <is>
          <t>GÄVLEBORGS LÄN</t>
        </is>
      </c>
      <c r="G2239" t="inlineStr">
        <is>
          <t>HUDIKSVALL</t>
        </is>
      </c>
      <c r="H2239" t="inlineStr">
        <is>
          <t>Holmen skog AB</t>
        </is>
      </c>
      <c r="I2239" t="n">
        <v>1.7</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27666-2025</t>
        </is>
      </c>
      <c r="B2240" t="inlineStr">
        <is>
          <t>avverkningsanmälan</t>
        </is>
      </c>
      <c r="C2240" t="inlineStr">
        <is>
          <t>Föryngringsavverkning</t>
        </is>
      </c>
      <c r="D2240" s="1" t="n">
        <v>45813</v>
      </c>
      <c r="E2240" s="1" t="n">
        <v>46326</v>
      </c>
      <c r="F2240" t="inlineStr">
        <is>
          <t>GÄVLEBORGS LÄN</t>
        </is>
      </c>
      <c r="G2240" t="inlineStr">
        <is>
          <t>GÄVLE</t>
        </is>
      </c>
      <c r="I2240" t="n">
        <v>1</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13603-2025</t>
        </is>
      </c>
      <c r="B2241" t="inlineStr">
        <is>
          <t>avverkningsanmälan</t>
        </is>
      </c>
      <c r="C2241" t="inlineStr">
        <is>
          <t>Avverkning för annat ändamål</t>
        </is>
      </c>
      <c r="D2241" s="1" t="n">
        <v>45736</v>
      </c>
      <c r="E2241" s="1" t="n">
        <v>46326</v>
      </c>
      <c r="F2241" t="inlineStr">
        <is>
          <t>GÄVLEBORGS LÄN</t>
        </is>
      </c>
      <c r="G2241" t="inlineStr">
        <is>
          <t>HUDIKSVALL</t>
        </is>
      </c>
      <c r="I2241" t="n">
        <v>3.1</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438-2026</t>
        </is>
      </c>
      <c r="B2242" t="inlineStr">
        <is>
          <t>avverkningsanmälan</t>
        </is>
      </c>
      <c r="C2242" t="inlineStr">
        <is>
          <t>Föryngringsavverkning</t>
        </is>
      </c>
      <c r="D2242" s="1" t="n">
        <v>46029</v>
      </c>
      <c r="E2242" s="1" t="n">
        <v>46326</v>
      </c>
      <c r="F2242" t="inlineStr">
        <is>
          <t>GÄVLEBORGS LÄN</t>
        </is>
      </c>
      <c r="G2242" t="inlineStr">
        <is>
          <t>BOLLNÄS</t>
        </is>
      </c>
      <c r="I2242" t="n">
        <v>0.6</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469-2026</t>
        </is>
      </c>
      <c r="B2243" t="inlineStr">
        <is>
          <t>avverkningsanmälan</t>
        </is>
      </c>
      <c r="C2243" t="inlineStr">
        <is>
          <t>Föryngringsavverkning</t>
        </is>
      </c>
      <c r="D2243" s="1" t="n">
        <v>46029</v>
      </c>
      <c r="E2243" s="1" t="n">
        <v>46326</v>
      </c>
      <c r="F2243" t="inlineStr">
        <is>
          <t>GÄVLEBORGS LÄN</t>
        </is>
      </c>
      <c r="G2243" t="inlineStr">
        <is>
          <t>OCKELBO</t>
        </is>
      </c>
      <c r="I2243" t="n">
        <v>5.1</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27241-2025</t>
        </is>
      </c>
      <c r="B2244" t="inlineStr">
        <is>
          <t>avverkningsanmälan</t>
        </is>
      </c>
      <c r="C2244" t="inlineStr">
        <is>
          <t>Föryngringsavverkning</t>
        </is>
      </c>
      <c r="D2244" s="1" t="n">
        <v>45812</v>
      </c>
      <c r="E2244" s="1" t="n">
        <v>46326</v>
      </c>
      <c r="F2244" t="inlineStr">
        <is>
          <t>GÄVLEBORGS LÄN</t>
        </is>
      </c>
      <c r="G2244" t="inlineStr">
        <is>
          <t>LJUSDAL</t>
        </is>
      </c>
      <c r="I2244" t="n">
        <v>0.6</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27224-2025</t>
        </is>
      </c>
      <c r="B2245" t="inlineStr">
        <is>
          <t>avverkningsanmälan</t>
        </is>
      </c>
      <c r="C2245" t="inlineStr">
        <is>
          <t>Föryngringsavverkning</t>
        </is>
      </c>
      <c r="D2245" s="1" t="n">
        <v>45812</v>
      </c>
      <c r="E2245" s="1" t="n">
        <v>46326</v>
      </c>
      <c r="F2245" t="inlineStr">
        <is>
          <t>GÄVLEBORGS LÄN</t>
        </is>
      </c>
      <c r="G2245" t="inlineStr">
        <is>
          <t>NORDANSTIG</t>
        </is>
      </c>
      <c r="I2245" t="n">
        <v>3</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26027-2024</t>
        </is>
      </c>
      <c r="B2246" t="inlineStr">
        <is>
          <t>avverkningsanmälan</t>
        </is>
      </c>
      <c r="C2246" t="inlineStr">
        <is>
          <t>Föryngringsavverkning</t>
        </is>
      </c>
      <c r="D2246" s="1" t="n">
        <v>45467</v>
      </c>
      <c r="E2246" s="1" t="n">
        <v>46326</v>
      </c>
      <c r="F2246" t="inlineStr">
        <is>
          <t>GÄVLEBORGS LÄN</t>
        </is>
      </c>
      <c r="G2246" t="inlineStr">
        <is>
          <t>OVANÅKER</t>
        </is>
      </c>
      <c r="I2246" t="n">
        <v>1.6</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461-2026</t>
        </is>
      </c>
      <c r="B2247" t="inlineStr">
        <is>
          <t>avverkningsanmälan</t>
        </is>
      </c>
      <c r="C2247" t="inlineStr">
        <is>
          <t>Föryngringsavverkning</t>
        </is>
      </c>
      <c r="D2247" s="1" t="n">
        <v>46029</v>
      </c>
      <c r="E2247" s="1" t="n">
        <v>46326</v>
      </c>
      <c r="F2247" t="inlineStr">
        <is>
          <t>GÄVLEBORGS LÄN</t>
        </is>
      </c>
      <c r="G2247" t="inlineStr">
        <is>
          <t>OCKELBO</t>
        </is>
      </c>
      <c r="I2247" t="n">
        <v>1.4</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707-2026</t>
        </is>
      </c>
      <c r="B2248" t="inlineStr">
        <is>
          <t>avverkningsanmälan</t>
        </is>
      </c>
      <c r="C2248" t="inlineStr">
        <is>
          <t>Föryngringsavverkning</t>
        </is>
      </c>
      <c r="D2248" s="1" t="n">
        <v>46029</v>
      </c>
      <c r="E2248" s="1" t="n">
        <v>46326</v>
      </c>
      <c r="F2248" t="inlineStr">
        <is>
          <t>GÄVLEBORGS LÄN</t>
        </is>
      </c>
      <c r="G2248" t="inlineStr">
        <is>
          <t>OVANÅKER</t>
        </is>
      </c>
      <c r="I2248" t="n">
        <v>13</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743-2026</t>
        </is>
      </c>
      <c r="B2249" t="inlineStr">
        <is>
          <t>avverkningsanmälan</t>
        </is>
      </c>
      <c r="C2249" t="inlineStr">
        <is>
          <t>Föryngringsavverkning</t>
        </is>
      </c>
      <c r="D2249" s="1" t="n">
        <v>46029</v>
      </c>
      <c r="E2249" s="1" t="n">
        <v>46326</v>
      </c>
      <c r="F2249" t="inlineStr">
        <is>
          <t>GÄVLEBORGS LÄN</t>
        </is>
      </c>
      <c r="G2249" t="inlineStr">
        <is>
          <t>OVANÅKER</t>
        </is>
      </c>
      <c r="I2249" t="n">
        <v>1.9</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762-2026</t>
        </is>
      </c>
      <c r="B2250" t="inlineStr">
        <is>
          <t>avverkningsanmälan</t>
        </is>
      </c>
      <c r="C2250" t="inlineStr">
        <is>
          <t>Föryngringsavverkning</t>
        </is>
      </c>
      <c r="D2250" s="1" t="n">
        <v>46029</v>
      </c>
      <c r="E2250" s="1" t="n">
        <v>46326</v>
      </c>
      <c r="F2250" t="inlineStr">
        <is>
          <t>GÄVLEBORGS LÄN</t>
        </is>
      </c>
      <c r="G2250" t="inlineStr">
        <is>
          <t>BOLLNÄS</t>
        </is>
      </c>
      <c r="I2250" t="n">
        <v>3.9</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27143-2025</t>
        </is>
      </c>
      <c r="B2251" t="inlineStr">
        <is>
          <t>avverkningsanmälan</t>
        </is>
      </c>
      <c r="C2251" t="inlineStr">
        <is>
          <t>Föryngringsavverkning</t>
        </is>
      </c>
      <c r="D2251" s="1" t="n">
        <v>45812</v>
      </c>
      <c r="E2251" s="1" t="n">
        <v>46326</v>
      </c>
      <c r="F2251" t="inlineStr">
        <is>
          <t>GÄVLEBORGS LÄN</t>
        </is>
      </c>
      <c r="G2251" t="inlineStr">
        <is>
          <t>BOLLNÄS</t>
        </is>
      </c>
      <c r="I2251" t="n">
        <v>0.5</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27514-2025</t>
        </is>
      </c>
      <c r="B2252" t="inlineStr">
        <is>
          <t>avverkningsanmälan</t>
        </is>
      </c>
      <c r="C2252" t="inlineStr">
        <is>
          <t>Föryngringsavverkning</t>
        </is>
      </c>
      <c r="D2252" s="1" t="n">
        <v>45813</v>
      </c>
      <c r="E2252" s="1" t="n">
        <v>46326</v>
      </c>
      <c r="F2252" t="inlineStr">
        <is>
          <t>GÄVLEBORGS LÄN</t>
        </is>
      </c>
      <c r="G2252" t="inlineStr">
        <is>
          <t>HUDIKSVALL</t>
        </is>
      </c>
      <c r="I2252" t="n">
        <v>2.1</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61300-2024</t>
        </is>
      </c>
      <c r="B2253" t="inlineStr">
        <is>
          <t>avverkningsanmälan</t>
        </is>
      </c>
      <c r="C2253" t="inlineStr">
        <is>
          <t>Föryngringsavverkning</t>
        </is>
      </c>
      <c r="D2253" s="1" t="n">
        <v>45645</v>
      </c>
      <c r="E2253" s="1" t="n">
        <v>46326</v>
      </c>
      <c r="F2253" t="inlineStr">
        <is>
          <t>GÄVLEBORGS LÄN</t>
        </is>
      </c>
      <c r="G2253" t="inlineStr">
        <is>
          <t>GÄVLE</t>
        </is>
      </c>
      <c r="I2253" t="n">
        <v>2.4</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61418-2024</t>
        </is>
      </c>
      <c r="B2254" t="inlineStr">
        <is>
          <t>avverkningsanmälan</t>
        </is>
      </c>
      <c r="C2254" t="inlineStr">
        <is>
          <t>Föryngringsavverkning</t>
        </is>
      </c>
      <c r="D2254" s="1" t="n">
        <v>45646</v>
      </c>
      <c r="E2254" s="1" t="n">
        <v>46326</v>
      </c>
      <c r="F2254" t="inlineStr">
        <is>
          <t>GÄVLEBORGS LÄN</t>
        </is>
      </c>
      <c r="G2254" t="inlineStr">
        <is>
          <t>NORDANSTIG</t>
        </is>
      </c>
      <c r="I2254" t="n">
        <v>2.6</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26813-2025</t>
        </is>
      </c>
      <c r="B2255" t="inlineStr">
        <is>
          <t>avverkningsanmälan</t>
        </is>
      </c>
      <c r="C2255" t="inlineStr">
        <is>
          <t>Föryngringsavverkning</t>
        </is>
      </c>
      <c r="D2255" s="1" t="n">
        <v>45810</v>
      </c>
      <c r="E2255" s="1" t="n">
        <v>46326</v>
      </c>
      <c r="F2255" t="inlineStr">
        <is>
          <t>GÄVLEBORGS LÄN</t>
        </is>
      </c>
      <c r="G2255" t="inlineStr">
        <is>
          <t>HUDIKSVALL</t>
        </is>
      </c>
      <c r="I2255" t="n">
        <v>1.6</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37345-2024</t>
        </is>
      </c>
      <c r="B2256" t="inlineStr">
        <is>
          <t>avverkningsanmälan</t>
        </is>
      </c>
      <c r="C2256" t="inlineStr">
        <is>
          <t>Föryngringsavverkning</t>
        </is>
      </c>
      <c r="D2256" s="1" t="n">
        <v>45540</v>
      </c>
      <c r="E2256" s="1" t="n">
        <v>46326</v>
      </c>
      <c r="F2256" t="inlineStr">
        <is>
          <t>GÄVLEBORGS LÄN</t>
        </is>
      </c>
      <c r="G2256" t="inlineStr">
        <is>
          <t>BOLLNÄS</t>
        </is>
      </c>
      <c r="H2256" t="inlineStr">
        <is>
          <t>Bergvik skog väst AB</t>
        </is>
      </c>
      <c r="I2256" t="n">
        <v>3.3</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11953-2025</t>
        </is>
      </c>
      <c r="B2257" t="inlineStr">
        <is>
          <t>avverkningsanmälan</t>
        </is>
      </c>
      <c r="C2257" t="inlineStr">
        <is>
          <t>Föryngringsavverkning</t>
        </is>
      </c>
      <c r="D2257" s="1" t="n">
        <v>45728</v>
      </c>
      <c r="E2257" s="1" t="n">
        <v>46326</v>
      </c>
      <c r="F2257" t="inlineStr">
        <is>
          <t>GÄVLEBORGS LÄN</t>
        </is>
      </c>
      <c r="G2257" t="inlineStr">
        <is>
          <t>HOFORS</t>
        </is>
      </c>
      <c r="H2257" t="inlineStr">
        <is>
          <t>Sveaskog</t>
        </is>
      </c>
      <c r="I2257" t="n">
        <v>34.8</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18761-2024</t>
        </is>
      </c>
      <c r="B2258" t="inlineStr">
        <is>
          <t>avverkningsanmälan</t>
        </is>
      </c>
      <c r="C2258" t="inlineStr">
        <is>
          <t>Föryngringsavverkning</t>
        </is>
      </c>
      <c r="D2258" s="1" t="n">
        <v>45426</v>
      </c>
      <c r="E2258" s="1" t="n">
        <v>46326</v>
      </c>
      <c r="F2258" t="inlineStr">
        <is>
          <t>GÄVLEBORGS LÄN</t>
        </is>
      </c>
      <c r="G2258" t="inlineStr">
        <is>
          <t>NORDANSTIG</t>
        </is>
      </c>
      <c r="H2258" t="inlineStr">
        <is>
          <t>Holmen skog AB</t>
        </is>
      </c>
      <c r="I2258" t="n">
        <v>7.5</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735-2026</t>
        </is>
      </c>
      <c r="B2259" t="inlineStr">
        <is>
          <t>avverkningsanmälan</t>
        </is>
      </c>
      <c r="C2259" t="inlineStr">
        <is>
          <t>Föryngringsavverkning</t>
        </is>
      </c>
      <c r="D2259" s="1" t="n">
        <v>46029</v>
      </c>
      <c r="E2259" s="1" t="n">
        <v>46326</v>
      </c>
      <c r="F2259" t="inlineStr">
        <is>
          <t>GÄVLEBORGS LÄN</t>
        </is>
      </c>
      <c r="G2259" t="inlineStr">
        <is>
          <t>OVANÅKER</t>
        </is>
      </c>
      <c r="I2259" t="n">
        <v>6.2</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20639-2025</t>
        </is>
      </c>
      <c r="B2260" t="inlineStr">
        <is>
          <t>avverkningsanmälan</t>
        </is>
      </c>
      <c r="C2260" t="inlineStr">
        <is>
          <t>Föryngringsavverkning</t>
        </is>
      </c>
      <c r="D2260" s="1" t="n">
        <v>45776</v>
      </c>
      <c r="E2260" s="1" t="n">
        <v>46326</v>
      </c>
      <c r="F2260" t="inlineStr">
        <is>
          <t>GÄVLEBORGS LÄN</t>
        </is>
      </c>
      <c r="G2260" t="inlineStr">
        <is>
          <t>HUDIKSVALL</t>
        </is>
      </c>
      <c r="I2260" t="n">
        <v>1.5</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27611-2025</t>
        </is>
      </c>
      <c r="B2261" t="inlineStr">
        <is>
          <t>avverkningsanmälan</t>
        </is>
      </c>
      <c r="C2261" t="inlineStr">
        <is>
          <t>Föryngringsavverkning</t>
        </is>
      </c>
      <c r="D2261" s="1" t="n">
        <v>45813</v>
      </c>
      <c r="E2261" s="1" t="n">
        <v>46326</v>
      </c>
      <c r="F2261" t="inlineStr">
        <is>
          <t>GÄVLEBORGS LÄN</t>
        </is>
      </c>
      <c r="G2261" t="inlineStr">
        <is>
          <t>GÄVLE</t>
        </is>
      </c>
      <c r="I2261" t="n">
        <v>0.9</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39335-2025</t>
        </is>
      </c>
      <c r="B2262" t="inlineStr">
        <is>
          <t>avverkningsanmälan</t>
        </is>
      </c>
      <c r="C2262" t="inlineStr">
        <is>
          <t>Föryngringsavverkning</t>
        </is>
      </c>
      <c r="D2262" s="1" t="n">
        <v>45889</v>
      </c>
      <c r="E2262" s="1" t="n">
        <v>46326</v>
      </c>
      <c r="F2262" t="inlineStr">
        <is>
          <t>GÄVLEBORGS LÄN</t>
        </is>
      </c>
      <c r="G2262" t="inlineStr">
        <is>
          <t>HUDIKSVALL</t>
        </is>
      </c>
      <c r="I2262" t="n">
        <v>3.4</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460-2026</t>
        </is>
      </c>
      <c r="B2263" t="inlineStr">
        <is>
          <t>avverkningsanmälan</t>
        </is>
      </c>
      <c r="C2263" t="inlineStr">
        <is>
          <t>Föryngringsavverkning</t>
        </is>
      </c>
      <c r="D2263" s="1" t="n">
        <v>46029</v>
      </c>
      <c r="E2263" s="1" t="n">
        <v>46326</v>
      </c>
      <c r="F2263" t="inlineStr">
        <is>
          <t>GÄVLEBORGS LÄN</t>
        </is>
      </c>
      <c r="G2263" t="inlineStr">
        <is>
          <t>HUDIKSVALL</t>
        </is>
      </c>
      <c r="I2263" t="n">
        <v>2.5</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24329-2024</t>
        </is>
      </c>
      <c r="B2264" t="inlineStr">
        <is>
          <t>avverkningsanmälan</t>
        </is>
      </c>
      <c r="C2264" t="inlineStr">
        <is>
          <t>Föryngringsavverkning</t>
        </is>
      </c>
      <c r="D2264" s="1" t="n">
        <v>45457</v>
      </c>
      <c r="E2264" s="1" t="n">
        <v>46326</v>
      </c>
      <c r="F2264" t="inlineStr">
        <is>
          <t>GÄVLEBORGS LÄN</t>
        </is>
      </c>
      <c r="G2264" t="inlineStr">
        <is>
          <t>HUDIKSVALL</t>
        </is>
      </c>
      <c r="I2264" t="n">
        <v>1</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1213-2026</t>
        </is>
      </c>
      <c r="B2265" t="inlineStr">
        <is>
          <t>avverkningsanmälan</t>
        </is>
      </c>
      <c r="C2265" t="inlineStr">
        <is>
          <t>Föryngringsavverkning</t>
        </is>
      </c>
      <c r="D2265" s="1" t="n">
        <v>46031</v>
      </c>
      <c r="E2265" s="1" t="n">
        <v>46326</v>
      </c>
      <c r="F2265" t="inlineStr">
        <is>
          <t>GÄVLEBORGS LÄN</t>
        </is>
      </c>
      <c r="G2265" t="inlineStr">
        <is>
          <t>BOLLNÄS</t>
        </is>
      </c>
      <c r="I2265" t="n">
        <v>15.2</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1245-2026</t>
        </is>
      </c>
      <c r="B2266" t="inlineStr">
        <is>
          <t>avverkningsanmälan</t>
        </is>
      </c>
      <c r="C2266" t="inlineStr">
        <is>
          <t>Föryngringsavverkning</t>
        </is>
      </c>
      <c r="D2266" s="1" t="n">
        <v>46031</v>
      </c>
      <c r="E2266" s="1" t="n">
        <v>46326</v>
      </c>
      <c r="F2266" t="inlineStr">
        <is>
          <t>GÄVLEBORGS LÄN</t>
        </is>
      </c>
      <c r="G2266" t="inlineStr">
        <is>
          <t>LJUSDAL</t>
        </is>
      </c>
      <c r="I2266" t="n">
        <v>3.4</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49624-2022</t>
        </is>
      </c>
      <c r="B2267" t="inlineStr">
        <is>
          <t>avverkningsanmälan</t>
        </is>
      </c>
      <c r="C2267" t="inlineStr">
        <is>
          <t>Föryngringsavverkning</t>
        </is>
      </c>
      <c r="D2267" s="1" t="n">
        <v>44862</v>
      </c>
      <c r="E2267" s="1" t="n">
        <v>46326</v>
      </c>
      <c r="F2267" t="inlineStr">
        <is>
          <t>GÄVLEBORGS LÄN</t>
        </is>
      </c>
      <c r="G2267" t="inlineStr">
        <is>
          <t>BOLLNÄS</t>
        </is>
      </c>
      <c r="I2267" t="n">
        <v>1.3</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27408-2025</t>
        </is>
      </c>
      <c r="B2268" t="inlineStr">
        <is>
          <t>avverkningsanmälan</t>
        </is>
      </c>
      <c r="C2268" t="inlineStr">
        <is>
          <t>Avverkning för annat ändamål</t>
        </is>
      </c>
      <c r="D2268" s="1" t="n">
        <v>45812</v>
      </c>
      <c r="E2268" s="1" t="n">
        <v>46326</v>
      </c>
      <c r="F2268" t="inlineStr">
        <is>
          <t>GÄVLEBORGS LÄN</t>
        </is>
      </c>
      <c r="G2268" t="inlineStr">
        <is>
          <t>LJUSDAL</t>
        </is>
      </c>
      <c r="H2268" t="inlineStr">
        <is>
          <t>Sveaskog</t>
        </is>
      </c>
      <c r="I2268" t="n">
        <v>0.3</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27410-2025</t>
        </is>
      </c>
      <c r="B2269" t="inlineStr">
        <is>
          <t>avverkningsanmälan</t>
        </is>
      </c>
      <c r="C2269" t="inlineStr">
        <is>
          <t>Avverkning för annat ändamål</t>
        </is>
      </c>
      <c r="D2269" s="1" t="n">
        <v>45812</v>
      </c>
      <c r="E2269" s="1" t="n">
        <v>46326</v>
      </c>
      <c r="F2269" t="inlineStr">
        <is>
          <t>GÄVLEBORGS LÄN</t>
        </is>
      </c>
      <c r="G2269" t="inlineStr">
        <is>
          <t>LJUSDAL</t>
        </is>
      </c>
      <c r="H2269" t="inlineStr">
        <is>
          <t>Sveaskog</t>
        </is>
      </c>
      <c r="I2269" t="n">
        <v>0.5</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27447-2025</t>
        </is>
      </c>
      <c r="B2270" t="inlineStr">
        <is>
          <t>avverkningsanmälan</t>
        </is>
      </c>
      <c r="C2270" t="inlineStr">
        <is>
          <t>Föryngringsavverkning</t>
        </is>
      </c>
      <c r="D2270" s="1" t="n">
        <v>45813</v>
      </c>
      <c r="E2270" s="1" t="n">
        <v>46326</v>
      </c>
      <c r="F2270" t="inlineStr">
        <is>
          <t>GÄVLEBORGS LÄN</t>
        </is>
      </c>
      <c r="G2270" t="inlineStr">
        <is>
          <t>NORDANSTIG</t>
        </is>
      </c>
      <c r="I2270" t="n">
        <v>1.3</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872-2026</t>
        </is>
      </c>
      <c r="B2271" t="inlineStr">
        <is>
          <t>avverkningsanmälan</t>
        </is>
      </c>
      <c r="C2271" t="inlineStr">
        <is>
          <t>Föryngringsavverkning</t>
        </is>
      </c>
      <c r="D2271" s="1" t="n">
        <v>46030</v>
      </c>
      <c r="E2271" s="1" t="n">
        <v>46326</v>
      </c>
      <c r="F2271" t="inlineStr">
        <is>
          <t>GÄVLEBORGS LÄN</t>
        </is>
      </c>
      <c r="G2271" t="inlineStr">
        <is>
          <t>GÄVLE</t>
        </is>
      </c>
      <c r="I2271" t="n">
        <v>1.2</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34725-2022</t>
        </is>
      </c>
      <c r="B2272" t="inlineStr">
        <is>
          <t>avverkningsanmälan</t>
        </is>
      </c>
      <c r="C2272" t="inlineStr">
        <is>
          <t>Föryngringsavverkning</t>
        </is>
      </c>
      <c r="D2272" s="1" t="n">
        <v>44795</v>
      </c>
      <c r="E2272" s="1" t="n">
        <v>46326</v>
      </c>
      <c r="F2272" t="inlineStr">
        <is>
          <t>GÄVLEBORGS LÄN</t>
        </is>
      </c>
      <c r="G2272" t="inlineStr">
        <is>
          <t>SÖDERHAMN</t>
        </is>
      </c>
      <c r="I2272" t="n">
        <v>1</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27203-2025</t>
        </is>
      </c>
      <c r="B2273" t="inlineStr">
        <is>
          <t>avverkningsanmälan</t>
        </is>
      </c>
      <c r="C2273" t="inlineStr">
        <is>
          <t>Föryngringsavverkning</t>
        </is>
      </c>
      <c r="D2273" s="1" t="n">
        <v>45812</v>
      </c>
      <c r="E2273" s="1" t="n">
        <v>46326</v>
      </c>
      <c r="F2273" t="inlineStr">
        <is>
          <t>GÄVLEBORGS LÄN</t>
        </is>
      </c>
      <c r="G2273" t="inlineStr">
        <is>
          <t>NORDANSTIG</t>
        </is>
      </c>
      <c r="H2273" t="inlineStr">
        <is>
          <t>Holmen skog AB</t>
        </is>
      </c>
      <c r="I2273" t="n">
        <v>4</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881-2026</t>
        </is>
      </c>
      <c r="B2274" t="inlineStr">
        <is>
          <t>avverkningsanmälan</t>
        </is>
      </c>
      <c r="C2274" t="inlineStr">
        <is>
          <t>Föryngringsavverkning</t>
        </is>
      </c>
      <c r="D2274" s="1" t="n">
        <v>46030</v>
      </c>
      <c r="E2274" s="1" t="n">
        <v>46326</v>
      </c>
      <c r="F2274" t="inlineStr">
        <is>
          <t>GÄVLEBORGS LÄN</t>
        </is>
      </c>
      <c r="G2274" t="inlineStr">
        <is>
          <t>LJUSDAL</t>
        </is>
      </c>
      <c r="I2274" t="n">
        <v>11</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1349-2026</t>
        </is>
      </c>
      <c r="B2275" t="inlineStr">
        <is>
          <t>avverkningsanmälan</t>
        </is>
      </c>
      <c r="C2275" t="inlineStr">
        <is>
          <t>Föryngringsavverkning</t>
        </is>
      </c>
      <c r="D2275" s="1" t="n">
        <v>46031</v>
      </c>
      <c r="E2275" s="1" t="n">
        <v>46326</v>
      </c>
      <c r="F2275" t="inlineStr">
        <is>
          <t>GÄVLEBORGS LÄN</t>
        </is>
      </c>
      <c r="G2275" t="inlineStr">
        <is>
          <t>OCKELBO</t>
        </is>
      </c>
      <c r="I2275" t="n">
        <v>5</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56813-2022</t>
        </is>
      </c>
      <c r="B2276" t="inlineStr">
        <is>
          <t>avverkningsanmälan</t>
        </is>
      </c>
      <c r="C2276" t="inlineStr">
        <is>
          <t>Föryngringsavverkning</t>
        </is>
      </c>
      <c r="D2276" s="1" t="n">
        <v>44894</v>
      </c>
      <c r="E2276" s="1" t="n">
        <v>46326</v>
      </c>
      <c r="F2276" t="inlineStr">
        <is>
          <t>GÄVLEBORGS LÄN</t>
        </is>
      </c>
      <c r="G2276" t="inlineStr">
        <is>
          <t>HUDIKSVALL</t>
        </is>
      </c>
      <c r="H2276" t="inlineStr">
        <is>
          <t>Kommuner</t>
        </is>
      </c>
      <c r="I2276" t="n">
        <v>0.6</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21682-2024</t>
        </is>
      </c>
      <c r="B2277" t="inlineStr">
        <is>
          <t>avverkningsanmälan</t>
        </is>
      </c>
      <c r="C2277" t="inlineStr">
        <is>
          <t>Föryngringsavverkning</t>
        </is>
      </c>
      <c r="D2277" s="1" t="n">
        <v>45442</v>
      </c>
      <c r="E2277" s="1" t="n">
        <v>46326</v>
      </c>
      <c r="F2277" t="inlineStr">
        <is>
          <t>GÄVLEBORGS LÄN</t>
        </is>
      </c>
      <c r="G2277" t="inlineStr">
        <is>
          <t>BOLLNÄS</t>
        </is>
      </c>
      <c r="H2277" t="inlineStr">
        <is>
          <t>Bergvik skog väst AB</t>
        </is>
      </c>
      <c r="I2277" t="n">
        <v>2</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41729-2023</t>
        </is>
      </c>
      <c r="B2278" t="inlineStr">
        <is>
          <t>avverkningsanmälan</t>
        </is>
      </c>
      <c r="C2278" t="inlineStr">
        <is>
          <t>Föryngringsavverkning</t>
        </is>
      </c>
      <c r="D2278" s="1" t="n">
        <v>45176</v>
      </c>
      <c r="E2278" s="1" t="n">
        <v>46326</v>
      </c>
      <c r="F2278" t="inlineStr">
        <is>
          <t>GÄVLEBORGS LÄN</t>
        </is>
      </c>
      <c r="G2278" t="inlineStr">
        <is>
          <t>NORDANSTIG</t>
        </is>
      </c>
      <c r="H2278" t="inlineStr">
        <is>
          <t>Holmen skog AB</t>
        </is>
      </c>
      <c r="I2278" t="n">
        <v>1</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41740-2023</t>
        </is>
      </c>
      <c r="B2279" t="inlineStr">
        <is>
          <t>avverkningsanmälan</t>
        </is>
      </c>
      <c r="C2279" t="inlineStr">
        <is>
          <t>Föryngringsavverkning</t>
        </is>
      </c>
      <c r="D2279" s="1" t="n">
        <v>45176</v>
      </c>
      <c r="E2279" s="1" t="n">
        <v>46326</v>
      </c>
      <c r="F2279" t="inlineStr">
        <is>
          <t>GÄVLEBORGS LÄN</t>
        </is>
      </c>
      <c r="G2279" t="inlineStr">
        <is>
          <t>BOLLNÄS</t>
        </is>
      </c>
      <c r="I2279" t="n">
        <v>0.4</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61774-2024</t>
        </is>
      </c>
      <c r="B2280" t="inlineStr">
        <is>
          <t>avverkningsanmälan</t>
        </is>
      </c>
      <c r="C2280" t="inlineStr">
        <is>
          <t>Föryngringsavverkning</t>
        </is>
      </c>
      <c r="D2280" s="1" t="n">
        <v>45649</v>
      </c>
      <c r="E2280" s="1" t="n">
        <v>46326</v>
      </c>
      <c r="F2280" t="inlineStr">
        <is>
          <t>GÄVLEBORGS LÄN</t>
        </is>
      </c>
      <c r="G2280" t="inlineStr">
        <is>
          <t>SANDVIKEN</t>
        </is>
      </c>
      <c r="I2280" t="n">
        <v>5.6</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1396-2026</t>
        </is>
      </c>
      <c r="B2281" t="inlineStr">
        <is>
          <t>avverkningsanmälan</t>
        </is>
      </c>
      <c r="C2281" t="inlineStr">
        <is>
          <t>Föryngringsavverkning</t>
        </is>
      </c>
      <c r="D2281" s="1" t="n">
        <v>46031</v>
      </c>
      <c r="E2281" s="1" t="n">
        <v>46326</v>
      </c>
      <c r="F2281" t="inlineStr">
        <is>
          <t>GÄVLEBORGS LÄN</t>
        </is>
      </c>
      <c r="G2281" t="inlineStr">
        <is>
          <t>LJUSDAL</t>
        </is>
      </c>
      <c r="I2281" t="n">
        <v>4.7</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27305-2025</t>
        </is>
      </c>
      <c r="B2282" t="inlineStr">
        <is>
          <t>avverkningsanmälan</t>
        </is>
      </c>
      <c r="C2282" t="inlineStr">
        <is>
          <t>Föryngringsavverkning</t>
        </is>
      </c>
      <c r="D2282" s="1" t="n">
        <v>45812</v>
      </c>
      <c r="E2282" s="1" t="n">
        <v>46326</v>
      </c>
      <c r="F2282" t="inlineStr">
        <is>
          <t>GÄVLEBORGS LÄN</t>
        </is>
      </c>
      <c r="G2282" t="inlineStr">
        <is>
          <t>LJUSDAL</t>
        </is>
      </c>
      <c r="H2282" t="inlineStr">
        <is>
          <t>Allmännings- och besparingsskogar</t>
        </is>
      </c>
      <c r="I2282" t="n">
        <v>0.5</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1001-2026</t>
        </is>
      </c>
      <c r="B2283" t="inlineStr">
        <is>
          <t>avverkningsanmälan</t>
        </is>
      </c>
      <c r="C2283" t="inlineStr">
        <is>
          <t>Föryngringsavverkning</t>
        </is>
      </c>
      <c r="D2283" s="1" t="n">
        <v>46030</v>
      </c>
      <c r="E2283" s="1" t="n">
        <v>46326</v>
      </c>
      <c r="F2283" t="inlineStr">
        <is>
          <t>GÄVLEBORGS LÄN</t>
        </is>
      </c>
      <c r="G2283" t="inlineStr">
        <is>
          <t>SÖDERHAMN</t>
        </is>
      </c>
      <c r="I2283" t="n">
        <v>9.1</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33052-2024</t>
        </is>
      </c>
      <c r="B2284" t="inlineStr">
        <is>
          <t>avverkningsanmälan</t>
        </is>
      </c>
      <c r="C2284" t="inlineStr">
        <is>
          <t>Föryngringsavverkning</t>
        </is>
      </c>
      <c r="D2284" s="1" t="n">
        <v>45517</v>
      </c>
      <c r="E2284" s="1" t="n">
        <v>46326</v>
      </c>
      <c r="F2284" t="inlineStr">
        <is>
          <t>GÄVLEBORGS LÄN</t>
        </is>
      </c>
      <c r="G2284" t="inlineStr">
        <is>
          <t>LJUSDAL</t>
        </is>
      </c>
      <c r="H2284" t="inlineStr">
        <is>
          <t>Allmännings- och besparingsskogar</t>
        </is>
      </c>
      <c r="I2284" t="n">
        <v>1.9</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64727-2023</t>
        </is>
      </c>
      <c r="B2285" t="inlineStr">
        <is>
          <t>avverkningsanmälan</t>
        </is>
      </c>
      <c r="C2285" t="inlineStr">
        <is>
          <t>Föryngringsavverkning</t>
        </is>
      </c>
      <c r="D2285" s="1" t="n">
        <v>45281</v>
      </c>
      <c r="E2285" s="1" t="n">
        <v>46326</v>
      </c>
      <c r="F2285" t="inlineStr">
        <is>
          <t>GÄVLEBORGS LÄN</t>
        </is>
      </c>
      <c r="G2285" t="inlineStr">
        <is>
          <t>HUDIKSVALL</t>
        </is>
      </c>
      <c r="I2285" t="n">
        <v>1.1</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1040-2026</t>
        </is>
      </c>
      <c r="B2286" t="inlineStr">
        <is>
          <t>avverkningsanmälan</t>
        </is>
      </c>
      <c r="C2286" t="inlineStr">
        <is>
          <t>Föryngringsavverkning</t>
        </is>
      </c>
      <c r="D2286" s="1" t="n">
        <v>46030</v>
      </c>
      <c r="E2286" s="1" t="n">
        <v>46326</v>
      </c>
      <c r="F2286" t="inlineStr">
        <is>
          <t>GÄVLEBORGS LÄN</t>
        </is>
      </c>
      <c r="G2286" t="inlineStr">
        <is>
          <t>OVANÅKER</t>
        </is>
      </c>
      <c r="I2286" t="n">
        <v>4.3</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1059-2026</t>
        </is>
      </c>
      <c r="B2287" t="inlineStr">
        <is>
          <t>avverkningsanmälan</t>
        </is>
      </c>
      <c r="C2287" t="inlineStr">
        <is>
          <t>Föryngringsavverkning</t>
        </is>
      </c>
      <c r="D2287" s="1" t="n">
        <v>46030</v>
      </c>
      <c r="E2287" s="1" t="n">
        <v>46326</v>
      </c>
      <c r="F2287" t="inlineStr">
        <is>
          <t>GÄVLEBORGS LÄN</t>
        </is>
      </c>
      <c r="G2287" t="inlineStr">
        <is>
          <t>NORDANSTIG</t>
        </is>
      </c>
      <c r="I2287" t="n">
        <v>3.5</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38516-2025</t>
        </is>
      </c>
      <c r="B2288" t="inlineStr">
        <is>
          <t>avverkningsanmälan</t>
        </is>
      </c>
      <c r="C2288" t="inlineStr">
        <is>
          <t>Föryngringsavverkning</t>
        </is>
      </c>
      <c r="D2288" s="1" t="n">
        <v>45884</v>
      </c>
      <c r="E2288" s="1" t="n">
        <v>46326</v>
      </c>
      <c r="F2288" t="inlineStr">
        <is>
          <t>GÄVLEBORGS LÄN</t>
        </is>
      </c>
      <c r="G2288" t="inlineStr">
        <is>
          <t>GÄVLE</t>
        </is>
      </c>
      <c r="H2288" t="inlineStr">
        <is>
          <t>Bergvik skog öst AB</t>
        </is>
      </c>
      <c r="I2288" t="n">
        <v>0.7</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27159-2025</t>
        </is>
      </c>
      <c r="B2289" t="inlineStr">
        <is>
          <t>avverkningsanmälan</t>
        </is>
      </c>
      <c r="C2289" t="inlineStr">
        <is>
          <t>Föryngringsavverkning</t>
        </is>
      </c>
      <c r="D2289" s="1" t="n">
        <v>45812</v>
      </c>
      <c r="E2289" s="1" t="n">
        <v>46326</v>
      </c>
      <c r="F2289" t="inlineStr">
        <is>
          <t>GÄVLEBORGS LÄN</t>
        </is>
      </c>
      <c r="G2289" t="inlineStr">
        <is>
          <t>HUDIKSVALL</t>
        </is>
      </c>
      <c r="H2289" t="inlineStr">
        <is>
          <t>Holmen skog AB</t>
        </is>
      </c>
      <c r="I2289" t="n">
        <v>29.4</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61880-2024</t>
        </is>
      </c>
      <c r="B2290" t="inlineStr">
        <is>
          <t>avverkningsanmälan</t>
        </is>
      </c>
      <c r="C2290" t="inlineStr">
        <is>
          <t>Föryngringsavverkning</t>
        </is>
      </c>
      <c r="D2290" s="1" t="n">
        <v>45652</v>
      </c>
      <c r="E2290" s="1" t="n">
        <v>46326</v>
      </c>
      <c r="F2290" t="inlineStr">
        <is>
          <t>GÄVLEBORGS LÄN</t>
        </is>
      </c>
      <c r="G2290" t="inlineStr">
        <is>
          <t>GÄVLE</t>
        </is>
      </c>
      <c r="I2290" t="n">
        <v>0.6</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23809-2024</t>
        </is>
      </c>
      <c r="B2291" t="inlineStr">
        <is>
          <t>avverkningsanmälan</t>
        </is>
      </c>
      <c r="C2291" t="inlineStr">
        <is>
          <t>Föryngringsavverkning</t>
        </is>
      </c>
      <c r="D2291" s="1" t="n">
        <v>45455</v>
      </c>
      <c r="E2291" s="1" t="n">
        <v>46326</v>
      </c>
      <c r="F2291" t="inlineStr">
        <is>
          <t>GÄVLEBORGS LÄN</t>
        </is>
      </c>
      <c r="G2291" t="inlineStr">
        <is>
          <t>BOLLNÄS</t>
        </is>
      </c>
      <c r="I2291" t="n">
        <v>1.8</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47995-2024</t>
        </is>
      </c>
      <c r="B2292" t="inlineStr">
        <is>
          <t>avverkningsanmälan</t>
        </is>
      </c>
      <c r="C2292" t="inlineStr">
        <is>
          <t>Föryngringsavverkning</t>
        </is>
      </c>
      <c r="D2292" s="1" t="n">
        <v>45589</v>
      </c>
      <c r="E2292" s="1" t="n">
        <v>46326</v>
      </c>
      <c r="F2292" t="inlineStr">
        <is>
          <t>GÄVLEBORGS LÄN</t>
        </is>
      </c>
      <c r="G2292" t="inlineStr">
        <is>
          <t>HUDIKSVALL</t>
        </is>
      </c>
      <c r="I2292" t="n">
        <v>2.2</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28057-2025</t>
        </is>
      </c>
      <c r="B2293" t="inlineStr">
        <is>
          <t>avverkningsanmälan</t>
        </is>
      </c>
      <c r="C2293" t="inlineStr">
        <is>
          <t>Föryngringsavverkning</t>
        </is>
      </c>
      <c r="D2293" s="1" t="n">
        <v>45817</v>
      </c>
      <c r="E2293" s="1" t="n">
        <v>46326</v>
      </c>
      <c r="F2293" t="inlineStr">
        <is>
          <t>GÄVLEBORGS LÄN</t>
        </is>
      </c>
      <c r="G2293" t="inlineStr">
        <is>
          <t>OVANÅKER</t>
        </is>
      </c>
      <c r="H2293" t="inlineStr">
        <is>
          <t>Bergvik skog väst AB</t>
        </is>
      </c>
      <c r="I2293" t="n">
        <v>1.9</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1006-2026</t>
        </is>
      </c>
      <c r="B2294" t="inlineStr">
        <is>
          <t>avverkningsanmälan</t>
        </is>
      </c>
      <c r="C2294" t="inlineStr">
        <is>
          <t>Föryngringsavverkning</t>
        </is>
      </c>
      <c r="D2294" s="1" t="n">
        <v>46030</v>
      </c>
      <c r="E2294" s="1" t="n">
        <v>46326</v>
      </c>
      <c r="F2294" t="inlineStr">
        <is>
          <t>GÄVLEBORGS LÄN</t>
        </is>
      </c>
      <c r="G2294" t="inlineStr">
        <is>
          <t>HUDIKSVALL</t>
        </is>
      </c>
      <c r="I2294" t="n">
        <v>1</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1017-2026</t>
        </is>
      </c>
      <c r="B2295" t="inlineStr">
        <is>
          <t>avverkningsanmälan</t>
        </is>
      </c>
      <c r="C2295" t="inlineStr">
        <is>
          <t>Avverkning för annat ändamål</t>
        </is>
      </c>
      <c r="D2295" s="1" t="n">
        <v>46030</v>
      </c>
      <c r="E2295" s="1" t="n">
        <v>46326</v>
      </c>
      <c r="F2295" t="inlineStr">
        <is>
          <t>GÄVLEBORGS LÄN</t>
        </is>
      </c>
      <c r="G2295" t="inlineStr">
        <is>
          <t>HUDIKSVALL</t>
        </is>
      </c>
      <c r="I2295" t="n">
        <v>0.6</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48649-2024</t>
        </is>
      </c>
      <c r="B2296" t="inlineStr">
        <is>
          <t>avverkningsanmälan</t>
        </is>
      </c>
      <c r="C2296" t="inlineStr">
        <is>
          <t>Föryngringsavverkning</t>
        </is>
      </c>
      <c r="D2296" s="1" t="n">
        <v>45593</v>
      </c>
      <c r="E2296" s="1" t="n">
        <v>46326</v>
      </c>
      <c r="F2296" t="inlineStr">
        <is>
          <t>GÄVLEBORGS LÄN</t>
        </is>
      </c>
      <c r="G2296" t="inlineStr">
        <is>
          <t>HUDIKSVALL</t>
        </is>
      </c>
      <c r="I2296" t="n">
        <v>0.4</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27839-2025</t>
        </is>
      </c>
      <c r="B2297" t="inlineStr">
        <is>
          <t>avverkningsanmälan</t>
        </is>
      </c>
      <c r="C2297" t="inlineStr">
        <is>
          <t>Föryngringsavverkning</t>
        </is>
      </c>
      <c r="D2297" s="1" t="n">
        <v>45817</v>
      </c>
      <c r="E2297" s="1" t="n">
        <v>46326</v>
      </c>
      <c r="F2297" t="inlineStr">
        <is>
          <t>GÄVLEBORGS LÄN</t>
        </is>
      </c>
      <c r="G2297" t="inlineStr">
        <is>
          <t>LJUSDAL</t>
        </is>
      </c>
      <c r="H2297" t="inlineStr">
        <is>
          <t>Holmen skog AB</t>
        </is>
      </c>
      <c r="I2297" t="n">
        <v>20.9</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27787-2024</t>
        </is>
      </c>
      <c r="B2298" t="inlineStr">
        <is>
          <t>avverkningsanmälan</t>
        </is>
      </c>
      <c r="C2298" t="inlineStr">
        <is>
          <t>Föryngringsavverkning</t>
        </is>
      </c>
      <c r="D2298" s="1" t="n">
        <v>45475</v>
      </c>
      <c r="E2298" s="1" t="n">
        <v>46326</v>
      </c>
      <c r="F2298" t="inlineStr">
        <is>
          <t>GÄVLEBORGS LÄN</t>
        </is>
      </c>
      <c r="G2298" t="inlineStr">
        <is>
          <t>GÄVLE</t>
        </is>
      </c>
      <c r="I2298" t="n">
        <v>1.4</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48848-2024</t>
        </is>
      </c>
      <c r="B2299" t="inlineStr">
        <is>
          <t>avverkningsanmälan</t>
        </is>
      </c>
      <c r="C2299" t="inlineStr">
        <is>
          <t>Föryngringsavverkning</t>
        </is>
      </c>
      <c r="D2299" s="1" t="n">
        <v>45593</v>
      </c>
      <c r="E2299" s="1" t="n">
        <v>46326</v>
      </c>
      <c r="F2299" t="inlineStr">
        <is>
          <t>GÄVLEBORGS LÄN</t>
        </is>
      </c>
      <c r="G2299" t="inlineStr">
        <is>
          <t>LJUSDAL</t>
        </is>
      </c>
      <c r="H2299" t="inlineStr">
        <is>
          <t>Bergvik skog väst AB</t>
        </is>
      </c>
      <c r="I2299" t="n">
        <v>5.4</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58598-2024</t>
        </is>
      </c>
      <c r="B2300" t="inlineStr">
        <is>
          <t>avverkningsanmälan</t>
        </is>
      </c>
      <c r="C2300" t="inlineStr">
        <is>
          <t>Föryngringsavverkning</t>
        </is>
      </c>
      <c r="D2300" s="1" t="n">
        <v>45635</v>
      </c>
      <c r="E2300" s="1" t="n">
        <v>46326</v>
      </c>
      <c r="F2300" t="inlineStr">
        <is>
          <t>GÄVLEBORGS LÄN</t>
        </is>
      </c>
      <c r="G2300" t="inlineStr">
        <is>
          <t>LJUSDAL</t>
        </is>
      </c>
      <c r="H2300" t="inlineStr">
        <is>
          <t>Allmännings- och besparingsskogar</t>
        </is>
      </c>
      <c r="I2300" t="n">
        <v>0.5</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27905-2025</t>
        </is>
      </c>
      <c r="B2301" t="inlineStr">
        <is>
          <t>avverkningsanmälan</t>
        </is>
      </c>
      <c r="C2301" t="inlineStr">
        <is>
          <t>Föryngringsavverkning</t>
        </is>
      </c>
      <c r="D2301" s="1" t="n">
        <v>45817</v>
      </c>
      <c r="E2301" s="1" t="n">
        <v>46326</v>
      </c>
      <c r="F2301" t="inlineStr">
        <is>
          <t>GÄVLEBORGS LÄN</t>
        </is>
      </c>
      <c r="G2301" t="inlineStr">
        <is>
          <t>LJUSDAL</t>
        </is>
      </c>
      <c r="H2301" t="inlineStr">
        <is>
          <t>Holmen skog AB</t>
        </is>
      </c>
      <c r="I2301" t="n">
        <v>9.699999999999999</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411-2025</t>
        </is>
      </c>
      <c r="B2302" t="inlineStr">
        <is>
          <t>avverkningsanmälan</t>
        </is>
      </c>
      <c r="C2302" t="inlineStr">
        <is>
          <t>Avverkning för annat ändamål</t>
        </is>
      </c>
      <c r="D2302" s="1" t="n">
        <v>45663</v>
      </c>
      <c r="E2302" s="1" t="n">
        <v>46326</v>
      </c>
      <c r="F2302" t="inlineStr">
        <is>
          <t>GÄVLEBORGS LÄN</t>
        </is>
      </c>
      <c r="G2302" t="inlineStr">
        <is>
          <t>NORDANSTIG</t>
        </is>
      </c>
      <c r="I2302" t="n">
        <v>1</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21211-2025</t>
        </is>
      </c>
      <c r="B2303" t="inlineStr">
        <is>
          <t>avverkningsanmälan</t>
        </is>
      </c>
      <c r="C2303" t="inlineStr">
        <is>
          <t>Föryngringsavverkning</t>
        </is>
      </c>
      <c r="D2303" s="1" t="n">
        <v>45779</v>
      </c>
      <c r="E2303" s="1" t="n">
        <v>46326</v>
      </c>
      <c r="F2303" t="inlineStr">
        <is>
          <t>GÄVLEBORGS LÄN</t>
        </is>
      </c>
      <c r="G2303" t="inlineStr">
        <is>
          <t>BOLLNÄS</t>
        </is>
      </c>
      <c r="I2303" t="n">
        <v>2.6</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1409-2026</t>
        </is>
      </c>
      <c r="B2304" t="inlineStr">
        <is>
          <t>avverkningsanmälan</t>
        </is>
      </c>
      <c r="C2304" t="inlineStr">
        <is>
          <t>Föryngringsavverkning</t>
        </is>
      </c>
      <c r="D2304" s="1" t="n">
        <v>46031</v>
      </c>
      <c r="E2304" s="1" t="n">
        <v>46326</v>
      </c>
      <c r="F2304" t="inlineStr">
        <is>
          <t>GÄVLEBORGS LÄN</t>
        </is>
      </c>
      <c r="G2304" t="inlineStr">
        <is>
          <t>LJUSDAL</t>
        </is>
      </c>
      <c r="I2304" t="n">
        <v>2</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969-2026</t>
        </is>
      </c>
      <c r="B2305" t="inlineStr">
        <is>
          <t>avverkningsanmälan</t>
        </is>
      </c>
      <c r="C2305" t="inlineStr">
        <is>
          <t>Föryngringsavverkning</t>
        </is>
      </c>
      <c r="D2305" s="1" t="n">
        <v>46030</v>
      </c>
      <c r="E2305" s="1" t="n">
        <v>46326</v>
      </c>
      <c r="F2305" t="inlineStr">
        <is>
          <t>GÄVLEBORGS LÄN</t>
        </is>
      </c>
      <c r="G2305" t="inlineStr">
        <is>
          <t>OVANÅKER</t>
        </is>
      </c>
      <c r="I2305" t="n">
        <v>2.9</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13047-2023</t>
        </is>
      </c>
      <c r="B2306" t="inlineStr">
        <is>
          <t>avverkningsanmälan</t>
        </is>
      </c>
      <c r="C2306" t="inlineStr">
        <is>
          <t>Föryngringsavverkning</t>
        </is>
      </c>
      <c r="D2306" s="1" t="n">
        <v>45002</v>
      </c>
      <c r="E2306" s="1" t="n">
        <v>46326</v>
      </c>
      <c r="F2306" t="inlineStr">
        <is>
          <t>GÄVLEBORGS LÄN</t>
        </is>
      </c>
      <c r="G2306" t="inlineStr">
        <is>
          <t>OVANÅKER</t>
        </is>
      </c>
      <c r="I2306" t="n">
        <v>0.2</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27928-2025</t>
        </is>
      </c>
      <c r="B2307" t="inlineStr">
        <is>
          <t>avverkningsanmälan</t>
        </is>
      </c>
      <c r="C2307" t="inlineStr">
        <is>
          <t>Föryngringsavverkning</t>
        </is>
      </c>
      <c r="D2307" s="1" t="n">
        <v>45817</v>
      </c>
      <c r="E2307" s="1" t="n">
        <v>46326</v>
      </c>
      <c r="F2307" t="inlineStr">
        <is>
          <t>GÄVLEBORGS LÄN</t>
        </is>
      </c>
      <c r="G2307" t="inlineStr">
        <is>
          <t>LJUSDAL</t>
        </is>
      </c>
      <c r="I2307" t="n">
        <v>2.6</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27841-2025</t>
        </is>
      </c>
      <c r="B2308" t="inlineStr">
        <is>
          <t>avverkningsanmälan</t>
        </is>
      </c>
      <c r="C2308" t="inlineStr">
        <is>
          <t>Föryngringsavverkning</t>
        </is>
      </c>
      <c r="D2308" s="1" t="n">
        <v>45817</v>
      </c>
      <c r="E2308" s="1" t="n">
        <v>46326</v>
      </c>
      <c r="F2308" t="inlineStr">
        <is>
          <t>GÄVLEBORGS LÄN</t>
        </is>
      </c>
      <c r="G2308" t="inlineStr">
        <is>
          <t>NORDANSTIG</t>
        </is>
      </c>
      <c r="H2308" t="inlineStr">
        <is>
          <t>Holmen skog AB</t>
        </is>
      </c>
      <c r="I2308" t="n">
        <v>14.2</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28009-2025</t>
        </is>
      </c>
      <c r="B2309" t="inlineStr">
        <is>
          <t>avverkningsanmälan</t>
        </is>
      </c>
      <c r="C2309" t="inlineStr">
        <is>
          <t>Föryngringsavverkning</t>
        </is>
      </c>
      <c r="D2309" s="1" t="n">
        <v>45817</v>
      </c>
      <c r="E2309" s="1" t="n">
        <v>46326</v>
      </c>
      <c r="F2309" t="inlineStr">
        <is>
          <t>GÄVLEBORGS LÄN</t>
        </is>
      </c>
      <c r="G2309" t="inlineStr">
        <is>
          <t>GÄVLE</t>
        </is>
      </c>
      <c r="I2309" t="n">
        <v>1.2</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18479-2024</t>
        </is>
      </c>
      <c r="B2310" t="inlineStr">
        <is>
          <t>avverkningsanmälan</t>
        </is>
      </c>
      <c r="C2310" t="inlineStr">
        <is>
          <t>Föryngringsavverkning</t>
        </is>
      </c>
      <c r="D2310" s="1" t="n">
        <v>45425</v>
      </c>
      <c r="E2310" s="1" t="n">
        <v>46326</v>
      </c>
      <c r="F2310" t="inlineStr">
        <is>
          <t>GÄVLEBORGS LÄN</t>
        </is>
      </c>
      <c r="G2310" t="inlineStr">
        <is>
          <t>NORDANSTIG</t>
        </is>
      </c>
      <c r="I2310" t="n">
        <v>7.6</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1184-2026</t>
        </is>
      </c>
      <c r="B2311" t="inlineStr">
        <is>
          <t>avverkningsanmälan</t>
        </is>
      </c>
      <c r="C2311" t="inlineStr">
        <is>
          <t>Föryngringsavverkning</t>
        </is>
      </c>
      <c r="D2311" s="1" t="n">
        <v>46031</v>
      </c>
      <c r="E2311" s="1" t="n">
        <v>46326</v>
      </c>
      <c r="F2311" t="inlineStr">
        <is>
          <t>GÄVLEBORGS LÄN</t>
        </is>
      </c>
      <c r="G2311" t="inlineStr">
        <is>
          <t>NORDANSTIG</t>
        </is>
      </c>
      <c r="I2311" t="n">
        <v>2.7</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27990-2025</t>
        </is>
      </c>
      <c r="B2312" t="inlineStr">
        <is>
          <t>avverkningsanmälan</t>
        </is>
      </c>
      <c r="C2312" t="inlineStr">
        <is>
          <t>Föryngringsavverkning</t>
        </is>
      </c>
      <c r="D2312" s="1" t="n">
        <v>45817</v>
      </c>
      <c r="E2312" s="1" t="n">
        <v>46326</v>
      </c>
      <c r="F2312" t="inlineStr">
        <is>
          <t>GÄVLEBORGS LÄN</t>
        </is>
      </c>
      <c r="G2312" t="inlineStr">
        <is>
          <t>OCKELBO</t>
        </is>
      </c>
      <c r="H2312" t="inlineStr">
        <is>
          <t>Bergvik skog väst AB</t>
        </is>
      </c>
      <c r="I2312" t="n">
        <v>7.8</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18492-2024</t>
        </is>
      </c>
      <c r="B2313" t="inlineStr">
        <is>
          <t>avverkningsanmälan</t>
        </is>
      </c>
      <c r="C2313" t="inlineStr">
        <is>
          <t>Föryngringsavverkning</t>
        </is>
      </c>
      <c r="D2313" s="1" t="n">
        <v>45425</v>
      </c>
      <c r="E2313" s="1" t="n">
        <v>46326</v>
      </c>
      <c r="F2313" t="inlineStr">
        <is>
          <t>GÄVLEBORGS LÄN</t>
        </is>
      </c>
      <c r="G2313" t="inlineStr">
        <is>
          <t>SÖDERHAMN</t>
        </is>
      </c>
      <c r="I2313" t="n">
        <v>2.7</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18493-2024</t>
        </is>
      </c>
      <c r="B2314" t="inlineStr">
        <is>
          <t>avverkningsanmälan</t>
        </is>
      </c>
      <c r="C2314" t="inlineStr">
        <is>
          <t>Föryngringsavverkning</t>
        </is>
      </c>
      <c r="D2314" s="1" t="n">
        <v>45425</v>
      </c>
      <c r="E2314" s="1" t="n">
        <v>46326</v>
      </c>
      <c r="F2314" t="inlineStr">
        <is>
          <t>GÄVLEBORGS LÄN</t>
        </is>
      </c>
      <c r="G2314" t="inlineStr">
        <is>
          <t>HUDIKSVALL</t>
        </is>
      </c>
      <c r="I2314" t="n">
        <v>0.5</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45181-2024</t>
        </is>
      </c>
      <c r="B2315" t="inlineStr">
        <is>
          <t>avverkningsanmälan</t>
        </is>
      </c>
      <c r="C2315" t="inlineStr">
        <is>
          <t>Föryngringsavverkning</t>
        </is>
      </c>
      <c r="D2315" s="1" t="n">
        <v>45575</v>
      </c>
      <c r="E2315" s="1" t="n">
        <v>46326</v>
      </c>
      <c r="F2315" t="inlineStr">
        <is>
          <t>GÄVLEBORGS LÄN</t>
        </is>
      </c>
      <c r="G2315" t="inlineStr">
        <is>
          <t>HUDIKSVALL</t>
        </is>
      </c>
      <c r="H2315" t="inlineStr">
        <is>
          <t>Holmen skog AB</t>
        </is>
      </c>
      <c r="I2315" t="n">
        <v>8.300000000000001</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18505-2024</t>
        </is>
      </c>
      <c r="B2316" t="inlineStr">
        <is>
          <t>avverkningsanmälan</t>
        </is>
      </c>
      <c r="C2316" t="inlineStr">
        <is>
          <t>Föryngringsavverkning</t>
        </is>
      </c>
      <c r="D2316" s="1" t="n">
        <v>45425</v>
      </c>
      <c r="E2316" s="1" t="n">
        <v>46326</v>
      </c>
      <c r="F2316" t="inlineStr">
        <is>
          <t>GÄVLEBORGS LÄN</t>
        </is>
      </c>
      <c r="G2316" t="inlineStr">
        <is>
          <t>SÖDERHAMN</t>
        </is>
      </c>
      <c r="I2316" t="n">
        <v>0.6</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811-2026</t>
        </is>
      </c>
      <c r="B2317" t="inlineStr">
        <is>
          <t>avverkningsanmälan</t>
        </is>
      </c>
      <c r="C2317" t="inlineStr">
        <is>
          <t>Föryngringsavverkning</t>
        </is>
      </c>
      <c r="D2317" s="1" t="n">
        <v>46030</v>
      </c>
      <c r="E2317" s="1" t="n">
        <v>46326</v>
      </c>
      <c r="F2317" t="inlineStr">
        <is>
          <t>GÄVLEBORGS LÄN</t>
        </is>
      </c>
      <c r="G2317" t="inlineStr">
        <is>
          <t>BOLLNÄS</t>
        </is>
      </c>
      <c r="I2317" t="n">
        <v>3.2</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874-2026</t>
        </is>
      </c>
      <c r="B2318" t="inlineStr">
        <is>
          <t>avverkningsanmälan</t>
        </is>
      </c>
      <c r="C2318" t="inlineStr">
        <is>
          <t>Föryngringsavverkning</t>
        </is>
      </c>
      <c r="D2318" s="1" t="n">
        <v>46030</v>
      </c>
      <c r="E2318" s="1" t="n">
        <v>46326</v>
      </c>
      <c r="F2318" t="inlineStr">
        <is>
          <t>GÄVLEBORGS LÄN</t>
        </is>
      </c>
      <c r="G2318" t="inlineStr">
        <is>
          <t>OVANÅKER</t>
        </is>
      </c>
      <c r="I2318" t="n">
        <v>5.3</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27804-2025</t>
        </is>
      </c>
      <c r="B2319" t="inlineStr">
        <is>
          <t>avverkningsanmälan</t>
        </is>
      </c>
      <c r="C2319" t="inlineStr">
        <is>
          <t>Föryngringsavverkning</t>
        </is>
      </c>
      <c r="D2319" s="1" t="n">
        <v>45817</v>
      </c>
      <c r="E2319" s="1" t="n">
        <v>46326</v>
      </c>
      <c r="F2319" t="inlineStr">
        <is>
          <t>GÄVLEBORGS LÄN</t>
        </is>
      </c>
      <c r="G2319" t="inlineStr">
        <is>
          <t>NORDANSTIG</t>
        </is>
      </c>
      <c r="H2319" t="inlineStr">
        <is>
          <t>Holmen skog AB</t>
        </is>
      </c>
      <c r="I2319" t="n">
        <v>1.2</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56898-2023</t>
        </is>
      </c>
      <c r="B2320" t="inlineStr">
        <is>
          <t>avverkningsanmälan</t>
        </is>
      </c>
      <c r="C2320" t="inlineStr">
        <is>
          <t>Föryngringsavverkning</t>
        </is>
      </c>
      <c r="D2320" s="1" t="n">
        <v>45244</v>
      </c>
      <c r="E2320" s="1" t="n">
        <v>46326</v>
      </c>
      <c r="F2320" t="inlineStr">
        <is>
          <t>GÄVLEBORGS LÄN</t>
        </is>
      </c>
      <c r="G2320" t="inlineStr">
        <is>
          <t>HUDIKSVALL</t>
        </is>
      </c>
      <c r="H2320" t="inlineStr">
        <is>
          <t>Holmen skog AB</t>
        </is>
      </c>
      <c r="I2320" t="n">
        <v>1.1</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961-2026</t>
        </is>
      </c>
      <c r="B2321" t="inlineStr">
        <is>
          <t>avverkningsanmälan</t>
        </is>
      </c>
      <c r="C2321" t="inlineStr">
        <is>
          <t>Föryngringsavverkning</t>
        </is>
      </c>
      <c r="D2321" s="1" t="n">
        <v>46030</v>
      </c>
      <c r="E2321" s="1" t="n">
        <v>46326</v>
      </c>
      <c r="F2321" t="inlineStr">
        <is>
          <t>GÄVLEBORGS LÄN</t>
        </is>
      </c>
      <c r="G2321" t="inlineStr">
        <is>
          <t>OVANÅKER</t>
        </is>
      </c>
      <c r="I2321" t="n">
        <v>12.2</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32121-2025</t>
        </is>
      </c>
      <c r="B2322" t="inlineStr">
        <is>
          <t>avverkningsanmälan</t>
        </is>
      </c>
      <c r="C2322" t="inlineStr">
        <is>
          <t>Avverkning för att bevara och utveckla /försöksver</t>
        </is>
      </c>
      <c r="D2322" s="1" t="n">
        <v>45835</v>
      </c>
      <c r="E2322" s="1" t="n">
        <v>46326</v>
      </c>
      <c r="F2322" t="inlineStr">
        <is>
          <t>GÄVLEBORGS LÄN</t>
        </is>
      </c>
      <c r="G2322" t="inlineStr">
        <is>
          <t>LJUSDAL</t>
        </is>
      </c>
      <c r="H2322" t="inlineStr">
        <is>
          <t>Sveaskog</t>
        </is>
      </c>
      <c r="I2322" t="n">
        <v>2.6</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58180-2024</t>
        </is>
      </c>
      <c r="B2323" t="inlineStr">
        <is>
          <t>avverkningsanmälan</t>
        </is>
      </c>
      <c r="C2323" t="inlineStr">
        <is>
          <t>Föryngringsavverkning</t>
        </is>
      </c>
      <c r="D2323" s="1" t="n">
        <v>45632</v>
      </c>
      <c r="E2323" s="1" t="n">
        <v>46326</v>
      </c>
      <c r="F2323" t="inlineStr">
        <is>
          <t>GÄVLEBORGS LÄN</t>
        </is>
      </c>
      <c r="G2323" t="inlineStr">
        <is>
          <t>SÖDERHAMN</t>
        </is>
      </c>
      <c r="H2323" t="inlineStr">
        <is>
          <t>Bergvik skog väst AB</t>
        </is>
      </c>
      <c r="I2323" t="n">
        <v>0.7</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39165-2025</t>
        </is>
      </c>
      <c r="B2324" t="inlineStr">
        <is>
          <t>avverkningsanmälan</t>
        </is>
      </c>
      <c r="C2324" t="inlineStr">
        <is>
          <t>Föryngringsavverkning</t>
        </is>
      </c>
      <c r="D2324" s="1" t="n">
        <v>45888</v>
      </c>
      <c r="E2324" s="1" t="n">
        <v>46326</v>
      </c>
      <c r="F2324" t="inlineStr">
        <is>
          <t>GÄVLEBORGS LÄN</t>
        </is>
      </c>
      <c r="G2324" t="inlineStr">
        <is>
          <t>BOLLNÄS</t>
        </is>
      </c>
      <c r="I2324" t="n">
        <v>6.5</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27964-2025</t>
        </is>
      </c>
      <c r="B2325" t="inlineStr">
        <is>
          <t>avverkningsanmälan</t>
        </is>
      </c>
      <c r="C2325" t="inlineStr">
        <is>
          <t>Föryngringsavverkning</t>
        </is>
      </c>
      <c r="D2325" s="1" t="n">
        <v>45817</v>
      </c>
      <c r="E2325" s="1" t="n">
        <v>46326</v>
      </c>
      <c r="F2325" t="inlineStr">
        <is>
          <t>GÄVLEBORGS LÄN</t>
        </is>
      </c>
      <c r="G2325" t="inlineStr">
        <is>
          <t>OVANÅKER</t>
        </is>
      </c>
      <c r="H2325" t="inlineStr">
        <is>
          <t>Bergvik skog väst AB</t>
        </is>
      </c>
      <c r="I2325" t="n">
        <v>14.8</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28080-2025</t>
        </is>
      </c>
      <c r="B2326" t="inlineStr">
        <is>
          <t>avverkningsanmälan</t>
        </is>
      </c>
      <c r="C2326" t="inlineStr">
        <is>
          <t>Föryngringsavverkning</t>
        </is>
      </c>
      <c r="D2326" s="1" t="n">
        <v>45817</v>
      </c>
      <c r="E2326" s="1" t="n">
        <v>46326</v>
      </c>
      <c r="F2326" t="inlineStr">
        <is>
          <t>GÄVLEBORGS LÄN</t>
        </is>
      </c>
      <c r="G2326" t="inlineStr">
        <is>
          <t>OCKELBO</t>
        </is>
      </c>
      <c r="I2326" t="n">
        <v>4.9</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27791-2025</t>
        </is>
      </c>
      <c r="B2327" t="inlineStr">
        <is>
          <t>avverkningsanmälan</t>
        </is>
      </c>
      <c r="C2327" t="inlineStr">
        <is>
          <t>Föryngringsavverkning</t>
        </is>
      </c>
      <c r="D2327" s="1" t="n">
        <v>45816</v>
      </c>
      <c r="E2327" s="1" t="n">
        <v>46326</v>
      </c>
      <c r="F2327" t="inlineStr">
        <is>
          <t>GÄVLEBORGS LÄN</t>
        </is>
      </c>
      <c r="G2327" t="inlineStr">
        <is>
          <t>HUDIKSVALL</t>
        </is>
      </c>
      <c r="I2327" t="n">
        <v>3.5</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40498-2022</t>
        </is>
      </c>
      <c r="B2328" t="inlineStr">
        <is>
          <t>avverkningsanmälan</t>
        </is>
      </c>
      <c r="C2328" t="inlineStr">
        <is>
          <t>Föryngringsavverkning</t>
        </is>
      </c>
      <c r="D2328" s="1" t="n">
        <v>44823</v>
      </c>
      <c r="E2328" s="1" t="n">
        <v>46326</v>
      </c>
      <c r="F2328" t="inlineStr">
        <is>
          <t>GÄVLEBORGS LÄN</t>
        </is>
      </c>
      <c r="G2328" t="inlineStr">
        <is>
          <t>GÄVLE</t>
        </is>
      </c>
      <c r="I2328" t="n">
        <v>1.5</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27894-2025</t>
        </is>
      </c>
      <c r="B2329" t="inlineStr">
        <is>
          <t>avverkningsanmälan</t>
        </is>
      </c>
      <c r="C2329" t="inlineStr">
        <is>
          <t>Föryngringsavverkning</t>
        </is>
      </c>
      <c r="D2329" s="1" t="n">
        <v>45817</v>
      </c>
      <c r="E2329" s="1" t="n">
        <v>46326</v>
      </c>
      <c r="F2329" t="inlineStr">
        <is>
          <t>GÄVLEBORGS LÄN</t>
        </is>
      </c>
      <c r="G2329" t="inlineStr">
        <is>
          <t>NORDANSTIG</t>
        </is>
      </c>
      <c r="H2329" t="inlineStr">
        <is>
          <t>Holmen skog AB</t>
        </is>
      </c>
      <c r="I2329" t="n">
        <v>8.6</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31002-2024</t>
        </is>
      </c>
      <c r="B2330" t="inlineStr">
        <is>
          <t>avverkningsanmälan</t>
        </is>
      </c>
      <c r="C2330" t="inlineStr">
        <is>
          <t>Föryngringsavverkning</t>
        </is>
      </c>
      <c r="D2330" s="1" t="n">
        <v>45499</v>
      </c>
      <c r="E2330" s="1" t="n">
        <v>46326</v>
      </c>
      <c r="F2330" t="inlineStr">
        <is>
          <t>GÄVLEBORGS LÄN</t>
        </is>
      </c>
      <c r="G2330" t="inlineStr">
        <is>
          <t>NORDANSTIG</t>
        </is>
      </c>
      <c r="I2330" t="n">
        <v>1.1</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28006-2025</t>
        </is>
      </c>
      <c r="B2331" t="inlineStr">
        <is>
          <t>avverkningsanmälan</t>
        </is>
      </c>
      <c r="C2331" t="inlineStr">
        <is>
          <t>Föryngringsavverkning</t>
        </is>
      </c>
      <c r="D2331" s="1" t="n">
        <v>45817</v>
      </c>
      <c r="E2331" s="1" t="n">
        <v>46326</v>
      </c>
      <c r="F2331" t="inlineStr">
        <is>
          <t>GÄVLEBORGS LÄN</t>
        </is>
      </c>
      <c r="G2331" t="inlineStr">
        <is>
          <t>OCKELBO</t>
        </is>
      </c>
      <c r="H2331" t="inlineStr">
        <is>
          <t>Bergvik skog väst AB</t>
        </is>
      </c>
      <c r="I2331" t="n">
        <v>8.1</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53845-2023</t>
        </is>
      </c>
      <c r="B2332" t="inlineStr">
        <is>
          <t>avverkningsanmälan</t>
        </is>
      </c>
      <c r="C2332" t="inlineStr">
        <is>
          <t>Föryngringsavverkning</t>
        </is>
      </c>
      <c r="D2332" s="1" t="n">
        <v>45231</v>
      </c>
      <c r="E2332" s="1" t="n">
        <v>46326</v>
      </c>
      <c r="F2332" t="inlineStr">
        <is>
          <t>GÄVLEBORGS LÄN</t>
        </is>
      </c>
      <c r="G2332" t="inlineStr">
        <is>
          <t>OVANÅKER</t>
        </is>
      </c>
      <c r="I2332" t="n">
        <v>0.6</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39108-2025</t>
        </is>
      </c>
      <c r="B2333" t="inlineStr">
        <is>
          <t>avverkningsanmälan</t>
        </is>
      </c>
      <c r="C2333" t="inlineStr">
        <is>
          <t>Föryngringsavverkning</t>
        </is>
      </c>
      <c r="D2333" s="1" t="n">
        <v>45888</v>
      </c>
      <c r="E2333" s="1" t="n">
        <v>46326</v>
      </c>
      <c r="F2333" t="inlineStr">
        <is>
          <t>GÄVLEBORGS LÄN</t>
        </is>
      </c>
      <c r="G2333" t="inlineStr">
        <is>
          <t>LJUSDAL</t>
        </is>
      </c>
      <c r="H2333" t="inlineStr">
        <is>
          <t>Allmännings- och besparingsskogar</t>
        </is>
      </c>
      <c r="I2333" t="n">
        <v>3.7</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892-2026</t>
        </is>
      </c>
      <c r="B2334" t="inlineStr">
        <is>
          <t>avverkningsanmälan</t>
        </is>
      </c>
      <c r="C2334" t="inlineStr">
        <is>
          <t>Föryngringsavverkning</t>
        </is>
      </c>
      <c r="D2334" s="1" t="n">
        <v>46030</v>
      </c>
      <c r="E2334" s="1" t="n">
        <v>46326</v>
      </c>
      <c r="F2334" t="inlineStr">
        <is>
          <t>GÄVLEBORGS LÄN</t>
        </is>
      </c>
      <c r="G2334" t="inlineStr">
        <is>
          <t>HOFORS</t>
        </is>
      </c>
      <c r="I2334" t="n">
        <v>3.6</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912-2026</t>
        </is>
      </c>
      <c r="B2335" t="inlineStr">
        <is>
          <t>avverkningsanmälan</t>
        </is>
      </c>
      <c r="C2335" t="inlineStr">
        <is>
          <t>Föryngringsavverkning</t>
        </is>
      </c>
      <c r="D2335" s="1" t="n">
        <v>46030</v>
      </c>
      <c r="E2335" s="1" t="n">
        <v>46326</v>
      </c>
      <c r="F2335" t="inlineStr">
        <is>
          <t>GÄVLEBORGS LÄN</t>
        </is>
      </c>
      <c r="G2335" t="inlineStr">
        <is>
          <t>OVANÅKER</t>
        </is>
      </c>
      <c r="I2335" t="n">
        <v>2.7</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53298-2023</t>
        </is>
      </c>
      <c r="B2336" t="inlineStr">
        <is>
          <t>avverkningsanmälan</t>
        </is>
      </c>
      <c r="C2336" t="inlineStr">
        <is>
          <t>Föryngringsavverkning</t>
        </is>
      </c>
      <c r="D2336" s="1" t="n">
        <v>45229</v>
      </c>
      <c r="E2336" s="1" t="n">
        <v>46326</v>
      </c>
      <c r="F2336" t="inlineStr">
        <is>
          <t>GÄVLEBORGS LÄN</t>
        </is>
      </c>
      <c r="G2336" t="inlineStr">
        <is>
          <t>BOLLNÄS</t>
        </is>
      </c>
      <c r="I2336" t="n">
        <v>0.6</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3593-2023</t>
        </is>
      </c>
      <c r="B2337" t="inlineStr">
        <is>
          <t>avverkningsanmälan</t>
        </is>
      </c>
      <c r="C2337" t="inlineStr">
        <is>
          <t>Föryngringsavverkning</t>
        </is>
      </c>
      <c r="D2337" s="1" t="n">
        <v>44950</v>
      </c>
      <c r="E2337" s="1" t="n">
        <v>46326</v>
      </c>
      <c r="F2337" t="inlineStr">
        <is>
          <t>GÄVLEBORGS LÄN</t>
        </is>
      </c>
      <c r="G2337" t="inlineStr">
        <is>
          <t>OCKELBO</t>
        </is>
      </c>
      <c r="I2337" t="n">
        <v>4.1</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28047-2025</t>
        </is>
      </c>
      <c r="B2338" t="inlineStr">
        <is>
          <t>avverkningsanmälan</t>
        </is>
      </c>
      <c r="C2338" t="inlineStr">
        <is>
          <t>Föryngringsavverkning</t>
        </is>
      </c>
      <c r="D2338" s="1" t="n">
        <v>45817</v>
      </c>
      <c r="E2338" s="1" t="n">
        <v>46326</v>
      </c>
      <c r="F2338" t="inlineStr">
        <is>
          <t>GÄVLEBORGS LÄN</t>
        </is>
      </c>
      <c r="G2338" t="inlineStr">
        <is>
          <t>OVANÅKER</t>
        </is>
      </c>
      <c r="H2338" t="inlineStr">
        <is>
          <t>Holmen skog AB</t>
        </is>
      </c>
      <c r="I2338" t="n">
        <v>13.5</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64018-2023</t>
        </is>
      </c>
      <c r="B2339" t="inlineStr">
        <is>
          <t>avverkningsanmälan</t>
        </is>
      </c>
      <c r="C2339" t="inlineStr">
        <is>
          <t>Föryngringsavverkning</t>
        </is>
      </c>
      <c r="D2339" s="1" t="n">
        <v>45278</v>
      </c>
      <c r="E2339" s="1" t="n">
        <v>46326</v>
      </c>
      <c r="F2339" t="inlineStr">
        <is>
          <t>GÄVLEBORGS LÄN</t>
        </is>
      </c>
      <c r="G2339" t="inlineStr">
        <is>
          <t>LJUSDAL</t>
        </is>
      </c>
      <c r="I2339" t="n">
        <v>5.4</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27881-2025</t>
        </is>
      </c>
      <c r="B2340" t="inlineStr">
        <is>
          <t>avverkningsanmälan</t>
        </is>
      </c>
      <c r="C2340" t="inlineStr">
        <is>
          <t>Avverkning för annat ändamål</t>
        </is>
      </c>
      <c r="D2340" s="1" t="n">
        <v>45817</v>
      </c>
      <c r="E2340" s="1" t="n">
        <v>46326</v>
      </c>
      <c r="F2340" t="inlineStr">
        <is>
          <t>GÄVLEBORGS LÄN</t>
        </is>
      </c>
      <c r="G2340" t="inlineStr">
        <is>
          <t>HUDIKSVALL</t>
        </is>
      </c>
      <c r="I2340" t="n">
        <v>1.4</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39012-2025</t>
        </is>
      </c>
      <c r="B2341" t="inlineStr">
        <is>
          <t>avverkningsanmälan</t>
        </is>
      </c>
      <c r="C2341" t="inlineStr">
        <is>
          <t>Föryngringsavverkning</t>
        </is>
      </c>
      <c r="D2341" s="1" t="n">
        <v>45888</v>
      </c>
      <c r="E2341" s="1" t="n">
        <v>46326</v>
      </c>
      <c r="F2341" t="inlineStr">
        <is>
          <t>GÄVLEBORGS LÄN</t>
        </is>
      </c>
      <c r="G2341" t="inlineStr">
        <is>
          <t>LJUSDAL</t>
        </is>
      </c>
      <c r="H2341" t="inlineStr">
        <is>
          <t>Allmännings- och besparingsskogar</t>
        </is>
      </c>
      <c r="I2341" t="n">
        <v>1.2</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39036-2025</t>
        </is>
      </c>
      <c r="B2342" t="inlineStr">
        <is>
          <t>avverkningsanmälan</t>
        </is>
      </c>
      <c r="C2342" t="inlineStr">
        <is>
          <t>Föryngringsavverkning</t>
        </is>
      </c>
      <c r="D2342" s="1" t="n">
        <v>45888</v>
      </c>
      <c r="E2342" s="1" t="n">
        <v>46326</v>
      </c>
      <c r="F2342" t="inlineStr">
        <is>
          <t>GÄVLEBORGS LÄN</t>
        </is>
      </c>
      <c r="G2342" t="inlineStr">
        <is>
          <t>NORDANSTIG</t>
        </is>
      </c>
      <c r="H2342" t="inlineStr">
        <is>
          <t>Holmen skog AB</t>
        </is>
      </c>
      <c r="I2342" t="n">
        <v>8</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71442-2021</t>
        </is>
      </c>
      <c r="B2343" t="inlineStr">
        <is>
          <t>avverkningsanmälan</t>
        </is>
      </c>
      <c r="C2343" t="inlineStr">
        <is>
          <t>Föryngringsavverkning</t>
        </is>
      </c>
      <c r="D2343" s="1" t="n">
        <v>44540</v>
      </c>
      <c r="E2343" s="1" t="n">
        <v>46326</v>
      </c>
      <c r="F2343" t="inlineStr">
        <is>
          <t>GÄVLEBORGS LÄN</t>
        </is>
      </c>
      <c r="G2343" t="inlineStr">
        <is>
          <t>NORDANSTIG</t>
        </is>
      </c>
      <c r="H2343" t="inlineStr">
        <is>
          <t>Holmen skog AB</t>
        </is>
      </c>
      <c r="I2343" t="n">
        <v>4</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28468-2025</t>
        </is>
      </c>
      <c r="B2344" t="inlineStr">
        <is>
          <t>avverkningsanmälan</t>
        </is>
      </c>
      <c r="C2344" t="inlineStr">
        <is>
          <t>Föryngringsavverkning</t>
        </is>
      </c>
      <c r="D2344" s="1" t="n">
        <v>45819</v>
      </c>
      <c r="E2344" s="1" t="n">
        <v>46326</v>
      </c>
      <c r="F2344" t="inlineStr">
        <is>
          <t>GÄVLEBORGS LÄN</t>
        </is>
      </c>
      <c r="G2344" t="inlineStr">
        <is>
          <t>SANDVIKEN</t>
        </is>
      </c>
      <c r="I2344" t="n">
        <v>2.9</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28475-2025</t>
        </is>
      </c>
      <c r="B2345" t="inlineStr">
        <is>
          <t>avverkningsanmälan</t>
        </is>
      </c>
      <c r="C2345" t="inlineStr">
        <is>
          <t>Föryngringsavverkning</t>
        </is>
      </c>
      <c r="D2345" s="1" t="n">
        <v>45819</v>
      </c>
      <c r="E2345" s="1" t="n">
        <v>46326</v>
      </c>
      <c r="F2345" t="inlineStr">
        <is>
          <t>GÄVLEBORGS LÄN</t>
        </is>
      </c>
      <c r="G2345" t="inlineStr">
        <is>
          <t>HUDIKSVALL</t>
        </is>
      </c>
      <c r="H2345" t="inlineStr">
        <is>
          <t>Holmen skog AB</t>
        </is>
      </c>
      <c r="I2345" t="n">
        <v>4.8</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10577-2023</t>
        </is>
      </c>
      <c r="B2346" t="inlineStr">
        <is>
          <t>avverkningsanmälan</t>
        </is>
      </c>
      <c r="C2346" t="inlineStr">
        <is>
          <t>Föryngringsavverkning</t>
        </is>
      </c>
      <c r="D2346" s="1" t="n">
        <v>44988</v>
      </c>
      <c r="E2346" s="1" t="n">
        <v>46326</v>
      </c>
      <c r="F2346" t="inlineStr">
        <is>
          <t>GÄVLEBORGS LÄN</t>
        </is>
      </c>
      <c r="G2346" t="inlineStr">
        <is>
          <t>GÄVLE</t>
        </is>
      </c>
      <c r="H2346" t="inlineStr">
        <is>
          <t>Kyrkan</t>
        </is>
      </c>
      <c r="I2346" t="n">
        <v>3.6</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39215-2025</t>
        </is>
      </c>
      <c r="B2347" t="inlineStr">
        <is>
          <t>avverkningsanmälan</t>
        </is>
      </c>
      <c r="C2347" t="inlineStr">
        <is>
          <t>Föryngringsavverkning</t>
        </is>
      </c>
      <c r="D2347" s="1" t="n">
        <v>45888</v>
      </c>
      <c r="E2347" s="1" t="n">
        <v>46326</v>
      </c>
      <c r="F2347" t="inlineStr">
        <is>
          <t>GÄVLEBORGS LÄN</t>
        </is>
      </c>
      <c r="G2347" t="inlineStr">
        <is>
          <t>LJUSDAL</t>
        </is>
      </c>
      <c r="I2347" t="n">
        <v>1.9</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39244-2025</t>
        </is>
      </c>
      <c r="B2348" t="inlineStr">
        <is>
          <t>avverkningsanmälan</t>
        </is>
      </c>
      <c r="C2348" t="inlineStr">
        <is>
          <t>Föryngringsavverkning</t>
        </is>
      </c>
      <c r="D2348" s="1" t="n">
        <v>45889</v>
      </c>
      <c r="E2348" s="1" t="n">
        <v>46326</v>
      </c>
      <c r="F2348" t="inlineStr">
        <is>
          <t>GÄVLEBORGS LÄN</t>
        </is>
      </c>
      <c r="G2348" t="inlineStr">
        <is>
          <t>HUDIKSVALL</t>
        </is>
      </c>
      <c r="I2348" t="n">
        <v>1.9</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41994-2024</t>
        </is>
      </c>
      <c r="B2349" t="inlineStr">
        <is>
          <t>avverkningsanmälan</t>
        </is>
      </c>
      <c r="C2349" t="inlineStr">
        <is>
          <t>Föryngringsavverkning</t>
        </is>
      </c>
      <c r="D2349" s="1" t="n">
        <v>45561</v>
      </c>
      <c r="E2349" s="1" t="n">
        <v>46326</v>
      </c>
      <c r="F2349" t="inlineStr">
        <is>
          <t>GÄVLEBORGS LÄN</t>
        </is>
      </c>
      <c r="G2349" t="inlineStr">
        <is>
          <t>LJUSDAL</t>
        </is>
      </c>
      <c r="I2349" t="n">
        <v>0.4</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39360-2025</t>
        </is>
      </c>
      <c r="B2350" t="inlineStr">
        <is>
          <t>avverkningsanmälan</t>
        </is>
      </c>
      <c r="C2350" t="inlineStr">
        <is>
          <t>Föryngringsavverkning</t>
        </is>
      </c>
      <c r="D2350" s="1" t="n">
        <v>45889</v>
      </c>
      <c r="E2350" s="1" t="n">
        <v>46326</v>
      </c>
      <c r="F2350" t="inlineStr">
        <is>
          <t>GÄVLEBORGS LÄN</t>
        </is>
      </c>
      <c r="G2350" t="inlineStr">
        <is>
          <t>OCKELBO</t>
        </is>
      </c>
      <c r="I2350" t="n">
        <v>0.9</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28532-2025</t>
        </is>
      </c>
      <c r="B2351" t="inlineStr">
        <is>
          <t>avverkningsanmälan</t>
        </is>
      </c>
      <c r="C2351" t="inlineStr">
        <is>
          <t>Föryngringsavverkning</t>
        </is>
      </c>
      <c r="D2351" s="1" t="n">
        <v>45819</v>
      </c>
      <c r="E2351" s="1" t="n">
        <v>46326</v>
      </c>
      <c r="F2351" t="inlineStr">
        <is>
          <t>GÄVLEBORGS LÄN</t>
        </is>
      </c>
      <c r="G2351" t="inlineStr">
        <is>
          <t>OVANÅKER</t>
        </is>
      </c>
      <c r="H2351" t="inlineStr">
        <is>
          <t>Bergvik skog väst AB</t>
        </is>
      </c>
      <c r="I2351" t="n">
        <v>6.3</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28163-2025</t>
        </is>
      </c>
      <c r="B2352" t="inlineStr">
        <is>
          <t>avverkningsanmälan</t>
        </is>
      </c>
      <c r="C2352" t="inlineStr">
        <is>
          <t>Föryngringsavverkning</t>
        </is>
      </c>
      <c r="D2352" s="1" t="n">
        <v>45818</v>
      </c>
      <c r="E2352" s="1" t="n">
        <v>46326</v>
      </c>
      <c r="F2352" t="inlineStr">
        <is>
          <t>GÄVLEBORGS LÄN</t>
        </is>
      </c>
      <c r="G2352" t="inlineStr">
        <is>
          <t>HUDIKSVALL</t>
        </is>
      </c>
      <c r="I2352" t="n">
        <v>4.4</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28481-2025</t>
        </is>
      </c>
      <c r="B2353" t="inlineStr">
        <is>
          <t>avverkningsanmälan</t>
        </is>
      </c>
      <c r="C2353" t="inlineStr">
        <is>
          <t>Föryngringsavverkning</t>
        </is>
      </c>
      <c r="D2353" s="1" t="n">
        <v>45819</v>
      </c>
      <c r="E2353" s="1" t="n">
        <v>46326</v>
      </c>
      <c r="F2353" t="inlineStr">
        <is>
          <t>GÄVLEBORGS LÄN</t>
        </is>
      </c>
      <c r="G2353" t="inlineStr">
        <is>
          <t>GÄVLE</t>
        </is>
      </c>
      <c r="I2353" t="n">
        <v>13</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28338-2025</t>
        </is>
      </c>
      <c r="B2354" t="inlineStr">
        <is>
          <t>avverkningsanmälan</t>
        </is>
      </c>
      <c r="C2354" t="inlineStr">
        <is>
          <t>Föryngringsavverkning</t>
        </is>
      </c>
      <c r="D2354" s="1" t="n">
        <v>45818</v>
      </c>
      <c r="E2354" s="1" t="n">
        <v>46326</v>
      </c>
      <c r="F2354" t="inlineStr">
        <is>
          <t>GÄVLEBORGS LÄN</t>
        </is>
      </c>
      <c r="G2354" t="inlineStr">
        <is>
          <t>BOLLNÄS</t>
        </is>
      </c>
      <c r="I2354" t="n">
        <v>4.7</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28648-2025</t>
        </is>
      </c>
      <c r="B2355" t="inlineStr">
        <is>
          <t>avverkningsanmälan</t>
        </is>
      </c>
      <c r="C2355" t="inlineStr">
        <is>
          <t>Föryngringsavverkning</t>
        </is>
      </c>
      <c r="D2355" s="1" t="n">
        <v>45819</v>
      </c>
      <c r="E2355" s="1" t="n">
        <v>46326</v>
      </c>
      <c r="F2355" t="inlineStr">
        <is>
          <t>GÄVLEBORGS LÄN</t>
        </is>
      </c>
      <c r="G2355" t="inlineStr">
        <is>
          <t>LJUSDAL</t>
        </is>
      </c>
      <c r="H2355" t="inlineStr">
        <is>
          <t>Sveaskog</t>
        </is>
      </c>
      <c r="I2355" t="n">
        <v>1.8</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38990-2025</t>
        </is>
      </c>
      <c r="B2356" t="inlineStr">
        <is>
          <t>avverkningsanmälan</t>
        </is>
      </c>
      <c r="C2356" t="inlineStr">
        <is>
          <t>Föryngringsavverkning</t>
        </is>
      </c>
      <c r="D2356" s="1" t="n">
        <v>45888</v>
      </c>
      <c r="E2356" s="1" t="n">
        <v>46326</v>
      </c>
      <c r="F2356" t="inlineStr">
        <is>
          <t>GÄVLEBORGS LÄN</t>
        </is>
      </c>
      <c r="G2356" t="inlineStr">
        <is>
          <t>NORDANSTIG</t>
        </is>
      </c>
      <c r="I2356" t="n">
        <v>4.7</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39035-2025</t>
        </is>
      </c>
      <c r="B2357" t="inlineStr">
        <is>
          <t>avverkningsanmälan</t>
        </is>
      </c>
      <c r="C2357" t="inlineStr">
        <is>
          <t>Föryngringsavverkning</t>
        </is>
      </c>
      <c r="D2357" s="1" t="n">
        <v>45888</v>
      </c>
      <c r="E2357" s="1" t="n">
        <v>46326</v>
      </c>
      <c r="F2357" t="inlineStr">
        <is>
          <t>GÄVLEBORGS LÄN</t>
        </is>
      </c>
      <c r="G2357" t="inlineStr">
        <is>
          <t>OCKELBO</t>
        </is>
      </c>
      <c r="H2357" t="inlineStr">
        <is>
          <t>Kyrkan</t>
        </is>
      </c>
      <c r="I2357" t="n">
        <v>12.5</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1290-2026</t>
        </is>
      </c>
      <c r="B2358" t="inlineStr">
        <is>
          <t>avverkningsanmälan</t>
        </is>
      </c>
      <c r="C2358" t="inlineStr">
        <is>
          <t>Föryngringsavverkning</t>
        </is>
      </c>
      <c r="D2358" s="1" t="n">
        <v>46031</v>
      </c>
      <c r="E2358" s="1" t="n">
        <v>46326</v>
      </c>
      <c r="F2358" t="inlineStr">
        <is>
          <t>GÄVLEBORGS LÄN</t>
        </is>
      </c>
      <c r="G2358" t="inlineStr">
        <is>
          <t>OCKELBO</t>
        </is>
      </c>
      <c r="I2358" t="n">
        <v>1</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908-2026</t>
        </is>
      </c>
      <c r="B2359" t="inlineStr">
        <is>
          <t>avverkningsanmälan</t>
        </is>
      </c>
      <c r="C2359" t="inlineStr">
        <is>
          <t>Föryngringsavverkning</t>
        </is>
      </c>
      <c r="D2359" s="1" t="n">
        <v>46030</v>
      </c>
      <c r="E2359" s="1" t="n">
        <v>46326</v>
      </c>
      <c r="F2359" t="inlineStr">
        <is>
          <t>GÄVLEBORGS LÄN</t>
        </is>
      </c>
      <c r="G2359" t="inlineStr">
        <is>
          <t>OVANÅKER</t>
        </is>
      </c>
      <c r="I2359" t="n">
        <v>1.8</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39083-2025</t>
        </is>
      </c>
      <c r="B2360" t="inlineStr">
        <is>
          <t>avverkningsanmälan</t>
        </is>
      </c>
      <c r="C2360" t="inlineStr">
        <is>
          <t>Föryngringsavverkning</t>
        </is>
      </c>
      <c r="D2360" s="1" t="n">
        <v>45888</v>
      </c>
      <c r="E2360" s="1" t="n">
        <v>46326</v>
      </c>
      <c r="F2360" t="inlineStr">
        <is>
          <t>GÄVLEBORGS LÄN</t>
        </is>
      </c>
      <c r="G2360" t="inlineStr">
        <is>
          <t>OVANÅKER</t>
        </is>
      </c>
      <c r="I2360" t="n">
        <v>9.699999999999999</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28585-2025</t>
        </is>
      </c>
      <c r="B2361" t="inlineStr">
        <is>
          <t>avverkningsanmälan</t>
        </is>
      </c>
      <c r="C2361" t="inlineStr">
        <is>
          <t>Föryngringsavverkning</t>
        </is>
      </c>
      <c r="D2361" s="1" t="n">
        <v>45819</v>
      </c>
      <c r="E2361" s="1" t="n">
        <v>46326</v>
      </c>
      <c r="F2361" t="inlineStr">
        <is>
          <t>GÄVLEBORGS LÄN</t>
        </is>
      </c>
      <c r="G2361" t="inlineStr">
        <is>
          <t>OVANÅKER</t>
        </is>
      </c>
      <c r="H2361" t="inlineStr">
        <is>
          <t>Bergvik skog väst AB</t>
        </is>
      </c>
      <c r="I2361" t="n">
        <v>4.9</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28669-2025</t>
        </is>
      </c>
      <c r="B2362" t="inlineStr">
        <is>
          <t>avverkningsanmälan</t>
        </is>
      </c>
      <c r="C2362" t="inlineStr">
        <is>
          <t>Föryngringsavverkning</t>
        </is>
      </c>
      <c r="D2362" s="1" t="n">
        <v>45819</v>
      </c>
      <c r="E2362" s="1" t="n">
        <v>46326</v>
      </c>
      <c r="F2362" t="inlineStr">
        <is>
          <t>GÄVLEBORGS LÄN</t>
        </is>
      </c>
      <c r="G2362" t="inlineStr">
        <is>
          <t>OCKELBO</t>
        </is>
      </c>
      <c r="H2362" t="inlineStr">
        <is>
          <t>Bergvik skog väst AB</t>
        </is>
      </c>
      <c r="I2362" t="n">
        <v>2.2</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27738-2024</t>
        </is>
      </c>
      <c r="B2363" t="inlineStr">
        <is>
          <t>avverkningsanmälan</t>
        </is>
      </c>
      <c r="C2363" t="inlineStr">
        <is>
          <t>Föryngringsavverkning</t>
        </is>
      </c>
      <c r="D2363" s="1" t="n">
        <v>45475</v>
      </c>
      <c r="E2363" s="1" t="n">
        <v>46326</v>
      </c>
      <c r="F2363" t="inlineStr">
        <is>
          <t>GÄVLEBORGS LÄN</t>
        </is>
      </c>
      <c r="G2363" t="inlineStr">
        <is>
          <t>HOFORS</t>
        </is>
      </c>
      <c r="H2363" t="inlineStr">
        <is>
          <t>Bergvik skog öst AB</t>
        </is>
      </c>
      <c r="I2363" t="n">
        <v>2.6</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28339-2025</t>
        </is>
      </c>
      <c r="B2364" t="inlineStr">
        <is>
          <t>avverkningsanmälan</t>
        </is>
      </c>
      <c r="C2364" t="inlineStr">
        <is>
          <t>Föryngringsavverkning</t>
        </is>
      </c>
      <c r="D2364" s="1" t="n">
        <v>45818</v>
      </c>
      <c r="E2364" s="1" t="n">
        <v>46326</v>
      </c>
      <c r="F2364" t="inlineStr">
        <is>
          <t>GÄVLEBORGS LÄN</t>
        </is>
      </c>
      <c r="G2364" t="inlineStr">
        <is>
          <t>BOLLNÄS</t>
        </is>
      </c>
      <c r="I2364" t="n">
        <v>0.6</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39049-2025</t>
        </is>
      </c>
      <c r="B2365" t="inlineStr">
        <is>
          <t>avverkningsanmälan</t>
        </is>
      </c>
      <c r="C2365" t="inlineStr">
        <is>
          <t>Föryngringsavverkning</t>
        </is>
      </c>
      <c r="D2365" s="1" t="n">
        <v>45888</v>
      </c>
      <c r="E2365" s="1" t="n">
        <v>46326</v>
      </c>
      <c r="F2365" t="inlineStr">
        <is>
          <t>GÄVLEBORGS LÄN</t>
        </is>
      </c>
      <c r="G2365" t="inlineStr">
        <is>
          <t>SANDVIKEN</t>
        </is>
      </c>
      <c r="I2365" t="n">
        <v>1.5</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39324-2025</t>
        </is>
      </c>
      <c r="B2366" t="inlineStr">
        <is>
          <t>avverkningsanmälan</t>
        </is>
      </c>
      <c r="C2366" t="inlineStr">
        <is>
          <t>Föryngringsavverkning</t>
        </is>
      </c>
      <c r="D2366" s="1" t="n">
        <v>45889</v>
      </c>
      <c r="E2366" s="1" t="n">
        <v>46326</v>
      </c>
      <c r="F2366" t="inlineStr">
        <is>
          <t>GÄVLEBORGS LÄN</t>
        </is>
      </c>
      <c r="G2366" t="inlineStr">
        <is>
          <t>OCKELBO</t>
        </is>
      </c>
      <c r="I2366" t="n">
        <v>8.6</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5622-2025</t>
        </is>
      </c>
      <c r="B2367" t="inlineStr">
        <is>
          <t>avverkningsanmälan</t>
        </is>
      </c>
      <c r="C2367" t="inlineStr">
        <is>
          <t>Föryngringsavverkning</t>
        </is>
      </c>
      <c r="D2367" s="1" t="n">
        <v>45693</v>
      </c>
      <c r="E2367" s="1" t="n">
        <v>46326</v>
      </c>
      <c r="F2367" t="inlineStr">
        <is>
          <t>GÄVLEBORGS LÄN</t>
        </is>
      </c>
      <c r="G2367" t="inlineStr">
        <is>
          <t>HUDIKSVALL</t>
        </is>
      </c>
      <c r="I2367" t="n">
        <v>2.6</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39399-2025</t>
        </is>
      </c>
      <c r="B2368" t="inlineStr">
        <is>
          <t>avverkningsanmälan</t>
        </is>
      </c>
      <c r="C2368" t="inlineStr">
        <is>
          <t>Föryngringsavverkning</t>
        </is>
      </c>
      <c r="D2368" s="1" t="n">
        <v>45889</v>
      </c>
      <c r="E2368" s="1" t="n">
        <v>46326</v>
      </c>
      <c r="F2368" t="inlineStr">
        <is>
          <t>GÄVLEBORGS LÄN</t>
        </is>
      </c>
      <c r="G2368" t="inlineStr">
        <is>
          <t>SÖDERHAMN</t>
        </is>
      </c>
      <c r="I2368" t="n">
        <v>0.5</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39325-2025</t>
        </is>
      </c>
      <c r="B2369" t="inlineStr">
        <is>
          <t>avverkningsanmälan</t>
        </is>
      </c>
      <c r="C2369" t="inlineStr">
        <is>
          <t>Föryngringsavverkning</t>
        </is>
      </c>
      <c r="D2369" s="1" t="n">
        <v>45889</v>
      </c>
      <c r="E2369" s="1" t="n">
        <v>46326</v>
      </c>
      <c r="F2369" t="inlineStr">
        <is>
          <t>GÄVLEBORGS LÄN</t>
        </is>
      </c>
      <c r="G2369" t="inlineStr">
        <is>
          <t>OCKELBO</t>
        </is>
      </c>
      <c r="I2369" t="n">
        <v>1.5</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39051-2025</t>
        </is>
      </c>
      <c r="B2370" t="inlineStr">
        <is>
          <t>avverkningsanmälan</t>
        </is>
      </c>
      <c r="C2370" t="inlineStr">
        <is>
          <t>Föryngringsavverkning</t>
        </is>
      </c>
      <c r="D2370" s="1" t="n">
        <v>45888</v>
      </c>
      <c r="E2370" s="1" t="n">
        <v>46326</v>
      </c>
      <c r="F2370" t="inlineStr">
        <is>
          <t>GÄVLEBORGS LÄN</t>
        </is>
      </c>
      <c r="G2370" t="inlineStr">
        <is>
          <t>LJUSDAL</t>
        </is>
      </c>
      <c r="I2370" t="n">
        <v>1.7</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39449-2025</t>
        </is>
      </c>
      <c r="B2371" t="inlineStr">
        <is>
          <t>avverkningsanmälan</t>
        </is>
      </c>
      <c r="C2371" t="inlineStr">
        <is>
          <t>Föryngringsavverkning</t>
        </is>
      </c>
      <c r="D2371" s="1" t="n">
        <v>45889</v>
      </c>
      <c r="E2371" s="1" t="n">
        <v>46326</v>
      </c>
      <c r="F2371" t="inlineStr">
        <is>
          <t>GÄVLEBORGS LÄN</t>
        </is>
      </c>
      <c r="G2371" t="inlineStr">
        <is>
          <t>OVANÅKER</t>
        </is>
      </c>
      <c r="I2371" t="n">
        <v>2.9</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55477-2022</t>
        </is>
      </c>
      <c r="B2372" t="inlineStr">
        <is>
          <t>avverkningsanmälan</t>
        </is>
      </c>
      <c r="C2372" t="inlineStr">
        <is>
          <t>Föryngringsavverkning</t>
        </is>
      </c>
      <c r="D2372" s="1" t="n">
        <v>44887</v>
      </c>
      <c r="E2372" s="1" t="n">
        <v>46326</v>
      </c>
      <c r="F2372" t="inlineStr">
        <is>
          <t>GÄVLEBORGS LÄN</t>
        </is>
      </c>
      <c r="G2372" t="inlineStr">
        <is>
          <t>OVANÅKER</t>
        </is>
      </c>
      <c r="I2372" t="n">
        <v>1.4</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39878-2025</t>
        </is>
      </c>
      <c r="B2373" t="inlineStr">
        <is>
          <t>avverkningsanmälan</t>
        </is>
      </c>
      <c r="C2373" t="inlineStr">
        <is>
          <t>Föryngringsavverkning</t>
        </is>
      </c>
      <c r="D2373" s="1" t="n">
        <v>45891</v>
      </c>
      <c r="E2373" s="1" t="n">
        <v>46326</v>
      </c>
      <c r="F2373" t="inlineStr">
        <is>
          <t>GÄVLEBORGS LÄN</t>
        </is>
      </c>
      <c r="G2373" t="inlineStr">
        <is>
          <t>GÄVLE</t>
        </is>
      </c>
      <c r="H2373" t="inlineStr">
        <is>
          <t>Bergvik skog väst AB</t>
        </is>
      </c>
      <c r="I2373" t="n">
        <v>8</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39797-2025</t>
        </is>
      </c>
      <c r="B2374" t="inlineStr">
        <is>
          <t>avverkningsanmälan</t>
        </is>
      </c>
      <c r="C2374" t="inlineStr">
        <is>
          <t>Föryngringsavverkning</t>
        </is>
      </c>
      <c r="D2374" s="1" t="n">
        <v>45891</v>
      </c>
      <c r="E2374" s="1" t="n">
        <v>46326</v>
      </c>
      <c r="F2374" t="inlineStr">
        <is>
          <t>GÄVLEBORGS LÄN</t>
        </is>
      </c>
      <c r="G2374" t="inlineStr">
        <is>
          <t>SÖDERHAMN</t>
        </is>
      </c>
      <c r="I2374" t="n">
        <v>3.2</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1239-2026</t>
        </is>
      </c>
      <c r="B2375" t="inlineStr">
        <is>
          <t>avverkningsanmälan</t>
        </is>
      </c>
      <c r="C2375" t="inlineStr">
        <is>
          <t>Föryngringsavverkning</t>
        </is>
      </c>
      <c r="D2375" s="1" t="n">
        <v>46031</v>
      </c>
      <c r="E2375" s="1" t="n">
        <v>46326</v>
      </c>
      <c r="F2375" t="inlineStr">
        <is>
          <t>GÄVLEBORGS LÄN</t>
        </is>
      </c>
      <c r="G2375" t="inlineStr">
        <is>
          <t>LJUSDAL</t>
        </is>
      </c>
      <c r="I2375" t="n">
        <v>2.1</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1251-2026</t>
        </is>
      </c>
      <c r="B2376" t="inlineStr">
        <is>
          <t>avverkningsanmälan</t>
        </is>
      </c>
      <c r="C2376" t="inlineStr">
        <is>
          <t>Föryngringsavverkning</t>
        </is>
      </c>
      <c r="D2376" s="1" t="n">
        <v>46031</v>
      </c>
      <c r="E2376" s="1" t="n">
        <v>46326</v>
      </c>
      <c r="F2376" t="inlineStr">
        <is>
          <t>GÄVLEBORGS LÄN</t>
        </is>
      </c>
      <c r="G2376" t="inlineStr">
        <is>
          <t>LJUSDAL</t>
        </is>
      </c>
      <c r="I2376" t="n">
        <v>5.3</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1283-2026</t>
        </is>
      </c>
      <c r="B2377" t="inlineStr">
        <is>
          <t>avverkningsanmälan</t>
        </is>
      </c>
      <c r="C2377" t="inlineStr">
        <is>
          <t>Föryngringsavverkning</t>
        </is>
      </c>
      <c r="D2377" s="1" t="n">
        <v>46031</v>
      </c>
      <c r="E2377" s="1" t="n">
        <v>46326</v>
      </c>
      <c r="F2377" t="inlineStr">
        <is>
          <t>GÄVLEBORGS LÄN</t>
        </is>
      </c>
      <c r="G2377" t="inlineStr">
        <is>
          <t>SANDVIKEN</t>
        </is>
      </c>
      <c r="I2377" t="n">
        <v>6</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31574-2024</t>
        </is>
      </c>
      <c r="B2378" t="inlineStr">
        <is>
          <t>avverkningsanmälan</t>
        </is>
      </c>
      <c r="C2378" t="inlineStr">
        <is>
          <t>Föryngringsavverkning</t>
        </is>
      </c>
      <c r="D2378" s="1" t="n">
        <v>45506</v>
      </c>
      <c r="E2378" s="1" t="n">
        <v>46326</v>
      </c>
      <c r="F2378" t="inlineStr">
        <is>
          <t>GÄVLEBORGS LÄN</t>
        </is>
      </c>
      <c r="G2378" t="inlineStr">
        <is>
          <t>BOLLNÄS</t>
        </is>
      </c>
      <c r="H2378" t="inlineStr">
        <is>
          <t>Sveaskog</t>
        </is>
      </c>
      <c r="I2378" t="n">
        <v>2.8</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16624-2023</t>
        </is>
      </c>
      <c r="B2379" t="inlineStr">
        <is>
          <t>avverkningsanmälan</t>
        </is>
      </c>
      <c r="C2379" t="inlineStr">
        <is>
          <t>Föryngringsavverkning</t>
        </is>
      </c>
      <c r="D2379" s="1" t="n">
        <v>45030</v>
      </c>
      <c r="E2379" s="1" t="n">
        <v>46326</v>
      </c>
      <c r="F2379" t="inlineStr">
        <is>
          <t>GÄVLEBORGS LÄN</t>
        </is>
      </c>
      <c r="G2379" t="inlineStr">
        <is>
          <t>GÄVLE</t>
        </is>
      </c>
      <c r="H2379" t="inlineStr">
        <is>
          <t>Bergvik skog väst AB</t>
        </is>
      </c>
      <c r="I2379" t="n">
        <v>0.6</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15750-2022</t>
        </is>
      </c>
      <c r="B2380" t="inlineStr">
        <is>
          <t>avverkningsanmälan</t>
        </is>
      </c>
      <c r="C2380" t="inlineStr">
        <is>
          <t>Föryngringsavverkning</t>
        </is>
      </c>
      <c r="D2380" s="1" t="n">
        <v>44663</v>
      </c>
      <c r="E2380" s="1" t="n">
        <v>46326</v>
      </c>
      <c r="F2380" t="inlineStr">
        <is>
          <t>GÄVLEBORGS LÄN</t>
        </is>
      </c>
      <c r="G2380" t="inlineStr">
        <is>
          <t>LJUSDAL</t>
        </is>
      </c>
      <c r="I2380" t="n">
        <v>3.1</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1240-2026</t>
        </is>
      </c>
      <c r="B2381" t="inlineStr">
        <is>
          <t>avverkningsanmälan</t>
        </is>
      </c>
      <c r="C2381" t="inlineStr">
        <is>
          <t>Föryngringsavverkning</t>
        </is>
      </c>
      <c r="D2381" s="1" t="n">
        <v>46031</v>
      </c>
      <c r="E2381" s="1" t="n">
        <v>46326</v>
      </c>
      <c r="F2381" t="inlineStr">
        <is>
          <t>GÄVLEBORGS LÄN</t>
        </is>
      </c>
      <c r="G2381" t="inlineStr">
        <is>
          <t>LJUSDAL</t>
        </is>
      </c>
      <c r="I2381" t="n">
        <v>0.7</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1053-2026</t>
        </is>
      </c>
      <c r="B2382" t="inlineStr">
        <is>
          <t>avverkningsanmälan</t>
        </is>
      </c>
      <c r="C2382" t="inlineStr">
        <is>
          <t>Föryngringsavverkning</t>
        </is>
      </c>
      <c r="D2382" s="1" t="n">
        <v>46030</v>
      </c>
      <c r="E2382" s="1" t="n">
        <v>46326</v>
      </c>
      <c r="F2382" t="inlineStr">
        <is>
          <t>GÄVLEBORGS LÄN</t>
        </is>
      </c>
      <c r="G2382" t="inlineStr">
        <is>
          <t>NORDANSTIG</t>
        </is>
      </c>
      <c r="I2382" t="n">
        <v>2.6</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39723-2025</t>
        </is>
      </c>
      <c r="B2383" t="inlineStr">
        <is>
          <t>avverkningsanmälan</t>
        </is>
      </c>
      <c r="C2383" t="inlineStr">
        <is>
          <t>Föryngringsavverkning</t>
        </is>
      </c>
      <c r="D2383" s="1" t="n">
        <v>45891</v>
      </c>
      <c r="E2383" s="1" t="n">
        <v>46326</v>
      </c>
      <c r="F2383" t="inlineStr">
        <is>
          <t>GÄVLEBORGS LÄN</t>
        </is>
      </c>
      <c r="G2383" t="inlineStr">
        <is>
          <t>OCKELBO</t>
        </is>
      </c>
      <c r="H2383" t="inlineStr">
        <is>
          <t>Bergvik skog väst AB</t>
        </is>
      </c>
      <c r="I2383" t="n">
        <v>17</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1132-2026</t>
        </is>
      </c>
      <c r="B2384" t="inlineStr">
        <is>
          <t>avverkningsanmälan</t>
        </is>
      </c>
      <c r="C2384" t="inlineStr">
        <is>
          <t>Föryngringsavverkning</t>
        </is>
      </c>
      <c r="D2384" s="1" t="n">
        <v>46030</v>
      </c>
      <c r="E2384" s="1" t="n">
        <v>46326</v>
      </c>
      <c r="F2384" t="inlineStr">
        <is>
          <t>GÄVLEBORGS LÄN</t>
        </is>
      </c>
      <c r="G2384" t="inlineStr">
        <is>
          <t>HUDIKSVALL</t>
        </is>
      </c>
      <c r="I2384" t="n">
        <v>12.5</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12454-2023</t>
        </is>
      </c>
      <c r="B2385" t="inlineStr">
        <is>
          <t>avverkningsanmälan</t>
        </is>
      </c>
      <c r="C2385" t="inlineStr">
        <is>
          <t>Föryngringsavverkning</t>
        </is>
      </c>
      <c r="D2385" s="1" t="n">
        <v>44999</v>
      </c>
      <c r="E2385" s="1" t="n">
        <v>46326</v>
      </c>
      <c r="F2385" t="inlineStr">
        <is>
          <t>GÄVLEBORGS LÄN</t>
        </is>
      </c>
      <c r="G2385" t="inlineStr">
        <is>
          <t>BOLLNÄS</t>
        </is>
      </c>
      <c r="I2385" t="n">
        <v>1.3</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44859-2024</t>
        </is>
      </c>
      <c r="B2386" t="inlineStr">
        <is>
          <t>avverkningsanmälan</t>
        </is>
      </c>
      <c r="C2386" t="inlineStr">
        <is>
          <t>Föryngringsavverkning</t>
        </is>
      </c>
      <c r="D2386" s="1" t="n">
        <v>45575</v>
      </c>
      <c r="E2386" s="1" t="n">
        <v>46326</v>
      </c>
      <c r="F2386" t="inlineStr">
        <is>
          <t>GÄVLEBORGS LÄN</t>
        </is>
      </c>
      <c r="G2386" t="inlineStr">
        <is>
          <t>OVANÅKER</t>
        </is>
      </c>
      <c r="I2386" t="n">
        <v>0.2</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1332-2025</t>
        </is>
      </c>
      <c r="B2387" t="inlineStr">
        <is>
          <t>avverkningsanmälan</t>
        </is>
      </c>
      <c r="C2387" t="inlineStr">
        <is>
          <t>Föryngringsavverkning</t>
        </is>
      </c>
      <c r="D2387" s="1" t="n">
        <v>45667</v>
      </c>
      <c r="E2387" s="1" t="n">
        <v>46326</v>
      </c>
      <c r="F2387" t="inlineStr">
        <is>
          <t>GÄVLEBORGS LÄN</t>
        </is>
      </c>
      <c r="G2387" t="inlineStr">
        <is>
          <t>LJUSDAL</t>
        </is>
      </c>
      <c r="H2387" t="inlineStr">
        <is>
          <t>Holmen skog AB</t>
        </is>
      </c>
      <c r="I2387" t="n">
        <v>4.4</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1418-2026</t>
        </is>
      </c>
      <c r="B2388" t="inlineStr">
        <is>
          <t>avverkningsanmälan</t>
        </is>
      </c>
      <c r="C2388" t="inlineStr">
        <is>
          <t>Föryngringsavverkning</t>
        </is>
      </c>
      <c r="D2388" s="1" t="n">
        <v>46031</v>
      </c>
      <c r="E2388" s="1" t="n">
        <v>46326</v>
      </c>
      <c r="F2388" t="inlineStr">
        <is>
          <t>GÄVLEBORGS LÄN</t>
        </is>
      </c>
      <c r="G2388" t="inlineStr">
        <is>
          <t>SANDVIKEN</t>
        </is>
      </c>
      <c r="I2388" t="n">
        <v>0.6</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39542-2025</t>
        </is>
      </c>
      <c r="B2389" t="inlineStr">
        <is>
          <t>avverkningsanmälan</t>
        </is>
      </c>
      <c r="C2389" t="inlineStr">
        <is>
          <t>Föryngringsavverkning</t>
        </is>
      </c>
      <c r="D2389" s="1" t="n">
        <v>45890</v>
      </c>
      <c r="E2389" s="1" t="n">
        <v>46326</v>
      </c>
      <c r="F2389" t="inlineStr">
        <is>
          <t>GÄVLEBORGS LÄN</t>
        </is>
      </c>
      <c r="G2389" t="inlineStr">
        <is>
          <t>OVANÅKER</t>
        </is>
      </c>
      <c r="H2389" t="inlineStr">
        <is>
          <t>Sveaskog</t>
        </is>
      </c>
      <c r="I2389" t="n">
        <v>2</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1024-2026</t>
        </is>
      </c>
      <c r="B2390" t="inlineStr">
        <is>
          <t>avverkningsanmälan</t>
        </is>
      </c>
      <c r="C2390" t="inlineStr">
        <is>
          <t>Föryngringsavverkning</t>
        </is>
      </c>
      <c r="D2390" s="1" t="n">
        <v>46030</v>
      </c>
      <c r="E2390" s="1" t="n">
        <v>46326</v>
      </c>
      <c r="F2390" t="inlineStr">
        <is>
          <t>GÄVLEBORGS LÄN</t>
        </is>
      </c>
      <c r="G2390" t="inlineStr">
        <is>
          <t>HUDIKSVALL</t>
        </is>
      </c>
      <c r="I2390" t="n">
        <v>3.7</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1027-2026</t>
        </is>
      </c>
      <c r="B2391" t="inlineStr">
        <is>
          <t>avverkningsanmälan</t>
        </is>
      </c>
      <c r="C2391" t="inlineStr">
        <is>
          <t>Föryngringsavverkning</t>
        </is>
      </c>
      <c r="D2391" s="1" t="n">
        <v>46030</v>
      </c>
      <c r="E2391" s="1" t="n">
        <v>46326</v>
      </c>
      <c r="F2391" t="inlineStr">
        <is>
          <t>GÄVLEBORGS LÄN</t>
        </is>
      </c>
      <c r="G2391" t="inlineStr">
        <is>
          <t>BOLLNÄS</t>
        </is>
      </c>
      <c r="I2391" t="n">
        <v>1</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1063-2026</t>
        </is>
      </c>
      <c r="B2392" t="inlineStr">
        <is>
          <t>avverkningsanmälan</t>
        </is>
      </c>
      <c r="C2392" t="inlineStr">
        <is>
          <t>Föryngringsavverkning</t>
        </is>
      </c>
      <c r="D2392" s="1" t="n">
        <v>46030</v>
      </c>
      <c r="E2392" s="1" t="n">
        <v>46326</v>
      </c>
      <c r="F2392" t="inlineStr">
        <is>
          <t>GÄVLEBORGS LÄN</t>
        </is>
      </c>
      <c r="G2392" t="inlineStr">
        <is>
          <t>NORDANSTIG</t>
        </is>
      </c>
      <c r="I2392" t="n">
        <v>4.1</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798-2026</t>
        </is>
      </c>
      <c r="B2393" t="inlineStr">
        <is>
          <t>avverkningsanmälan</t>
        </is>
      </c>
      <c r="C2393" t="inlineStr">
        <is>
          <t>Föryngringsavverkning</t>
        </is>
      </c>
      <c r="D2393" s="1" t="n">
        <v>46029</v>
      </c>
      <c r="E2393" s="1" t="n">
        <v>46326</v>
      </c>
      <c r="F2393" t="inlineStr">
        <is>
          <t>GÄVLEBORGS LÄN</t>
        </is>
      </c>
      <c r="G2393" t="inlineStr">
        <is>
          <t>OVANÅKER</t>
        </is>
      </c>
      <c r="I2393" t="n">
        <v>1.3</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40078-2024</t>
        </is>
      </c>
      <c r="B2394" t="inlineStr">
        <is>
          <t>avverkningsanmälan</t>
        </is>
      </c>
      <c r="C2394" t="inlineStr">
        <is>
          <t>Föryngringsavverkning</t>
        </is>
      </c>
      <c r="D2394" s="1" t="n">
        <v>45554</v>
      </c>
      <c r="E2394" s="1" t="n">
        <v>46326</v>
      </c>
      <c r="F2394" t="inlineStr">
        <is>
          <t>GÄVLEBORGS LÄN</t>
        </is>
      </c>
      <c r="G2394" t="inlineStr">
        <is>
          <t>NORDANSTIG</t>
        </is>
      </c>
      <c r="I2394" t="n">
        <v>0.3</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39597-2025</t>
        </is>
      </c>
      <c r="B2395" t="inlineStr">
        <is>
          <t>avverkningsanmälan</t>
        </is>
      </c>
      <c r="C2395" t="inlineStr">
        <is>
          <t>Föryngringsavverkning</t>
        </is>
      </c>
      <c r="D2395" s="1" t="n">
        <v>45890</v>
      </c>
      <c r="E2395" s="1" t="n">
        <v>46326</v>
      </c>
      <c r="F2395" t="inlineStr">
        <is>
          <t>GÄVLEBORGS LÄN</t>
        </is>
      </c>
      <c r="G2395" t="inlineStr">
        <is>
          <t>NORDANSTIG</t>
        </is>
      </c>
      <c r="H2395" t="inlineStr">
        <is>
          <t>Holmen skog AB</t>
        </is>
      </c>
      <c r="I2395" t="n">
        <v>0.4</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39643-2025</t>
        </is>
      </c>
      <c r="B2396" t="inlineStr">
        <is>
          <t>avverkningsanmälan</t>
        </is>
      </c>
      <c r="C2396" t="inlineStr">
        <is>
          <t>Föryngringsavverkning</t>
        </is>
      </c>
      <c r="D2396" s="1" t="n">
        <v>45890</v>
      </c>
      <c r="E2396" s="1" t="n">
        <v>46326</v>
      </c>
      <c r="F2396" t="inlineStr">
        <is>
          <t>GÄVLEBORGS LÄN</t>
        </is>
      </c>
      <c r="G2396" t="inlineStr">
        <is>
          <t>HUDIKSVALL</t>
        </is>
      </c>
      <c r="I2396" t="n">
        <v>1.8</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1077-2026</t>
        </is>
      </c>
      <c r="B2397" t="inlineStr">
        <is>
          <t>avverkningsanmälan</t>
        </is>
      </c>
      <c r="C2397" t="inlineStr">
        <is>
          <t>Föryngringsavverkning</t>
        </is>
      </c>
      <c r="D2397" s="1" t="n">
        <v>46030</v>
      </c>
      <c r="E2397" s="1" t="n">
        <v>46326</v>
      </c>
      <c r="F2397" t="inlineStr">
        <is>
          <t>GÄVLEBORGS LÄN</t>
        </is>
      </c>
      <c r="G2397" t="inlineStr">
        <is>
          <t>HUDIKSVALL</t>
        </is>
      </c>
      <c r="I2397" t="n">
        <v>3.8</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1093-2026</t>
        </is>
      </c>
      <c r="B2398" t="inlineStr">
        <is>
          <t>avverkningsanmälan</t>
        </is>
      </c>
      <c r="C2398" t="inlineStr">
        <is>
          <t>Föryngringsavverkning</t>
        </is>
      </c>
      <c r="D2398" s="1" t="n">
        <v>46030</v>
      </c>
      <c r="E2398" s="1" t="n">
        <v>46326</v>
      </c>
      <c r="F2398" t="inlineStr">
        <is>
          <t>GÄVLEBORGS LÄN</t>
        </is>
      </c>
      <c r="G2398" t="inlineStr">
        <is>
          <t>BOLLNÄS</t>
        </is>
      </c>
      <c r="I2398" t="n">
        <v>16</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19768-2025</t>
        </is>
      </c>
      <c r="B2399" t="inlineStr">
        <is>
          <t>avverkningsanmälan</t>
        </is>
      </c>
      <c r="C2399" t="inlineStr">
        <is>
          <t>Föryngringsavverkning</t>
        </is>
      </c>
      <c r="D2399" s="1" t="n">
        <v>45771</v>
      </c>
      <c r="E2399" s="1" t="n">
        <v>46326</v>
      </c>
      <c r="F2399" t="inlineStr">
        <is>
          <t>GÄVLEBORGS LÄN</t>
        </is>
      </c>
      <c r="G2399" t="inlineStr">
        <is>
          <t>HUDIKSVALL</t>
        </is>
      </c>
      <c r="I2399" t="n">
        <v>2.4</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15195-2025</t>
        </is>
      </c>
      <c r="B2400" t="inlineStr">
        <is>
          <t>avverkningsanmälan</t>
        </is>
      </c>
      <c r="C2400" t="inlineStr">
        <is>
          <t>Föryngringsavverkning</t>
        </is>
      </c>
      <c r="D2400" s="1" t="n">
        <v>45744</v>
      </c>
      <c r="E2400" s="1" t="n">
        <v>46326</v>
      </c>
      <c r="F2400" t="inlineStr">
        <is>
          <t>GÄVLEBORGS LÄN</t>
        </is>
      </c>
      <c r="G2400" t="inlineStr">
        <is>
          <t>OCKELBO</t>
        </is>
      </c>
      <c r="H2400" t="inlineStr">
        <is>
          <t>Bergvik skog väst AB</t>
        </is>
      </c>
      <c r="I2400" t="n">
        <v>1.4</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39554-2025</t>
        </is>
      </c>
      <c r="B2401" t="inlineStr">
        <is>
          <t>avverkningsanmälan</t>
        </is>
      </c>
      <c r="C2401" t="inlineStr">
        <is>
          <t>Föryngringsavverkning</t>
        </is>
      </c>
      <c r="D2401" s="1" t="n">
        <v>45890</v>
      </c>
      <c r="E2401" s="1" t="n">
        <v>46326</v>
      </c>
      <c r="F2401" t="inlineStr">
        <is>
          <t>GÄVLEBORGS LÄN</t>
        </is>
      </c>
      <c r="G2401" t="inlineStr">
        <is>
          <t>LJUSDAL</t>
        </is>
      </c>
      <c r="I2401" t="n">
        <v>1.7</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39626-2025</t>
        </is>
      </c>
      <c r="B2402" t="inlineStr">
        <is>
          <t>avverkningsanmälan</t>
        </is>
      </c>
      <c r="C2402" t="inlineStr">
        <is>
          <t>Föryngringsavverkning</t>
        </is>
      </c>
      <c r="D2402" s="1" t="n">
        <v>45890</v>
      </c>
      <c r="E2402" s="1" t="n">
        <v>46326</v>
      </c>
      <c r="F2402" t="inlineStr">
        <is>
          <t>GÄVLEBORGS LÄN</t>
        </is>
      </c>
      <c r="G2402" t="inlineStr">
        <is>
          <t>OVANÅKER</t>
        </is>
      </c>
      <c r="I2402" t="n">
        <v>1.3</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7979-2025</t>
        </is>
      </c>
      <c r="B2403" t="inlineStr">
        <is>
          <t>avverkningsanmälan</t>
        </is>
      </c>
      <c r="C2403" t="inlineStr">
        <is>
          <t>Föryngringsavverkning</t>
        </is>
      </c>
      <c r="D2403" s="1" t="n">
        <v>45707</v>
      </c>
      <c r="E2403" s="1" t="n">
        <v>46326</v>
      </c>
      <c r="F2403" t="inlineStr">
        <is>
          <t>GÄVLEBORGS LÄN</t>
        </is>
      </c>
      <c r="G2403" t="inlineStr">
        <is>
          <t>SÖDERHAMN</t>
        </is>
      </c>
      <c r="I2403" t="n">
        <v>6.6</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47974-2024</t>
        </is>
      </c>
      <c r="B2404" t="inlineStr">
        <is>
          <t>avverkningsanmälan</t>
        </is>
      </c>
      <c r="C2404" t="inlineStr">
        <is>
          <t>Föryngringsavverkning</t>
        </is>
      </c>
      <c r="D2404" s="1" t="n">
        <v>45589</v>
      </c>
      <c r="E2404" s="1" t="n">
        <v>46326</v>
      </c>
      <c r="F2404" t="inlineStr">
        <is>
          <t>GÄVLEBORGS LÄN</t>
        </is>
      </c>
      <c r="G2404" t="inlineStr">
        <is>
          <t>SANDVIKEN</t>
        </is>
      </c>
      <c r="H2404" t="inlineStr">
        <is>
          <t>Bergvik skog väst AB</t>
        </is>
      </c>
      <c r="I2404" t="n">
        <v>1</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57679-2022</t>
        </is>
      </c>
      <c r="B2405" t="inlineStr">
        <is>
          <t>avverkningsanmälan</t>
        </is>
      </c>
      <c r="C2405" t="inlineStr">
        <is>
          <t>Föryngringsavverkning</t>
        </is>
      </c>
      <c r="D2405" s="1" t="n">
        <v>44897</v>
      </c>
      <c r="E2405" s="1" t="n">
        <v>46326</v>
      </c>
      <c r="F2405" t="inlineStr">
        <is>
          <t>GÄVLEBORGS LÄN</t>
        </is>
      </c>
      <c r="G2405" t="inlineStr">
        <is>
          <t>HUDIKSVALL</t>
        </is>
      </c>
      <c r="I2405" t="n">
        <v>1.5</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778-2026</t>
        </is>
      </c>
      <c r="B2406" t="inlineStr">
        <is>
          <t>avverkningsanmälan</t>
        </is>
      </c>
      <c r="C2406" t="inlineStr">
        <is>
          <t>Föryngringsavverkning</t>
        </is>
      </c>
      <c r="D2406" s="1" t="n">
        <v>46029</v>
      </c>
      <c r="E2406" s="1" t="n">
        <v>46326</v>
      </c>
      <c r="F2406" t="inlineStr">
        <is>
          <t>GÄVLEBORGS LÄN</t>
        </is>
      </c>
      <c r="G2406" t="inlineStr">
        <is>
          <t>HUDIKSVALL</t>
        </is>
      </c>
      <c r="I2406" t="n">
        <v>1.3</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876-2026</t>
        </is>
      </c>
      <c r="B2407" t="inlineStr">
        <is>
          <t>avverkningsanmälan</t>
        </is>
      </c>
      <c r="C2407" t="inlineStr">
        <is>
          <t>Föryngringsavverkning</t>
        </is>
      </c>
      <c r="D2407" s="1" t="n">
        <v>46030</v>
      </c>
      <c r="E2407" s="1" t="n">
        <v>46326</v>
      </c>
      <c r="F2407" t="inlineStr">
        <is>
          <t>GÄVLEBORGS LÄN</t>
        </is>
      </c>
      <c r="G2407" t="inlineStr">
        <is>
          <t>GÄVLE</t>
        </is>
      </c>
      <c r="I2407" t="n">
        <v>3.1</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6095-2024</t>
        </is>
      </c>
      <c r="B2408" t="inlineStr">
        <is>
          <t>avverkningsanmälan</t>
        </is>
      </c>
      <c r="C2408" t="inlineStr">
        <is>
          <t>Föryngringsavverkning</t>
        </is>
      </c>
      <c r="D2408" s="1" t="n">
        <v>45337</v>
      </c>
      <c r="E2408" s="1" t="n">
        <v>46326</v>
      </c>
      <c r="F2408" t="inlineStr">
        <is>
          <t>GÄVLEBORGS LÄN</t>
        </is>
      </c>
      <c r="G2408" t="inlineStr">
        <is>
          <t>HUDIKSVALL</t>
        </is>
      </c>
      <c r="H2408" t="inlineStr">
        <is>
          <t>Holmen skog AB</t>
        </is>
      </c>
      <c r="I2408" t="n">
        <v>1.1</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1724-2026</t>
        </is>
      </c>
      <c r="B2409" t="inlineStr">
        <is>
          <t>avverkningsanmälan</t>
        </is>
      </c>
      <c r="C2409" t="inlineStr">
        <is>
          <t>Föryngringsavverkning</t>
        </is>
      </c>
      <c r="D2409" s="1" t="n">
        <v>46034</v>
      </c>
      <c r="E2409" s="1" t="n">
        <v>46326</v>
      </c>
      <c r="F2409" t="inlineStr">
        <is>
          <t>GÄVLEBORGS LÄN</t>
        </is>
      </c>
      <c r="G2409" t="inlineStr">
        <is>
          <t>OCKELBO</t>
        </is>
      </c>
      <c r="H2409" t="inlineStr">
        <is>
          <t>Bergvik skog väst AB</t>
        </is>
      </c>
      <c r="I2409" t="n">
        <v>0.5</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1935-2026</t>
        </is>
      </c>
      <c r="B2410" t="inlineStr">
        <is>
          <t>avverkningsanmälan</t>
        </is>
      </c>
      <c r="C2410" t="inlineStr">
        <is>
          <t>Föryngringsavverkning</t>
        </is>
      </c>
      <c r="D2410" s="1" t="n">
        <v>46035</v>
      </c>
      <c r="E2410" s="1" t="n">
        <v>46326</v>
      </c>
      <c r="F2410" t="inlineStr">
        <is>
          <t>GÄVLEBORGS LÄN</t>
        </is>
      </c>
      <c r="G2410" t="inlineStr">
        <is>
          <t>HUDIKSVALL</t>
        </is>
      </c>
      <c r="I2410" t="n">
        <v>2.9</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37680-2022</t>
        </is>
      </c>
      <c r="B2411" t="inlineStr">
        <is>
          <t>avverkningsanmälan</t>
        </is>
      </c>
      <c r="C2411" t="inlineStr">
        <is>
          <t>Föryngringsavverkning</t>
        </is>
      </c>
      <c r="D2411" s="1" t="n">
        <v>44810</v>
      </c>
      <c r="E2411" s="1" t="n">
        <v>46326</v>
      </c>
      <c r="F2411" t="inlineStr">
        <is>
          <t>GÄVLEBORGS LÄN</t>
        </is>
      </c>
      <c r="G2411" t="inlineStr">
        <is>
          <t>HOFORS</t>
        </is>
      </c>
      <c r="I2411" t="n">
        <v>6.6</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1726-2026</t>
        </is>
      </c>
      <c r="B2412" t="inlineStr">
        <is>
          <t>avverkningsanmälan</t>
        </is>
      </c>
      <c r="C2412" t="inlineStr">
        <is>
          <t>Föryngringsavverkning</t>
        </is>
      </c>
      <c r="D2412" s="1" t="n">
        <v>46034</v>
      </c>
      <c r="E2412" s="1" t="n">
        <v>46326</v>
      </c>
      <c r="F2412" t="inlineStr">
        <is>
          <t>GÄVLEBORGS LÄN</t>
        </is>
      </c>
      <c r="G2412" t="inlineStr">
        <is>
          <t>OCKELBO</t>
        </is>
      </c>
      <c r="I2412" t="n">
        <v>9.4</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1777-2026</t>
        </is>
      </c>
      <c r="B2413" t="inlineStr">
        <is>
          <t>avverkningsanmälan</t>
        </is>
      </c>
      <c r="C2413" t="inlineStr">
        <is>
          <t>Föryngringsavverkning</t>
        </is>
      </c>
      <c r="D2413" s="1" t="n">
        <v>46034</v>
      </c>
      <c r="E2413" s="1" t="n">
        <v>46326</v>
      </c>
      <c r="F2413" t="inlineStr">
        <is>
          <t>GÄVLEBORGS LÄN</t>
        </is>
      </c>
      <c r="G2413" t="inlineStr">
        <is>
          <t>HUDIKSVALL</t>
        </is>
      </c>
      <c r="I2413" t="n">
        <v>3.8</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39784-2025</t>
        </is>
      </c>
      <c r="B2414" t="inlineStr">
        <is>
          <t>avverkningsanmälan</t>
        </is>
      </c>
      <c r="C2414" t="inlineStr">
        <is>
          <t>Föryngringsavverkning</t>
        </is>
      </c>
      <c r="D2414" s="1" t="n">
        <v>45891</v>
      </c>
      <c r="E2414" s="1" t="n">
        <v>46326</v>
      </c>
      <c r="F2414" t="inlineStr">
        <is>
          <t>GÄVLEBORGS LÄN</t>
        </is>
      </c>
      <c r="G2414" t="inlineStr">
        <is>
          <t>SÖDERHAMN</t>
        </is>
      </c>
      <c r="H2414" t="inlineStr">
        <is>
          <t>Bergvik skog väst AB</t>
        </is>
      </c>
      <c r="I2414" t="n">
        <v>1</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39551-2025</t>
        </is>
      </c>
      <c r="B2415" t="inlineStr">
        <is>
          <t>avverkningsanmälan</t>
        </is>
      </c>
      <c r="C2415" t="inlineStr">
        <is>
          <t>Föryngringsavverkning</t>
        </is>
      </c>
      <c r="D2415" s="1" t="n">
        <v>45890</v>
      </c>
      <c r="E2415" s="1" t="n">
        <v>46326</v>
      </c>
      <c r="F2415" t="inlineStr">
        <is>
          <t>GÄVLEBORGS LÄN</t>
        </is>
      </c>
      <c r="G2415" t="inlineStr">
        <is>
          <t>LJUSDAL</t>
        </is>
      </c>
      <c r="I2415" t="n">
        <v>1.8</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1456-2026</t>
        </is>
      </c>
      <c r="B2416" t="inlineStr">
        <is>
          <t>avverkningsanmälan</t>
        </is>
      </c>
      <c r="C2416" t="inlineStr">
        <is>
          <t>Föryngringsavverkning</t>
        </is>
      </c>
      <c r="D2416" s="1" t="n">
        <v>46033</v>
      </c>
      <c r="E2416" s="1" t="n">
        <v>46326</v>
      </c>
      <c r="F2416" t="inlineStr">
        <is>
          <t>GÄVLEBORGS LÄN</t>
        </is>
      </c>
      <c r="G2416" t="inlineStr">
        <is>
          <t>OCKELBO</t>
        </is>
      </c>
      <c r="I2416" t="n">
        <v>4.8</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39886-2025</t>
        </is>
      </c>
      <c r="B2417" t="inlineStr">
        <is>
          <t>avverkningsanmälan</t>
        </is>
      </c>
      <c r="C2417" t="inlineStr">
        <is>
          <t>Föryngringsavverkning</t>
        </is>
      </c>
      <c r="D2417" s="1" t="n">
        <v>45891</v>
      </c>
      <c r="E2417" s="1" t="n">
        <v>46326</v>
      </c>
      <c r="F2417" t="inlineStr">
        <is>
          <t>GÄVLEBORGS LÄN</t>
        </is>
      </c>
      <c r="G2417" t="inlineStr">
        <is>
          <t>BOLLNÄS</t>
        </is>
      </c>
      <c r="I2417" t="n">
        <v>2.8</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1866-2026</t>
        </is>
      </c>
      <c r="B2418" t="inlineStr">
        <is>
          <t>avverkningsanmälan</t>
        </is>
      </c>
      <c r="C2418" t="inlineStr">
        <is>
          <t>Föryngringsavverkning</t>
        </is>
      </c>
      <c r="D2418" s="1" t="n">
        <v>46035</v>
      </c>
      <c r="E2418" s="1" t="n">
        <v>46326</v>
      </c>
      <c r="F2418" t="inlineStr">
        <is>
          <t>GÄVLEBORGS LÄN</t>
        </is>
      </c>
      <c r="G2418" t="inlineStr">
        <is>
          <t>OCKELBO</t>
        </is>
      </c>
      <c r="I2418" t="n">
        <v>1.4</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63903-2025</t>
        </is>
      </c>
      <c r="B2419" t="inlineStr">
        <is>
          <t>avverkningsanmälan</t>
        </is>
      </c>
      <c r="C2419" t="inlineStr">
        <is>
          <t>Föryngringsavverkning</t>
        </is>
      </c>
      <c r="D2419" s="1" t="n">
        <v>46020</v>
      </c>
      <c r="E2419" s="1" t="n">
        <v>46326</v>
      </c>
      <c r="F2419" t="inlineStr">
        <is>
          <t>GÄVLEBORGS LÄN</t>
        </is>
      </c>
      <c r="G2419" t="inlineStr">
        <is>
          <t>OVANÅKER</t>
        </is>
      </c>
      <c r="I2419" t="n">
        <v>2.8</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10537-2025</t>
        </is>
      </c>
      <c r="B2420" t="inlineStr">
        <is>
          <t>avverkningsanmälan</t>
        </is>
      </c>
      <c r="C2420" t="inlineStr">
        <is>
          <t>Föryngringsavverkning</t>
        </is>
      </c>
      <c r="D2420" s="1" t="n">
        <v>45721</v>
      </c>
      <c r="E2420" s="1" t="n">
        <v>46326</v>
      </c>
      <c r="F2420" t="inlineStr">
        <is>
          <t>GÄVLEBORGS LÄN</t>
        </is>
      </c>
      <c r="G2420" t="inlineStr">
        <is>
          <t>HUDIKSVALL</t>
        </is>
      </c>
      <c r="H2420" t="inlineStr">
        <is>
          <t>Holmen skog AB</t>
        </is>
      </c>
      <c r="I2420" t="n">
        <v>2.1</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39471-2025</t>
        </is>
      </c>
      <c r="B2421" t="inlineStr">
        <is>
          <t>avverkningsanmälan</t>
        </is>
      </c>
      <c r="C2421" t="inlineStr">
        <is>
          <t>Föryngringsavverkning</t>
        </is>
      </c>
      <c r="D2421" s="1" t="n">
        <v>45890</v>
      </c>
      <c r="E2421" s="1" t="n">
        <v>46326</v>
      </c>
      <c r="F2421" t="inlineStr">
        <is>
          <t>GÄVLEBORGS LÄN</t>
        </is>
      </c>
      <c r="G2421" t="inlineStr">
        <is>
          <t>SÖDERHAMN</t>
        </is>
      </c>
      <c r="I2421" t="n">
        <v>2.1</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1703-2026</t>
        </is>
      </c>
      <c r="B2422" t="inlineStr">
        <is>
          <t>avverkningsanmälan</t>
        </is>
      </c>
      <c r="C2422" t="inlineStr">
        <is>
          <t>Föryngringsavverkning</t>
        </is>
      </c>
      <c r="D2422" s="1" t="n">
        <v>46034</v>
      </c>
      <c r="E2422" s="1" t="n">
        <v>46326</v>
      </c>
      <c r="F2422" t="inlineStr">
        <is>
          <t>GÄVLEBORGS LÄN</t>
        </is>
      </c>
      <c r="G2422" t="inlineStr">
        <is>
          <t>NORDANSTIG</t>
        </is>
      </c>
      <c r="I2422" t="n">
        <v>12.7</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1470-2026</t>
        </is>
      </c>
      <c r="B2423" t="inlineStr">
        <is>
          <t>avverkningsanmälan</t>
        </is>
      </c>
      <c r="C2423" t="inlineStr">
        <is>
          <t>Föryngringsavverkning</t>
        </is>
      </c>
      <c r="D2423" s="1" t="n">
        <v>46033</v>
      </c>
      <c r="E2423" s="1" t="n">
        <v>46326</v>
      </c>
      <c r="F2423" t="inlineStr">
        <is>
          <t>GÄVLEBORGS LÄN</t>
        </is>
      </c>
      <c r="G2423" t="inlineStr">
        <is>
          <t>OVANÅKER</t>
        </is>
      </c>
      <c r="I2423" t="n">
        <v>9.300000000000001</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58611-2023</t>
        </is>
      </c>
      <c r="B2424" t="inlineStr">
        <is>
          <t>avverkningsanmälan</t>
        </is>
      </c>
      <c r="C2424" t="inlineStr">
        <is>
          <t>Föryngringsavverkning</t>
        </is>
      </c>
      <c r="D2424" s="1" t="n">
        <v>45251</v>
      </c>
      <c r="E2424" s="1" t="n">
        <v>46326</v>
      </c>
      <c r="F2424" t="inlineStr">
        <is>
          <t>GÄVLEBORGS LÄN</t>
        </is>
      </c>
      <c r="G2424" t="inlineStr">
        <is>
          <t>SÖDERHAMN</t>
        </is>
      </c>
      <c r="I2424" t="n">
        <v>0.7</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1805-2026</t>
        </is>
      </c>
      <c r="B2425" t="inlineStr">
        <is>
          <t>avverkningsanmälan</t>
        </is>
      </c>
      <c r="C2425" t="inlineStr">
        <is>
          <t>Föryngringsavverkning</t>
        </is>
      </c>
      <c r="D2425" s="1" t="n">
        <v>46035</v>
      </c>
      <c r="E2425" s="1" t="n">
        <v>46326</v>
      </c>
      <c r="F2425" t="inlineStr">
        <is>
          <t>GÄVLEBORGS LÄN</t>
        </is>
      </c>
      <c r="G2425" t="inlineStr">
        <is>
          <t>BOLLNÄS</t>
        </is>
      </c>
      <c r="I2425" t="n">
        <v>0.7</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1820-2026</t>
        </is>
      </c>
      <c r="B2426" t="inlineStr">
        <is>
          <t>avverkningsanmälan</t>
        </is>
      </c>
      <c r="C2426" t="inlineStr">
        <is>
          <t>Föryngringsavverkning</t>
        </is>
      </c>
      <c r="D2426" s="1" t="n">
        <v>46035</v>
      </c>
      <c r="E2426" s="1" t="n">
        <v>46326</v>
      </c>
      <c r="F2426" t="inlineStr">
        <is>
          <t>GÄVLEBORGS LÄN</t>
        </is>
      </c>
      <c r="G2426" t="inlineStr">
        <is>
          <t>LJUSDAL</t>
        </is>
      </c>
      <c r="I2426" t="n">
        <v>8.699999999999999</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25570-2024</t>
        </is>
      </c>
      <c r="B2427" t="inlineStr">
        <is>
          <t>avverkningsanmälan</t>
        </is>
      </c>
      <c r="C2427" t="inlineStr">
        <is>
          <t>Föryngringsavverkning</t>
        </is>
      </c>
      <c r="D2427" s="1" t="n">
        <v>45463</v>
      </c>
      <c r="E2427" s="1" t="n">
        <v>46326</v>
      </c>
      <c r="F2427" t="inlineStr">
        <is>
          <t>GÄVLEBORGS LÄN</t>
        </is>
      </c>
      <c r="G2427" t="inlineStr">
        <is>
          <t>LJUSDAL</t>
        </is>
      </c>
      <c r="H2427" t="inlineStr">
        <is>
          <t>Sveaskog</t>
        </is>
      </c>
      <c r="I2427" t="n">
        <v>0.8</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39877-2025</t>
        </is>
      </c>
      <c r="B2428" t="inlineStr">
        <is>
          <t>avverkningsanmälan</t>
        </is>
      </c>
      <c r="C2428" t="inlineStr">
        <is>
          <t>Föryngringsavverkning</t>
        </is>
      </c>
      <c r="D2428" s="1" t="n">
        <v>45891</v>
      </c>
      <c r="E2428" s="1" t="n">
        <v>46326</v>
      </c>
      <c r="F2428" t="inlineStr">
        <is>
          <t>GÄVLEBORGS LÄN</t>
        </is>
      </c>
      <c r="G2428" t="inlineStr">
        <is>
          <t>SANDVIKEN</t>
        </is>
      </c>
      <c r="H2428" t="inlineStr">
        <is>
          <t>Sveaskog</t>
        </is>
      </c>
      <c r="I2428" t="n">
        <v>1.6</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1855-2026</t>
        </is>
      </c>
      <c r="B2429" t="inlineStr">
        <is>
          <t>avverkningsanmälan</t>
        </is>
      </c>
      <c r="C2429" t="inlineStr">
        <is>
          <t>Föryngringsavverkning</t>
        </is>
      </c>
      <c r="D2429" s="1" t="n">
        <v>46035</v>
      </c>
      <c r="E2429" s="1" t="n">
        <v>46326</v>
      </c>
      <c r="F2429" t="inlineStr">
        <is>
          <t>GÄVLEBORGS LÄN</t>
        </is>
      </c>
      <c r="G2429" t="inlineStr">
        <is>
          <t>HUDIKSVALL</t>
        </is>
      </c>
      <c r="I2429" t="n">
        <v>15.9</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39708-2025</t>
        </is>
      </c>
      <c r="B2430" t="inlineStr">
        <is>
          <t>avverkningsanmälan</t>
        </is>
      </c>
      <c r="C2430" t="inlineStr">
        <is>
          <t>Föryngringsavverkning</t>
        </is>
      </c>
      <c r="D2430" s="1" t="n">
        <v>45890</v>
      </c>
      <c r="E2430" s="1" t="n">
        <v>46326</v>
      </c>
      <c r="F2430" t="inlineStr">
        <is>
          <t>GÄVLEBORGS LÄN</t>
        </is>
      </c>
      <c r="G2430" t="inlineStr">
        <is>
          <t>LJUSDAL</t>
        </is>
      </c>
      <c r="H2430" t="inlineStr">
        <is>
          <t>Holmen skog AB</t>
        </is>
      </c>
      <c r="I2430" t="n">
        <v>10.4</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39496-2025</t>
        </is>
      </c>
      <c r="B2431" t="inlineStr">
        <is>
          <t>avverkningsanmälan</t>
        </is>
      </c>
      <c r="C2431" t="inlineStr">
        <is>
          <t>Föryngringsavverkning</t>
        </is>
      </c>
      <c r="D2431" s="1" t="n">
        <v>45890</v>
      </c>
      <c r="E2431" s="1" t="n">
        <v>46326</v>
      </c>
      <c r="F2431" t="inlineStr">
        <is>
          <t>GÄVLEBORGS LÄN</t>
        </is>
      </c>
      <c r="G2431" t="inlineStr">
        <is>
          <t>SÖDERHAMN</t>
        </is>
      </c>
      <c r="I2431" t="n">
        <v>0.9</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1576-2026</t>
        </is>
      </c>
      <c r="B2432" t="inlineStr">
        <is>
          <t>avverkningsanmälan</t>
        </is>
      </c>
      <c r="C2432" t="inlineStr">
        <is>
          <t>Föryngringsavverkning</t>
        </is>
      </c>
      <c r="D2432" s="1" t="n">
        <v>46034</v>
      </c>
      <c r="E2432" s="1" t="n">
        <v>46326</v>
      </c>
      <c r="F2432" t="inlineStr">
        <is>
          <t>GÄVLEBORGS LÄN</t>
        </is>
      </c>
      <c r="G2432" t="inlineStr">
        <is>
          <t>SANDVIKEN</t>
        </is>
      </c>
      <c r="I2432" t="n">
        <v>2.1</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1980-2026</t>
        </is>
      </c>
      <c r="B2433" t="inlineStr">
        <is>
          <t>avverkningsanmälan</t>
        </is>
      </c>
      <c r="C2433" t="inlineStr">
        <is>
          <t>Föryngringsavverkning</t>
        </is>
      </c>
      <c r="D2433" s="1" t="n">
        <v>46035</v>
      </c>
      <c r="E2433" s="1" t="n">
        <v>46326</v>
      </c>
      <c r="F2433" t="inlineStr">
        <is>
          <t>GÄVLEBORGS LÄN</t>
        </is>
      </c>
      <c r="G2433" t="inlineStr">
        <is>
          <t>SÖDERHAMN</t>
        </is>
      </c>
      <c r="I2433" t="n">
        <v>12.5</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39897-2025</t>
        </is>
      </c>
      <c r="B2434" t="inlineStr">
        <is>
          <t>avverkningsanmälan</t>
        </is>
      </c>
      <c r="C2434" t="inlineStr">
        <is>
          <t>Föryngringsavverkning</t>
        </is>
      </c>
      <c r="D2434" s="1" t="n">
        <v>45891</v>
      </c>
      <c r="E2434" s="1" t="n">
        <v>46326</v>
      </c>
      <c r="F2434" t="inlineStr">
        <is>
          <t>GÄVLEBORGS LÄN</t>
        </is>
      </c>
      <c r="G2434" t="inlineStr">
        <is>
          <t>BOLLNÄS</t>
        </is>
      </c>
      <c r="I2434" t="n">
        <v>0.8</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32056-2023</t>
        </is>
      </c>
      <c r="B2435" t="inlineStr">
        <is>
          <t>avverkningsanmälan</t>
        </is>
      </c>
      <c r="C2435" t="inlineStr">
        <is>
          <t>Föryngringsavverkning</t>
        </is>
      </c>
      <c r="D2435" s="1" t="n">
        <v>45119</v>
      </c>
      <c r="E2435" s="1" t="n">
        <v>46326</v>
      </c>
      <c r="F2435" t="inlineStr">
        <is>
          <t>GÄVLEBORGS LÄN</t>
        </is>
      </c>
      <c r="G2435" t="inlineStr">
        <is>
          <t>BOLLNÄS</t>
        </is>
      </c>
      <c r="I2435" t="n">
        <v>0.8</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1948-2026</t>
        </is>
      </c>
      <c r="B2436" t="inlineStr">
        <is>
          <t>avverkningsanmälan</t>
        </is>
      </c>
      <c r="C2436" t="inlineStr">
        <is>
          <t>Föryngringsavverkning</t>
        </is>
      </c>
      <c r="D2436" s="1" t="n">
        <v>46035</v>
      </c>
      <c r="E2436" s="1" t="n">
        <v>46326</v>
      </c>
      <c r="F2436" t="inlineStr">
        <is>
          <t>GÄVLEBORGS LÄN</t>
        </is>
      </c>
      <c r="G2436" t="inlineStr">
        <is>
          <t>BOLLNÄS</t>
        </is>
      </c>
      <c r="I2436" t="n">
        <v>13.2</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1961-2026</t>
        </is>
      </c>
      <c r="B2437" t="inlineStr">
        <is>
          <t>avverkningsanmälan</t>
        </is>
      </c>
      <c r="C2437" t="inlineStr">
        <is>
          <t>Föryngringsavverkning</t>
        </is>
      </c>
      <c r="D2437" s="1" t="n">
        <v>46035</v>
      </c>
      <c r="E2437" s="1" t="n">
        <v>46326</v>
      </c>
      <c r="F2437" t="inlineStr">
        <is>
          <t>GÄVLEBORGS LÄN</t>
        </is>
      </c>
      <c r="G2437" t="inlineStr">
        <is>
          <t>OVANÅKER</t>
        </is>
      </c>
      <c r="I2437" t="n">
        <v>22</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1981-2026</t>
        </is>
      </c>
      <c r="B2438" t="inlineStr">
        <is>
          <t>avverkningsanmälan</t>
        </is>
      </c>
      <c r="C2438" t="inlineStr">
        <is>
          <t>Föryngringsavverkning</t>
        </is>
      </c>
      <c r="D2438" s="1" t="n">
        <v>46035</v>
      </c>
      <c r="E2438" s="1" t="n">
        <v>46326</v>
      </c>
      <c r="F2438" t="inlineStr">
        <is>
          <t>GÄVLEBORGS LÄN</t>
        </is>
      </c>
      <c r="G2438" t="inlineStr">
        <is>
          <t>OCKELBO</t>
        </is>
      </c>
      <c r="I2438" t="n">
        <v>3.6</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17840-2023</t>
        </is>
      </c>
      <c r="B2439" t="inlineStr">
        <is>
          <t>avverkningsanmälan</t>
        </is>
      </c>
      <c r="C2439" t="inlineStr">
        <is>
          <t>Föryngringsavverkning</t>
        </is>
      </c>
      <c r="D2439" s="1" t="n">
        <v>45037</v>
      </c>
      <c r="E2439" s="1" t="n">
        <v>46326</v>
      </c>
      <c r="F2439" t="inlineStr">
        <is>
          <t>GÄVLEBORGS LÄN</t>
        </is>
      </c>
      <c r="G2439" t="inlineStr">
        <is>
          <t>NORDANSTIG</t>
        </is>
      </c>
      <c r="I2439" t="n">
        <v>0.9</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52921-2024</t>
        </is>
      </c>
      <c r="B2440" t="inlineStr">
        <is>
          <t>avverkningsanmälan</t>
        </is>
      </c>
      <c r="C2440" t="inlineStr">
        <is>
          <t>Föryngringsavverkning</t>
        </is>
      </c>
      <c r="D2440" s="1" t="n">
        <v>45610</v>
      </c>
      <c r="E2440" s="1" t="n">
        <v>46326</v>
      </c>
      <c r="F2440" t="inlineStr">
        <is>
          <t>GÄVLEBORGS LÄN</t>
        </is>
      </c>
      <c r="G2440" t="inlineStr">
        <is>
          <t>LJUSDAL</t>
        </is>
      </c>
      <c r="H2440" t="inlineStr">
        <is>
          <t>Allmännings- och besparingsskogar</t>
        </is>
      </c>
      <c r="I2440" t="n">
        <v>1.5</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1500-2026</t>
        </is>
      </c>
      <c r="B2441" t="inlineStr">
        <is>
          <t>avverkningsanmälan</t>
        </is>
      </c>
      <c r="C2441" t="inlineStr">
        <is>
          <t>Föryngringsavverkning</t>
        </is>
      </c>
      <c r="D2441" s="1" t="n">
        <v>46034</v>
      </c>
      <c r="E2441" s="1" t="n">
        <v>46326</v>
      </c>
      <c r="F2441" t="inlineStr">
        <is>
          <t>GÄVLEBORGS LÄN</t>
        </is>
      </c>
      <c r="G2441" t="inlineStr">
        <is>
          <t>BOLLNÄS</t>
        </is>
      </c>
      <c r="I2441" t="n">
        <v>0.6</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1555-2026</t>
        </is>
      </c>
      <c r="B2442" t="inlineStr">
        <is>
          <t>avverkningsanmälan</t>
        </is>
      </c>
      <c r="C2442" t="inlineStr">
        <is>
          <t>Föryngringsavverkning</t>
        </is>
      </c>
      <c r="D2442" s="1" t="n">
        <v>46034</v>
      </c>
      <c r="E2442" s="1" t="n">
        <v>46326</v>
      </c>
      <c r="F2442" t="inlineStr">
        <is>
          <t>GÄVLEBORGS LÄN</t>
        </is>
      </c>
      <c r="G2442" t="inlineStr">
        <is>
          <t>BOLLNÄS</t>
        </is>
      </c>
      <c r="I2442" t="n">
        <v>4.9</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41535-2024</t>
        </is>
      </c>
      <c r="B2443" t="inlineStr">
        <is>
          <t>avverkningsanmälan</t>
        </is>
      </c>
      <c r="C2443" t="inlineStr">
        <is>
          <t>Föryngringsavverkning</t>
        </is>
      </c>
      <c r="D2443" s="1" t="n">
        <v>45560</v>
      </c>
      <c r="E2443" s="1" t="n">
        <v>46326</v>
      </c>
      <c r="F2443" t="inlineStr">
        <is>
          <t>GÄVLEBORGS LÄN</t>
        </is>
      </c>
      <c r="G2443" t="inlineStr">
        <is>
          <t>HUDIKSVALL</t>
        </is>
      </c>
      <c r="I2443" t="n">
        <v>1.6</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31434-2022</t>
        </is>
      </c>
      <c r="B2444" t="inlineStr">
        <is>
          <t>avverkningsanmälan</t>
        </is>
      </c>
      <c r="C2444" t="inlineStr">
        <is>
          <t>Föryngringsavverkning</t>
        </is>
      </c>
      <c r="D2444" s="1" t="n">
        <v>44774</v>
      </c>
      <c r="E2444" s="1" t="n">
        <v>46326</v>
      </c>
      <c r="F2444" t="inlineStr">
        <is>
          <t>GÄVLEBORGS LÄN</t>
        </is>
      </c>
      <c r="G2444" t="inlineStr">
        <is>
          <t>BOLLNÄS</t>
        </is>
      </c>
      <c r="I2444" t="n">
        <v>3</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40407-2025</t>
        </is>
      </c>
      <c r="B2445" t="inlineStr">
        <is>
          <t>avverkningsanmälan</t>
        </is>
      </c>
      <c r="C2445" t="inlineStr">
        <is>
          <t>Avverkning för att bevara och utveckla /försöksver</t>
        </is>
      </c>
      <c r="D2445" s="1" t="n">
        <v>45895</v>
      </c>
      <c r="E2445" s="1" t="n">
        <v>46326</v>
      </c>
      <c r="F2445" t="inlineStr">
        <is>
          <t>GÄVLEBORGS LÄN</t>
        </is>
      </c>
      <c r="G2445" t="inlineStr">
        <is>
          <t>HOFORS</t>
        </is>
      </c>
      <c r="H2445" t="inlineStr">
        <is>
          <t>Sveaskog</t>
        </is>
      </c>
      <c r="I2445" t="n">
        <v>2.2</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2215-2023</t>
        </is>
      </c>
      <c r="B2446" t="inlineStr">
        <is>
          <t>avverkningsanmälan</t>
        </is>
      </c>
      <c r="C2446" t="inlineStr">
        <is>
          <t>Föryngringsavverkning</t>
        </is>
      </c>
      <c r="D2446" s="1" t="n">
        <v>44942</v>
      </c>
      <c r="E2446" s="1" t="n">
        <v>46326</v>
      </c>
      <c r="F2446" t="inlineStr">
        <is>
          <t>GÄVLEBORGS LÄN</t>
        </is>
      </c>
      <c r="G2446" t="inlineStr">
        <is>
          <t>HUDIKSVALL</t>
        </is>
      </c>
      <c r="H2446" t="inlineStr">
        <is>
          <t>Holmen skog AB</t>
        </is>
      </c>
      <c r="I2446" t="n">
        <v>0.9</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35000-2024</t>
        </is>
      </c>
      <c r="B2447" t="inlineStr">
        <is>
          <t>avverkningsanmälan</t>
        </is>
      </c>
      <c r="C2447" t="inlineStr">
        <is>
          <t>Föryngringsavverkning</t>
        </is>
      </c>
      <c r="D2447" s="1" t="n">
        <v>45527</v>
      </c>
      <c r="E2447" s="1" t="n">
        <v>46326</v>
      </c>
      <c r="F2447" t="inlineStr">
        <is>
          <t>GÄVLEBORGS LÄN</t>
        </is>
      </c>
      <c r="G2447" t="inlineStr">
        <is>
          <t>HUDIKSVALL</t>
        </is>
      </c>
      <c r="H2447" t="inlineStr">
        <is>
          <t>Holmen skog AB</t>
        </is>
      </c>
      <c r="I2447" t="n">
        <v>2.7</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35024-2024</t>
        </is>
      </c>
      <c r="B2448" t="inlineStr">
        <is>
          <t>avverkningsanmälan</t>
        </is>
      </c>
      <c r="C2448" t="inlineStr">
        <is>
          <t>Föryngringsavverkning</t>
        </is>
      </c>
      <c r="D2448" s="1" t="n">
        <v>45527</v>
      </c>
      <c r="E2448" s="1" t="n">
        <v>46326</v>
      </c>
      <c r="F2448" t="inlineStr">
        <is>
          <t>GÄVLEBORGS LÄN</t>
        </is>
      </c>
      <c r="G2448" t="inlineStr">
        <is>
          <t>LJUSDAL</t>
        </is>
      </c>
      <c r="I2448" t="n">
        <v>0.7</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1587-2026</t>
        </is>
      </c>
      <c r="B2449" t="inlineStr">
        <is>
          <t>avverkningsanmälan</t>
        </is>
      </c>
      <c r="C2449" t="inlineStr">
        <is>
          <t>Föryngringsavverkning</t>
        </is>
      </c>
      <c r="D2449" s="1" t="n">
        <v>46034</v>
      </c>
      <c r="E2449" s="1" t="n">
        <v>46326</v>
      </c>
      <c r="F2449" t="inlineStr">
        <is>
          <t>GÄVLEBORGS LÄN</t>
        </is>
      </c>
      <c r="G2449" t="inlineStr">
        <is>
          <t>BOLLNÄS</t>
        </is>
      </c>
      <c r="I2449" t="n">
        <v>11.8</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167-2026</t>
        </is>
      </c>
      <c r="B2450" t="inlineStr">
        <is>
          <t>avverkningsanmälan</t>
        </is>
      </c>
      <c r="C2450" t="inlineStr">
        <is>
          <t>Föryngringsavverkning</t>
        </is>
      </c>
      <c r="D2450" s="1" t="n">
        <v>46024</v>
      </c>
      <c r="E2450" s="1" t="n">
        <v>46326</v>
      </c>
      <c r="F2450" t="inlineStr">
        <is>
          <t>GÄVLEBORGS LÄN</t>
        </is>
      </c>
      <c r="G2450" t="inlineStr">
        <is>
          <t>SÖDERHAMN</t>
        </is>
      </c>
      <c r="I2450" t="n">
        <v>2</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37689-2024</t>
        </is>
      </c>
      <c r="B2451" t="inlineStr">
        <is>
          <t>avverkningsanmälan</t>
        </is>
      </c>
      <c r="C2451" t="inlineStr">
        <is>
          <t>Föryngringsavverkning</t>
        </is>
      </c>
      <c r="D2451" s="1" t="n">
        <v>45541</v>
      </c>
      <c r="E2451" s="1" t="n">
        <v>46326</v>
      </c>
      <c r="F2451" t="inlineStr">
        <is>
          <t>GÄVLEBORGS LÄN</t>
        </is>
      </c>
      <c r="G2451" t="inlineStr">
        <is>
          <t>HUDIKSVALL</t>
        </is>
      </c>
      <c r="H2451" t="inlineStr">
        <is>
          <t>Kommuner</t>
        </is>
      </c>
      <c r="I2451" t="n">
        <v>2.4</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1471-2026</t>
        </is>
      </c>
      <c r="B2452" t="inlineStr">
        <is>
          <t>avverkningsanmälan</t>
        </is>
      </c>
      <c r="C2452" t="inlineStr">
        <is>
          <t>Föryngringsavverkning</t>
        </is>
      </c>
      <c r="D2452" s="1" t="n">
        <v>46033</v>
      </c>
      <c r="E2452" s="1" t="n">
        <v>46326</v>
      </c>
      <c r="F2452" t="inlineStr">
        <is>
          <t>GÄVLEBORGS LÄN</t>
        </is>
      </c>
      <c r="G2452" t="inlineStr">
        <is>
          <t>OVANÅKER</t>
        </is>
      </c>
      <c r="I2452" t="n">
        <v>5.9</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19419-2025</t>
        </is>
      </c>
      <c r="B2453" t="inlineStr">
        <is>
          <t>avverkningsanmälan</t>
        </is>
      </c>
      <c r="C2453" t="inlineStr">
        <is>
          <t>Föryngringsavverkning</t>
        </is>
      </c>
      <c r="D2453" s="1" t="n">
        <v>45769</v>
      </c>
      <c r="E2453" s="1" t="n">
        <v>46326</v>
      </c>
      <c r="F2453" t="inlineStr">
        <is>
          <t>GÄVLEBORGS LÄN</t>
        </is>
      </c>
      <c r="G2453" t="inlineStr">
        <is>
          <t>SANDVIKEN</t>
        </is>
      </c>
      <c r="I2453" t="n">
        <v>3.4</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43996-2024</t>
        </is>
      </c>
      <c r="B2454" t="inlineStr">
        <is>
          <t>avverkningsanmälan</t>
        </is>
      </c>
      <c r="C2454" t="inlineStr">
        <is>
          <t>Föryngringsavverkning</t>
        </is>
      </c>
      <c r="D2454" s="1" t="n">
        <v>45572</v>
      </c>
      <c r="E2454" s="1" t="n">
        <v>46326</v>
      </c>
      <c r="F2454" t="inlineStr">
        <is>
          <t>GÄVLEBORGS LÄN</t>
        </is>
      </c>
      <c r="G2454" t="inlineStr">
        <is>
          <t>BOLLNÄS</t>
        </is>
      </c>
      <c r="I2454" t="n">
        <v>0.5</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1876-2026</t>
        </is>
      </c>
      <c r="B2455" t="inlineStr">
        <is>
          <t>avverkningsanmälan</t>
        </is>
      </c>
      <c r="C2455" t="inlineStr">
        <is>
          <t>Föryngringsavverkning</t>
        </is>
      </c>
      <c r="D2455" s="1" t="n">
        <v>46035</v>
      </c>
      <c r="E2455" s="1" t="n">
        <v>46326</v>
      </c>
      <c r="F2455" t="inlineStr">
        <is>
          <t>GÄVLEBORGS LÄN</t>
        </is>
      </c>
      <c r="G2455" t="inlineStr">
        <is>
          <t>OVANÅKER</t>
        </is>
      </c>
      <c r="I2455" t="n">
        <v>20.5</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1492-2026</t>
        </is>
      </c>
      <c r="B2456" t="inlineStr">
        <is>
          <t>avverkningsanmälan</t>
        </is>
      </c>
      <c r="C2456" t="inlineStr">
        <is>
          <t>Föryngringsavverkning</t>
        </is>
      </c>
      <c r="D2456" s="1" t="n">
        <v>46034</v>
      </c>
      <c r="E2456" s="1" t="n">
        <v>46326</v>
      </c>
      <c r="F2456" t="inlineStr">
        <is>
          <t>GÄVLEBORGS LÄN</t>
        </is>
      </c>
      <c r="G2456" t="inlineStr">
        <is>
          <t>BOLLNÄS</t>
        </is>
      </c>
      <c r="I2456" t="n">
        <v>1.9</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1984-2026</t>
        </is>
      </c>
      <c r="B2457" t="inlineStr">
        <is>
          <t>avverkningsanmälan</t>
        </is>
      </c>
      <c r="C2457" t="inlineStr">
        <is>
          <t>Föryngringsavverkning</t>
        </is>
      </c>
      <c r="D2457" s="1" t="n">
        <v>46035</v>
      </c>
      <c r="E2457" s="1" t="n">
        <v>46326</v>
      </c>
      <c r="F2457" t="inlineStr">
        <is>
          <t>GÄVLEBORGS LÄN</t>
        </is>
      </c>
      <c r="G2457" t="inlineStr">
        <is>
          <t>OCKELBO</t>
        </is>
      </c>
      <c r="I2457" t="n">
        <v>2.8</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2012-2026</t>
        </is>
      </c>
      <c r="B2458" t="inlineStr">
        <is>
          <t>avverkningsanmälan</t>
        </is>
      </c>
      <c r="C2458" t="inlineStr">
        <is>
          <t>Föryngringsavverkning</t>
        </is>
      </c>
      <c r="D2458" s="1" t="n">
        <v>46035</v>
      </c>
      <c r="E2458" s="1" t="n">
        <v>46326</v>
      </c>
      <c r="F2458" t="inlineStr">
        <is>
          <t>GÄVLEBORGS LÄN</t>
        </is>
      </c>
      <c r="G2458" t="inlineStr">
        <is>
          <t>SANDVIKEN</t>
        </is>
      </c>
      <c r="I2458" t="n">
        <v>2.6</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1502-2026</t>
        </is>
      </c>
      <c r="B2459" t="inlineStr">
        <is>
          <t>avverkningsanmälan</t>
        </is>
      </c>
      <c r="C2459" t="inlineStr">
        <is>
          <t>Föryngringsavverkning</t>
        </is>
      </c>
      <c r="D2459" s="1" t="n">
        <v>46034</v>
      </c>
      <c r="E2459" s="1" t="n">
        <v>46326</v>
      </c>
      <c r="F2459" t="inlineStr">
        <is>
          <t>GÄVLEBORGS LÄN</t>
        </is>
      </c>
      <c r="G2459" t="inlineStr">
        <is>
          <t>BOLLNÄS</t>
        </is>
      </c>
      <c r="I2459" t="n">
        <v>0.3</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1514-2026</t>
        </is>
      </c>
      <c r="B2460" t="inlineStr">
        <is>
          <t>avverkningsanmälan</t>
        </is>
      </c>
      <c r="C2460" t="inlineStr">
        <is>
          <t>Föryngringsavverkning</t>
        </is>
      </c>
      <c r="D2460" s="1" t="n">
        <v>46034</v>
      </c>
      <c r="E2460" s="1" t="n">
        <v>46326</v>
      </c>
      <c r="F2460" t="inlineStr">
        <is>
          <t>GÄVLEBORGS LÄN</t>
        </is>
      </c>
      <c r="G2460" t="inlineStr">
        <is>
          <t>HUDIKSVALL</t>
        </is>
      </c>
      <c r="I2460" t="n">
        <v>1</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1606-2026</t>
        </is>
      </c>
      <c r="B2461" t="inlineStr">
        <is>
          <t>avverkningsanmälan</t>
        </is>
      </c>
      <c r="C2461" t="inlineStr">
        <is>
          <t>Föryngringsavverkning</t>
        </is>
      </c>
      <c r="D2461" s="1" t="n">
        <v>46034</v>
      </c>
      <c r="E2461" s="1" t="n">
        <v>46326</v>
      </c>
      <c r="F2461" t="inlineStr">
        <is>
          <t>GÄVLEBORGS LÄN</t>
        </is>
      </c>
      <c r="G2461" t="inlineStr">
        <is>
          <t>GÄVLE</t>
        </is>
      </c>
      <c r="I2461" t="n">
        <v>3.7</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1655-2026</t>
        </is>
      </c>
      <c r="B2462" t="inlineStr">
        <is>
          <t>avverkningsanmälan</t>
        </is>
      </c>
      <c r="C2462" t="inlineStr">
        <is>
          <t>Föryngringsavverkning</t>
        </is>
      </c>
      <c r="D2462" s="1" t="n">
        <v>46034</v>
      </c>
      <c r="E2462" s="1" t="n">
        <v>46326</v>
      </c>
      <c r="F2462" t="inlineStr">
        <is>
          <t>GÄVLEBORGS LÄN</t>
        </is>
      </c>
      <c r="G2462" t="inlineStr">
        <is>
          <t>HUDIKSVALL</t>
        </is>
      </c>
      <c r="I2462" t="n">
        <v>4.6</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70264-2021</t>
        </is>
      </c>
      <c r="B2463" t="inlineStr">
        <is>
          <t>avverkningsanmälan</t>
        </is>
      </c>
      <c r="C2463" t="inlineStr">
        <is>
          <t>Föryngringsavverkning</t>
        </is>
      </c>
      <c r="D2463" s="1" t="n">
        <v>44536</v>
      </c>
      <c r="E2463" s="1" t="n">
        <v>46326</v>
      </c>
      <c r="F2463" t="inlineStr">
        <is>
          <t>GÄVLEBORGS LÄN</t>
        </is>
      </c>
      <c r="G2463" t="inlineStr">
        <is>
          <t>HUDIKSVALL</t>
        </is>
      </c>
      <c r="I2463" t="n">
        <v>0.4</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40316-2025</t>
        </is>
      </c>
      <c r="B2464" t="inlineStr">
        <is>
          <t>avverkningsanmälan</t>
        </is>
      </c>
      <c r="C2464" t="inlineStr">
        <is>
          <t>Föryngringsavverkning</t>
        </is>
      </c>
      <c r="D2464" s="1" t="n">
        <v>45895</v>
      </c>
      <c r="E2464" s="1" t="n">
        <v>46326</v>
      </c>
      <c r="F2464" t="inlineStr">
        <is>
          <t>GÄVLEBORGS LÄN</t>
        </is>
      </c>
      <c r="G2464" t="inlineStr">
        <is>
          <t>GÄVLE</t>
        </is>
      </c>
      <c r="H2464" t="inlineStr">
        <is>
          <t>Kyrkan</t>
        </is>
      </c>
      <c r="I2464" t="n">
        <v>4.4</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40297-2025</t>
        </is>
      </c>
      <c r="B2465" t="inlineStr">
        <is>
          <t>avverkningsanmälan</t>
        </is>
      </c>
      <c r="C2465" t="inlineStr">
        <is>
          <t>Avverkning för annat ändamål</t>
        </is>
      </c>
      <c r="D2465" s="1" t="n">
        <v>45895</v>
      </c>
      <c r="E2465" s="1" t="n">
        <v>46326</v>
      </c>
      <c r="F2465" t="inlineStr">
        <is>
          <t>GÄVLEBORGS LÄN</t>
        </is>
      </c>
      <c r="G2465" t="inlineStr">
        <is>
          <t>GÄVLE</t>
        </is>
      </c>
      <c r="I2465" t="n">
        <v>0.6</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6903-2025</t>
        </is>
      </c>
      <c r="B2466" t="inlineStr">
        <is>
          <t>avverkningsanmälan</t>
        </is>
      </c>
      <c r="C2466" t="inlineStr">
        <is>
          <t>Avverkning för annat ändamål</t>
        </is>
      </c>
      <c r="D2466" s="1" t="n">
        <v>45701</v>
      </c>
      <c r="E2466" s="1" t="n">
        <v>46326</v>
      </c>
      <c r="F2466" t="inlineStr">
        <is>
          <t>GÄVLEBORGS LÄN</t>
        </is>
      </c>
      <c r="G2466" t="inlineStr">
        <is>
          <t>BOLLNÄS</t>
        </is>
      </c>
      <c r="I2466" t="n">
        <v>1.5</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1675-2026</t>
        </is>
      </c>
      <c r="B2467" t="inlineStr">
        <is>
          <t>avverkningsanmälan</t>
        </is>
      </c>
      <c r="C2467" t="inlineStr">
        <is>
          <t>Föryngringsavverkning</t>
        </is>
      </c>
      <c r="D2467" s="1" t="n">
        <v>46034</v>
      </c>
      <c r="E2467" s="1" t="n">
        <v>46326</v>
      </c>
      <c r="F2467" t="inlineStr">
        <is>
          <t>GÄVLEBORGS LÄN</t>
        </is>
      </c>
      <c r="G2467" t="inlineStr">
        <is>
          <t>BOLLNÄS</t>
        </is>
      </c>
      <c r="I2467" t="n">
        <v>0.9</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1692-2026</t>
        </is>
      </c>
      <c r="B2468" t="inlineStr">
        <is>
          <t>avverkningsanmälan</t>
        </is>
      </c>
      <c r="C2468" t="inlineStr">
        <is>
          <t>Föryngringsavverkning</t>
        </is>
      </c>
      <c r="D2468" s="1" t="n">
        <v>46034</v>
      </c>
      <c r="E2468" s="1" t="n">
        <v>46326</v>
      </c>
      <c r="F2468" t="inlineStr">
        <is>
          <t>GÄVLEBORGS LÄN</t>
        </is>
      </c>
      <c r="G2468" t="inlineStr">
        <is>
          <t>HUDIKSVALL</t>
        </is>
      </c>
      <c r="I2468" t="n">
        <v>1.2</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1823-2026</t>
        </is>
      </c>
      <c r="B2469" t="inlineStr">
        <is>
          <t>avverkningsanmälan</t>
        </is>
      </c>
      <c r="C2469" t="inlineStr">
        <is>
          <t>Föryngringsavverkning</t>
        </is>
      </c>
      <c r="D2469" s="1" t="n">
        <v>46035</v>
      </c>
      <c r="E2469" s="1" t="n">
        <v>46326</v>
      </c>
      <c r="F2469" t="inlineStr">
        <is>
          <t>GÄVLEBORGS LÄN</t>
        </is>
      </c>
      <c r="G2469" t="inlineStr">
        <is>
          <t>LJUSDAL</t>
        </is>
      </c>
      <c r="I2469" t="n">
        <v>7.3</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1537-2026</t>
        </is>
      </c>
      <c r="B2470" t="inlineStr">
        <is>
          <t>avverkningsanmälan</t>
        </is>
      </c>
      <c r="C2470" t="inlineStr">
        <is>
          <t>Föryngringsavverkning</t>
        </is>
      </c>
      <c r="D2470" s="1" t="n">
        <v>46034</v>
      </c>
      <c r="E2470" s="1" t="n">
        <v>46326</v>
      </c>
      <c r="F2470" t="inlineStr">
        <is>
          <t>GÄVLEBORGS LÄN</t>
        </is>
      </c>
      <c r="G2470" t="inlineStr">
        <is>
          <t>SÖDERHAMN</t>
        </is>
      </c>
      <c r="I2470" t="n">
        <v>9.699999999999999</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1958-2026</t>
        </is>
      </c>
      <c r="B2471" t="inlineStr">
        <is>
          <t>avverkningsanmälan</t>
        </is>
      </c>
      <c r="C2471" t="inlineStr">
        <is>
          <t>Föryngringsavverkning</t>
        </is>
      </c>
      <c r="D2471" s="1" t="n">
        <v>46035</v>
      </c>
      <c r="E2471" s="1" t="n">
        <v>46326</v>
      </c>
      <c r="F2471" t="inlineStr">
        <is>
          <t>GÄVLEBORGS LÄN</t>
        </is>
      </c>
      <c r="G2471" t="inlineStr">
        <is>
          <t>NORDANSTIG</t>
        </is>
      </c>
      <c r="I2471" t="n">
        <v>2.7</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1982-2026</t>
        </is>
      </c>
      <c r="B2472" t="inlineStr">
        <is>
          <t>avverkningsanmälan</t>
        </is>
      </c>
      <c r="C2472" t="inlineStr">
        <is>
          <t>Föryngringsavverkning</t>
        </is>
      </c>
      <c r="D2472" s="1" t="n">
        <v>46035</v>
      </c>
      <c r="E2472" s="1" t="n">
        <v>46326</v>
      </c>
      <c r="F2472" t="inlineStr">
        <is>
          <t>GÄVLEBORGS LÄN</t>
        </is>
      </c>
      <c r="G2472" t="inlineStr">
        <is>
          <t>NORDANSTIG</t>
        </is>
      </c>
      <c r="I2472" t="n">
        <v>1.2</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2004-2026</t>
        </is>
      </c>
      <c r="B2473" t="inlineStr">
        <is>
          <t>avverkningsanmälan</t>
        </is>
      </c>
      <c r="C2473" t="inlineStr">
        <is>
          <t>Föryngringsavverkning</t>
        </is>
      </c>
      <c r="D2473" s="1" t="n">
        <v>46035</v>
      </c>
      <c r="E2473" s="1" t="n">
        <v>46326</v>
      </c>
      <c r="F2473" t="inlineStr">
        <is>
          <t>GÄVLEBORGS LÄN</t>
        </is>
      </c>
      <c r="G2473" t="inlineStr">
        <is>
          <t>SANDVIKEN</t>
        </is>
      </c>
      <c r="I2473" t="n">
        <v>1.2</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17271-2022</t>
        </is>
      </c>
      <c r="B2474" t="inlineStr">
        <is>
          <t>avverkningsanmälan</t>
        </is>
      </c>
      <c r="C2474" t="inlineStr">
        <is>
          <t>Föryngringsavverkning</t>
        </is>
      </c>
      <c r="D2474" s="1" t="n">
        <v>44678</v>
      </c>
      <c r="E2474" s="1" t="n">
        <v>46326</v>
      </c>
      <c r="F2474" t="inlineStr">
        <is>
          <t>GÄVLEBORGS LÄN</t>
        </is>
      </c>
      <c r="G2474" t="inlineStr">
        <is>
          <t>NORDANSTIG</t>
        </is>
      </c>
      <c r="H2474" t="inlineStr">
        <is>
          <t>Holmen skog AB</t>
        </is>
      </c>
      <c r="I2474" t="n">
        <v>1.7</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42253-2024</t>
        </is>
      </c>
      <c r="B2475" t="inlineStr">
        <is>
          <t>avverkningsanmälan</t>
        </is>
      </c>
      <c r="C2475" t="inlineStr">
        <is>
          <t>Föryngringsavverkning</t>
        </is>
      </c>
      <c r="D2475" s="1" t="n">
        <v>45562</v>
      </c>
      <c r="E2475" s="1" t="n">
        <v>46326</v>
      </c>
      <c r="F2475" t="inlineStr">
        <is>
          <t>GÄVLEBORGS LÄN</t>
        </is>
      </c>
      <c r="G2475" t="inlineStr">
        <is>
          <t>NORDANSTIG</t>
        </is>
      </c>
      <c r="I2475" t="n">
        <v>0.6</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40333-2025</t>
        </is>
      </c>
      <c r="B2476" t="inlineStr">
        <is>
          <t>avverkningsanmälan</t>
        </is>
      </c>
      <c r="C2476" t="inlineStr">
        <is>
          <t>Föryngringsavverkning</t>
        </is>
      </c>
      <c r="D2476" s="1" t="n">
        <v>45895</v>
      </c>
      <c r="E2476" s="1" t="n">
        <v>46326</v>
      </c>
      <c r="F2476" t="inlineStr">
        <is>
          <t>GÄVLEBORGS LÄN</t>
        </is>
      </c>
      <c r="G2476" t="inlineStr">
        <is>
          <t>BOLLNÄS</t>
        </is>
      </c>
      <c r="I2476" t="n">
        <v>6.3</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1990-2026</t>
        </is>
      </c>
      <c r="B2477" t="inlineStr">
        <is>
          <t>avverkningsanmälan</t>
        </is>
      </c>
      <c r="C2477" t="inlineStr">
        <is>
          <t>Föryngringsavverkning</t>
        </is>
      </c>
      <c r="D2477" s="1" t="n">
        <v>46035</v>
      </c>
      <c r="E2477" s="1" t="n">
        <v>46326</v>
      </c>
      <c r="F2477" t="inlineStr">
        <is>
          <t>GÄVLEBORGS LÄN</t>
        </is>
      </c>
      <c r="G2477" t="inlineStr">
        <is>
          <t>SÖDERHAMN</t>
        </is>
      </c>
      <c r="I2477" t="n">
        <v>3.9</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1759-2026</t>
        </is>
      </c>
      <c r="B2478" t="inlineStr">
        <is>
          <t>avverkningsanmälan</t>
        </is>
      </c>
      <c r="C2478" t="inlineStr">
        <is>
          <t>Föryngringsavverkning</t>
        </is>
      </c>
      <c r="D2478" s="1" t="n">
        <v>46034</v>
      </c>
      <c r="E2478" s="1" t="n">
        <v>46326</v>
      </c>
      <c r="F2478" t="inlineStr">
        <is>
          <t>GÄVLEBORGS LÄN</t>
        </is>
      </c>
      <c r="G2478" t="inlineStr">
        <is>
          <t>HUDIKSVALL</t>
        </is>
      </c>
      <c r="I2478" t="n">
        <v>38.9</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40161-2025</t>
        </is>
      </c>
      <c r="B2479" t="inlineStr">
        <is>
          <t>avverkningsanmälan</t>
        </is>
      </c>
      <c r="C2479" t="inlineStr">
        <is>
          <t>Föryngringsavverkning</t>
        </is>
      </c>
      <c r="D2479" s="1" t="n">
        <v>45894</v>
      </c>
      <c r="E2479" s="1" t="n">
        <v>46326</v>
      </c>
      <c r="F2479" t="inlineStr">
        <is>
          <t>GÄVLEBORGS LÄN</t>
        </is>
      </c>
      <c r="G2479" t="inlineStr">
        <is>
          <t>BOLLNÄS</t>
        </is>
      </c>
      <c r="I2479" t="n">
        <v>0.5</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1797-2026</t>
        </is>
      </c>
      <c r="B2480" t="inlineStr">
        <is>
          <t>avverkningsanmälan</t>
        </is>
      </c>
      <c r="C2480" t="inlineStr">
        <is>
          <t>Föryngringsavverkning</t>
        </is>
      </c>
      <c r="D2480" s="1" t="n">
        <v>46035</v>
      </c>
      <c r="E2480" s="1" t="n">
        <v>46326</v>
      </c>
      <c r="F2480" t="inlineStr">
        <is>
          <t>GÄVLEBORGS LÄN</t>
        </is>
      </c>
      <c r="G2480" t="inlineStr">
        <is>
          <t>BOLLNÄS</t>
        </is>
      </c>
      <c r="I2480" t="n">
        <v>3.3</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1669-2026</t>
        </is>
      </c>
      <c r="B2481" t="inlineStr">
        <is>
          <t>avverkningsanmälan</t>
        </is>
      </c>
      <c r="C2481" t="inlineStr">
        <is>
          <t>Föryngringsavverkning</t>
        </is>
      </c>
      <c r="D2481" s="1" t="n">
        <v>46034</v>
      </c>
      <c r="E2481" s="1" t="n">
        <v>46326</v>
      </c>
      <c r="F2481" t="inlineStr">
        <is>
          <t>GÄVLEBORGS LÄN</t>
        </is>
      </c>
      <c r="G2481" t="inlineStr">
        <is>
          <t>BOLLNÄS</t>
        </is>
      </c>
      <c r="I2481" t="n">
        <v>6.1</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63268-2025</t>
        </is>
      </c>
      <c r="B2482" t="inlineStr">
        <is>
          <t>avverkningsanmälan</t>
        </is>
      </c>
      <c r="C2482" t="inlineStr">
        <is>
          <t>Föryngringsavverkning</t>
        </is>
      </c>
      <c r="D2482" s="1" t="n">
        <v>46010</v>
      </c>
      <c r="E2482" s="1" t="n">
        <v>46326</v>
      </c>
      <c r="F2482" t="inlineStr">
        <is>
          <t>GÄVLEBORGS LÄN</t>
        </is>
      </c>
      <c r="G2482" t="inlineStr">
        <is>
          <t>BOLLNÄS</t>
        </is>
      </c>
      <c r="I2482" t="n">
        <v>3</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11429-2025</t>
        </is>
      </c>
      <c r="B2483" t="inlineStr">
        <is>
          <t>avverkningsanmälan</t>
        </is>
      </c>
      <c r="C2483" t="inlineStr">
        <is>
          <t>Föryngringsavverkning</t>
        </is>
      </c>
      <c r="D2483" s="1" t="n">
        <v>45726</v>
      </c>
      <c r="E2483" s="1" t="n">
        <v>46326</v>
      </c>
      <c r="F2483" t="inlineStr">
        <is>
          <t>GÄVLEBORGS LÄN</t>
        </is>
      </c>
      <c r="G2483" t="inlineStr">
        <is>
          <t>GÄVLE</t>
        </is>
      </c>
      <c r="I2483" t="n">
        <v>0.9</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603-2025</t>
        </is>
      </c>
      <c r="B2484" t="inlineStr">
        <is>
          <t>avverkningsanmälan</t>
        </is>
      </c>
      <c r="C2484" t="inlineStr">
        <is>
          <t>Föryngringsavverkning</t>
        </is>
      </c>
      <c r="D2484" s="1" t="n">
        <v>45664</v>
      </c>
      <c r="E2484" s="1" t="n">
        <v>46326</v>
      </c>
      <c r="F2484" t="inlineStr">
        <is>
          <t>GÄVLEBORGS LÄN</t>
        </is>
      </c>
      <c r="G2484" t="inlineStr">
        <is>
          <t>HUDIKSVALL</t>
        </is>
      </c>
      <c r="H2484" t="inlineStr">
        <is>
          <t>Holmen skog AB</t>
        </is>
      </c>
      <c r="I2484" t="n">
        <v>5.2</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1670-2026</t>
        </is>
      </c>
      <c r="B2485" t="inlineStr">
        <is>
          <t>avverkningsanmälan</t>
        </is>
      </c>
      <c r="C2485" t="inlineStr">
        <is>
          <t>Föryngringsavverkning</t>
        </is>
      </c>
      <c r="D2485" s="1" t="n">
        <v>46034</v>
      </c>
      <c r="E2485" s="1" t="n">
        <v>46326</v>
      </c>
      <c r="F2485" t="inlineStr">
        <is>
          <t>GÄVLEBORGS LÄN</t>
        </is>
      </c>
      <c r="G2485" t="inlineStr">
        <is>
          <t>LJUSDAL</t>
        </is>
      </c>
      <c r="I2485" t="n">
        <v>2.2</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168-2026</t>
        </is>
      </c>
      <c r="B2486" t="inlineStr">
        <is>
          <t>avverkningsanmälan</t>
        </is>
      </c>
      <c r="C2486" t="inlineStr">
        <is>
          <t>Föryngringsavverkning</t>
        </is>
      </c>
      <c r="D2486" s="1" t="n">
        <v>46024</v>
      </c>
      <c r="E2486" s="1" t="n">
        <v>46326</v>
      </c>
      <c r="F2486" t="inlineStr">
        <is>
          <t>GÄVLEBORGS LÄN</t>
        </is>
      </c>
      <c r="G2486" t="inlineStr">
        <is>
          <t>SÖDERHAMN</t>
        </is>
      </c>
      <c r="I2486" t="n">
        <v>1.5</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5059-2023</t>
        </is>
      </c>
      <c r="B2487" t="inlineStr">
        <is>
          <t>avverkningsanmälan</t>
        </is>
      </c>
      <c r="C2487" t="inlineStr">
        <is>
          <t>Avverkning för annat ändamål</t>
        </is>
      </c>
      <c r="D2487" s="1" t="n">
        <v>44958</v>
      </c>
      <c r="E2487" s="1" t="n">
        <v>46326</v>
      </c>
      <c r="F2487" t="inlineStr">
        <is>
          <t>GÄVLEBORGS LÄN</t>
        </is>
      </c>
      <c r="G2487" t="inlineStr">
        <is>
          <t>OVANÅKER</t>
        </is>
      </c>
      <c r="I2487" t="n">
        <v>0.2</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40148-2025</t>
        </is>
      </c>
      <c r="B2488" t="inlineStr">
        <is>
          <t>avverkningsanmälan</t>
        </is>
      </c>
      <c r="C2488" t="inlineStr">
        <is>
          <t>Föryngringsavverkning</t>
        </is>
      </c>
      <c r="D2488" s="1" t="n">
        <v>45894</v>
      </c>
      <c r="E2488" s="1" t="n">
        <v>46326</v>
      </c>
      <c r="F2488" t="inlineStr">
        <is>
          <t>GÄVLEBORGS LÄN</t>
        </is>
      </c>
      <c r="G2488" t="inlineStr">
        <is>
          <t>OCKELBO</t>
        </is>
      </c>
      <c r="I2488" t="n">
        <v>0.6</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1991-2026</t>
        </is>
      </c>
      <c r="B2489" t="inlineStr">
        <is>
          <t>avverkningsanmälan</t>
        </is>
      </c>
      <c r="C2489" t="inlineStr">
        <is>
          <t>Föryngringsavverkning</t>
        </is>
      </c>
      <c r="D2489" s="1" t="n">
        <v>46035</v>
      </c>
      <c r="E2489" s="1" t="n">
        <v>46326</v>
      </c>
      <c r="F2489" t="inlineStr">
        <is>
          <t>GÄVLEBORGS LÄN</t>
        </is>
      </c>
      <c r="G2489" t="inlineStr">
        <is>
          <t>SÖDERHAMN</t>
        </is>
      </c>
      <c r="I2489" t="n">
        <v>2</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13094-2023</t>
        </is>
      </c>
      <c r="B2490" t="inlineStr">
        <is>
          <t>avverkningsanmälan</t>
        </is>
      </c>
      <c r="C2490" t="inlineStr">
        <is>
          <t>Föryngringsavverkning</t>
        </is>
      </c>
      <c r="D2490" s="1" t="n">
        <v>45002</v>
      </c>
      <c r="E2490" s="1" t="n">
        <v>46326</v>
      </c>
      <c r="F2490" t="inlineStr">
        <is>
          <t>GÄVLEBORGS LÄN</t>
        </is>
      </c>
      <c r="G2490" t="inlineStr">
        <is>
          <t>LJUSDAL</t>
        </is>
      </c>
      <c r="H2490" t="inlineStr">
        <is>
          <t>Holmen skog AB</t>
        </is>
      </c>
      <c r="I2490" t="n">
        <v>3.4</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13123-2023</t>
        </is>
      </c>
      <c r="B2491" t="inlineStr">
        <is>
          <t>avverkningsanmälan</t>
        </is>
      </c>
      <c r="C2491" t="inlineStr">
        <is>
          <t>Föryngringsavverkning</t>
        </is>
      </c>
      <c r="D2491" s="1" t="n">
        <v>45002</v>
      </c>
      <c r="E2491" s="1" t="n">
        <v>46326</v>
      </c>
      <c r="F2491" t="inlineStr">
        <is>
          <t>GÄVLEBORGS LÄN</t>
        </is>
      </c>
      <c r="G2491" t="inlineStr">
        <is>
          <t>OVANÅKER</t>
        </is>
      </c>
      <c r="I2491" t="n">
        <v>1.5</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102-2026</t>
        </is>
      </c>
      <c r="B2492" t="inlineStr">
        <is>
          <t>avverkningsanmälan</t>
        </is>
      </c>
      <c r="C2492" t="inlineStr">
        <is>
          <t>Föryngringsavverkning</t>
        </is>
      </c>
      <c r="D2492" s="1" t="n">
        <v>46024</v>
      </c>
      <c r="E2492" s="1" t="n">
        <v>46326</v>
      </c>
      <c r="F2492" t="inlineStr">
        <is>
          <t>GÄVLEBORGS LÄN</t>
        </is>
      </c>
      <c r="G2492" t="inlineStr">
        <is>
          <t>SÖDERHAMN</t>
        </is>
      </c>
      <c r="I2492" t="n">
        <v>3.9</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18008-2025</t>
        </is>
      </c>
      <c r="B2493" t="inlineStr">
        <is>
          <t>avverkningsanmälan</t>
        </is>
      </c>
      <c r="C2493" t="inlineStr">
        <is>
          <t>Föryngringsavverkning</t>
        </is>
      </c>
      <c r="D2493" s="1" t="n">
        <v>45761</v>
      </c>
      <c r="E2493" s="1" t="n">
        <v>46326</v>
      </c>
      <c r="F2493" t="inlineStr">
        <is>
          <t>GÄVLEBORGS LÄN</t>
        </is>
      </c>
      <c r="G2493" t="inlineStr">
        <is>
          <t>LJUSDAL</t>
        </is>
      </c>
      <c r="I2493" t="n">
        <v>4.5</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29046-2025</t>
        </is>
      </c>
      <c r="B2494" t="inlineStr">
        <is>
          <t>avverkningsanmälan</t>
        </is>
      </c>
      <c r="C2494" t="inlineStr">
        <is>
          <t>Föryngringsavverkning</t>
        </is>
      </c>
      <c r="D2494" s="1" t="n">
        <v>45821</v>
      </c>
      <c r="E2494" s="1" t="n">
        <v>46326</v>
      </c>
      <c r="F2494" t="inlineStr">
        <is>
          <t>GÄVLEBORGS LÄN</t>
        </is>
      </c>
      <c r="G2494" t="inlineStr">
        <is>
          <t>OVANÅKER</t>
        </is>
      </c>
      <c r="I2494" t="n">
        <v>1.1</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44703-2024</t>
        </is>
      </c>
      <c r="B2495" t="inlineStr">
        <is>
          <t>avverkningsanmälan</t>
        </is>
      </c>
      <c r="C2495" t="inlineStr">
        <is>
          <t>Avverkning för annat ändamål</t>
        </is>
      </c>
      <c r="D2495" s="1" t="n">
        <v>45574</v>
      </c>
      <c r="E2495" s="1" t="n">
        <v>46326</v>
      </c>
      <c r="F2495" t="inlineStr">
        <is>
          <t>GÄVLEBORGS LÄN</t>
        </is>
      </c>
      <c r="G2495" t="inlineStr">
        <is>
          <t>SÖDERHAMN</t>
        </is>
      </c>
      <c r="I2495" t="n">
        <v>2.4</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2058-2026</t>
        </is>
      </c>
      <c r="B2496" t="inlineStr">
        <is>
          <t>avverkningsanmälan</t>
        </is>
      </c>
      <c r="C2496" t="inlineStr">
        <is>
          <t>Föryngringsavverkning</t>
        </is>
      </c>
      <c r="D2496" s="1" t="n">
        <v>46035</v>
      </c>
      <c r="E2496" s="1" t="n">
        <v>46326</v>
      </c>
      <c r="F2496" t="inlineStr">
        <is>
          <t>GÄVLEBORGS LÄN</t>
        </is>
      </c>
      <c r="G2496" t="inlineStr">
        <is>
          <t>BOLLNÄS</t>
        </is>
      </c>
      <c r="I2496" t="n">
        <v>9.6</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2066-2026</t>
        </is>
      </c>
      <c r="B2497" t="inlineStr">
        <is>
          <t>avverkningsanmälan</t>
        </is>
      </c>
      <c r="C2497" t="inlineStr">
        <is>
          <t>Föryngringsavverkning</t>
        </is>
      </c>
      <c r="D2497" s="1" t="n">
        <v>46036</v>
      </c>
      <c r="E2497" s="1" t="n">
        <v>46326</v>
      </c>
      <c r="F2497" t="inlineStr">
        <is>
          <t>GÄVLEBORGS LÄN</t>
        </is>
      </c>
      <c r="G2497" t="inlineStr">
        <is>
          <t>OVANÅKER</t>
        </is>
      </c>
      <c r="I2497" t="n">
        <v>16</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2445-2026</t>
        </is>
      </c>
      <c r="B2498" t="inlineStr">
        <is>
          <t>avverkningsanmälan</t>
        </is>
      </c>
      <c r="C2498" t="inlineStr">
        <is>
          <t>Föryngringsavverkning</t>
        </is>
      </c>
      <c r="D2498" s="1" t="n">
        <v>46037</v>
      </c>
      <c r="E2498" s="1" t="n">
        <v>46326</v>
      </c>
      <c r="F2498" t="inlineStr">
        <is>
          <t>GÄVLEBORGS LÄN</t>
        </is>
      </c>
      <c r="G2498" t="inlineStr">
        <is>
          <t>OVANÅKER</t>
        </is>
      </c>
      <c r="I2498" t="n">
        <v>11</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2550-2026</t>
        </is>
      </c>
      <c r="B2499" t="inlineStr">
        <is>
          <t>avverkningsanmälan</t>
        </is>
      </c>
      <c r="C2499" t="inlineStr">
        <is>
          <t>Föryngringsavverkning</t>
        </is>
      </c>
      <c r="D2499" s="1" t="n">
        <v>46037</v>
      </c>
      <c r="E2499" s="1" t="n">
        <v>46326</v>
      </c>
      <c r="F2499" t="inlineStr">
        <is>
          <t>GÄVLEBORGS LÄN</t>
        </is>
      </c>
      <c r="G2499" t="inlineStr">
        <is>
          <t>OCKELBO</t>
        </is>
      </c>
      <c r="I2499" t="n">
        <v>2</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2575-2026</t>
        </is>
      </c>
      <c r="B2500" t="inlineStr">
        <is>
          <t>avverkningsanmälan</t>
        </is>
      </c>
      <c r="C2500" t="inlineStr">
        <is>
          <t>Föryngringsavverkning</t>
        </is>
      </c>
      <c r="D2500" s="1" t="n">
        <v>46037</v>
      </c>
      <c r="E2500" s="1" t="n">
        <v>46326</v>
      </c>
      <c r="F2500" t="inlineStr">
        <is>
          <t>GÄVLEBORGS LÄN</t>
        </is>
      </c>
      <c r="G2500" t="inlineStr">
        <is>
          <t>NORDANSTIG</t>
        </is>
      </c>
      <c r="I2500" t="n">
        <v>3.1</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210-2025</t>
        </is>
      </c>
      <c r="B2501" t="inlineStr">
        <is>
          <t>avverkningsanmälan</t>
        </is>
      </c>
      <c r="C2501" t="inlineStr">
        <is>
          <t>Föryngringsavverkning</t>
        </is>
      </c>
      <c r="D2501" s="1" t="n">
        <v>45660</v>
      </c>
      <c r="E2501" s="1" t="n">
        <v>46326</v>
      </c>
      <c r="F2501" t="inlineStr">
        <is>
          <t>GÄVLEBORGS LÄN</t>
        </is>
      </c>
      <c r="G2501" t="inlineStr">
        <is>
          <t>HUDIKSVALL</t>
        </is>
      </c>
      <c r="H2501" t="inlineStr">
        <is>
          <t>Holmen skog AB</t>
        </is>
      </c>
      <c r="I2501" t="n">
        <v>6.2</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701-2025</t>
        </is>
      </c>
      <c r="B2502" t="inlineStr">
        <is>
          <t>avverkningsanmälan</t>
        </is>
      </c>
      <c r="C2502" t="inlineStr">
        <is>
          <t>Föryngringsavverkning</t>
        </is>
      </c>
      <c r="D2502" s="1" t="n">
        <v>45665</v>
      </c>
      <c r="E2502" s="1" t="n">
        <v>46326</v>
      </c>
      <c r="F2502" t="inlineStr">
        <is>
          <t>GÄVLEBORGS LÄN</t>
        </is>
      </c>
      <c r="G2502" t="inlineStr">
        <is>
          <t>GÄVLE</t>
        </is>
      </c>
      <c r="I2502" t="n">
        <v>2.2</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40474-2025</t>
        </is>
      </c>
      <c r="B2503" t="inlineStr">
        <is>
          <t>avverkningsanmälan</t>
        </is>
      </c>
      <c r="C2503" t="inlineStr">
        <is>
          <t>Avverkning för annat ändamål</t>
        </is>
      </c>
      <c r="D2503" s="1" t="n">
        <v>45895</v>
      </c>
      <c r="E2503" s="1" t="n">
        <v>46326</v>
      </c>
      <c r="F2503" t="inlineStr">
        <is>
          <t>GÄVLEBORGS LÄN</t>
        </is>
      </c>
      <c r="G2503" t="inlineStr">
        <is>
          <t>HUDIKSVALL</t>
        </is>
      </c>
      <c r="I2503" t="n">
        <v>0.8</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35405-2025</t>
        </is>
      </c>
      <c r="B2504" t="inlineStr">
        <is>
          <t>avverkningsanmälan</t>
        </is>
      </c>
      <c r="C2504" t="inlineStr">
        <is>
          <t>Föryngringsavverkning</t>
        </is>
      </c>
      <c r="D2504" s="1" t="n">
        <v>45855</v>
      </c>
      <c r="E2504" s="1" t="n">
        <v>46326</v>
      </c>
      <c r="F2504" t="inlineStr">
        <is>
          <t>GÄVLEBORGS LÄN</t>
        </is>
      </c>
      <c r="G2504" t="inlineStr">
        <is>
          <t>NORDANSTIG</t>
        </is>
      </c>
      <c r="I2504" t="n">
        <v>1</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28576-2025</t>
        </is>
      </c>
      <c r="B2505" t="inlineStr">
        <is>
          <t>avverkningsanmälan</t>
        </is>
      </c>
      <c r="C2505" t="inlineStr">
        <is>
          <t>Föryngringsavverkning</t>
        </is>
      </c>
      <c r="D2505" s="1" t="n">
        <v>45819</v>
      </c>
      <c r="E2505" s="1" t="n">
        <v>46326</v>
      </c>
      <c r="F2505" t="inlineStr">
        <is>
          <t>GÄVLEBORGS LÄN</t>
        </is>
      </c>
      <c r="G2505" t="inlineStr">
        <is>
          <t>OCKELBO</t>
        </is>
      </c>
      <c r="H2505" t="inlineStr">
        <is>
          <t>Bergvik skog väst AB</t>
        </is>
      </c>
      <c r="I2505" t="n">
        <v>2.6</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28184-2025</t>
        </is>
      </c>
      <c r="B2506" t="inlineStr">
        <is>
          <t>avverkningsanmälan</t>
        </is>
      </c>
      <c r="C2506" t="inlineStr">
        <is>
          <t>Föryngringsavverkning</t>
        </is>
      </c>
      <c r="D2506" s="1" t="n">
        <v>45818</v>
      </c>
      <c r="E2506" s="1" t="n">
        <v>46326</v>
      </c>
      <c r="F2506" t="inlineStr">
        <is>
          <t>GÄVLEBORGS LÄN</t>
        </is>
      </c>
      <c r="G2506" t="inlineStr">
        <is>
          <t>HUDIKSVALL</t>
        </is>
      </c>
      <c r="I2506" t="n">
        <v>1.1</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28460-2025</t>
        </is>
      </c>
      <c r="B2507" t="inlineStr">
        <is>
          <t>avverkningsanmälan</t>
        </is>
      </c>
      <c r="C2507" t="inlineStr">
        <is>
          <t>Föryngringsavverkning</t>
        </is>
      </c>
      <c r="D2507" s="1" t="n">
        <v>45819</v>
      </c>
      <c r="E2507" s="1" t="n">
        <v>46326</v>
      </c>
      <c r="F2507" t="inlineStr">
        <is>
          <t>GÄVLEBORGS LÄN</t>
        </is>
      </c>
      <c r="G2507" t="inlineStr">
        <is>
          <t>OVANÅKER</t>
        </is>
      </c>
      <c r="I2507" t="n">
        <v>3.4</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4482-2022</t>
        </is>
      </c>
      <c r="B2508" t="inlineStr">
        <is>
          <t>avverkningsanmälan</t>
        </is>
      </c>
      <c r="C2508" t="inlineStr">
        <is>
          <t>Föryngringsavverkning</t>
        </is>
      </c>
      <c r="D2508" s="1" t="n">
        <v>44589</v>
      </c>
      <c r="E2508" s="1" t="n">
        <v>46326</v>
      </c>
      <c r="F2508" t="inlineStr">
        <is>
          <t>GÄVLEBORGS LÄN</t>
        </is>
      </c>
      <c r="G2508" t="inlineStr">
        <is>
          <t>GÄVLE</t>
        </is>
      </c>
      <c r="H2508" t="inlineStr">
        <is>
          <t>Bergvik skog öst AB</t>
        </is>
      </c>
      <c r="I2508" t="n">
        <v>2.5</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28462-2025</t>
        </is>
      </c>
      <c r="B2509" t="inlineStr">
        <is>
          <t>avverkningsanmälan</t>
        </is>
      </c>
      <c r="C2509" t="inlineStr">
        <is>
          <t>Föryngringsavverkning</t>
        </is>
      </c>
      <c r="D2509" s="1" t="n">
        <v>45819</v>
      </c>
      <c r="E2509" s="1" t="n">
        <v>46326</v>
      </c>
      <c r="F2509" t="inlineStr">
        <is>
          <t>GÄVLEBORGS LÄN</t>
        </is>
      </c>
      <c r="G2509" t="inlineStr">
        <is>
          <t>BOLLNÄS</t>
        </is>
      </c>
      <c r="I2509" t="n">
        <v>0.8</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28485-2025</t>
        </is>
      </c>
      <c r="B2510" t="inlineStr">
        <is>
          <t>avverkningsanmälan</t>
        </is>
      </c>
      <c r="C2510" t="inlineStr">
        <is>
          <t>Föryngringsavverkning</t>
        </is>
      </c>
      <c r="D2510" s="1" t="n">
        <v>45819</v>
      </c>
      <c r="E2510" s="1" t="n">
        <v>46326</v>
      </c>
      <c r="F2510" t="inlineStr">
        <is>
          <t>GÄVLEBORGS LÄN</t>
        </is>
      </c>
      <c r="G2510" t="inlineStr">
        <is>
          <t>HUDIKSVALL</t>
        </is>
      </c>
      <c r="H2510" t="inlineStr">
        <is>
          <t>Holmen skog AB</t>
        </is>
      </c>
      <c r="I2510" t="n">
        <v>5.8</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28618-2025</t>
        </is>
      </c>
      <c r="B2511" t="inlineStr">
        <is>
          <t>avverkningsanmälan</t>
        </is>
      </c>
      <c r="C2511" t="inlineStr">
        <is>
          <t>Föryngringsavverkning</t>
        </is>
      </c>
      <c r="D2511" s="1" t="n">
        <v>45819</v>
      </c>
      <c r="E2511" s="1" t="n">
        <v>46326</v>
      </c>
      <c r="F2511" t="inlineStr">
        <is>
          <t>GÄVLEBORGS LÄN</t>
        </is>
      </c>
      <c r="G2511" t="inlineStr">
        <is>
          <t>BOLLNÄS</t>
        </is>
      </c>
      <c r="H2511" t="inlineStr">
        <is>
          <t>Bergvik skog väst AB</t>
        </is>
      </c>
      <c r="I2511" t="n">
        <v>11.7</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24056-2024</t>
        </is>
      </c>
      <c r="B2512" t="inlineStr">
        <is>
          <t>avverkningsanmälan</t>
        </is>
      </c>
      <c r="C2512" t="inlineStr">
        <is>
          <t>Föryngringsavverkning</t>
        </is>
      </c>
      <c r="D2512" s="1" t="n">
        <v>45456</v>
      </c>
      <c r="E2512" s="1" t="n">
        <v>46326</v>
      </c>
      <c r="F2512" t="inlineStr">
        <is>
          <t>GÄVLEBORGS LÄN</t>
        </is>
      </c>
      <c r="G2512" t="inlineStr">
        <is>
          <t>OVANÅKER</t>
        </is>
      </c>
      <c r="H2512" t="inlineStr">
        <is>
          <t>Bergvik skog väst AB</t>
        </is>
      </c>
      <c r="I2512" t="n">
        <v>2.5</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40159-2025</t>
        </is>
      </c>
      <c r="B2513" t="inlineStr">
        <is>
          <t>avverkningsanmälan</t>
        </is>
      </c>
      <c r="C2513" t="inlineStr">
        <is>
          <t>Föryngringsavverkning</t>
        </is>
      </c>
      <c r="D2513" s="1" t="n">
        <v>45894</v>
      </c>
      <c r="E2513" s="1" t="n">
        <v>46326</v>
      </c>
      <c r="F2513" t="inlineStr">
        <is>
          <t>GÄVLEBORGS LÄN</t>
        </is>
      </c>
      <c r="G2513" t="inlineStr">
        <is>
          <t>BOLLNÄS</t>
        </is>
      </c>
      <c r="I2513" t="n">
        <v>0.8</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24074-2024</t>
        </is>
      </c>
      <c r="B2514" t="inlineStr">
        <is>
          <t>avverkningsanmälan</t>
        </is>
      </c>
      <c r="C2514" t="inlineStr">
        <is>
          <t>Föryngringsavverkning</t>
        </is>
      </c>
      <c r="D2514" s="1" t="n">
        <v>45456</v>
      </c>
      <c r="E2514" s="1" t="n">
        <v>46326</v>
      </c>
      <c r="F2514" t="inlineStr">
        <is>
          <t>GÄVLEBORGS LÄN</t>
        </is>
      </c>
      <c r="G2514" t="inlineStr">
        <is>
          <t>OVANÅKER</t>
        </is>
      </c>
      <c r="I2514" t="n">
        <v>1.1</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28622-2025</t>
        </is>
      </c>
      <c r="B2515" t="inlineStr">
        <is>
          <t>avverkningsanmälan</t>
        </is>
      </c>
      <c r="C2515" t="inlineStr">
        <is>
          <t>Föryngringsavverkning</t>
        </is>
      </c>
      <c r="D2515" s="1" t="n">
        <v>45819</v>
      </c>
      <c r="E2515" s="1" t="n">
        <v>46326</v>
      </c>
      <c r="F2515" t="inlineStr">
        <is>
          <t>GÄVLEBORGS LÄN</t>
        </is>
      </c>
      <c r="G2515" t="inlineStr">
        <is>
          <t>OVANÅKER</t>
        </is>
      </c>
      <c r="I2515" t="n">
        <v>1.7</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2589-2026</t>
        </is>
      </c>
      <c r="B2516" t="inlineStr">
        <is>
          <t>avverkningsanmälan</t>
        </is>
      </c>
      <c r="C2516" t="inlineStr">
        <is>
          <t>Föryngringsavverkning</t>
        </is>
      </c>
      <c r="D2516" s="1" t="n">
        <v>46037</v>
      </c>
      <c r="E2516" s="1" t="n">
        <v>46326</v>
      </c>
      <c r="F2516" t="inlineStr">
        <is>
          <t>GÄVLEBORGS LÄN</t>
        </is>
      </c>
      <c r="G2516" t="inlineStr">
        <is>
          <t>OVANÅKER</t>
        </is>
      </c>
      <c r="I2516" t="n">
        <v>5.6</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2622-2026</t>
        </is>
      </c>
      <c r="B2517" t="inlineStr">
        <is>
          <t>avverkningsanmälan</t>
        </is>
      </c>
      <c r="C2517" t="inlineStr">
        <is>
          <t>Föryngringsavverkning</t>
        </is>
      </c>
      <c r="D2517" s="1" t="n">
        <v>46037</v>
      </c>
      <c r="E2517" s="1" t="n">
        <v>46326</v>
      </c>
      <c r="F2517" t="inlineStr">
        <is>
          <t>GÄVLEBORGS LÄN</t>
        </is>
      </c>
      <c r="G2517" t="inlineStr">
        <is>
          <t>SÖDERHAMN</t>
        </is>
      </c>
      <c r="I2517" t="n">
        <v>1.5</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28410-2025</t>
        </is>
      </c>
      <c r="B2518" t="inlineStr">
        <is>
          <t>avverkningsanmälan</t>
        </is>
      </c>
      <c r="C2518" t="inlineStr">
        <is>
          <t>Föryngringsavverkning</t>
        </is>
      </c>
      <c r="D2518" s="1" t="n">
        <v>45819</v>
      </c>
      <c r="E2518" s="1" t="n">
        <v>46326</v>
      </c>
      <c r="F2518" t="inlineStr">
        <is>
          <t>GÄVLEBORGS LÄN</t>
        </is>
      </c>
      <c r="G2518" t="inlineStr">
        <is>
          <t>HUDIKSVALL</t>
        </is>
      </c>
      <c r="I2518" t="n">
        <v>0.6</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40790-2025</t>
        </is>
      </c>
      <c r="B2519" t="inlineStr">
        <is>
          <t>avverkningsanmälan</t>
        </is>
      </c>
      <c r="C2519" t="inlineStr">
        <is>
          <t>Föryngringsavverkning</t>
        </is>
      </c>
      <c r="D2519" s="1" t="n">
        <v>45897</v>
      </c>
      <c r="E2519" s="1" t="n">
        <v>46326</v>
      </c>
      <c r="F2519" t="inlineStr">
        <is>
          <t>GÄVLEBORGS LÄN</t>
        </is>
      </c>
      <c r="G2519" t="inlineStr">
        <is>
          <t>LJUSDAL</t>
        </is>
      </c>
      <c r="H2519" t="inlineStr">
        <is>
          <t>SCA</t>
        </is>
      </c>
      <c r="I2519" t="n">
        <v>0.6</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40549-2025</t>
        </is>
      </c>
      <c r="B2520" t="inlineStr">
        <is>
          <t>avverkningsanmälan</t>
        </is>
      </c>
      <c r="C2520" t="inlineStr">
        <is>
          <t>Föryngringsavverkning</t>
        </is>
      </c>
      <c r="D2520" s="1" t="n">
        <v>45896</v>
      </c>
      <c r="E2520" s="1" t="n">
        <v>46326</v>
      </c>
      <c r="F2520" t="inlineStr">
        <is>
          <t>GÄVLEBORGS LÄN</t>
        </is>
      </c>
      <c r="G2520" t="inlineStr">
        <is>
          <t>GÄVLE</t>
        </is>
      </c>
      <c r="I2520" t="n">
        <v>2</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28584-2025</t>
        </is>
      </c>
      <c r="B2521" t="inlineStr">
        <is>
          <t>avverkningsanmälan</t>
        </is>
      </c>
      <c r="C2521" t="inlineStr">
        <is>
          <t>Föryngringsavverkning</t>
        </is>
      </c>
      <c r="D2521" s="1" t="n">
        <v>45819</v>
      </c>
      <c r="E2521" s="1" t="n">
        <v>46326</v>
      </c>
      <c r="F2521" t="inlineStr">
        <is>
          <t>GÄVLEBORGS LÄN</t>
        </is>
      </c>
      <c r="G2521" t="inlineStr">
        <is>
          <t>LJUSDAL</t>
        </is>
      </c>
      <c r="H2521" t="inlineStr">
        <is>
          <t>Sveaskog</t>
        </is>
      </c>
      <c r="I2521" t="n">
        <v>1.5</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28599-2025</t>
        </is>
      </c>
      <c r="B2522" t="inlineStr">
        <is>
          <t>avverkningsanmälan</t>
        </is>
      </c>
      <c r="C2522" t="inlineStr">
        <is>
          <t>Föryngringsavverkning</t>
        </is>
      </c>
      <c r="D2522" s="1" t="n">
        <v>45819</v>
      </c>
      <c r="E2522" s="1" t="n">
        <v>46326</v>
      </c>
      <c r="F2522" t="inlineStr">
        <is>
          <t>GÄVLEBORGS LÄN</t>
        </is>
      </c>
      <c r="G2522" t="inlineStr">
        <is>
          <t>HUDIKSVALL</t>
        </is>
      </c>
      <c r="I2522" t="n">
        <v>0.6</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40575-2025</t>
        </is>
      </c>
      <c r="B2523" t="inlineStr">
        <is>
          <t>avverkningsanmälan</t>
        </is>
      </c>
      <c r="C2523" t="inlineStr">
        <is>
          <t>Föryngringsavverkning</t>
        </is>
      </c>
      <c r="D2523" s="1" t="n">
        <v>45896</v>
      </c>
      <c r="E2523" s="1" t="n">
        <v>46326</v>
      </c>
      <c r="F2523" t="inlineStr">
        <is>
          <t>GÄVLEBORGS LÄN</t>
        </is>
      </c>
      <c r="G2523" t="inlineStr">
        <is>
          <t>SÖDERHAMN</t>
        </is>
      </c>
      <c r="I2523" t="n">
        <v>0.9</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40489-2025</t>
        </is>
      </c>
      <c r="B2524" t="inlineStr">
        <is>
          <t>avverkningsanmälan</t>
        </is>
      </c>
      <c r="C2524" t="inlineStr">
        <is>
          <t>Föryngringsavverkning</t>
        </is>
      </c>
      <c r="D2524" s="1" t="n">
        <v>45895</v>
      </c>
      <c r="E2524" s="1" t="n">
        <v>46326</v>
      </c>
      <c r="F2524" t="inlineStr">
        <is>
          <t>GÄVLEBORGS LÄN</t>
        </is>
      </c>
      <c r="G2524" t="inlineStr">
        <is>
          <t>OVANÅKER</t>
        </is>
      </c>
      <c r="I2524" t="n">
        <v>1.2</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28411-2025</t>
        </is>
      </c>
      <c r="B2525" t="inlineStr">
        <is>
          <t>avverkningsanmälan</t>
        </is>
      </c>
      <c r="C2525" t="inlineStr">
        <is>
          <t>Föryngringsavverkning</t>
        </is>
      </c>
      <c r="D2525" s="1" t="n">
        <v>45819</v>
      </c>
      <c r="E2525" s="1" t="n">
        <v>46326</v>
      </c>
      <c r="F2525" t="inlineStr">
        <is>
          <t>GÄVLEBORGS LÄN</t>
        </is>
      </c>
      <c r="G2525" t="inlineStr">
        <is>
          <t>HUDIKSVALL</t>
        </is>
      </c>
      <c r="I2525" t="n">
        <v>0.1</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28387-2025</t>
        </is>
      </c>
      <c r="B2526" t="inlineStr">
        <is>
          <t>avverkningsanmälan</t>
        </is>
      </c>
      <c r="C2526" t="inlineStr">
        <is>
          <t>Föryngringsavverkning</t>
        </is>
      </c>
      <c r="D2526" s="1" t="n">
        <v>45819</v>
      </c>
      <c r="E2526" s="1" t="n">
        <v>46326</v>
      </c>
      <c r="F2526" t="inlineStr">
        <is>
          <t>GÄVLEBORGS LÄN</t>
        </is>
      </c>
      <c r="G2526" t="inlineStr">
        <is>
          <t>OVANÅKER</t>
        </is>
      </c>
      <c r="H2526" t="inlineStr">
        <is>
          <t>Holmen skog AB</t>
        </is>
      </c>
      <c r="I2526" t="n">
        <v>10.6</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28424-2025</t>
        </is>
      </c>
      <c r="B2527" t="inlineStr">
        <is>
          <t>avverkningsanmälan</t>
        </is>
      </c>
      <c r="C2527" t="inlineStr">
        <is>
          <t>Föryngringsavverkning</t>
        </is>
      </c>
      <c r="D2527" s="1" t="n">
        <v>45819</v>
      </c>
      <c r="E2527" s="1" t="n">
        <v>46326</v>
      </c>
      <c r="F2527" t="inlineStr">
        <is>
          <t>GÄVLEBORGS LÄN</t>
        </is>
      </c>
      <c r="G2527" t="inlineStr">
        <is>
          <t>SANDVIKEN</t>
        </is>
      </c>
      <c r="I2527" t="n">
        <v>6.8</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40927-2025</t>
        </is>
      </c>
      <c r="B2528" t="inlineStr">
        <is>
          <t>avverkningsanmälan</t>
        </is>
      </c>
      <c r="C2528" t="inlineStr">
        <is>
          <t>Föryngringsavverkning</t>
        </is>
      </c>
      <c r="D2528" s="1" t="n">
        <v>45897</v>
      </c>
      <c r="E2528" s="1" t="n">
        <v>46326</v>
      </c>
      <c r="F2528" t="inlineStr">
        <is>
          <t>GÄVLEBORGS LÄN</t>
        </is>
      </c>
      <c r="G2528" t="inlineStr">
        <is>
          <t>BOLLNÄS</t>
        </is>
      </c>
      <c r="I2528" t="n">
        <v>0.7</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40812-2025</t>
        </is>
      </c>
      <c r="B2529" t="inlineStr">
        <is>
          <t>avverkningsanmälan</t>
        </is>
      </c>
      <c r="C2529" t="inlineStr">
        <is>
          <t>Föryngringsavverkning</t>
        </is>
      </c>
      <c r="D2529" s="1" t="n">
        <v>45897</v>
      </c>
      <c r="E2529" s="1" t="n">
        <v>46326</v>
      </c>
      <c r="F2529" t="inlineStr">
        <is>
          <t>GÄVLEBORGS LÄN</t>
        </is>
      </c>
      <c r="G2529" t="inlineStr">
        <is>
          <t>NORDANSTIG</t>
        </is>
      </c>
      <c r="I2529" t="n">
        <v>1.9</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28446-2025</t>
        </is>
      </c>
      <c r="B2530" t="inlineStr">
        <is>
          <t>avverkningsanmälan</t>
        </is>
      </c>
      <c r="C2530" t="inlineStr">
        <is>
          <t>Föryngringsavverkning</t>
        </is>
      </c>
      <c r="D2530" s="1" t="n">
        <v>45819</v>
      </c>
      <c r="E2530" s="1" t="n">
        <v>46326</v>
      </c>
      <c r="F2530" t="inlineStr">
        <is>
          <t>GÄVLEBORGS LÄN</t>
        </is>
      </c>
      <c r="G2530" t="inlineStr">
        <is>
          <t>BOLLNÄS</t>
        </is>
      </c>
      <c r="I2530" t="n">
        <v>5</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28456-2025</t>
        </is>
      </c>
      <c r="B2531" t="inlineStr">
        <is>
          <t>avverkningsanmälan</t>
        </is>
      </c>
      <c r="C2531" t="inlineStr">
        <is>
          <t>Föryngringsavverkning</t>
        </is>
      </c>
      <c r="D2531" s="1" t="n">
        <v>45819</v>
      </c>
      <c r="E2531" s="1" t="n">
        <v>46326</v>
      </c>
      <c r="F2531" t="inlineStr">
        <is>
          <t>GÄVLEBORGS LÄN</t>
        </is>
      </c>
      <c r="G2531" t="inlineStr">
        <is>
          <t>HUDIKSVALL</t>
        </is>
      </c>
      <c r="I2531" t="n">
        <v>2.8</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19657-2023</t>
        </is>
      </c>
      <c r="B2532" t="inlineStr">
        <is>
          <t>avverkningsanmälan</t>
        </is>
      </c>
      <c r="C2532" t="inlineStr">
        <is>
          <t>Föryngringsavverkning</t>
        </is>
      </c>
      <c r="D2532" s="1" t="n">
        <v>45051</v>
      </c>
      <c r="E2532" s="1" t="n">
        <v>46326</v>
      </c>
      <c r="F2532" t="inlineStr">
        <is>
          <t>GÄVLEBORGS LÄN</t>
        </is>
      </c>
      <c r="G2532" t="inlineStr">
        <is>
          <t>OVANÅKER</t>
        </is>
      </c>
      <c r="I2532" t="n">
        <v>1.8</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40824-2025</t>
        </is>
      </c>
      <c r="B2533" t="inlineStr">
        <is>
          <t>avverkningsanmälan</t>
        </is>
      </c>
      <c r="C2533" t="inlineStr">
        <is>
          <t>Föryngringsavverkning</t>
        </is>
      </c>
      <c r="D2533" s="1" t="n">
        <v>45897</v>
      </c>
      <c r="E2533" s="1" t="n">
        <v>46326</v>
      </c>
      <c r="F2533" t="inlineStr">
        <is>
          <t>GÄVLEBORGS LÄN</t>
        </is>
      </c>
      <c r="G2533" t="inlineStr">
        <is>
          <t>NORDANSTIG</t>
        </is>
      </c>
      <c r="H2533" t="inlineStr">
        <is>
          <t>Holmen skog AB</t>
        </is>
      </c>
      <c r="I2533" t="n">
        <v>10.6</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40747-2025</t>
        </is>
      </c>
      <c r="B2534" t="inlineStr">
        <is>
          <t>avverkningsanmälan</t>
        </is>
      </c>
      <c r="C2534" t="inlineStr">
        <is>
          <t>Föryngringsavverkning</t>
        </is>
      </c>
      <c r="D2534" s="1" t="n">
        <v>45897</v>
      </c>
      <c r="E2534" s="1" t="n">
        <v>46326</v>
      </c>
      <c r="F2534" t="inlineStr">
        <is>
          <t>GÄVLEBORGS LÄN</t>
        </is>
      </c>
      <c r="G2534" t="inlineStr">
        <is>
          <t>LJUSDAL</t>
        </is>
      </c>
      <c r="H2534" t="inlineStr">
        <is>
          <t>Kommuner</t>
        </is>
      </c>
      <c r="I2534" t="n">
        <v>4.1</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28476-2025</t>
        </is>
      </c>
      <c r="B2535" t="inlineStr">
        <is>
          <t>avverkningsanmälan</t>
        </is>
      </c>
      <c r="C2535" t="inlineStr">
        <is>
          <t>Föryngringsavverkning</t>
        </is>
      </c>
      <c r="D2535" s="1" t="n">
        <v>45819</v>
      </c>
      <c r="E2535" s="1" t="n">
        <v>46326</v>
      </c>
      <c r="F2535" t="inlineStr">
        <is>
          <t>GÄVLEBORGS LÄN</t>
        </is>
      </c>
      <c r="G2535" t="inlineStr">
        <is>
          <t>SANDVIKEN</t>
        </is>
      </c>
      <c r="I2535" t="n">
        <v>0.5</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59128-2024</t>
        </is>
      </c>
      <c r="B2536" t="inlineStr">
        <is>
          <t>avverkningsanmälan</t>
        </is>
      </c>
      <c r="C2536" t="inlineStr">
        <is>
          <t>Föryngringsavverkning</t>
        </is>
      </c>
      <c r="D2536" s="1" t="n">
        <v>45637</v>
      </c>
      <c r="E2536" s="1" t="n">
        <v>46326</v>
      </c>
      <c r="F2536" t="inlineStr">
        <is>
          <t>GÄVLEBORGS LÄN</t>
        </is>
      </c>
      <c r="G2536" t="inlineStr">
        <is>
          <t>NORDANSTIG</t>
        </is>
      </c>
      <c r="I2536" t="n">
        <v>2.4</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40588-2025</t>
        </is>
      </c>
      <c r="B2537" t="inlineStr">
        <is>
          <t>avverkningsanmälan</t>
        </is>
      </c>
      <c r="C2537" t="inlineStr">
        <is>
          <t>Föryngringsavverkning</t>
        </is>
      </c>
      <c r="D2537" s="1" t="n">
        <v>45896</v>
      </c>
      <c r="E2537" s="1" t="n">
        <v>46326</v>
      </c>
      <c r="F2537" t="inlineStr">
        <is>
          <t>GÄVLEBORGS LÄN</t>
        </is>
      </c>
      <c r="G2537" t="inlineStr">
        <is>
          <t>SANDVIKEN</t>
        </is>
      </c>
      <c r="I2537" t="n">
        <v>0.7</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40629-2025</t>
        </is>
      </c>
      <c r="B2538" t="inlineStr">
        <is>
          <t>avverkningsanmälan</t>
        </is>
      </c>
      <c r="C2538" t="inlineStr">
        <is>
          <t>Föryngringsavverkning</t>
        </is>
      </c>
      <c r="D2538" s="1" t="n">
        <v>45896</v>
      </c>
      <c r="E2538" s="1" t="n">
        <v>46326</v>
      </c>
      <c r="F2538" t="inlineStr">
        <is>
          <t>GÄVLEBORGS LÄN</t>
        </is>
      </c>
      <c r="G2538" t="inlineStr">
        <is>
          <t>NORDANSTIG</t>
        </is>
      </c>
      <c r="I2538" t="n">
        <v>1.1</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58783-2022</t>
        </is>
      </c>
      <c r="B2539" t="inlineStr">
        <is>
          <t>avverkningsanmälan</t>
        </is>
      </c>
      <c r="C2539" t="inlineStr">
        <is>
          <t>Föryngringsavverkning</t>
        </is>
      </c>
      <c r="D2539" s="1" t="n">
        <v>44903</v>
      </c>
      <c r="E2539" s="1" t="n">
        <v>46326</v>
      </c>
      <c r="F2539" t="inlineStr">
        <is>
          <t>GÄVLEBORGS LÄN</t>
        </is>
      </c>
      <c r="G2539" t="inlineStr">
        <is>
          <t>LJUSDAL</t>
        </is>
      </c>
      <c r="H2539" t="inlineStr">
        <is>
          <t>Kyrkan</t>
        </is>
      </c>
      <c r="I2539" t="n">
        <v>5.1</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40777-2025</t>
        </is>
      </c>
      <c r="B2540" t="inlineStr">
        <is>
          <t>avverkningsanmälan</t>
        </is>
      </c>
      <c r="C2540" t="inlineStr">
        <is>
          <t>Föryngringsavverkning</t>
        </is>
      </c>
      <c r="D2540" s="1" t="n">
        <v>45897</v>
      </c>
      <c r="E2540" s="1" t="n">
        <v>46326</v>
      </c>
      <c r="F2540" t="inlineStr">
        <is>
          <t>GÄVLEBORGS LÄN</t>
        </is>
      </c>
      <c r="G2540" t="inlineStr">
        <is>
          <t>BOLLNÄS</t>
        </is>
      </c>
      <c r="I2540" t="n">
        <v>2.5</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28809-2025</t>
        </is>
      </c>
      <c r="B2541" t="inlineStr">
        <is>
          <t>avverkningsanmälan</t>
        </is>
      </c>
      <c r="C2541" t="inlineStr">
        <is>
          <t>Föryngringsavverkning</t>
        </is>
      </c>
      <c r="D2541" s="1" t="n">
        <v>45820</v>
      </c>
      <c r="E2541" s="1" t="n">
        <v>46326</v>
      </c>
      <c r="F2541" t="inlineStr">
        <is>
          <t>GÄVLEBORGS LÄN</t>
        </is>
      </c>
      <c r="G2541" t="inlineStr">
        <is>
          <t>HUDIKSVALL</t>
        </is>
      </c>
      <c r="I2541" t="n">
        <v>1.1</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1576-2025</t>
        </is>
      </c>
      <c r="B2542" t="inlineStr">
        <is>
          <t>avverkningsanmälan</t>
        </is>
      </c>
      <c r="C2542" t="inlineStr">
        <is>
          <t>Föryngringsavverkning</t>
        </is>
      </c>
      <c r="D2542" s="1" t="n">
        <v>45670</v>
      </c>
      <c r="E2542" s="1" t="n">
        <v>46326</v>
      </c>
      <c r="F2542" t="inlineStr">
        <is>
          <t>GÄVLEBORGS LÄN</t>
        </is>
      </c>
      <c r="G2542" t="inlineStr">
        <is>
          <t>NORDANSTIG</t>
        </is>
      </c>
      <c r="H2542" t="inlineStr">
        <is>
          <t>Holmen skog AB</t>
        </is>
      </c>
      <c r="I2542" t="n">
        <v>5.6</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38132-2025</t>
        </is>
      </c>
      <c r="B2543" t="inlineStr">
        <is>
          <t>avverkningsanmälan</t>
        </is>
      </c>
      <c r="C2543" t="inlineStr">
        <is>
          <t>Föryngringsavverkning</t>
        </is>
      </c>
      <c r="D2543" s="1" t="n">
        <v>45882</v>
      </c>
      <c r="E2543" s="1" t="n">
        <v>46326</v>
      </c>
      <c r="F2543" t="inlineStr">
        <is>
          <t>GÄVLEBORGS LÄN</t>
        </is>
      </c>
      <c r="G2543" t="inlineStr">
        <is>
          <t>GÄVLE</t>
        </is>
      </c>
      <c r="H2543" t="inlineStr">
        <is>
          <t>Bergvik skog väst AB</t>
        </is>
      </c>
      <c r="I2543" t="n">
        <v>2.3</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55477-2024</t>
        </is>
      </c>
      <c r="B2544" t="inlineStr">
        <is>
          <t>avverkningsanmälan</t>
        </is>
      </c>
      <c r="C2544" t="inlineStr">
        <is>
          <t>Föryngringsavverkning</t>
        </is>
      </c>
      <c r="D2544" s="1" t="n">
        <v>45622</v>
      </c>
      <c r="E2544" s="1" t="n">
        <v>46326</v>
      </c>
      <c r="F2544" t="inlineStr">
        <is>
          <t>GÄVLEBORGS LÄN</t>
        </is>
      </c>
      <c r="G2544" t="inlineStr">
        <is>
          <t>NORDANSTIG</t>
        </is>
      </c>
      <c r="H2544" t="inlineStr">
        <is>
          <t>Holmen skog AB</t>
        </is>
      </c>
      <c r="I2544" t="n">
        <v>3</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55494-2024</t>
        </is>
      </c>
      <c r="B2545" t="inlineStr">
        <is>
          <t>avverkningsanmälan</t>
        </is>
      </c>
      <c r="C2545" t="inlineStr">
        <is>
          <t>Föryngringsavverkning</t>
        </is>
      </c>
      <c r="D2545" s="1" t="n">
        <v>45622</v>
      </c>
      <c r="E2545" s="1" t="n">
        <v>46326</v>
      </c>
      <c r="F2545" t="inlineStr">
        <is>
          <t>GÄVLEBORGS LÄN</t>
        </is>
      </c>
      <c r="G2545" t="inlineStr">
        <is>
          <t>NORDANSTIG</t>
        </is>
      </c>
      <c r="H2545" t="inlineStr">
        <is>
          <t>Holmen skog AB</t>
        </is>
      </c>
      <c r="I2545" t="n">
        <v>0.7</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43121-2024</t>
        </is>
      </c>
      <c r="B2546" t="inlineStr">
        <is>
          <t>avverkningsanmälan</t>
        </is>
      </c>
      <c r="C2546" t="inlineStr">
        <is>
          <t>Föryngringsavverkning</t>
        </is>
      </c>
      <c r="D2546" s="1" t="n">
        <v>45567</v>
      </c>
      <c r="E2546" s="1" t="n">
        <v>46326</v>
      </c>
      <c r="F2546" t="inlineStr">
        <is>
          <t>GÄVLEBORGS LÄN</t>
        </is>
      </c>
      <c r="G2546" t="inlineStr">
        <is>
          <t>SANDVIKEN</t>
        </is>
      </c>
      <c r="I2546" t="n">
        <v>4.3</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2933-2026</t>
        </is>
      </c>
      <c r="B2547" t="inlineStr">
        <is>
          <t>avverkningsanmälan</t>
        </is>
      </c>
      <c r="C2547" t="inlineStr">
        <is>
          <t>Föryngringsavverkning</t>
        </is>
      </c>
      <c r="D2547" s="1" t="n">
        <v>46036</v>
      </c>
      <c r="E2547" s="1" t="n">
        <v>46326</v>
      </c>
      <c r="F2547" t="inlineStr">
        <is>
          <t>GÄVLEBORGS LÄN</t>
        </is>
      </c>
      <c r="G2547" t="inlineStr">
        <is>
          <t>OVANÅKER</t>
        </is>
      </c>
      <c r="I2547" t="n">
        <v>1.1</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2634-2026</t>
        </is>
      </c>
      <c r="B2548" t="inlineStr">
        <is>
          <t>avverkningsanmälan</t>
        </is>
      </c>
      <c r="C2548" t="inlineStr">
        <is>
          <t>Föryngringsavverkning</t>
        </is>
      </c>
      <c r="D2548" s="1" t="n">
        <v>46037</v>
      </c>
      <c r="E2548" s="1" t="n">
        <v>46326</v>
      </c>
      <c r="F2548" t="inlineStr">
        <is>
          <t>GÄVLEBORGS LÄN</t>
        </is>
      </c>
      <c r="G2548" t="inlineStr">
        <is>
          <t>OVANÅKER</t>
        </is>
      </c>
      <c r="I2548" t="n">
        <v>10.2</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2641-2026</t>
        </is>
      </c>
      <c r="B2549" t="inlineStr">
        <is>
          <t>avverkningsanmälan</t>
        </is>
      </c>
      <c r="C2549" t="inlineStr">
        <is>
          <t>Föryngringsavverkning</t>
        </is>
      </c>
      <c r="D2549" s="1" t="n">
        <v>46037</v>
      </c>
      <c r="E2549" s="1" t="n">
        <v>46326</v>
      </c>
      <c r="F2549" t="inlineStr">
        <is>
          <t>GÄVLEBORGS LÄN</t>
        </is>
      </c>
      <c r="G2549" t="inlineStr">
        <is>
          <t>SANDVIKEN</t>
        </is>
      </c>
      <c r="I2549" t="n">
        <v>8.699999999999999</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63958-2025</t>
        </is>
      </c>
      <c r="B2550" t="inlineStr">
        <is>
          <t>avverkningsanmälan</t>
        </is>
      </c>
      <c r="C2550" t="inlineStr">
        <is>
          <t>Föryngringsavverkning</t>
        </is>
      </c>
      <c r="D2550" s="1" t="n">
        <v>46020</v>
      </c>
      <c r="E2550" s="1" t="n">
        <v>46326</v>
      </c>
      <c r="F2550" t="inlineStr">
        <is>
          <t>GÄVLEBORGS LÄN</t>
        </is>
      </c>
      <c r="G2550" t="inlineStr">
        <is>
          <t>BOLLNÄS</t>
        </is>
      </c>
      <c r="I2550" t="n">
        <v>2.5</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40561-2025</t>
        </is>
      </c>
      <c r="B2551" t="inlineStr">
        <is>
          <t>avverkningsanmälan</t>
        </is>
      </c>
      <c r="C2551" t="inlineStr">
        <is>
          <t>Föryngringsavverkning</t>
        </is>
      </c>
      <c r="D2551" s="1" t="n">
        <v>45896</v>
      </c>
      <c r="E2551" s="1" t="n">
        <v>46326</v>
      </c>
      <c r="F2551" t="inlineStr">
        <is>
          <t>GÄVLEBORGS LÄN</t>
        </is>
      </c>
      <c r="G2551" t="inlineStr">
        <is>
          <t>HUDIKSVALL</t>
        </is>
      </c>
      <c r="H2551" t="inlineStr">
        <is>
          <t>Kommuner</t>
        </is>
      </c>
      <c r="I2551" t="n">
        <v>2.1</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35822-2025</t>
        </is>
      </c>
      <c r="B2552" t="inlineStr">
        <is>
          <t>avverkningsanmälan</t>
        </is>
      </c>
      <c r="C2552" t="inlineStr">
        <is>
          <t>Föryngringsavverkning</t>
        </is>
      </c>
      <c r="D2552" s="1" t="n">
        <v>45861</v>
      </c>
      <c r="E2552" s="1" t="n">
        <v>46326</v>
      </c>
      <c r="F2552" t="inlineStr">
        <is>
          <t>GÄVLEBORGS LÄN</t>
        </is>
      </c>
      <c r="G2552" t="inlineStr">
        <is>
          <t>NORDANSTIG</t>
        </is>
      </c>
      <c r="I2552" t="n">
        <v>0.5</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28776-2025</t>
        </is>
      </c>
      <c r="B2553" t="inlineStr">
        <is>
          <t>avverkningsanmälan</t>
        </is>
      </c>
      <c r="C2553" t="inlineStr">
        <is>
          <t>Föryngringsavverkning</t>
        </is>
      </c>
      <c r="D2553" s="1" t="n">
        <v>45820</v>
      </c>
      <c r="E2553" s="1" t="n">
        <v>46326</v>
      </c>
      <c r="F2553" t="inlineStr">
        <is>
          <t>GÄVLEBORGS LÄN</t>
        </is>
      </c>
      <c r="G2553" t="inlineStr">
        <is>
          <t>OVANÅKER</t>
        </is>
      </c>
      <c r="I2553" t="n">
        <v>4.8</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2137-2026</t>
        </is>
      </c>
      <c r="B2554" t="inlineStr">
        <is>
          <t>avverkningsanmälan</t>
        </is>
      </c>
      <c r="C2554" t="inlineStr">
        <is>
          <t>Föryngringsavverkning</t>
        </is>
      </c>
      <c r="D2554" s="1" t="n">
        <v>46036</v>
      </c>
      <c r="E2554" s="1" t="n">
        <v>46326</v>
      </c>
      <c r="F2554" t="inlineStr">
        <is>
          <t>GÄVLEBORGS LÄN</t>
        </is>
      </c>
      <c r="G2554" t="inlineStr">
        <is>
          <t>OVANÅKER</t>
        </is>
      </c>
      <c r="I2554" t="n">
        <v>5.3</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40503-2025</t>
        </is>
      </c>
      <c r="B2555" t="inlineStr">
        <is>
          <t>avverkningsanmälan</t>
        </is>
      </c>
      <c r="C2555" t="inlineStr">
        <is>
          <t>Föryngringsavverkning</t>
        </is>
      </c>
      <c r="D2555" s="1" t="n">
        <v>45896</v>
      </c>
      <c r="E2555" s="1" t="n">
        <v>46326</v>
      </c>
      <c r="F2555" t="inlineStr">
        <is>
          <t>GÄVLEBORGS LÄN</t>
        </is>
      </c>
      <c r="G2555" t="inlineStr">
        <is>
          <t>LJUSDAL</t>
        </is>
      </c>
      <c r="I2555" t="n">
        <v>13.6</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40060-2023</t>
        </is>
      </c>
      <c r="B2556" t="inlineStr">
        <is>
          <t>avverkningsanmälan</t>
        </is>
      </c>
      <c r="C2556" t="inlineStr">
        <is>
          <t>Föryngringsavverkning</t>
        </is>
      </c>
      <c r="D2556" s="1" t="n">
        <v>45168</v>
      </c>
      <c r="E2556" s="1" t="n">
        <v>46326</v>
      </c>
      <c r="F2556" t="inlineStr">
        <is>
          <t>GÄVLEBORGS LÄN</t>
        </is>
      </c>
      <c r="G2556" t="inlineStr">
        <is>
          <t>HUDIKSVALL</t>
        </is>
      </c>
      <c r="H2556" t="inlineStr">
        <is>
          <t>Holmen skog AB</t>
        </is>
      </c>
      <c r="I2556" t="n">
        <v>4.3</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40510-2025</t>
        </is>
      </c>
      <c r="B2557" t="inlineStr">
        <is>
          <t>avverkningsanmälan</t>
        </is>
      </c>
      <c r="C2557" t="inlineStr">
        <is>
          <t>Föryngringsavverkning</t>
        </is>
      </c>
      <c r="D2557" s="1" t="n">
        <v>45896</v>
      </c>
      <c r="E2557" s="1" t="n">
        <v>46326</v>
      </c>
      <c r="F2557" t="inlineStr">
        <is>
          <t>GÄVLEBORGS LÄN</t>
        </is>
      </c>
      <c r="G2557" t="inlineStr">
        <is>
          <t>LJUSDAL</t>
        </is>
      </c>
      <c r="H2557" t="inlineStr">
        <is>
          <t>SCA</t>
        </is>
      </c>
      <c r="I2557" t="n">
        <v>5.6</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40512-2025</t>
        </is>
      </c>
      <c r="B2558" t="inlineStr">
        <is>
          <t>avverkningsanmälan</t>
        </is>
      </c>
      <c r="C2558" t="inlineStr">
        <is>
          <t>Föryngringsavverkning</t>
        </is>
      </c>
      <c r="D2558" s="1" t="n">
        <v>45896</v>
      </c>
      <c r="E2558" s="1" t="n">
        <v>46326</v>
      </c>
      <c r="F2558" t="inlineStr">
        <is>
          <t>GÄVLEBORGS LÄN</t>
        </is>
      </c>
      <c r="G2558" t="inlineStr">
        <is>
          <t>LJUSDAL</t>
        </is>
      </c>
      <c r="I2558" t="n">
        <v>26.4</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40525-2025</t>
        </is>
      </c>
      <c r="B2559" t="inlineStr">
        <is>
          <t>avverkningsanmälan</t>
        </is>
      </c>
      <c r="C2559" t="inlineStr">
        <is>
          <t>Föryngringsavverkning</t>
        </is>
      </c>
      <c r="D2559" s="1" t="n">
        <v>45896</v>
      </c>
      <c r="E2559" s="1" t="n">
        <v>46326</v>
      </c>
      <c r="F2559" t="inlineStr">
        <is>
          <t>GÄVLEBORGS LÄN</t>
        </is>
      </c>
      <c r="G2559" t="inlineStr">
        <is>
          <t>OCKELBO</t>
        </is>
      </c>
      <c r="I2559" t="n">
        <v>5</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29158-2025</t>
        </is>
      </c>
      <c r="B2560" t="inlineStr">
        <is>
          <t>avverkningsanmälan</t>
        </is>
      </c>
      <c r="C2560" t="inlineStr">
        <is>
          <t>Föryngringsavverkning</t>
        </is>
      </c>
      <c r="D2560" s="1" t="n">
        <v>45821</v>
      </c>
      <c r="E2560" s="1" t="n">
        <v>46326</v>
      </c>
      <c r="F2560" t="inlineStr">
        <is>
          <t>GÄVLEBORGS LÄN</t>
        </is>
      </c>
      <c r="G2560" t="inlineStr">
        <is>
          <t>OCKELBO</t>
        </is>
      </c>
      <c r="H2560" t="inlineStr">
        <is>
          <t>Bergvik skog väst AB</t>
        </is>
      </c>
      <c r="I2560" t="n">
        <v>1.7</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29036-2025</t>
        </is>
      </c>
      <c r="B2561" t="inlineStr">
        <is>
          <t>avverkningsanmälan</t>
        </is>
      </c>
      <c r="C2561" t="inlineStr">
        <is>
          <t>Föryngringsavverkning</t>
        </is>
      </c>
      <c r="D2561" s="1" t="n">
        <v>45821</v>
      </c>
      <c r="E2561" s="1" t="n">
        <v>46326</v>
      </c>
      <c r="F2561" t="inlineStr">
        <is>
          <t>GÄVLEBORGS LÄN</t>
        </is>
      </c>
      <c r="G2561" t="inlineStr">
        <is>
          <t>SÖDERHAMN</t>
        </is>
      </c>
      <c r="I2561" t="n">
        <v>0.7</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28367-2024</t>
        </is>
      </c>
      <c r="B2562" t="inlineStr">
        <is>
          <t>avverkningsanmälan</t>
        </is>
      </c>
      <c r="C2562" t="inlineStr">
        <is>
          <t>Föryngringsavverkning</t>
        </is>
      </c>
      <c r="D2562" s="1" t="n">
        <v>45477</v>
      </c>
      <c r="E2562" s="1" t="n">
        <v>46326</v>
      </c>
      <c r="F2562" t="inlineStr">
        <is>
          <t>GÄVLEBORGS LÄN</t>
        </is>
      </c>
      <c r="G2562" t="inlineStr">
        <is>
          <t>HUDIKSVALL</t>
        </is>
      </c>
      <c r="H2562" t="inlineStr">
        <is>
          <t>Holmen skog AB</t>
        </is>
      </c>
      <c r="I2562" t="n">
        <v>2.6</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40622-2025</t>
        </is>
      </c>
      <c r="B2563" t="inlineStr">
        <is>
          <t>avverkningsanmälan</t>
        </is>
      </c>
      <c r="C2563" t="inlineStr">
        <is>
          <t>Föryngringsavverkning</t>
        </is>
      </c>
      <c r="D2563" s="1" t="n">
        <v>45896</v>
      </c>
      <c r="E2563" s="1" t="n">
        <v>46326</v>
      </c>
      <c r="F2563" t="inlineStr">
        <is>
          <t>GÄVLEBORGS LÄN</t>
        </is>
      </c>
      <c r="G2563" t="inlineStr">
        <is>
          <t>NORDANSTIG</t>
        </is>
      </c>
      <c r="I2563" t="n">
        <v>1.2</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14030-2025</t>
        </is>
      </c>
      <c r="B2564" t="inlineStr">
        <is>
          <t>avverkningsanmälan</t>
        </is>
      </c>
      <c r="C2564" t="inlineStr">
        <is>
          <t>Avverkning för annat ändamål</t>
        </is>
      </c>
      <c r="D2564" s="1" t="n">
        <v>45740</v>
      </c>
      <c r="E2564" s="1" t="n">
        <v>46326</v>
      </c>
      <c r="F2564" t="inlineStr">
        <is>
          <t>GÄVLEBORGS LÄN</t>
        </is>
      </c>
      <c r="G2564" t="inlineStr">
        <is>
          <t>BOLLNÄS</t>
        </is>
      </c>
      <c r="I2564" t="n">
        <v>1.2</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40647-2025</t>
        </is>
      </c>
      <c r="B2565" t="inlineStr">
        <is>
          <t>avverkningsanmälan</t>
        </is>
      </c>
      <c r="C2565" t="inlineStr">
        <is>
          <t>Föryngringsavverkning</t>
        </is>
      </c>
      <c r="D2565" s="1" t="n">
        <v>45896</v>
      </c>
      <c r="E2565" s="1" t="n">
        <v>46326</v>
      </c>
      <c r="F2565" t="inlineStr">
        <is>
          <t>GÄVLEBORGS LÄN</t>
        </is>
      </c>
      <c r="G2565" t="inlineStr">
        <is>
          <t>NORDANSTIG</t>
        </is>
      </c>
      <c r="I2565" t="n">
        <v>1.4</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29054-2025</t>
        </is>
      </c>
      <c r="B2566" t="inlineStr">
        <is>
          <t>avverkningsanmälan</t>
        </is>
      </c>
      <c r="C2566" t="inlineStr">
        <is>
          <t>Föryngringsavverkning</t>
        </is>
      </c>
      <c r="D2566" s="1" t="n">
        <v>45821</v>
      </c>
      <c r="E2566" s="1" t="n">
        <v>46326</v>
      </c>
      <c r="F2566" t="inlineStr">
        <is>
          <t>GÄVLEBORGS LÄN</t>
        </is>
      </c>
      <c r="G2566" t="inlineStr">
        <is>
          <t>OVANÅKER</t>
        </is>
      </c>
      <c r="I2566" t="n">
        <v>0.5</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40658-2025</t>
        </is>
      </c>
      <c r="B2567" t="inlineStr">
        <is>
          <t>avverkningsanmälan</t>
        </is>
      </c>
      <c r="C2567" t="inlineStr">
        <is>
          <t>Föryngringsavverkning</t>
        </is>
      </c>
      <c r="D2567" s="1" t="n">
        <v>45896</v>
      </c>
      <c r="E2567" s="1" t="n">
        <v>46326</v>
      </c>
      <c r="F2567" t="inlineStr">
        <is>
          <t>GÄVLEBORGS LÄN</t>
        </is>
      </c>
      <c r="G2567" t="inlineStr">
        <is>
          <t>NORDANSTIG</t>
        </is>
      </c>
      <c r="I2567" t="n">
        <v>11.2</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40882-2025</t>
        </is>
      </c>
      <c r="B2568" t="inlineStr">
        <is>
          <t>avverkningsanmälan</t>
        </is>
      </c>
      <c r="C2568" t="inlineStr">
        <is>
          <t>Föryngringsavverkning</t>
        </is>
      </c>
      <c r="D2568" s="1" t="n">
        <v>45897</v>
      </c>
      <c r="E2568" s="1" t="n">
        <v>46326</v>
      </c>
      <c r="F2568" t="inlineStr">
        <is>
          <t>GÄVLEBORGS LÄN</t>
        </is>
      </c>
      <c r="G2568" t="inlineStr">
        <is>
          <t>GÄVLE</t>
        </is>
      </c>
      <c r="I2568" t="n">
        <v>1.1</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28815-2025</t>
        </is>
      </c>
      <c r="B2569" t="inlineStr">
        <is>
          <t>avverkningsanmälan</t>
        </is>
      </c>
      <c r="C2569" t="inlineStr">
        <is>
          <t>Föryngringsavverkning</t>
        </is>
      </c>
      <c r="D2569" s="1" t="n">
        <v>45820</v>
      </c>
      <c r="E2569" s="1" t="n">
        <v>46326</v>
      </c>
      <c r="F2569" t="inlineStr">
        <is>
          <t>GÄVLEBORGS LÄN</t>
        </is>
      </c>
      <c r="G2569" t="inlineStr">
        <is>
          <t>HUDIKSVALL</t>
        </is>
      </c>
      <c r="I2569" t="n">
        <v>3</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29315-2025</t>
        </is>
      </c>
      <c r="B2570" t="inlineStr">
        <is>
          <t>avverkningsanmälan</t>
        </is>
      </c>
      <c r="C2570" t="inlineStr">
        <is>
          <t>Föryngringsavverkning</t>
        </is>
      </c>
      <c r="D2570" s="1" t="n">
        <v>45824</v>
      </c>
      <c r="E2570" s="1" t="n">
        <v>46326</v>
      </c>
      <c r="F2570" t="inlineStr">
        <is>
          <t>GÄVLEBORGS LÄN</t>
        </is>
      </c>
      <c r="G2570" t="inlineStr">
        <is>
          <t>HUDIKSVALL</t>
        </is>
      </c>
      <c r="H2570" t="inlineStr">
        <is>
          <t>Holmen skog AB</t>
        </is>
      </c>
      <c r="I2570" t="n">
        <v>2.3</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41266-2023</t>
        </is>
      </c>
      <c r="B2571" t="inlineStr">
        <is>
          <t>avverkningsanmälan</t>
        </is>
      </c>
      <c r="C2571" t="inlineStr">
        <is>
          <t>Föryngringsavverkning</t>
        </is>
      </c>
      <c r="D2571" s="1" t="n">
        <v>45174</v>
      </c>
      <c r="E2571" s="1" t="n">
        <v>46326</v>
      </c>
      <c r="F2571" t="inlineStr">
        <is>
          <t>GÄVLEBORGS LÄN</t>
        </is>
      </c>
      <c r="G2571" t="inlineStr">
        <is>
          <t>BOLLNÄS</t>
        </is>
      </c>
      <c r="I2571" t="n">
        <v>1.2</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60789-2023</t>
        </is>
      </c>
      <c r="B2572" t="inlineStr">
        <is>
          <t>avverkningsanmälan</t>
        </is>
      </c>
      <c r="C2572" t="inlineStr">
        <is>
          <t>Föryngringsavverkning</t>
        </is>
      </c>
      <c r="D2572" s="1" t="n">
        <v>45260</v>
      </c>
      <c r="E2572" s="1" t="n">
        <v>46326</v>
      </c>
      <c r="F2572" t="inlineStr">
        <is>
          <t>GÄVLEBORGS LÄN</t>
        </is>
      </c>
      <c r="G2572" t="inlineStr">
        <is>
          <t>HUDIKSVALL</t>
        </is>
      </c>
      <c r="I2572" t="n">
        <v>4.8</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60796-2023</t>
        </is>
      </c>
      <c r="B2573" t="inlineStr">
        <is>
          <t>avverkningsanmälan</t>
        </is>
      </c>
      <c r="C2573" t="inlineStr">
        <is>
          <t>Föryngringsavverkning</t>
        </is>
      </c>
      <c r="D2573" s="1" t="n">
        <v>45260</v>
      </c>
      <c r="E2573" s="1" t="n">
        <v>46326</v>
      </c>
      <c r="F2573" t="inlineStr">
        <is>
          <t>GÄVLEBORGS LÄN</t>
        </is>
      </c>
      <c r="G2573" t="inlineStr">
        <is>
          <t>HUDIKSVALL</t>
        </is>
      </c>
      <c r="H2573" t="inlineStr">
        <is>
          <t>Holmen skog AB</t>
        </is>
      </c>
      <c r="I2573" t="n">
        <v>1.6</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60798-2023</t>
        </is>
      </c>
      <c r="B2574" t="inlineStr">
        <is>
          <t>avverkningsanmälan</t>
        </is>
      </c>
      <c r="C2574" t="inlineStr">
        <is>
          <t>Föryngringsavverkning</t>
        </is>
      </c>
      <c r="D2574" s="1" t="n">
        <v>45260</v>
      </c>
      <c r="E2574" s="1" t="n">
        <v>46326</v>
      </c>
      <c r="F2574" t="inlineStr">
        <is>
          <t>GÄVLEBORGS LÄN</t>
        </is>
      </c>
      <c r="G2574" t="inlineStr">
        <is>
          <t>SANDVIKEN</t>
        </is>
      </c>
      <c r="I2574" t="n">
        <v>2.3</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40804-2025</t>
        </is>
      </c>
      <c r="B2575" t="inlineStr">
        <is>
          <t>avverkningsanmälan</t>
        </is>
      </c>
      <c r="C2575" t="inlineStr">
        <is>
          <t>Föryngringsavverkning</t>
        </is>
      </c>
      <c r="D2575" s="1" t="n">
        <v>45897</v>
      </c>
      <c r="E2575" s="1" t="n">
        <v>46326</v>
      </c>
      <c r="F2575" t="inlineStr">
        <is>
          <t>GÄVLEBORGS LÄN</t>
        </is>
      </c>
      <c r="G2575" t="inlineStr">
        <is>
          <t>NORDANSTIG</t>
        </is>
      </c>
      <c r="I2575" t="n">
        <v>7.1</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29523-2025</t>
        </is>
      </c>
      <c r="B2576" t="inlineStr">
        <is>
          <t>avverkningsanmälan</t>
        </is>
      </c>
      <c r="C2576" t="inlineStr">
        <is>
          <t>Föryngringsavverkning</t>
        </is>
      </c>
      <c r="D2576" s="1" t="n">
        <v>45825</v>
      </c>
      <c r="E2576" s="1" t="n">
        <v>46326</v>
      </c>
      <c r="F2576" t="inlineStr">
        <is>
          <t>GÄVLEBORGS LÄN</t>
        </is>
      </c>
      <c r="G2576" t="inlineStr">
        <is>
          <t>LJUSDAL</t>
        </is>
      </c>
      <c r="I2576" t="n">
        <v>1.2</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60801-2023</t>
        </is>
      </c>
      <c r="B2577" t="inlineStr">
        <is>
          <t>avverkningsanmälan</t>
        </is>
      </c>
      <c r="C2577" t="inlineStr">
        <is>
          <t>Föryngringsavverkning</t>
        </is>
      </c>
      <c r="D2577" s="1" t="n">
        <v>45260</v>
      </c>
      <c r="E2577" s="1" t="n">
        <v>46326</v>
      </c>
      <c r="F2577" t="inlineStr">
        <is>
          <t>GÄVLEBORGS LÄN</t>
        </is>
      </c>
      <c r="G2577" t="inlineStr">
        <is>
          <t>HUDIKSVALL</t>
        </is>
      </c>
      <c r="I2577" t="n">
        <v>1.7</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63414-2023</t>
        </is>
      </c>
      <c r="B2578" t="inlineStr">
        <is>
          <t>avverkningsanmälan</t>
        </is>
      </c>
      <c r="C2578" t="inlineStr">
        <is>
          <t>Föryngringsavverkning</t>
        </is>
      </c>
      <c r="D2578" s="1" t="n">
        <v>45274</v>
      </c>
      <c r="E2578" s="1" t="n">
        <v>46326</v>
      </c>
      <c r="F2578" t="inlineStr">
        <is>
          <t>GÄVLEBORGS LÄN</t>
        </is>
      </c>
      <c r="G2578" t="inlineStr">
        <is>
          <t>HUDIKSVALL</t>
        </is>
      </c>
      <c r="I2578" t="n">
        <v>9.1</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40488-2025</t>
        </is>
      </c>
      <c r="B2579" t="inlineStr">
        <is>
          <t>avverkningsanmälan</t>
        </is>
      </c>
      <c r="C2579" t="inlineStr">
        <is>
          <t>Föryngringsavverkning</t>
        </is>
      </c>
      <c r="D2579" s="1" t="n">
        <v>45895</v>
      </c>
      <c r="E2579" s="1" t="n">
        <v>46326</v>
      </c>
      <c r="F2579" t="inlineStr">
        <is>
          <t>GÄVLEBORGS LÄN</t>
        </is>
      </c>
      <c r="G2579" t="inlineStr">
        <is>
          <t>OVANÅKER</t>
        </is>
      </c>
      <c r="I2579" t="n">
        <v>2.1</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29415-2025</t>
        </is>
      </c>
      <c r="B2580" t="inlineStr">
        <is>
          <t>avverkningsanmälan</t>
        </is>
      </c>
      <c r="C2580" t="inlineStr">
        <is>
          <t>Föryngringsavverkning</t>
        </is>
      </c>
      <c r="D2580" s="1" t="n">
        <v>45824</v>
      </c>
      <c r="E2580" s="1" t="n">
        <v>46326</v>
      </c>
      <c r="F2580" t="inlineStr">
        <is>
          <t>GÄVLEBORGS LÄN</t>
        </is>
      </c>
      <c r="G2580" t="inlineStr">
        <is>
          <t>LJUSDAL</t>
        </is>
      </c>
      <c r="I2580" t="n">
        <v>15.1</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29423-2025</t>
        </is>
      </c>
      <c r="B2581" t="inlineStr">
        <is>
          <t>avverkningsanmälan</t>
        </is>
      </c>
      <c r="C2581" t="inlineStr">
        <is>
          <t>Föryngringsavverkning</t>
        </is>
      </c>
      <c r="D2581" s="1" t="n">
        <v>45824</v>
      </c>
      <c r="E2581" s="1" t="n">
        <v>46326</v>
      </c>
      <c r="F2581" t="inlineStr">
        <is>
          <t>GÄVLEBORGS LÄN</t>
        </is>
      </c>
      <c r="G2581" t="inlineStr">
        <is>
          <t>OVANÅKER</t>
        </is>
      </c>
      <c r="I2581" t="n">
        <v>2.2</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35445-2023</t>
        </is>
      </c>
      <c r="B2582" t="inlineStr">
        <is>
          <t>avverkningsanmälan</t>
        </is>
      </c>
      <c r="C2582" t="inlineStr">
        <is>
          <t>Föryngringsavverkning</t>
        </is>
      </c>
      <c r="D2582" s="1" t="n">
        <v>45146</v>
      </c>
      <c r="E2582" s="1" t="n">
        <v>46326</v>
      </c>
      <c r="F2582" t="inlineStr">
        <is>
          <t>GÄVLEBORGS LÄN</t>
        </is>
      </c>
      <c r="G2582" t="inlineStr">
        <is>
          <t>GÄVLE</t>
        </is>
      </c>
      <c r="I2582" t="n">
        <v>6.2</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2405-2026</t>
        </is>
      </c>
      <c r="B2583" t="inlineStr">
        <is>
          <t>avverkningsanmälan</t>
        </is>
      </c>
      <c r="C2583" t="inlineStr">
        <is>
          <t>Föryngringsavverkning</t>
        </is>
      </c>
      <c r="D2583" s="1" t="n">
        <v>46036</v>
      </c>
      <c r="E2583" s="1" t="n">
        <v>46326</v>
      </c>
      <c r="F2583" t="inlineStr">
        <is>
          <t>GÄVLEBORGS LÄN</t>
        </is>
      </c>
      <c r="G2583" t="inlineStr">
        <is>
          <t>BOLLNÄS</t>
        </is>
      </c>
      <c r="I2583" t="n">
        <v>3.8</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2059-2026</t>
        </is>
      </c>
      <c r="B2584" t="inlineStr">
        <is>
          <t>avverkningsanmälan</t>
        </is>
      </c>
      <c r="C2584" t="inlineStr">
        <is>
          <t>Föryngringsavverkning</t>
        </is>
      </c>
      <c r="D2584" s="1" t="n">
        <v>46035</v>
      </c>
      <c r="E2584" s="1" t="n">
        <v>46326</v>
      </c>
      <c r="F2584" t="inlineStr">
        <is>
          <t>GÄVLEBORGS LÄN</t>
        </is>
      </c>
      <c r="G2584" t="inlineStr">
        <is>
          <t>BOLLNÄS</t>
        </is>
      </c>
      <c r="I2584" t="n">
        <v>1.8</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29575-2025</t>
        </is>
      </c>
      <c r="B2585" t="inlineStr">
        <is>
          <t>avverkningsanmälan</t>
        </is>
      </c>
      <c r="C2585" t="inlineStr">
        <is>
          <t>Föryngringsavverkning</t>
        </is>
      </c>
      <c r="D2585" s="1" t="n">
        <v>45825</v>
      </c>
      <c r="E2585" s="1" t="n">
        <v>46326</v>
      </c>
      <c r="F2585" t="inlineStr">
        <is>
          <t>GÄVLEBORGS LÄN</t>
        </is>
      </c>
      <c r="G2585" t="inlineStr">
        <is>
          <t>BOLLNÄS</t>
        </is>
      </c>
      <c r="I2585" t="n">
        <v>1.9</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7603-2024</t>
        </is>
      </c>
      <c r="B2586" t="inlineStr">
        <is>
          <t>avverkningsanmälan</t>
        </is>
      </c>
      <c r="C2586" t="inlineStr">
        <is>
          <t>Föryngringsavverkning</t>
        </is>
      </c>
      <c r="D2586" s="1" t="n">
        <v>45348</v>
      </c>
      <c r="E2586" s="1" t="n">
        <v>46326</v>
      </c>
      <c r="F2586" t="inlineStr">
        <is>
          <t>GÄVLEBORGS LÄN</t>
        </is>
      </c>
      <c r="G2586" t="inlineStr">
        <is>
          <t>LJUSDAL</t>
        </is>
      </c>
      <c r="I2586" t="n">
        <v>3.2</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2143-2026</t>
        </is>
      </c>
      <c r="B2587" t="inlineStr">
        <is>
          <t>avverkningsanmälan</t>
        </is>
      </c>
      <c r="C2587" t="inlineStr">
        <is>
          <t>Föryngringsavverkning</t>
        </is>
      </c>
      <c r="D2587" s="1" t="n">
        <v>46036</v>
      </c>
      <c r="E2587" s="1" t="n">
        <v>46326</v>
      </c>
      <c r="F2587" t="inlineStr">
        <is>
          <t>GÄVLEBORGS LÄN</t>
        </is>
      </c>
      <c r="G2587" t="inlineStr">
        <is>
          <t>BOLLNÄS</t>
        </is>
      </c>
      <c r="I2587" t="n">
        <v>2.5</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29275-2025</t>
        </is>
      </c>
      <c r="B2588" t="inlineStr">
        <is>
          <t>avverkningsanmälan</t>
        </is>
      </c>
      <c r="C2588" t="inlineStr">
        <is>
          <t>Föryngringsavverkning</t>
        </is>
      </c>
      <c r="D2588" s="1" t="n">
        <v>45824</v>
      </c>
      <c r="E2588" s="1" t="n">
        <v>46326</v>
      </c>
      <c r="F2588" t="inlineStr">
        <is>
          <t>GÄVLEBORGS LÄN</t>
        </is>
      </c>
      <c r="G2588" t="inlineStr">
        <is>
          <t>NORDANSTIG</t>
        </is>
      </c>
      <c r="H2588" t="inlineStr">
        <is>
          <t>Holmen skog AB</t>
        </is>
      </c>
      <c r="I2588" t="n">
        <v>5.3</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29276-2025</t>
        </is>
      </c>
      <c r="B2589" t="inlineStr">
        <is>
          <t>avverkningsanmälan</t>
        </is>
      </c>
      <c r="C2589" t="inlineStr">
        <is>
          <t>Föryngringsavverkning</t>
        </is>
      </c>
      <c r="D2589" s="1" t="n">
        <v>45824</v>
      </c>
      <c r="E2589" s="1" t="n">
        <v>46326</v>
      </c>
      <c r="F2589" t="inlineStr">
        <is>
          <t>GÄVLEBORGS LÄN</t>
        </is>
      </c>
      <c r="G2589" t="inlineStr">
        <is>
          <t>HUDIKSVALL</t>
        </is>
      </c>
      <c r="I2589" t="n">
        <v>2.2</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41202-2025</t>
        </is>
      </c>
      <c r="B2590" t="inlineStr">
        <is>
          <t>avverkningsanmälan</t>
        </is>
      </c>
      <c r="C2590" t="inlineStr">
        <is>
          <t>Föryngringsavverkning</t>
        </is>
      </c>
      <c r="D2590" s="1" t="n">
        <v>45898</v>
      </c>
      <c r="E2590" s="1" t="n">
        <v>46326</v>
      </c>
      <c r="F2590" t="inlineStr">
        <is>
          <t>GÄVLEBORGS LÄN</t>
        </is>
      </c>
      <c r="G2590" t="inlineStr">
        <is>
          <t>NORDANSTIG</t>
        </is>
      </c>
      <c r="H2590" t="inlineStr">
        <is>
          <t>Holmen skog AB</t>
        </is>
      </c>
      <c r="I2590" t="n">
        <v>3.1</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29252-2025</t>
        </is>
      </c>
      <c r="B2591" t="inlineStr">
        <is>
          <t>avverkningsanmälan</t>
        </is>
      </c>
      <c r="C2591" t="inlineStr">
        <is>
          <t>Föryngringsavverkning</t>
        </is>
      </c>
      <c r="D2591" s="1" t="n">
        <v>45824</v>
      </c>
      <c r="E2591" s="1" t="n">
        <v>46326</v>
      </c>
      <c r="F2591" t="inlineStr">
        <is>
          <t>GÄVLEBORGS LÄN</t>
        </is>
      </c>
      <c r="G2591" t="inlineStr">
        <is>
          <t>LJUSDAL</t>
        </is>
      </c>
      <c r="H2591" t="inlineStr">
        <is>
          <t>Holmen skog AB</t>
        </is>
      </c>
      <c r="I2591" t="n">
        <v>0.8</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29456-2025</t>
        </is>
      </c>
      <c r="B2592" t="inlineStr">
        <is>
          <t>avverkningsanmälan</t>
        </is>
      </c>
      <c r="C2592" t="inlineStr">
        <is>
          <t>Föryngringsavverkning</t>
        </is>
      </c>
      <c r="D2592" s="1" t="n">
        <v>45824</v>
      </c>
      <c r="E2592" s="1" t="n">
        <v>46326</v>
      </c>
      <c r="F2592" t="inlineStr">
        <is>
          <t>GÄVLEBORGS LÄN</t>
        </is>
      </c>
      <c r="G2592" t="inlineStr">
        <is>
          <t>SÖDERHAMN</t>
        </is>
      </c>
      <c r="I2592" t="n">
        <v>1.9</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55411-2024</t>
        </is>
      </c>
      <c r="B2593" t="inlineStr">
        <is>
          <t>avverkningsanmälan</t>
        </is>
      </c>
      <c r="C2593" t="inlineStr">
        <is>
          <t>Föryngringsavverkning</t>
        </is>
      </c>
      <c r="D2593" s="1" t="n">
        <v>45622</v>
      </c>
      <c r="E2593" s="1" t="n">
        <v>46326</v>
      </c>
      <c r="F2593" t="inlineStr">
        <is>
          <t>GÄVLEBORGS LÄN</t>
        </is>
      </c>
      <c r="G2593" t="inlineStr">
        <is>
          <t>OVANÅKER</t>
        </is>
      </c>
      <c r="I2593" t="n">
        <v>2.9</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549-2026</t>
        </is>
      </c>
      <c r="B2594" t="inlineStr">
        <is>
          <t>avverkningsanmälan</t>
        </is>
      </c>
      <c r="C2594" t="inlineStr">
        <is>
          <t>Föryngringsavverkning</t>
        </is>
      </c>
      <c r="D2594" s="1" t="n">
        <v>46029</v>
      </c>
      <c r="E2594" s="1" t="n">
        <v>46326</v>
      </c>
      <c r="F2594" t="inlineStr">
        <is>
          <t>GÄVLEBORGS LÄN</t>
        </is>
      </c>
      <c r="G2594" t="inlineStr">
        <is>
          <t>BOLLNÄS</t>
        </is>
      </c>
      <c r="I2594" t="n">
        <v>0.6</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29772-2025</t>
        </is>
      </c>
      <c r="B2595" t="inlineStr">
        <is>
          <t>avverkningsanmälan</t>
        </is>
      </c>
      <c r="C2595" t="inlineStr">
        <is>
          <t>Föryngringsavverkning</t>
        </is>
      </c>
      <c r="D2595" s="1" t="n">
        <v>45825</v>
      </c>
      <c r="E2595" s="1" t="n">
        <v>46326</v>
      </c>
      <c r="F2595" t="inlineStr">
        <is>
          <t>GÄVLEBORGS LÄN</t>
        </is>
      </c>
      <c r="G2595" t="inlineStr">
        <is>
          <t>HUDIKSVALL</t>
        </is>
      </c>
      <c r="I2595" t="n">
        <v>1.5</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41088-2025</t>
        </is>
      </c>
      <c r="B2596" t="inlineStr">
        <is>
          <t>avverkningsanmälan</t>
        </is>
      </c>
      <c r="C2596" t="inlineStr">
        <is>
          <t>Föryngringsavverkning</t>
        </is>
      </c>
      <c r="D2596" s="1" t="n">
        <v>45898</v>
      </c>
      <c r="E2596" s="1" t="n">
        <v>46326</v>
      </c>
      <c r="F2596" t="inlineStr">
        <is>
          <t>GÄVLEBORGS LÄN</t>
        </is>
      </c>
      <c r="G2596" t="inlineStr">
        <is>
          <t>BOLLNÄS</t>
        </is>
      </c>
      <c r="I2596" t="n">
        <v>3.9</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29274-2025</t>
        </is>
      </c>
      <c r="B2597" t="inlineStr">
        <is>
          <t>avverkningsanmälan</t>
        </is>
      </c>
      <c r="C2597" t="inlineStr">
        <is>
          <t>Föryngringsavverkning</t>
        </is>
      </c>
      <c r="D2597" s="1" t="n">
        <v>45824</v>
      </c>
      <c r="E2597" s="1" t="n">
        <v>46326</v>
      </c>
      <c r="F2597" t="inlineStr">
        <is>
          <t>GÄVLEBORGS LÄN</t>
        </is>
      </c>
      <c r="G2597" t="inlineStr">
        <is>
          <t>OCKELBO</t>
        </is>
      </c>
      <c r="H2597" t="inlineStr">
        <is>
          <t>Bergvik skog väst AB</t>
        </is>
      </c>
      <c r="I2597" t="n">
        <v>2.8</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2653-2026</t>
        </is>
      </c>
      <c r="B2598" t="inlineStr">
        <is>
          <t>avverkningsanmälan</t>
        </is>
      </c>
      <c r="C2598" t="inlineStr">
        <is>
          <t>Föryngringsavverkning</t>
        </is>
      </c>
      <c r="D2598" s="1" t="n">
        <v>46037</v>
      </c>
      <c r="E2598" s="1" t="n">
        <v>46326</v>
      </c>
      <c r="F2598" t="inlineStr">
        <is>
          <t>GÄVLEBORGS LÄN</t>
        </is>
      </c>
      <c r="G2598" t="inlineStr">
        <is>
          <t>BOLLNÄS</t>
        </is>
      </c>
      <c r="I2598" t="n">
        <v>6.1</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2379-2026</t>
        </is>
      </c>
      <c r="B2599" t="inlineStr">
        <is>
          <t>avverkningsanmälan</t>
        </is>
      </c>
      <c r="C2599" t="inlineStr">
        <is>
          <t>Föryngringsavverkning</t>
        </is>
      </c>
      <c r="D2599" s="1" t="n">
        <v>46036</v>
      </c>
      <c r="E2599" s="1" t="n">
        <v>46326</v>
      </c>
      <c r="F2599" t="inlineStr">
        <is>
          <t>GÄVLEBORGS LÄN</t>
        </is>
      </c>
      <c r="G2599" t="inlineStr">
        <is>
          <t>OVANÅKER</t>
        </is>
      </c>
      <c r="I2599" t="n">
        <v>0.6</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2388-2026</t>
        </is>
      </c>
      <c r="B2600" t="inlineStr">
        <is>
          <t>avverkningsanmälan</t>
        </is>
      </c>
      <c r="C2600" t="inlineStr">
        <is>
          <t>Föryngringsavverkning</t>
        </is>
      </c>
      <c r="D2600" s="1" t="n">
        <v>46036</v>
      </c>
      <c r="E2600" s="1" t="n">
        <v>46326</v>
      </c>
      <c r="F2600" t="inlineStr">
        <is>
          <t>GÄVLEBORGS LÄN</t>
        </is>
      </c>
      <c r="G2600" t="inlineStr">
        <is>
          <t>OCKELBO</t>
        </is>
      </c>
      <c r="I2600" t="n">
        <v>2.2</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29329-2025</t>
        </is>
      </c>
      <c r="B2601" t="inlineStr">
        <is>
          <t>avverkningsanmälan</t>
        </is>
      </c>
      <c r="C2601" t="inlineStr">
        <is>
          <t>Föryngringsavverkning</t>
        </is>
      </c>
      <c r="D2601" s="1" t="n">
        <v>45824</v>
      </c>
      <c r="E2601" s="1" t="n">
        <v>46326</v>
      </c>
      <c r="F2601" t="inlineStr">
        <is>
          <t>GÄVLEBORGS LÄN</t>
        </is>
      </c>
      <c r="G2601" t="inlineStr">
        <is>
          <t>HUDIKSVALL</t>
        </is>
      </c>
      <c r="H2601" t="inlineStr">
        <is>
          <t>Holmen skog AB</t>
        </is>
      </c>
      <c r="I2601" t="n">
        <v>15.3</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29358-2025</t>
        </is>
      </c>
      <c r="B2602" t="inlineStr">
        <is>
          <t>avverkningsanmälan</t>
        </is>
      </c>
      <c r="C2602" t="inlineStr">
        <is>
          <t>Avverkning för annat ändamål</t>
        </is>
      </c>
      <c r="D2602" s="1" t="n">
        <v>45824</v>
      </c>
      <c r="E2602" s="1" t="n">
        <v>46326</v>
      </c>
      <c r="F2602" t="inlineStr">
        <is>
          <t>GÄVLEBORGS LÄN</t>
        </is>
      </c>
      <c r="G2602" t="inlineStr">
        <is>
          <t>LJUSDAL</t>
        </is>
      </c>
      <c r="H2602" t="inlineStr">
        <is>
          <t>Bergvik skog väst AB</t>
        </is>
      </c>
      <c r="I2602" t="n">
        <v>0.4</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58373-2023</t>
        </is>
      </c>
      <c r="B2603" t="inlineStr">
        <is>
          <t>avverkningsanmälan</t>
        </is>
      </c>
      <c r="C2603" t="inlineStr">
        <is>
          <t>Föryngringsavverkning</t>
        </is>
      </c>
      <c r="D2603" s="1" t="n">
        <v>45250</v>
      </c>
      <c r="E2603" s="1" t="n">
        <v>46326</v>
      </c>
      <c r="F2603" t="inlineStr">
        <is>
          <t>GÄVLEBORGS LÄN</t>
        </is>
      </c>
      <c r="G2603" t="inlineStr">
        <is>
          <t>HOFORS</t>
        </is>
      </c>
      <c r="I2603" t="n">
        <v>0.6</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41020-2023</t>
        </is>
      </c>
      <c r="B2604" t="inlineStr">
        <is>
          <t>avverkningsanmälan</t>
        </is>
      </c>
      <c r="C2604" t="inlineStr">
        <is>
          <t>Föryngringsavverkning</t>
        </is>
      </c>
      <c r="D2604" s="1" t="n">
        <v>45173</v>
      </c>
      <c r="E2604" s="1" t="n">
        <v>46326</v>
      </c>
      <c r="F2604" t="inlineStr">
        <is>
          <t>GÄVLEBORGS LÄN</t>
        </is>
      </c>
      <c r="G2604" t="inlineStr">
        <is>
          <t>HOFORS</t>
        </is>
      </c>
      <c r="H2604" t="inlineStr">
        <is>
          <t>Sveaskog</t>
        </is>
      </c>
      <c r="I2604" t="n">
        <v>1.5</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41239-2025</t>
        </is>
      </c>
      <c r="B2605" t="inlineStr">
        <is>
          <t>avverkningsanmälan</t>
        </is>
      </c>
      <c r="C2605" t="inlineStr">
        <is>
          <t>Föryngringsavverkning</t>
        </is>
      </c>
      <c r="D2605" s="1" t="n">
        <v>45898</v>
      </c>
      <c r="E2605" s="1" t="n">
        <v>46326</v>
      </c>
      <c r="F2605" t="inlineStr">
        <is>
          <t>GÄVLEBORGS LÄN</t>
        </is>
      </c>
      <c r="G2605" t="inlineStr">
        <is>
          <t>HUDIKSVALL</t>
        </is>
      </c>
      <c r="H2605" t="inlineStr">
        <is>
          <t>Holmen skog AB</t>
        </is>
      </c>
      <c r="I2605" t="n">
        <v>1.2</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29459-2025</t>
        </is>
      </c>
      <c r="B2606" t="inlineStr">
        <is>
          <t>avverkningsanmälan</t>
        </is>
      </c>
      <c r="C2606" t="inlineStr">
        <is>
          <t>Föryngringsavverkning</t>
        </is>
      </c>
      <c r="D2606" s="1" t="n">
        <v>45824</v>
      </c>
      <c r="E2606" s="1" t="n">
        <v>46326</v>
      </c>
      <c r="F2606" t="inlineStr">
        <is>
          <t>GÄVLEBORGS LÄN</t>
        </is>
      </c>
      <c r="G2606" t="inlineStr">
        <is>
          <t>SÖDERHAMN</t>
        </is>
      </c>
      <c r="I2606" t="n">
        <v>0.6</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29738-2025</t>
        </is>
      </c>
      <c r="B2607" t="inlineStr">
        <is>
          <t>avverkningsanmälan</t>
        </is>
      </c>
      <c r="C2607" t="inlineStr">
        <is>
          <t>Föryngringsavverkning</t>
        </is>
      </c>
      <c r="D2607" s="1" t="n">
        <v>45825</v>
      </c>
      <c r="E2607" s="1" t="n">
        <v>46326</v>
      </c>
      <c r="F2607" t="inlineStr">
        <is>
          <t>GÄVLEBORGS LÄN</t>
        </is>
      </c>
      <c r="G2607" t="inlineStr">
        <is>
          <t>SANDVIKEN</t>
        </is>
      </c>
      <c r="I2607" t="n">
        <v>4.8</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26129-2024</t>
        </is>
      </c>
      <c r="B2608" t="inlineStr">
        <is>
          <t>avverkningsanmälan</t>
        </is>
      </c>
      <c r="C2608" t="inlineStr">
        <is>
          <t>Föryngringsavverkning</t>
        </is>
      </c>
      <c r="D2608" s="1" t="n">
        <v>45468</v>
      </c>
      <c r="E2608" s="1" t="n">
        <v>46326</v>
      </c>
      <c r="F2608" t="inlineStr">
        <is>
          <t>GÄVLEBORGS LÄN</t>
        </is>
      </c>
      <c r="G2608" t="inlineStr">
        <is>
          <t>GÄVLE</t>
        </is>
      </c>
      <c r="H2608" t="inlineStr">
        <is>
          <t>Bergvik skog väst AB</t>
        </is>
      </c>
      <c r="I2608" t="n">
        <v>9.9</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29635-2025</t>
        </is>
      </c>
      <c r="B2609" t="inlineStr">
        <is>
          <t>avverkningsanmälan</t>
        </is>
      </c>
      <c r="C2609" t="inlineStr">
        <is>
          <t>Föryngringsavverkning</t>
        </is>
      </c>
      <c r="D2609" s="1" t="n">
        <v>45825</v>
      </c>
      <c r="E2609" s="1" t="n">
        <v>46326</v>
      </c>
      <c r="F2609" t="inlineStr">
        <is>
          <t>GÄVLEBORGS LÄN</t>
        </is>
      </c>
      <c r="G2609" t="inlineStr">
        <is>
          <t>OVANÅKER</t>
        </is>
      </c>
      <c r="H2609" t="inlineStr">
        <is>
          <t>Bergvik skog väst AB</t>
        </is>
      </c>
      <c r="I2609" t="n">
        <v>2.7</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2392-2026</t>
        </is>
      </c>
      <c r="B2610" t="inlineStr">
        <is>
          <t>avverkningsanmälan</t>
        </is>
      </c>
      <c r="C2610" t="inlineStr">
        <is>
          <t>Föryngringsavverkning</t>
        </is>
      </c>
      <c r="D2610" s="1" t="n">
        <v>46036</v>
      </c>
      <c r="E2610" s="1" t="n">
        <v>46326</v>
      </c>
      <c r="F2610" t="inlineStr">
        <is>
          <t>GÄVLEBORGS LÄN</t>
        </is>
      </c>
      <c r="G2610" t="inlineStr">
        <is>
          <t>OCKELBO</t>
        </is>
      </c>
      <c r="I2610" t="n">
        <v>5.9</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2094-2026</t>
        </is>
      </c>
      <c r="B2611" t="inlineStr">
        <is>
          <t>avverkningsanmälan</t>
        </is>
      </c>
      <c r="C2611" t="inlineStr">
        <is>
          <t>Föryngringsavverkning</t>
        </is>
      </c>
      <c r="D2611" s="1" t="n">
        <v>46036</v>
      </c>
      <c r="E2611" s="1" t="n">
        <v>46326</v>
      </c>
      <c r="F2611" t="inlineStr">
        <is>
          <t>GÄVLEBORGS LÄN</t>
        </is>
      </c>
      <c r="G2611" t="inlineStr">
        <is>
          <t>SANDVIKEN</t>
        </is>
      </c>
      <c r="I2611" t="n">
        <v>1.4</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29526-2025</t>
        </is>
      </c>
      <c r="B2612" t="inlineStr">
        <is>
          <t>avverkningsanmälan</t>
        </is>
      </c>
      <c r="C2612" t="inlineStr">
        <is>
          <t>Föryngringsavverkning</t>
        </is>
      </c>
      <c r="D2612" s="1" t="n">
        <v>45825</v>
      </c>
      <c r="E2612" s="1" t="n">
        <v>46326</v>
      </c>
      <c r="F2612" t="inlineStr">
        <is>
          <t>GÄVLEBORGS LÄN</t>
        </is>
      </c>
      <c r="G2612" t="inlineStr">
        <is>
          <t>LJUSDAL</t>
        </is>
      </c>
      <c r="I2612" t="n">
        <v>1.3</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50898-2023</t>
        </is>
      </c>
      <c r="B2613" t="inlineStr">
        <is>
          <t>avverkningsanmälan</t>
        </is>
      </c>
      <c r="C2613" t="inlineStr">
        <is>
          <t>Föryngringsavverkning</t>
        </is>
      </c>
      <c r="D2613" s="1" t="n">
        <v>45218</v>
      </c>
      <c r="E2613" s="1" t="n">
        <v>46326</v>
      </c>
      <c r="F2613" t="inlineStr">
        <is>
          <t>GÄVLEBORGS LÄN</t>
        </is>
      </c>
      <c r="G2613" t="inlineStr">
        <is>
          <t>HUDIKSVALL</t>
        </is>
      </c>
      <c r="H2613" t="inlineStr">
        <is>
          <t>Holmen skog AB</t>
        </is>
      </c>
      <c r="I2613" t="n">
        <v>6.5</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2109-2026</t>
        </is>
      </c>
      <c r="B2614" t="inlineStr">
        <is>
          <t>avverkningsanmälan</t>
        </is>
      </c>
      <c r="C2614" t="inlineStr">
        <is>
          <t>Föryngringsavverkning</t>
        </is>
      </c>
      <c r="D2614" s="1" t="n">
        <v>46036</v>
      </c>
      <c r="E2614" s="1" t="n">
        <v>46326</v>
      </c>
      <c r="F2614" t="inlineStr">
        <is>
          <t>GÄVLEBORGS LÄN</t>
        </is>
      </c>
      <c r="G2614" t="inlineStr">
        <is>
          <t>BOLLNÄS</t>
        </is>
      </c>
      <c r="I2614" t="n">
        <v>7.3</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2115-2026</t>
        </is>
      </c>
      <c r="B2615" t="inlineStr">
        <is>
          <t>avverkningsanmälan</t>
        </is>
      </c>
      <c r="C2615" t="inlineStr">
        <is>
          <t>Föryngringsavverkning</t>
        </is>
      </c>
      <c r="D2615" s="1" t="n">
        <v>46036</v>
      </c>
      <c r="E2615" s="1" t="n">
        <v>46326</v>
      </c>
      <c r="F2615" t="inlineStr">
        <is>
          <t>GÄVLEBORGS LÄN</t>
        </is>
      </c>
      <c r="G2615" t="inlineStr">
        <is>
          <t>HUDIKSVALL</t>
        </is>
      </c>
      <c r="H2615" t="inlineStr">
        <is>
          <t>Holmen skog AB</t>
        </is>
      </c>
      <c r="I2615" t="n">
        <v>5.6</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41348-2025</t>
        </is>
      </c>
      <c r="B2616" t="inlineStr">
        <is>
          <t>avverkningsanmälan</t>
        </is>
      </c>
      <c r="C2616" t="inlineStr">
        <is>
          <t>Föryngringsavverkning</t>
        </is>
      </c>
      <c r="D2616" s="1" t="n">
        <v>45899</v>
      </c>
      <c r="E2616" s="1" t="n">
        <v>46326</v>
      </c>
      <c r="F2616" t="inlineStr">
        <is>
          <t>GÄVLEBORGS LÄN</t>
        </is>
      </c>
      <c r="G2616" t="inlineStr">
        <is>
          <t>SANDVIKEN</t>
        </is>
      </c>
      <c r="I2616" t="n">
        <v>0.8</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35206-2024</t>
        </is>
      </c>
      <c r="B2617" t="inlineStr">
        <is>
          <t>avverkningsanmälan</t>
        </is>
      </c>
      <c r="C2617" t="inlineStr">
        <is>
          <t>Föryngringsavverkning</t>
        </is>
      </c>
      <c r="D2617" s="1" t="n">
        <v>45530</v>
      </c>
      <c r="E2617" s="1" t="n">
        <v>46326</v>
      </c>
      <c r="F2617" t="inlineStr">
        <is>
          <t>GÄVLEBORGS LÄN</t>
        </is>
      </c>
      <c r="G2617" t="inlineStr">
        <is>
          <t>GÄVLE</t>
        </is>
      </c>
      <c r="H2617" t="inlineStr">
        <is>
          <t>Bergvik skog öst AB</t>
        </is>
      </c>
      <c r="I2617" t="n">
        <v>0.6</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2238-2026</t>
        </is>
      </c>
      <c r="B2618" t="inlineStr">
        <is>
          <t>avverkningsanmälan</t>
        </is>
      </c>
      <c r="C2618" t="inlineStr">
        <is>
          <t>Föryngringsavverkning</t>
        </is>
      </c>
      <c r="D2618" s="1" t="n">
        <v>46036</v>
      </c>
      <c r="E2618" s="1" t="n">
        <v>46326</v>
      </c>
      <c r="F2618" t="inlineStr">
        <is>
          <t>GÄVLEBORGS LÄN</t>
        </is>
      </c>
      <c r="G2618" t="inlineStr">
        <is>
          <t>SANDVIKEN</t>
        </is>
      </c>
      <c r="I2618" t="n">
        <v>3.9</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2264-2026</t>
        </is>
      </c>
      <c r="B2619" t="inlineStr">
        <is>
          <t>avverkningsanmälan</t>
        </is>
      </c>
      <c r="C2619" t="inlineStr">
        <is>
          <t>Föryngringsavverkning</t>
        </is>
      </c>
      <c r="D2619" s="1" t="n">
        <v>46036</v>
      </c>
      <c r="E2619" s="1" t="n">
        <v>46326</v>
      </c>
      <c r="F2619" t="inlineStr">
        <is>
          <t>GÄVLEBORGS LÄN</t>
        </is>
      </c>
      <c r="G2619" t="inlineStr">
        <is>
          <t>OVANÅKER</t>
        </is>
      </c>
      <c r="I2619" t="n">
        <v>11.8</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2304-2026</t>
        </is>
      </c>
      <c r="B2620" t="inlineStr">
        <is>
          <t>avverkningsanmälan</t>
        </is>
      </c>
      <c r="C2620" t="inlineStr">
        <is>
          <t>Föryngringsavverkning</t>
        </is>
      </c>
      <c r="D2620" s="1" t="n">
        <v>46036</v>
      </c>
      <c r="E2620" s="1" t="n">
        <v>46326</v>
      </c>
      <c r="F2620" t="inlineStr">
        <is>
          <t>GÄVLEBORGS LÄN</t>
        </is>
      </c>
      <c r="G2620" t="inlineStr">
        <is>
          <t>OCKELBO</t>
        </is>
      </c>
      <c r="I2620" t="n">
        <v>3.6</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2319-2026</t>
        </is>
      </c>
      <c r="B2621" t="inlineStr">
        <is>
          <t>avverkningsanmälan</t>
        </is>
      </c>
      <c r="C2621" t="inlineStr">
        <is>
          <t>Föryngringsavverkning</t>
        </is>
      </c>
      <c r="D2621" s="1" t="n">
        <v>46036</v>
      </c>
      <c r="E2621" s="1" t="n">
        <v>46326</v>
      </c>
      <c r="F2621" t="inlineStr">
        <is>
          <t>GÄVLEBORGS LÄN</t>
        </is>
      </c>
      <c r="G2621" t="inlineStr">
        <is>
          <t>OCKELBO</t>
        </is>
      </c>
      <c r="I2621" t="n">
        <v>5.3</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2383-2026</t>
        </is>
      </c>
      <c r="B2622" t="inlineStr">
        <is>
          <t>avverkningsanmälan</t>
        </is>
      </c>
      <c r="C2622" t="inlineStr">
        <is>
          <t>Föryngringsavverkning</t>
        </is>
      </c>
      <c r="D2622" s="1" t="n">
        <v>46036</v>
      </c>
      <c r="E2622" s="1" t="n">
        <v>46326</v>
      </c>
      <c r="F2622" t="inlineStr">
        <is>
          <t>GÄVLEBORGS LÄN</t>
        </is>
      </c>
      <c r="G2622" t="inlineStr">
        <is>
          <t>HUDIKSVALL</t>
        </is>
      </c>
      <c r="I2622" t="n">
        <v>7.6</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2307-2026</t>
        </is>
      </c>
      <c r="B2623" t="inlineStr">
        <is>
          <t>avverkningsanmälan</t>
        </is>
      </c>
      <c r="C2623" t="inlineStr">
        <is>
          <t>Föryngringsavverkning</t>
        </is>
      </c>
      <c r="D2623" s="1" t="n">
        <v>46036</v>
      </c>
      <c r="E2623" s="1" t="n">
        <v>46326</v>
      </c>
      <c r="F2623" t="inlineStr">
        <is>
          <t>GÄVLEBORGS LÄN</t>
        </is>
      </c>
      <c r="G2623" t="inlineStr">
        <is>
          <t>BOLLNÄS</t>
        </is>
      </c>
      <c r="I2623" t="n">
        <v>2.8</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2705-2026</t>
        </is>
      </c>
      <c r="B2624" t="inlineStr">
        <is>
          <t>avverkningsanmälan</t>
        </is>
      </c>
      <c r="C2624" t="inlineStr">
        <is>
          <t>Föryngringsavverkning</t>
        </is>
      </c>
      <c r="D2624" s="1" t="n">
        <v>46037</v>
      </c>
      <c r="E2624" s="1" t="n">
        <v>46326</v>
      </c>
      <c r="F2624" t="inlineStr">
        <is>
          <t>GÄVLEBORGS LÄN</t>
        </is>
      </c>
      <c r="G2624" t="inlineStr">
        <is>
          <t>NORDANSTIG</t>
        </is>
      </c>
      <c r="I2624" t="n">
        <v>9.300000000000001</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41225-2025</t>
        </is>
      </c>
      <c r="B2625" t="inlineStr">
        <is>
          <t>avverkningsanmälan</t>
        </is>
      </c>
      <c r="C2625" t="inlineStr">
        <is>
          <t>Föryngringsavverkning</t>
        </is>
      </c>
      <c r="D2625" s="1" t="n">
        <v>45898</v>
      </c>
      <c r="E2625" s="1" t="n">
        <v>46326</v>
      </c>
      <c r="F2625" t="inlineStr">
        <is>
          <t>GÄVLEBORGS LÄN</t>
        </is>
      </c>
      <c r="G2625" t="inlineStr">
        <is>
          <t>SÖDERHAMN</t>
        </is>
      </c>
      <c r="I2625" t="n">
        <v>4</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2227-2026</t>
        </is>
      </c>
      <c r="B2626" t="inlineStr">
        <is>
          <t>avverkningsanmälan</t>
        </is>
      </c>
      <c r="C2626" t="inlineStr">
        <is>
          <t>Föryngringsavverkning</t>
        </is>
      </c>
      <c r="D2626" s="1" t="n">
        <v>46036</v>
      </c>
      <c r="E2626" s="1" t="n">
        <v>46326</v>
      </c>
      <c r="F2626" t="inlineStr">
        <is>
          <t>GÄVLEBORGS LÄN</t>
        </is>
      </c>
      <c r="G2626" t="inlineStr">
        <is>
          <t>SÖDERHAMN</t>
        </is>
      </c>
      <c r="I2626" t="n">
        <v>1.7</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2126-2026</t>
        </is>
      </c>
      <c r="B2627" t="inlineStr">
        <is>
          <t>avverkningsanmälan</t>
        </is>
      </c>
      <c r="C2627" t="inlineStr">
        <is>
          <t>Föryngringsavverkning</t>
        </is>
      </c>
      <c r="D2627" s="1" t="n">
        <v>46036</v>
      </c>
      <c r="E2627" s="1" t="n">
        <v>46326</v>
      </c>
      <c r="F2627" t="inlineStr">
        <is>
          <t>GÄVLEBORGS LÄN</t>
        </is>
      </c>
      <c r="G2627" t="inlineStr">
        <is>
          <t>SANDVIKEN</t>
        </is>
      </c>
      <c r="I2627" t="n">
        <v>1.1</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684-2026</t>
        </is>
      </c>
      <c r="B2628" t="inlineStr">
        <is>
          <t>avverkningsanmälan</t>
        </is>
      </c>
      <c r="C2628" t="inlineStr">
        <is>
          <t>Föryngringsavverkning</t>
        </is>
      </c>
      <c r="D2628" s="1" t="n">
        <v>46029</v>
      </c>
      <c r="E2628" s="1" t="n">
        <v>46326</v>
      </c>
      <c r="F2628" t="inlineStr">
        <is>
          <t>GÄVLEBORGS LÄN</t>
        </is>
      </c>
      <c r="G2628" t="inlineStr">
        <is>
          <t>OVANÅKER</t>
        </is>
      </c>
      <c r="I2628" t="n">
        <v>6.6</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2498-2026</t>
        </is>
      </c>
      <c r="B2629" t="inlineStr">
        <is>
          <t>avverkningsanmälan</t>
        </is>
      </c>
      <c r="C2629" t="inlineStr">
        <is>
          <t>Föryngringsavverkning</t>
        </is>
      </c>
      <c r="D2629" s="1" t="n">
        <v>46037</v>
      </c>
      <c r="E2629" s="1" t="n">
        <v>46326</v>
      </c>
      <c r="F2629" t="inlineStr">
        <is>
          <t>GÄVLEBORGS LÄN</t>
        </is>
      </c>
      <c r="G2629" t="inlineStr">
        <is>
          <t>HUDIKSVALL</t>
        </is>
      </c>
      <c r="I2629" t="n">
        <v>1.4</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2526-2026</t>
        </is>
      </c>
      <c r="B2630" t="inlineStr">
        <is>
          <t>avverkningsanmälan</t>
        </is>
      </c>
      <c r="C2630" t="inlineStr">
        <is>
          <t>Föryngringsavverkning</t>
        </is>
      </c>
      <c r="D2630" s="1" t="n">
        <v>46037</v>
      </c>
      <c r="E2630" s="1" t="n">
        <v>46326</v>
      </c>
      <c r="F2630" t="inlineStr">
        <is>
          <t>GÄVLEBORGS LÄN</t>
        </is>
      </c>
      <c r="G2630" t="inlineStr">
        <is>
          <t>BOLLNÄS</t>
        </is>
      </c>
      <c r="I2630" t="n">
        <v>12.6</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2553-2026</t>
        </is>
      </c>
      <c r="B2631" t="inlineStr">
        <is>
          <t>avverkningsanmälan</t>
        </is>
      </c>
      <c r="C2631" t="inlineStr">
        <is>
          <t>Föryngringsavverkning</t>
        </is>
      </c>
      <c r="D2631" s="1" t="n">
        <v>46037</v>
      </c>
      <c r="E2631" s="1" t="n">
        <v>46326</v>
      </c>
      <c r="F2631" t="inlineStr">
        <is>
          <t>GÄVLEBORGS LÄN</t>
        </is>
      </c>
      <c r="G2631" t="inlineStr">
        <is>
          <t>OVANÅKER</t>
        </is>
      </c>
      <c r="H2631" t="inlineStr">
        <is>
          <t>Bergvik skog väst AB</t>
        </is>
      </c>
      <c r="I2631" t="n">
        <v>1.4</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2225-2026</t>
        </is>
      </c>
      <c r="B2632" t="inlineStr">
        <is>
          <t>avverkningsanmälan</t>
        </is>
      </c>
      <c r="C2632" t="inlineStr">
        <is>
          <t>Föryngringsavverkning</t>
        </is>
      </c>
      <c r="D2632" s="1" t="n">
        <v>46036</v>
      </c>
      <c r="E2632" s="1" t="n">
        <v>46326</v>
      </c>
      <c r="F2632" t="inlineStr">
        <is>
          <t>GÄVLEBORGS LÄN</t>
        </is>
      </c>
      <c r="G2632" t="inlineStr">
        <is>
          <t>SANDVIKEN</t>
        </is>
      </c>
      <c r="I2632" t="n">
        <v>1.6</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29741-2025</t>
        </is>
      </c>
      <c r="B2633" t="inlineStr">
        <is>
          <t>avverkningsanmälan</t>
        </is>
      </c>
      <c r="C2633" t="inlineStr">
        <is>
          <t>Föryngringsavverkning</t>
        </is>
      </c>
      <c r="D2633" s="1" t="n">
        <v>45825</v>
      </c>
      <c r="E2633" s="1" t="n">
        <v>46326</v>
      </c>
      <c r="F2633" t="inlineStr">
        <is>
          <t>GÄVLEBORGS LÄN</t>
        </is>
      </c>
      <c r="G2633" t="inlineStr">
        <is>
          <t>NORDANSTIG</t>
        </is>
      </c>
      <c r="I2633" t="n">
        <v>0.8</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29357-2025</t>
        </is>
      </c>
      <c r="B2634" t="inlineStr">
        <is>
          <t>avverkningsanmälan</t>
        </is>
      </c>
      <c r="C2634" t="inlineStr">
        <is>
          <t>Föryngringsavverkning</t>
        </is>
      </c>
      <c r="D2634" s="1" t="n">
        <v>45824</v>
      </c>
      <c r="E2634" s="1" t="n">
        <v>46326</v>
      </c>
      <c r="F2634" t="inlineStr">
        <is>
          <t>GÄVLEBORGS LÄN</t>
        </is>
      </c>
      <c r="G2634" t="inlineStr">
        <is>
          <t>HUDIKSVALL</t>
        </is>
      </c>
      <c r="H2634" t="inlineStr">
        <is>
          <t>Holmen skog AB</t>
        </is>
      </c>
      <c r="I2634" t="n">
        <v>2.3</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41111-2025</t>
        </is>
      </c>
      <c r="B2635" t="inlineStr">
        <is>
          <t>avverkningsanmälan</t>
        </is>
      </c>
      <c r="C2635" t="inlineStr">
        <is>
          <t>Föryngringsavverkning</t>
        </is>
      </c>
      <c r="D2635" s="1" t="n">
        <v>45898</v>
      </c>
      <c r="E2635" s="1" t="n">
        <v>46326</v>
      </c>
      <c r="F2635" t="inlineStr">
        <is>
          <t>GÄVLEBORGS LÄN</t>
        </is>
      </c>
      <c r="G2635" t="inlineStr">
        <is>
          <t>SANDVIKEN</t>
        </is>
      </c>
      <c r="H2635" t="inlineStr">
        <is>
          <t>Bergvik skog väst AB</t>
        </is>
      </c>
      <c r="I2635" t="n">
        <v>8.1</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41119-2025</t>
        </is>
      </c>
      <c r="B2636" t="inlineStr">
        <is>
          <t>avverkningsanmälan</t>
        </is>
      </c>
      <c r="C2636" t="inlineStr">
        <is>
          <t>Föryngringsavverkning</t>
        </is>
      </c>
      <c r="D2636" s="1" t="n">
        <v>45898</v>
      </c>
      <c r="E2636" s="1" t="n">
        <v>46326</v>
      </c>
      <c r="F2636" t="inlineStr">
        <is>
          <t>GÄVLEBORGS LÄN</t>
        </is>
      </c>
      <c r="G2636" t="inlineStr">
        <is>
          <t>HUDIKSVALL</t>
        </is>
      </c>
      <c r="H2636" t="inlineStr">
        <is>
          <t>Holmen skog AB</t>
        </is>
      </c>
      <c r="I2636" t="n">
        <v>35.1</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2478-2026</t>
        </is>
      </c>
      <c r="B2637" t="inlineStr">
        <is>
          <t>avverkningsanmälan</t>
        </is>
      </c>
      <c r="C2637" t="inlineStr">
        <is>
          <t>Föryngringsavverkning</t>
        </is>
      </c>
      <c r="D2637" s="1" t="n">
        <v>46037</v>
      </c>
      <c r="E2637" s="1" t="n">
        <v>46326</v>
      </c>
      <c r="F2637" t="inlineStr">
        <is>
          <t>GÄVLEBORGS LÄN</t>
        </is>
      </c>
      <c r="G2637" t="inlineStr">
        <is>
          <t>HUDIKSVALL</t>
        </is>
      </c>
      <c r="I2637" t="n">
        <v>3.2</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29334-2025</t>
        </is>
      </c>
      <c r="B2638" t="inlineStr">
        <is>
          <t>avverkningsanmälan</t>
        </is>
      </c>
      <c r="C2638" t="inlineStr">
        <is>
          <t>Föryngringsavverkning</t>
        </is>
      </c>
      <c r="D2638" s="1" t="n">
        <v>45824</v>
      </c>
      <c r="E2638" s="1" t="n">
        <v>46326</v>
      </c>
      <c r="F2638" t="inlineStr">
        <is>
          <t>GÄVLEBORGS LÄN</t>
        </is>
      </c>
      <c r="G2638" t="inlineStr">
        <is>
          <t>HUDIKSVALL</t>
        </is>
      </c>
      <c r="I2638" t="n">
        <v>0.6</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29353-2025</t>
        </is>
      </c>
      <c r="B2639" t="inlineStr">
        <is>
          <t>avverkningsanmälan</t>
        </is>
      </c>
      <c r="C2639" t="inlineStr">
        <is>
          <t>Föryngringsavverkning</t>
        </is>
      </c>
      <c r="D2639" s="1" t="n">
        <v>45824</v>
      </c>
      <c r="E2639" s="1" t="n">
        <v>46326</v>
      </c>
      <c r="F2639" t="inlineStr">
        <is>
          <t>GÄVLEBORGS LÄN</t>
        </is>
      </c>
      <c r="G2639" t="inlineStr">
        <is>
          <t>HUDIKSVALL</t>
        </is>
      </c>
      <c r="H2639" t="inlineStr">
        <is>
          <t>Holmen skog AB</t>
        </is>
      </c>
      <c r="I2639" t="n">
        <v>3.1</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2104-2026</t>
        </is>
      </c>
      <c r="B2640" t="inlineStr">
        <is>
          <t>avverkningsanmälan</t>
        </is>
      </c>
      <c r="C2640" t="inlineStr">
        <is>
          <t>Föryngringsavverkning</t>
        </is>
      </c>
      <c r="D2640" s="1" t="n">
        <v>46036</v>
      </c>
      <c r="E2640" s="1" t="n">
        <v>46326</v>
      </c>
      <c r="F2640" t="inlineStr">
        <is>
          <t>GÄVLEBORGS LÄN</t>
        </is>
      </c>
      <c r="G2640" t="inlineStr">
        <is>
          <t>OVANÅKER</t>
        </is>
      </c>
      <c r="I2640" t="n">
        <v>4.8</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41205-2025</t>
        </is>
      </c>
      <c r="B2641" t="inlineStr">
        <is>
          <t>avverkningsanmälan</t>
        </is>
      </c>
      <c r="C2641" t="inlineStr">
        <is>
          <t>Föryngringsavverkning</t>
        </is>
      </c>
      <c r="D2641" s="1" t="n">
        <v>45898</v>
      </c>
      <c r="E2641" s="1" t="n">
        <v>46326</v>
      </c>
      <c r="F2641" t="inlineStr">
        <is>
          <t>GÄVLEBORGS LÄN</t>
        </is>
      </c>
      <c r="G2641" t="inlineStr">
        <is>
          <t>LJUSDAL</t>
        </is>
      </c>
      <c r="H2641" t="inlineStr">
        <is>
          <t>Sveaskog</t>
        </is>
      </c>
      <c r="I2641" t="n">
        <v>2.2</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2670-2026</t>
        </is>
      </c>
      <c r="B2642" t="inlineStr">
        <is>
          <t>avverkningsanmälan</t>
        </is>
      </c>
      <c r="C2642" t="inlineStr">
        <is>
          <t>Föryngringsavverkning</t>
        </is>
      </c>
      <c r="D2642" s="1" t="n">
        <v>46037</v>
      </c>
      <c r="E2642" s="1" t="n">
        <v>46326</v>
      </c>
      <c r="F2642" t="inlineStr">
        <is>
          <t>GÄVLEBORGS LÄN</t>
        </is>
      </c>
      <c r="G2642" t="inlineStr">
        <is>
          <t>OVANÅKER</t>
        </is>
      </c>
      <c r="I2642" t="n">
        <v>1.4</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2178-2026</t>
        </is>
      </c>
      <c r="B2643" t="inlineStr">
        <is>
          <t>avverkningsanmälan</t>
        </is>
      </c>
      <c r="C2643" t="inlineStr">
        <is>
          <t>Föryngringsavverkning</t>
        </is>
      </c>
      <c r="D2643" s="1" t="n">
        <v>46036</v>
      </c>
      <c r="E2643" s="1" t="n">
        <v>46326</v>
      </c>
      <c r="F2643" t="inlineStr">
        <is>
          <t>GÄVLEBORGS LÄN</t>
        </is>
      </c>
      <c r="G2643" t="inlineStr">
        <is>
          <t>OCKELBO</t>
        </is>
      </c>
      <c r="I2643" t="n">
        <v>3</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2348-2026</t>
        </is>
      </c>
      <c r="B2644" t="inlineStr">
        <is>
          <t>avverkningsanmälan</t>
        </is>
      </c>
      <c r="C2644" t="inlineStr">
        <is>
          <t>Föryngringsavverkning</t>
        </is>
      </c>
      <c r="D2644" s="1" t="n">
        <v>46036</v>
      </c>
      <c r="E2644" s="1" t="n">
        <v>46326</v>
      </c>
      <c r="F2644" t="inlineStr">
        <is>
          <t>GÄVLEBORGS LÄN</t>
        </is>
      </c>
      <c r="G2644" t="inlineStr">
        <is>
          <t>BOLLNÄS</t>
        </is>
      </c>
      <c r="I2644" t="n">
        <v>2.6</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2398-2026</t>
        </is>
      </c>
      <c r="B2645" t="inlineStr">
        <is>
          <t>avverkningsanmälan</t>
        </is>
      </c>
      <c r="C2645" t="inlineStr">
        <is>
          <t>Föryngringsavverkning</t>
        </is>
      </c>
      <c r="D2645" s="1" t="n">
        <v>46036</v>
      </c>
      <c r="E2645" s="1" t="n">
        <v>46326</v>
      </c>
      <c r="F2645" t="inlineStr">
        <is>
          <t>GÄVLEBORGS LÄN</t>
        </is>
      </c>
      <c r="G2645" t="inlineStr">
        <is>
          <t>SÖDERHAMN</t>
        </is>
      </c>
      <c r="I2645" t="n">
        <v>5.5</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2506-2026</t>
        </is>
      </c>
      <c r="B2646" t="inlineStr">
        <is>
          <t>avverkningsanmälan</t>
        </is>
      </c>
      <c r="C2646" t="inlineStr">
        <is>
          <t>Föryngringsavverkning</t>
        </is>
      </c>
      <c r="D2646" s="1" t="n">
        <v>46037</v>
      </c>
      <c r="E2646" s="1" t="n">
        <v>46326</v>
      </c>
      <c r="F2646" t="inlineStr">
        <is>
          <t>GÄVLEBORGS LÄN</t>
        </is>
      </c>
      <c r="G2646" t="inlineStr">
        <is>
          <t>NORDANSTIG</t>
        </is>
      </c>
      <c r="I2646" t="n">
        <v>5</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2546-2026</t>
        </is>
      </c>
      <c r="B2647" t="inlineStr">
        <is>
          <t>avverkningsanmälan</t>
        </is>
      </c>
      <c r="C2647" t="inlineStr">
        <is>
          <t>Föryngringsavverkning</t>
        </is>
      </c>
      <c r="D2647" s="1" t="n">
        <v>46037</v>
      </c>
      <c r="E2647" s="1" t="n">
        <v>46326</v>
      </c>
      <c r="F2647" t="inlineStr">
        <is>
          <t>GÄVLEBORGS LÄN</t>
        </is>
      </c>
      <c r="G2647" t="inlineStr">
        <is>
          <t>HOFORS</t>
        </is>
      </c>
      <c r="I2647" t="n">
        <v>5</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2604-2026</t>
        </is>
      </c>
      <c r="B2648" t="inlineStr">
        <is>
          <t>avverkningsanmälan</t>
        </is>
      </c>
      <c r="C2648" t="inlineStr">
        <is>
          <t>Föryngringsavverkning</t>
        </is>
      </c>
      <c r="D2648" s="1" t="n">
        <v>46037</v>
      </c>
      <c r="E2648" s="1" t="n">
        <v>46326</v>
      </c>
      <c r="F2648" t="inlineStr">
        <is>
          <t>GÄVLEBORGS LÄN</t>
        </is>
      </c>
      <c r="G2648" t="inlineStr">
        <is>
          <t>OVANÅKER</t>
        </is>
      </c>
      <c r="I2648" t="n">
        <v>10.4</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562-2026</t>
        </is>
      </c>
      <c r="B2649" t="inlineStr">
        <is>
          <t>avverkningsanmälan</t>
        </is>
      </c>
      <c r="C2649" t="inlineStr">
        <is>
          <t>Föryngringsavverkning</t>
        </is>
      </c>
      <c r="D2649" s="1" t="n">
        <v>46029</v>
      </c>
      <c r="E2649" s="1" t="n">
        <v>46326</v>
      </c>
      <c r="F2649" t="inlineStr">
        <is>
          <t>GÄVLEBORGS LÄN</t>
        </is>
      </c>
      <c r="G2649" t="inlineStr">
        <is>
          <t>BOLLNÄS</t>
        </is>
      </c>
      <c r="I2649" t="n">
        <v>24.3</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2220-2026</t>
        </is>
      </c>
      <c r="B2650" t="inlineStr">
        <is>
          <t>avverkningsanmälan</t>
        </is>
      </c>
      <c r="C2650" t="inlineStr">
        <is>
          <t>Föryngringsavverkning</t>
        </is>
      </c>
      <c r="D2650" s="1" t="n">
        <v>46036</v>
      </c>
      <c r="E2650" s="1" t="n">
        <v>46326</v>
      </c>
      <c r="F2650" t="inlineStr">
        <is>
          <t>GÄVLEBORGS LÄN</t>
        </is>
      </c>
      <c r="G2650" t="inlineStr">
        <is>
          <t>HOFORS</t>
        </is>
      </c>
      <c r="I2650" t="n">
        <v>0.6</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2180-2026</t>
        </is>
      </c>
      <c r="B2651" t="inlineStr">
        <is>
          <t>avverkningsanmälan</t>
        </is>
      </c>
      <c r="C2651" t="inlineStr">
        <is>
          <t>Föryngringsavverkning</t>
        </is>
      </c>
      <c r="D2651" s="1" t="n">
        <v>46036</v>
      </c>
      <c r="E2651" s="1" t="n">
        <v>46326</v>
      </c>
      <c r="F2651" t="inlineStr">
        <is>
          <t>GÄVLEBORGS LÄN</t>
        </is>
      </c>
      <c r="G2651" t="inlineStr">
        <is>
          <t>SANDVIKEN</t>
        </is>
      </c>
      <c r="I2651" t="n">
        <v>2.9</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2144-2026</t>
        </is>
      </c>
      <c r="B2652" t="inlineStr">
        <is>
          <t>avverkningsanmälan</t>
        </is>
      </c>
      <c r="C2652" t="inlineStr">
        <is>
          <t>Föryngringsavverkning</t>
        </is>
      </c>
      <c r="D2652" s="1" t="n">
        <v>46036</v>
      </c>
      <c r="E2652" s="1" t="n">
        <v>46326</v>
      </c>
      <c r="F2652" t="inlineStr">
        <is>
          <t>GÄVLEBORGS LÄN</t>
        </is>
      </c>
      <c r="G2652" t="inlineStr">
        <is>
          <t>OVANÅKER</t>
        </is>
      </c>
      <c r="I2652" t="n">
        <v>3.8</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2207-2026</t>
        </is>
      </c>
      <c r="B2653" t="inlineStr">
        <is>
          <t>avverkningsanmälan</t>
        </is>
      </c>
      <c r="C2653" t="inlineStr">
        <is>
          <t>Föryngringsavverkning</t>
        </is>
      </c>
      <c r="D2653" s="1" t="n">
        <v>46036</v>
      </c>
      <c r="E2653" s="1" t="n">
        <v>46326</v>
      </c>
      <c r="F2653" t="inlineStr">
        <is>
          <t>GÄVLEBORGS LÄN</t>
        </is>
      </c>
      <c r="G2653" t="inlineStr">
        <is>
          <t>OCKELBO</t>
        </is>
      </c>
      <c r="I2653" t="n">
        <v>16</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2619-2026</t>
        </is>
      </c>
      <c r="B2654" t="inlineStr">
        <is>
          <t>avverkningsanmälan</t>
        </is>
      </c>
      <c r="C2654" t="inlineStr">
        <is>
          <t>Föryngringsavverkning</t>
        </is>
      </c>
      <c r="D2654" s="1" t="n">
        <v>46037</v>
      </c>
      <c r="E2654" s="1" t="n">
        <v>46326</v>
      </c>
      <c r="F2654" t="inlineStr">
        <is>
          <t>GÄVLEBORGS LÄN</t>
        </is>
      </c>
      <c r="G2654" t="inlineStr">
        <is>
          <t>SÖDERHAMN</t>
        </is>
      </c>
      <c r="I2654" t="n">
        <v>3.3</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2678-2026</t>
        </is>
      </c>
      <c r="B2655" t="inlineStr">
        <is>
          <t>avverkningsanmälan</t>
        </is>
      </c>
      <c r="C2655" t="inlineStr">
        <is>
          <t>Föryngringsavverkning</t>
        </is>
      </c>
      <c r="D2655" s="1" t="n">
        <v>46037</v>
      </c>
      <c r="E2655" s="1" t="n">
        <v>46326</v>
      </c>
      <c r="F2655" t="inlineStr">
        <is>
          <t>GÄVLEBORGS LÄN</t>
        </is>
      </c>
      <c r="G2655" t="inlineStr">
        <is>
          <t>OVANÅKER</t>
        </is>
      </c>
      <c r="I2655" t="n">
        <v>1.4</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2621-2026</t>
        </is>
      </c>
      <c r="B2656" t="inlineStr">
        <is>
          <t>avverkningsanmälan</t>
        </is>
      </c>
      <c r="C2656" t="inlineStr">
        <is>
          <t>Föryngringsavverkning</t>
        </is>
      </c>
      <c r="D2656" s="1" t="n">
        <v>46037</v>
      </c>
      <c r="E2656" s="1" t="n">
        <v>46326</v>
      </c>
      <c r="F2656" t="inlineStr">
        <is>
          <t>GÄVLEBORGS LÄN</t>
        </is>
      </c>
      <c r="G2656" t="inlineStr">
        <is>
          <t>SÖDERHAMN</t>
        </is>
      </c>
      <c r="I2656" t="n">
        <v>0.8</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29338-2025</t>
        </is>
      </c>
      <c r="B2657" t="inlineStr">
        <is>
          <t>avverkningsanmälan</t>
        </is>
      </c>
      <c r="C2657" t="inlineStr">
        <is>
          <t>Föryngringsavverkning</t>
        </is>
      </c>
      <c r="D2657" s="1" t="n">
        <v>45824</v>
      </c>
      <c r="E2657" s="1" t="n">
        <v>46326</v>
      </c>
      <c r="F2657" t="inlineStr">
        <is>
          <t>GÄVLEBORGS LÄN</t>
        </is>
      </c>
      <c r="G2657" t="inlineStr">
        <is>
          <t>HUDIKSVALL</t>
        </is>
      </c>
      <c r="H2657" t="inlineStr">
        <is>
          <t>Holmen skog AB</t>
        </is>
      </c>
      <c r="I2657" t="n">
        <v>5.2</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3073-2026</t>
        </is>
      </c>
      <c r="B2658" t="inlineStr">
        <is>
          <t>avverkningsanmälan</t>
        </is>
      </c>
      <c r="C2658" t="inlineStr">
        <is>
          <t>Föryngringsavverkning</t>
        </is>
      </c>
      <c r="D2658" s="1" t="n">
        <v>46040</v>
      </c>
      <c r="E2658" s="1" t="n">
        <v>46326</v>
      </c>
      <c r="F2658" t="inlineStr">
        <is>
          <t>GÄVLEBORGS LÄN</t>
        </is>
      </c>
      <c r="G2658" t="inlineStr">
        <is>
          <t>BOLLNÄS</t>
        </is>
      </c>
      <c r="I2658" t="n">
        <v>3</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3138-2026</t>
        </is>
      </c>
      <c r="B2659" t="inlineStr">
        <is>
          <t>avverkningsanmälan</t>
        </is>
      </c>
      <c r="C2659" t="inlineStr">
        <is>
          <t>Föryngringsavverkning</t>
        </is>
      </c>
      <c r="D2659" s="1" t="n">
        <v>46041</v>
      </c>
      <c r="E2659" s="1" t="n">
        <v>46326</v>
      </c>
      <c r="F2659" t="inlineStr">
        <is>
          <t>GÄVLEBORGS LÄN</t>
        </is>
      </c>
      <c r="G2659" t="inlineStr">
        <is>
          <t>OCKELBO</t>
        </is>
      </c>
      <c r="I2659" t="n">
        <v>2.6</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41302-2025</t>
        </is>
      </c>
      <c r="B2660" t="inlineStr">
        <is>
          <t>avverkningsanmälan</t>
        </is>
      </c>
      <c r="C2660" t="inlineStr">
        <is>
          <t>Föryngringsavverkning</t>
        </is>
      </c>
      <c r="D2660" s="1" t="n">
        <v>45898</v>
      </c>
      <c r="E2660" s="1" t="n">
        <v>46326</v>
      </c>
      <c r="F2660" t="inlineStr">
        <is>
          <t>GÄVLEBORGS LÄN</t>
        </is>
      </c>
      <c r="G2660" t="inlineStr">
        <is>
          <t>GÄVLE</t>
        </is>
      </c>
      <c r="H2660" t="inlineStr">
        <is>
          <t>Bergvik skog väst AB</t>
        </is>
      </c>
      <c r="I2660" t="n">
        <v>9.699999999999999</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41515-2025</t>
        </is>
      </c>
      <c r="B2661" t="inlineStr">
        <is>
          <t>avverkningsanmälan</t>
        </is>
      </c>
      <c r="C2661" t="inlineStr">
        <is>
          <t>Föryngringsavverkning</t>
        </is>
      </c>
      <c r="D2661" s="1" t="n">
        <v>45901</v>
      </c>
      <c r="E2661" s="1" t="n">
        <v>46326</v>
      </c>
      <c r="F2661" t="inlineStr">
        <is>
          <t>GÄVLEBORGS LÄN</t>
        </is>
      </c>
      <c r="G2661" t="inlineStr">
        <is>
          <t>HUDIKSVALL</t>
        </is>
      </c>
      <c r="I2661" t="n">
        <v>2</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2737-2026</t>
        </is>
      </c>
      <c r="B2662" t="inlineStr">
        <is>
          <t>avverkningsanmälan</t>
        </is>
      </c>
      <c r="C2662" t="inlineStr">
        <is>
          <t>Föryngringsavverkning</t>
        </is>
      </c>
      <c r="D2662" s="1" t="n">
        <v>46038</v>
      </c>
      <c r="E2662" s="1" t="n">
        <v>46326</v>
      </c>
      <c r="F2662" t="inlineStr">
        <is>
          <t>GÄVLEBORGS LÄN</t>
        </is>
      </c>
      <c r="G2662" t="inlineStr">
        <is>
          <t>BOLLNÄS</t>
        </is>
      </c>
      <c r="I2662" t="n">
        <v>0.5</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2741-2026</t>
        </is>
      </c>
      <c r="B2663" t="inlineStr">
        <is>
          <t>avverkningsanmälan</t>
        </is>
      </c>
      <c r="C2663" t="inlineStr">
        <is>
          <t>Föryngringsavverkning</t>
        </is>
      </c>
      <c r="D2663" s="1" t="n">
        <v>46038</v>
      </c>
      <c r="E2663" s="1" t="n">
        <v>46326</v>
      </c>
      <c r="F2663" t="inlineStr">
        <is>
          <t>GÄVLEBORGS LÄN</t>
        </is>
      </c>
      <c r="G2663" t="inlineStr">
        <is>
          <t>BOLLNÄS</t>
        </is>
      </c>
      <c r="I2663" t="n">
        <v>2.7</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3160-2026</t>
        </is>
      </c>
      <c r="B2664" t="inlineStr">
        <is>
          <t>avverkningsanmälan</t>
        </is>
      </c>
      <c r="C2664" t="inlineStr">
        <is>
          <t>Föryngringsavverkning</t>
        </is>
      </c>
      <c r="D2664" s="1" t="n">
        <v>46041</v>
      </c>
      <c r="E2664" s="1" t="n">
        <v>46326</v>
      </c>
      <c r="F2664" t="inlineStr">
        <is>
          <t>GÄVLEBORGS LÄN</t>
        </is>
      </c>
      <c r="G2664" t="inlineStr">
        <is>
          <t>OVANÅKER</t>
        </is>
      </c>
      <c r="I2664" t="n">
        <v>0.6</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26302-2025</t>
        </is>
      </c>
      <c r="B2665" t="inlineStr">
        <is>
          <t>avverkningsanmälan</t>
        </is>
      </c>
      <c r="C2665" t="inlineStr">
        <is>
          <t>Avverkning för annat ändamål</t>
        </is>
      </c>
      <c r="D2665" s="1" t="n">
        <v>45805</v>
      </c>
      <c r="E2665" s="1" t="n">
        <v>46326</v>
      </c>
      <c r="F2665" t="inlineStr">
        <is>
          <t>GÄVLEBORGS LÄN</t>
        </is>
      </c>
      <c r="G2665" t="inlineStr">
        <is>
          <t>HOFORS</t>
        </is>
      </c>
      <c r="I2665" t="n">
        <v>5.3</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30307-2025</t>
        </is>
      </c>
      <c r="B2666" t="inlineStr">
        <is>
          <t>avverkningsanmälan</t>
        </is>
      </c>
      <c r="C2666" t="inlineStr">
        <is>
          <t>Föryngringsavverkning</t>
        </is>
      </c>
      <c r="D2666" s="1" t="n">
        <v>45827</v>
      </c>
      <c r="E2666" s="1" t="n">
        <v>46326</v>
      </c>
      <c r="F2666" t="inlineStr">
        <is>
          <t>GÄVLEBORGS LÄN</t>
        </is>
      </c>
      <c r="G2666" t="inlineStr">
        <is>
          <t>HUDIKSVALL</t>
        </is>
      </c>
      <c r="I2666" t="n">
        <v>6</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30309-2025</t>
        </is>
      </c>
      <c r="B2667" t="inlineStr">
        <is>
          <t>avverkningsanmälan</t>
        </is>
      </c>
      <c r="C2667" t="inlineStr">
        <is>
          <t>Föryngringsavverkning</t>
        </is>
      </c>
      <c r="D2667" s="1" t="n">
        <v>45827</v>
      </c>
      <c r="E2667" s="1" t="n">
        <v>46326</v>
      </c>
      <c r="F2667" t="inlineStr">
        <is>
          <t>GÄVLEBORGS LÄN</t>
        </is>
      </c>
      <c r="G2667" t="inlineStr">
        <is>
          <t>HUDIKSVALL</t>
        </is>
      </c>
      <c r="I2667" t="n">
        <v>5.7</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3232-2026</t>
        </is>
      </c>
      <c r="B2668" t="inlineStr">
        <is>
          <t>avverkningsanmälan</t>
        </is>
      </c>
      <c r="C2668" t="inlineStr">
        <is>
          <t>Föryngringsavverkning</t>
        </is>
      </c>
      <c r="D2668" s="1" t="n">
        <v>46041</v>
      </c>
      <c r="E2668" s="1" t="n">
        <v>46326</v>
      </c>
      <c r="F2668" t="inlineStr">
        <is>
          <t>GÄVLEBORGS LÄN</t>
        </is>
      </c>
      <c r="G2668" t="inlineStr">
        <is>
          <t>NORDANSTIG</t>
        </is>
      </c>
      <c r="I2668" t="n">
        <v>6.1</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2743-2026</t>
        </is>
      </c>
      <c r="B2669" t="inlineStr">
        <is>
          <t>avverkningsanmälan</t>
        </is>
      </c>
      <c r="C2669" t="inlineStr">
        <is>
          <t>Föryngringsavverkning</t>
        </is>
      </c>
      <c r="D2669" s="1" t="n">
        <v>46038</v>
      </c>
      <c r="E2669" s="1" t="n">
        <v>46326</v>
      </c>
      <c r="F2669" t="inlineStr">
        <is>
          <t>GÄVLEBORGS LÄN</t>
        </is>
      </c>
      <c r="G2669" t="inlineStr">
        <is>
          <t>BOLLNÄS</t>
        </is>
      </c>
      <c r="I2669" t="n">
        <v>4.4</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3126-2026</t>
        </is>
      </c>
      <c r="B2670" t="inlineStr">
        <is>
          <t>avverkningsanmälan</t>
        </is>
      </c>
      <c r="C2670" t="inlineStr">
        <is>
          <t>Föryngringsavverkning</t>
        </is>
      </c>
      <c r="D2670" s="1" t="n">
        <v>46041</v>
      </c>
      <c r="E2670" s="1" t="n">
        <v>46326</v>
      </c>
      <c r="F2670" t="inlineStr">
        <is>
          <t>GÄVLEBORGS LÄN</t>
        </is>
      </c>
      <c r="G2670" t="inlineStr">
        <is>
          <t>OVANÅKER</t>
        </is>
      </c>
      <c r="I2670" t="n">
        <v>5.2</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3121-2026</t>
        </is>
      </c>
      <c r="B2671" t="inlineStr">
        <is>
          <t>avverkningsanmälan</t>
        </is>
      </c>
      <c r="C2671" t="inlineStr">
        <is>
          <t>Föryngringsavverkning</t>
        </is>
      </c>
      <c r="D2671" s="1" t="n">
        <v>46041</v>
      </c>
      <c r="E2671" s="1" t="n">
        <v>46326</v>
      </c>
      <c r="F2671" t="inlineStr">
        <is>
          <t>GÄVLEBORGS LÄN</t>
        </is>
      </c>
      <c r="G2671" t="inlineStr">
        <is>
          <t>BOLLNÄS</t>
        </is>
      </c>
      <c r="I2671" t="n">
        <v>8.300000000000001</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19762-2024</t>
        </is>
      </c>
      <c r="B2672" t="inlineStr">
        <is>
          <t>avverkningsanmälan</t>
        </is>
      </c>
      <c r="C2672" t="inlineStr">
        <is>
          <t>Föryngringsavverkning</t>
        </is>
      </c>
      <c r="D2672" s="1" t="n">
        <v>45432</v>
      </c>
      <c r="E2672" s="1" t="n">
        <v>46326</v>
      </c>
      <c r="F2672" t="inlineStr">
        <is>
          <t>GÄVLEBORGS LÄN</t>
        </is>
      </c>
      <c r="G2672" t="inlineStr">
        <is>
          <t>OCKELBO</t>
        </is>
      </c>
      <c r="I2672" t="n">
        <v>3.5</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3089-2026</t>
        </is>
      </c>
      <c r="B2673" t="inlineStr">
        <is>
          <t>avverkningsanmälan</t>
        </is>
      </c>
      <c r="C2673" t="inlineStr">
        <is>
          <t>Föryngringsavverkning</t>
        </is>
      </c>
      <c r="D2673" s="1" t="n">
        <v>46040</v>
      </c>
      <c r="E2673" s="1" t="n">
        <v>46326</v>
      </c>
      <c r="F2673" t="inlineStr">
        <is>
          <t>GÄVLEBORGS LÄN</t>
        </is>
      </c>
      <c r="G2673" t="inlineStr">
        <is>
          <t>BOLLNÄS</t>
        </is>
      </c>
      <c r="I2673" t="n">
        <v>2.1</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2793-2026</t>
        </is>
      </c>
      <c r="B2674" t="inlineStr">
        <is>
          <t>avverkningsanmälan</t>
        </is>
      </c>
      <c r="C2674" t="inlineStr">
        <is>
          <t>Föryngringsavverkning</t>
        </is>
      </c>
      <c r="D2674" s="1" t="n">
        <v>46038</v>
      </c>
      <c r="E2674" s="1" t="n">
        <v>46326</v>
      </c>
      <c r="F2674" t="inlineStr">
        <is>
          <t>GÄVLEBORGS LÄN</t>
        </is>
      </c>
      <c r="G2674" t="inlineStr">
        <is>
          <t>HUDIKSVALL</t>
        </is>
      </c>
      <c r="I2674" t="n">
        <v>0.5</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2797-2026</t>
        </is>
      </c>
      <c r="B2675" t="inlineStr">
        <is>
          <t>avverkningsanmälan</t>
        </is>
      </c>
      <c r="C2675" t="inlineStr">
        <is>
          <t>Föryngringsavverkning</t>
        </is>
      </c>
      <c r="D2675" s="1" t="n">
        <v>46038</v>
      </c>
      <c r="E2675" s="1" t="n">
        <v>46326</v>
      </c>
      <c r="F2675" t="inlineStr">
        <is>
          <t>GÄVLEBORGS LÄN</t>
        </is>
      </c>
      <c r="G2675" t="inlineStr">
        <is>
          <t>HUDIKSVALL</t>
        </is>
      </c>
      <c r="I2675" t="n">
        <v>0.9</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41046-2025</t>
        </is>
      </c>
      <c r="B2676" t="inlineStr">
        <is>
          <t>avverkningsanmälan</t>
        </is>
      </c>
      <c r="C2676" t="inlineStr">
        <is>
          <t>Föryngringsavverkning</t>
        </is>
      </c>
      <c r="D2676" s="1" t="n">
        <v>45898</v>
      </c>
      <c r="E2676" s="1" t="n">
        <v>46326</v>
      </c>
      <c r="F2676" t="inlineStr">
        <is>
          <t>GÄVLEBORGS LÄN</t>
        </is>
      </c>
      <c r="G2676" t="inlineStr">
        <is>
          <t>GÄVLE</t>
        </is>
      </c>
      <c r="H2676" t="inlineStr">
        <is>
          <t>Bergvik skog väst AB</t>
        </is>
      </c>
      <c r="I2676" t="n">
        <v>6.5</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3072-2026</t>
        </is>
      </c>
      <c r="B2677" t="inlineStr">
        <is>
          <t>avverkningsanmälan</t>
        </is>
      </c>
      <c r="C2677" t="inlineStr">
        <is>
          <t>Föryngringsavverkning</t>
        </is>
      </c>
      <c r="D2677" s="1" t="n">
        <v>46040</v>
      </c>
      <c r="E2677" s="1" t="n">
        <v>46326</v>
      </c>
      <c r="F2677" t="inlineStr">
        <is>
          <t>GÄVLEBORGS LÄN</t>
        </is>
      </c>
      <c r="G2677" t="inlineStr">
        <is>
          <t>BOLLNÄS</t>
        </is>
      </c>
      <c r="I2677" t="n">
        <v>5</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3076-2026</t>
        </is>
      </c>
      <c r="B2678" t="inlineStr">
        <is>
          <t>avverkningsanmälan</t>
        </is>
      </c>
      <c r="C2678" t="inlineStr">
        <is>
          <t>Föryngringsavverkning</t>
        </is>
      </c>
      <c r="D2678" s="1" t="n">
        <v>46040</v>
      </c>
      <c r="E2678" s="1" t="n">
        <v>46326</v>
      </c>
      <c r="F2678" t="inlineStr">
        <is>
          <t>GÄVLEBORGS LÄN</t>
        </is>
      </c>
      <c r="G2678" t="inlineStr">
        <is>
          <t>BOLLNÄS</t>
        </is>
      </c>
      <c r="I2678" t="n">
        <v>5.6</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3077-2026</t>
        </is>
      </c>
      <c r="B2679" t="inlineStr">
        <is>
          <t>avverkningsanmälan</t>
        </is>
      </c>
      <c r="C2679" t="inlineStr">
        <is>
          <t>Föryngringsavverkning</t>
        </is>
      </c>
      <c r="D2679" s="1" t="n">
        <v>46040</v>
      </c>
      <c r="E2679" s="1" t="n">
        <v>46326</v>
      </c>
      <c r="F2679" t="inlineStr">
        <is>
          <t>GÄVLEBORGS LÄN</t>
        </is>
      </c>
      <c r="G2679" t="inlineStr">
        <is>
          <t>BOLLNÄS</t>
        </is>
      </c>
      <c r="I2679" t="n">
        <v>31.3</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53867-2024</t>
        </is>
      </c>
      <c r="B2680" t="inlineStr">
        <is>
          <t>avverkningsanmälan</t>
        </is>
      </c>
      <c r="C2680" t="inlineStr">
        <is>
          <t>Föryngringsavverkning</t>
        </is>
      </c>
      <c r="D2680" s="1" t="n">
        <v>45615</v>
      </c>
      <c r="E2680" s="1" t="n">
        <v>46326</v>
      </c>
      <c r="F2680" t="inlineStr">
        <is>
          <t>GÄVLEBORGS LÄN</t>
        </is>
      </c>
      <c r="G2680" t="inlineStr">
        <is>
          <t>SANDVIKEN</t>
        </is>
      </c>
      <c r="I2680" t="n">
        <v>0.7</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41504-2025</t>
        </is>
      </c>
      <c r="B2681" t="inlineStr">
        <is>
          <t>avverkningsanmälan</t>
        </is>
      </c>
      <c r="C2681" t="inlineStr">
        <is>
          <t>Föryngringsavverkning</t>
        </is>
      </c>
      <c r="D2681" s="1" t="n">
        <v>45901</v>
      </c>
      <c r="E2681" s="1" t="n">
        <v>46326</v>
      </c>
      <c r="F2681" t="inlineStr">
        <is>
          <t>GÄVLEBORGS LÄN</t>
        </is>
      </c>
      <c r="G2681" t="inlineStr">
        <is>
          <t>BOLLNÄS</t>
        </is>
      </c>
      <c r="I2681" t="n">
        <v>0.8</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30179-2025</t>
        </is>
      </c>
      <c r="B2682" t="inlineStr">
        <is>
          <t>avverkningsanmälan</t>
        </is>
      </c>
      <c r="C2682" t="inlineStr">
        <is>
          <t>Föryngringsavverkning</t>
        </is>
      </c>
      <c r="D2682" s="1" t="n">
        <v>45827</v>
      </c>
      <c r="E2682" s="1" t="n">
        <v>46326</v>
      </c>
      <c r="F2682" t="inlineStr">
        <is>
          <t>GÄVLEBORGS LÄN</t>
        </is>
      </c>
      <c r="G2682" t="inlineStr">
        <is>
          <t>OCKELBO</t>
        </is>
      </c>
      <c r="H2682" t="inlineStr">
        <is>
          <t>Bergvik skog väst AB</t>
        </is>
      </c>
      <c r="I2682" t="n">
        <v>1.2</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29855-2025</t>
        </is>
      </c>
      <c r="B2683" t="inlineStr">
        <is>
          <t>avverkningsanmälan</t>
        </is>
      </c>
      <c r="C2683" t="inlineStr">
        <is>
          <t>Föryngringsavverkning</t>
        </is>
      </c>
      <c r="D2683" s="1" t="n">
        <v>45826</v>
      </c>
      <c r="E2683" s="1" t="n">
        <v>46326</v>
      </c>
      <c r="F2683" t="inlineStr">
        <is>
          <t>GÄVLEBORGS LÄN</t>
        </is>
      </c>
      <c r="G2683" t="inlineStr">
        <is>
          <t>OVANÅKER</t>
        </is>
      </c>
      <c r="H2683" t="inlineStr">
        <is>
          <t>Bergvik skog väst AB</t>
        </is>
      </c>
      <c r="I2683" t="n">
        <v>1.2</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29887-2025</t>
        </is>
      </c>
      <c r="B2684" t="inlineStr">
        <is>
          <t>avverkningsanmälan</t>
        </is>
      </c>
      <c r="C2684" t="inlineStr">
        <is>
          <t>Föryngringsavverkning</t>
        </is>
      </c>
      <c r="D2684" s="1" t="n">
        <v>45826</v>
      </c>
      <c r="E2684" s="1" t="n">
        <v>46326</v>
      </c>
      <c r="F2684" t="inlineStr">
        <is>
          <t>GÄVLEBORGS LÄN</t>
        </is>
      </c>
      <c r="G2684" t="inlineStr">
        <is>
          <t>OVANÅKER</t>
        </is>
      </c>
      <c r="H2684" t="inlineStr">
        <is>
          <t>Holmen skog AB</t>
        </is>
      </c>
      <c r="I2684" t="n">
        <v>13.7</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29922-2025</t>
        </is>
      </c>
      <c r="B2685" t="inlineStr">
        <is>
          <t>avverkningsanmälan</t>
        </is>
      </c>
      <c r="C2685" t="inlineStr">
        <is>
          <t>Föryngringsavverkning</t>
        </is>
      </c>
      <c r="D2685" s="1" t="n">
        <v>45826</v>
      </c>
      <c r="E2685" s="1" t="n">
        <v>46326</v>
      </c>
      <c r="F2685" t="inlineStr">
        <is>
          <t>GÄVLEBORGS LÄN</t>
        </is>
      </c>
      <c r="G2685" t="inlineStr">
        <is>
          <t>OVANÅKER</t>
        </is>
      </c>
      <c r="H2685" t="inlineStr">
        <is>
          <t>Holmen skog AB</t>
        </is>
      </c>
      <c r="I2685" t="n">
        <v>30</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30292-2025</t>
        </is>
      </c>
      <c r="B2686" t="inlineStr">
        <is>
          <t>avverkningsanmälan</t>
        </is>
      </c>
      <c r="C2686" t="inlineStr">
        <is>
          <t>Föryngringsavverkning</t>
        </is>
      </c>
      <c r="D2686" s="1" t="n">
        <v>45827</v>
      </c>
      <c r="E2686" s="1" t="n">
        <v>46326</v>
      </c>
      <c r="F2686" t="inlineStr">
        <is>
          <t>GÄVLEBORGS LÄN</t>
        </is>
      </c>
      <c r="G2686" t="inlineStr">
        <is>
          <t>BOLLNÄS</t>
        </is>
      </c>
      <c r="I2686" t="n">
        <v>3.6</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30301-2025</t>
        </is>
      </c>
      <c r="B2687" t="inlineStr">
        <is>
          <t>avverkningsanmälan</t>
        </is>
      </c>
      <c r="C2687" t="inlineStr">
        <is>
          <t>Föryngringsavverkning</t>
        </is>
      </c>
      <c r="D2687" s="1" t="n">
        <v>45827</v>
      </c>
      <c r="E2687" s="1" t="n">
        <v>46326</v>
      </c>
      <c r="F2687" t="inlineStr">
        <is>
          <t>GÄVLEBORGS LÄN</t>
        </is>
      </c>
      <c r="G2687" t="inlineStr">
        <is>
          <t>GÄVLE</t>
        </is>
      </c>
      <c r="I2687" t="n">
        <v>1.7</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3094-2026</t>
        </is>
      </c>
      <c r="B2688" t="inlineStr">
        <is>
          <t>avverkningsanmälan</t>
        </is>
      </c>
      <c r="C2688" t="inlineStr">
        <is>
          <t>Föryngringsavverkning</t>
        </is>
      </c>
      <c r="D2688" s="1" t="n">
        <v>46040</v>
      </c>
      <c r="E2688" s="1" t="n">
        <v>46326</v>
      </c>
      <c r="F2688" t="inlineStr">
        <is>
          <t>GÄVLEBORGS LÄN</t>
        </is>
      </c>
      <c r="G2688" t="inlineStr">
        <is>
          <t>BOLLNÄS</t>
        </is>
      </c>
      <c r="I2688" t="n">
        <v>1.5</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3099-2026</t>
        </is>
      </c>
      <c r="B2689" t="inlineStr">
        <is>
          <t>avverkningsanmälan</t>
        </is>
      </c>
      <c r="C2689" t="inlineStr">
        <is>
          <t>Föryngringsavverkning</t>
        </is>
      </c>
      <c r="D2689" s="1" t="n">
        <v>46041</v>
      </c>
      <c r="E2689" s="1" t="n">
        <v>46326</v>
      </c>
      <c r="F2689" t="inlineStr">
        <is>
          <t>GÄVLEBORGS LÄN</t>
        </is>
      </c>
      <c r="G2689" t="inlineStr">
        <is>
          <t>BOLLNÄS</t>
        </is>
      </c>
      <c r="I2689" t="n">
        <v>1.7</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2972-2026</t>
        </is>
      </c>
      <c r="B2690" t="inlineStr">
        <is>
          <t>avverkningsanmälan</t>
        </is>
      </c>
      <c r="C2690" t="inlineStr">
        <is>
          <t>Föryngringsavverkning</t>
        </is>
      </c>
      <c r="D2690" s="1" t="n">
        <v>46038</v>
      </c>
      <c r="E2690" s="1" t="n">
        <v>46326</v>
      </c>
      <c r="F2690" t="inlineStr">
        <is>
          <t>GÄVLEBORGS LÄN</t>
        </is>
      </c>
      <c r="G2690" t="inlineStr">
        <is>
          <t>HUDIKSVALL</t>
        </is>
      </c>
      <c r="I2690" t="n">
        <v>7.3</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3017-2026</t>
        </is>
      </c>
      <c r="B2691" t="inlineStr">
        <is>
          <t>avverkningsanmälan</t>
        </is>
      </c>
      <c r="C2691" t="inlineStr">
        <is>
          <t>Föryngringsavverkning</t>
        </is>
      </c>
      <c r="D2691" s="1" t="n">
        <v>46038</v>
      </c>
      <c r="E2691" s="1" t="n">
        <v>46326</v>
      </c>
      <c r="F2691" t="inlineStr">
        <is>
          <t>GÄVLEBORGS LÄN</t>
        </is>
      </c>
      <c r="G2691" t="inlineStr">
        <is>
          <t>BOLLNÄS</t>
        </is>
      </c>
      <c r="I2691" t="n">
        <v>4.2</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3070-2026</t>
        </is>
      </c>
      <c r="B2692" t="inlineStr">
        <is>
          <t>avverkningsanmälan</t>
        </is>
      </c>
      <c r="C2692" t="inlineStr">
        <is>
          <t>Föryngringsavverkning</t>
        </is>
      </c>
      <c r="D2692" s="1" t="n">
        <v>46040</v>
      </c>
      <c r="E2692" s="1" t="n">
        <v>46326</v>
      </c>
      <c r="F2692" t="inlineStr">
        <is>
          <t>GÄVLEBORGS LÄN</t>
        </is>
      </c>
      <c r="G2692" t="inlineStr">
        <is>
          <t>BOLLNÄS</t>
        </is>
      </c>
      <c r="I2692" t="n">
        <v>1.3</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3080-2026</t>
        </is>
      </c>
      <c r="B2693" t="inlineStr">
        <is>
          <t>avverkningsanmälan</t>
        </is>
      </c>
      <c r="C2693" t="inlineStr">
        <is>
          <t>Föryngringsavverkning</t>
        </is>
      </c>
      <c r="D2693" s="1" t="n">
        <v>46040</v>
      </c>
      <c r="E2693" s="1" t="n">
        <v>46326</v>
      </c>
      <c r="F2693" t="inlineStr">
        <is>
          <t>GÄVLEBORGS LÄN</t>
        </is>
      </c>
      <c r="G2693" t="inlineStr">
        <is>
          <t>BOLLNÄS</t>
        </is>
      </c>
      <c r="I2693" t="n">
        <v>1.2</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3020-2026</t>
        </is>
      </c>
      <c r="B2694" t="inlineStr">
        <is>
          <t>avverkningsanmälan</t>
        </is>
      </c>
      <c r="C2694" t="inlineStr">
        <is>
          <t>Föryngringsavverkning</t>
        </is>
      </c>
      <c r="D2694" s="1" t="n">
        <v>46038</v>
      </c>
      <c r="E2694" s="1" t="n">
        <v>46326</v>
      </c>
      <c r="F2694" t="inlineStr">
        <is>
          <t>GÄVLEBORGS LÄN</t>
        </is>
      </c>
      <c r="G2694" t="inlineStr">
        <is>
          <t>LJUSDAL</t>
        </is>
      </c>
      <c r="I2694" t="n">
        <v>3.4</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2739-2026</t>
        </is>
      </c>
      <c r="B2695" t="inlineStr">
        <is>
          <t>avverkningsanmälan</t>
        </is>
      </c>
      <c r="C2695" t="inlineStr">
        <is>
          <t>Föryngringsavverkning</t>
        </is>
      </c>
      <c r="D2695" s="1" t="n">
        <v>46038</v>
      </c>
      <c r="E2695" s="1" t="n">
        <v>46326</v>
      </c>
      <c r="F2695" t="inlineStr">
        <is>
          <t>GÄVLEBORGS LÄN</t>
        </is>
      </c>
      <c r="G2695" t="inlineStr">
        <is>
          <t>BOLLNÄS</t>
        </is>
      </c>
      <c r="I2695" t="n">
        <v>3.8</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2795-2026</t>
        </is>
      </c>
      <c r="B2696" t="inlineStr">
        <is>
          <t>avverkningsanmälan</t>
        </is>
      </c>
      <c r="C2696" t="inlineStr">
        <is>
          <t>Föryngringsavverkning</t>
        </is>
      </c>
      <c r="D2696" s="1" t="n">
        <v>46038</v>
      </c>
      <c r="E2696" s="1" t="n">
        <v>46326</v>
      </c>
      <c r="F2696" t="inlineStr">
        <is>
          <t>GÄVLEBORGS LÄN</t>
        </is>
      </c>
      <c r="G2696" t="inlineStr">
        <is>
          <t>BOLLNÄS</t>
        </is>
      </c>
      <c r="I2696" t="n">
        <v>1.7</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2801-2026</t>
        </is>
      </c>
      <c r="B2697" t="inlineStr">
        <is>
          <t>avverkningsanmälan</t>
        </is>
      </c>
      <c r="C2697" t="inlineStr">
        <is>
          <t>Föryngringsavverkning</t>
        </is>
      </c>
      <c r="D2697" s="1" t="n">
        <v>46038</v>
      </c>
      <c r="E2697" s="1" t="n">
        <v>46326</v>
      </c>
      <c r="F2697" t="inlineStr">
        <is>
          <t>GÄVLEBORGS LÄN</t>
        </is>
      </c>
      <c r="G2697" t="inlineStr">
        <is>
          <t>HUDIKSVALL</t>
        </is>
      </c>
      <c r="I2697" t="n">
        <v>2.2</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2833-2026</t>
        </is>
      </c>
      <c r="B2698" t="inlineStr">
        <is>
          <t>avverkningsanmälan</t>
        </is>
      </c>
      <c r="C2698" t="inlineStr">
        <is>
          <t>Föryngringsavverkning</t>
        </is>
      </c>
      <c r="D2698" s="1" t="n">
        <v>46038</v>
      </c>
      <c r="E2698" s="1" t="n">
        <v>46326</v>
      </c>
      <c r="F2698" t="inlineStr">
        <is>
          <t>GÄVLEBORGS LÄN</t>
        </is>
      </c>
      <c r="G2698" t="inlineStr">
        <is>
          <t>OVANÅKER</t>
        </is>
      </c>
      <c r="I2698" t="n">
        <v>1.4</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15939-2025</t>
        </is>
      </c>
      <c r="B2699" t="inlineStr">
        <is>
          <t>avverkningsanmälan</t>
        </is>
      </c>
      <c r="C2699" t="inlineStr">
        <is>
          <t>Föryngringsavverkning</t>
        </is>
      </c>
      <c r="D2699" s="1" t="n">
        <v>45749</v>
      </c>
      <c r="E2699" s="1" t="n">
        <v>46326</v>
      </c>
      <c r="F2699" t="inlineStr">
        <is>
          <t>GÄVLEBORGS LÄN</t>
        </is>
      </c>
      <c r="G2699" t="inlineStr">
        <is>
          <t>GÄVLE</t>
        </is>
      </c>
      <c r="H2699" t="inlineStr">
        <is>
          <t>Bergvik skog öst AB</t>
        </is>
      </c>
      <c r="I2699" t="n">
        <v>7</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30331-2025</t>
        </is>
      </c>
      <c r="B2700" t="inlineStr">
        <is>
          <t>avverkningsanmälan</t>
        </is>
      </c>
      <c r="C2700" t="inlineStr">
        <is>
          <t>Föryngringsavverkning</t>
        </is>
      </c>
      <c r="D2700" s="1" t="n">
        <v>45827</v>
      </c>
      <c r="E2700" s="1" t="n">
        <v>46326</v>
      </c>
      <c r="F2700" t="inlineStr">
        <is>
          <t>GÄVLEBORGS LÄN</t>
        </is>
      </c>
      <c r="G2700" t="inlineStr">
        <is>
          <t>OCKELBO</t>
        </is>
      </c>
      <c r="I2700" t="n">
        <v>1.5</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30202-2025</t>
        </is>
      </c>
      <c r="B2701" t="inlineStr">
        <is>
          <t>avverkningsanmälan</t>
        </is>
      </c>
      <c r="C2701" t="inlineStr">
        <is>
          <t>Avverkning för annat ändamål</t>
        </is>
      </c>
      <c r="D2701" s="1" t="n">
        <v>45827</v>
      </c>
      <c r="E2701" s="1" t="n">
        <v>46326</v>
      </c>
      <c r="F2701" t="inlineStr">
        <is>
          <t>GÄVLEBORGS LÄN</t>
        </is>
      </c>
      <c r="G2701" t="inlineStr">
        <is>
          <t>GÄVLE</t>
        </is>
      </c>
      <c r="I2701" t="n">
        <v>1</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30229-2025</t>
        </is>
      </c>
      <c r="B2702" t="inlineStr">
        <is>
          <t>avverkningsanmälan</t>
        </is>
      </c>
      <c r="C2702" t="inlineStr">
        <is>
          <t>Föryngringsavverkning</t>
        </is>
      </c>
      <c r="D2702" s="1" t="n">
        <v>45827</v>
      </c>
      <c r="E2702" s="1" t="n">
        <v>46326</v>
      </c>
      <c r="F2702" t="inlineStr">
        <is>
          <t>GÄVLEBORGS LÄN</t>
        </is>
      </c>
      <c r="G2702" t="inlineStr">
        <is>
          <t>OCKELBO</t>
        </is>
      </c>
      <c r="H2702" t="inlineStr">
        <is>
          <t>Bergvik skog väst AB</t>
        </is>
      </c>
      <c r="I2702" t="n">
        <v>5.3</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30082-2025</t>
        </is>
      </c>
      <c r="B2703" t="inlineStr">
        <is>
          <t>avverkningsanmälan</t>
        </is>
      </c>
      <c r="C2703" t="inlineStr">
        <is>
          <t>Föryngringsavverkning</t>
        </is>
      </c>
      <c r="D2703" s="1" t="n">
        <v>45826</v>
      </c>
      <c r="E2703" s="1" t="n">
        <v>46326</v>
      </c>
      <c r="F2703" t="inlineStr">
        <is>
          <t>GÄVLEBORGS LÄN</t>
        </is>
      </c>
      <c r="G2703" t="inlineStr">
        <is>
          <t>LJUSDAL</t>
        </is>
      </c>
      <c r="H2703" t="inlineStr">
        <is>
          <t>Holmen skog AB</t>
        </is>
      </c>
      <c r="I2703" t="n">
        <v>1.6</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41156-2025</t>
        </is>
      </c>
      <c r="B2704" t="inlineStr">
        <is>
          <t>avverkningsanmälan</t>
        </is>
      </c>
      <c r="C2704" t="inlineStr">
        <is>
          <t>Föryngringsavverkning</t>
        </is>
      </c>
      <c r="D2704" s="1" t="n">
        <v>45898</v>
      </c>
      <c r="E2704" s="1" t="n">
        <v>46326</v>
      </c>
      <c r="F2704" t="inlineStr">
        <is>
          <t>GÄVLEBORGS LÄN</t>
        </is>
      </c>
      <c r="G2704" t="inlineStr">
        <is>
          <t>HUDIKSVALL</t>
        </is>
      </c>
      <c r="H2704" t="inlineStr">
        <is>
          <t>Holmen skog AB</t>
        </is>
      </c>
      <c r="I2704" t="n">
        <v>5.3</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41164-2025</t>
        </is>
      </c>
      <c r="B2705" t="inlineStr">
        <is>
          <t>avverkningsanmälan</t>
        </is>
      </c>
      <c r="C2705" t="inlineStr">
        <is>
          <t>Föryngringsavverkning</t>
        </is>
      </c>
      <c r="D2705" s="1" t="n">
        <v>45898</v>
      </c>
      <c r="E2705" s="1" t="n">
        <v>46326</v>
      </c>
      <c r="F2705" t="inlineStr">
        <is>
          <t>GÄVLEBORGS LÄN</t>
        </is>
      </c>
      <c r="G2705" t="inlineStr">
        <is>
          <t>HUDIKSVALL</t>
        </is>
      </c>
      <c r="I2705" t="n">
        <v>1.2</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2830-2026</t>
        </is>
      </c>
      <c r="B2706" t="inlineStr">
        <is>
          <t>avverkningsanmälan</t>
        </is>
      </c>
      <c r="C2706" t="inlineStr">
        <is>
          <t>Föryngringsavverkning</t>
        </is>
      </c>
      <c r="D2706" s="1" t="n">
        <v>46038</v>
      </c>
      <c r="E2706" s="1" t="n">
        <v>46326</v>
      </c>
      <c r="F2706" t="inlineStr">
        <is>
          <t>GÄVLEBORGS LÄN</t>
        </is>
      </c>
      <c r="G2706" t="inlineStr">
        <is>
          <t>OVANÅKER</t>
        </is>
      </c>
      <c r="I2706" t="n">
        <v>2.2</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2851-2026</t>
        </is>
      </c>
      <c r="B2707" t="inlineStr">
        <is>
          <t>avverkningsanmälan</t>
        </is>
      </c>
      <c r="C2707" t="inlineStr">
        <is>
          <t>Föryngringsavverkning</t>
        </is>
      </c>
      <c r="D2707" s="1" t="n">
        <v>46038</v>
      </c>
      <c r="E2707" s="1" t="n">
        <v>46326</v>
      </c>
      <c r="F2707" t="inlineStr">
        <is>
          <t>GÄVLEBORGS LÄN</t>
        </is>
      </c>
      <c r="G2707" t="inlineStr">
        <is>
          <t>OVANÅKER</t>
        </is>
      </c>
      <c r="I2707" t="n">
        <v>2.3</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3271-2026</t>
        </is>
      </c>
      <c r="B2708" t="inlineStr">
        <is>
          <t>avverkningsanmälan</t>
        </is>
      </c>
      <c r="C2708" t="inlineStr">
        <is>
          <t>Föryngringsavverkning</t>
        </is>
      </c>
      <c r="D2708" s="1" t="n">
        <v>46041</v>
      </c>
      <c r="E2708" s="1" t="n">
        <v>46326</v>
      </c>
      <c r="F2708" t="inlineStr">
        <is>
          <t>GÄVLEBORGS LÄN</t>
        </is>
      </c>
      <c r="G2708" t="inlineStr">
        <is>
          <t>HUDIKSVALL</t>
        </is>
      </c>
      <c r="I2708" t="n">
        <v>0.7</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3097-2026</t>
        </is>
      </c>
      <c r="B2709" t="inlineStr">
        <is>
          <t>avverkningsanmälan</t>
        </is>
      </c>
      <c r="C2709" t="inlineStr">
        <is>
          <t>Föryngringsavverkning</t>
        </is>
      </c>
      <c r="D2709" s="1" t="n">
        <v>46041</v>
      </c>
      <c r="E2709" s="1" t="n">
        <v>46326</v>
      </c>
      <c r="F2709" t="inlineStr">
        <is>
          <t>GÄVLEBORGS LÄN</t>
        </is>
      </c>
      <c r="G2709" t="inlineStr">
        <is>
          <t>BOLLNÄS</t>
        </is>
      </c>
      <c r="I2709" t="n">
        <v>18</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3118-2026</t>
        </is>
      </c>
      <c r="B2710" t="inlineStr">
        <is>
          <t>avverkningsanmälan</t>
        </is>
      </c>
      <c r="C2710" t="inlineStr">
        <is>
          <t>Föryngringsavverkning</t>
        </is>
      </c>
      <c r="D2710" s="1" t="n">
        <v>46041</v>
      </c>
      <c r="E2710" s="1" t="n">
        <v>46326</v>
      </c>
      <c r="F2710" t="inlineStr">
        <is>
          <t>GÄVLEBORGS LÄN</t>
        </is>
      </c>
      <c r="G2710" t="inlineStr">
        <is>
          <t>SÖDERHAMN</t>
        </is>
      </c>
      <c r="I2710" t="n">
        <v>1</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3087-2026</t>
        </is>
      </c>
      <c r="B2711" t="inlineStr">
        <is>
          <t>avverkningsanmälan</t>
        </is>
      </c>
      <c r="C2711" t="inlineStr">
        <is>
          <t>Föryngringsavverkning</t>
        </is>
      </c>
      <c r="D2711" s="1" t="n">
        <v>46040</v>
      </c>
      <c r="E2711" s="1" t="n">
        <v>46326</v>
      </c>
      <c r="F2711" t="inlineStr">
        <is>
          <t>GÄVLEBORGS LÄN</t>
        </is>
      </c>
      <c r="G2711" t="inlineStr">
        <is>
          <t>BOLLNÄS</t>
        </is>
      </c>
      <c r="I2711" t="n">
        <v>7.6</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3093-2026</t>
        </is>
      </c>
      <c r="B2712" t="inlineStr">
        <is>
          <t>avverkningsanmälan</t>
        </is>
      </c>
      <c r="C2712" t="inlineStr">
        <is>
          <t>Föryngringsavverkning</t>
        </is>
      </c>
      <c r="D2712" s="1" t="n">
        <v>46040</v>
      </c>
      <c r="E2712" s="1" t="n">
        <v>46326</v>
      </c>
      <c r="F2712" t="inlineStr">
        <is>
          <t>GÄVLEBORGS LÄN</t>
        </is>
      </c>
      <c r="G2712" t="inlineStr">
        <is>
          <t>BOLLNÄS</t>
        </is>
      </c>
      <c r="I2712" t="n">
        <v>4.4</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3098-2026</t>
        </is>
      </c>
      <c r="B2713" t="inlineStr">
        <is>
          <t>avverkningsanmälan</t>
        </is>
      </c>
      <c r="C2713" t="inlineStr">
        <is>
          <t>Föryngringsavverkning</t>
        </is>
      </c>
      <c r="D2713" s="1" t="n">
        <v>46041</v>
      </c>
      <c r="E2713" s="1" t="n">
        <v>46326</v>
      </c>
      <c r="F2713" t="inlineStr">
        <is>
          <t>GÄVLEBORGS LÄN</t>
        </is>
      </c>
      <c r="G2713" t="inlineStr">
        <is>
          <t>BOLLNÄS</t>
        </is>
      </c>
      <c r="I2713" t="n">
        <v>34.3</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53718-2024</t>
        </is>
      </c>
      <c r="B2714" t="inlineStr">
        <is>
          <t>avverkningsanmälan</t>
        </is>
      </c>
      <c r="C2714" t="inlineStr">
        <is>
          <t>Föryngringsavverkning</t>
        </is>
      </c>
      <c r="D2714" s="1" t="n">
        <v>45615</v>
      </c>
      <c r="E2714" s="1" t="n">
        <v>46326</v>
      </c>
      <c r="F2714" t="inlineStr">
        <is>
          <t>GÄVLEBORGS LÄN</t>
        </is>
      </c>
      <c r="G2714" t="inlineStr">
        <is>
          <t>SANDVIKEN</t>
        </is>
      </c>
      <c r="I2714" t="n">
        <v>0.4</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53721-2024</t>
        </is>
      </c>
      <c r="B2715" t="inlineStr">
        <is>
          <t>avverkningsanmälan</t>
        </is>
      </c>
      <c r="C2715" t="inlineStr">
        <is>
          <t>Föryngringsavverkning</t>
        </is>
      </c>
      <c r="D2715" s="1" t="n">
        <v>45615</v>
      </c>
      <c r="E2715" s="1" t="n">
        <v>46326</v>
      </c>
      <c r="F2715" t="inlineStr">
        <is>
          <t>GÄVLEBORGS LÄN</t>
        </is>
      </c>
      <c r="G2715" t="inlineStr">
        <is>
          <t>HUDIKSVALL</t>
        </is>
      </c>
      <c r="I2715" t="n">
        <v>1.6</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15097-2022</t>
        </is>
      </c>
      <c r="B2716" t="inlineStr">
        <is>
          <t>avverkningsanmälan</t>
        </is>
      </c>
      <c r="C2716" t="inlineStr">
        <is>
          <t>Föryngringsavverkning</t>
        </is>
      </c>
      <c r="D2716" s="1" t="n">
        <v>44658</v>
      </c>
      <c r="E2716" s="1" t="n">
        <v>46326</v>
      </c>
      <c r="F2716" t="inlineStr">
        <is>
          <t>GÄVLEBORGS LÄN</t>
        </is>
      </c>
      <c r="G2716" t="inlineStr">
        <is>
          <t>HUDIKSVALL</t>
        </is>
      </c>
      <c r="I2716" t="n">
        <v>4.5</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2799-2026</t>
        </is>
      </c>
      <c r="B2717" t="inlineStr">
        <is>
          <t>avverkningsanmälan</t>
        </is>
      </c>
      <c r="C2717" t="inlineStr">
        <is>
          <t>Föryngringsavverkning</t>
        </is>
      </c>
      <c r="D2717" s="1" t="n">
        <v>46038</v>
      </c>
      <c r="E2717" s="1" t="n">
        <v>46326</v>
      </c>
      <c r="F2717" t="inlineStr">
        <is>
          <t>GÄVLEBORGS LÄN</t>
        </is>
      </c>
      <c r="G2717" t="inlineStr">
        <is>
          <t>HUDIKSVALL</t>
        </is>
      </c>
      <c r="I2717" t="n">
        <v>0.6</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2808-2026</t>
        </is>
      </c>
      <c r="B2718" t="inlineStr">
        <is>
          <t>avverkningsanmälan</t>
        </is>
      </c>
      <c r="C2718" t="inlineStr">
        <is>
          <t>Föryngringsavverkning</t>
        </is>
      </c>
      <c r="D2718" s="1" t="n">
        <v>46038</v>
      </c>
      <c r="E2718" s="1" t="n">
        <v>46326</v>
      </c>
      <c r="F2718" t="inlineStr">
        <is>
          <t>GÄVLEBORGS LÄN</t>
        </is>
      </c>
      <c r="G2718" t="inlineStr">
        <is>
          <t>OVANÅKER</t>
        </is>
      </c>
      <c r="I2718" t="n">
        <v>2.3</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2843-2026</t>
        </is>
      </c>
      <c r="B2719" t="inlineStr">
        <is>
          <t>avverkningsanmälan</t>
        </is>
      </c>
      <c r="C2719" t="inlineStr">
        <is>
          <t>Föryngringsavverkning</t>
        </is>
      </c>
      <c r="D2719" s="1" t="n">
        <v>46038</v>
      </c>
      <c r="E2719" s="1" t="n">
        <v>46326</v>
      </c>
      <c r="F2719" t="inlineStr">
        <is>
          <t>GÄVLEBORGS LÄN</t>
        </is>
      </c>
      <c r="G2719" t="inlineStr">
        <is>
          <t>NORDANSTIG</t>
        </is>
      </c>
      <c r="I2719" t="n">
        <v>1.5</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2855-2026</t>
        </is>
      </c>
      <c r="B2720" t="inlineStr">
        <is>
          <t>avverkningsanmälan</t>
        </is>
      </c>
      <c r="C2720" t="inlineStr">
        <is>
          <t>Föryngringsavverkning</t>
        </is>
      </c>
      <c r="D2720" s="1" t="n">
        <v>46038</v>
      </c>
      <c r="E2720" s="1" t="n">
        <v>46326</v>
      </c>
      <c r="F2720" t="inlineStr">
        <is>
          <t>GÄVLEBORGS LÄN</t>
        </is>
      </c>
      <c r="G2720" t="inlineStr">
        <is>
          <t>OVANÅKER</t>
        </is>
      </c>
      <c r="I2720" t="n">
        <v>6</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19632-2024</t>
        </is>
      </c>
      <c r="B2721" t="inlineStr">
        <is>
          <t>avverkningsanmälan</t>
        </is>
      </c>
      <c r="C2721" t="inlineStr">
        <is>
          <t>Föryngringsavverkning</t>
        </is>
      </c>
      <c r="D2721" s="1" t="n">
        <v>45432</v>
      </c>
      <c r="E2721" s="1" t="n">
        <v>46326</v>
      </c>
      <c r="F2721" t="inlineStr">
        <is>
          <t>GÄVLEBORGS LÄN</t>
        </is>
      </c>
      <c r="G2721" t="inlineStr">
        <is>
          <t>OVANÅKER</t>
        </is>
      </c>
      <c r="I2721" t="n">
        <v>1.5</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2847-2026</t>
        </is>
      </c>
      <c r="B2722" t="inlineStr">
        <is>
          <t>avverkningsanmälan</t>
        </is>
      </c>
      <c r="C2722" t="inlineStr">
        <is>
          <t>Föryngringsavverkning</t>
        </is>
      </c>
      <c r="D2722" s="1" t="n">
        <v>46038</v>
      </c>
      <c r="E2722" s="1" t="n">
        <v>46326</v>
      </c>
      <c r="F2722" t="inlineStr">
        <is>
          <t>GÄVLEBORGS LÄN</t>
        </is>
      </c>
      <c r="G2722" t="inlineStr">
        <is>
          <t>OVANÅKER</t>
        </is>
      </c>
      <c r="I2722" t="n">
        <v>0.7</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2848-2026</t>
        </is>
      </c>
      <c r="B2723" t="inlineStr">
        <is>
          <t>avverkningsanmälan</t>
        </is>
      </c>
      <c r="C2723" t="inlineStr">
        <is>
          <t>Föryngringsavverkning</t>
        </is>
      </c>
      <c r="D2723" s="1" t="n">
        <v>46038</v>
      </c>
      <c r="E2723" s="1" t="n">
        <v>46326</v>
      </c>
      <c r="F2723" t="inlineStr">
        <is>
          <t>GÄVLEBORGS LÄN</t>
        </is>
      </c>
      <c r="G2723" t="inlineStr">
        <is>
          <t>OVANÅKER</t>
        </is>
      </c>
      <c r="I2723" t="n">
        <v>7.6</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2787-2026</t>
        </is>
      </c>
      <c r="B2724" t="inlineStr">
        <is>
          <t>avverkningsanmälan</t>
        </is>
      </c>
      <c r="C2724" t="inlineStr">
        <is>
          <t>Föryngringsavverkning</t>
        </is>
      </c>
      <c r="D2724" s="1" t="n">
        <v>46038</v>
      </c>
      <c r="E2724" s="1" t="n">
        <v>46326</v>
      </c>
      <c r="F2724" t="inlineStr">
        <is>
          <t>GÄVLEBORGS LÄN</t>
        </is>
      </c>
      <c r="G2724" t="inlineStr">
        <is>
          <t>LJUSDAL</t>
        </is>
      </c>
      <c r="I2724" t="n">
        <v>3.6</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2815-2026</t>
        </is>
      </c>
      <c r="B2725" t="inlineStr">
        <is>
          <t>avverkningsanmälan</t>
        </is>
      </c>
      <c r="C2725" t="inlineStr">
        <is>
          <t>Föryngringsavverkning</t>
        </is>
      </c>
      <c r="D2725" s="1" t="n">
        <v>46038</v>
      </c>
      <c r="E2725" s="1" t="n">
        <v>46326</v>
      </c>
      <c r="F2725" t="inlineStr">
        <is>
          <t>GÄVLEBORGS LÄN</t>
        </is>
      </c>
      <c r="G2725" t="inlineStr">
        <is>
          <t>BOLLNÄS</t>
        </is>
      </c>
      <c r="I2725" t="n">
        <v>8.800000000000001</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559-2026</t>
        </is>
      </c>
      <c r="B2726" t="inlineStr">
        <is>
          <t>avverkningsanmälan</t>
        </is>
      </c>
      <c r="C2726" t="inlineStr">
        <is>
          <t>Föryngringsavverkning</t>
        </is>
      </c>
      <c r="D2726" s="1" t="n">
        <v>46029</v>
      </c>
      <c r="E2726" s="1" t="n">
        <v>46326</v>
      </c>
      <c r="F2726" t="inlineStr">
        <is>
          <t>GÄVLEBORGS LÄN</t>
        </is>
      </c>
      <c r="G2726" t="inlineStr">
        <is>
          <t>BOLLNÄS</t>
        </is>
      </c>
      <c r="I2726" t="n">
        <v>17.7</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2837-2026</t>
        </is>
      </c>
      <c r="B2727" t="inlineStr">
        <is>
          <t>avverkningsanmälan</t>
        </is>
      </c>
      <c r="C2727" t="inlineStr">
        <is>
          <t>Föryngringsavverkning</t>
        </is>
      </c>
      <c r="D2727" s="1" t="n">
        <v>46038</v>
      </c>
      <c r="E2727" s="1" t="n">
        <v>46326</v>
      </c>
      <c r="F2727" t="inlineStr">
        <is>
          <t>GÄVLEBORGS LÄN</t>
        </is>
      </c>
      <c r="G2727" t="inlineStr">
        <is>
          <t>NORDANSTIG</t>
        </is>
      </c>
      <c r="I2727" t="n">
        <v>21.1</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2872-2026</t>
        </is>
      </c>
      <c r="B2728" t="inlineStr">
        <is>
          <t>avverkningsanmälan</t>
        </is>
      </c>
      <c r="C2728" t="inlineStr">
        <is>
          <t>Föryngringsavverkning</t>
        </is>
      </c>
      <c r="D2728" s="1" t="n">
        <v>46038</v>
      </c>
      <c r="E2728" s="1" t="n">
        <v>46326</v>
      </c>
      <c r="F2728" t="inlineStr">
        <is>
          <t>GÄVLEBORGS LÄN</t>
        </is>
      </c>
      <c r="G2728" t="inlineStr">
        <is>
          <t>OVANÅKER</t>
        </is>
      </c>
      <c r="I2728" t="n">
        <v>2.7</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3074-2026</t>
        </is>
      </c>
      <c r="B2729" t="inlineStr">
        <is>
          <t>avverkningsanmälan</t>
        </is>
      </c>
      <c r="C2729" t="inlineStr">
        <is>
          <t>Föryngringsavverkning</t>
        </is>
      </c>
      <c r="D2729" s="1" t="n">
        <v>46040</v>
      </c>
      <c r="E2729" s="1" t="n">
        <v>46326</v>
      </c>
      <c r="F2729" t="inlineStr">
        <is>
          <t>GÄVLEBORGS LÄN</t>
        </is>
      </c>
      <c r="G2729" t="inlineStr">
        <is>
          <t>BOLLNÄS</t>
        </is>
      </c>
      <c r="I2729" t="n">
        <v>12.9</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3216-2026</t>
        </is>
      </c>
      <c r="B2730" t="inlineStr">
        <is>
          <t>avverkningsanmälan</t>
        </is>
      </c>
      <c r="C2730" t="inlineStr">
        <is>
          <t>Föryngringsavverkning</t>
        </is>
      </c>
      <c r="D2730" s="1" t="n">
        <v>46041</v>
      </c>
      <c r="E2730" s="1" t="n">
        <v>46326</v>
      </c>
      <c r="F2730" t="inlineStr">
        <is>
          <t>GÄVLEBORGS LÄN</t>
        </is>
      </c>
      <c r="G2730" t="inlineStr">
        <is>
          <t>OCKELBO</t>
        </is>
      </c>
      <c r="I2730" t="n">
        <v>7.1</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30442-2025</t>
        </is>
      </c>
      <c r="B2731" t="inlineStr">
        <is>
          <t>avverkningsanmälan</t>
        </is>
      </c>
      <c r="C2731" t="inlineStr">
        <is>
          <t>Föryngringsavverkning</t>
        </is>
      </c>
      <c r="D2731" s="1" t="n">
        <v>45827</v>
      </c>
      <c r="E2731" s="1" t="n">
        <v>46326</v>
      </c>
      <c r="F2731" t="inlineStr">
        <is>
          <t>GÄVLEBORGS LÄN</t>
        </is>
      </c>
      <c r="G2731" t="inlineStr">
        <is>
          <t>HUDIKSVALL</t>
        </is>
      </c>
      <c r="H2731" t="inlineStr">
        <is>
          <t>Holmen skog AB</t>
        </is>
      </c>
      <c r="I2731" t="n">
        <v>48.3</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14563-2025</t>
        </is>
      </c>
      <c r="B2732" t="inlineStr">
        <is>
          <t>avverkningsanmälan</t>
        </is>
      </c>
      <c r="C2732" t="inlineStr">
        <is>
          <t>Föryngringsavverkning</t>
        </is>
      </c>
      <c r="D2732" s="1" t="n">
        <v>45741</v>
      </c>
      <c r="E2732" s="1" t="n">
        <v>46326</v>
      </c>
      <c r="F2732" t="inlineStr">
        <is>
          <t>GÄVLEBORGS LÄN</t>
        </is>
      </c>
      <c r="G2732" t="inlineStr">
        <is>
          <t>GÄVLE</t>
        </is>
      </c>
      <c r="I2732" t="n">
        <v>4</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30450-2025</t>
        </is>
      </c>
      <c r="B2733" t="inlineStr">
        <is>
          <t>avverkningsanmälan</t>
        </is>
      </c>
      <c r="C2733" t="inlineStr">
        <is>
          <t>Föryngringsavverkning</t>
        </is>
      </c>
      <c r="D2733" s="1" t="n">
        <v>45827</v>
      </c>
      <c r="E2733" s="1" t="n">
        <v>46326</v>
      </c>
      <c r="F2733" t="inlineStr">
        <is>
          <t>GÄVLEBORGS LÄN</t>
        </is>
      </c>
      <c r="G2733" t="inlineStr">
        <is>
          <t>HUDIKSVALL</t>
        </is>
      </c>
      <c r="I2733" t="n">
        <v>14.4</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41208-2025</t>
        </is>
      </c>
      <c r="B2734" t="inlineStr">
        <is>
          <t>avverkningsanmälan</t>
        </is>
      </c>
      <c r="C2734" t="inlineStr">
        <is>
          <t>Föryngringsavverkning</t>
        </is>
      </c>
      <c r="D2734" s="1" t="n">
        <v>45898</v>
      </c>
      <c r="E2734" s="1" t="n">
        <v>46326</v>
      </c>
      <c r="F2734" t="inlineStr">
        <is>
          <t>GÄVLEBORGS LÄN</t>
        </is>
      </c>
      <c r="G2734" t="inlineStr">
        <is>
          <t>LJUSDAL</t>
        </is>
      </c>
      <c r="H2734" t="inlineStr">
        <is>
          <t>Sveaskog</t>
        </is>
      </c>
      <c r="I2734" t="n">
        <v>10.3</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41408-2025</t>
        </is>
      </c>
      <c r="B2735" t="inlineStr">
        <is>
          <t>avverkningsanmälan</t>
        </is>
      </c>
      <c r="C2735" t="inlineStr">
        <is>
          <t>Föryngringsavverkning</t>
        </is>
      </c>
      <c r="D2735" s="1" t="n">
        <v>45901</v>
      </c>
      <c r="E2735" s="1" t="n">
        <v>46326</v>
      </c>
      <c r="F2735" t="inlineStr">
        <is>
          <t>GÄVLEBORGS LÄN</t>
        </is>
      </c>
      <c r="G2735" t="inlineStr">
        <is>
          <t>BOLLNÄS</t>
        </is>
      </c>
      <c r="H2735" t="inlineStr">
        <is>
          <t>Kyrkan</t>
        </is>
      </c>
      <c r="I2735" t="n">
        <v>2.1</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3053-2026</t>
        </is>
      </c>
      <c r="B2736" t="inlineStr">
        <is>
          <t>avverkningsanmälan</t>
        </is>
      </c>
      <c r="C2736" t="inlineStr">
        <is>
          <t>Föryngringsavverkning</t>
        </is>
      </c>
      <c r="D2736" s="1" t="n">
        <v>46039</v>
      </c>
      <c r="E2736" s="1" t="n">
        <v>46326</v>
      </c>
      <c r="F2736" t="inlineStr">
        <is>
          <t>GÄVLEBORGS LÄN</t>
        </is>
      </c>
      <c r="G2736" t="inlineStr">
        <is>
          <t>NORDANSTIG</t>
        </is>
      </c>
      <c r="I2736" t="n">
        <v>1.2</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3069-2026</t>
        </is>
      </c>
      <c r="B2737" t="inlineStr">
        <is>
          <t>avverkningsanmälan</t>
        </is>
      </c>
      <c r="C2737" t="inlineStr">
        <is>
          <t>Föryngringsavverkning</t>
        </is>
      </c>
      <c r="D2737" s="1" t="n">
        <v>46040</v>
      </c>
      <c r="E2737" s="1" t="n">
        <v>46326</v>
      </c>
      <c r="F2737" t="inlineStr">
        <is>
          <t>GÄVLEBORGS LÄN</t>
        </is>
      </c>
      <c r="G2737" t="inlineStr">
        <is>
          <t>BOLLNÄS</t>
        </is>
      </c>
      <c r="I2737" t="n">
        <v>2.4</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293-2026</t>
        </is>
      </c>
      <c r="B2738" t="inlineStr">
        <is>
          <t>avverkningsanmälan</t>
        </is>
      </c>
      <c r="C2738" t="inlineStr">
        <is>
          <t>Föryngringsavverkning</t>
        </is>
      </c>
      <c r="D2738" s="1" t="n">
        <v>46027</v>
      </c>
      <c r="E2738" s="1" t="n">
        <v>46326</v>
      </c>
      <c r="F2738" t="inlineStr">
        <is>
          <t>GÄVLEBORGS LÄN</t>
        </is>
      </c>
      <c r="G2738" t="inlineStr">
        <is>
          <t>OVANÅKER</t>
        </is>
      </c>
      <c r="I2738" t="n">
        <v>27.8</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41351-2025</t>
        </is>
      </c>
      <c r="B2739" t="inlineStr">
        <is>
          <t>avverkningsanmälan</t>
        </is>
      </c>
      <c r="C2739" t="inlineStr">
        <is>
          <t>Föryngringsavverkning</t>
        </is>
      </c>
      <c r="D2739" s="1" t="n">
        <v>45899</v>
      </c>
      <c r="E2739" s="1" t="n">
        <v>46326</v>
      </c>
      <c r="F2739" t="inlineStr">
        <is>
          <t>GÄVLEBORGS LÄN</t>
        </is>
      </c>
      <c r="G2739" t="inlineStr">
        <is>
          <t>SÖDERHAMN</t>
        </is>
      </c>
      <c r="H2739" t="inlineStr">
        <is>
          <t>Bergvik skog väst AB</t>
        </is>
      </c>
      <c r="I2739" t="n">
        <v>0.5</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41072-2025</t>
        </is>
      </c>
      <c r="B2740" t="inlineStr">
        <is>
          <t>avverkningsanmälan</t>
        </is>
      </c>
      <c r="C2740" t="inlineStr">
        <is>
          <t>Föryngringsavverkning</t>
        </is>
      </c>
      <c r="D2740" s="1" t="n">
        <v>45898</v>
      </c>
      <c r="E2740" s="1" t="n">
        <v>46326</v>
      </c>
      <c r="F2740" t="inlineStr">
        <is>
          <t>GÄVLEBORGS LÄN</t>
        </is>
      </c>
      <c r="G2740" t="inlineStr">
        <is>
          <t>BOLLNÄS</t>
        </is>
      </c>
      <c r="I2740" t="n">
        <v>3.5</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41120-2025</t>
        </is>
      </c>
      <c r="B2741" t="inlineStr">
        <is>
          <t>avverkningsanmälan</t>
        </is>
      </c>
      <c r="C2741" t="inlineStr">
        <is>
          <t>Föryngringsavverkning</t>
        </is>
      </c>
      <c r="D2741" s="1" t="n">
        <v>45898</v>
      </c>
      <c r="E2741" s="1" t="n">
        <v>46326</v>
      </c>
      <c r="F2741" t="inlineStr">
        <is>
          <t>GÄVLEBORGS LÄN</t>
        </is>
      </c>
      <c r="G2741" t="inlineStr">
        <is>
          <t>OVANÅKER</t>
        </is>
      </c>
      <c r="I2741" t="n">
        <v>4.6</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1073-2026</t>
        </is>
      </c>
      <c r="B2742" t="inlineStr">
        <is>
          <t>avverkningsanmälan</t>
        </is>
      </c>
      <c r="C2742" t="inlineStr">
        <is>
          <t>Föryngringsavverkning</t>
        </is>
      </c>
      <c r="D2742" s="1" t="n">
        <v>46030</v>
      </c>
      <c r="E2742" s="1" t="n">
        <v>46326</v>
      </c>
      <c r="F2742" t="inlineStr">
        <is>
          <t>GÄVLEBORGS LÄN</t>
        </is>
      </c>
      <c r="G2742" t="inlineStr">
        <is>
          <t>HUDIKSVALL</t>
        </is>
      </c>
      <c r="I2742" t="n">
        <v>2.7</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2858-2026</t>
        </is>
      </c>
      <c r="B2743" t="inlineStr">
        <is>
          <t>avverkningsanmälan</t>
        </is>
      </c>
      <c r="C2743" t="inlineStr">
        <is>
          <t>Föryngringsavverkning</t>
        </is>
      </c>
      <c r="D2743" s="1" t="n">
        <v>46038</v>
      </c>
      <c r="E2743" s="1" t="n">
        <v>46326</v>
      </c>
      <c r="F2743" t="inlineStr">
        <is>
          <t>GÄVLEBORGS LÄN</t>
        </is>
      </c>
      <c r="G2743" t="inlineStr">
        <is>
          <t>OCKELBO</t>
        </is>
      </c>
      <c r="I2743" t="n">
        <v>1.2</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2912-2026</t>
        </is>
      </c>
      <c r="B2744" t="inlineStr">
        <is>
          <t>avverkningsanmälan</t>
        </is>
      </c>
      <c r="C2744" t="inlineStr">
        <is>
          <t>Föryngringsavverkning</t>
        </is>
      </c>
      <c r="D2744" s="1" t="n">
        <v>46038</v>
      </c>
      <c r="E2744" s="1" t="n">
        <v>46326</v>
      </c>
      <c r="F2744" t="inlineStr">
        <is>
          <t>GÄVLEBORGS LÄN</t>
        </is>
      </c>
      <c r="G2744" t="inlineStr">
        <is>
          <t>OVANÅKER</t>
        </is>
      </c>
      <c r="I2744" t="n">
        <v>1.2</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3156-2026</t>
        </is>
      </c>
      <c r="B2745" t="inlineStr">
        <is>
          <t>avverkningsanmälan</t>
        </is>
      </c>
      <c r="C2745" t="inlineStr">
        <is>
          <t>Föryngringsavverkning</t>
        </is>
      </c>
      <c r="D2745" s="1" t="n">
        <v>46041</v>
      </c>
      <c r="E2745" s="1" t="n">
        <v>46326</v>
      </c>
      <c r="F2745" t="inlineStr">
        <is>
          <t>GÄVLEBORGS LÄN</t>
        </is>
      </c>
      <c r="G2745" t="inlineStr">
        <is>
          <t>GÄVLE</t>
        </is>
      </c>
      <c r="I2745" t="n">
        <v>9.699999999999999</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2886-2026</t>
        </is>
      </c>
      <c r="B2746" t="inlineStr">
        <is>
          <t>avverkningsanmälan</t>
        </is>
      </c>
      <c r="C2746" t="inlineStr">
        <is>
          <t>Föryngringsavverkning</t>
        </is>
      </c>
      <c r="D2746" s="1" t="n">
        <v>46038</v>
      </c>
      <c r="E2746" s="1" t="n">
        <v>46326</v>
      </c>
      <c r="F2746" t="inlineStr">
        <is>
          <t>GÄVLEBORGS LÄN</t>
        </is>
      </c>
      <c r="G2746" t="inlineStr">
        <is>
          <t>SANDVIKEN</t>
        </is>
      </c>
      <c r="I2746" t="n">
        <v>1.7</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2926-2026</t>
        </is>
      </c>
      <c r="B2747" t="inlineStr">
        <is>
          <t>avverkningsanmälan</t>
        </is>
      </c>
      <c r="C2747" t="inlineStr">
        <is>
          <t>Föryngringsavverkning</t>
        </is>
      </c>
      <c r="D2747" s="1" t="n">
        <v>46038</v>
      </c>
      <c r="E2747" s="1" t="n">
        <v>46326</v>
      </c>
      <c r="F2747" t="inlineStr">
        <is>
          <t>GÄVLEBORGS LÄN</t>
        </is>
      </c>
      <c r="G2747" t="inlineStr">
        <is>
          <t>OCKELBO</t>
        </is>
      </c>
      <c r="I2747" t="n">
        <v>4.3</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3632-2026</t>
        </is>
      </c>
      <c r="B2748" t="inlineStr">
        <is>
          <t>avverkningsanmälan</t>
        </is>
      </c>
      <c r="C2748" t="inlineStr">
        <is>
          <t>Föryngringsavverkning</t>
        </is>
      </c>
      <c r="D2748" s="1" t="n">
        <v>46043</v>
      </c>
      <c r="E2748" s="1" t="n">
        <v>46326</v>
      </c>
      <c r="F2748" t="inlineStr">
        <is>
          <t>GÄVLEBORGS LÄN</t>
        </is>
      </c>
      <c r="G2748" t="inlineStr">
        <is>
          <t>OVANÅKER</t>
        </is>
      </c>
      <c r="I2748" t="n">
        <v>17.3</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30458-2025</t>
        </is>
      </c>
      <c r="B2749" t="inlineStr">
        <is>
          <t>avverkningsanmälan</t>
        </is>
      </c>
      <c r="C2749" t="inlineStr">
        <is>
          <t>Föryngringsavverkning</t>
        </is>
      </c>
      <c r="D2749" s="1" t="n">
        <v>45827</v>
      </c>
      <c r="E2749" s="1" t="n">
        <v>46326</v>
      </c>
      <c r="F2749" t="inlineStr">
        <is>
          <t>GÄVLEBORGS LÄN</t>
        </is>
      </c>
      <c r="G2749" t="inlineStr">
        <is>
          <t>BOLLNÄS</t>
        </is>
      </c>
      <c r="I2749" t="n">
        <v>0.7</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41083-2025</t>
        </is>
      </c>
      <c r="B2750" t="inlineStr">
        <is>
          <t>avverkningsanmälan</t>
        </is>
      </c>
      <c r="C2750" t="inlineStr">
        <is>
          <t>Föryngringsavverkning</t>
        </is>
      </c>
      <c r="D2750" s="1" t="n">
        <v>45898</v>
      </c>
      <c r="E2750" s="1" t="n">
        <v>46326</v>
      </c>
      <c r="F2750" t="inlineStr">
        <is>
          <t>GÄVLEBORGS LÄN</t>
        </is>
      </c>
      <c r="G2750" t="inlineStr">
        <is>
          <t>GÄVLE</t>
        </is>
      </c>
      <c r="H2750" t="inlineStr">
        <is>
          <t>Bergvik skog väst AB</t>
        </is>
      </c>
      <c r="I2750" t="n">
        <v>1.3</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41093-2025</t>
        </is>
      </c>
      <c r="B2751" t="inlineStr">
        <is>
          <t>avverkningsanmälan</t>
        </is>
      </c>
      <c r="C2751" t="inlineStr">
        <is>
          <t>Föryngringsavverkning</t>
        </is>
      </c>
      <c r="D2751" s="1" t="n">
        <v>45898</v>
      </c>
      <c r="E2751" s="1" t="n">
        <v>46326</v>
      </c>
      <c r="F2751" t="inlineStr">
        <is>
          <t>GÄVLEBORGS LÄN</t>
        </is>
      </c>
      <c r="G2751" t="inlineStr">
        <is>
          <t>GÄVLE</t>
        </is>
      </c>
      <c r="I2751" t="n">
        <v>3.7</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18568-2023</t>
        </is>
      </c>
      <c r="B2752" t="inlineStr">
        <is>
          <t>avverkningsanmälan</t>
        </is>
      </c>
      <c r="C2752" t="inlineStr">
        <is>
          <t>Föryngringsavverkning</t>
        </is>
      </c>
      <c r="D2752" s="1" t="n">
        <v>45043</v>
      </c>
      <c r="E2752" s="1" t="n">
        <v>46326</v>
      </c>
      <c r="F2752" t="inlineStr">
        <is>
          <t>GÄVLEBORGS LÄN</t>
        </is>
      </c>
      <c r="G2752" t="inlineStr">
        <is>
          <t>HUDIKSVALL</t>
        </is>
      </c>
      <c r="I2752" t="n">
        <v>1.1</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41458-2025</t>
        </is>
      </c>
      <c r="B2753" t="inlineStr">
        <is>
          <t>avverkningsanmälan</t>
        </is>
      </c>
      <c r="C2753" t="inlineStr">
        <is>
          <t>Föryngringsavverkning</t>
        </is>
      </c>
      <c r="D2753" s="1" t="n">
        <v>45901</v>
      </c>
      <c r="E2753" s="1" t="n">
        <v>46326</v>
      </c>
      <c r="F2753" t="inlineStr">
        <is>
          <t>GÄVLEBORGS LÄN</t>
        </is>
      </c>
      <c r="G2753" t="inlineStr">
        <is>
          <t>HUDIKSVALL</t>
        </is>
      </c>
      <c r="I2753" t="n">
        <v>5</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41081-2025</t>
        </is>
      </c>
      <c r="B2754" t="inlineStr">
        <is>
          <t>avverkningsanmälan</t>
        </is>
      </c>
      <c r="C2754" t="inlineStr">
        <is>
          <t>Föryngringsavverkning</t>
        </is>
      </c>
      <c r="D2754" s="1" t="n">
        <v>45898</v>
      </c>
      <c r="E2754" s="1" t="n">
        <v>46326</v>
      </c>
      <c r="F2754" t="inlineStr">
        <is>
          <t>GÄVLEBORGS LÄN</t>
        </is>
      </c>
      <c r="G2754" t="inlineStr">
        <is>
          <t>BOLLNÄS</t>
        </is>
      </c>
      <c r="I2754" t="n">
        <v>1.4</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40992-2025</t>
        </is>
      </c>
      <c r="B2755" t="inlineStr">
        <is>
          <t>avverkningsanmälan</t>
        </is>
      </c>
      <c r="C2755" t="inlineStr">
        <is>
          <t>Föryngringsavverkning</t>
        </is>
      </c>
      <c r="D2755" s="1" t="n">
        <v>45898</v>
      </c>
      <c r="E2755" s="1" t="n">
        <v>46326</v>
      </c>
      <c r="F2755" t="inlineStr">
        <is>
          <t>GÄVLEBORGS LÄN</t>
        </is>
      </c>
      <c r="G2755" t="inlineStr">
        <is>
          <t>GÄVLE</t>
        </is>
      </c>
      <c r="H2755" t="inlineStr">
        <is>
          <t>Bergvik skog väst AB</t>
        </is>
      </c>
      <c r="I2755" t="n">
        <v>2.6</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40993-2025</t>
        </is>
      </c>
      <c r="B2756" t="inlineStr">
        <is>
          <t>avverkningsanmälan</t>
        </is>
      </c>
      <c r="C2756" t="inlineStr">
        <is>
          <t>Föryngringsavverkning</t>
        </is>
      </c>
      <c r="D2756" s="1" t="n">
        <v>45898</v>
      </c>
      <c r="E2756" s="1" t="n">
        <v>46326</v>
      </c>
      <c r="F2756" t="inlineStr">
        <is>
          <t>GÄVLEBORGS LÄN</t>
        </is>
      </c>
      <c r="G2756" t="inlineStr">
        <is>
          <t>GÄVLE</t>
        </is>
      </c>
      <c r="H2756" t="inlineStr">
        <is>
          <t>Bergvik skog väst AB</t>
        </is>
      </c>
      <c r="I2756" t="n">
        <v>0.9</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2396-2024</t>
        </is>
      </c>
      <c r="B2757" t="inlineStr">
        <is>
          <t>avverkningsanmälan</t>
        </is>
      </c>
      <c r="C2757" t="inlineStr">
        <is>
          <t>Föryngringsavverkning</t>
        </is>
      </c>
      <c r="D2757" s="1" t="n">
        <v>45310</v>
      </c>
      <c r="E2757" s="1" t="n">
        <v>46326</v>
      </c>
      <c r="F2757" t="inlineStr">
        <is>
          <t>GÄVLEBORGS LÄN</t>
        </is>
      </c>
      <c r="G2757" t="inlineStr">
        <is>
          <t>LJUSDAL</t>
        </is>
      </c>
      <c r="I2757" t="n">
        <v>3</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19190-2024</t>
        </is>
      </c>
      <c r="B2758" t="inlineStr">
        <is>
          <t>avverkningsanmälan</t>
        </is>
      </c>
      <c r="C2758" t="inlineStr">
        <is>
          <t>Föryngringsavverkning</t>
        </is>
      </c>
      <c r="D2758" s="1" t="n">
        <v>45428</v>
      </c>
      <c r="E2758" s="1" t="n">
        <v>46326</v>
      </c>
      <c r="F2758" t="inlineStr">
        <is>
          <t>GÄVLEBORGS LÄN</t>
        </is>
      </c>
      <c r="G2758" t="inlineStr">
        <is>
          <t>LJUSDAL</t>
        </is>
      </c>
      <c r="I2758" t="n">
        <v>4.8</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58329-2024</t>
        </is>
      </c>
      <c r="B2759" t="inlineStr">
        <is>
          <t>avverkningsanmälan</t>
        </is>
      </c>
      <c r="C2759" t="inlineStr">
        <is>
          <t>Föryngringsavverkning</t>
        </is>
      </c>
      <c r="D2759" s="1" t="n">
        <v>45632</v>
      </c>
      <c r="E2759" s="1" t="n">
        <v>46326</v>
      </c>
      <c r="F2759" t="inlineStr">
        <is>
          <t>GÄVLEBORGS LÄN</t>
        </is>
      </c>
      <c r="G2759" t="inlineStr">
        <is>
          <t>BOLLNÄS</t>
        </is>
      </c>
      <c r="I2759" t="n">
        <v>0.8</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44048-2022</t>
        </is>
      </c>
      <c r="B2760" t="inlineStr">
        <is>
          <t>avverkningsanmälan</t>
        </is>
      </c>
      <c r="C2760" t="inlineStr">
        <is>
          <t>Föryngringsavverkning</t>
        </is>
      </c>
      <c r="D2760" s="1" t="n">
        <v>44838</v>
      </c>
      <c r="E2760" s="1" t="n">
        <v>46326</v>
      </c>
      <c r="F2760" t="inlineStr">
        <is>
          <t>GÄVLEBORGS LÄN</t>
        </is>
      </c>
      <c r="G2760" t="inlineStr">
        <is>
          <t>LJUSDAL</t>
        </is>
      </c>
      <c r="H2760" t="inlineStr">
        <is>
          <t>SCA</t>
        </is>
      </c>
      <c r="I2760" t="n">
        <v>1.9</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3653-2026</t>
        </is>
      </c>
      <c r="B2761" t="inlineStr">
        <is>
          <t>avverkningsanmälan</t>
        </is>
      </c>
      <c r="C2761" t="inlineStr">
        <is>
          <t>Föryngringsavverkning</t>
        </is>
      </c>
      <c r="D2761" s="1" t="n">
        <v>46043</v>
      </c>
      <c r="E2761" s="1" t="n">
        <v>46326</v>
      </c>
      <c r="F2761" t="inlineStr">
        <is>
          <t>GÄVLEBORGS LÄN</t>
        </is>
      </c>
      <c r="G2761" t="inlineStr">
        <is>
          <t>OCKELBO</t>
        </is>
      </c>
      <c r="I2761" t="n">
        <v>2.9</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3664-2026</t>
        </is>
      </c>
      <c r="B2762" t="inlineStr">
        <is>
          <t>avverkningsanmälan</t>
        </is>
      </c>
      <c r="C2762" t="inlineStr">
        <is>
          <t>Föryngringsavverkning</t>
        </is>
      </c>
      <c r="D2762" s="1" t="n">
        <v>46043</v>
      </c>
      <c r="E2762" s="1" t="n">
        <v>46326</v>
      </c>
      <c r="F2762" t="inlineStr">
        <is>
          <t>GÄVLEBORGS LÄN</t>
        </is>
      </c>
      <c r="G2762" t="inlineStr">
        <is>
          <t>OCKELBO</t>
        </is>
      </c>
      <c r="I2762" t="n">
        <v>4.4</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40986-2025</t>
        </is>
      </c>
      <c r="B2763" t="inlineStr">
        <is>
          <t>avverkningsanmälan</t>
        </is>
      </c>
      <c r="C2763" t="inlineStr">
        <is>
          <t>Föryngringsavverkning</t>
        </is>
      </c>
      <c r="D2763" s="1" t="n">
        <v>45898</v>
      </c>
      <c r="E2763" s="1" t="n">
        <v>46326</v>
      </c>
      <c r="F2763" t="inlineStr">
        <is>
          <t>GÄVLEBORGS LÄN</t>
        </is>
      </c>
      <c r="G2763" t="inlineStr">
        <is>
          <t>OVANÅKER</t>
        </is>
      </c>
      <c r="I2763" t="n">
        <v>3.2</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41047-2025</t>
        </is>
      </c>
      <c r="B2764" t="inlineStr">
        <is>
          <t>avverkningsanmälan</t>
        </is>
      </c>
      <c r="C2764" t="inlineStr">
        <is>
          <t>Föryngringsavverkning</t>
        </is>
      </c>
      <c r="D2764" s="1" t="n">
        <v>45898</v>
      </c>
      <c r="E2764" s="1" t="n">
        <v>46326</v>
      </c>
      <c r="F2764" t="inlineStr">
        <is>
          <t>GÄVLEBORGS LÄN</t>
        </is>
      </c>
      <c r="G2764" t="inlineStr">
        <is>
          <t>GÄVLE</t>
        </is>
      </c>
      <c r="H2764" t="inlineStr">
        <is>
          <t>Bergvik skog väst AB</t>
        </is>
      </c>
      <c r="I2764" t="n">
        <v>2.8</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37638-2022</t>
        </is>
      </c>
      <c r="B2765" t="inlineStr">
        <is>
          <t>avverkningsanmälan</t>
        </is>
      </c>
      <c r="C2765" t="inlineStr">
        <is>
          <t>Avverkning för annat ändamål</t>
        </is>
      </c>
      <c r="D2765" s="1" t="n">
        <v>44810</v>
      </c>
      <c r="E2765" s="1" t="n">
        <v>46326</v>
      </c>
      <c r="F2765" t="inlineStr">
        <is>
          <t>GÄVLEBORGS LÄN</t>
        </is>
      </c>
      <c r="G2765" t="inlineStr">
        <is>
          <t>HUDIKSVALL</t>
        </is>
      </c>
      <c r="H2765" t="inlineStr">
        <is>
          <t>Holmen skog AB</t>
        </is>
      </c>
      <c r="I2765" t="n">
        <v>1.4</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37681-2022</t>
        </is>
      </c>
      <c r="B2766" t="inlineStr">
        <is>
          <t>avverkningsanmälan</t>
        </is>
      </c>
      <c r="C2766" t="inlineStr">
        <is>
          <t>Avverkning för annat ändamål</t>
        </is>
      </c>
      <c r="D2766" s="1" t="n">
        <v>44810</v>
      </c>
      <c r="E2766" s="1" t="n">
        <v>46326</v>
      </c>
      <c r="F2766" t="inlineStr">
        <is>
          <t>GÄVLEBORGS LÄN</t>
        </is>
      </c>
      <c r="G2766" t="inlineStr">
        <is>
          <t>HUDIKSVALL</t>
        </is>
      </c>
      <c r="I2766" t="n">
        <v>1.1</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30203-2025</t>
        </is>
      </c>
      <c r="B2767" t="inlineStr">
        <is>
          <t>avverkningsanmälan</t>
        </is>
      </c>
      <c r="C2767" t="inlineStr">
        <is>
          <t>Föryngringsavverkning</t>
        </is>
      </c>
      <c r="D2767" s="1" t="n">
        <v>45827</v>
      </c>
      <c r="E2767" s="1" t="n">
        <v>46326</v>
      </c>
      <c r="F2767" t="inlineStr">
        <is>
          <t>GÄVLEBORGS LÄN</t>
        </is>
      </c>
      <c r="G2767" t="inlineStr">
        <is>
          <t>SANDVIKEN</t>
        </is>
      </c>
      <c r="I2767" t="n">
        <v>1.2</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41865-2025</t>
        </is>
      </c>
      <c r="B2768" t="inlineStr">
        <is>
          <t>avverkningsanmälan</t>
        </is>
      </c>
      <c r="C2768" t="inlineStr">
        <is>
          <t>Föryngringsavverkning</t>
        </is>
      </c>
      <c r="D2768" s="1" t="n">
        <v>45903</v>
      </c>
      <c r="E2768" s="1" t="n">
        <v>46326</v>
      </c>
      <c r="F2768" t="inlineStr">
        <is>
          <t>GÄVLEBORGS LÄN</t>
        </is>
      </c>
      <c r="G2768" t="inlineStr">
        <is>
          <t>LJUSDAL</t>
        </is>
      </c>
      <c r="H2768" t="inlineStr">
        <is>
          <t>Bergvik skog väst AB</t>
        </is>
      </c>
      <c r="I2768" t="n">
        <v>16.6</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41878-2025</t>
        </is>
      </c>
      <c r="B2769" t="inlineStr">
        <is>
          <t>avverkningsanmälan</t>
        </is>
      </c>
      <c r="C2769" t="inlineStr">
        <is>
          <t>Föryngringsavverkning</t>
        </is>
      </c>
      <c r="D2769" s="1" t="n">
        <v>45903</v>
      </c>
      <c r="E2769" s="1" t="n">
        <v>46326</v>
      </c>
      <c r="F2769" t="inlineStr">
        <is>
          <t>GÄVLEBORGS LÄN</t>
        </is>
      </c>
      <c r="G2769" t="inlineStr">
        <is>
          <t>LJUSDAL</t>
        </is>
      </c>
      <c r="I2769" t="n">
        <v>1.7</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53544-2023</t>
        </is>
      </c>
      <c r="B2770" t="inlineStr">
        <is>
          <t>avverkningsanmälan</t>
        </is>
      </c>
      <c r="C2770" t="inlineStr">
        <is>
          <t>Föryngringsavverkning</t>
        </is>
      </c>
      <c r="D2770" s="1" t="n">
        <v>45230</v>
      </c>
      <c r="E2770" s="1" t="n">
        <v>46326</v>
      </c>
      <c r="F2770" t="inlineStr">
        <is>
          <t>GÄVLEBORGS LÄN</t>
        </is>
      </c>
      <c r="G2770" t="inlineStr">
        <is>
          <t>LJUSDAL</t>
        </is>
      </c>
      <c r="I2770" t="n">
        <v>1.2</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18459-2025</t>
        </is>
      </c>
      <c r="B2771" t="inlineStr">
        <is>
          <t>avverkningsanmälan</t>
        </is>
      </c>
      <c r="C2771" t="inlineStr">
        <is>
          <t>Föryngringsavverkning</t>
        </is>
      </c>
      <c r="D2771" s="1" t="n">
        <v>45762</v>
      </c>
      <c r="E2771" s="1" t="n">
        <v>46326</v>
      </c>
      <c r="F2771" t="inlineStr">
        <is>
          <t>GÄVLEBORGS LÄN</t>
        </is>
      </c>
      <c r="G2771" t="inlineStr">
        <is>
          <t>SÖDERHAMN</t>
        </is>
      </c>
      <c r="I2771" t="n">
        <v>1.5</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41745-2025</t>
        </is>
      </c>
      <c r="B2772" t="inlineStr">
        <is>
          <t>avverkningsanmälan</t>
        </is>
      </c>
      <c r="C2772" t="inlineStr">
        <is>
          <t>Föryngringsavverkning</t>
        </is>
      </c>
      <c r="D2772" s="1" t="n">
        <v>45902</v>
      </c>
      <c r="E2772" s="1" t="n">
        <v>46326</v>
      </c>
      <c r="F2772" t="inlineStr">
        <is>
          <t>GÄVLEBORGS LÄN</t>
        </is>
      </c>
      <c r="G2772" t="inlineStr">
        <is>
          <t>LJUSDAL</t>
        </is>
      </c>
      <c r="I2772" t="n">
        <v>7.8</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49713-2022</t>
        </is>
      </c>
      <c r="B2773" t="inlineStr">
        <is>
          <t>avverkningsanmälan</t>
        </is>
      </c>
      <c r="C2773" t="inlineStr">
        <is>
          <t>Föryngringsavverkning</t>
        </is>
      </c>
      <c r="D2773" s="1" t="n">
        <v>44862</v>
      </c>
      <c r="E2773" s="1" t="n">
        <v>46326</v>
      </c>
      <c r="F2773" t="inlineStr">
        <is>
          <t>GÄVLEBORGS LÄN</t>
        </is>
      </c>
      <c r="G2773" t="inlineStr">
        <is>
          <t>HUDIKSVALL</t>
        </is>
      </c>
      <c r="I2773" t="n">
        <v>3.1</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3843-2026</t>
        </is>
      </c>
      <c r="B2774" t="inlineStr">
        <is>
          <t>avverkningsanmälan</t>
        </is>
      </c>
      <c r="C2774" t="inlineStr">
        <is>
          <t>Föryngringsavverkning</t>
        </is>
      </c>
      <c r="D2774" s="1" t="n">
        <v>46043</v>
      </c>
      <c r="E2774" s="1" t="n">
        <v>46326</v>
      </c>
      <c r="F2774" t="inlineStr">
        <is>
          <t>GÄVLEBORGS LÄN</t>
        </is>
      </c>
      <c r="G2774" t="inlineStr">
        <is>
          <t>NORDANSTIG</t>
        </is>
      </c>
      <c r="I2774" t="n">
        <v>3.7</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3909-2026</t>
        </is>
      </c>
      <c r="B2775" t="inlineStr">
        <is>
          <t>avverkningsanmälan</t>
        </is>
      </c>
      <c r="C2775" t="inlineStr">
        <is>
          <t>Föryngringsavverkning</t>
        </is>
      </c>
      <c r="D2775" s="1" t="n">
        <v>46043</v>
      </c>
      <c r="E2775" s="1" t="n">
        <v>46326</v>
      </c>
      <c r="F2775" t="inlineStr">
        <is>
          <t>GÄVLEBORGS LÄN</t>
        </is>
      </c>
      <c r="G2775" t="inlineStr">
        <is>
          <t>SANDVIKEN</t>
        </is>
      </c>
      <c r="I2775" t="n">
        <v>4.8</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30022-2025</t>
        </is>
      </c>
      <c r="B2776" t="inlineStr">
        <is>
          <t>avverkningsanmälan</t>
        </is>
      </c>
      <c r="C2776" t="inlineStr">
        <is>
          <t>Föryngringsavverkning</t>
        </is>
      </c>
      <c r="D2776" s="1" t="n">
        <v>45826</v>
      </c>
      <c r="E2776" s="1" t="n">
        <v>46326</v>
      </c>
      <c r="F2776" t="inlineStr">
        <is>
          <t>GÄVLEBORGS LÄN</t>
        </is>
      </c>
      <c r="G2776" t="inlineStr">
        <is>
          <t>NORDANSTIG</t>
        </is>
      </c>
      <c r="H2776" t="inlineStr">
        <is>
          <t>Holmen skog AB</t>
        </is>
      </c>
      <c r="I2776" t="n">
        <v>4.2</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30382-2025</t>
        </is>
      </c>
      <c r="B2777" t="inlineStr">
        <is>
          <t>avverkningsanmälan</t>
        </is>
      </c>
      <c r="C2777" t="inlineStr">
        <is>
          <t>Föryngringsavverkning</t>
        </is>
      </c>
      <c r="D2777" s="1" t="n">
        <v>45827</v>
      </c>
      <c r="E2777" s="1" t="n">
        <v>46326</v>
      </c>
      <c r="F2777" t="inlineStr">
        <is>
          <t>GÄVLEBORGS LÄN</t>
        </is>
      </c>
      <c r="G2777" t="inlineStr">
        <is>
          <t>OVANÅKER</t>
        </is>
      </c>
      <c r="H2777" t="inlineStr">
        <is>
          <t>Holmen skog AB</t>
        </is>
      </c>
      <c r="I2777" t="n">
        <v>6.4</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42239-2023</t>
        </is>
      </c>
      <c r="B2778" t="inlineStr">
        <is>
          <t>avverkningsanmälan</t>
        </is>
      </c>
      <c r="C2778" t="inlineStr">
        <is>
          <t>Avverkning för annat ändamål</t>
        </is>
      </c>
      <c r="D2778" s="1" t="n">
        <v>45180</v>
      </c>
      <c r="E2778" s="1" t="n">
        <v>46326</v>
      </c>
      <c r="F2778" t="inlineStr">
        <is>
          <t>GÄVLEBORGS LÄN</t>
        </is>
      </c>
      <c r="G2778" t="inlineStr">
        <is>
          <t>HUDIKSVALL</t>
        </is>
      </c>
      <c r="I2778" t="n">
        <v>0.6</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2662-2025</t>
        </is>
      </c>
      <c r="B2779" t="inlineStr">
        <is>
          <t>avverkningsanmälan</t>
        </is>
      </c>
      <c r="C2779" t="inlineStr">
        <is>
          <t>Föryngringsavverkning</t>
        </is>
      </c>
      <c r="D2779" s="1" t="n">
        <v>45676</v>
      </c>
      <c r="E2779" s="1" t="n">
        <v>46326</v>
      </c>
      <c r="F2779" t="inlineStr">
        <is>
          <t>GÄVLEBORGS LÄN</t>
        </is>
      </c>
      <c r="G2779" t="inlineStr">
        <is>
          <t>HUDIKSVALL</t>
        </is>
      </c>
      <c r="I2779" t="n">
        <v>2.1</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2666-2025</t>
        </is>
      </c>
      <c r="B2780" t="inlineStr">
        <is>
          <t>avverkningsanmälan</t>
        </is>
      </c>
      <c r="C2780" t="inlineStr">
        <is>
          <t>Föryngringsavverkning</t>
        </is>
      </c>
      <c r="D2780" s="1" t="n">
        <v>45677</v>
      </c>
      <c r="E2780" s="1" t="n">
        <v>46326</v>
      </c>
      <c r="F2780" t="inlineStr">
        <is>
          <t>GÄVLEBORGS LÄN</t>
        </is>
      </c>
      <c r="G2780" t="inlineStr">
        <is>
          <t>BOLLNÄS</t>
        </is>
      </c>
      <c r="I2780" t="n">
        <v>2.1</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30456-2025</t>
        </is>
      </c>
      <c r="B2781" t="inlineStr">
        <is>
          <t>avverkningsanmälan</t>
        </is>
      </c>
      <c r="C2781" t="inlineStr">
        <is>
          <t>Föryngringsavverkning</t>
        </is>
      </c>
      <c r="D2781" s="1" t="n">
        <v>45827</v>
      </c>
      <c r="E2781" s="1" t="n">
        <v>46326</v>
      </c>
      <c r="F2781" t="inlineStr">
        <is>
          <t>GÄVLEBORGS LÄN</t>
        </is>
      </c>
      <c r="G2781" t="inlineStr">
        <is>
          <t>BOLLNÄS</t>
        </is>
      </c>
      <c r="I2781" t="n">
        <v>0.8</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30463-2025</t>
        </is>
      </c>
      <c r="B2782" t="inlineStr">
        <is>
          <t>avverkningsanmälan</t>
        </is>
      </c>
      <c r="C2782" t="inlineStr">
        <is>
          <t>Föryngringsavverkning</t>
        </is>
      </c>
      <c r="D2782" s="1" t="n">
        <v>45827</v>
      </c>
      <c r="E2782" s="1" t="n">
        <v>46326</v>
      </c>
      <c r="F2782" t="inlineStr">
        <is>
          <t>GÄVLEBORGS LÄN</t>
        </is>
      </c>
      <c r="G2782" t="inlineStr">
        <is>
          <t>HUDIKSVALL</t>
        </is>
      </c>
      <c r="I2782" t="n">
        <v>9.800000000000001</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2754-2025</t>
        </is>
      </c>
      <c r="B2783" t="inlineStr">
        <is>
          <t>avverkningsanmälan</t>
        </is>
      </c>
      <c r="C2783" t="inlineStr">
        <is>
          <t>Föryngringsavverkning</t>
        </is>
      </c>
      <c r="D2783" s="1" t="n">
        <v>45677</v>
      </c>
      <c r="E2783" s="1" t="n">
        <v>46326</v>
      </c>
      <c r="F2783" t="inlineStr">
        <is>
          <t>GÄVLEBORGS LÄN</t>
        </is>
      </c>
      <c r="G2783" t="inlineStr">
        <is>
          <t>HUDIKSVALL</t>
        </is>
      </c>
      <c r="I2783" t="n">
        <v>2.1</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30158-2025</t>
        </is>
      </c>
      <c r="B2784" t="inlineStr">
        <is>
          <t>avverkningsanmälan</t>
        </is>
      </c>
      <c r="C2784" t="inlineStr">
        <is>
          <t>Föryngringsavverkning</t>
        </is>
      </c>
      <c r="D2784" s="1" t="n">
        <v>45827</v>
      </c>
      <c r="E2784" s="1" t="n">
        <v>46326</v>
      </c>
      <c r="F2784" t="inlineStr">
        <is>
          <t>GÄVLEBORGS LÄN</t>
        </is>
      </c>
      <c r="G2784" t="inlineStr">
        <is>
          <t>HUDIKSVALL</t>
        </is>
      </c>
      <c r="H2784" t="inlineStr">
        <is>
          <t>Sveaskog</t>
        </is>
      </c>
      <c r="I2784" t="n">
        <v>7.2</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3566-2026</t>
        </is>
      </c>
      <c r="B2785" t="inlineStr">
        <is>
          <t>avverkningsanmälan</t>
        </is>
      </c>
      <c r="C2785" t="inlineStr">
        <is>
          <t>Föryngringsavverkning</t>
        </is>
      </c>
      <c r="D2785" s="1" t="n">
        <v>46042</v>
      </c>
      <c r="E2785" s="1" t="n">
        <v>46326</v>
      </c>
      <c r="F2785" t="inlineStr">
        <is>
          <t>GÄVLEBORGS LÄN</t>
        </is>
      </c>
      <c r="G2785" t="inlineStr">
        <is>
          <t>SANDVIKEN</t>
        </is>
      </c>
      <c r="I2785" t="n">
        <v>5.3</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52837-2023</t>
        </is>
      </c>
      <c r="B2786" t="inlineStr">
        <is>
          <t>avverkningsanmälan</t>
        </is>
      </c>
      <c r="C2786" t="inlineStr">
        <is>
          <t>Föryngringsavverkning</t>
        </is>
      </c>
      <c r="D2786" s="1" t="n">
        <v>45226</v>
      </c>
      <c r="E2786" s="1" t="n">
        <v>46326</v>
      </c>
      <c r="F2786" t="inlineStr">
        <is>
          <t>GÄVLEBORGS LÄN</t>
        </is>
      </c>
      <c r="G2786" t="inlineStr">
        <is>
          <t>LJUSDAL</t>
        </is>
      </c>
      <c r="I2786" t="n">
        <v>3</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21878-2024</t>
        </is>
      </c>
      <c r="B2787" t="inlineStr">
        <is>
          <t>avverkningsanmälan</t>
        </is>
      </c>
      <c r="C2787" t="inlineStr">
        <is>
          <t>Föryngringsavverkning</t>
        </is>
      </c>
      <c r="D2787" s="1" t="n">
        <v>45443</v>
      </c>
      <c r="E2787" s="1" t="n">
        <v>46326</v>
      </c>
      <c r="F2787" t="inlineStr">
        <is>
          <t>GÄVLEBORGS LÄN</t>
        </is>
      </c>
      <c r="G2787" t="inlineStr">
        <is>
          <t>OCKELBO</t>
        </is>
      </c>
      <c r="I2787" t="n">
        <v>2.5</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3615-2026</t>
        </is>
      </c>
      <c r="B2788" t="inlineStr">
        <is>
          <t>avverkningsanmälan</t>
        </is>
      </c>
      <c r="C2788" t="inlineStr">
        <is>
          <t>Föryngringsavverkning</t>
        </is>
      </c>
      <c r="D2788" s="1" t="n">
        <v>46042</v>
      </c>
      <c r="E2788" s="1" t="n">
        <v>46326</v>
      </c>
      <c r="F2788" t="inlineStr">
        <is>
          <t>GÄVLEBORGS LÄN</t>
        </is>
      </c>
      <c r="G2788" t="inlineStr">
        <is>
          <t>HOFORS</t>
        </is>
      </c>
      <c r="I2788" t="n">
        <v>2.4</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3618-2026</t>
        </is>
      </c>
      <c r="B2789" t="inlineStr">
        <is>
          <t>avverkningsanmälan</t>
        </is>
      </c>
      <c r="C2789" t="inlineStr">
        <is>
          <t>Föryngringsavverkning</t>
        </is>
      </c>
      <c r="D2789" s="1" t="n">
        <v>46042</v>
      </c>
      <c r="E2789" s="1" t="n">
        <v>46326</v>
      </c>
      <c r="F2789" t="inlineStr">
        <is>
          <t>GÄVLEBORGS LÄN</t>
        </is>
      </c>
      <c r="G2789" t="inlineStr">
        <is>
          <t>LJUSDAL</t>
        </is>
      </c>
      <c r="I2789" t="n">
        <v>1.9</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3803-2026</t>
        </is>
      </c>
      <c r="B2790" t="inlineStr">
        <is>
          <t>avverkningsanmälan</t>
        </is>
      </c>
      <c r="C2790" t="inlineStr">
        <is>
          <t>Föryngringsavverkning</t>
        </is>
      </c>
      <c r="D2790" s="1" t="n">
        <v>46043</v>
      </c>
      <c r="E2790" s="1" t="n">
        <v>46326</v>
      </c>
      <c r="F2790" t="inlineStr">
        <is>
          <t>GÄVLEBORGS LÄN</t>
        </is>
      </c>
      <c r="G2790" t="inlineStr">
        <is>
          <t>SANDVIKEN</t>
        </is>
      </c>
      <c r="I2790" t="n">
        <v>1.8</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3848-2026</t>
        </is>
      </c>
      <c r="B2791" t="inlineStr">
        <is>
          <t>avverkningsanmälan</t>
        </is>
      </c>
      <c r="C2791" t="inlineStr">
        <is>
          <t>Föryngringsavverkning</t>
        </is>
      </c>
      <c r="D2791" s="1" t="n">
        <v>46043</v>
      </c>
      <c r="E2791" s="1" t="n">
        <v>46326</v>
      </c>
      <c r="F2791" t="inlineStr">
        <is>
          <t>GÄVLEBORGS LÄN</t>
        </is>
      </c>
      <c r="G2791" t="inlineStr">
        <is>
          <t>NORDANSTIG</t>
        </is>
      </c>
      <c r="I2791" t="n">
        <v>4.1</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3753-2026</t>
        </is>
      </c>
      <c r="B2792" t="inlineStr">
        <is>
          <t>avverkningsanmälan</t>
        </is>
      </c>
      <c r="C2792" t="inlineStr">
        <is>
          <t>Föryngringsavverkning</t>
        </is>
      </c>
      <c r="D2792" s="1" t="n">
        <v>46043</v>
      </c>
      <c r="E2792" s="1" t="n">
        <v>46326</v>
      </c>
      <c r="F2792" t="inlineStr">
        <is>
          <t>GÄVLEBORGS LÄN</t>
        </is>
      </c>
      <c r="G2792" t="inlineStr">
        <is>
          <t>SÖDERHAMN</t>
        </is>
      </c>
      <c r="I2792" t="n">
        <v>3</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3758-2026</t>
        </is>
      </c>
      <c r="B2793" t="inlineStr">
        <is>
          <t>avverkningsanmälan</t>
        </is>
      </c>
      <c r="C2793" t="inlineStr">
        <is>
          <t>Föryngringsavverkning</t>
        </is>
      </c>
      <c r="D2793" s="1" t="n">
        <v>46043</v>
      </c>
      <c r="E2793" s="1" t="n">
        <v>46326</v>
      </c>
      <c r="F2793" t="inlineStr">
        <is>
          <t>GÄVLEBORGS LÄN</t>
        </is>
      </c>
      <c r="G2793" t="inlineStr">
        <is>
          <t>OVANÅKER</t>
        </is>
      </c>
      <c r="I2793" t="n">
        <v>2</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3356-2026</t>
        </is>
      </c>
      <c r="B2794" t="inlineStr">
        <is>
          <t>avverkningsanmälan</t>
        </is>
      </c>
      <c r="C2794" t="inlineStr">
        <is>
          <t>Föryngringsavverkning</t>
        </is>
      </c>
      <c r="D2794" s="1" t="n">
        <v>46042</v>
      </c>
      <c r="E2794" s="1" t="n">
        <v>46326</v>
      </c>
      <c r="F2794" t="inlineStr">
        <is>
          <t>GÄVLEBORGS LÄN</t>
        </is>
      </c>
      <c r="G2794" t="inlineStr">
        <is>
          <t>BOLLNÄS</t>
        </is>
      </c>
      <c r="I2794" t="n">
        <v>2.4</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9400-2024</t>
        </is>
      </c>
      <c r="B2795" t="inlineStr">
        <is>
          <t>avverkningsanmälan</t>
        </is>
      </c>
      <c r="C2795" t="inlineStr">
        <is>
          <t>Föryngringsavverkning</t>
        </is>
      </c>
      <c r="D2795" s="1" t="n">
        <v>45359</v>
      </c>
      <c r="E2795" s="1" t="n">
        <v>46326</v>
      </c>
      <c r="F2795" t="inlineStr">
        <is>
          <t>GÄVLEBORGS LÄN</t>
        </is>
      </c>
      <c r="G2795" t="inlineStr">
        <is>
          <t>HUDIKSVALL</t>
        </is>
      </c>
      <c r="H2795" t="inlineStr">
        <is>
          <t>Holmen skog AB</t>
        </is>
      </c>
      <c r="I2795" t="n">
        <v>1.3</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4290-2024</t>
        </is>
      </c>
      <c r="B2796" t="inlineStr">
        <is>
          <t>avverkningsanmälan</t>
        </is>
      </c>
      <c r="C2796" t="inlineStr">
        <is>
          <t>Föryngringsavverkning</t>
        </is>
      </c>
      <c r="D2796" s="1" t="n">
        <v>45324</v>
      </c>
      <c r="E2796" s="1" t="n">
        <v>46326</v>
      </c>
      <c r="F2796" t="inlineStr">
        <is>
          <t>GÄVLEBORGS LÄN</t>
        </is>
      </c>
      <c r="G2796" t="inlineStr">
        <is>
          <t>GÄVLE</t>
        </is>
      </c>
      <c r="I2796" t="n">
        <v>2.9</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3605-2026</t>
        </is>
      </c>
      <c r="B2797" t="inlineStr">
        <is>
          <t>avverkningsanmälan</t>
        </is>
      </c>
      <c r="C2797" t="inlineStr">
        <is>
          <t>Föryngringsavverkning</t>
        </is>
      </c>
      <c r="D2797" s="1" t="n">
        <v>46042</v>
      </c>
      <c r="E2797" s="1" t="n">
        <v>46326</v>
      </c>
      <c r="F2797" t="inlineStr">
        <is>
          <t>GÄVLEBORGS LÄN</t>
        </is>
      </c>
      <c r="G2797" t="inlineStr">
        <is>
          <t>HUDIKSVALL</t>
        </is>
      </c>
      <c r="I2797" t="n">
        <v>1.3</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3355-2026</t>
        </is>
      </c>
      <c r="B2798" t="inlineStr">
        <is>
          <t>avverkningsanmälan</t>
        </is>
      </c>
      <c r="C2798" t="inlineStr">
        <is>
          <t>Föryngringsavverkning</t>
        </is>
      </c>
      <c r="D2798" s="1" t="n">
        <v>46042</v>
      </c>
      <c r="E2798" s="1" t="n">
        <v>46326</v>
      </c>
      <c r="F2798" t="inlineStr">
        <is>
          <t>GÄVLEBORGS LÄN</t>
        </is>
      </c>
      <c r="G2798" t="inlineStr">
        <is>
          <t>BOLLNÄS</t>
        </is>
      </c>
      <c r="I2798" t="n">
        <v>3.1</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22212-2023</t>
        </is>
      </c>
      <c r="B2799" t="inlineStr">
        <is>
          <t>avverkningsanmälan</t>
        </is>
      </c>
      <c r="C2799" t="inlineStr">
        <is>
          <t>Föryngringsavverkning</t>
        </is>
      </c>
      <c r="D2799" s="1" t="n">
        <v>45069</v>
      </c>
      <c r="E2799" s="1" t="n">
        <v>46326</v>
      </c>
      <c r="F2799" t="inlineStr">
        <is>
          <t>GÄVLEBORGS LÄN</t>
        </is>
      </c>
      <c r="G2799" t="inlineStr">
        <is>
          <t>SÖDERHAMN</t>
        </is>
      </c>
      <c r="I2799" t="n">
        <v>0.5</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38609-2022</t>
        </is>
      </c>
      <c r="B2800" t="inlineStr">
        <is>
          <t>avverkningsanmälan</t>
        </is>
      </c>
      <c r="C2800" t="inlineStr">
        <is>
          <t>Föryngringsavverkning</t>
        </is>
      </c>
      <c r="D2800" s="1" t="n">
        <v>44813</v>
      </c>
      <c r="E2800" s="1" t="n">
        <v>46326</v>
      </c>
      <c r="F2800" t="inlineStr">
        <is>
          <t>GÄVLEBORGS LÄN</t>
        </is>
      </c>
      <c r="G2800" t="inlineStr">
        <is>
          <t>SANDVIKEN</t>
        </is>
      </c>
      <c r="I2800" t="n">
        <v>2</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44338-2023</t>
        </is>
      </c>
      <c r="B2801" t="inlineStr">
        <is>
          <t>avverkningsanmälan</t>
        </is>
      </c>
      <c r="C2801" t="inlineStr">
        <is>
          <t>Föryngringsavverkning</t>
        </is>
      </c>
      <c r="D2801" s="1" t="n">
        <v>45188</v>
      </c>
      <c r="E2801" s="1" t="n">
        <v>46326</v>
      </c>
      <c r="F2801" t="inlineStr">
        <is>
          <t>GÄVLEBORGS LÄN</t>
        </is>
      </c>
      <c r="G2801" t="inlineStr">
        <is>
          <t>SÖDERHAMN</t>
        </is>
      </c>
      <c r="H2801" t="inlineStr">
        <is>
          <t>Kommuner</t>
        </is>
      </c>
      <c r="I2801" t="n">
        <v>0.6</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59360-2024</t>
        </is>
      </c>
      <c r="B2802" t="inlineStr">
        <is>
          <t>avverkningsanmälan</t>
        </is>
      </c>
      <c r="C2802" t="inlineStr">
        <is>
          <t>Föryngringsavverkning</t>
        </is>
      </c>
      <c r="D2802" s="1" t="n">
        <v>45638</v>
      </c>
      <c r="E2802" s="1" t="n">
        <v>46326</v>
      </c>
      <c r="F2802" t="inlineStr">
        <is>
          <t>GÄVLEBORGS LÄN</t>
        </is>
      </c>
      <c r="G2802" t="inlineStr">
        <is>
          <t>BOLLNÄS</t>
        </is>
      </c>
      <c r="I2802" t="n">
        <v>1.2</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51970-2024</t>
        </is>
      </c>
      <c r="B2803" t="inlineStr">
        <is>
          <t>avverkningsanmälan</t>
        </is>
      </c>
      <c r="C2803" t="inlineStr">
        <is>
          <t>Avverkning för annat ändamål</t>
        </is>
      </c>
      <c r="D2803" s="1" t="n">
        <v>45607</v>
      </c>
      <c r="E2803" s="1" t="n">
        <v>46326</v>
      </c>
      <c r="F2803" t="inlineStr">
        <is>
          <t>GÄVLEBORGS LÄN</t>
        </is>
      </c>
      <c r="G2803" t="inlineStr">
        <is>
          <t>BOLLNÄS</t>
        </is>
      </c>
      <c r="I2803" t="n">
        <v>1.2</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2268-2025</t>
        </is>
      </c>
      <c r="B2804" t="inlineStr">
        <is>
          <t>avverkningsanmälan</t>
        </is>
      </c>
      <c r="C2804" t="inlineStr">
        <is>
          <t>Föryngringsavverkning</t>
        </is>
      </c>
      <c r="D2804" s="1" t="n">
        <v>45673</v>
      </c>
      <c r="E2804" s="1" t="n">
        <v>46326</v>
      </c>
      <c r="F2804" t="inlineStr">
        <is>
          <t>GÄVLEBORGS LÄN</t>
        </is>
      </c>
      <c r="G2804" t="inlineStr">
        <is>
          <t>SÖDERHAMN</t>
        </is>
      </c>
      <c r="I2804" t="n">
        <v>4.2</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47292-2023</t>
        </is>
      </c>
      <c r="B2805" t="inlineStr">
        <is>
          <t>avverkningsanmälan</t>
        </is>
      </c>
      <c r="C2805" t="inlineStr">
        <is>
          <t>Föryngringsavverkning</t>
        </is>
      </c>
      <c r="D2805" s="1" t="n">
        <v>45202</v>
      </c>
      <c r="E2805" s="1" t="n">
        <v>46326</v>
      </c>
      <c r="F2805" t="inlineStr">
        <is>
          <t>GÄVLEBORGS LÄN</t>
        </is>
      </c>
      <c r="G2805" t="inlineStr">
        <is>
          <t>LJUSDAL</t>
        </is>
      </c>
      <c r="I2805" t="n">
        <v>2.1</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41960-2025</t>
        </is>
      </c>
      <c r="B2806" t="inlineStr">
        <is>
          <t>avverkningsanmälan</t>
        </is>
      </c>
      <c r="C2806" t="inlineStr">
        <is>
          <t>Föryngringsavverkning</t>
        </is>
      </c>
      <c r="D2806" s="1" t="n">
        <v>45903</v>
      </c>
      <c r="E2806" s="1" t="n">
        <v>46326</v>
      </c>
      <c r="F2806" t="inlineStr">
        <is>
          <t>GÄVLEBORGS LÄN</t>
        </is>
      </c>
      <c r="G2806" t="inlineStr">
        <is>
          <t>NORDANSTIG</t>
        </is>
      </c>
      <c r="H2806" t="inlineStr">
        <is>
          <t>SCA</t>
        </is>
      </c>
      <c r="I2806" t="n">
        <v>1.7</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3487-2026</t>
        </is>
      </c>
      <c r="B2807" t="inlineStr">
        <is>
          <t>avverkningsanmälan</t>
        </is>
      </c>
      <c r="C2807" t="inlineStr">
        <is>
          <t>Föryngringsavverkning</t>
        </is>
      </c>
      <c r="D2807" s="1" t="n">
        <v>46042</v>
      </c>
      <c r="E2807" s="1" t="n">
        <v>46326</v>
      </c>
      <c r="F2807" t="inlineStr">
        <is>
          <t>GÄVLEBORGS LÄN</t>
        </is>
      </c>
      <c r="G2807" t="inlineStr">
        <is>
          <t>BOLLNÄS</t>
        </is>
      </c>
      <c r="I2807" t="n">
        <v>18.3</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30196-2025</t>
        </is>
      </c>
      <c r="B2808" t="inlineStr">
        <is>
          <t>avverkningsanmälan</t>
        </is>
      </c>
      <c r="C2808" t="inlineStr">
        <is>
          <t>Föryngringsavverkning</t>
        </is>
      </c>
      <c r="D2808" s="1" t="n">
        <v>45827</v>
      </c>
      <c r="E2808" s="1" t="n">
        <v>46326</v>
      </c>
      <c r="F2808" t="inlineStr">
        <is>
          <t>GÄVLEBORGS LÄN</t>
        </is>
      </c>
      <c r="G2808" t="inlineStr">
        <is>
          <t>OVANÅKER</t>
        </is>
      </c>
      <c r="I2808" t="n">
        <v>1.9</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3816-2026</t>
        </is>
      </c>
      <c r="B2809" t="inlineStr">
        <is>
          <t>avverkningsanmälan</t>
        </is>
      </c>
      <c r="C2809" t="inlineStr">
        <is>
          <t>Föryngringsavverkning</t>
        </is>
      </c>
      <c r="D2809" s="1" t="n">
        <v>46043</v>
      </c>
      <c r="E2809" s="1" t="n">
        <v>46326</v>
      </c>
      <c r="F2809" t="inlineStr">
        <is>
          <t>GÄVLEBORGS LÄN</t>
        </is>
      </c>
      <c r="G2809" t="inlineStr">
        <is>
          <t>HUDIKSVALL</t>
        </is>
      </c>
      <c r="I2809" t="n">
        <v>6.5</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30234-2025</t>
        </is>
      </c>
      <c r="B2810" t="inlineStr">
        <is>
          <t>avverkningsanmälan</t>
        </is>
      </c>
      <c r="C2810" t="inlineStr">
        <is>
          <t>Föryngringsavverkning</t>
        </is>
      </c>
      <c r="D2810" s="1" t="n">
        <v>45827</v>
      </c>
      <c r="E2810" s="1" t="n">
        <v>46326</v>
      </c>
      <c r="F2810" t="inlineStr">
        <is>
          <t>GÄVLEBORGS LÄN</t>
        </is>
      </c>
      <c r="G2810" t="inlineStr">
        <is>
          <t>HUDIKSVALL</t>
        </is>
      </c>
      <c r="I2810" t="n">
        <v>8.300000000000001</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3745-2026</t>
        </is>
      </c>
      <c r="B2811" t="inlineStr">
        <is>
          <t>avverkningsanmälan</t>
        </is>
      </c>
      <c r="C2811" t="inlineStr">
        <is>
          <t>Föryngringsavverkning</t>
        </is>
      </c>
      <c r="D2811" s="1" t="n">
        <v>46043</v>
      </c>
      <c r="E2811" s="1" t="n">
        <v>46326</v>
      </c>
      <c r="F2811" t="inlineStr">
        <is>
          <t>GÄVLEBORGS LÄN</t>
        </is>
      </c>
      <c r="G2811" t="inlineStr">
        <is>
          <t>NORDANSTIG</t>
        </is>
      </c>
      <c r="I2811" t="n">
        <v>1.9</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29892-2025</t>
        </is>
      </c>
      <c r="B2812" t="inlineStr">
        <is>
          <t>avverkningsanmälan</t>
        </is>
      </c>
      <c r="C2812" t="inlineStr">
        <is>
          <t>Föryngringsavverkning</t>
        </is>
      </c>
      <c r="D2812" s="1" t="n">
        <v>45826</v>
      </c>
      <c r="E2812" s="1" t="n">
        <v>46326</v>
      </c>
      <c r="F2812" t="inlineStr">
        <is>
          <t>GÄVLEBORGS LÄN</t>
        </is>
      </c>
      <c r="G2812" t="inlineStr">
        <is>
          <t>OVANÅKER</t>
        </is>
      </c>
      <c r="H2812" t="inlineStr">
        <is>
          <t>Holmen skog AB</t>
        </is>
      </c>
      <c r="I2812" t="n">
        <v>10.5</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30013-2025</t>
        </is>
      </c>
      <c r="B2813" t="inlineStr">
        <is>
          <t>avverkningsanmälan</t>
        </is>
      </c>
      <c r="C2813" t="inlineStr">
        <is>
          <t>Föryngringsavverkning</t>
        </is>
      </c>
      <c r="D2813" s="1" t="n">
        <v>45826</v>
      </c>
      <c r="E2813" s="1" t="n">
        <v>46326</v>
      </c>
      <c r="F2813" t="inlineStr">
        <is>
          <t>GÄVLEBORGS LÄN</t>
        </is>
      </c>
      <c r="G2813" t="inlineStr">
        <is>
          <t>OVANÅKER</t>
        </is>
      </c>
      <c r="H2813" t="inlineStr">
        <is>
          <t>Holmen skog AB</t>
        </is>
      </c>
      <c r="I2813" t="n">
        <v>4.6</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3762-2026</t>
        </is>
      </c>
      <c r="B2814" t="inlineStr">
        <is>
          <t>avverkningsanmälan</t>
        </is>
      </c>
      <c r="C2814" t="inlineStr">
        <is>
          <t>Föryngringsavverkning</t>
        </is>
      </c>
      <c r="D2814" s="1" t="n">
        <v>46043</v>
      </c>
      <c r="E2814" s="1" t="n">
        <v>46326</v>
      </c>
      <c r="F2814" t="inlineStr">
        <is>
          <t>GÄVLEBORGS LÄN</t>
        </is>
      </c>
      <c r="G2814" t="inlineStr">
        <is>
          <t>NORDANSTIG</t>
        </is>
      </c>
      <c r="I2814" t="n">
        <v>1.5</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3354-2026</t>
        </is>
      </c>
      <c r="B2815" t="inlineStr">
        <is>
          <t>avverkningsanmälan</t>
        </is>
      </c>
      <c r="C2815" t="inlineStr">
        <is>
          <t>Föryngringsavverkning</t>
        </is>
      </c>
      <c r="D2815" s="1" t="n">
        <v>46042</v>
      </c>
      <c r="E2815" s="1" t="n">
        <v>46326</v>
      </c>
      <c r="F2815" t="inlineStr">
        <is>
          <t>GÄVLEBORGS LÄN</t>
        </is>
      </c>
      <c r="G2815" t="inlineStr">
        <is>
          <t>BOLLNÄS</t>
        </is>
      </c>
      <c r="I2815" t="n">
        <v>8.9</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30300-2025</t>
        </is>
      </c>
      <c r="B2816" t="inlineStr">
        <is>
          <t>avverkningsanmälan</t>
        </is>
      </c>
      <c r="C2816" t="inlineStr">
        <is>
          <t>Föryngringsavverkning</t>
        </is>
      </c>
      <c r="D2816" s="1" t="n">
        <v>45827</v>
      </c>
      <c r="E2816" s="1" t="n">
        <v>46326</v>
      </c>
      <c r="F2816" t="inlineStr">
        <is>
          <t>GÄVLEBORGS LÄN</t>
        </is>
      </c>
      <c r="G2816" t="inlineStr">
        <is>
          <t>GÄVLE</t>
        </is>
      </c>
      <c r="I2816" t="n">
        <v>1.2</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30304-2025</t>
        </is>
      </c>
      <c r="B2817" t="inlineStr">
        <is>
          <t>avverkningsanmälan</t>
        </is>
      </c>
      <c r="C2817" t="inlineStr">
        <is>
          <t>Föryngringsavverkning</t>
        </is>
      </c>
      <c r="D2817" s="1" t="n">
        <v>45827</v>
      </c>
      <c r="E2817" s="1" t="n">
        <v>46326</v>
      </c>
      <c r="F2817" t="inlineStr">
        <is>
          <t>GÄVLEBORGS LÄN</t>
        </is>
      </c>
      <c r="G2817" t="inlineStr">
        <is>
          <t>GÄVLE</t>
        </is>
      </c>
      <c r="I2817" t="n">
        <v>1.8</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3747-2026</t>
        </is>
      </c>
      <c r="B2818" t="inlineStr">
        <is>
          <t>avverkningsanmälan</t>
        </is>
      </c>
      <c r="C2818" t="inlineStr">
        <is>
          <t>Föryngringsavverkning</t>
        </is>
      </c>
      <c r="D2818" s="1" t="n">
        <v>46043</v>
      </c>
      <c r="E2818" s="1" t="n">
        <v>46326</v>
      </c>
      <c r="F2818" t="inlineStr">
        <is>
          <t>GÄVLEBORGS LÄN</t>
        </is>
      </c>
      <c r="G2818" t="inlineStr">
        <is>
          <t>NORDANSTIG</t>
        </is>
      </c>
      <c r="I2818" t="n">
        <v>24.7</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3790-2026</t>
        </is>
      </c>
      <c r="B2819" t="inlineStr">
        <is>
          <t>avverkningsanmälan</t>
        </is>
      </c>
      <c r="C2819" t="inlineStr">
        <is>
          <t>Föryngringsavverkning</t>
        </is>
      </c>
      <c r="D2819" s="1" t="n">
        <v>46043</v>
      </c>
      <c r="E2819" s="1" t="n">
        <v>46326</v>
      </c>
      <c r="F2819" t="inlineStr">
        <is>
          <t>GÄVLEBORGS LÄN</t>
        </is>
      </c>
      <c r="G2819" t="inlineStr">
        <is>
          <t>NORDANSTIG</t>
        </is>
      </c>
      <c r="I2819" t="n">
        <v>10.1</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3766-2026</t>
        </is>
      </c>
      <c r="B2820" t="inlineStr">
        <is>
          <t>avverkningsanmälan</t>
        </is>
      </c>
      <c r="C2820" t="inlineStr">
        <is>
          <t>Föryngringsavverkning</t>
        </is>
      </c>
      <c r="D2820" s="1" t="n">
        <v>46043</v>
      </c>
      <c r="E2820" s="1" t="n">
        <v>46326</v>
      </c>
      <c r="F2820" t="inlineStr">
        <is>
          <t>GÄVLEBORGS LÄN</t>
        </is>
      </c>
      <c r="G2820" t="inlineStr">
        <is>
          <t>NORDANSTIG</t>
        </is>
      </c>
      <c r="I2820" t="n">
        <v>1.5</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3502-2026</t>
        </is>
      </c>
      <c r="B2821" t="inlineStr">
        <is>
          <t>avverkningsanmälan</t>
        </is>
      </c>
      <c r="C2821" t="inlineStr">
        <is>
          <t>Föryngringsavverkning</t>
        </is>
      </c>
      <c r="D2821" s="1" t="n">
        <v>46042</v>
      </c>
      <c r="E2821" s="1" t="n">
        <v>46326</v>
      </c>
      <c r="F2821" t="inlineStr">
        <is>
          <t>GÄVLEBORGS LÄN</t>
        </is>
      </c>
      <c r="G2821" t="inlineStr">
        <is>
          <t>BOLLNÄS</t>
        </is>
      </c>
      <c r="I2821" t="n">
        <v>4</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3352-2026</t>
        </is>
      </c>
      <c r="B2822" t="inlineStr">
        <is>
          <t>avverkningsanmälan</t>
        </is>
      </c>
      <c r="C2822" t="inlineStr">
        <is>
          <t>Föryngringsavverkning</t>
        </is>
      </c>
      <c r="D2822" s="1" t="n">
        <v>46041</v>
      </c>
      <c r="E2822" s="1" t="n">
        <v>46326</v>
      </c>
      <c r="F2822" t="inlineStr">
        <is>
          <t>GÄVLEBORGS LÄN</t>
        </is>
      </c>
      <c r="G2822" t="inlineStr">
        <is>
          <t>LJUSDAL</t>
        </is>
      </c>
      <c r="I2822" t="n">
        <v>3.3</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30029-2025</t>
        </is>
      </c>
      <c r="B2823" t="inlineStr">
        <is>
          <t>avverkningsanmälan</t>
        </is>
      </c>
      <c r="C2823" t="inlineStr">
        <is>
          <t>Avverkning för annat ändamål</t>
        </is>
      </c>
      <c r="D2823" s="1" t="n">
        <v>45826</v>
      </c>
      <c r="E2823" s="1" t="n">
        <v>46326</v>
      </c>
      <c r="F2823" t="inlineStr">
        <is>
          <t>GÄVLEBORGS LÄN</t>
        </is>
      </c>
      <c r="G2823" t="inlineStr">
        <is>
          <t>OVANÅKER</t>
        </is>
      </c>
      <c r="I2823" t="n">
        <v>0.6</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30152-2025</t>
        </is>
      </c>
      <c r="B2824" t="inlineStr">
        <is>
          <t>avverkningsanmälan</t>
        </is>
      </c>
      <c r="C2824" t="inlineStr">
        <is>
          <t>Föryngringsavverkning</t>
        </is>
      </c>
      <c r="D2824" s="1" t="n">
        <v>45827</v>
      </c>
      <c r="E2824" s="1" t="n">
        <v>46326</v>
      </c>
      <c r="F2824" t="inlineStr">
        <is>
          <t>GÄVLEBORGS LÄN</t>
        </is>
      </c>
      <c r="G2824" t="inlineStr">
        <is>
          <t>OCKELBO</t>
        </is>
      </c>
      <c r="H2824" t="inlineStr">
        <is>
          <t>Bergvik skog väst AB</t>
        </is>
      </c>
      <c r="I2824" t="n">
        <v>6.5</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30291-2025</t>
        </is>
      </c>
      <c r="B2825" t="inlineStr">
        <is>
          <t>avverkningsanmälan</t>
        </is>
      </c>
      <c r="C2825" t="inlineStr">
        <is>
          <t>Föryngringsavverkning</t>
        </is>
      </c>
      <c r="D2825" s="1" t="n">
        <v>45827</v>
      </c>
      <c r="E2825" s="1" t="n">
        <v>46326</v>
      </c>
      <c r="F2825" t="inlineStr">
        <is>
          <t>GÄVLEBORGS LÄN</t>
        </is>
      </c>
      <c r="G2825" t="inlineStr">
        <is>
          <t>NORDANSTIG</t>
        </is>
      </c>
      <c r="H2825" t="inlineStr">
        <is>
          <t>Holmen skog AB</t>
        </is>
      </c>
      <c r="I2825" t="n">
        <v>11.2</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29878-2025</t>
        </is>
      </c>
      <c r="B2826" t="inlineStr">
        <is>
          <t>avverkningsanmälan</t>
        </is>
      </c>
      <c r="C2826" t="inlineStr">
        <is>
          <t>Föryngringsavverkning</t>
        </is>
      </c>
      <c r="D2826" s="1" t="n">
        <v>45826</v>
      </c>
      <c r="E2826" s="1" t="n">
        <v>46326</v>
      </c>
      <c r="F2826" t="inlineStr">
        <is>
          <t>GÄVLEBORGS LÄN</t>
        </is>
      </c>
      <c r="G2826" t="inlineStr">
        <is>
          <t>NORDANSTIG</t>
        </is>
      </c>
      <c r="H2826" t="inlineStr">
        <is>
          <t>Holmen skog AB</t>
        </is>
      </c>
      <c r="I2826" t="n">
        <v>4.2</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30058-2025</t>
        </is>
      </c>
      <c r="B2827" t="inlineStr">
        <is>
          <t>avverkningsanmälan</t>
        </is>
      </c>
      <c r="C2827" t="inlineStr">
        <is>
          <t>Föryngringsavverkning</t>
        </is>
      </c>
      <c r="D2827" s="1" t="n">
        <v>45826</v>
      </c>
      <c r="E2827" s="1" t="n">
        <v>46326</v>
      </c>
      <c r="F2827" t="inlineStr">
        <is>
          <t>GÄVLEBORGS LÄN</t>
        </is>
      </c>
      <c r="G2827" t="inlineStr">
        <is>
          <t>SÖDERHAMN</t>
        </is>
      </c>
      <c r="I2827" t="n">
        <v>2.4</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30455-2025</t>
        </is>
      </c>
      <c r="B2828" t="inlineStr">
        <is>
          <t>avverkningsanmälan</t>
        </is>
      </c>
      <c r="C2828" t="inlineStr">
        <is>
          <t>Föryngringsavverkning</t>
        </is>
      </c>
      <c r="D2828" s="1" t="n">
        <v>45827</v>
      </c>
      <c r="E2828" s="1" t="n">
        <v>46326</v>
      </c>
      <c r="F2828" t="inlineStr">
        <is>
          <t>GÄVLEBORGS LÄN</t>
        </is>
      </c>
      <c r="G2828" t="inlineStr">
        <is>
          <t>BOLLNÄS</t>
        </is>
      </c>
      <c r="I2828" t="n">
        <v>2.4</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41935-2025</t>
        </is>
      </c>
      <c r="B2829" t="inlineStr">
        <is>
          <t>avverkningsanmälan</t>
        </is>
      </c>
      <c r="C2829" t="inlineStr">
        <is>
          <t>Föryngringsavverkning</t>
        </is>
      </c>
      <c r="D2829" s="1" t="n">
        <v>45903</v>
      </c>
      <c r="E2829" s="1" t="n">
        <v>46326</v>
      </c>
      <c r="F2829" t="inlineStr">
        <is>
          <t>GÄVLEBORGS LÄN</t>
        </is>
      </c>
      <c r="G2829" t="inlineStr">
        <is>
          <t>LJUSDAL</t>
        </is>
      </c>
      <c r="I2829" t="n">
        <v>1.1</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29835-2025</t>
        </is>
      </c>
      <c r="B2830" t="inlineStr">
        <is>
          <t>avverkningsanmälan</t>
        </is>
      </c>
      <c r="C2830" t="inlineStr">
        <is>
          <t>Föryngringsavverkning</t>
        </is>
      </c>
      <c r="D2830" s="1" t="n">
        <v>45825</v>
      </c>
      <c r="E2830" s="1" t="n">
        <v>46326</v>
      </c>
      <c r="F2830" t="inlineStr">
        <is>
          <t>GÄVLEBORGS LÄN</t>
        </is>
      </c>
      <c r="G2830" t="inlineStr">
        <is>
          <t>SÖDERHAMN</t>
        </is>
      </c>
      <c r="I2830" t="n">
        <v>0.5</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30104-2024</t>
        </is>
      </c>
      <c r="B2831" t="inlineStr">
        <is>
          <t>avverkningsanmälan</t>
        </is>
      </c>
      <c r="C2831" t="inlineStr">
        <is>
          <t>Föryngringsavverkning</t>
        </is>
      </c>
      <c r="D2831" s="1" t="n">
        <v>45485</v>
      </c>
      <c r="E2831" s="1" t="n">
        <v>46326</v>
      </c>
      <c r="F2831" t="inlineStr">
        <is>
          <t>GÄVLEBORGS LÄN</t>
        </is>
      </c>
      <c r="G2831" t="inlineStr">
        <is>
          <t>GÄVLE</t>
        </is>
      </c>
      <c r="H2831" t="inlineStr">
        <is>
          <t>Bergvik skog väst AB</t>
        </is>
      </c>
      <c r="I2831" t="n">
        <v>2.2</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29931-2025</t>
        </is>
      </c>
      <c r="B2832" t="inlineStr">
        <is>
          <t>avverkningsanmälan</t>
        </is>
      </c>
      <c r="C2832" t="inlineStr">
        <is>
          <t>Föryngringsavverkning</t>
        </is>
      </c>
      <c r="D2832" s="1" t="n">
        <v>45826</v>
      </c>
      <c r="E2832" s="1" t="n">
        <v>46326</v>
      </c>
      <c r="F2832" t="inlineStr">
        <is>
          <t>GÄVLEBORGS LÄN</t>
        </is>
      </c>
      <c r="G2832" t="inlineStr">
        <is>
          <t>OVANÅKER</t>
        </is>
      </c>
      <c r="H2832" t="inlineStr">
        <is>
          <t>Bergvik skog öst AB</t>
        </is>
      </c>
      <c r="I2832" t="n">
        <v>10</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41901-2025</t>
        </is>
      </c>
      <c r="B2833" t="inlineStr">
        <is>
          <t>avverkningsanmälan</t>
        </is>
      </c>
      <c r="C2833" t="inlineStr">
        <is>
          <t>Föryngringsavverkning</t>
        </is>
      </c>
      <c r="D2833" s="1" t="n">
        <v>45903</v>
      </c>
      <c r="E2833" s="1" t="n">
        <v>46326</v>
      </c>
      <c r="F2833" t="inlineStr">
        <is>
          <t>GÄVLEBORGS LÄN</t>
        </is>
      </c>
      <c r="G2833" t="inlineStr">
        <is>
          <t>OCKELBO</t>
        </is>
      </c>
      <c r="I2833" t="n">
        <v>1.1</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41928-2025</t>
        </is>
      </c>
      <c r="B2834" t="inlineStr">
        <is>
          <t>avverkningsanmälan</t>
        </is>
      </c>
      <c r="C2834" t="inlineStr">
        <is>
          <t>Föryngringsavverkning</t>
        </is>
      </c>
      <c r="D2834" s="1" t="n">
        <v>45903</v>
      </c>
      <c r="E2834" s="1" t="n">
        <v>46326</v>
      </c>
      <c r="F2834" t="inlineStr">
        <is>
          <t>GÄVLEBORGS LÄN</t>
        </is>
      </c>
      <c r="G2834" t="inlineStr">
        <is>
          <t>LJUSDAL</t>
        </is>
      </c>
      <c r="I2834" t="n">
        <v>1.5</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41936-2025</t>
        </is>
      </c>
      <c r="B2835" t="inlineStr">
        <is>
          <t>avverkningsanmälan</t>
        </is>
      </c>
      <c r="C2835" t="inlineStr">
        <is>
          <t>Föryngringsavverkning</t>
        </is>
      </c>
      <c r="D2835" s="1" t="n">
        <v>45903</v>
      </c>
      <c r="E2835" s="1" t="n">
        <v>46326</v>
      </c>
      <c r="F2835" t="inlineStr">
        <is>
          <t>GÄVLEBORGS LÄN</t>
        </is>
      </c>
      <c r="G2835" t="inlineStr">
        <is>
          <t>LJUSDAL</t>
        </is>
      </c>
      <c r="I2835" t="n">
        <v>1.4</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30650-2025</t>
        </is>
      </c>
      <c r="B2836" t="inlineStr">
        <is>
          <t>avverkningsanmälan</t>
        </is>
      </c>
      <c r="C2836" t="inlineStr">
        <is>
          <t>Föryngringsavverkning</t>
        </is>
      </c>
      <c r="D2836" s="1" t="n">
        <v>45831</v>
      </c>
      <c r="E2836" s="1" t="n">
        <v>46326</v>
      </c>
      <c r="F2836" t="inlineStr">
        <is>
          <t>GÄVLEBORGS LÄN</t>
        </is>
      </c>
      <c r="G2836" t="inlineStr">
        <is>
          <t>BOLLNÄS</t>
        </is>
      </c>
      <c r="I2836" t="n">
        <v>0.6</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41897-2025</t>
        </is>
      </c>
      <c r="B2837" t="inlineStr">
        <is>
          <t>avverkningsanmälan</t>
        </is>
      </c>
      <c r="C2837" t="inlineStr">
        <is>
          <t>Föryngringsavverkning</t>
        </is>
      </c>
      <c r="D2837" s="1" t="n">
        <v>45903</v>
      </c>
      <c r="E2837" s="1" t="n">
        <v>46326</v>
      </c>
      <c r="F2837" t="inlineStr">
        <is>
          <t>GÄVLEBORGS LÄN</t>
        </is>
      </c>
      <c r="G2837" t="inlineStr">
        <is>
          <t>OCKELBO</t>
        </is>
      </c>
      <c r="I2837" t="n">
        <v>4.7</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41899-2025</t>
        </is>
      </c>
      <c r="B2838" t="inlineStr">
        <is>
          <t>avverkningsanmälan</t>
        </is>
      </c>
      <c r="C2838" t="inlineStr">
        <is>
          <t>Föryngringsavverkning</t>
        </is>
      </c>
      <c r="D2838" s="1" t="n">
        <v>45903</v>
      </c>
      <c r="E2838" s="1" t="n">
        <v>46326</v>
      </c>
      <c r="F2838" t="inlineStr">
        <is>
          <t>GÄVLEBORGS LÄN</t>
        </is>
      </c>
      <c r="G2838" t="inlineStr">
        <is>
          <t>OCKELBO</t>
        </is>
      </c>
      <c r="H2838" t="inlineStr">
        <is>
          <t>Bergvik skog väst AB</t>
        </is>
      </c>
      <c r="I2838" t="n">
        <v>5.9</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41918-2025</t>
        </is>
      </c>
      <c r="B2839" t="inlineStr">
        <is>
          <t>avverkningsanmälan</t>
        </is>
      </c>
      <c r="C2839" t="inlineStr">
        <is>
          <t>Föryngringsavverkning</t>
        </is>
      </c>
      <c r="D2839" s="1" t="n">
        <v>45903</v>
      </c>
      <c r="E2839" s="1" t="n">
        <v>46326</v>
      </c>
      <c r="F2839" t="inlineStr">
        <is>
          <t>GÄVLEBORGS LÄN</t>
        </is>
      </c>
      <c r="G2839" t="inlineStr">
        <is>
          <t>LJUSDAL</t>
        </is>
      </c>
      <c r="I2839" t="n">
        <v>0.5</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3755-2026</t>
        </is>
      </c>
      <c r="B2840" t="inlineStr">
        <is>
          <t>avverkningsanmälan</t>
        </is>
      </c>
      <c r="C2840" t="inlineStr">
        <is>
          <t>Föryngringsavverkning</t>
        </is>
      </c>
      <c r="D2840" s="1" t="n">
        <v>46043</v>
      </c>
      <c r="E2840" s="1" t="n">
        <v>46326</v>
      </c>
      <c r="F2840" t="inlineStr">
        <is>
          <t>GÄVLEBORGS LÄN</t>
        </is>
      </c>
      <c r="G2840" t="inlineStr">
        <is>
          <t>OVANÅKER</t>
        </is>
      </c>
      <c r="I2840" t="n">
        <v>1.2</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3860-2026</t>
        </is>
      </c>
      <c r="B2841" t="inlineStr">
        <is>
          <t>avverkningsanmälan</t>
        </is>
      </c>
      <c r="C2841" t="inlineStr">
        <is>
          <t>Föryngringsavverkning</t>
        </is>
      </c>
      <c r="D2841" s="1" t="n">
        <v>46043</v>
      </c>
      <c r="E2841" s="1" t="n">
        <v>46326</v>
      </c>
      <c r="F2841" t="inlineStr">
        <is>
          <t>GÄVLEBORGS LÄN</t>
        </is>
      </c>
      <c r="G2841" t="inlineStr">
        <is>
          <t>HUDIKSVALL</t>
        </is>
      </c>
      <c r="I2841" t="n">
        <v>3.2</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3916-2026</t>
        </is>
      </c>
      <c r="B2842" t="inlineStr">
        <is>
          <t>avverkningsanmälan</t>
        </is>
      </c>
      <c r="C2842" t="inlineStr">
        <is>
          <t>Föryngringsavverkning</t>
        </is>
      </c>
      <c r="D2842" s="1" t="n">
        <v>46043</v>
      </c>
      <c r="E2842" s="1" t="n">
        <v>46326</v>
      </c>
      <c r="F2842" t="inlineStr">
        <is>
          <t>GÄVLEBORGS LÄN</t>
        </is>
      </c>
      <c r="G2842" t="inlineStr">
        <is>
          <t>BOLLNÄS</t>
        </is>
      </c>
      <c r="I2842" t="n">
        <v>7.5</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41923-2025</t>
        </is>
      </c>
      <c r="B2843" t="inlineStr">
        <is>
          <t>avverkningsanmälan</t>
        </is>
      </c>
      <c r="C2843" t="inlineStr">
        <is>
          <t>Föryngringsavverkning</t>
        </is>
      </c>
      <c r="D2843" s="1" t="n">
        <v>45903</v>
      </c>
      <c r="E2843" s="1" t="n">
        <v>46326</v>
      </c>
      <c r="F2843" t="inlineStr">
        <is>
          <t>GÄVLEBORGS LÄN</t>
        </is>
      </c>
      <c r="G2843" t="inlineStr">
        <is>
          <t>LJUSDAL</t>
        </is>
      </c>
      <c r="I2843" t="n">
        <v>0.9</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3595-2026</t>
        </is>
      </c>
      <c r="B2844" t="inlineStr">
        <is>
          <t>avverkningsanmälan</t>
        </is>
      </c>
      <c r="C2844" t="inlineStr">
        <is>
          <t>Föryngringsavverkning</t>
        </is>
      </c>
      <c r="D2844" s="1" t="n">
        <v>46042</v>
      </c>
      <c r="E2844" s="1" t="n">
        <v>46326</v>
      </c>
      <c r="F2844" t="inlineStr">
        <is>
          <t>GÄVLEBORGS LÄN</t>
        </is>
      </c>
      <c r="G2844" t="inlineStr">
        <is>
          <t>BOLLNÄS</t>
        </is>
      </c>
      <c r="I2844" t="n">
        <v>36.1</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52772-2023</t>
        </is>
      </c>
      <c r="B2845" t="inlineStr">
        <is>
          <t>avverkningsanmälan</t>
        </is>
      </c>
      <c r="C2845" t="inlineStr">
        <is>
          <t>Föryngringsavverkning</t>
        </is>
      </c>
      <c r="D2845" s="1" t="n">
        <v>45226</v>
      </c>
      <c r="E2845" s="1" t="n">
        <v>46326</v>
      </c>
      <c r="F2845" t="inlineStr">
        <is>
          <t>GÄVLEBORGS LÄN</t>
        </is>
      </c>
      <c r="G2845" t="inlineStr">
        <is>
          <t>SANDVIKEN</t>
        </is>
      </c>
      <c r="H2845" t="inlineStr">
        <is>
          <t>Bergvik skog öst AB</t>
        </is>
      </c>
      <c r="I2845" t="n">
        <v>0.9</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41942-2025</t>
        </is>
      </c>
      <c r="B2846" t="inlineStr">
        <is>
          <t>avverkningsanmälan</t>
        </is>
      </c>
      <c r="C2846" t="inlineStr">
        <is>
          <t>Föryngringsavverkning</t>
        </is>
      </c>
      <c r="D2846" s="1" t="n">
        <v>45903</v>
      </c>
      <c r="E2846" s="1" t="n">
        <v>46326</v>
      </c>
      <c r="F2846" t="inlineStr">
        <is>
          <t>GÄVLEBORGS LÄN</t>
        </is>
      </c>
      <c r="G2846" t="inlineStr">
        <is>
          <t>LJUSDAL</t>
        </is>
      </c>
      <c r="I2846" t="n">
        <v>0.7</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41655-2025</t>
        </is>
      </c>
      <c r="B2847" t="inlineStr">
        <is>
          <t>avverkningsanmälan</t>
        </is>
      </c>
      <c r="C2847" t="inlineStr">
        <is>
          <t>Föryngringsavverkning</t>
        </is>
      </c>
      <c r="D2847" s="1" t="n">
        <v>45902</v>
      </c>
      <c r="E2847" s="1" t="n">
        <v>46326</v>
      </c>
      <c r="F2847" t="inlineStr">
        <is>
          <t>GÄVLEBORGS LÄN</t>
        </is>
      </c>
      <c r="G2847" t="inlineStr">
        <is>
          <t>BOLLNÄS</t>
        </is>
      </c>
      <c r="I2847" t="n">
        <v>4.1</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30480-2025</t>
        </is>
      </c>
      <c r="B2848" t="inlineStr">
        <is>
          <t>avverkningsanmälan</t>
        </is>
      </c>
      <c r="C2848" t="inlineStr">
        <is>
          <t>Föryngringsavverkning</t>
        </is>
      </c>
      <c r="D2848" s="1" t="n">
        <v>45828</v>
      </c>
      <c r="E2848" s="1" t="n">
        <v>46326</v>
      </c>
      <c r="F2848" t="inlineStr">
        <is>
          <t>GÄVLEBORGS LÄN</t>
        </is>
      </c>
      <c r="G2848" t="inlineStr">
        <is>
          <t>HUDIKSVALL</t>
        </is>
      </c>
      <c r="H2848" t="inlineStr">
        <is>
          <t>Holmen skog AB</t>
        </is>
      </c>
      <c r="I2848" t="n">
        <v>4</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1969-2025</t>
        </is>
      </c>
      <c r="B2849" t="inlineStr">
        <is>
          <t>avverkningsanmälan</t>
        </is>
      </c>
      <c r="C2849" t="inlineStr">
        <is>
          <t>Föryngringsavverkning</t>
        </is>
      </c>
      <c r="D2849" s="1" t="n">
        <v>45672</v>
      </c>
      <c r="E2849" s="1" t="n">
        <v>46326</v>
      </c>
      <c r="F2849" t="inlineStr">
        <is>
          <t>GÄVLEBORGS LÄN</t>
        </is>
      </c>
      <c r="G2849" t="inlineStr">
        <is>
          <t>GÄVLE</t>
        </is>
      </c>
      <c r="H2849" t="inlineStr">
        <is>
          <t>Kyrkan</t>
        </is>
      </c>
      <c r="I2849" t="n">
        <v>6.7</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30757-2025</t>
        </is>
      </c>
      <c r="B2850" t="inlineStr">
        <is>
          <t>avverkningsanmälan</t>
        </is>
      </c>
      <c r="C2850" t="inlineStr">
        <is>
          <t>Föryngringsavverkning</t>
        </is>
      </c>
      <c r="D2850" s="1" t="n">
        <v>45831</v>
      </c>
      <c r="E2850" s="1" t="n">
        <v>46326</v>
      </c>
      <c r="F2850" t="inlineStr">
        <is>
          <t>GÄVLEBORGS LÄN</t>
        </is>
      </c>
      <c r="G2850" t="inlineStr">
        <is>
          <t>HUDIKSVALL</t>
        </is>
      </c>
      <c r="H2850" t="inlineStr">
        <is>
          <t>Holmen skog AB</t>
        </is>
      </c>
      <c r="I2850" t="n">
        <v>6.6</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41938-2025</t>
        </is>
      </c>
      <c r="B2851" t="inlineStr">
        <is>
          <t>avverkningsanmälan</t>
        </is>
      </c>
      <c r="C2851" t="inlineStr">
        <is>
          <t>Föryngringsavverkning</t>
        </is>
      </c>
      <c r="D2851" s="1" t="n">
        <v>45903</v>
      </c>
      <c r="E2851" s="1" t="n">
        <v>46326</v>
      </c>
      <c r="F2851" t="inlineStr">
        <is>
          <t>GÄVLEBORGS LÄN</t>
        </is>
      </c>
      <c r="G2851" t="inlineStr">
        <is>
          <t>LJUSDAL</t>
        </is>
      </c>
      <c r="I2851" t="n">
        <v>0.8</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30749-2025</t>
        </is>
      </c>
      <c r="B2852" t="inlineStr">
        <is>
          <t>avverkningsanmälan</t>
        </is>
      </c>
      <c r="C2852" t="inlineStr">
        <is>
          <t>Föryngringsavverkning</t>
        </is>
      </c>
      <c r="D2852" s="1" t="n">
        <v>45831</v>
      </c>
      <c r="E2852" s="1" t="n">
        <v>46326</v>
      </c>
      <c r="F2852" t="inlineStr">
        <is>
          <t>GÄVLEBORGS LÄN</t>
        </is>
      </c>
      <c r="G2852" t="inlineStr">
        <is>
          <t>BOLLNÄS</t>
        </is>
      </c>
      <c r="H2852" t="inlineStr">
        <is>
          <t>Bergvik skog väst AB</t>
        </is>
      </c>
      <c r="I2852" t="n">
        <v>10.1</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3547-2026</t>
        </is>
      </c>
      <c r="B2853" t="inlineStr">
        <is>
          <t>avverkningsanmälan</t>
        </is>
      </c>
      <c r="C2853" t="inlineStr">
        <is>
          <t>Föryngringsavverkning</t>
        </is>
      </c>
      <c r="D2853" s="1" t="n">
        <v>46042</v>
      </c>
      <c r="E2853" s="1" t="n">
        <v>46326</v>
      </c>
      <c r="F2853" t="inlineStr">
        <is>
          <t>GÄVLEBORGS LÄN</t>
        </is>
      </c>
      <c r="G2853" t="inlineStr">
        <is>
          <t>NORDANSTIG</t>
        </is>
      </c>
      <c r="I2853" t="n">
        <v>7.5</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3888-2026</t>
        </is>
      </c>
      <c r="B2854" t="inlineStr">
        <is>
          <t>avverkningsanmälan</t>
        </is>
      </c>
      <c r="C2854" t="inlineStr">
        <is>
          <t>Föryngringsavverkning</t>
        </is>
      </c>
      <c r="D2854" s="1" t="n">
        <v>46043</v>
      </c>
      <c r="E2854" s="1" t="n">
        <v>46326</v>
      </c>
      <c r="F2854" t="inlineStr">
        <is>
          <t>GÄVLEBORGS LÄN</t>
        </is>
      </c>
      <c r="G2854" t="inlineStr">
        <is>
          <t>BOLLNÄS</t>
        </is>
      </c>
      <c r="I2854" t="n">
        <v>1.5</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3919-2026</t>
        </is>
      </c>
      <c r="B2855" t="inlineStr">
        <is>
          <t>avverkningsanmälan</t>
        </is>
      </c>
      <c r="C2855" t="inlineStr">
        <is>
          <t>Föryngringsavverkning</t>
        </is>
      </c>
      <c r="D2855" s="1" t="n">
        <v>46043</v>
      </c>
      <c r="E2855" s="1" t="n">
        <v>46326</v>
      </c>
      <c r="F2855" t="inlineStr">
        <is>
          <t>GÄVLEBORGS LÄN</t>
        </is>
      </c>
      <c r="G2855" t="inlineStr">
        <is>
          <t>BOLLNÄS</t>
        </is>
      </c>
      <c r="I2855" t="n">
        <v>1.6</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3636-2026</t>
        </is>
      </c>
      <c r="B2856" t="inlineStr">
        <is>
          <t>avverkningsanmälan</t>
        </is>
      </c>
      <c r="C2856" t="inlineStr">
        <is>
          <t>Föryngringsavverkning</t>
        </is>
      </c>
      <c r="D2856" s="1" t="n">
        <v>46043</v>
      </c>
      <c r="E2856" s="1" t="n">
        <v>46326</v>
      </c>
      <c r="F2856" t="inlineStr">
        <is>
          <t>GÄVLEBORGS LÄN</t>
        </is>
      </c>
      <c r="G2856" t="inlineStr">
        <is>
          <t>HUDIKSVALL</t>
        </is>
      </c>
      <c r="I2856" t="n">
        <v>1.4</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30826-2025</t>
        </is>
      </c>
      <c r="B2857" t="inlineStr">
        <is>
          <t>avverkningsanmälan</t>
        </is>
      </c>
      <c r="C2857" t="inlineStr">
        <is>
          <t>Föryngringsavverkning</t>
        </is>
      </c>
      <c r="D2857" s="1" t="n">
        <v>45831</v>
      </c>
      <c r="E2857" s="1" t="n">
        <v>46326</v>
      </c>
      <c r="F2857" t="inlineStr">
        <is>
          <t>GÄVLEBORGS LÄN</t>
        </is>
      </c>
      <c r="G2857" t="inlineStr">
        <is>
          <t>OVANÅKER</t>
        </is>
      </c>
      <c r="I2857" t="n">
        <v>0.6</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3639-2026</t>
        </is>
      </c>
      <c r="B2858" t="inlineStr">
        <is>
          <t>avverkningsanmälan</t>
        </is>
      </c>
      <c r="C2858" t="inlineStr">
        <is>
          <t>Föryngringsavverkning</t>
        </is>
      </c>
      <c r="D2858" s="1" t="n">
        <v>46043</v>
      </c>
      <c r="E2858" s="1" t="n">
        <v>46326</v>
      </c>
      <c r="F2858" t="inlineStr">
        <is>
          <t>GÄVLEBORGS LÄN</t>
        </is>
      </c>
      <c r="G2858" t="inlineStr">
        <is>
          <t>BOLLNÄS</t>
        </is>
      </c>
      <c r="H2858" t="inlineStr">
        <is>
          <t>Kyrkan</t>
        </is>
      </c>
      <c r="I2858" t="n">
        <v>2.2</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3548-2026</t>
        </is>
      </c>
      <c r="B2859" t="inlineStr">
        <is>
          <t>avverkningsanmälan</t>
        </is>
      </c>
      <c r="C2859" t="inlineStr">
        <is>
          <t>Föryngringsavverkning</t>
        </is>
      </c>
      <c r="D2859" s="1" t="n">
        <v>46042</v>
      </c>
      <c r="E2859" s="1" t="n">
        <v>46326</v>
      </c>
      <c r="F2859" t="inlineStr">
        <is>
          <t>GÄVLEBORGS LÄN</t>
        </is>
      </c>
      <c r="G2859" t="inlineStr">
        <is>
          <t>NORDANSTIG</t>
        </is>
      </c>
      <c r="I2859" t="n">
        <v>1.3</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3403-2026</t>
        </is>
      </c>
      <c r="B2860" t="inlineStr">
        <is>
          <t>avverkningsanmälan</t>
        </is>
      </c>
      <c r="C2860" t="inlineStr">
        <is>
          <t>Föryngringsavverkning</t>
        </is>
      </c>
      <c r="D2860" s="1" t="n">
        <v>46042</v>
      </c>
      <c r="E2860" s="1" t="n">
        <v>46326</v>
      </c>
      <c r="F2860" t="inlineStr">
        <is>
          <t>GÄVLEBORGS LÄN</t>
        </is>
      </c>
      <c r="G2860" t="inlineStr">
        <is>
          <t>NORDANSTIG</t>
        </is>
      </c>
      <c r="I2860" t="n">
        <v>4.9</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3468-2026</t>
        </is>
      </c>
      <c r="B2861" t="inlineStr">
        <is>
          <t>avverkningsanmälan</t>
        </is>
      </c>
      <c r="C2861" t="inlineStr">
        <is>
          <t>Föryngringsavverkning</t>
        </is>
      </c>
      <c r="D2861" s="1" t="n">
        <v>46042</v>
      </c>
      <c r="E2861" s="1" t="n">
        <v>46326</v>
      </c>
      <c r="F2861" t="inlineStr">
        <is>
          <t>GÄVLEBORGS LÄN</t>
        </is>
      </c>
      <c r="G2861" t="inlineStr">
        <is>
          <t>BOLLNÄS</t>
        </is>
      </c>
      <c r="I2861" t="n">
        <v>3.5</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3825-2026</t>
        </is>
      </c>
      <c r="B2862" t="inlineStr">
        <is>
          <t>avverkningsanmälan</t>
        </is>
      </c>
      <c r="C2862" t="inlineStr">
        <is>
          <t>Föryngringsavverkning</t>
        </is>
      </c>
      <c r="D2862" s="1" t="n">
        <v>46043</v>
      </c>
      <c r="E2862" s="1" t="n">
        <v>46326</v>
      </c>
      <c r="F2862" t="inlineStr">
        <is>
          <t>GÄVLEBORGS LÄN</t>
        </is>
      </c>
      <c r="G2862" t="inlineStr">
        <is>
          <t>BOLLNÄS</t>
        </is>
      </c>
      <c r="I2862" t="n">
        <v>8</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3828-2026</t>
        </is>
      </c>
      <c r="B2863" t="inlineStr">
        <is>
          <t>avverkningsanmälan</t>
        </is>
      </c>
      <c r="C2863" t="inlineStr">
        <is>
          <t>Föryngringsavverkning</t>
        </is>
      </c>
      <c r="D2863" s="1" t="n">
        <v>46043</v>
      </c>
      <c r="E2863" s="1" t="n">
        <v>46326</v>
      </c>
      <c r="F2863" t="inlineStr">
        <is>
          <t>GÄVLEBORGS LÄN</t>
        </is>
      </c>
      <c r="G2863" t="inlineStr">
        <is>
          <t>NORDANSTIG</t>
        </is>
      </c>
      <c r="I2863" t="n">
        <v>11.3</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41762-2025</t>
        </is>
      </c>
      <c r="B2864" t="inlineStr">
        <is>
          <t>avverkningsanmälan</t>
        </is>
      </c>
      <c r="C2864" t="inlineStr">
        <is>
          <t>Föryngringsavverkning</t>
        </is>
      </c>
      <c r="D2864" s="1" t="n">
        <v>45902</v>
      </c>
      <c r="E2864" s="1" t="n">
        <v>46326</v>
      </c>
      <c r="F2864" t="inlineStr">
        <is>
          <t>GÄVLEBORGS LÄN</t>
        </is>
      </c>
      <c r="G2864" t="inlineStr">
        <is>
          <t>HUDIKSVALL</t>
        </is>
      </c>
      <c r="H2864" t="inlineStr">
        <is>
          <t>Holmen skog AB</t>
        </is>
      </c>
      <c r="I2864" t="n">
        <v>17</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41786-2025</t>
        </is>
      </c>
      <c r="B2865" t="inlineStr">
        <is>
          <t>avverkningsanmälan</t>
        </is>
      </c>
      <c r="C2865" t="inlineStr">
        <is>
          <t>Föryngringsavverkning</t>
        </is>
      </c>
      <c r="D2865" s="1" t="n">
        <v>45902</v>
      </c>
      <c r="E2865" s="1" t="n">
        <v>46326</v>
      </c>
      <c r="F2865" t="inlineStr">
        <is>
          <t>GÄVLEBORGS LÄN</t>
        </is>
      </c>
      <c r="G2865" t="inlineStr">
        <is>
          <t>LJUSDAL</t>
        </is>
      </c>
      <c r="H2865" t="inlineStr">
        <is>
          <t>Kommuner</t>
        </is>
      </c>
      <c r="I2865" t="n">
        <v>1.7</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3820-2026</t>
        </is>
      </c>
      <c r="B2866" t="inlineStr">
        <is>
          <t>avverkningsanmälan</t>
        </is>
      </c>
      <c r="C2866" t="inlineStr">
        <is>
          <t>Föryngringsavverkning</t>
        </is>
      </c>
      <c r="D2866" s="1" t="n">
        <v>46043</v>
      </c>
      <c r="E2866" s="1" t="n">
        <v>46326</v>
      </c>
      <c r="F2866" t="inlineStr">
        <is>
          <t>GÄVLEBORGS LÄN</t>
        </is>
      </c>
      <c r="G2866" t="inlineStr">
        <is>
          <t>NORDANSTIG</t>
        </is>
      </c>
      <c r="I2866" t="n">
        <v>8.4</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3620-2026</t>
        </is>
      </c>
      <c r="B2867" t="inlineStr">
        <is>
          <t>avverkningsanmälan</t>
        </is>
      </c>
      <c r="C2867" t="inlineStr">
        <is>
          <t>Föryngringsavverkning</t>
        </is>
      </c>
      <c r="D2867" s="1" t="n">
        <v>46043</v>
      </c>
      <c r="E2867" s="1" t="n">
        <v>46326</v>
      </c>
      <c r="F2867" t="inlineStr">
        <is>
          <t>GÄVLEBORGS LÄN</t>
        </is>
      </c>
      <c r="G2867" t="inlineStr">
        <is>
          <t>LJUSDAL</t>
        </is>
      </c>
      <c r="I2867" t="n">
        <v>3.1</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4178-2026</t>
        </is>
      </c>
      <c r="B2868" t="inlineStr">
        <is>
          <t>avverkningsanmälan</t>
        </is>
      </c>
      <c r="C2868" t="inlineStr">
        <is>
          <t>Föryngringsavverkning</t>
        </is>
      </c>
      <c r="D2868" s="1" t="n">
        <v>46044</v>
      </c>
      <c r="E2868" s="1" t="n">
        <v>46326</v>
      </c>
      <c r="F2868" t="inlineStr">
        <is>
          <t>GÄVLEBORGS LÄN</t>
        </is>
      </c>
      <c r="G2868" t="inlineStr">
        <is>
          <t>OCKELBO</t>
        </is>
      </c>
      <c r="I2868" t="n">
        <v>3.8</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4234-2026</t>
        </is>
      </c>
      <c r="B2869" t="inlineStr">
        <is>
          <t>avverkningsanmälan</t>
        </is>
      </c>
      <c r="C2869" t="inlineStr">
        <is>
          <t>Föryngringsavverkning</t>
        </is>
      </c>
      <c r="D2869" s="1" t="n">
        <v>46044</v>
      </c>
      <c r="E2869" s="1" t="n">
        <v>46326</v>
      </c>
      <c r="F2869" t="inlineStr">
        <is>
          <t>GÄVLEBORGS LÄN</t>
        </is>
      </c>
      <c r="G2869" t="inlineStr">
        <is>
          <t>OCKELBO</t>
        </is>
      </c>
      <c r="I2869" t="n">
        <v>2.7</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4220-2026</t>
        </is>
      </c>
      <c r="B2870" t="inlineStr">
        <is>
          <t>avverkningsanmälan</t>
        </is>
      </c>
      <c r="C2870" t="inlineStr">
        <is>
          <t>Föryngringsavverkning</t>
        </is>
      </c>
      <c r="D2870" s="1" t="n">
        <v>46044</v>
      </c>
      <c r="E2870" s="1" t="n">
        <v>46326</v>
      </c>
      <c r="F2870" t="inlineStr">
        <is>
          <t>GÄVLEBORGS LÄN</t>
        </is>
      </c>
      <c r="G2870" t="inlineStr">
        <is>
          <t>HUDIKSVALL</t>
        </is>
      </c>
      <c r="I2870" t="n">
        <v>3.7</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30479-2025</t>
        </is>
      </c>
      <c r="B2871" t="inlineStr">
        <is>
          <t>avverkningsanmälan</t>
        </is>
      </c>
      <c r="C2871" t="inlineStr">
        <is>
          <t>Föryngringsavverkning</t>
        </is>
      </c>
      <c r="D2871" s="1" t="n">
        <v>45828</v>
      </c>
      <c r="E2871" s="1" t="n">
        <v>46326</v>
      </c>
      <c r="F2871" t="inlineStr">
        <is>
          <t>GÄVLEBORGS LÄN</t>
        </is>
      </c>
      <c r="G2871" t="inlineStr">
        <is>
          <t>HUDIKSVALL</t>
        </is>
      </c>
      <c r="H2871" t="inlineStr">
        <is>
          <t>Holmen skog AB</t>
        </is>
      </c>
      <c r="I2871" t="n">
        <v>13.5</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30481-2025</t>
        </is>
      </c>
      <c r="B2872" t="inlineStr">
        <is>
          <t>avverkningsanmälan</t>
        </is>
      </c>
      <c r="C2872" t="inlineStr">
        <is>
          <t>Föryngringsavverkning</t>
        </is>
      </c>
      <c r="D2872" s="1" t="n">
        <v>45828</v>
      </c>
      <c r="E2872" s="1" t="n">
        <v>46326</v>
      </c>
      <c r="F2872" t="inlineStr">
        <is>
          <t>GÄVLEBORGS LÄN</t>
        </is>
      </c>
      <c r="G2872" t="inlineStr">
        <is>
          <t>HUDIKSVALL</t>
        </is>
      </c>
      <c r="H2872" t="inlineStr">
        <is>
          <t>Holmen skog AB</t>
        </is>
      </c>
      <c r="I2872" t="n">
        <v>2</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4196-2026</t>
        </is>
      </c>
      <c r="B2873" t="inlineStr">
        <is>
          <t>avverkningsanmälan</t>
        </is>
      </c>
      <c r="C2873" t="inlineStr">
        <is>
          <t>Föryngringsavverkning</t>
        </is>
      </c>
      <c r="D2873" s="1" t="n">
        <v>46044</v>
      </c>
      <c r="E2873" s="1" t="n">
        <v>46326</v>
      </c>
      <c r="F2873" t="inlineStr">
        <is>
          <t>GÄVLEBORGS LÄN</t>
        </is>
      </c>
      <c r="G2873" t="inlineStr">
        <is>
          <t>OVANÅKER</t>
        </is>
      </c>
      <c r="I2873" t="n">
        <v>0.8</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4268-2026</t>
        </is>
      </c>
      <c r="B2874" t="inlineStr">
        <is>
          <t>avverkningsanmälan</t>
        </is>
      </c>
      <c r="C2874" t="inlineStr">
        <is>
          <t>Föryngringsavverkning</t>
        </is>
      </c>
      <c r="D2874" s="1" t="n">
        <v>46045</v>
      </c>
      <c r="E2874" s="1" t="n">
        <v>46326</v>
      </c>
      <c r="F2874" t="inlineStr">
        <is>
          <t>GÄVLEBORGS LÄN</t>
        </is>
      </c>
      <c r="G2874" t="inlineStr">
        <is>
          <t>OCKELBO</t>
        </is>
      </c>
      <c r="H2874" t="inlineStr">
        <is>
          <t>Bergvik skog väst AB</t>
        </is>
      </c>
      <c r="I2874" t="n">
        <v>1</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4288-2026</t>
        </is>
      </c>
      <c r="B2875" t="inlineStr">
        <is>
          <t>avverkningsanmälan</t>
        </is>
      </c>
      <c r="C2875" t="inlineStr">
        <is>
          <t>Föryngringsavverkning</t>
        </is>
      </c>
      <c r="D2875" s="1" t="n">
        <v>46045</v>
      </c>
      <c r="E2875" s="1" t="n">
        <v>46326</v>
      </c>
      <c r="F2875" t="inlineStr">
        <is>
          <t>GÄVLEBORGS LÄN</t>
        </is>
      </c>
      <c r="G2875" t="inlineStr">
        <is>
          <t>BOLLNÄS</t>
        </is>
      </c>
      <c r="I2875" t="n">
        <v>5.9</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4403-2026</t>
        </is>
      </c>
      <c r="B2876" t="inlineStr">
        <is>
          <t>avverkningsanmälan</t>
        </is>
      </c>
      <c r="C2876" t="inlineStr">
        <is>
          <t>Föryngringsavverkning</t>
        </is>
      </c>
      <c r="D2876" s="1" t="n">
        <v>46045</v>
      </c>
      <c r="E2876" s="1" t="n">
        <v>46326</v>
      </c>
      <c r="F2876" t="inlineStr">
        <is>
          <t>GÄVLEBORGS LÄN</t>
        </is>
      </c>
      <c r="G2876" t="inlineStr">
        <is>
          <t>LJUSDAL</t>
        </is>
      </c>
      <c r="H2876" t="inlineStr">
        <is>
          <t>Holmen skog AB</t>
        </is>
      </c>
      <c r="I2876" t="n">
        <v>2</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30496-2025</t>
        </is>
      </c>
      <c r="B2877" t="inlineStr">
        <is>
          <t>avverkningsanmälan</t>
        </is>
      </c>
      <c r="C2877" t="inlineStr">
        <is>
          <t>Föryngringsavverkning</t>
        </is>
      </c>
      <c r="D2877" s="1" t="n">
        <v>45830</v>
      </c>
      <c r="E2877" s="1" t="n">
        <v>46326</v>
      </c>
      <c r="F2877" t="inlineStr">
        <is>
          <t>GÄVLEBORGS LÄN</t>
        </is>
      </c>
      <c r="G2877" t="inlineStr">
        <is>
          <t>LJUSDAL</t>
        </is>
      </c>
      <c r="I2877" t="n">
        <v>7.8</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26611-2023</t>
        </is>
      </c>
      <c r="B2878" t="inlineStr">
        <is>
          <t>avverkningsanmälan</t>
        </is>
      </c>
      <c r="C2878" t="inlineStr">
        <is>
          <t>Föryngringsavverkning</t>
        </is>
      </c>
      <c r="D2878" s="1" t="n">
        <v>45092</v>
      </c>
      <c r="E2878" s="1" t="n">
        <v>46326</v>
      </c>
      <c r="F2878" t="inlineStr">
        <is>
          <t>GÄVLEBORGS LÄN</t>
        </is>
      </c>
      <c r="G2878" t="inlineStr">
        <is>
          <t>LJUSDAL</t>
        </is>
      </c>
      <c r="I2878" t="n">
        <v>1.5</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41683-2025</t>
        </is>
      </c>
      <c r="B2879" t="inlineStr">
        <is>
          <t>avverkningsanmälan</t>
        </is>
      </c>
      <c r="C2879" t="inlineStr">
        <is>
          <t>Föryngringsavverkning</t>
        </is>
      </c>
      <c r="D2879" s="1" t="n">
        <v>45902</v>
      </c>
      <c r="E2879" s="1" t="n">
        <v>46326</v>
      </c>
      <c r="F2879" t="inlineStr">
        <is>
          <t>GÄVLEBORGS LÄN</t>
        </is>
      </c>
      <c r="G2879" t="inlineStr">
        <is>
          <t>GÄVLE</t>
        </is>
      </c>
      <c r="H2879" t="inlineStr">
        <is>
          <t>Bergvik skog väst AB</t>
        </is>
      </c>
      <c r="I2879" t="n">
        <v>0.6</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29790-2023</t>
        </is>
      </c>
      <c r="B2880" t="inlineStr">
        <is>
          <t>avverkningsanmälan</t>
        </is>
      </c>
      <c r="C2880" t="inlineStr">
        <is>
          <t>Föryngringsavverkning</t>
        </is>
      </c>
      <c r="D2880" s="1" t="n">
        <v>45107</v>
      </c>
      <c r="E2880" s="1" t="n">
        <v>46326</v>
      </c>
      <c r="F2880" t="inlineStr">
        <is>
          <t>GÄVLEBORGS LÄN</t>
        </is>
      </c>
      <c r="G2880" t="inlineStr">
        <is>
          <t>LJUSDAL</t>
        </is>
      </c>
      <c r="I2880" t="n">
        <v>4.8</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27512-2023</t>
        </is>
      </c>
      <c r="B2881" t="inlineStr">
        <is>
          <t>avverkningsanmälan</t>
        </is>
      </c>
      <c r="C2881" t="inlineStr">
        <is>
          <t>Föryngringsavverkning</t>
        </is>
      </c>
      <c r="D2881" s="1" t="n">
        <v>45097</v>
      </c>
      <c r="E2881" s="1" t="n">
        <v>46326</v>
      </c>
      <c r="F2881" t="inlineStr">
        <is>
          <t>GÄVLEBORGS LÄN</t>
        </is>
      </c>
      <c r="G2881" t="inlineStr">
        <is>
          <t>LJUSDAL</t>
        </is>
      </c>
      <c r="H2881" t="inlineStr">
        <is>
          <t>Holmen skog AB</t>
        </is>
      </c>
      <c r="I2881" t="n">
        <v>1.1</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4452-2026</t>
        </is>
      </c>
      <c r="B2882" t="inlineStr">
        <is>
          <t>avverkningsanmälan</t>
        </is>
      </c>
      <c r="C2882" t="inlineStr">
        <is>
          <t>Föryngringsavverkning</t>
        </is>
      </c>
      <c r="D2882" s="1" t="n">
        <v>46045</v>
      </c>
      <c r="E2882" s="1" t="n">
        <v>46326</v>
      </c>
      <c r="F2882" t="inlineStr">
        <is>
          <t>GÄVLEBORGS LÄN</t>
        </is>
      </c>
      <c r="G2882" t="inlineStr">
        <is>
          <t>BOLLNÄS</t>
        </is>
      </c>
      <c r="I2882" t="n">
        <v>0.8</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4127-2026</t>
        </is>
      </c>
      <c r="B2883" t="inlineStr">
        <is>
          <t>avverkningsanmälan</t>
        </is>
      </c>
      <c r="C2883" t="inlineStr">
        <is>
          <t>Föryngringsavverkning</t>
        </is>
      </c>
      <c r="D2883" s="1" t="n">
        <v>46044</v>
      </c>
      <c r="E2883" s="1" t="n">
        <v>46326</v>
      </c>
      <c r="F2883" t="inlineStr">
        <is>
          <t>GÄVLEBORGS LÄN</t>
        </is>
      </c>
      <c r="G2883" t="inlineStr">
        <is>
          <t>BOLLNÄS</t>
        </is>
      </c>
      <c r="I2883" t="n">
        <v>6.1</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4128-2026</t>
        </is>
      </c>
      <c r="B2884" t="inlineStr">
        <is>
          <t>avverkningsanmälan</t>
        </is>
      </c>
      <c r="C2884" t="inlineStr">
        <is>
          <t>Föryngringsavverkning</t>
        </is>
      </c>
      <c r="D2884" s="1" t="n">
        <v>46044</v>
      </c>
      <c r="E2884" s="1" t="n">
        <v>46326</v>
      </c>
      <c r="F2884" t="inlineStr">
        <is>
          <t>GÄVLEBORGS LÄN</t>
        </is>
      </c>
      <c r="G2884" t="inlineStr">
        <is>
          <t>NORDANSTIG</t>
        </is>
      </c>
      <c r="I2884" t="n">
        <v>8</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42463-2025</t>
        </is>
      </c>
      <c r="B2885" t="inlineStr">
        <is>
          <t>avverkningsanmälan</t>
        </is>
      </c>
      <c r="C2885" t="inlineStr">
        <is>
          <t>Föryngringsavverkning</t>
        </is>
      </c>
      <c r="D2885" s="1" t="n">
        <v>45905</v>
      </c>
      <c r="E2885" s="1" t="n">
        <v>46326</v>
      </c>
      <c r="F2885" t="inlineStr">
        <is>
          <t>GÄVLEBORGS LÄN</t>
        </is>
      </c>
      <c r="G2885" t="inlineStr">
        <is>
          <t>LJUSDAL</t>
        </is>
      </c>
      <c r="H2885" t="inlineStr">
        <is>
          <t>Holmen skog AB</t>
        </is>
      </c>
      <c r="I2885" t="n">
        <v>2.4</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42497-2025</t>
        </is>
      </c>
      <c r="B2886" t="inlineStr">
        <is>
          <t>avverkningsanmälan</t>
        </is>
      </c>
      <c r="C2886" t="inlineStr">
        <is>
          <t>Föryngringsavverkning</t>
        </is>
      </c>
      <c r="D2886" s="1" t="n">
        <v>45905</v>
      </c>
      <c r="E2886" s="1" t="n">
        <v>46326</v>
      </c>
      <c r="F2886" t="inlineStr">
        <is>
          <t>GÄVLEBORGS LÄN</t>
        </is>
      </c>
      <c r="G2886" t="inlineStr">
        <is>
          <t>SÖDERHAMN</t>
        </is>
      </c>
      <c r="I2886" t="n">
        <v>5.6</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4239-2026</t>
        </is>
      </c>
      <c r="B2887" t="inlineStr">
        <is>
          <t>avverkningsanmälan</t>
        </is>
      </c>
      <c r="C2887" t="inlineStr">
        <is>
          <t>Föryngringsavverkning</t>
        </is>
      </c>
      <c r="D2887" s="1" t="n">
        <v>46045</v>
      </c>
      <c r="E2887" s="1" t="n">
        <v>46326</v>
      </c>
      <c r="F2887" t="inlineStr">
        <is>
          <t>GÄVLEBORGS LÄN</t>
        </is>
      </c>
      <c r="G2887" t="inlineStr">
        <is>
          <t>BOLLNÄS</t>
        </is>
      </c>
      <c r="I2887" t="n">
        <v>1.6</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4308-2026</t>
        </is>
      </c>
      <c r="B2888" t="inlineStr">
        <is>
          <t>avverkningsanmälan</t>
        </is>
      </c>
      <c r="C2888" t="inlineStr">
        <is>
          <t>Föryngringsavverkning</t>
        </is>
      </c>
      <c r="D2888" s="1" t="n">
        <v>46045</v>
      </c>
      <c r="E2888" s="1" t="n">
        <v>46326</v>
      </c>
      <c r="F2888" t="inlineStr">
        <is>
          <t>GÄVLEBORGS LÄN</t>
        </is>
      </c>
      <c r="G2888" t="inlineStr">
        <is>
          <t>GÄVLE</t>
        </is>
      </c>
      <c r="H2888" t="inlineStr">
        <is>
          <t>Bergvik skog väst AB</t>
        </is>
      </c>
      <c r="I2888" t="n">
        <v>4.7</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4356-2026</t>
        </is>
      </c>
      <c r="B2889" t="inlineStr">
        <is>
          <t>avverkningsanmälan</t>
        </is>
      </c>
      <c r="C2889" t="inlineStr">
        <is>
          <t>Föryngringsavverkning</t>
        </is>
      </c>
      <c r="D2889" s="1" t="n">
        <v>46045</v>
      </c>
      <c r="E2889" s="1" t="n">
        <v>46326</v>
      </c>
      <c r="F2889" t="inlineStr">
        <is>
          <t>GÄVLEBORGS LÄN</t>
        </is>
      </c>
      <c r="G2889" t="inlineStr">
        <is>
          <t>SÖDERHAMN</t>
        </is>
      </c>
      <c r="I2889" t="n">
        <v>12</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775-2026</t>
        </is>
      </c>
      <c r="B2890" t="inlineStr">
        <is>
          <t>avverkningsanmälan</t>
        </is>
      </c>
      <c r="C2890" t="inlineStr">
        <is>
          <t>Föryngringsavverkning</t>
        </is>
      </c>
      <c r="D2890" s="1" t="n">
        <v>46029</v>
      </c>
      <c r="E2890" s="1" t="n">
        <v>46326</v>
      </c>
      <c r="F2890" t="inlineStr">
        <is>
          <t>GÄVLEBORGS LÄN</t>
        </is>
      </c>
      <c r="G2890" t="inlineStr">
        <is>
          <t>BOLLNÄS</t>
        </is>
      </c>
      <c r="I2890" t="n">
        <v>7.7</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42516-2025</t>
        </is>
      </c>
      <c r="B2891" t="inlineStr">
        <is>
          <t>avverkningsanmälan</t>
        </is>
      </c>
      <c r="C2891" t="inlineStr">
        <is>
          <t>Föryngringsavverkning</t>
        </is>
      </c>
      <c r="D2891" s="1" t="n">
        <v>45905</v>
      </c>
      <c r="E2891" s="1" t="n">
        <v>46326</v>
      </c>
      <c r="F2891" t="inlineStr">
        <is>
          <t>GÄVLEBORGS LÄN</t>
        </is>
      </c>
      <c r="G2891" t="inlineStr">
        <is>
          <t>BOLLNÄS</t>
        </is>
      </c>
      <c r="I2891" t="n">
        <v>0.5</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42263-2025</t>
        </is>
      </c>
      <c r="B2892" t="inlineStr">
        <is>
          <t>avverkningsanmälan</t>
        </is>
      </c>
      <c r="C2892" t="inlineStr">
        <is>
          <t>Föryngringsavverkning</t>
        </is>
      </c>
      <c r="D2892" s="1" t="n">
        <v>45904</v>
      </c>
      <c r="E2892" s="1" t="n">
        <v>46326</v>
      </c>
      <c r="F2892" t="inlineStr">
        <is>
          <t>GÄVLEBORGS LÄN</t>
        </is>
      </c>
      <c r="G2892" t="inlineStr">
        <is>
          <t>OVANÅKER</t>
        </is>
      </c>
      <c r="I2892" t="n">
        <v>0.6</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50268-2024</t>
        </is>
      </c>
      <c r="B2893" t="inlineStr">
        <is>
          <t>avverkningsanmälan</t>
        </is>
      </c>
      <c r="C2893" t="inlineStr">
        <is>
          <t>Föryngringsavverkning</t>
        </is>
      </c>
      <c r="D2893" s="1" t="n">
        <v>45600</v>
      </c>
      <c r="E2893" s="1" t="n">
        <v>46326</v>
      </c>
      <c r="F2893" t="inlineStr">
        <is>
          <t>GÄVLEBORGS LÄN</t>
        </is>
      </c>
      <c r="G2893" t="inlineStr">
        <is>
          <t>SÖDERHAMN</t>
        </is>
      </c>
      <c r="I2893" t="n">
        <v>1.8</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2325-2026</t>
        </is>
      </c>
      <c r="B2894" t="inlineStr">
        <is>
          <t>avverkningsanmälan</t>
        </is>
      </c>
      <c r="C2894" t="inlineStr">
        <is>
          <t>Föryngringsavverkning</t>
        </is>
      </c>
      <c r="D2894" s="1" t="n">
        <v>46036</v>
      </c>
      <c r="E2894" s="1" t="n">
        <v>46326</v>
      </c>
      <c r="F2894" t="inlineStr">
        <is>
          <t>GÄVLEBORGS LÄN</t>
        </is>
      </c>
      <c r="G2894" t="inlineStr">
        <is>
          <t>OCKELBO</t>
        </is>
      </c>
      <c r="I2894" t="n">
        <v>2.7</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3999-2026</t>
        </is>
      </c>
      <c r="B2895" t="inlineStr">
        <is>
          <t>avverkningsanmälan</t>
        </is>
      </c>
      <c r="C2895" t="inlineStr">
        <is>
          <t>Föryngringsavverkning</t>
        </is>
      </c>
      <c r="D2895" s="1" t="n">
        <v>46044</v>
      </c>
      <c r="E2895" s="1" t="n">
        <v>46326</v>
      </c>
      <c r="F2895" t="inlineStr">
        <is>
          <t>GÄVLEBORGS LÄN</t>
        </is>
      </c>
      <c r="G2895" t="inlineStr">
        <is>
          <t>OCKELBO</t>
        </is>
      </c>
      <c r="I2895" t="n">
        <v>5.7</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35364-2024</t>
        </is>
      </c>
      <c r="B2896" t="inlineStr">
        <is>
          <t>avverkningsanmälan</t>
        </is>
      </c>
      <c r="C2896" t="inlineStr">
        <is>
          <t>Föryngringsavverkning</t>
        </is>
      </c>
      <c r="D2896" s="1" t="n">
        <v>45531</v>
      </c>
      <c r="E2896" s="1" t="n">
        <v>46326</v>
      </c>
      <c r="F2896" t="inlineStr">
        <is>
          <t>GÄVLEBORGS LÄN</t>
        </is>
      </c>
      <c r="G2896" t="inlineStr">
        <is>
          <t>LJUSDAL</t>
        </is>
      </c>
      <c r="I2896" t="n">
        <v>5.1</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42340-2025</t>
        </is>
      </c>
      <c r="B2897" t="inlineStr">
        <is>
          <t>avverkningsanmälan</t>
        </is>
      </c>
      <c r="C2897" t="inlineStr">
        <is>
          <t>Avverkning för annat ändamål</t>
        </is>
      </c>
      <c r="D2897" s="1" t="n">
        <v>45904</v>
      </c>
      <c r="E2897" s="1" t="n">
        <v>46326</v>
      </c>
      <c r="F2897" t="inlineStr">
        <is>
          <t>GÄVLEBORGS LÄN</t>
        </is>
      </c>
      <c r="G2897" t="inlineStr">
        <is>
          <t>BOLLNÄS</t>
        </is>
      </c>
      <c r="I2897" t="n">
        <v>0.5</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27558-2023</t>
        </is>
      </c>
      <c r="B2898" t="inlineStr">
        <is>
          <t>avverkningsanmälan</t>
        </is>
      </c>
      <c r="C2898" t="inlineStr">
        <is>
          <t>Föryngringsavverkning</t>
        </is>
      </c>
      <c r="D2898" s="1" t="n">
        <v>45097</v>
      </c>
      <c r="E2898" s="1" t="n">
        <v>46326</v>
      </c>
      <c r="F2898" t="inlineStr">
        <is>
          <t>GÄVLEBORGS LÄN</t>
        </is>
      </c>
      <c r="G2898" t="inlineStr">
        <is>
          <t>BOLLNÄS</t>
        </is>
      </c>
      <c r="I2898" t="n">
        <v>1.3</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4060-2026</t>
        </is>
      </c>
      <c r="B2899" t="inlineStr">
        <is>
          <t>avverkningsanmälan</t>
        </is>
      </c>
      <c r="C2899" t="inlineStr">
        <is>
          <t>Föryngringsavverkning</t>
        </is>
      </c>
      <c r="D2899" s="1" t="n">
        <v>46044</v>
      </c>
      <c r="E2899" s="1" t="n">
        <v>46326</v>
      </c>
      <c r="F2899" t="inlineStr">
        <is>
          <t>GÄVLEBORGS LÄN</t>
        </is>
      </c>
      <c r="G2899" t="inlineStr">
        <is>
          <t>SÖDERHAMN</t>
        </is>
      </c>
      <c r="I2899" t="n">
        <v>1.1</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3991-2026</t>
        </is>
      </c>
      <c r="B2900" t="inlineStr">
        <is>
          <t>avverkningsanmälan</t>
        </is>
      </c>
      <c r="C2900" t="inlineStr">
        <is>
          <t>Föryngringsavverkning</t>
        </is>
      </c>
      <c r="D2900" s="1" t="n">
        <v>46044</v>
      </c>
      <c r="E2900" s="1" t="n">
        <v>46326</v>
      </c>
      <c r="F2900" t="inlineStr">
        <is>
          <t>GÄVLEBORGS LÄN</t>
        </is>
      </c>
      <c r="G2900" t="inlineStr">
        <is>
          <t>SANDVIKEN</t>
        </is>
      </c>
      <c r="I2900" t="n">
        <v>2</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42356-2025</t>
        </is>
      </c>
      <c r="B2901" t="inlineStr">
        <is>
          <t>avverkningsanmälan</t>
        </is>
      </c>
      <c r="C2901" t="inlineStr">
        <is>
          <t>Föryngringsavverkning</t>
        </is>
      </c>
      <c r="D2901" s="1" t="n">
        <v>45905</v>
      </c>
      <c r="E2901" s="1" t="n">
        <v>46326</v>
      </c>
      <c r="F2901" t="inlineStr">
        <is>
          <t>GÄVLEBORGS LÄN</t>
        </is>
      </c>
      <c r="G2901" t="inlineStr">
        <is>
          <t>OVANÅKER</t>
        </is>
      </c>
      <c r="I2901" t="n">
        <v>3.4</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4499-2026</t>
        </is>
      </c>
      <c r="B2902" t="inlineStr">
        <is>
          <t>avverkningsanmälan</t>
        </is>
      </c>
      <c r="C2902" t="inlineStr">
        <is>
          <t>Föryngringsavverkning</t>
        </is>
      </c>
      <c r="D2902" s="1" t="n">
        <v>46045</v>
      </c>
      <c r="E2902" s="1" t="n">
        <v>46326</v>
      </c>
      <c r="F2902" t="inlineStr">
        <is>
          <t>GÄVLEBORGS LÄN</t>
        </is>
      </c>
      <c r="G2902" t="inlineStr">
        <is>
          <t>HUDIKSVALL</t>
        </is>
      </c>
      <c r="I2902" t="n">
        <v>0.8</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1072-2026</t>
        </is>
      </c>
      <c r="B2903" t="inlineStr">
        <is>
          <t>avverkningsanmälan</t>
        </is>
      </c>
      <c r="C2903" t="inlineStr">
        <is>
          <t>Föryngringsavverkning</t>
        </is>
      </c>
      <c r="D2903" s="1" t="n">
        <v>46030</v>
      </c>
      <c r="E2903" s="1" t="n">
        <v>46326</v>
      </c>
      <c r="F2903" t="inlineStr">
        <is>
          <t>GÄVLEBORGS LÄN</t>
        </is>
      </c>
      <c r="G2903" t="inlineStr">
        <is>
          <t>HUDIKSVALL</t>
        </is>
      </c>
      <c r="I2903" t="n">
        <v>8.6</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4000-2026</t>
        </is>
      </c>
      <c r="B2904" t="inlineStr">
        <is>
          <t>avverkningsanmälan</t>
        </is>
      </c>
      <c r="C2904" t="inlineStr">
        <is>
          <t>Föryngringsavverkning</t>
        </is>
      </c>
      <c r="D2904" s="1" t="n">
        <v>46044</v>
      </c>
      <c r="E2904" s="1" t="n">
        <v>46326</v>
      </c>
      <c r="F2904" t="inlineStr">
        <is>
          <t>GÄVLEBORGS LÄN</t>
        </is>
      </c>
      <c r="G2904" t="inlineStr">
        <is>
          <t>OVANÅKER</t>
        </is>
      </c>
      <c r="I2904" t="n">
        <v>0.5</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4447-2026</t>
        </is>
      </c>
      <c r="B2905" t="inlineStr">
        <is>
          <t>avverkningsanmälan</t>
        </is>
      </c>
      <c r="C2905" t="inlineStr">
        <is>
          <t>Föryngringsavverkning</t>
        </is>
      </c>
      <c r="D2905" s="1" t="n">
        <v>46045</v>
      </c>
      <c r="E2905" s="1" t="n">
        <v>46326</v>
      </c>
      <c r="F2905" t="inlineStr">
        <is>
          <t>GÄVLEBORGS LÄN</t>
        </is>
      </c>
      <c r="G2905" t="inlineStr">
        <is>
          <t>BOLLNÄS</t>
        </is>
      </c>
      <c r="I2905" t="n">
        <v>3.9</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4115-2026</t>
        </is>
      </c>
      <c r="B2906" t="inlineStr">
        <is>
          <t>avverkningsanmälan</t>
        </is>
      </c>
      <c r="C2906" t="inlineStr">
        <is>
          <t>Föryngringsavverkning</t>
        </is>
      </c>
      <c r="D2906" s="1" t="n">
        <v>46044</v>
      </c>
      <c r="E2906" s="1" t="n">
        <v>46326</v>
      </c>
      <c r="F2906" t="inlineStr">
        <is>
          <t>GÄVLEBORGS LÄN</t>
        </is>
      </c>
      <c r="G2906" t="inlineStr">
        <is>
          <t>SANDVIKEN</t>
        </is>
      </c>
      <c r="I2906" t="n">
        <v>5.7</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74460-2021</t>
        </is>
      </c>
      <c r="B2907" t="inlineStr">
        <is>
          <t>avverkningsanmälan</t>
        </is>
      </c>
      <c r="C2907" t="inlineStr">
        <is>
          <t>Föryngringsavverkning</t>
        </is>
      </c>
      <c r="D2907" s="1" t="n">
        <v>44560</v>
      </c>
      <c r="E2907" s="1" t="n">
        <v>46326</v>
      </c>
      <c r="F2907" t="inlineStr">
        <is>
          <t>GÄVLEBORGS LÄN</t>
        </is>
      </c>
      <c r="G2907" t="inlineStr">
        <is>
          <t>NORDANSTIG</t>
        </is>
      </c>
      <c r="H2907" t="inlineStr">
        <is>
          <t>Holmen skog AB</t>
        </is>
      </c>
      <c r="I2907" t="n">
        <v>1.7</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4033-2026</t>
        </is>
      </c>
      <c r="B2908" t="inlineStr">
        <is>
          <t>avverkningsanmälan</t>
        </is>
      </c>
      <c r="C2908" t="inlineStr">
        <is>
          <t>Föryngringsavverkning</t>
        </is>
      </c>
      <c r="D2908" s="1" t="n">
        <v>46044</v>
      </c>
      <c r="E2908" s="1" t="n">
        <v>46326</v>
      </c>
      <c r="F2908" t="inlineStr">
        <is>
          <t>GÄVLEBORGS LÄN</t>
        </is>
      </c>
      <c r="G2908" t="inlineStr">
        <is>
          <t>NORDANSTIG</t>
        </is>
      </c>
      <c r="I2908" t="n">
        <v>1.5</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4103-2026</t>
        </is>
      </c>
      <c r="B2909" t="inlineStr">
        <is>
          <t>avverkningsanmälan</t>
        </is>
      </c>
      <c r="C2909" t="inlineStr">
        <is>
          <t>Föryngringsavverkning</t>
        </is>
      </c>
      <c r="D2909" s="1" t="n">
        <v>46044</v>
      </c>
      <c r="E2909" s="1" t="n">
        <v>46326</v>
      </c>
      <c r="F2909" t="inlineStr">
        <is>
          <t>GÄVLEBORGS LÄN</t>
        </is>
      </c>
      <c r="G2909" t="inlineStr">
        <is>
          <t>BOLLNÄS</t>
        </is>
      </c>
      <c r="I2909" t="n">
        <v>1.3</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42259-2025</t>
        </is>
      </c>
      <c r="B2910" t="inlineStr">
        <is>
          <t>avverkningsanmälan</t>
        </is>
      </c>
      <c r="C2910" t="inlineStr">
        <is>
          <t>Föryngringsavverkning</t>
        </is>
      </c>
      <c r="D2910" s="1" t="n">
        <v>45904</v>
      </c>
      <c r="E2910" s="1" t="n">
        <v>46326</v>
      </c>
      <c r="F2910" t="inlineStr">
        <is>
          <t>GÄVLEBORGS LÄN</t>
        </is>
      </c>
      <c r="G2910" t="inlineStr">
        <is>
          <t>OVANÅKER</t>
        </is>
      </c>
      <c r="I2910" t="n">
        <v>0.3</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30686-2025</t>
        </is>
      </c>
      <c r="B2911" t="inlineStr">
        <is>
          <t>avverkningsanmälan</t>
        </is>
      </c>
      <c r="C2911" t="inlineStr">
        <is>
          <t>Föryngringsavverkning</t>
        </is>
      </c>
      <c r="D2911" s="1" t="n">
        <v>45831</v>
      </c>
      <c r="E2911" s="1" t="n">
        <v>46326</v>
      </c>
      <c r="F2911" t="inlineStr">
        <is>
          <t>GÄVLEBORGS LÄN</t>
        </is>
      </c>
      <c r="G2911" t="inlineStr">
        <is>
          <t>LJUSDAL</t>
        </is>
      </c>
      <c r="H2911" t="inlineStr">
        <is>
          <t>Bergvik skog väst AB</t>
        </is>
      </c>
      <c r="I2911" t="n">
        <v>9.9</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4136-2026</t>
        </is>
      </c>
      <c r="B2912" t="inlineStr">
        <is>
          <t>avverkningsanmälan</t>
        </is>
      </c>
      <c r="C2912" t="inlineStr">
        <is>
          <t>Föryngringsavverkning</t>
        </is>
      </c>
      <c r="D2912" s="1" t="n">
        <v>46044</v>
      </c>
      <c r="E2912" s="1" t="n">
        <v>46326</v>
      </c>
      <c r="F2912" t="inlineStr">
        <is>
          <t>GÄVLEBORGS LÄN</t>
        </is>
      </c>
      <c r="G2912" t="inlineStr">
        <is>
          <t>OVANÅKER</t>
        </is>
      </c>
      <c r="I2912" t="n">
        <v>5.9</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730-2026</t>
        </is>
      </c>
      <c r="B2913" t="inlineStr">
        <is>
          <t>avverkningsanmälan</t>
        </is>
      </c>
      <c r="C2913" t="inlineStr">
        <is>
          <t>Föryngringsavverkning</t>
        </is>
      </c>
      <c r="D2913" s="1" t="n">
        <v>46029</v>
      </c>
      <c r="E2913" s="1" t="n">
        <v>46326</v>
      </c>
      <c r="F2913" t="inlineStr">
        <is>
          <t>GÄVLEBORGS LÄN</t>
        </is>
      </c>
      <c r="G2913" t="inlineStr">
        <is>
          <t>OVANÅKER</t>
        </is>
      </c>
      <c r="I2913" t="n">
        <v>6.5</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42398-2025</t>
        </is>
      </c>
      <c r="B2914" t="inlineStr">
        <is>
          <t>avverkningsanmälan</t>
        </is>
      </c>
      <c r="C2914" t="inlineStr">
        <is>
          <t>Föryngringsavverkning</t>
        </is>
      </c>
      <c r="D2914" s="1" t="n">
        <v>45905</v>
      </c>
      <c r="E2914" s="1" t="n">
        <v>46326</v>
      </c>
      <c r="F2914" t="inlineStr">
        <is>
          <t>GÄVLEBORGS LÄN</t>
        </is>
      </c>
      <c r="G2914" t="inlineStr">
        <is>
          <t>LJUSDAL</t>
        </is>
      </c>
      <c r="H2914" t="inlineStr">
        <is>
          <t>Holmen skog AB</t>
        </is>
      </c>
      <c r="I2914" t="n">
        <v>2.3</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42501-2025</t>
        </is>
      </c>
      <c r="B2915" t="inlineStr">
        <is>
          <t>avverkningsanmälan</t>
        </is>
      </c>
      <c r="C2915" t="inlineStr">
        <is>
          <t>Föryngringsavverkning</t>
        </is>
      </c>
      <c r="D2915" s="1" t="n">
        <v>45905</v>
      </c>
      <c r="E2915" s="1" t="n">
        <v>46326</v>
      </c>
      <c r="F2915" t="inlineStr">
        <is>
          <t>GÄVLEBORGS LÄN</t>
        </is>
      </c>
      <c r="G2915" t="inlineStr">
        <is>
          <t>SÖDERHAMN</t>
        </is>
      </c>
      <c r="H2915" t="inlineStr">
        <is>
          <t>Bergvik skog väst AB</t>
        </is>
      </c>
      <c r="I2915" t="n">
        <v>4.5</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42557-2025</t>
        </is>
      </c>
      <c r="B2916" t="inlineStr">
        <is>
          <t>avverkningsanmälan</t>
        </is>
      </c>
      <c r="C2916" t="inlineStr">
        <is>
          <t>Föryngringsavverkning</t>
        </is>
      </c>
      <c r="D2916" s="1" t="n">
        <v>45905</v>
      </c>
      <c r="E2916" s="1" t="n">
        <v>46326</v>
      </c>
      <c r="F2916" t="inlineStr">
        <is>
          <t>GÄVLEBORGS LÄN</t>
        </is>
      </c>
      <c r="G2916" t="inlineStr">
        <is>
          <t>GÄVLE</t>
        </is>
      </c>
      <c r="H2916" t="inlineStr">
        <is>
          <t>Bergvik skog väst AB</t>
        </is>
      </c>
      <c r="I2916" t="n">
        <v>0.8</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4016-2026</t>
        </is>
      </c>
      <c r="B2917" t="inlineStr">
        <is>
          <t>avverkningsanmälan</t>
        </is>
      </c>
      <c r="C2917" t="inlineStr">
        <is>
          <t>Föryngringsavverkning</t>
        </is>
      </c>
      <c r="D2917" s="1" t="n">
        <v>46044</v>
      </c>
      <c r="E2917" s="1" t="n">
        <v>46326</v>
      </c>
      <c r="F2917" t="inlineStr">
        <is>
          <t>GÄVLEBORGS LÄN</t>
        </is>
      </c>
      <c r="G2917" t="inlineStr">
        <is>
          <t>NORDANSTIG</t>
        </is>
      </c>
      <c r="I2917" t="n">
        <v>1.3</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4370-2026</t>
        </is>
      </c>
      <c r="B2918" t="inlineStr">
        <is>
          <t>avverkningsanmälan</t>
        </is>
      </c>
      <c r="C2918" t="inlineStr">
        <is>
          <t>Föryngringsavverkning</t>
        </is>
      </c>
      <c r="D2918" s="1" t="n">
        <v>46045</v>
      </c>
      <c r="E2918" s="1" t="n">
        <v>46326</v>
      </c>
      <c r="F2918" t="inlineStr">
        <is>
          <t>GÄVLEBORGS LÄN</t>
        </is>
      </c>
      <c r="G2918" t="inlineStr">
        <is>
          <t>NORDANSTIG</t>
        </is>
      </c>
      <c r="I2918" t="n">
        <v>4.1</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42386-2025</t>
        </is>
      </c>
      <c r="B2919" t="inlineStr">
        <is>
          <t>avverkningsanmälan</t>
        </is>
      </c>
      <c r="C2919" t="inlineStr">
        <is>
          <t>Föryngringsavverkning</t>
        </is>
      </c>
      <c r="D2919" s="1" t="n">
        <v>45905</v>
      </c>
      <c r="E2919" s="1" t="n">
        <v>46326</v>
      </c>
      <c r="F2919" t="inlineStr">
        <is>
          <t>GÄVLEBORGS LÄN</t>
        </is>
      </c>
      <c r="G2919" t="inlineStr">
        <is>
          <t>OCKELBO</t>
        </is>
      </c>
      <c r="I2919" t="n">
        <v>1.5</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9700-2025</t>
        </is>
      </c>
      <c r="B2920" t="inlineStr">
        <is>
          <t>avverkningsanmälan</t>
        </is>
      </c>
      <c r="C2920" t="inlineStr">
        <is>
          <t>Föryngringsavverkning</t>
        </is>
      </c>
      <c r="D2920" s="1" t="n">
        <v>45716</v>
      </c>
      <c r="E2920" s="1" t="n">
        <v>46326</v>
      </c>
      <c r="F2920" t="inlineStr">
        <is>
          <t>GÄVLEBORGS LÄN</t>
        </is>
      </c>
      <c r="G2920" t="inlineStr">
        <is>
          <t>BOLLNÄS</t>
        </is>
      </c>
      <c r="I2920" t="n">
        <v>0.9</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60885-2023</t>
        </is>
      </c>
      <c r="B2921" t="inlineStr">
        <is>
          <t>avverkningsanmälan</t>
        </is>
      </c>
      <c r="C2921" t="inlineStr">
        <is>
          <t>Föryngringsavverkning</t>
        </is>
      </c>
      <c r="D2921" s="1" t="n">
        <v>45261</v>
      </c>
      <c r="E2921" s="1" t="n">
        <v>46326</v>
      </c>
      <c r="F2921" t="inlineStr">
        <is>
          <t>GÄVLEBORGS LÄN</t>
        </is>
      </c>
      <c r="G2921" t="inlineStr">
        <is>
          <t>GÄVLE</t>
        </is>
      </c>
      <c r="I2921" t="n">
        <v>2.9</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60899-2023</t>
        </is>
      </c>
      <c r="B2922" t="inlineStr">
        <is>
          <t>avverkningsanmälan</t>
        </is>
      </c>
      <c r="C2922" t="inlineStr">
        <is>
          <t>Föryngringsavverkning</t>
        </is>
      </c>
      <c r="D2922" s="1" t="n">
        <v>45261</v>
      </c>
      <c r="E2922" s="1" t="n">
        <v>46326</v>
      </c>
      <c r="F2922" t="inlineStr">
        <is>
          <t>GÄVLEBORGS LÄN</t>
        </is>
      </c>
      <c r="G2922" t="inlineStr">
        <is>
          <t>HUDIKSVALL</t>
        </is>
      </c>
      <c r="H2922" t="inlineStr">
        <is>
          <t>Holmen skog AB</t>
        </is>
      </c>
      <c r="I2922" t="n">
        <v>3.4</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60901-2023</t>
        </is>
      </c>
      <c r="B2923" t="inlineStr">
        <is>
          <t>avverkningsanmälan</t>
        </is>
      </c>
      <c r="C2923" t="inlineStr">
        <is>
          <t>Föryngringsavverkning</t>
        </is>
      </c>
      <c r="D2923" s="1" t="n">
        <v>45261</v>
      </c>
      <c r="E2923" s="1" t="n">
        <v>46326</v>
      </c>
      <c r="F2923" t="inlineStr">
        <is>
          <t>GÄVLEBORGS LÄN</t>
        </is>
      </c>
      <c r="G2923" t="inlineStr">
        <is>
          <t>HUDIKSVALL</t>
        </is>
      </c>
      <c r="H2923" t="inlineStr">
        <is>
          <t>Holmen skog AB</t>
        </is>
      </c>
      <c r="I2923" t="n">
        <v>3.7</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40218-2023</t>
        </is>
      </c>
      <c r="B2924" t="inlineStr">
        <is>
          <t>avverkningsanmälan</t>
        </is>
      </c>
      <c r="C2924" t="inlineStr">
        <is>
          <t>Föryngringsavverkning</t>
        </is>
      </c>
      <c r="D2924" s="1" t="n">
        <v>45169</v>
      </c>
      <c r="E2924" s="1" t="n">
        <v>46326</v>
      </c>
      <c r="F2924" t="inlineStr">
        <is>
          <t>GÄVLEBORGS LÄN</t>
        </is>
      </c>
      <c r="G2924" t="inlineStr">
        <is>
          <t>OCKELBO</t>
        </is>
      </c>
      <c r="I2924" t="n">
        <v>13</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56586-2023</t>
        </is>
      </c>
      <c r="B2925" t="inlineStr">
        <is>
          <t>avverkningsanmälan</t>
        </is>
      </c>
      <c r="C2925" t="inlineStr">
        <is>
          <t>Föryngringsavverkning</t>
        </is>
      </c>
      <c r="D2925" s="1" t="n">
        <v>45243</v>
      </c>
      <c r="E2925" s="1" t="n">
        <v>46326</v>
      </c>
      <c r="F2925" t="inlineStr">
        <is>
          <t>GÄVLEBORGS LÄN</t>
        </is>
      </c>
      <c r="G2925" t="inlineStr">
        <is>
          <t>NORDANSTIG</t>
        </is>
      </c>
      <c r="I2925" t="n">
        <v>1.4</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42200-2025</t>
        </is>
      </c>
      <c r="B2926" t="inlineStr">
        <is>
          <t>avverkningsanmälan</t>
        </is>
      </c>
      <c r="C2926" t="inlineStr">
        <is>
          <t>Föryngringsavverkning</t>
        </is>
      </c>
      <c r="D2926" s="1" t="n">
        <v>45904</v>
      </c>
      <c r="E2926" s="1" t="n">
        <v>46326</v>
      </c>
      <c r="F2926" t="inlineStr">
        <is>
          <t>GÄVLEBORGS LÄN</t>
        </is>
      </c>
      <c r="G2926" t="inlineStr">
        <is>
          <t>NORDANSTIG</t>
        </is>
      </c>
      <c r="I2926" t="n">
        <v>6.6</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42603-2025</t>
        </is>
      </c>
      <c r="B2927" t="inlineStr">
        <is>
          <t>avverkningsanmälan</t>
        </is>
      </c>
      <c r="C2927" t="inlineStr">
        <is>
          <t>Föryngringsavverkning</t>
        </is>
      </c>
      <c r="D2927" s="1" t="n">
        <v>45905</v>
      </c>
      <c r="E2927" s="1" t="n">
        <v>46326</v>
      </c>
      <c r="F2927" t="inlineStr">
        <is>
          <t>GÄVLEBORGS LÄN</t>
        </is>
      </c>
      <c r="G2927" t="inlineStr">
        <is>
          <t>LJUSDAL</t>
        </is>
      </c>
      <c r="H2927" t="inlineStr">
        <is>
          <t>Sveaskog</t>
        </is>
      </c>
      <c r="I2927" t="n">
        <v>2</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30870-2025</t>
        </is>
      </c>
      <c r="B2928" t="inlineStr">
        <is>
          <t>avverkningsanmälan</t>
        </is>
      </c>
      <c r="C2928" t="inlineStr">
        <is>
          <t>Föryngringsavverkning</t>
        </is>
      </c>
      <c r="D2928" s="1" t="n">
        <v>45832</v>
      </c>
      <c r="E2928" s="1" t="n">
        <v>46326</v>
      </c>
      <c r="F2928" t="inlineStr">
        <is>
          <t>GÄVLEBORGS LÄN</t>
        </is>
      </c>
      <c r="G2928" t="inlineStr">
        <is>
          <t>NORDANSTIG</t>
        </is>
      </c>
      <c r="I2928" t="n">
        <v>0.8</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30303-2025</t>
        </is>
      </c>
      <c r="B2929" t="inlineStr">
        <is>
          <t>avverkningsanmälan</t>
        </is>
      </c>
      <c r="C2929" t="inlineStr">
        <is>
          <t>Föryngringsavverkning</t>
        </is>
      </c>
      <c r="D2929" s="1" t="n">
        <v>45827</v>
      </c>
      <c r="E2929" s="1" t="n">
        <v>46326</v>
      </c>
      <c r="F2929" t="inlineStr">
        <is>
          <t>GÄVLEBORGS LÄN</t>
        </is>
      </c>
      <c r="G2929" t="inlineStr">
        <is>
          <t>BOLLNÄS</t>
        </is>
      </c>
      <c r="I2929" t="n">
        <v>1.9</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42151-2025</t>
        </is>
      </c>
      <c r="B2930" t="inlineStr">
        <is>
          <t>avverkningsanmälan</t>
        </is>
      </c>
      <c r="C2930" t="inlineStr">
        <is>
          <t>Föryngringsavverkning</t>
        </is>
      </c>
      <c r="D2930" s="1" t="n">
        <v>45904</v>
      </c>
      <c r="E2930" s="1" t="n">
        <v>46326</v>
      </c>
      <c r="F2930" t="inlineStr">
        <is>
          <t>GÄVLEBORGS LÄN</t>
        </is>
      </c>
      <c r="G2930" t="inlineStr">
        <is>
          <t>HUDIKSVALL</t>
        </is>
      </c>
      <c r="I2930" t="n">
        <v>3.9</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30937-2025</t>
        </is>
      </c>
      <c r="B2931" t="inlineStr">
        <is>
          <t>avverkningsanmälan</t>
        </is>
      </c>
      <c r="C2931" t="inlineStr">
        <is>
          <t>Föryngringsavverkning</t>
        </is>
      </c>
      <c r="D2931" s="1" t="n">
        <v>45832</v>
      </c>
      <c r="E2931" s="1" t="n">
        <v>46326</v>
      </c>
      <c r="F2931" t="inlineStr">
        <is>
          <t>GÄVLEBORGS LÄN</t>
        </is>
      </c>
      <c r="G2931" t="inlineStr">
        <is>
          <t>LJUSDAL</t>
        </is>
      </c>
      <c r="I2931" t="n">
        <v>1.5</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42601-2025</t>
        </is>
      </c>
      <c r="B2932" t="inlineStr">
        <is>
          <t>avverkningsanmälan</t>
        </is>
      </c>
      <c r="C2932" t="inlineStr">
        <is>
          <t>Föryngringsavverkning</t>
        </is>
      </c>
      <c r="D2932" s="1" t="n">
        <v>45905</v>
      </c>
      <c r="E2932" s="1" t="n">
        <v>46326</v>
      </c>
      <c r="F2932" t="inlineStr">
        <is>
          <t>GÄVLEBORGS LÄN</t>
        </is>
      </c>
      <c r="G2932" t="inlineStr">
        <is>
          <t>LJUSDAL</t>
        </is>
      </c>
      <c r="H2932" t="inlineStr">
        <is>
          <t>Sveaskog</t>
        </is>
      </c>
      <c r="I2932" t="n">
        <v>1</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23429-2025</t>
        </is>
      </c>
      <c r="B2933" t="inlineStr">
        <is>
          <t>avverkningsanmälan</t>
        </is>
      </c>
      <c r="C2933" t="inlineStr">
        <is>
          <t>Föryngringsavverkning</t>
        </is>
      </c>
      <c r="D2933" s="1" t="n">
        <v>45792</v>
      </c>
      <c r="E2933" s="1" t="n">
        <v>46326</v>
      </c>
      <c r="F2933" t="inlineStr">
        <is>
          <t>GÄVLEBORGS LÄN</t>
        </is>
      </c>
      <c r="G2933" t="inlineStr">
        <is>
          <t>LJUSDAL</t>
        </is>
      </c>
      <c r="H2933" t="inlineStr">
        <is>
          <t>SCA</t>
        </is>
      </c>
      <c r="I2933" t="n">
        <v>4.9</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31064-2025</t>
        </is>
      </c>
      <c r="B2934" t="inlineStr">
        <is>
          <t>avverkningsanmälan</t>
        </is>
      </c>
      <c r="C2934" t="inlineStr">
        <is>
          <t>Föryngringsavverkning</t>
        </is>
      </c>
      <c r="D2934" s="1" t="n">
        <v>45832</v>
      </c>
      <c r="E2934" s="1" t="n">
        <v>46326</v>
      </c>
      <c r="F2934" t="inlineStr">
        <is>
          <t>GÄVLEBORGS LÄN</t>
        </is>
      </c>
      <c r="G2934" t="inlineStr">
        <is>
          <t>LJUSDAL</t>
        </is>
      </c>
      <c r="H2934" t="inlineStr">
        <is>
          <t>Allmännings- och besparingsskogar</t>
        </is>
      </c>
      <c r="I2934" t="n">
        <v>1.3</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44356-2023</t>
        </is>
      </c>
      <c r="B2935" t="inlineStr">
        <is>
          <t>avverkningsanmälan</t>
        </is>
      </c>
      <c r="C2935" t="inlineStr">
        <is>
          <t>Föryngringsavverkning</t>
        </is>
      </c>
      <c r="D2935" s="1" t="n">
        <v>45188</v>
      </c>
      <c r="E2935" s="1" t="n">
        <v>46326</v>
      </c>
      <c r="F2935" t="inlineStr">
        <is>
          <t>GÄVLEBORGS LÄN</t>
        </is>
      </c>
      <c r="G2935" t="inlineStr">
        <is>
          <t>HOFORS</t>
        </is>
      </c>
      <c r="I2935" t="n">
        <v>2.1</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42210-2025</t>
        </is>
      </c>
      <c r="B2936" t="inlineStr">
        <is>
          <t>avverkningsanmälan</t>
        </is>
      </c>
      <c r="C2936" t="inlineStr">
        <is>
          <t>Föryngringsavverkning</t>
        </is>
      </c>
      <c r="D2936" s="1" t="n">
        <v>45904</v>
      </c>
      <c r="E2936" s="1" t="n">
        <v>46326</v>
      </c>
      <c r="F2936" t="inlineStr">
        <is>
          <t>GÄVLEBORGS LÄN</t>
        </is>
      </c>
      <c r="G2936" t="inlineStr">
        <is>
          <t>NORDANSTIG</t>
        </is>
      </c>
      <c r="I2936" t="n">
        <v>7</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55948-2024</t>
        </is>
      </c>
      <c r="B2937" t="inlineStr">
        <is>
          <t>avverkningsanmälan</t>
        </is>
      </c>
      <c r="C2937" t="inlineStr">
        <is>
          <t>Avverkning för annat ändamål</t>
        </is>
      </c>
      <c r="D2937" s="1" t="n">
        <v>45623</v>
      </c>
      <c r="E2937" s="1" t="n">
        <v>46326</v>
      </c>
      <c r="F2937" t="inlineStr">
        <is>
          <t>GÄVLEBORGS LÄN</t>
        </is>
      </c>
      <c r="G2937" t="inlineStr">
        <is>
          <t>NORDANSTIG</t>
        </is>
      </c>
      <c r="I2937" t="n">
        <v>0.4</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30915-2025</t>
        </is>
      </c>
      <c r="B2938" t="inlineStr">
        <is>
          <t>avverkningsanmälan</t>
        </is>
      </c>
      <c r="C2938" t="inlineStr">
        <is>
          <t>Föryngringsavverkning</t>
        </is>
      </c>
      <c r="D2938" s="1" t="n">
        <v>45832</v>
      </c>
      <c r="E2938" s="1" t="n">
        <v>46326</v>
      </c>
      <c r="F2938" t="inlineStr">
        <is>
          <t>GÄVLEBORGS LÄN</t>
        </is>
      </c>
      <c r="G2938" t="inlineStr">
        <is>
          <t>GÄVLE</t>
        </is>
      </c>
      <c r="I2938" t="n">
        <v>3.3</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37391-2025</t>
        </is>
      </c>
      <c r="B2939" t="inlineStr">
        <is>
          <t>avverkningsanmälan</t>
        </is>
      </c>
      <c r="C2939" t="inlineStr">
        <is>
          <t>Föryngringsavverkning</t>
        </is>
      </c>
      <c r="D2939" s="1" t="n">
        <v>45877</v>
      </c>
      <c r="E2939" s="1" t="n">
        <v>46326</v>
      </c>
      <c r="F2939" t="inlineStr">
        <is>
          <t>GÄVLEBORGS LÄN</t>
        </is>
      </c>
      <c r="G2939" t="inlineStr">
        <is>
          <t>OVANÅKER</t>
        </is>
      </c>
      <c r="I2939" t="n">
        <v>1.7</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32087-2025</t>
        </is>
      </c>
      <c r="B2940" t="inlineStr">
        <is>
          <t>avverkningsanmälan</t>
        </is>
      </c>
      <c r="C2940" t="inlineStr">
        <is>
          <t>Föryngringsavverkning</t>
        </is>
      </c>
      <c r="D2940" s="1" t="n">
        <v>45835</v>
      </c>
      <c r="E2940" s="1" t="n">
        <v>46326</v>
      </c>
      <c r="F2940" t="inlineStr">
        <is>
          <t>GÄVLEBORGS LÄN</t>
        </is>
      </c>
      <c r="G2940" t="inlineStr">
        <is>
          <t>OCKELBO</t>
        </is>
      </c>
      <c r="I2940" t="n">
        <v>1.3</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42266-2025</t>
        </is>
      </c>
      <c r="B2941" t="inlineStr">
        <is>
          <t>avverkningsanmälan</t>
        </is>
      </c>
      <c r="C2941" t="inlineStr">
        <is>
          <t>Föryngringsavverkning</t>
        </is>
      </c>
      <c r="D2941" s="1" t="n">
        <v>45904</v>
      </c>
      <c r="E2941" s="1" t="n">
        <v>46326</v>
      </c>
      <c r="F2941" t="inlineStr">
        <is>
          <t>GÄVLEBORGS LÄN</t>
        </is>
      </c>
      <c r="G2941" t="inlineStr">
        <is>
          <t>OVANÅKER</t>
        </is>
      </c>
      <c r="I2941" t="n">
        <v>3.1</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42272-2025</t>
        </is>
      </c>
      <c r="B2942" t="inlineStr">
        <is>
          <t>avverkningsanmälan</t>
        </is>
      </c>
      <c r="C2942" t="inlineStr">
        <is>
          <t>Föryngringsavverkning</t>
        </is>
      </c>
      <c r="D2942" s="1" t="n">
        <v>45904</v>
      </c>
      <c r="E2942" s="1" t="n">
        <v>46326</v>
      </c>
      <c r="F2942" t="inlineStr">
        <is>
          <t>GÄVLEBORGS LÄN</t>
        </is>
      </c>
      <c r="G2942" t="inlineStr">
        <is>
          <t>OVANÅKER</t>
        </is>
      </c>
      <c r="I2942" t="n">
        <v>0.3</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31460-2025</t>
        </is>
      </c>
      <c r="B2943" t="inlineStr">
        <is>
          <t>avverkningsanmälan</t>
        </is>
      </c>
      <c r="C2943" t="inlineStr">
        <is>
          <t>Föryngringsavverkning</t>
        </is>
      </c>
      <c r="D2943" s="1" t="n">
        <v>45833</v>
      </c>
      <c r="E2943" s="1" t="n">
        <v>46326</v>
      </c>
      <c r="F2943" t="inlineStr">
        <is>
          <t>GÄVLEBORGS LÄN</t>
        </is>
      </c>
      <c r="G2943" t="inlineStr">
        <is>
          <t>SANDVIKEN</t>
        </is>
      </c>
      <c r="I2943" t="n">
        <v>0.9</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42701-2025</t>
        </is>
      </c>
      <c r="B2944" t="inlineStr">
        <is>
          <t>avverkningsanmälan</t>
        </is>
      </c>
      <c r="C2944" t="inlineStr">
        <is>
          <t>Föryngringsavverkning</t>
        </is>
      </c>
      <c r="D2944" s="1" t="n">
        <v>45908</v>
      </c>
      <c r="E2944" s="1" t="n">
        <v>46326</v>
      </c>
      <c r="F2944" t="inlineStr">
        <is>
          <t>GÄVLEBORGS LÄN</t>
        </is>
      </c>
      <c r="G2944" t="inlineStr">
        <is>
          <t>LJUSDAL</t>
        </is>
      </c>
      <c r="I2944" t="n">
        <v>2.9</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30926-2025</t>
        </is>
      </c>
      <c r="B2945" t="inlineStr">
        <is>
          <t>avverkningsanmälan</t>
        </is>
      </c>
      <c r="C2945" t="inlineStr">
        <is>
          <t>Föryngringsavverkning</t>
        </is>
      </c>
      <c r="D2945" s="1" t="n">
        <v>45832</v>
      </c>
      <c r="E2945" s="1" t="n">
        <v>46326</v>
      </c>
      <c r="F2945" t="inlineStr">
        <is>
          <t>GÄVLEBORGS LÄN</t>
        </is>
      </c>
      <c r="G2945" t="inlineStr">
        <is>
          <t>LJUSDAL</t>
        </is>
      </c>
      <c r="I2945" t="n">
        <v>1.2</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40160-2025</t>
        </is>
      </c>
      <c r="B2946" t="inlineStr">
        <is>
          <t>avverkningsanmälan</t>
        </is>
      </c>
      <c r="C2946" t="inlineStr">
        <is>
          <t>Föryngringsavverkning</t>
        </is>
      </c>
      <c r="D2946" s="1" t="n">
        <v>45894</v>
      </c>
      <c r="E2946" s="1" t="n">
        <v>46326</v>
      </c>
      <c r="F2946" t="inlineStr">
        <is>
          <t>GÄVLEBORGS LÄN</t>
        </is>
      </c>
      <c r="G2946" t="inlineStr">
        <is>
          <t>BOLLNÄS</t>
        </is>
      </c>
      <c r="I2946" t="n">
        <v>1.3</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15525-2025</t>
        </is>
      </c>
      <c r="B2947" t="inlineStr">
        <is>
          <t>avverkningsanmälan</t>
        </is>
      </c>
      <c r="C2947" t="inlineStr">
        <is>
          <t>Föryngringsavverkning</t>
        </is>
      </c>
      <c r="D2947" s="1" t="n">
        <v>45747</v>
      </c>
      <c r="E2947" s="1" t="n">
        <v>46326</v>
      </c>
      <c r="F2947" t="inlineStr">
        <is>
          <t>GÄVLEBORGS LÄN</t>
        </is>
      </c>
      <c r="G2947" t="inlineStr">
        <is>
          <t>BOLLNÄS</t>
        </is>
      </c>
      <c r="H2947" t="inlineStr">
        <is>
          <t>Kyrkan</t>
        </is>
      </c>
      <c r="I2947" t="n">
        <v>0.8</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7237-2025</t>
        </is>
      </c>
      <c r="B2948" t="inlineStr">
        <is>
          <t>avverkningsanmälan</t>
        </is>
      </c>
      <c r="C2948" t="inlineStr">
        <is>
          <t>Föryngringsavverkning</t>
        </is>
      </c>
      <c r="D2948" s="1" t="n">
        <v>45702</v>
      </c>
      <c r="E2948" s="1" t="n">
        <v>46326</v>
      </c>
      <c r="F2948" t="inlineStr">
        <is>
          <t>GÄVLEBORGS LÄN</t>
        </is>
      </c>
      <c r="G2948" t="inlineStr">
        <is>
          <t>HUDIKSVALL</t>
        </is>
      </c>
      <c r="I2948" t="n">
        <v>3.4</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21061-2023</t>
        </is>
      </c>
      <c r="B2949" t="inlineStr">
        <is>
          <t>avverkningsanmälan</t>
        </is>
      </c>
      <c r="C2949" t="inlineStr">
        <is>
          <t>Föryngringsavverkning</t>
        </is>
      </c>
      <c r="D2949" s="1" t="n">
        <v>45061</v>
      </c>
      <c r="E2949" s="1" t="n">
        <v>46326</v>
      </c>
      <c r="F2949" t="inlineStr">
        <is>
          <t>GÄVLEBORGS LÄN</t>
        </is>
      </c>
      <c r="G2949" t="inlineStr">
        <is>
          <t>BOLLNÄS</t>
        </is>
      </c>
      <c r="I2949" t="n">
        <v>2.6</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50389-2024</t>
        </is>
      </c>
      <c r="B2950" t="inlineStr">
        <is>
          <t>avverkningsanmälan</t>
        </is>
      </c>
      <c r="C2950" t="inlineStr">
        <is>
          <t>Föryngringsavverkning</t>
        </is>
      </c>
      <c r="D2950" s="1" t="n">
        <v>45601</v>
      </c>
      <c r="E2950" s="1" t="n">
        <v>46326</v>
      </c>
      <c r="F2950" t="inlineStr">
        <is>
          <t>GÄVLEBORGS LÄN</t>
        </is>
      </c>
      <c r="G2950" t="inlineStr">
        <is>
          <t>OVANÅKER</t>
        </is>
      </c>
      <c r="I2950" t="n">
        <v>1.4</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24134-2024</t>
        </is>
      </c>
      <c r="B2951" t="inlineStr">
        <is>
          <t>avverkningsanmälan</t>
        </is>
      </c>
      <c r="C2951" t="inlineStr">
        <is>
          <t>Föryngringsavverkning</t>
        </is>
      </c>
      <c r="D2951" s="1" t="n">
        <v>45456</v>
      </c>
      <c r="E2951" s="1" t="n">
        <v>46326</v>
      </c>
      <c r="F2951" t="inlineStr">
        <is>
          <t>GÄVLEBORGS LÄN</t>
        </is>
      </c>
      <c r="G2951" t="inlineStr">
        <is>
          <t>OVANÅKER</t>
        </is>
      </c>
      <c r="H2951" t="inlineStr">
        <is>
          <t>Bergvik skog väst AB</t>
        </is>
      </c>
      <c r="I2951" t="n">
        <v>1.4</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31028-2025</t>
        </is>
      </c>
      <c r="B2952" t="inlineStr">
        <is>
          <t>avverkningsanmälan</t>
        </is>
      </c>
      <c r="C2952" t="inlineStr">
        <is>
          <t>Föryngringsavverkning</t>
        </is>
      </c>
      <c r="D2952" s="1" t="n">
        <v>45832</v>
      </c>
      <c r="E2952" s="1" t="n">
        <v>46326</v>
      </c>
      <c r="F2952" t="inlineStr">
        <is>
          <t>GÄVLEBORGS LÄN</t>
        </is>
      </c>
      <c r="G2952" t="inlineStr">
        <is>
          <t>LJUSDAL</t>
        </is>
      </c>
      <c r="I2952" t="n">
        <v>20.5</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24137-2024</t>
        </is>
      </c>
      <c r="B2953" t="inlineStr">
        <is>
          <t>avverkningsanmälan</t>
        </is>
      </c>
      <c r="C2953" t="inlineStr">
        <is>
          <t>Föryngringsavverkning</t>
        </is>
      </c>
      <c r="D2953" s="1" t="n">
        <v>45456</v>
      </c>
      <c r="E2953" s="1" t="n">
        <v>46326</v>
      </c>
      <c r="F2953" t="inlineStr">
        <is>
          <t>GÄVLEBORGS LÄN</t>
        </is>
      </c>
      <c r="G2953" t="inlineStr">
        <is>
          <t>OVANÅKER</t>
        </is>
      </c>
      <c r="H2953" t="inlineStr">
        <is>
          <t>Bergvik skog väst AB</t>
        </is>
      </c>
      <c r="I2953" t="n">
        <v>1.5</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42737-2025</t>
        </is>
      </c>
      <c r="B2954" t="inlineStr">
        <is>
          <t>avverkningsanmälan</t>
        </is>
      </c>
      <c r="C2954" t="inlineStr">
        <is>
          <t>Föryngringsavverkning</t>
        </is>
      </c>
      <c r="D2954" s="1" t="n">
        <v>45908</v>
      </c>
      <c r="E2954" s="1" t="n">
        <v>46326</v>
      </c>
      <c r="F2954" t="inlineStr">
        <is>
          <t>GÄVLEBORGS LÄN</t>
        </is>
      </c>
      <c r="G2954" t="inlineStr">
        <is>
          <t>NORDANSTIG</t>
        </is>
      </c>
      <c r="H2954" t="inlineStr">
        <is>
          <t>Holmen skog AB</t>
        </is>
      </c>
      <c r="I2954" t="n">
        <v>6.7</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10375-2023</t>
        </is>
      </c>
      <c r="B2955" t="inlineStr">
        <is>
          <t>avverkningsanmälan</t>
        </is>
      </c>
      <c r="C2955" t="inlineStr">
        <is>
          <t>Föryngringsavverkning</t>
        </is>
      </c>
      <c r="D2955" s="1" t="n">
        <v>44987</v>
      </c>
      <c r="E2955" s="1" t="n">
        <v>46326</v>
      </c>
      <c r="F2955" t="inlineStr">
        <is>
          <t>GÄVLEBORGS LÄN</t>
        </is>
      </c>
      <c r="G2955" t="inlineStr">
        <is>
          <t>HUDIKSVALL</t>
        </is>
      </c>
      <c r="I2955" t="n">
        <v>6</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23355-2024</t>
        </is>
      </c>
      <c r="B2956" t="inlineStr">
        <is>
          <t>avverkningsanmälan</t>
        </is>
      </c>
      <c r="C2956" t="inlineStr">
        <is>
          <t>Föryngringsavverkning</t>
        </is>
      </c>
      <c r="D2956" s="1" t="n">
        <v>45453</v>
      </c>
      <c r="E2956" s="1" t="n">
        <v>46326</v>
      </c>
      <c r="F2956" t="inlineStr">
        <is>
          <t>GÄVLEBORGS LÄN</t>
        </is>
      </c>
      <c r="G2956" t="inlineStr">
        <is>
          <t>HOFORS</t>
        </is>
      </c>
      <c r="H2956" t="inlineStr">
        <is>
          <t>Sveaskog</t>
        </is>
      </c>
      <c r="I2956" t="n">
        <v>1.2</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31197-2025</t>
        </is>
      </c>
      <c r="B2957" t="inlineStr">
        <is>
          <t>avverkningsanmälan</t>
        </is>
      </c>
      <c r="C2957" t="inlineStr">
        <is>
          <t>Föryngringsavverkning</t>
        </is>
      </c>
      <c r="D2957" s="1" t="n">
        <v>45832</v>
      </c>
      <c r="E2957" s="1" t="n">
        <v>46326</v>
      </c>
      <c r="F2957" t="inlineStr">
        <is>
          <t>GÄVLEBORGS LÄN</t>
        </is>
      </c>
      <c r="G2957" t="inlineStr">
        <is>
          <t>NORDANSTIG</t>
        </is>
      </c>
      <c r="H2957" t="inlineStr">
        <is>
          <t>Holmen skog AB</t>
        </is>
      </c>
      <c r="I2957" t="n">
        <v>1.9</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30979-2025</t>
        </is>
      </c>
      <c r="B2958" t="inlineStr">
        <is>
          <t>avverkningsanmälan</t>
        </is>
      </c>
      <c r="C2958" t="inlineStr">
        <is>
          <t>Föryngringsavverkning</t>
        </is>
      </c>
      <c r="D2958" s="1" t="n">
        <v>45832</v>
      </c>
      <c r="E2958" s="1" t="n">
        <v>46326</v>
      </c>
      <c r="F2958" t="inlineStr">
        <is>
          <t>GÄVLEBORGS LÄN</t>
        </is>
      </c>
      <c r="G2958" t="inlineStr">
        <is>
          <t>LJUSDAL</t>
        </is>
      </c>
      <c r="H2958" t="inlineStr">
        <is>
          <t>Holmen skog AB</t>
        </is>
      </c>
      <c r="I2958" t="n">
        <v>1.2</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31072-2025</t>
        </is>
      </c>
      <c r="B2959" t="inlineStr">
        <is>
          <t>avverkningsanmälan</t>
        </is>
      </c>
      <c r="C2959" t="inlineStr">
        <is>
          <t>Föryngringsavverkning</t>
        </is>
      </c>
      <c r="D2959" s="1" t="n">
        <v>45832</v>
      </c>
      <c r="E2959" s="1" t="n">
        <v>46326</v>
      </c>
      <c r="F2959" t="inlineStr">
        <is>
          <t>GÄVLEBORGS LÄN</t>
        </is>
      </c>
      <c r="G2959" t="inlineStr">
        <is>
          <t>LJUSDAL</t>
        </is>
      </c>
      <c r="H2959" t="inlineStr">
        <is>
          <t>Holmen skog AB</t>
        </is>
      </c>
      <c r="I2959" t="n">
        <v>6.8</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31458-2025</t>
        </is>
      </c>
      <c r="B2960" t="inlineStr">
        <is>
          <t>avverkningsanmälan</t>
        </is>
      </c>
      <c r="C2960" t="inlineStr">
        <is>
          <t>Föryngringsavverkning</t>
        </is>
      </c>
      <c r="D2960" s="1" t="n">
        <v>45833</v>
      </c>
      <c r="E2960" s="1" t="n">
        <v>46326</v>
      </c>
      <c r="F2960" t="inlineStr">
        <is>
          <t>GÄVLEBORGS LÄN</t>
        </is>
      </c>
      <c r="G2960" t="inlineStr">
        <is>
          <t>OVANÅKER</t>
        </is>
      </c>
      <c r="I2960" t="n">
        <v>2.5</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34058-2022</t>
        </is>
      </c>
      <c r="B2961" t="inlineStr">
        <is>
          <t>avverkningsanmälan</t>
        </is>
      </c>
      <c r="C2961" t="inlineStr">
        <is>
          <t>Föryngringsavverkning</t>
        </is>
      </c>
      <c r="D2961" s="1" t="n">
        <v>44791</v>
      </c>
      <c r="E2961" s="1" t="n">
        <v>46326</v>
      </c>
      <c r="F2961" t="inlineStr">
        <is>
          <t>GÄVLEBORGS LÄN</t>
        </is>
      </c>
      <c r="G2961" t="inlineStr">
        <is>
          <t>LJUSDAL</t>
        </is>
      </c>
      <c r="I2961" t="n">
        <v>2.2</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42851-2025</t>
        </is>
      </c>
      <c r="B2962" t="inlineStr">
        <is>
          <t>avverkningsanmälan</t>
        </is>
      </c>
      <c r="C2962" t="inlineStr">
        <is>
          <t>Föryngringsavverkning</t>
        </is>
      </c>
      <c r="D2962" s="1" t="n">
        <v>45908</v>
      </c>
      <c r="E2962" s="1" t="n">
        <v>46326</v>
      </c>
      <c r="F2962" t="inlineStr">
        <is>
          <t>GÄVLEBORGS LÄN</t>
        </is>
      </c>
      <c r="G2962" t="inlineStr">
        <is>
          <t>HUDIKSVALL</t>
        </is>
      </c>
      <c r="I2962" t="n">
        <v>1.7</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42930-2025</t>
        </is>
      </c>
      <c r="B2963" t="inlineStr">
        <is>
          <t>avverkningsanmälan</t>
        </is>
      </c>
      <c r="C2963" t="inlineStr">
        <is>
          <t>Föryngringsavverkning</t>
        </is>
      </c>
      <c r="D2963" s="1" t="n">
        <v>45909</v>
      </c>
      <c r="E2963" s="1" t="n">
        <v>46326</v>
      </c>
      <c r="F2963" t="inlineStr">
        <is>
          <t>GÄVLEBORGS LÄN</t>
        </is>
      </c>
      <c r="G2963" t="inlineStr">
        <is>
          <t>NORDANSTIG</t>
        </is>
      </c>
      <c r="I2963" t="n">
        <v>0.5</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42865-2025</t>
        </is>
      </c>
      <c r="B2964" t="inlineStr">
        <is>
          <t>avverkningsanmälan</t>
        </is>
      </c>
      <c r="C2964" t="inlineStr">
        <is>
          <t>Föryngringsavverkning</t>
        </is>
      </c>
      <c r="D2964" s="1" t="n">
        <v>45908</v>
      </c>
      <c r="E2964" s="1" t="n">
        <v>46326</v>
      </c>
      <c r="F2964" t="inlineStr">
        <is>
          <t>GÄVLEBORGS LÄN</t>
        </is>
      </c>
      <c r="G2964" t="inlineStr">
        <is>
          <t>BOLLNÄS</t>
        </is>
      </c>
      <c r="I2964" t="n">
        <v>2.9</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28446-2024</t>
        </is>
      </c>
      <c r="B2965" t="inlineStr">
        <is>
          <t>avverkningsanmälan</t>
        </is>
      </c>
      <c r="C2965" t="inlineStr">
        <is>
          <t>Föryngringsavverkning</t>
        </is>
      </c>
      <c r="D2965" s="1" t="n">
        <v>45477</v>
      </c>
      <c r="E2965" s="1" t="n">
        <v>46326</v>
      </c>
      <c r="F2965" t="inlineStr">
        <is>
          <t>GÄVLEBORGS LÄN</t>
        </is>
      </c>
      <c r="G2965" t="inlineStr">
        <is>
          <t>OVANÅKER</t>
        </is>
      </c>
      <c r="I2965" t="n">
        <v>0.6</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31031-2025</t>
        </is>
      </c>
      <c r="B2966" t="inlineStr">
        <is>
          <t>avverkningsanmälan</t>
        </is>
      </c>
      <c r="C2966" t="inlineStr">
        <is>
          <t>Föryngringsavverkning</t>
        </is>
      </c>
      <c r="D2966" s="1" t="n">
        <v>45832</v>
      </c>
      <c r="E2966" s="1" t="n">
        <v>46326</v>
      </c>
      <c r="F2966" t="inlineStr">
        <is>
          <t>GÄVLEBORGS LÄN</t>
        </is>
      </c>
      <c r="G2966" t="inlineStr">
        <is>
          <t>NORDANSTIG</t>
        </is>
      </c>
      <c r="H2966" t="inlineStr">
        <is>
          <t>Holmen skog AB</t>
        </is>
      </c>
      <c r="I2966" t="n">
        <v>2.1</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31145-2025</t>
        </is>
      </c>
      <c r="B2967" t="inlineStr">
        <is>
          <t>avverkningsanmälan</t>
        </is>
      </c>
      <c r="C2967" t="inlineStr">
        <is>
          <t>Föryngringsavverkning</t>
        </is>
      </c>
      <c r="D2967" s="1" t="n">
        <v>45832</v>
      </c>
      <c r="E2967" s="1" t="n">
        <v>46326</v>
      </c>
      <c r="F2967" t="inlineStr">
        <is>
          <t>GÄVLEBORGS LÄN</t>
        </is>
      </c>
      <c r="G2967" t="inlineStr">
        <is>
          <t>SANDVIKEN</t>
        </is>
      </c>
      <c r="H2967" t="inlineStr">
        <is>
          <t>Bergvik skog öst AB</t>
        </is>
      </c>
      <c r="I2967" t="n">
        <v>5.8</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3586-2025</t>
        </is>
      </c>
      <c r="B2968" t="inlineStr">
        <is>
          <t>avverkningsanmälan</t>
        </is>
      </c>
      <c r="C2968" t="inlineStr">
        <is>
          <t>Föryngringsavverkning</t>
        </is>
      </c>
      <c r="D2968" s="1" t="n">
        <v>45680</v>
      </c>
      <c r="E2968" s="1" t="n">
        <v>46326</v>
      </c>
      <c r="F2968" t="inlineStr">
        <is>
          <t>GÄVLEBORGS LÄN</t>
        </is>
      </c>
      <c r="G2968" t="inlineStr">
        <is>
          <t>OVANÅKER</t>
        </is>
      </c>
      <c r="I2968" t="n">
        <v>4.5</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46111-2023</t>
        </is>
      </c>
      <c r="B2969" t="inlineStr">
        <is>
          <t>avverkningsanmälan</t>
        </is>
      </c>
      <c r="C2969" t="inlineStr">
        <is>
          <t>Föryngringsavverkning</t>
        </is>
      </c>
      <c r="D2969" s="1" t="n">
        <v>45196</v>
      </c>
      <c r="E2969" s="1" t="n">
        <v>46326</v>
      </c>
      <c r="F2969" t="inlineStr">
        <is>
          <t>GÄVLEBORGS LÄN</t>
        </is>
      </c>
      <c r="G2969" t="inlineStr">
        <is>
          <t>NORDANSTIG</t>
        </is>
      </c>
      <c r="I2969" t="n">
        <v>0.6</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4062-2026</t>
        </is>
      </c>
      <c r="B2970" t="inlineStr">
        <is>
          <t>avverkningsanmälan</t>
        </is>
      </c>
      <c r="C2970" t="inlineStr">
        <is>
          <t>Föryngringsavverkning</t>
        </is>
      </c>
      <c r="D2970" s="1" t="n">
        <v>46044</v>
      </c>
      <c r="E2970" s="1" t="n">
        <v>46326</v>
      </c>
      <c r="F2970" t="inlineStr">
        <is>
          <t>GÄVLEBORGS LÄN</t>
        </is>
      </c>
      <c r="G2970" t="inlineStr">
        <is>
          <t>BOLLNÄS</t>
        </is>
      </c>
      <c r="I2970" t="n">
        <v>1.8</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21772-2023</t>
        </is>
      </c>
      <c r="B2971" t="inlineStr">
        <is>
          <t>avverkningsanmälan</t>
        </is>
      </c>
      <c r="C2971" t="inlineStr">
        <is>
          <t>Föryngringsavverkning</t>
        </is>
      </c>
      <c r="D2971" s="1" t="n">
        <v>45065</v>
      </c>
      <c r="E2971" s="1" t="n">
        <v>46326</v>
      </c>
      <c r="F2971" t="inlineStr">
        <is>
          <t>GÄVLEBORGS LÄN</t>
        </is>
      </c>
      <c r="G2971" t="inlineStr">
        <is>
          <t>HUDIKSVALL</t>
        </is>
      </c>
      <c r="I2971" t="n">
        <v>1.2</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30938-2025</t>
        </is>
      </c>
      <c r="B2972" t="inlineStr">
        <is>
          <t>avverkningsanmälan</t>
        </is>
      </c>
      <c r="C2972" t="inlineStr">
        <is>
          <t>Föryngringsavverkning</t>
        </is>
      </c>
      <c r="D2972" s="1" t="n">
        <v>45832</v>
      </c>
      <c r="E2972" s="1" t="n">
        <v>46326</v>
      </c>
      <c r="F2972" t="inlineStr">
        <is>
          <t>GÄVLEBORGS LÄN</t>
        </is>
      </c>
      <c r="G2972" t="inlineStr">
        <is>
          <t>LJUSDAL</t>
        </is>
      </c>
      <c r="I2972" t="n">
        <v>1.4</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31374-2025</t>
        </is>
      </c>
      <c r="B2973" t="inlineStr">
        <is>
          <t>avverkningsanmälan</t>
        </is>
      </c>
      <c r="C2973" t="inlineStr">
        <is>
          <t>Föryngringsavverkning</t>
        </is>
      </c>
      <c r="D2973" s="1" t="n">
        <v>45833</v>
      </c>
      <c r="E2973" s="1" t="n">
        <v>46326</v>
      </c>
      <c r="F2973" t="inlineStr">
        <is>
          <t>GÄVLEBORGS LÄN</t>
        </is>
      </c>
      <c r="G2973" t="inlineStr">
        <is>
          <t>BOLLNÄS</t>
        </is>
      </c>
      <c r="I2973" t="n">
        <v>1.7</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42878-2025</t>
        </is>
      </c>
      <c r="B2974" t="inlineStr">
        <is>
          <t>avverkningsanmälan</t>
        </is>
      </c>
      <c r="C2974" t="inlineStr">
        <is>
          <t>Föryngringsavverkning</t>
        </is>
      </c>
      <c r="D2974" s="1" t="n">
        <v>45908</v>
      </c>
      <c r="E2974" s="1" t="n">
        <v>46326</v>
      </c>
      <c r="F2974" t="inlineStr">
        <is>
          <t>GÄVLEBORGS LÄN</t>
        </is>
      </c>
      <c r="G2974" t="inlineStr">
        <is>
          <t>LJUSDAL</t>
        </is>
      </c>
      <c r="I2974" t="n">
        <v>1.3</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42934-2025</t>
        </is>
      </c>
      <c r="B2975" t="inlineStr">
        <is>
          <t>avverkningsanmälan</t>
        </is>
      </c>
      <c r="C2975" t="inlineStr">
        <is>
          <t>Föryngringsavverkning</t>
        </is>
      </c>
      <c r="D2975" s="1" t="n">
        <v>45909</v>
      </c>
      <c r="E2975" s="1" t="n">
        <v>46326</v>
      </c>
      <c r="F2975" t="inlineStr">
        <is>
          <t>GÄVLEBORGS LÄN</t>
        </is>
      </c>
      <c r="G2975" t="inlineStr">
        <is>
          <t>HUDIKSVALL</t>
        </is>
      </c>
      <c r="I2975" t="n">
        <v>0.6</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4320-2026</t>
        </is>
      </c>
      <c r="B2976" t="inlineStr">
        <is>
          <t>avverkningsanmälan</t>
        </is>
      </c>
      <c r="C2976" t="inlineStr">
        <is>
          <t>Föryngringsavverkning</t>
        </is>
      </c>
      <c r="D2976" s="1" t="n">
        <v>46045</v>
      </c>
      <c r="E2976" s="1" t="n">
        <v>46326</v>
      </c>
      <c r="F2976" t="inlineStr">
        <is>
          <t>GÄVLEBORGS LÄN</t>
        </is>
      </c>
      <c r="G2976" t="inlineStr">
        <is>
          <t>OCKELBO</t>
        </is>
      </c>
      <c r="I2976" t="n">
        <v>1.7</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3975-2026</t>
        </is>
      </c>
      <c r="B2977" t="inlineStr">
        <is>
          <t>avverkningsanmälan</t>
        </is>
      </c>
      <c r="C2977" t="inlineStr">
        <is>
          <t>Föryngringsavverkning</t>
        </is>
      </c>
      <c r="D2977" s="1" t="n">
        <v>46044</v>
      </c>
      <c r="E2977" s="1" t="n">
        <v>46326</v>
      </c>
      <c r="F2977" t="inlineStr">
        <is>
          <t>GÄVLEBORGS LÄN</t>
        </is>
      </c>
      <c r="G2977" t="inlineStr">
        <is>
          <t>HUDIKSVALL</t>
        </is>
      </c>
      <c r="I2977" t="n">
        <v>1.3</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30843-2025</t>
        </is>
      </c>
      <c r="B2978" t="inlineStr">
        <is>
          <t>avverkningsanmälan</t>
        </is>
      </c>
      <c r="C2978" t="inlineStr">
        <is>
          <t>Avverkning för annat ändamål</t>
        </is>
      </c>
      <c r="D2978" s="1" t="n">
        <v>45831</v>
      </c>
      <c r="E2978" s="1" t="n">
        <v>46326</v>
      </c>
      <c r="F2978" t="inlineStr">
        <is>
          <t>GÄVLEBORGS LÄN</t>
        </is>
      </c>
      <c r="G2978" t="inlineStr">
        <is>
          <t>SANDVIKEN</t>
        </is>
      </c>
      <c r="I2978" t="n">
        <v>0.6</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4195-2023</t>
        </is>
      </c>
      <c r="B2979" t="inlineStr">
        <is>
          <t>avverkningsanmälan</t>
        </is>
      </c>
      <c r="C2979" t="inlineStr">
        <is>
          <t>Föryngringsavverkning</t>
        </is>
      </c>
      <c r="D2979" s="1" t="n">
        <v>44953</v>
      </c>
      <c r="E2979" s="1" t="n">
        <v>46326</v>
      </c>
      <c r="F2979" t="inlineStr">
        <is>
          <t>GÄVLEBORGS LÄN</t>
        </is>
      </c>
      <c r="G2979" t="inlineStr">
        <is>
          <t>LJUSDAL</t>
        </is>
      </c>
      <c r="H2979" t="inlineStr">
        <is>
          <t>Holmen skog AB</t>
        </is>
      </c>
      <c r="I2979" t="n">
        <v>3.3</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17887-2024</t>
        </is>
      </c>
      <c r="B2980" t="inlineStr">
        <is>
          <t>avverkningsanmälan</t>
        </is>
      </c>
      <c r="C2980" t="inlineStr">
        <is>
          <t>Föryngringsavverkning</t>
        </is>
      </c>
      <c r="D2980" s="1" t="n">
        <v>45419</v>
      </c>
      <c r="E2980" s="1" t="n">
        <v>46326</v>
      </c>
      <c r="F2980" t="inlineStr">
        <is>
          <t>GÄVLEBORGS LÄN</t>
        </is>
      </c>
      <c r="G2980" t="inlineStr">
        <is>
          <t>NORDANSTIG</t>
        </is>
      </c>
      <c r="H2980" t="inlineStr">
        <is>
          <t>Holmen skog AB</t>
        </is>
      </c>
      <c r="I2980" t="n">
        <v>3.5</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50306-2024</t>
        </is>
      </c>
      <c r="B2981" t="inlineStr">
        <is>
          <t>avverkningsanmälan</t>
        </is>
      </c>
      <c r="C2981" t="inlineStr">
        <is>
          <t>Föryngringsavverkning</t>
        </is>
      </c>
      <c r="D2981" s="1" t="n">
        <v>45600</v>
      </c>
      <c r="E2981" s="1" t="n">
        <v>46326</v>
      </c>
      <c r="F2981" t="inlineStr">
        <is>
          <t>GÄVLEBORGS LÄN</t>
        </is>
      </c>
      <c r="G2981" t="inlineStr">
        <is>
          <t>HUDIKSVALL</t>
        </is>
      </c>
      <c r="I2981" t="n">
        <v>1.6</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31500-2025</t>
        </is>
      </c>
      <c r="B2982" t="inlineStr">
        <is>
          <t>avverkningsanmälan</t>
        </is>
      </c>
      <c r="C2982" t="inlineStr">
        <is>
          <t>Föryngringsavverkning</t>
        </is>
      </c>
      <c r="D2982" s="1" t="n">
        <v>45833</v>
      </c>
      <c r="E2982" s="1" t="n">
        <v>46326</v>
      </c>
      <c r="F2982" t="inlineStr">
        <is>
          <t>GÄVLEBORGS LÄN</t>
        </is>
      </c>
      <c r="G2982" t="inlineStr">
        <is>
          <t>LJUSDAL</t>
        </is>
      </c>
      <c r="I2982" t="n">
        <v>5.7</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31471-2025</t>
        </is>
      </c>
      <c r="B2983" t="inlineStr">
        <is>
          <t>avverkningsanmälan</t>
        </is>
      </c>
      <c r="C2983" t="inlineStr">
        <is>
          <t>Föryngringsavverkning</t>
        </is>
      </c>
      <c r="D2983" s="1" t="n">
        <v>45833</v>
      </c>
      <c r="E2983" s="1" t="n">
        <v>46326</v>
      </c>
      <c r="F2983" t="inlineStr">
        <is>
          <t>GÄVLEBORGS LÄN</t>
        </is>
      </c>
      <c r="G2983" t="inlineStr">
        <is>
          <t>HOFORS</t>
        </is>
      </c>
      <c r="I2983" t="n">
        <v>1.6</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31477-2025</t>
        </is>
      </c>
      <c r="B2984" t="inlineStr">
        <is>
          <t>avverkningsanmälan</t>
        </is>
      </c>
      <c r="C2984" t="inlineStr">
        <is>
          <t>Föryngringsavverkning</t>
        </is>
      </c>
      <c r="D2984" s="1" t="n">
        <v>45833</v>
      </c>
      <c r="E2984" s="1" t="n">
        <v>46326</v>
      </c>
      <c r="F2984" t="inlineStr">
        <is>
          <t>GÄVLEBORGS LÄN</t>
        </is>
      </c>
      <c r="G2984" t="inlineStr">
        <is>
          <t>HUDIKSVALL</t>
        </is>
      </c>
      <c r="I2984" t="n">
        <v>1.4</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3987-2026</t>
        </is>
      </c>
      <c r="B2985" t="inlineStr">
        <is>
          <t>avverkningsanmälan</t>
        </is>
      </c>
      <c r="C2985" t="inlineStr">
        <is>
          <t>Föryngringsavverkning</t>
        </is>
      </c>
      <c r="D2985" s="1" t="n">
        <v>46044</v>
      </c>
      <c r="E2985" s="1" t="n">
        <v>46326</v>
      </c>
      <c r="F2985" t="inlineStr">
        <is>
          <t>GÄVLEBORGS LÄN</t>
        </is>
      </c>
      <c r="G2985" t="inlineStr">
        <is>
          <t>OVANÅKER</t>
        </is>
      </c>
      <c r="I2985" t="n">
        <v>1.2</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4516-2026</t>
        </is>
      </c>
      <c r="B2986" t="inlineStr">
        <is>
          <t>avverkningsanmälan</t>
        </is>
      </c>
      <c r="C2986" t="inlineStr">
        <is>
          <t>Föryngringsavverkning</t>
        </is>
      </c>
      <c r="D2986" s="1" t="n">
        <v>46045</v>
      </c>
      <c r="E2986" s="1" t="n">
        <v>46326</v>
      </c>
      <c r="F2986" t="inlineStr">
        <is>
          <t>GÄVLEBORGS LÄN</t>
        </is>
      </c>
      <c r="G2986" t="inlineStr">
        <is>
          <t>OVANÅKER</t>
        </is>
      </c>
      <c r="I2986" t="n">
        <v>2.1</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4006-2026</t>
        </is>
      </c>
      <c r="B2987" t="inlineStr">
        <is>
          <t>avverkningsanmälan</t>
        </is>
      </c>
      <c r="C2987" t="inlineStr">
        <is>
          <t>Föryngringsavverkning</t>
        </is>
      </c>
      <c r="D2987" s="1" t="n">
        <v>46044</v>
      </c>
      <c r="E2987" s="1" t="n">
        <v>46326</v>
      </c>
      <c r="F2987" t="inlineStr">
        <is>
          <t>GÄVLEBORGS LÄN</t>
        </is>
      </c>
      <c r="G2987" t="inlineStr">
        <is>
          <t>HUDIKSVALL</t>
        </is>
      </c>
      <c r="I2987" t="n">
        <v>2</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835-2023</t>
        </is>
      </c>
      <c r="B2988" t="inlineStr">
        <is>
          <t>avverkningsanmälan</t>
        </is>
      </c>
      <c r="C2988" t="inlineStr">
        <is>
          <t>Avverkning för annat ändamål</t>
        </is>
      </c>
      <c r="D2988" s="1" t="n">
        <v>44931</v>
      </c>
      <c r="E2988" s="1" t="n">
        <v>46326</v>
      </c>
      <c r="F2988" t="inlineStr">
        <is>
          <t>GÄVLEBORGS LÄN</t>
        </is>
      </c>
      <c r="G2988" t="inlineStr">
        <is>
          <t>LJUSDAL</t>
        </is>
      </c>
      <c r="I2988" t="n">
        <v>2.2</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4387-2026</t>
        </is>
      </c>
      <c r="B2989" t="inlineStr">
        <is>
          <t>avverkningsanmälan</t>
        </is>
      </c>
      <c r="C2989" t="inlineStr">
        <is>
          <t>Föryngringsavverkning</t>
        </is>
      </c>
      <c r="D2989" s="1" t="n">
        <v>46045</v>
      </c>
      <c r="E2989" s="1" t="n">
        <v>46326</v>
      </c>
      <c r="F2989" t="inlineStr">
        <is>
          <t>GÄVLEBORGS LÄN</t>
        </is>
      </c>
      <c r="G2989" t="inlineStr">
        <is>
          <t>HUDIKSVALL</t>
        </is>
      </c>
      <c r="I2989" t="n">
        <v>0.9</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4399-2026</t>
        </is>
      </c>
      <c r="B2990" t="inlineStr">
        <is>
          <t>avverkningsanmälan</t>
        </is>
      </c>
      <c r="C2990" t="inlineStr">
        <is>
          <t>Föryngringsavverkning</t>
        </is>
      </c>
      <c r="D2990" s="1" t="n">
        <v>46045</v>
      </c>
      <c r="E2990" s="1" t="n">
        <v>46326</v>
      </c>
      <c r="F2990" t="inlineStr">
        <is>
          <t>GÄVLEBORGS LÄN</t>
        </is>
      </c>
      <c r="G2990" t="inlineStr">
        <is>
          <t>NORDANSTIG</t>
        </is>
      </c>
      <c r="I2990" t="n">
        <v>2.4</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31511-2025</t>
        </is>
      </c>
      <c r="B2991" t="inlineStr">
        <is>
          <t>avverkningsanmälan</t>
        </is>
      </c>
      <c r="C2991" t="inlineStr">
        <is>
          <t>Föryngringsavverkning</t>
        </is>
      </c>
      <c r="D2991" s="1" t="n">
        <v>45833</v>
      </c>
      <c r="E2991" s="1" t="n">
        <v>46326</v>
      </c>
      <c r="F2991" t="inlineStr">
        <is>
          <t>GÄVLEBORGS LÄN</t>
        </is>
      </c>
      <c r="G2991" t="inlineStr">
        <is>
          <t>LJUSDAL</t>
        </is>
      </c>
      <c r="I2991" t="n">
        <v>7.7</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29686-2023</t>
        </is>
      </c>
      <c r="B2992" t="inlineStr">
        <is>
          <t>avverkningsanmälan</t>
        </is>
      </c>
      <c r="C2992" t="inlineStr">
        <is>
          <t>Föryngringsavverkning</t>
        </is>
      </c>
      <c r="D2992" s="1" t="n">
        <v>45107</v>
      </c>
      <c r="E2992" s="1" t="n">
        <v>46326</v>
      </c>
      <c r="F2992" t="inlineStr">
        <is>
          <t>GÄVLEBORGS LÄN</t>
        </is>
      </c>
      <c r="G2992" t="inlineStr">
        <is>
          <t>LJUSDAL</t>
        </is>
      </c>
      <c r="I2992" t="n">
        <v>1.6</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13744-2023</t>
        </is>
      </c>
      <c r="B2993" t="inlineStr">
        <is>
          <t>avverkningsanmälan</t>
        </is>
      </c>
      <c r="C2993" t="inlineStr">
        <is>
          <t>Föryngringsavverkning</t>
        </is>
      </c>
      <c r="D2993" s="1" t="n">
        <v>45007</v>
      </c>
      <c r="E2993" s="1" t="n">
        <v>46326</v>
      </c>
      <c r="F2993" t="inlineStr">
        <is>
          <t>GÄVLEBORGS LÄN</t>
        </is>
      </c>
      <c r="G2993" t="inlineStr">
        <is>
          <t>HOFORS</t>
        </is>
      </c>
      <c r="H2993" t="inlineStr">
        <is>
          <t>Övriga statliga verk och myndigheter</t>
        </is>
      </c>
      <c r="I2993" t="n">
        <v>1</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28897-2024</t>
        </is>
      </c>
      <c r="B2994" t="inlineStr">
        <is>
          <t>avverkningsanmälan</t>
        </is>
      </c>
      <c r="C2994" t="inlineStr">
        <is>
          <t>Föryngringsavverkning</t>
        </is>
      </c>
      <c r="D2994" s="1" t="n">
        <v>45480</v>
      </c>
      <c r="E2994" s="1" t="n">
        <v>46326</v>
      </c>
      <c r="F2994" t="inlineStr">
        <is>
          <t>GÄVLEBORGS LÄN</t>
        </is>
      </c>
      <c r="G2994" t="inlineStr">
        <is>
          <t>SANDVIKEN</t>
        </is>
      </c>
      <c r="I2994" t="n">
        <v>0.8</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43085-2025</t>
        </is>
      </c>
      <c r="B2995" t="inlineStr">
        <is>
          <t>avverkningsanmälan</t>
        </is>
      </c>
      <c r="C2995" t="inlineStr">
        <is>
          <t>Föryngringsavverkning</t>
        </is>
      </c>
      <c r="D2995" s="1" t="n">
        <v>45909</v>
      </c>
      <c r="E2995" s="1" t="n">
        <v>46326</v>
      </c>
      <c r="F2995" t="inlineStr">
        <is>
          <t>GÄVLEBORGS LÄN</t>
        </is>
      </c>
      <c r="G2995" t="inlineStr">
        <is>
          <t>GÄVLE</t>
        </is>
      </c>
      <c r="H2995" t="inlineStr">
        <is>
          <t>Bergvik skog väst AB</t>
        </is>
      </c>
      <c r="I2995" t="n">
        <v>1.1</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43089-2025</t>
        </is>
      </c>
      <c r="B2996" t="inlineStr">
        <is>
          <t>avverkningsanmälan</t>
        </is>
      </c>
      <c r="C2996" t="inlineStr">
        <is>
          <t>Föryngringsavverkning</t>
        </is>
      </c>
      <c r="D2996" s="1" t="n">
        <v>45909</v>
      </c>
      <c r="E2996" s="1" t="n">
        <v>46326</v>
      </c>
      <c r="F2996" t="inlineStr">
        <is>
          <t>GÄVLEBORGS LÄN</t>
        </is>
      </c>
      <c r="G2996" t="inlineStr">
        <is>
          <t>GÄVLE</t>
        </is>
      </c>
      <c r="H2996" t="inlineStr">
        <is>
          <t>Bergvik skog väst AB</t>
        </is>
      </c>
      <c r="I2996" t="n">
        <v>1.1</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54897-2024</t>
        </is>
      </c>
      <c r="B2997" t="inlineStr">
        <is>
          <t>avverkningsanmälan</t>
        </is>
      </c>
      <c r="C2997" t="inlineStr">
        <is>
          <t>Avverkning för annat ändamål</t>
        </is>
      </c>
      <c r="D2997" s="1" t="n">
        <v>45618</v>
      </c>
      <c r="E2997" s="1" t="n">
        <v>46326</v>
      </c>
      <c r="F2997" t="inlineStr">
        <is>
          <t>GÄVLEBORGS LÄN</t>
        </is>
      </c>
      <c r="G2997" t="inlineStr">
        <is>
          <t>LJUSDAL</t>
        </is>
      </c>
      <c r="I2997" t="n">
        <v>1</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4354-2026</t>
        </is>
      </c>
      <c r="B2998" t="inlineStr">
        <is>
          <t>avverkningsanmälan</t>
        </is>
      </c>
      <c r="C2998" t="inlineStr">
        <is>
          <t>Föryngringsavverkning</t>
        </is>
      </c>
      <c r="D2998" s="1" t="n">
        <v>46045</v>
      </c>
      <c r="E2998" s="1" t="n">
        <v>46326</v>
      </c>
      <c r="F2998" t="inlineStr">
        <is>
          <t>GÄVLEBORGS LÄN</t>
        </is>
      </c>
      <c r="G2998" t="inlineStr">
        <is>
          <t>OVANÅKER</t>
        </is>
      </c>
      <c r="I2998" t="n">
        <v>3.7</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4241-2026</t>
        </is>
      </c>
      <c r="B2999" t="inlineStr">
        <is>
          <t>avverkningsanmälan</t>
        </is>
      </c>
      <c r="C2999" t="inlineStr">
        <is>
          <t>Föryngringsavverkning</t>
        </is>
      </c>
      <c r="D2999" s="1" t="n">
        <v>46045</v>
      </c>
      <c r="E2999" s="1" t="n">
        <v>46326</v>
      </c>
      <c r="F2999" t="inlineStr">
        <is>
          <t>GÄVLEBORGS LÄN</t>
        </is>
      </c>
      <c r="G2999" t="inlineStr">
        <is>
          <t>BOLLNÄS</t>
        </is>
      </c>
      <c r="I2999" t="n">
        <v>1.1</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32167-2025</t>
        </is>
      </c>
      <c r="B3000" t="inlineStr">
        <is>
          <t>avverkningsanmälan</t>
        </is>
      </c>
      <c r="C3000" t="inlineStr">
        <is>
          <t>Föryngringsavverkning</t>
        </is>
      </c>
      <c r="D3000" s="1" t="n">
        <v>45835</v>
      </c>
      <c r="E3000" s="1" t="n">
        <v>46326</v>
      </c>
      <c r="F3000" t="inlineStr">
        <is>
          <t>GÄVLEBORGS LÄN</t>
        </is>
      </c>
      <c r="G3000" t="inlineStr">
        <is>
          <t>HUDIKSVALL</t>
        </is>
      </c>
      <c r="H3000" t="inlineStr">
        <is>
          <t>Holmen skog AB</t>
        </is>
      </c>
      <c r="I3000" t="n">
        <v>13.7</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43097-2025</t>
        </is>
      </c>
      <c r="B3001" t="inlineStr">
        <is>
          <t>avverkningsanmälan</t>
        </is>
      </c>
      <c r="C3001" t="inlineStr">
        <is>
          <t>Föryngringsavverkning</t>
        </is>
      </c>
      <c r="D3001" s="1" t="n">
        <v>45909</v>
      </c>
      <c r="E3001" s="1" t="n">
        <v>46326</v>
      </c>
      <c r="F3001" t="inlineStr">
        <is>
          <t>GÄVLEBORGS LÄN</t>
        </is>
      </c>
      <c r="G3001" t="inlineStr">
        <is>
          <t>GÄVLE</t>
        </is>
      </c>
      <c r="H3001" t="inlineStr">
        <is>
          <t>Bergvik skog väst AB</t>
        </is>
      </c>
      <c r="I3001" t="n">
        <v>1.1</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58562-2023</t>
        </is>
      </c>
      <c r="B3002" t="inlineStr">
        <is>
          <t>avverkningsanmälan</t>
        </is>
      </c>
      <c r="C3002" t="inlineStr">
        <is>
          <t>Föryngringsavverkning</t>
        </is>
      </c>
      <c r="D3002" s="1" t="n">
        <v>45251</v>
      </c>
      <c r="E3002" s="1" t="n">
        <v>46326</v>
      </c>
      <c r="F3002" t="inlineStr">
        <is>
          <t>GÄVLEBORGS LÄN</t>
        </is>
      </c>
      <c r="G3002" t="inlineStr">
        <is>
          <t>SANDVIKEN</t>
        </is>
      </c>
      <c r="I3002" t="n">
        <v>2.9</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43018-2025</t>
        </is>
      </c>
      <c r="B3003" t="inlineStr">
        <is>
          <t>avverkningsanmälan</t>
        </is>
      </c>
      <c r="C3003" t="inlineStr">
        <is>
          <t>Föryngringsavverkning</t>
        </is>
      </c>
      <c r="D3003" s="1" t="n">
        <v>45909</v>
      </c>
      <c r="E3003" s="1" t="n">
        <v>46326</v>
      </c>
      <c r="F3003" t="inlineStr">
        <is>
          <t>GÄVLEBORGS LÄN</t>
        </is>
      </c>
      <c r="G3003" t="inlineStr">
        <is>
          <t>OVANÅKER</t>
        </is>
      </c>
      <c r="I3003" t="n">
        <v>0.8</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35184-2022</t>
        </is>
      </c>
      <c r="B3004" t="inlineStr">
        <is>
          <t>avverkningsanmälan</t>
        </is>
      </c>
      <c r="C3004" t="inlineStr">
        <is>
          <t>Föryngringsavverkning</t>
        </is>
      </c>
      <c r="D3004" s="1" t="n">
        <v>44797</v>
      </c>
      <c r="E3004" s="1" t="n">
        <v>46326</v>
      </c>
      <c r="F3004" t="inlineStr">
        <is>
          <t>GÄVLEBORGS LÄN</t>
        </is>
      </c>
      <c r="G3004" t="inlineStr">
        <is>
          <t>SANDVIKEN</t>
        </is>
      </c>
      <c r="I3004" t="n">
        <v>1.5</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43400-2023</t>
        </is>
      </c>
      <c r="B3005" t="inlineStr">
        <is>
          <t>avverkningsanmälan</t>
        </is>
      </c>
      <c r="C3005" t="inlineStr">
        <is>
          <t>Föryngringsavverkning</t>
        </is>
      </c>
      <c r="D3005" s="1" t="n">
        <v>45183</v>
      </c>
      <c r="E3005" s="1" t="n">
        <v>46326</v>
      </c>
      <c r="F3005" t="inlineStr">
        <is>
          <t>GÄVLEBORGS LÄN</t>
        </is>
      </c>
      <c r="G3005" t="inlineStr">
        <is>
          <t>NORDANSTIG</t>
        </is>
      </c>
      <c r="I3005" t="n">
        <v>1.8</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42884-2025</t>
        </is>
      </c>
      <c r="B3006" t="inlineStr">
        <is>
          <t>avverkningsanmälan</t>
        </is>
      </c>
      <c r="C3006" t="inlineStr">
        <is>
          <t>Föryngringsavverkning</t>
        </is>
      </c>
      <c r="D3006" s="1" t="n">
        <v>45908</v>
      </c>
      <c r="E3006" s="1" t="n">
        <v>46326</v>
      </c>
      <c r="F3006" t="inlineStr">
        <is>
          <t>GÄVLEBORGS LÄN</t>
        </is>
      </c>
      <c r="G3006" t="inlineStr">
        <is>
          <t>NORDANSTIG</t>
        </is>
      </c>
      <c r="I3006" t="n">
        <v>1.8</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31954-2025</t>
        </is>
      </c>
      <c r="B3007" t="inlineStr">
        <is>
          <t>avverkningsanmälan</t>
        </is>
      </c>
      <c r="C3007" t="inlineStr">
        <is>
          <t>Föryngringsavverkning</t>
        </is>
      </c>
      <c r="D3007" s="1" t="n">
        <v>45835</v>
      </c>
      <c r="E3007" s="1" t="n">
        <v>46326</v>
      </c>
      <c r="F3007" t="inlineStr">
        <is>
          <t>GÄVLEBORGS LÄN</t>
        </is>
      </c>
      <c r="G3007" t="inlineStr">
        <is>
          <t>BOLLNÄS</t>
        </is>
      </c>
      <c r="I3007" t="n">
        <v>1</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59851-2023</t>
        </is>
      </c>
      <c r="B3008" t="inlineStr">
        <is>
          <t>avverkningsanmälan</t>
        </is>
      </c>
      <c r="C3008" t="inlineStr">
        <is>
          <t>Föryngringsavverkning</t>
        </is>
      </c>
      <c r="D3008" s="1" t="n">
        <v>45257</v>
      </c>
      <c r="E3008" s="1" t="n">
        <v>46326</v>
      </c>
      <c r="F3008" t="inlineStr">
        <is>
          <t>GÄVLEBORGS LÄN</t>
        </is>
      </c>
      <c r="G3008" t="inlineStr">
        <is>
          <t>HUDIKSVALL</t>
        </is>
      </c>
      <c r="I3008" t="n">
        <v>1.8</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42790-2025</t>
        </is>
      </c>
      <c r="B3009" t="inlineStr">
        <is>
          <t>avverkningsanmälan</t>
        </is>
      </c>
      <c r="C3009" t="inlineStr">
        <is>
          <t>Föryngringsavverkning</t>
        </is>
      </c>
      <c r="D3009" s="1" t="n">
        <v>45908</v>
      </c>
      <c r="E3009" s="1" t="n">
        <v>46326</v>
      </c>
      <c r="F3009" t="inlineStr">
        <is>
          <t>GÄVLEBORGS LÄN</t>
        </is>
      </c>
      <c r="G3009" t="inlineStr">
        <is>
          <t>HUDIKSVALL</t>
        </is>
      </c>
      <c r="I3009" t="n">
        <v>0.7</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42792-2025</t>
        </is>
      </c>
      <c r="B3010" t="inlineStr">
        <is>
          <t>avverkningsanmälan</t>
        </is>
      </c>
      <c r="C3010" t="inlineStr">
        <is>
          <t>Föryngringsavverkning</t>
        </is>
      </c>
      <c r="D3010" s="1" t="n">
        <v>45908</v>
      </c>
      <c r="E3010" s="1" t="n">
        <v>46326</v>
      </c>
      <c r="F3010" t="inlineStr">
        <is>
          <t>GÄVLEBORGS LÄN</t>
        </is>
      </c>
      <c r="G3010" t="inlineStr">
        <is>
          <t>HUDIKSVALL</t>
        </is>
      </c>
      <c r="I3010" t="n">
        <v>2.6</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32082-2025</t>
        </is>
      </c>
      <c r="B3011" t="inlineStr">
        <is>
          <t>avverkningsanmälan</t>
        </is>
      </c>
      <c r="C3011" t="inlineStr">
        <is>
          <t>Avverkning för annat ändamål</t>
        </is>
      </c>
      <c r="D3011" s="1" t="n">
        <v>45835</v>
      </c>
      <c r="E3011" s="1" t="n">
        <v>46326</v>
      </c>
      <c r="F3011" t="inlineStr">
        <is>
          <t>GÄVLEBORGS LÄN</t>
        </is>
      </c>
      <c r="G3011" t="inlineStr">
        <is>
          <t>NORDANSTIG</t>
        </is>
      </c>
      <c r="I3011" t="n">
        <v>3.2</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31920-2025</t>
        </is>
      </c>
      <c r="B3012" t="inlineStr">
        <is>
          <t>avverkningsanmälan</t>
        </is>
      </c>
      <c r="C3012" t="inlineStr">
        <is>
          <t>Föryngringsavverkning</t>
        </is>
      </c>
      <c r="D3012" s="1" t="n">
        <v>45834</v>
      </c>
      <c r="E3012" s="1" t="n">
        <v>46326</v>
      </c>
      <c r="F3012" t="inlineStr">
        <is>
          <t>GÄVLEBORGS LÄN</t>
        </is>
      </c>
      <c r="G3012" t="inlineStr">
        <is>
          <t>GÄVLE</t>
        </is>
      </c>
      <c r="I3012" t="n">
        <v>1</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42760-2025</t>
        </is>
      </c>
      <c r="B3013" t="inlineStr">
        <is>
          <t>avverkningsanmälan</t>
        </is>
      </c>
      <c r="C3013" t="inlineStr">
        <is>
          <t>Föryngringsavverkning</t>
        </is>
      </c>
      <c r="D3013" s="1" t="n">
        <v>45908</v>
      </c>
      <c r="E3013" s="1" t="n">
        <v>46326</v>
      </c>
      <c r="F3013" t="inlineStr">
        <is>
          <t>GÄVLEBORGS LÄN</t>
        </is>
      </c>
      <c r="G3013" t="inlineStr">
        <is>
          <t>HUDIKSVALL</t>
        </is>
      </c>
      <c r="I3013" t="n">
        <v>2.7</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43087-2025</t>
        </is>
      </c>
      <c r="B3014" t="inlineStr">
        <is>
          <t>avverkningsanmälan</t>
        </is>
      </c>
      <c r="C3014" t="inlineStr">
        <is>
          <t>Föryngringsavverkning</t>
        </is>
      </c>
      <c r="D3014" s="1" t="n">
        <v>45909</v>
      </c>
      <c r="E3014" s="1" t="n">
        <v>46326</v>
      </c>
      <c r="F3014" t="inlineStr">
        <is>
          <t>GÄVLEBORGS LÄN</t>
        </is>
      </c>
      <c r="G3014" t="inlineStr">
        <is>
          <t>GÄVLE</t>
        </is>
      </c>
      <c r="H3014" t="inlineStr">
        <is>
          <t>Bergvik skog väst AB</t>
        </is>
      </c>
      <c r="I3014" t="n">
        <v>0.5</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43170-2025</t>
        </is>
      </c>
      <c r="B3015" t="inlineStr">
        <is>
          <t>avverkningsanmälan</t>
        </is>
      </c>
      <c r="C3015" t="inlineStr">
        <is>
          <t>Föryngringsavverkning</t>
        </is>
      </c>
      <c r="D3015" s="1" t="n">
        <v>45910</v>
      </c>
      <c r="E3015" s="1" t="n">
        <v>46326</v>
      </c>
      <c r="F3015" t="inlineStr">
        <is>
          <t>GÄVLEBORGS LÄN</t>
        </is>
      </c>
      <c r="G3015" t="inlineStr">
        <is>
          <t>HUDIKSVALL</t>
        </is>
      </c>
      <c r="H3015" t="inlineStr">
        <is>
          <t>Holmen skog AB</t>
        </is>
      </c>
      <c r="I3015" t="n">
        <v>3.7</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52158-2023</t>
        </is>
      </c>
      <c r="B3016" t="inlineStr">
        <is>
          <t>avverkningsanmälan</t>
        </is>
      </c>
      <c r="C3016" t="inlineStr">
        <is>
          <t>Föryngringsavverkning</t>
        </is>
      </c>
      <c r="D3016" s="1" t="n">
        <v>45224</v>
      </c>
      <c r="E3016" s="1" t="n">
        <v>46326</v>
      </c>
      <c r="F3016" t="inlineStr">
        <is>
          <t>GÄVLEBORGS LÄN</t>
        </is>
      </c>
      <c r="G3016" t="inlineStr">
        <is>
          <t>OVANÅKER</t>
        </is>
      </c>
      <c r="I3016" t="n">
        <v>0.4</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4272-2026</t>
        </is>
      </c>
      <c r="B3017" t="inlineStr">
        <is>
          <t>avverkningsanmälan</t>
        </is>
      </c>
      <c r="C3017" t="inlineStr">
        <is>
          <t>Föryngringsavverkning</t>
        </is>
      </c>
      <c r="D3017" s="1" t="n">
        <v>46045</v>
      </c>
      <c r="E3017" s="1" t="n">
        <v>46326</v>
      </c>
      <c r="F3017" t="inlineStr">
        <is>
          <t>GÄVLEBORGS LÄN</t>
        </is>
      </c>
      <c r="G3017" t="inlineStr">
        <is>
          <t>HUDIKSVALL</t>
        </is>
      </c>
      <c r="I3017" t="n">
        <v>9.4</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43230-2025</t>
        </is>
      </c>
      <c r="B3018" t="inlineStr">
        <is>
          <t>avverkningsanmälan</t>
        </is>
      </c>
      <c r="C3018" t="inlineStr">
        <is>
          <t>Föryngringsavverkning</t>
        </is>
      </c>
      <c r="D3018" s="1" t="n">
        <v>45910</v>
      </c>
      <c r="E3018" s="1" t="n">
        <v>46326</v>
      </c>
      <c r="F3018" t="inlineStr">
        <is>
          <t>GÄVLEBORGS LÄN</t>
        </is>
      </c>
      <c r="G3018" t="inlineStr">
        <is>
          <t>SANDVIKEN</t>
        </is>
      </c>
      <c r="I3018" t="n">
        <v>1.2</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33153-2025</t>
        </is>
      </c>
      <c r="B3019" t="inlineStr">
        <is>
          <t>avverkningsanmälan</t>
        </is>
      </c>
      <c r="C3019" t="inlineStr">
        <is>
          <t>Föryngringsavverkning</t>
        </is>
      </c>
      <c r="D3019" s="1" t="n">
        <v>45840</v>
      </c>
      <c r="E3019" s="1" t="n">
        <v>46326</v>
      </c>
      <c r="F3019" t="inlineStr">
        <is>
          <t>GÄVLEBORGS LÄN</t>
        </is>
      </c>
      <c r="G3019" t="inlineStr">
        <is>
          <t>BOLLNÄS</t>
        </is>
      </c>
      <c r="H3019" t="inlineStr">
        <is>
          <t>Bergvik skog väst AB</t>
        </is>
      </c>
      <c r="I3019" t="n">
        <v>6.1</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43436-2025</t>
        </is>
      </c>
      <c r="B3020" t="inlineStr">
        <is>
          <t>avverkningsanmälan</t>
        </is>
      </c>
      <c r="C3020" t="inlineStr">
        <is>
          <t>Föryngringsavverkning</t>
        </is>
      </c>
      <c r="D3020" s="1" t="n">
        <v>45911</v>
      </c>
      <c r="E3020" s="1" t="n">
        <v>46326</v>
      </c>
      <c r="F3020" t="inlineStr">
        <is>
          <t>GÄVLEBORGS LÄN</t>
        </is>
      </c>
      <c r="G3020" t="inlineStr">
        <is>
          <t>OCKELBO</t>
        </is>
      </c>
      <c r="I3020" t="n">
        <v>1.3</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20892-2025</t>
        </is>
      </c>
      <c r="B3021" t="inlineStr">
        <is>
          <t>avverkningsanmälan</t>
        </is>
      </c>
      <c r="C3021" t="inlineStr">
        <is>
          <t>Föryngringsavverkning</t>
        </is>
      </c>
      <c r="D3021" s="1" t="n">
        <v>45777</v>
      </c>
      <c r="E3021" s="1" t="n">
        <v>46326</v>
      </c>
      <c r="F3021" t="inlineStr">
        <is>
          <t>GÄVLEBORGS LÄN</t>
        </is>
      </c>
      <c r="G3021" t="inlineStr">
        <is>
          <t>OCKELBO</t>
        </is>
      </c>
      <c r="H3021" t="inlineStr">
        <is>
          <t>Bergvik skog väst AB</t>
        </is>
      </c>
      <c r="I3021" t="n">
        <v>8</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59931-2023</t>
        </is>
      </c>
      <c r="B3022" t="inlineStr">
        <is>
          <t>avverkningsanmälan</t>
        </is>
      </c>
      <c r="C3022" t="inlineStr">
        <is>
          <t>Föryngringsavverkning</t>
        </is>
      </c>
      <c r="D3022" s="1" t="n">
        <v>45257</v>
      </c>
      <c r="E3022" s="1" t="n">
        <v>46326</v>
      </c>
      <c r="F3022" t="inlineStr">
        <is>
          <t>GÄVLEBORGS LÄN</t>
        </is>
      </c>
      <c r="G3022" t="inlineStr">
        <is>
          <t>LJUSDAL</t>
        </is>
      </c>
      <c r="I3022" t="n">
        <v>4.2</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32200-2025</t>
        </is>
      </c>
      <c r="B3023" t="inlineStr">
        <is>
          <t>avverkningsanmälan</t>
        </is>
      </c>
      <c r="C3023" t="inlineStr">
        <is>
          <t>Föryngringsavverkning</t>
        </is>
      </c>
      <c r="D3023" s="1" t="n">
        <v>45835</v>
      </c>
      <c r="E3023" s="1" t="n">
        <v>46326</v>
      </c>
      <c r="F3023" t="inlineStr">
        <is>
          <t>GÄVLEBORGS LÄN</t>
        </is>
      </c>
      <c r="G3023" t="inlineStr">
        <is>
          <t>LJUSDAL</t>
        </is>
      </c>
      <c r="H3023" t="inlineStr">
        <is>
          <t>Bergvik skog väst AB</t>
        </is>
      </c>
      <c r="I3023" t="n">
        <v>8.300000000000001</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31719-2025</t>
        </is>
      </c>
      <c r="B3024" t="inlineStr">
        <is>
          <t>avverkningsanmälan</t>
        </is>
      </c>
      <c r="C3024" t="inlineStr">
        <is>
          <t>Föryngringsavverkning</t>
        </is>
      </c>
      <c r="D3024" s="1" t="n">
        <v>45834</v>
      </c>
      <c r="E3024" s="1" t="n">
        <v>46326</v>
      </c>
      <c r="F3024" t="inlineStr">
        <is>
          <t>GÄVLEBORGS LÄN</t>
        </is>
      </c>
      <c r="G3024" t="inlineStr">
        <is>
          <t>BOLLNÄS</t>
        </is>
      </c>
      <c r="I3024" t="n">
        <v>2.7</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43219-2025</t>
        </is>
      </c>
      <c r="B3025" t="inlineStr">
        <is>
          <t>avverkningsanmälan</t>
        </is>
      </c>
      <c r="C3025" t="inlineStr">
        <is>
          <t>Föryngringsavverkning</t>
        </is>
      </c>
      <c r="D3025" s="1" t="n">
        <v>45910</v>
      </c>
      <c r="E3025" s="1" t="n">
        <v>46326</v>
      </c>
      <c r="F3025" t="inlineStr">
        <is>
          <t>GÄVLEBORGS LÄN</t>
        </is>
      </c>
      <c r="G3025" t="inlineStr">
        <is>
          <t>HUDIKSVALL</t>
        </is>
      </c>
      <c r="I3025" t="n">
        <v>2.7</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32179-2025</t>
        </is>
      </c>
      <c r="B3026" t="inlineStr">
        <is>
          <t>avverkningsanmälan</t>
        </is>
      </c>
      <c r="C3026" t="inlineStr">
        <is>
          <t>Föryngringsavverkning</t>
        </is>
      </c>
      <c r="D3026" s="1" t="n">
        <v>45835</v>
      </c>
      <c r="E3026" s="1" t="n">
        <v>46326</v>
      </c>
      <c r="F3026" t="inlineStr">
        <is>
          <t>GÄVLEBORGS LÄN</t>
        </is>
      </c>
      <c r="G3026" t="inlineStr">
        <is>
          <t>LJUSDAL</t>
        </is>
      </c>
      <c r="H3026" t="inlineStr">
        <is>
          <t>Bergvik skog väst AB</t>
        </is>
      </c>
      <c r="I3026" t="n">
        <v>7</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43393-2025</t>
        </is>
      </c>
      <c r="B3027" t="inlineStr">
        <is>
          <t>avverkningsanmälan</t>
        </is>
      </c>
      <c r="C3027" t="inlineStr">
        <is>
          <t>Föryngringsavverkning</t>
        </is>
      </c>
      <c r="D3027" s="1" t="n">
        <v>45911</v>
      </c>
      <c r="E3027" s="1" t="n">
        <v>46326</v>
      </c>
      <c r="F3027" t="inlineStr">
        <is>
          <t>GÄVLEBORGS LÄN</t>
        </is>
      </c>
      <c r="G3027" t="inlineStr">
        <is>
          <t>HUDIKSVALL</t>
        </is>
      </c>
      <c r="I3027" t="n">
        <v>2.6</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32105-2025</t>
        </is>
      </c>
      <c r="B3028" t="inlineStr">
        <is>
          <t>avverkningsanmälan</t>
        </is>
      </c>
      <c r="C3028" t="inlineStr">
        <is>
          <t>Föryngringsavverkning</t>
        </is>
      </c>
      <c r="D3028" s="1" t="n">
        <v>45835</v>
      </c>
      <c r="E3028" s="1" t="n">
        <v>46326</v>
      </c>
      <c r="F3028" t="inlineStr">
        <is>
          <t>GÄVLEBORGS LÄN</t>
        </is>
      </c>
      <c r="G3028" t="inlineStr">
        <is>
          <t>NORDANSTIG</t>
        </is>
      </c>
      <c r="I3028" t="n">
        <v>2</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37780-2024</t>
        </is>
      </c>
      <c r="B3029" t="inlineStr">
        <is>
          <t>avverkningsanmälan</t>
        </is>
      </c>
      <c r="C3029" t="inlineStr">
        <is>
          <t>Föryngringsavverkning</t>
        </is>
      </c>
      <c r="D3029" s="1" t="n">
        <v>45542</v>
      </c>
      <c r="E3029" s="1" t="n">
        <v>46326</v>
      </c>
      <c r="F3029" t="inlineStr">
        <is>
          <t>GÄVLEBORGS LÄN</t>
        </is>
      </c>
      <c r="G3029" t="inlineStr">
        <is>
          <t>BOLLNÄS</t>
        </is>
      </c>
      <c r="I3029" t="n">
        <v>0.8</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43339-2025</t>
        </is>
      </c>
      <c r="B3030" t="inlineStr">
        <is>
          <t>avverkningsanmälan</t>
        </is>
      </c>
      <c r="C3030" t="inlineStr">
        <is>
          <t>Föryngringsavverkning</t>
        </is>
      </c>
      <c r="D3030" s="1" t="n">
        <v>45910</v>
      </c>
      <c r="E3030" s="1" t="n">
        <v>46326</v>
      </c>
      <c r="F3030" t="inlineStr">
        <is>
          <t>GÄVLEBORGS LÄN</t>
        </is>
      </c>
      <c r="G3030" t="inlineStr">
        <is>
          <t>HUDIKSVALL</t>
        </is>
      </c>
      <c r="H3030" t="inlineStr">
        <is>
          <t>Holmen skog AB</t>
        </is>
      </c>
      <c r="I3030" t="n">
        <v>7.4</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55422-2022</t>
        </is>
      </c>
      <c r="B3031" t="inlineStr">
        <is>
          <t>avverkningsanmälan</t>
        </is>
      </c>
      <c r="C3031" t="inlineStr">
        <is>
          <t>Avverkning för annat ändamål</t>
        </is>
      </c>
      <c r="D3031" s="1" t="n">
        <v>44887</v>
      </c>
      <c r="E3031" s="1" t="n">
        <v>46326</v>
      </c>
      <c r="F3031" t="inlineStr">
        <is>
          <t>GÄVLEBORGS LÄN</t>
        </is>
      </c>
      <c r="G3031" t="inlineStr">
        <is>
          <t>OCKELBO</t>
        </is>
      </c>
      <c r="I3031" t="n">
        <v>0.1</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31810-2025</t>
        </is>
      </c>
      <c r="B3032" t="inlineStr">
        <is>
          <t>avverkningsanmälan</t>
        </is>
      </c>
      <c r="C3032" t="inlineStr">
        <is>
          <t>Föryngringsavverkning</t>
        </is>
      </c>
      <c r="D3032" s="1" t="n">
        <v>45834</v>
      </c>
      <c r="E3032" s="1" t="n">
        <v>46326</v>
      </c>
      <c r="F3032" t="inlineStr">
        <is>
          <t>GÄVLEBORGS LÄN</t>
        </is>
      </c>
      <c r="G3032" t="inlineStr">
        <is>
          <t>LJUSDAL</t>
        </is>
      </c>
      <c r="I3032" t="n">
        <v>17.2</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43210-2025</t>
        </is>
      </c>
      <c r="B3033" t="inlineStr">
        <is>
          <t>avverkningsanmälan</t>
        </is>
      </c>
      <c r="C3033" t="inlineStr">
        <is>
          <t>Föryngringsavverkning</t>
        </is>
      </c>
      <c r="D3033" s="1" t="n">
        <v>45910</v>
      </c>
      <c r="E3033" s="1" t="n">
        <v>46326</v>
      </c>
      <c r="F3033" t="inlineStr">
        <is>
          <t>GÄVLEBORGS LÄN</t>
        </is>
      </c>
      <c r="G3033" t="inlineStr">
        <is>
          <t>SANDVIKEN</t>
        </is>
      </c>
      <c r="I3033" t="n">
        <v>0.8</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31720-2025</t>
        </is>
      </c>
      <c r="B3034" t="inlineStr">
        <is>
          <t>avverkningsanmälan</t>
        </is>
      </c>
      <c r="C3034" t="inlineStr">
        <is>
          <t>Föryngringsavverkning</t>
        </is>
      </c>
      <c r="D3034" s="1" t="n">
        <v>45834</v>
      </c>
      <c r="E3034" s="1" t="n">
        <v>46326</v>
      </c>
      <c r="F3034" t="inlineStr">
        <is>
          <t>GÄVLEBORGS LÄN</t>
        </is>
      </c>
      <c r="G3034" t="inlineStr">
        <is>
          <t>HUDIKSVALL</t>
        </is>
      </c>
      <c r="I3034" t="n">
        <v>31.2</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34941-2024</t>
        </is>
      </c>
      <c r="B3035" t="inlineStr">
        <is>
          <t>avverkningsanmälan</t>
        </is>
      </c>
      <c r="C3035" t="inlineStr">
        <is>
          <t>Föryngringsavverkning</t>
        </is>
      </c>
      <c r="D3035" s="1" t="n">
        <v>45527</v>
      </c>
      <c r="E3035" s="1" t="n">
        <v>46326</v>
      </c>
      <c r="F3035" t="inlineStr">
        <is>
          <t>GÄVLEBORGS LÄN</t>
        </is>
      </c>
      <c r="G3035" t="inlineStr">
        <is>
          <t>BOLLNÄS</t>
        </is>
      </c>
      <c r="H3035" t="inlineStr">
        <is>
          <t>Bergvik skog väst AB</t>
        </is>
      </c>
      <c r="I3035" t="n">
        <v>2</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31766-2025</t>
        </is>
      </c>
      <c r="B3036" t="inlineStr">
        <is>
          <t>avverkningsanmälan</t>
        </is>
      </c>
      <c r="C3036" t="inlineStr">
        <is>
          <t>Föryngringsavverkning</t>
        </is>
      </c>
      <c r="D3036" s="1" t="n">
        <v>45834</v>
      </c>
      <c r="E3036" s="1" t="n">
        <v>46326</v>
      </c>
      <c r="F3036" t="inlineStr">
        <is>
          <t>GÄVLEBORGS LÄN</t>
        </is>
      </c>
      <c r="G3036" t="inlineStr">
        <is>
          <t>HUDIKSVALL</t>
        </is>
      </c>
      <c r="H3036" t="inlineStr">
        <is>
          <t>Holmen skog AB</t>
        </is>
      </c>
      <c r="I3036" t="n">
        <v>3.6</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41415-2025</t>
        </is>
      </c>
      <c r="B3037" t="inlineStr">
        <is>
          <t>avverkningsanmälan</t>
        </is>
      </c>
      <c r="C3037" t="inlineStr">
        <is>
          <t>Föryngringsavverkning</t>
        </is>
      </c>
      <c r="D3037" s="1" t="n">
        <v>45901</v>
      </c>
      <c r="E3037" s="1" t="n">
        <v>46326</v>
      </c>
      <c r="F3037" t="inlineStr">
        <is>
          <t>GÄVLEBORGS LÄN</t>
        </is>
      </c>
      <c r="G3037" t="inlineStr">
        <is>
          <t>OVANÅKER</t>
        </is>
      </c>
      <c r="I3037" t="n">
        <v>4.5</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43197-2025</t>
        </is>
      </c>
      <c r="B3038" t="inlineStr">
        <is>
          <t>avverkningsanmälan</t>
        </is>
      </c>
      <c r="C3038" t="inlineStr">
        <is>
          <t>Föryngringsavverkning</t>
        </is>
      </c>
      <c r="D3038" s="1" t="n">
        <v>45910</v>
      </c>
      <c r="E3038" s="1" t="n">
        <v>46326</v>
      </c>
      <c r="F3038" t="inlineStr">
        <is>
          <t>GÄVLEBORGS LÄN</t>
        </is>
      </c>
      <c r="G3038" t="inlineStr">
        <is>
          <t>HUDIKSVALL</t>
        </is>
      </c>
      <c r="I3038" t="n">
        <v>3.2</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43433-2025</t>
        </is>
      </c>
      <c r="B3039" t="inlineStr">
        <is>
          <t>avverkningsanmälan</t>
        </is>
      </c>
      <c r="C3039" t="inlineStr">
        <is>
          <t>Föryngringsavverkning</t>
        </is>
      </c>
      <c r="D3039" s="1" t="n">
        <v>45911</v>
      </c>
      <c r="E3039" s="1" t="n">
        <v>46326</v>
      </c>
      <c r="F3039" t="inlineStr">
        <is>
          <t>GÄVLEBORGS LÄN</t>
        </is>
      </c>
      <c r="G3039" t="inlineStr">
        <is>
          <t>HUDIKSVALL</t>
        </is>
      </c>
      <c r="I3039" t="n">
        <v>2.1</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31948-2025</t>
        </is>
      </c>
      <c r="B3040" t="inlineStr">
        <is>
          <t>avverkningsanmälan</t>
        </is>
      </c>
      <c r="C3040" t="inlineStr">
        <is>
          <t>Föryngringsavverkning</t>
        </is>
      </c>
      <c r="D3040" s="1" t="n">
        <v>45835</v>
      </c>
      <c r="E3040" s="1" t="n">
        <v>46326</v>
      </c>
      <c r="F3040" t="inlineStr">
        <is>
          <t>GÄVLEBORGS LÄN</t>
        </is>
      </c>
      <c r="G3040" t="inlineStr">
        <is>
          <t>BOLLNÄS</t>
        </is>
      </c>
      <c r="H3040" t="inlineStr">
        <is>
          <t>Bergvik skog väst AB</t>
        </is>
      </c>
      <c r="I3040" t="n">
        <v>0.9</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32092-2025</t>
        </is>
      </c>
      <c r="B3041" t="inlineStr">
        <is>
          <t>avverkningsanmälan</t>
        </is>
      </c>
      <c r="C3041" t="inlineStr">
        <is>
          <t>Föryngringsavverkning</t>
        </is>
      </c>
      <c r="D3041" s="1" t="n">
        <v>45835</v>
      </c>
      <c r="E3041" s="1" t="n">
        <v>46326</v>
      </c>
      <c r="F3041" t="inlineStr">
        <is>
          <t>GÄVLEBORGS LÄN</t>
        </is>
      </c>
      <c r="G3041" t="inlineStr">
        <is>
          <t>NORDANSTIG</t>
        </is>
      </c>
      <c r="H3041" t="inlineStr">
        <is>
          <t>Holmen skog AB</t>
        </is>
      </c>
      <c r="I3041" t="n">
        <v>6</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43424-2025</t>
        </is>
      </c>
      <c r="B3042" t="inlineStr">
        <is>
          <t>avverkningsanmälan</t>
        </is>
      </c>
      <c r="C3042" t="inlineStr">
        <is>
          <t>Föryngringsavverkning</t>
        </is>
      </c>
      <c r="D3042" s="1" t="n">
        <v>45911</v>
      </c>
      <c r="E3042" s="1" t="n">
        <v>46326</v>
      </c>
      <c r="F3042" t="inlineStr">
        <is>
          <t>GÄVLEBORGS LÄN</t>
        </is>
      </c>
      <c r="G3042" t="inlineStr">
        <is>
          <t>OCKELBO</t>
        </is>
      </c>
      <c r="I3042" t="n">
        <v>4.4</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31936-2025</t>
        </is>
      </c>
      <c r="B3043" t="inlineStr">
        <is>
          <t>avverkningsanmälan</t>
        </is>
      </c>
      <c r="C3043" t="inlineStr">
        <is>
          <t>Föryngringsavverkning</t>
        </is>
      </c>
      <c r="D3043" s="1" t="n">
        <v>45834</v>
      </c>
      <c r="E3043" s="1" t="n">
        <v>46326</v>
      </c>
      <c r="F3043" t="inlineStr">
        <is>
          <t>GÄVLEBORGS LÄN</t>
        </is>
      </c>
      <c r="G3043" t="inlineStr">
        <is>
          <t>HUDIKSVALL</t>
        </is>
      </c>
      <c r="I3043" t="n">
        <v>3.8</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32282-2025</t>
        </is>
      </c>
      <c r="B3044" t="inlineStr">
        <is>
          <t>avverkningsanmälan</t>
        </is>
      </c>
      <c r="C3044" t="inlineStr">
        <is>
          <t>Föryngringsavverkning</t>
        </is>
      </c>
      <c r="D3044" s="1" t="n">
        <v>45835</v>
      </c>
      <c r="E3044" s="1" t="n">
        <v>46326</v>
      </c>
      <c r="F3044" t="inlineStr">
        <is>
          <t>GÄVLEBORGS LÄN</t>
        </is>
      </c>
      <c r="G3044" t="inlineStr">
        <is>
          <t>LJUSDAL</t>
        </is>
      </c>
      <c r="H3044" t="inlineStr">
        <is>
          <t>Allmännings- och besparingsskogar</t>
        </is>
      </c>
      <c r="I3044" t="n">
        <v>1.7</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32299-2025</t>
        </is>
      </c>
      <c r="B3045" t="inlineStr">
        <is>
          <t>avverkningsanmälan</t>
        </is>
      </c>
      <c r="C3045" t="inlineStr">
        <is>
          <t>Föryngringsavverkning</t>
        </is>
      </c>
      <c r="D3045" s="1" t="n">
        <v>45835</v>
      </c>
      <c r="E3045" s="1" t="n">
        <v>46326</v>
      </c>
      <c r="F3045" t="inlineStr">
        <is>
          <t>GÄVLEBORGS LÄN</t>
        </is>
      </c>
      <c r="G3045" t="inlineStr">
        <is>
          <t>HOFORS</t>
        </is>
      </c>
      <c r="H3045" t="inlineStr">
        <is>
          <t>Bergvik skog väst AB</t>
        </is>
      </c>
      <c r="I3045" t="n">
        <v>12.8</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31907-2025</t>
        </is>
      </c>
      <c r="B3046" t="inlineStr">
        <is>
          <t>avverkningsanmälan</t>
        </is>
      </c>
      <c r="C3046" t="inlineStr">
        <is>
          <t>Föryngringsavverkning</t>
        </is>
      </c>
      <c r="D3046" s="1" t="n">
        <v>45834</v>
      </c>
      <c r="E3046" s="1" t="n">
        <v>46326</v>
      </c>
      <c r="F3046" t="inlineStr">
        <is>
          <t>GÄVLEBORGS LÄN</t>
        </is>
      </c>
      <c r="G3046" t="inlineStr">
        <is>
          <t>HUDIKSVALL</t>
        </is>
      </c>
      <c r="I3046" t="n">
        <v>8.9</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32350-2022</t>
        </is>
      </c>
      <c r="B3047" t="inlineStr">
        <is>
          <t>avverkningsanmälan</t>
        </is>
      </c>
      <c r="C3047" t="inlineStr">
        <is>
          <t>Föryngringsavverkning</t>
        </is>
      </c>
      <c r="D3047" s="1" t="n">
        <v>44781</v>
      </c>
      <c r="E3047" s="1" t="n">
        <v>46326</v>
      </c>
      <c r="F3047" t="inlineStr">
        <is>
          <t>GÄVLEBORGS LÄN</t>
        </is>
      </c>
      <c r="G3047" t="inlineStr">
        <is>
          <t>NORDANSTIG</t>
        </is>
      </c>
      <c r="I3047" t="n">
        <v>3.5</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31971-2025</t>
        </is>
      </c>
      <c r="B3048" t="inlineStr">
        <is>
          <t>avverkningsanmälan</t>
        </is>
      </c>
      <c r="C3048" t="inlineStr">
        <is>
          <t>Föryngringsavverkning</t>
        </is>
      </c>
      <c r="D3048" s="1" t="n">
        <v>45835</v>
      </c>
      <c r="E3048" s="1" t="n">
        <v>46326</v>
      </c>
      <c r="F3048" t="inlineStr">
        <is>
          <t>GÄVLEBORGS LÄN</t>
        </is>
      </c>
      <c r="G3048" t="inlineStr">
        <is>
          <t>BOLLNÄS</t>
        </is>
      </c>
      <c r="H3048" t="inlineStr">
        <is>
          <t>Bergvik skog väst AB</t>
        </is>
      </c>
      <c r="I3048" t="n">
        <v>3.2</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32022-2025</t>
        </is>
      </c>
      <c r="B3049" t="inlineStr">
        <is>
          <t>avverkningsanmälan</t>
        </is>
      </c>
      <c r="C3049" t="inlineStr">
        <is>
          <t>Föryngringsavverkning</t>
        </is>
      </c>
      <c r="D3049" s="1" t="n">
        <v>45835</v>
      </c>
      <c r="E3049" s="1" t="n">
        <v>46326</v>
      </c>
      <c r="F3049" t="inlineStr">
        <is>
          <t>GÄVLEBORGS LÄN</t>
        </is>
      </c>
      <c r="G3049" t="inlineStr">
        <is>
          <t>GÄVLE</t>
        </is>
      </c>
      <c r="I3049" t="n">
        <v>3.2</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14029-2023</t>
        </is>
      </c>
      <c r="B3050" t="inlineStr">
        <is>
          <t>avverkningsanmälan</t>
        </is>
      </c>
      <c r="C3050" t="inlineStr">
        <is>
          <t>Föryngringsavverkning</t>
        </is>
      </c>
      <c r="D3050" s="1" t="n">
        <v>45008</v>
      </c>
      <c r="E3050" s="1" t="n">
        <v>46326</v>
      </c>
      <c r="F3050" t="inlineStr">
        <is>
          <t>GÄVLEBORGS LÄN</t>
        </is>
      </c>
      <c r="G3050" t="inlineStr">
        <is>
          <t>SÖDERHAMN</t>
        </is>
      </c>
      <c r="I3050" t="n">
        <v>1.3</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37099-2025</t>
        </is>
      </c>
      <c r="B3051" t="inlineStr">
        <is>
          <t>avverkningsanmälan</t>
        </is>
      </c>
      <c r="C3051" t="inlineStr">
        <is>
          <t>Föryngringsavverkning</t>
        </is>
      </c>
      <c r="D3051" s="1" t="n">
        <v>45875</v>
      </c>
      <c r="E3051" s="1" t="n">
        <v>46326</v>
      </c>
      <c r="F3051" t="inlineStr">
        <is>
          <t>GÄVLEBORGS LÄN</t>
        </is>
      </c>
      <c r="G3051" t="inlineStr">
        <is>
          <t>BOLLNÄS</t>
        </is>
      </c>
      <c r="H3051" t="inlineStr">
        <is>
          <t>Bergvik skog väst AB</t>
        </is>
      </c>
      <c r="I3051" t="n">
        <v>5</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32932-2025</t>
        </is>
      </c>
      <c r="B3052" t="inlineStr">
        <is>
          <t>avverkningsanmälan</t>
        </is>
      </c>
      <c r="C3052" t="inlineStr">
        <is>
          <t>Föryngringsavverkning</t>
        </is>
      </c>
      <c r="D3052" s="1" t="n">
        <v>45839</v>
      </c>
      <c r="E3052" s="1" t="n">
        <v>46326</v>
      </c>
      <c r="F3052" t="inlineStr">
        <is>
          <t>GÄVLEBORGS LÄN</t>
        </is>
      </c>
      <c r="G3052" t="inlineStr">
        <is>
          <t>OVANÅKER</t>
        </is>
      </c>
      <c r="H3052" t="inlineStr">
        <is>
          <t>Bergvik skog öst AB</t>
        </is>
      </c>
      <c r="I3052" t="n">
        <v>9.6</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55002-2023</t>
        </is>
      </c>
      <c r="B3053" t="inlineStr">
        <is>
          <t>avverkningsanmälan</t>
        </is>
      </c>
      <c r="C3053" t="inlineStr">
        <is>
          <t>Föryngringsavverkning</t>
        </is>
      </c>
      <c r="D3053" s="1" t="n">
        <v>45236</v>
      </c>
      <c r="E3053" s="1" t="n">
        <v>46326</v>
      </c>
      <c r="F3053" t="inlineStr">
        <is>
          <t>GÄVLEBORGS LÄN</t>
        </is>
      </c>
      <c r="G3053" t="inlineStr">
        <is>
          <t>NORDANSTIG</t>
        </is>
      </c>
      <c r="H3053" t="inlineStr">
        <is>
          <t>SCA</t>
        </is>
      </c>
      <c r="I3053" t="n">
        <v>3.7</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43375-2025</t>
        </is>
      </c>
      <c r="B3054" t="inlineStr">
        <is>
          <t>avverkningsanmälan</t>
        </is>
      </c>
      <c r="C3054" t="inlineStr">
        <is>
          <t>Föryngringsavverkning</t>
        </is>
      </c>
      <c r="D3054" s="1" t="n">
        <v>45911</v>
      </c>
      <c r="E3054" s="1" t="n">
        <v>46326</v>
      </c>
      <c r="F3054" t="inlineStr">
        <is>
          <t>GÄVLEBORGS LÄN</t>
        </is>
      </c>
      <c r="G3054" t="inlineStr">
        <is>
          <t>SÖDERHAMN</t>
        </is>
      </c>
      <c r="I3054" t="n">
        <v>0.3</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43356-2025</t>
        </is>
      </c>
      <c r="B3055" t="inlineStr">
        <is>
          <t>avverkningsanmälan</t>
        </is>
      </c>
      <c r="C3055" t="inlineStr">
        <is>
          <t>Föryngringsavverkning</t>
        </is>
      </c>
      <c r="D3055" s="1" t="n">
        <v>45911</v>
      </c>
      <c r="E3055" s="1" t="n">
        <v>46326</v>
      </c>
      <c r="F3055" t="inlineStr">
        <is>
          <t>GÄVLEBORGS LÄN</t>
        </is>
      </c>
      <c r="G3055" t="inlineStr">
        <is>
          <t>GÄVLE</t>
        </is>
      </c>
      <c r="I3055" t="n">
        <v>1.1</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43507-2025</t>
        </is>
      </c>
      <c r="B3056" t="inlineStr">
        <is>
          <t>avverkningsanmälan</t>
        </is>
      </c>
      <c r="C3056" t="inlineStr">
        <is>
          <t>Föryngringsavverkning</t>
        </is>
      </c>
      <c r="D3056" s="1" t="n">
        <v>45911</v>
      </c>
      <c r="E3056" s="1" t="n">
        <v>46326</v>
      </c>
      <c r="F3056" t="inlineStr">
        <is>
          <t>GÄVLEBORGS LÄN</t>
        </is>
      </c>
      <c r="G3056" t="inlineStr">
        <is>
          <t>NORDANSTIG</t>
        </is>
      </c>
      <c r="I3056" t="n">
        <v>1.3</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43423-2025</t>
        </is>
      </c>
      <c r="B3057" t="inlineStr">
        <is>
          <t>avverkningsanmälan</t>
        </is>
      </c>
      <c r="C3057" t="inlineStr">
        <is>
          <t>Föryngringsavverkning</t>
        </is>
      </c>
      <c r="D3057" s="1" t="n">
        <v>45911</v>
      </c>
      <c r="E3057" s="1" t="n">
        <v>46326</v>
      </c>
      <c r="F3057" t="inlineStr">
        <is>
          <t>GÄVLEBORGS LÄN</t>
        </is>
      </c>
      <c r="G3057" t="inlineStr">
        <is>
          <t>OCKELBO</t>
        </is>
      </c>
      <c r="H3057" t="inlineStr">
        <is>
          <t>Bergvik skog väst AB</t>
        </is>
      </c>
      <c r="I3057" t="n">
        <v>24.8</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42907-2025</t>
        </is>
      </c>
      <c r="B3058" t="inlineStr">
        <is>
          <t>avverkningsanmälan</t>
        </is>
      </c>
      <c r="C3058" t="inlineStr">
        <is>
          <t>Föryngringsavverkning</t>
        </is>
      </c>
      <c r="D3058" s="1" t="n">
        <v>45908</v>
      </c>
      <c r="E3058" s="1" t="n">
        <v>46326</v>
      </c>
      <c r="F3058" t="inlineStr">
        <is>
          <t>GÄVLEBORGS LÄN</t>
        </is>
      </c>
      <c r="G3058" t="inlineStr">
        <is>
          <t>GÄVLE</t>
        </is>
      </c>
      <c r="H3058" t="inlineStr">
        <is>
          <t>Bergvik skog väst AB</t>
        </is>
      </c>
      <c r="I3058" t="n">
        <v>2.2</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43355-2025</t>
        </is>
      </c>
      <c r="B3059" t="inlineStr">
        <is>
          <t>avverkningsanmälan</t>
        </is>
      </c>
      <c r="C3059" t="inlineStr">
        <is>
          <t>Föryngringsavverkning</t>
        </is>
      </c>
      <c r="D3059" s="1" t="n">
        <v>45911</v>
      </c>
      <c r="E3059" s="1" t="n">
        <v>46326</v>
      </c>
      <c r="F3059" t="inlineStr">
        <is>
          <t>GÄVLEBORGS LÄN</t>
        </is>
      </c>
      <c r="G3059" t="inlineStr">
        <is>
          <t>SÖDERHAMN</t>
        </is>
      </c>
      <c r="I3059" t="n">
        <v>1.6</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32694-2025</t>
        </is>
      </c>
      <c r="B3060" t="inlineStr">
        <is>
          <t>avverkningsanmälan</t>
        </is>
      </c>
      <c r="C3060" t="inlineStr">
        <is>
          <t>Föryngringsavverkning</t>
        </is>
      </c>
      <c r="D3060" s="1" t="n">
        <v>45839</v>
      </c>
      <c r="E3060" s="1" t="n">
        <v>46326</v>
      </c>
      <c r="F3060" t="inlineStr">
        <is>
          <t>GÄVLEBORGS LÄN</t>
        </is>
      </c>
      <c r="G3060" t="inlineStr">
        <is>
          <t>LJUSDAL</t>
        </is>
      </c>
      <c r="H3060" t="inlineStr">
        <is>
          <t>Sveaskog</t>
        </is>
      </c>
      <c r="I3060" t="n">
        <v>4.2</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32886-2025</t>
        </is>
      </c>
      <c r="B3061" t="inlineStr">
        <is>
          <t>avverkningsanmälan</t>
        </is>
      </c>
      <c r="C3061" t="inlineStr">
        <is>
          <t>Föryngringsavverkning</t>
        </is>
      </c>
      <c r="D3061" s="1" t="n">
        <v>45839</v>
      </c>
      <c r="E3061" s="1" t="n">
        <v>46326</v>
      </c>
      <c r="F3061" t="inlineStr">
        <is>
          <t>GÄVLEBORGS LÄN</t>
        </is>
      </c>
      <c r="G3061" t="inlineStr">
        <is>
          <t>OVANÅKER</t>
        </is>
      </c>
      <c r="H3061" t="inlineStr">
        <is>
          <t>Bergvik skog öst AB</t>
        </is>
      </c>
      <c r="I3061" t="n">
        <v>0.9</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43277-2025</t>
        </is>
      </c>
      <c r="B3062" t="inlineStr">
        <is>
          <t>avverkningsanmälan</t>
        </is>
      </c>
      <c r="C3062" t="inlineStr">
        <is>
          <t>Föryngringsavverkning</t>
        </is>
      </c>
      <c r="D3062" s="1" t="n">
        <v>45910</v>
      </c>
      <c r="E3062" s="1" t="n">
        <v>46326</v>
      </c>
      <c r="F3062" t="inlineStr">
        <is>
          <t>GÄVLEBORGS LÄN</t>
        </is>
      </c>
      <c r="G3062" t="inlineStr">
        <is>
          <t>LJUSDAL</t>
        </is>
      </c>
      <c r="H3062" t="inlineStr">
        <is>
          <t>Allmännings- och besparingsskogar</t>
        </is>
      </c>
      <c r="I3062" t="n">
        <v>2.7</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44446-2023</t>
        </is>
      </c>
      <c r="B3063" t="inlineStr">
        <is>
          <t>avverkningsanmälan</t>
        </is>
      </c>
      <c r="C3063" t="inlineStr">
        <is>
          <t>Föryngringsavverkning</t>
        </is>
      </c>
      <c r="D3063" s="1" t="n">
        <v>45189</v>
      </c>
      <c r="E3063" s="1" t="n">
        <v>46326</v>
      </c>
      <c r="F3063" t="inlineStr">
        <is>
          <t>GÄVLEBORGS LÄN</t>
        </is>
      </c>
      <c r="G3063" t="inlineStr">
        <is>
          <t>NORDANSTIG</t>
        </is>
      </c>
      <c r="H3063" t="inlineStr">
        <is>
          <t>Holmen skog AB</t>
        </is>
      </c>
      <c r="I3063" t="n">
        <v>4.9</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45947-2022</t>
        </is>
      </c>
      <c r="B3064" t="inlineStr">
        <is>
          <t>avverkningsanmälan</t>
        </is>
      </c>
      <c r="C3064" t="inlineStr">
        <is>
          <t>Föryngringsavverkning</t>
        </is>
      </c>
      <c r="D3064" s="1" t="n">
        <v>44846</v>
      </c>
      <c r="E3064" s="1" t="n">
        <v>46326</v>
      </c>
      <c r="F3064" t="inlineStr">
        <is>
          <t>GÄVLEBORGS LÄN</t>
        </is>
      </c>
      <c r="G3064" t="inlineStr">
        <is>
          <t>OVANÅKER</t>
        </is>
      </c>
      <c r="I3064" t="n">
        <v>4.4</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32405-2025</t>
        </is>
      </c>
      <c r="B3065" t="inlineStr">
        <is>
          <t>avverkningsanmälan</t>
        </is>
      </c>
      <c r="C3065" t="inlineStr">
        <is>
          <t>Föryngringsavverkning</t>
        </is>
      </c>
      <c r="D3065" s="1" t="n">
        <v>45838</v>
      </c>
      <c r="E3065" s="1" t="n">
        <v>46326</v>
      </c>
      <c r="F3065" t="inlineStr">
        <is>
          <t>GÄVLEBORGS LÄN</t>
        </is>
      </c>
      <c r="G3065" t="inlineStr">
        <is>
          <t>BOLLNÄS</t>
        </is>
      </c>
      <c r="H3065" t="inlineStr">
        <is>
          <t>Bergvik skog väst AB</t>
        </is>
      </c>
      <c r="I3065" t="n">
        <v>3.6</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59425-2022</t>
        </is>
      </c>
      <c r="B3066" t="inlineStr">
        <is>
          <t>avverkningsanmälan</t>
        </is>
      </c>
      <c r="C3066" t="inlineStr">
        <is>
          <t>Föryngringsavverkning</t>
        </is>
      </c>
      <c r="D3066" s="1" t="n">
        <v>44907</v>
      </c>
      <c r="E3066" s="1" t="n">
        <v>46326</v>
      </c>
      <c r="F3066" t="inlineStr">
        <is>
          <t>GÄVLEBORGS LÄN</t>
        </is>
      </c>
      <c r="G3066" t="inlineStr">
        <is>
          <t>NORDANSTIG</t>
        </is>
      </c>
      <c r="H3066" t="inlineStr">
        <is>
          <t>Holmen skog AB</t>
        </is>
      </c>
      <c r="I3066" t="n">
        <v>3.5</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43447-2025</t>
        </is>
      </c>
      <c r="B3067" t="inlineStr">
        <is>
          <t>avverkningsanmälan</t>
        </is>
      </c>
      <c r="C3067" t="inlineStr">
        <is>
          <t>Föryngringsavverkning</t>
        </is>
      </c>
      <c r="D3067" s="1" t="n">
        <v>45911</v>
      </c>
      <c r="E3067" s="1" t="n">
        <v>46326</v>
      </c>
      <c r="F3067" t="inlineStr">
        <is>
          <t>GÄVLEBORGS LÄN</t>
        </is>
      </c>
      <c r="G3067" t="inlineStr">
        <is>
          <t>OCKELBO</t>
        </is>
      </c>
      <c r="H3067" t="inlineStr">
        <is>
          <t>Bergvik skog väst AB</t>
        </is>
      </c>
      <c r="I3067" t="n">
        <v>4.9</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12095-2023</t>
        </is>
      </c>
      <c r="B3068" t="inlineStr">
        <is>
          <t>avverkningsanmälan</t>
        </is>
      </c>
      <c r="C3068" t="inlineStr">
        <is>
          <t>Föryngringsavverkning</t>
        </is>
      </c>
      <c r="D3068" s="1" t="n">
        <v>44998</v>
      </c>
      <c r="E3068" s="1" t="n">
        <v>46326</v>
      </c>
      <c r="F3068" t="inlineStr">
        <is>
          <t>GÄVLEBORGS LÄN</t>
        </is>
      </c>
      <c r="G3068" t="inlineStr">
        <is>
          <t>NORDANSTIG</t>
        </is>
      </c>
      <c r="I3068" t="n">
        <v>2.7</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32736-2025</t>
        </is>
      </c>
      <c r="B3069" t="inlineStr">
        <is>
          <t>avverkningsanmälan</t>
        </is>
      </c>
      <c r="C3069" t="inlineStr">
        <is>
          <t>Föryngringsavverkning</t>
        </is>
      </c>
      <c r="D3069" s="1" t="n">
        <v>45839</v>
      </c>
      <c r="E3069" s="1" t="n">
        <v>46326</v>
      </c>
      <c r="F3069" t="inlineStr">
        <is>
          <t>GÄVLEBORGS LÄN</t>
        </is>
      </c>
      <c r="G3069" t="inlineStr">
        <is>
          <t>NORDANSTIG</t>
        </is>
      </c>
      <c r="H3069" t="inlineStr">
        <is>
          <t>Holmen skog AB</t>
        </is>
      </c>
      <c r="I3069" t="n">
        <v>2</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32914-2025</t>
        </is>
      </c>
      <c r="B3070" t="inlineStr">
        <is>
          <t>avverkningsanmälan</t>
        </is>
      </c>
      <c r="C3070" t="inlineStr">
        <is>
          <t>Föryngringsavverkning</t>
        </is>
      </c>
      <c r="D3070" s="1" t="n">
        <v>45839</v>
      </c>
      <c r="E3070" s="1" t="n">
        <v>46326</v>
      </c>
      <c r="F3070" t="inlineStr">
        <is>
          <t>GÄVLEBORGS LÄN</t>
        </is>
      </c>
      <c r="G3070" t="inlineStr">
        <is>
          <t>OVANÅKER</t>
        </is>
      </c>
      <c r="H3070" t="inlineStr">
        <is>
          <t>Bergvik skog öst AB</t>
        </is>
      </c>
      <c r="I3070" t="n">
        <v>2.5</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32930-2025</t>
        </is>
      </c>
      <c r="B3071" t="inlineStr">
        <is>
          <t>avverkningsanmälan</t>
        </is>
      </c>
      <c r="C3071" t="inlineStr">
        <is>
          <t>Föryngringsavverkning</t>
        </is>
      </c>
      <c r="D3071" s="1" t="n">
        <v>45839</v>
      </c>
      <c r="E3071" s="1" t="n">
        <v>46326</v>
      </c>
      <c r="F3071" t="inlineStr">
        <is>
          <t>GÄVLEBORGS LÄN</t>
        </is>
      </c>
      <c r="G3071" t="inlineStr">
        <is>
          <t>OVANÅKER</t>
        </is>
      </c>
      <c r="H3071" t="inlineStr">
        <is>
          <t>Bergvik skog öst AB</t>
        </is>
      </c>
      <c r="I3071" t="n">
        <v>1.3</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43848-2025</t>
        </is>
      </c>
      <c r="B3072" t="inlineStr">
        <is>
          <t>avverkningsanmälan</t>
        </is>
      </c>
      <c r="C3072" t="inlineStr">
        <is>
          <t>Föryngringsavverkning</t>
        </is>
      </c>
      <c r="D3072" s="1" t="n">
        <v>45912</v>
      </c>
      <c r="E3072" s="1" t="n">
        <v>46326</v>
      </c>
      <c r="F3072" t="inlineStr">
        <is>
          <t>GÄVLEBORGS LÄN</t>
        </is>
      </c>
      <c r="G3072" t="inlineStr">
        <is>
          <t>LJUSDAL</t>
        </is>
      </c>
      <c r="H3072" t="inlineStr">
        <is>
          <t>Sveaskog</t>
        </is>
      </c>
      <c r="I3072" t="n">
        <v>4.4</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43853-2025</t>
        </is>
      </c>
      <c r="B3073" t="inlineStr">
        <is>
          <t>avverkningsanmälan</t>
        </is>
      </c>
      <c r="C3073" t="inlineStr">
        <is>
          <t>Föryngringsavverkning</t>
        </is>
      </c>
      <c r="D3073" s="1" t="n">
        <v>45912</v>
      </c>
      <c r="E3073" s="1" t="n">
        <v>46326</v>
      </c>
      <c r="F3073" t="inlineStr">
        <is>
          <t>GÄVLEBORGS LÄN</t>
        </is>
      </c>
      <c r="G3073" t="inlineStr">
        <is>
          <t>LJUSDAL</t>
        </is>
      </c>
      <c r="H3073" t="inlineStr">
        <is>
          <t>Sveaskog</t>
        </is>
      </c>
      <c r="I3073" t="n">
        <v>10.3</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34964-2024</t>
        </is>
      </c>
      <c r="B3074" t="inlineStr">
        <is>
          <t>avverkningsanmälan</t>
        </is>
      </c>
      <c r="C3074" t="inlineStr">
        <is>
          <t>Föryngringsavverkning</t>
        </is>
      </c>
      <c r="D3074" s="1" t="n">
        <v>45527</v>
      </c>
      <c r="E3074" s="1" t="n">
        <v>46326</v>
      </c>
      <c r="F3074" t="inlineStr">
        <is>
          <t>GÄVLEBORGS LÄN</t>
        </is>
      </c>
      <c r="G3074" t="inlineStr">
        <is>
          <t>LJUSDAL</t>
        </is>
      </c>
      <c r="H3074" t="inlineStr">
        <is>
          <t>Holmen skog AB</t>
        </is>
      </c>
      <c r="I3074" t="n">
        <v>1.8</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32533-2025</t>
        </is>
      </c>
      <c r="B3075" t="inlineStr">
        <is>
          <t>avverkningsanmälan</t>
        </is>
      </c>
      <c r="C3075" t="inlineStr">
        <is>
          <t>Föryngringsavverkning</t>
        </is>
      </c>
      <c r="D3075" s="1" t="n">
        <v>45838</v>
      </c>
      <c r="E3075" s="1" t="n">
        <v>46326</v>
      </c>
      <c r="F3075" t="inlineStr">
        <is>
          <t>GÄVLEBORGS LÄN</t>
        </is>
      </c>
      <c r="G3075" t="inlineStr">
        <is>
          <t>LJUSDAL</t>
        </is>
      </c>
      <c r="H3075" t="inlineStr">
        <is>
          <t>Sveaskog</t>
        </is>
      </c>
      <c r="I3075" t="n">
        <v>2.6</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40104-2024</t>
        </is>
      </c>
      <c r="B3076" t="inlineStr">
        <is>
          <t>avverkningsanmälan</t>
        </is>
      </c>
      <c r="C3076" t="inlineStr">
        <is>
          <t>Avverkning för annat ändamål</t>
        </is>
      </c>
      <c r="D3076" s="1" t="n">
        <v>45554</v>
      </c>
      <c r="E3076" s="1" t="n">
        <v>46326</v>
      </c>
      <c r="F3076" t="inlineStr">
        <is>
          <t>GÄVLEBORGS LÄN</t>
        </is>
      </c>
      <c r="G3076" t="inlineStr">
        <is>
          <t>NORDANSTIG</t>
        </is>
      </c>
      <c r="I3076" t="n">
        <v>0.8</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19172-2024</t>
        </is>
      </c>
      <c r="B3077" t="inlineStr">
        <is>
          <t>avverkningsanmälan</t>
        </is>
      </c>
      <c r="C3077" t="inlineStr">
        <is>
          <t>Föryngringsavverkning</t>
        </is>
      </c>
      <c r="D3077" s="1" t="n">
        <v>45428</v>
      </c>
      <c r="E3077" s="1" t="n">
        <v>46326</v>
      </c>
      <c r="F3077" t="inlineStr">
        <is>
          <t>GÄVLEBORGS LÄN</t>
        </is>
      </c>
      <c r="G3077" t="inlineStr">
        <is>
          <t>OVANÅKER</t>
        </is>
      </c>
      <c r="I3077" t="n">
        <v>0.6</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406-2025</t>
        </is>
      </c>
      <c r="B3078" t="inlineStr">
        <is>
          <t>avverkningsanmälan</t>
        </is>
      </c>
      <c r="C3078" t="inlineStr">
        <is>
          <t>Föryngringsavverkning</t>
        </is>
      </c>
      <c r="D3078" s="1" t="n">
        <v>45663</v>
      </c>
      <c r="E3078" s="1" t="n">
        <v>46326</v>
      </c>
      <c r="F3078" t="inlineStr">
        <is>
          <t>GÄVLEBORGS LÄN</t>
        </is>
      </c>
      <c r="G3078" t="inlineStr">
        <is>
          <t>HUDIKSVALL</t>
        </is>
      </c>
      <c r="I3078" t="n">
        <v>1</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1641-2025</t>
        </is>
      </c>
      <c r="B3079" t="inlineStr">
        <is>
          <t>avverkningsanmälan</t>
        </is>
      </c>
      <c r="C3079" t="inlineStr">
        <is>
          <t>Föryngringsavverkning</t>
        </is>
      </c>
      <c r="D3079" s="1" t="n">
        <v>45670</v>
      </c>
      <c r="E3079" s="1" t="n">
        <v>46326</v>
      </c>
      <c r="F3079" t="inlineStr">
        <is>
          <t>GÄVLEBORGS LÄN</t>
        </is>
      </c>
      <c r="G3079" t="inlineStr">
        <is>
          <t>SÖDERHAMN</t>
        </is>
      </c>
      <c r="I3079" t="n">
        <v>3.9</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58942-2022</t>
        </is>
      </c>
      <c r="B3080" t="inlineStr">
        <is>
          <t>avverkningsanmälan</t>
        </is>
      </c>
      <c r="C3080" t="inlineStr">
        <is>
          <t>Föryngringsavverkning</t>
        </is>
      </c>
      <c r="D3080" s="1" t="n">
        <v>44903</v>
      </c>
      <c r="E3080" s="1" t="n">
        <v>46326</v>
      </c>
      <c r="F3080" t="inlineStr">
        <is>
          <t>GÄVLEBORGS LÄN</t>
        </is>
      </c>
      <c r="G3080" t="inlineStr">
        <is>
          <t>HUDIKSVALL</t>
        </is>
      </c>
      <c r="H3080" t="inlineStr">
        <is>
          <t>Holmen skog AB</t>
        </is>
      </c>
      <c r="I3080" t="n">
        <v>5.7</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15197-2025</t>
        </is>
      </c>
      <c r="B3081" t="inlineStr">
        <is>
          <t>avverkningsanmälan</t>
        </is>
      </c>
      <c r="C3081" t="inlineStr">
        <is>
          <t>Föryngringsavverkning</t>
        </is>
      </c>
      <c r="D3081" s="1" t="n">
        <v>45744</v>
      </c>
      <c r="E3081" s="1" t="n">
        <v>46326</v>
      </c>
      <c r="F3081" t="inlineStr">
        <is>
          <t>GÄVLEBORGS LÄN</t>
        </is>
      </c>
      <c r="G3081" t="inlineStr">
        <is>
          <t>LJUSDAL</t>
        </is>
      </c>
      <c r="H3081" t="inlineStr">
        <is>
          <t>Bergvik skog väst AB</t>
        </is>
      </c>
      <c r="I3081" t="n">
        <v>31.3</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43808-2025</t>
        </is>
      </c>
      <c r="B3082" t="inlineStr">
        <is>
          <t>avverkningsanmälan</t>
        </is>
      </c>
      <c r="C3082" t="inlineStr">
        <is>
          <t>Föryngringsavverkning</t>
        </is>
      </c>
      <c r="D3082" s="1" t="n">
        <v>45912</v>
      </c>
      <c r="E3082" s="1" t="n">
        <v>46326</v>
      </c>
      <c r="F3082" t="inlineStr">
        <is>
          <t>GÄVLEBORGS LÄN</t>
        </is>
      </c>
      <c r="G3082" t="inlineStr">
        <is>
          <t>BOLLNÄS</t>
        </is>
      </c>
      <c r="I3082" t="n">
        <v>1</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17548-2025</t>
        </is>
      </c>
      <c r="B3083" t="inlineStr">
        <is>
          <t>avverkningsanmälan</t>
        </is>
      </c>
      <c r="C3083" t="inlineStr">
        <is>
          <t>Föryngringsavverkning</t>
        </is>
      </c>
      <c r="D3083" s="1" t="n">
        <v>45757</v>
      </c>
      <c r="E3083" s="1" t="n">
        <v>46326</v>
      </c>
      <c r="F3083" t="inlineStr">
        <is>
          <t>GÄVLEBORGS LÄN</t>
        </is>
      </c>
      <c r="G3083" t="inlineStr">
        <is>
          <t>OCKELBO</t>
        </is>
      </c>
      <c r="H3083" t="inlineStr">
        <is>
          <t>Bergvik skog väst AB</t>
        </is>
      </c>
      <c r="I3083" t="n">
        <v>2.7</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44049-2025</t>
        </is>
      </c>
      <c r="B3084" t="inlineStr">
        <is>
          <t>avverkningsanmälan</t>
        </is>
      </c>
      <c r="C3084" t="inlineStr">
        <is>
          <t>Föryngringsavverkning</t>
        </is>
      </c>
      <c r="D3084" s="1" t="n">
        <v>45915</v>
      </c>
      <c r="E3084" s="1" t="n">
        <v>46326</v>
      </c>
      <c r="F3084" t="inlineStr">
        <is>
          <t>GÄVLEBORGS LÄN</t>
        </is>
      </c>
      <c r="G3084" t="inlineStr">
        <is>
          <t>NORDANSTIG</t>
        </is>
      </c>
      <c r="H3084" t="inlineStr">
        <is>
          <t>Holmen skog AB</t>
        </is>
      </c>
      <c r="I3084" t="n">
        <v>2.7</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32926-2025</t>
        </is>
      </c>
      <c r="B3085" t="inlineStr">
        <is>
          <t>avverkningsanmälan</t>
        </is>
      </c>
      <c r="C3085" t="inlineStr">
        <is>
          <t>Föryngringsavverkning</t>
        </is>
      </c>
      <c r="D3085" s="1" t="n">
        <v>45839</v>
      </c>
      <c r="E3085" s="1" t="n">
        <v>46326</v>
      </c>
      <c r="F3085" t="inlineStr">
        <is>
          <t>GÄVLEBORGS LÄN</t>
        </is>
      </c>
      <c r="G3085" t="inlineStr">
        <is>
          <t>OVANÅKER</t>
        </is>
      </c>
      <c r="H3085" t="inlineStr">
        <is>
          <t>Bergvik skog öst AB</t>
        </is>
      </c>
      <c r="I3085" t="n">
        <v>2.6</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43979-2025</t>
        </is>
      </c>
      <c r="B3086" t="inlineStr">
        <is>
          <t>avverkningsanmälan</t>
        </is>
      </c>
      <c r="C3086" t="inlineStr">
        <is>
          <t>Föryngringsavverkning</t>
        </is>
      </c>
      <c r="D3086" s="1" t="n">
        <v>45915</v>
      </c>
      <c r="E3086" s="1" t="n">
        <v>46326</v>
      </c>
      <c r="F3086" t="inlineStr">
        <is>
          <t>GÄVLEBORGS LÄN</t>
        </is>
      </c>
      <c r="G3086" t="inlineStr">
        <is>
          <t>BOLLNÄS</t>
        </is>
      </c>
      <c r="H3086" t="inlineStr">
        <is>
          <t>Kyrkan</t>
        </is>
      </c>
      <c r="I3086" t="n">
        <v>3.8</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48110-2022</t>
        </is>
      </c>
      <c r="B3087" t="inlineStr">
        <is>
          <t>avverkningsanmälan</t>
        </is>
      </c>
      <c r="C3087" t="inlineStr">
        <is>
          <t>Föryngringsavverkning</t>
        </is>
      </c>
      <c r="D3087" s="1" t="n">
        <v>44856</v>
      </c>
      <c r="E3087" s="1" t="n">
        <v>46326</v>
      </c>
      <c r="F3087" t="inlineStr">
        <is>
          <t>GÄVLEBORGS LÄN</t>
        </is>
      </c>
      <c r="G3087" t="inlineStr">
        <is>
          <t>BOLLNÄS</t>
        </is>
      </c>
      <c r="H3087" t="inlineStr">
        <is>
          <t>Bergvik skog väst AB</t>
        </is>
      </c>
      <c r="I3087" t="n">
        <v>1.9</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43807-2025</t>
        </is>
      </c>
      <c r="B3088" t="inlineStr">
        <is>
          <t>avverkningsanmälan</t>
        </is>
      </c>
      <c r="C3088" t="inlineStr">
        <is>
          <t>Föryngringsavverkning</t>
        </is>
      </c>
      <c r="D3088" s="1" t="n">
        <v>45912</v>
      </c>
      <c r="E3088" s="1" t="n">
        <v>46326</v>
      </c>
      <c r="F3088" t="inlineStr">
        <is>
          <t>GÄVLEBORGS LÄN</t>
        </is>
      </c>
      <c r="G3088" t="inlineStr">
        <is>
          <t>OVANÅKER</t>
        </is>
      </c>
      <c r="I3088" t="n">
        <v>2.4</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16426-2025</t>
        </is>
      </c>
      <c r="B3089" t="inlineStr">
        <is>
          <t>avverkningsanmälan</t>
        </is>
      </c>
      <c r="C3089" t="inlineStr">
        <is>
          <t>Föryngringsavverkning</t>
        </is>
      </c>
      <c r="D3089" s="1" t="n">
        <v>45751</v>
      </c>
      <c r="E3089" s="1" t="n">
        <v>46326</v>
      </c>
      <c r="F3089" t="inlineStr">
        <is>
          <t>GÄVLEBORGS LÄN</t>
        </is>
      </c>
      <c r="G3089" t="inlineStr">
        <is>
          <t>OVANÅKER</t>
        </is>
      </c>
      <c r="H3089" t="inlineStr">
        <is>
          <t>Bergvik skog öst AB</t>
        </is>
      </c>
      <c r="I3089" t="n">
        <v>0.4</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32449-2025</t>
        </is>
      </c>
      <c r="B3090" t="inlineStr">
        <is>
          <t>avverkningsanmälan</t>
        </is>
      </c>
      <c r="C3090" t="inlineStr">
        <is>
          <t>Föryngringsavverkning</t>
        </is>
      </c>
      <c r="D3090" s="1" t="n">
        <v>45838</v>
      </c>
      <c r="E3090" s="1" t="n">
        <v>46326</v>
      </c>
      <c r="F3090" t="inlineStr">
        <is>
          <t>GÄVLEBORGS LÄN</t>
        </is>
      </c>
      <c r="G3090" t="inlineStr">
        <is>
          <t>OCKELBO</t>
        </is>
      </c>
      <c r="I3090" t="n">
        <v>1.8</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17062-2023</t>
        </is>
      </c>
      <c r="B3091" t="inlineStr">
        <is>
          <t>avverkningsanmälan</t>
        </is>
      </c>
      <c r="C3091" t="inlineStr">
        <is>
          <t>Föryngringsavverkning</t>
        </is>
      </c>
      <c r="D3091" s="1" t="n">
        <v>45034</v>
      </c>
      <c r="E3091" s="1" t="n">
        <v>46326</v>
      </c>
      <c r="F3091" t="inlineStr">
        <is>
          <t>GÄVLEBORGS LÄN</t>
        </is>
      </c>
      <c r="G3091" t="inlineStr">
        <is>
          <t>GÄVLE</t>
        </is>
      </c>
      <c r="I3091" t="n">
        <v>2.4</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32603-2025</t>
        </is>
      </c>
      <c r="B3092" t="inlineStr">
        <is>
          <t>avverkningsanmälan</t>
        </is>
      </c>
      <c r="C3092" t="inlineStr">
        <is>
          <t>Föryngringsavverkning</t>
        </is>
      </c>
      <c r="D3092" s="1" t="n">
        <v>45838</v>
      </c>
      <c r="E3092" s="1" t="n">
        <v>46326</v>
      </c>
      <c r="F3092" t="inlineStr">
        <is>
          <t>GÄVLEBORGS LÄN</t>
        </is>
      </c>
      <c r="G3092" t="inlineStr">
        <is>
          <t>BOLLNÄS</t>
        </is>
      </c>
      <c r="I3092" t="n">
        <v>2.3</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44230-2025</t>
        </is>
      </c>
      <c r="B3093" t="inlineStr">
        <is>
          <t>avverkningsanmälan</t>
        </is>
      </c>
      <c r="C3093" t="inlineStr">
        <is>
          <t>Föryngringsavverkning</t>
        </is>
      </c>
      <c r="D3093" s="1" t="n">
        <v>45915</v>
      </c>
      <c r="E3093" s="1" t="n">
        <v>46326</v>
      </c>
      <c r="F3093" t="inlineStr">
        <is>
          <t>GÄVLEBORGS LÄN</t>
        </is>
      </c>
      <c r="G3093" t="inlineStr">
        <is>
          <t>BOLLNÄS</t>
        </is>
      </c>
      <c r="I3093" t="n">
        <v>1.8</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44052-2025</t>
        </is>
      </c>
      <c r="B3094" t="inlineStr">
        <is>
          <t>avverkningsanmälan</t>
        </is>
      </c>
      <c r="C3094" t="inlineStr">
        <is>
          <t>Föryngringsavverkning</t>
        </is>
      </c>
      <c r="D3094" s="1" t="n">
        <v>45915</v>
      </c>
      <c r="E3094" s="1" t="n">
        <v>46326</v>
      </c>
      <c r="F3094" t="inlineStr">
        <is>
          <t>GÄVLEBORGS LÄN</t>
        </is>
      </c>
      <c r="G3094" t="inlineStr">
        <is>
          <t>NORDANSTIG</t>
        </is>
      </c>
      <c r="H3094" t="inlineStr">
        <is>
          <t>Holmen skog AB</t>
        </is>
      </c>
      <c r="I3094" t="n">
        <v>4.3</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44060-2025</t>
        </is>
      </c>
      <c r="B3095" t="inlineStr">
        <is>
          <t>avverkningsanmälan</t>
        </is>
      </c>
      <c r="C3095" t="inlineStr">
        <is>
          <t>Föryngringsavverkning</t>
        </is>
      </c>
      <c r="D3095" s="1" t="n">
        <v>45915</v>
      </c>
      <c r="E3095" s="1" t="n">
        <v>46326</v>
      </c>
      <c r="F3095" t="inlineStr">
        <is>
          <t>GÄVLEBORGS LÄN</t>
        </is>
      </c>
      <c r="G3095" t="inlineStr">
        <is>
          <t>GÄVLE</t>
        </is>
      </c>
      <c r="I3095" t="n">
        <v>1.3</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33166-2025</t>
        </is>
      </c>
      <c r="B3096" t="inlineStr">
        <is>
          <t>avverkningsanmälan</t>
        </is>
      </c>
      <c r="C3096" t="inlineStr">
        <is>
          <t>Föryngringsavverkning</t>
        </is>
      </c>
      <c r="D3096" s="1" t="n">
        <v>45840</v>
      </c>
      <c r="E3096" s="1" t="n">
        <v>46326</v>
      </c>
      <c r="F3096" t="inlineStr">
        <is>
          <t>GÄVLEBORGS LÄN</t>
        </is>
      </c>
      <c r="G3096" t="inlineStr">
        <is>
          <t>HUDIKSVALL</t>
        </is>
      </c>
      <c r="H3096" t="inlineStr">
        <is>
          <t>Holmen skog AB</t>
        </is>
      </c>
      <c r="I3096" t="n">
        <v>6.2</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43661-2025</t>
        </is>
      </c>
      <c r="B3097" t="inlineStr">
        <is>
          <t>avverkningsanmälan</t>
        </is>
      </c>
      <c r="C3097" t="inlineStr">
        <is>
          <t>Föryngringsavverkning</t>
        </is>
      </c>
      <c r="D3097" s="1" t="n">
        <v>45912</v>
      </c>
      <c r="E3097" s="1" t="n">
        <v>46326</v>
      </c>
      <c r="F3097" t="inlineStr">
        <is>
          <t>GÄVLEBORGS LÄN</t>
        </is>
      </c>
      <c r="G3097" t="inlineStr">
        <is>
          <t>HUDIKSVALL</t>
        </is>
      </c>
      <c r="I3097" t="n">
        <v>1</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43649-2025</t>
        </is>
      </c>
      <c r="B3098" t="inlineStr">
        <is>
          <t>avverkningsanmälan</t>
        </is>
      </c>
      <c r="C3098" t="inlineStr">
        <is>
          <t>Föryngringsavverkning</t>
        </is>
      </c>
      <c r="D3098" s="1" t="n">
        <v>45912</v>
      </c>
      <c r="E3098" s="1" t="n">
        <v>46326</v>
      </c>
      <c r="F3098" t="inlineStr">
        <is>
          <t>GÄVLEBORGS LÄN</t>
        </is>
      </c>
      <c r="G3098" t="inlineStr">
        <is>
          <t>BOLLNÄS</t>
        </is>
      </c>
      <c r="I3098" t="n">
        <v>1.3</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33197-2025</t>
        </is>
      </c>
      <c r="B3099" t="inlineStr">
        <is>
          <t>avverkningsanmälan</t>
        </is>
      </c>
      <c r="C3099" t="inlineStr">
        <is>
          <t>Föryngringsavverkning</t>
        </is>
      </c>
      <c r="D3099" s="1" t="n">
        <v>45840</v>
      </c>
      <c r="E3099" s="1" t="n">
        <v>46326</v>
      </c>
      <c r="F3099" t="inlineStr">
        <is>
          <t>GÄVLEBORGS LÄN</t>
        </is>
      </c>
      <c r="G3099" t="inlineStr">
        <is>
          <t>HUDIKSVALL</t>
        </is>
      </c>
      <c r="I3099" t="n">
        <v>1</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33231-2025</t>
        </is>
      </c>
      <c r="B3100" t="inlineStr">
        <is>
          <t>avverkningsanmälan</t>
        </is>
      </c>
      <c r="C3100" t="inlineStr">
        <is>
          <t>Föryngringsavverkning</t>
        </is>
      </c>
      <c r="D3100" s="1" t="n">
        <v>45840</v>
      </c>
      <c r="E3100" s="1" t="n">
        <v>46326</v>
      </c>
      <c r="F3100" t="inlineStr">
        <is>
          <t>GÄVLEBORGS LÄN</t>
        </is>
      </c>
      <c r="G3100" t="inlineStr">
        <is>
          <t>OCKELBO</t>
        </is>
      </c>
      <c r="I3100" t="n">
        <v>2.1</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33594-2025</t>
        </is>
      </c>
      <c r="B3101" t="inlineStr">
        <is>
          <t>avverkningsanmälan</t>
        </is>
      </c>
      <c r="C3101" t="inlineStr">
        <is>
          <t>Avverkning för annat ändamål</t>
        </is>
      </c>
      <c r="D3101" s="1" t="n">
        <v>45841</v>
      </c>
      <c r="E3101" s="1" t="n">
        <v>46326</v>
      </c>
      <c r="F3101" t="inlineStr">
        <is>
          <t>GÄVLEBORGS LÄN</t>
        </is>
      </c>
      <c r="G3101" t="inlineStr">
        <is>
          <t>LJUSDAL</t>
        </is>
      </c>
      <c r="I3101" t="n">
        <v>0.6</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44085-2025</t>
        </is>
      </c>
      <c r="B3102" t="inlineStr">
        <is>
          <t>avverkningsanmälan</t>
        </is>
      </c>
      <c r="C3102" t="inlineStr">
        <is>
          <t>Föryngringsavverkning</t>
        </is>
      </c>
      <c r="D3102" s="1" t="n">
        <v>45915</v>
      </c>
      <c r="E3102" s="1" t="n">
        <v>46326</v>
      </c>
      <c r="F3102" t="inlineStr">
        <is>
          <t>GÄVLEBORGS LÄN</t>
        </is>
      </c>
      <c r="G3102" t="inlineStr">
        <is>
          <t>BOLLNÄS</t>
        </is>
      </c>
      <c r="I3102" t="n">
        <v>1.2</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44110-2025</t>
        </is>
      </c>
      <c r="B3103" t="inlineStr">
        <is>
          <t>avverkningsanmälan</t>
        </is>
      </c>
      <c r="C3103" t="inlineStr">
        <is>
          <t>Föryngringsavverkning</t>
        </is>
      </c>
      <c r="D3103" s="1" t="n">
        <v>45915</v>
      </c>
      <c r="E3103" s="1" t="n">
        <v>46326</v>
      </c>
      <c r="F3103" t="inlineStr">
        <is>
          <t>GÄVLEBORGS LÄN</t>
        </is>
      </c>
      <c r="G3103" t="inlineStr">
        <is>
          <t>BOLLNÄS</t>
        </is>
      </c>
      <c r="I3103" t="n">
        <v>1</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33714-2025</t>
        </is>
      </c>
      <c r="B3104" t="inlineStr">
        <is>
          <t>avverkningsanmälan</t>
        </is>
      </c>
      <c r="C3104" t="inlineStr">
        <is>
          <t>Föryngringsavverkning</t>
        </is>
      </c>
      <c r="D3104" s="1" t="n">
        <v>45841</v>
      </c>
      <c r="E3104" s="1" t="n">
        <v>46326</v>
      </c>
      <c r="F3104" t="inlineStr">
        <is>
          <t>GÄVLEBORGS LÄN</t>
        </is>
      </c>
      <c r="G3104" t="inlineStr">
        <is>
          <t>HUDIKSVALL</t>
        </is>
      </c>
      <c r="H3104" t="inlineStr">
        <is>
          <t>Holmen skog AB</t>
        </is>
      </c>
      <c r="I3104" t="n">
        <v>3.8</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33260-2025</t>
        </is>
      </c>
      <c r="B3105" t="inlineStr">
        <is>
          <t>avverkningsanmälan</t>
        </is>
      </c>
      <c r="C3105" t="inlineStr">
        <is>
          <t>Föryngringsavverkning</t>
        </is>
      </c>
      <c r="D3105" s="1" t="n">
        <v>45840</v>
      </c>
      <c r="E3105" s="1" t="n">
        <v>46326</v>
      </c>
      <c r="F3105" t="inlineStr">
        <is>
          <t>GÄVLEBORGS LÄN</t>
        </is>
      </c>
      <c r="G3105" t="inlineStr">
        <is>
          <t>HUDIKSVALL</t>
        </is>
      </c>
      <c r="H3105" t="inlineStr">
        <is>
          <t>Holmen skog AB</t>
        </is>
      </c>
      <c r="I3105" t="n">
        <v>0.9</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73458-2021</t>
        </is>
      </c>
      <c r="B3106" t="inlineStr">
        <is>
          <t>avverkningsanmälan</t>
        </is>
      </c>
      <c r="C3106" t="inlineStr">
        <is>
          <t>Föryngringsavverkning</t>
        </is>
      </c>
      <c r="D3106" s="1" t="n">
        <v>44551</v>
      </c>
      <c r="E3106" s="1" t="n">
        <v>46326</v>
      </c>
      <c r="F3106" t="inlineStr">
        <is>
          <t>GÄVLEBORGS LÄN</t>
        </is>
      </c>
      <c r="G3106" t="inlineStr">
        <is>
          <t>HUDIKSVALL</t>
        </is>
      </c>
      <c r="H3106" t="inlineStr">
        <is>
          <t>Holmen skog AB</t>
        </is>
      </c>
      <c r="I3106" t="n">
        <v>1.2</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33239-2025</t>
        </is>
      </c>
      <c r="B3107" t="inlineStr">
        <is>
          <t>avverkningsanmälan</t>
        </is>
      </c>
      <c r="C3107" t="inlineStr">
        <is>
          <t>Föryngringsavverkning</t>
        </is>
      </c>
      <c r="D3107" s="1" t="n">
        <v>45840</v>
      </c>
      <c r="E3107" s="1" t="n">
        <v>46326</v>
      </c>
      <c r="F3107" t="inlineStr">
        <is>
          <t>GÄVLEBORGS LÄN</t>
        </is>
      </c>
      <c r="G3107" t="inlineStr">
        <is>
          <t>HUDIKSVALL</t>
        </is>
      </c>
      <c r="H3107" t="inlineStr">
        <is>
          <t>Holmen skog AB</t>
        </is>
      </c>
      <c r="I3107" t="n">
        <v>1.3</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22173-2024</t>
        </is>
      </c>
      <c r="B3108" t="inlineStr">
        <is>
          <t>avverkningsanmälan</t>
        </is>
      </c>
      <c r="C3108" t="inlineStr">
        <is>
          <t>Föryngringsavverkning</t>
        </is>
      </c>
      <c r="D3108" s="1" t="n">
        <v>45446</v>
      </c>
      <c r="E3108" s="1" t="n">
        <v>46326</v>
      </c>
      <c r="F3108" t="inlineStr">
        <is>
          <t>GÄVLEBORGS LÄN</t>
        </is>
      </c>
      <c r="G3108" t="inlineStr">
        <is>
          <t>OVANÅKER</t>
        </is>
      </c>
      <c r="I3108" t="n">
        <v>1.9</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35931-2023</t>
        </is>
      </c>
      <c r="B3109" t="inlineStr">
        <is>
          <t>avverkningsanmälan</t>
        </is>
      </c>
      <c r="C3109" t="inlineStr">
        <is>
          <t>Föryngringsavverkning</t>
        </is>
      </c>
      <c r="D3109" s="1" t="n">
        <v>45148</v>
      </c>
      <c r="E3109" s="1" t="n">
        <v>46326</v>
      </c>
      <c r="F3109" t="inlineStr">
        <is>
          <t>GÄVLEBORGS LÄN</t>
        </is>
      </c>
      <c r="G3109" t="inlineStr">
        <is>
          <t>NORDANSTIG</t>
        </is>
      </c>
      <c r="I3109" t="n">
        <v>1.5</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30946-2024</t>
        </is>
      </c>
      <c r="B3110" t="inlineStr">
        <is>
          <t>avverkningsanmälan</t>
        </is>
      </c>
      <c r="C3110" t="inlineStr">
        <is>
          <t>Föryngringsavverkning</t>
        </is>
      </c>
      <c r="D3110" s="1" t="n">
        <v>45499</v>
      </c>
      <c r="E3110" s="1" t="n">
        <v>46326</v>
      </c>
      <c r="F3110" t="inlineStr">
        <is>
          <t>GÄVLEBORGS LÄN</t>
        </is>
      </c>
      <c r="G3110" t="inlineStr">
        <is>
          <t>OVANÅKER</t>
        </is>
      </c>
      <c r="H3110" t="inlineStr">
        <is>
          <t>Bergvik skog öst AB</t>
        </is>
      </c>
      <c r="I3110" t="n">
        <v>1.8</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33097-2025</t>
        </is>
      </c>
      <c r="B3111" t="inlineStr">
        <is>
          <t>avverkningsanmälan</t>
        </is>
      </c>
      <c r="C3111" t="inlineStr">
        <is>
          <t>Föryngringsavverkning</t>
        </is>
      </c>
      <c r="D3111" s="1" t="n">
        <v>45840</v>
      </c>
      <c r="E3111" s="1" t="n">
        <v>46326</v>
      </c>
      <c r="F3111" t="inlineStr">
        <is>
          <t>GÄVLEBORGS LÄN</t>
        </is>
      </c>
      <c r="G3111" t="inlineStr">
        <is>
          <t>NORDANSTIG</t>
        </is>
      </c>
      <c r="H3111" t="inlineStr">
        <is>
          <t>Holmen skog AB</t>
        </is>
      </c>
      <c r="I3111" t="n">
        <v>2.1</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13365-2023</t>
        </is>
      </c>
      <c r="B3112" t="inlineStr">
        <is>
          <t>avverkningsanmälan</t>
        </is>
      </c>
      <c r="C3112" t="inlineStr">
        <is>
          <t>Föryngringsavverkning</t>
        </is>
      </c>
      <c r="D3112" s="1" t="n">
        <v>45005</v>
      </c>
      <c r="E3112" s="1" t="n">
        <v>46326</v>
      </c>
      <c r="F3112" t="inlineStr">
        <is>
          <t>GÄVLEBORGS LÄN</t>
        </is>
      </c>
      <c r="G3112" t="inlineStr">
        <is>
          <t>OVANÅKER</t>
        </is>
      </c>
      <c r="I3112" t="n">
        <v>2.1</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33015-2025</t>
        </is>
      </c>
      <c r="B3113" t="inlineStr">
        <is>
          <t>avverkningsanmälan</t>
        </is>
      </c>
      <c r="C3113" t="inlineStr">
        <is>
          <t>Föryngringsavverkning</t>
        </is>
      </c>
      <c r="D3113" s="1" t="n">
        <v>45840</v>
      </c>
      <c r="E3113" s="1" t="n">
        <v>46326</v>
      </c>
      <c r="F3113" t="inlineStr">
        <is>
          <t>GÄVLEBORGS LÄN</t>
        </is>
      </c>
      <c r="G3113" t="inlineStr">
        <is>
          <t>SANDVIKEN</t>
        </is>
      </c>
      <c r="H3113" t="inlineStr">
        <is>
          <t>Bergvik skog öst AB</t>
        </is>
      </c>
      <c r="I3113" t="n">
        <v>27.3</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43946-2025</t>
        </is>
      </c>
      <c r="B3114" t="inlineStr">
        <is>
          <t>avverkningsanmälan</t>
        </is>
      </c>
      <c r="C3114" t="inlineStr">
        <is>
          <t>Föryngringsavverkning</t>
        </is>
      </c>
      <c r="D3114" s="1" t="n">
        <v>45915</v>
      </c>
      <c r="E3114" s="1" t="n">
        <v>46326</v>
      </c>
      <c r="F3114" t="inlineStr">
        <is>
          <t>GÄVLEBORGS LÄN</t>
        </is>
      </c>
      <c r="G3114" t="inlineStr">
        <is>
          <t>BOLLNÄS</t>
        </is>
      </c>
      <c r="H3114" t="inlineStr">
        <is>
          <t>Kyrkan</t>
        </is>
      </c>
      <c r="I3114" t="n">
        <v>3.3</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24958-2023</t>
        </is>
      </c>
      <c r="B3115" t="inlineStr">
        <is>
          <t>avverkningsanmälan</t>
        </is>
      </c>
      <c r="C3115" t="inlineStr">
        <is>
          <t>Föryngringsavverkning</t>
        </is>
      </c>
      <c r="D3115" s="1" t="n">
        <v>45085</v>
      </c>
      <c r="E3115" s="1" t="n">
        <v>46326</v>
      </c>
      <c r="F3115" t="inlineStr">
        <is>
          <t>GÄVLEBORGS LÄN</t>
        </is>
      </c>
      <c r="G3115" t="inlineStr">
        <is>
          <t>BOLLNÄS</t>
        </is>
      </c>
      <c r="I3115" t="n">
        <v>1.4</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43844-2025</t>
        </is>
      </c>
      <c r="B3116" t="inlineStr">
        <is>
          <t>avverkningsanmälan</t>
        </is>
      </c>
      <c r="C3116" t="inlineStr">
        <is>
          <t>Föryngringsavverkning</t>
        </is>
      </c>
      <c r="D3116" s="1" t="n">
        <v>45912</v>
      </c>
      <c r="E3116" s="1" t="n">
        <v>46326</v>
      </c>
      <c r="F3116" t="inlineStr">
        <is>
          <t>GÄVLEBORGS LÄN</t>
        </is>
      </c>
      <c r="G3116" t="inlineStr">
        <is>
          <t>BOLLNÄS</t>
        </is>
      </c>
      <c r="I3116" t="n">
        <v>0.5</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33176-2025</t>
        </is>
      </c>
      <c r="B3117" t="inlineStr">
        <is>
          <t>avverkningsanmälan</t>
        </is>
      </c>
      <c r="C3117" t="inlineStr">
        <is>
          <t>Föryngringsavverkning</t>
        </is>
      </c>
      <c r="D3117" s="1" t="n">
        <v>45840</v>
      </c>
      <c r="E3117" s="1" t="n">
        <v>46326</v>
      </c>
      <c r="F3117" t="inlineStr">
        <is>
          <t>GÄVLEBORGS LÄN</t>
        </is>
      </c>
      <c r="G3117" t="inlineStr">
        <is>
          <t>HUDIKSVALL</t>
        </is>
      </c>
      <c r="I3117" t="n">
        <v>0.7</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44200-2025</t>
        </is>
      </c>
      <c r="B3118" t="inlineStr">
        <is>
          <t>avverkningsanmälan</t>
        </is>
      </c>
      <c r="C3118" t="inlineStr">
        <is>
          <t>Föryngringsavverkning</t>
        </is>
      </c>
      <c r="D3118" s="1" t="n">
        <v>45915</v>
      </c>
      <c r="E3118" s="1" t="n">
        <v>46326</v>
      </c>
      <c r="F3118" t="inlineStr">
        <is>
          <t>GÄVLEBORGS LÄN</t>
        </is>
      </c>
      <c r="G3118" t="inlineStr">
        <is>
          <t>BOLLNÄS</t>
        </is>
      </c>
      <c r="I3118" t="n">
        <v>1.7</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33459-2025</t>
        </is>
      </c>
      <c r="B3119" t="inlineStr">
        <is>
          <t>avverkningsanmälan</t>
        </is>
      </c>
      <c r="C3119" t="inlineStr">
        <is>
          <t>Föryngringsavverkning</t>
        </is>
      </c>
      <c r="D3119" s="1" t="n">
        <v>45841</v>
      </c>
      <c r="E3119" s="1" t="n">
        <v>46326</v>
      </c>
      <c r="F3119" t="inlineStr">
        <is>
          <t>GÄVLEBORGS LÄN</t>
        </is>
      </c>
      <c r="G3119" t="inlineStr">
        <is>
          <t>OVANÅKER</t>
        </is>
      </c>
      <c r="H3119" t="inlineStr">
        <is>
          <t>Bergvik skog väst AB</t>
        </is>
      </c>
      <c r="I3119" t="n">
        <v>4.7</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33585-2025</t>
        </is>
      </c>
      <c r="B3120" t="inlineStr">
        <is>
          <t>avverkningsanmälan</t>
        </is>
      </c>
      <c r="C3120" t="inlineStr">
        <is>
          <t>Föryngringsavverkning</t>
        </is>
      </c>
      <c r="D3120" s="1" t="n">
        <v>45841</v>
      </c>
      <c r="E3120" s="1" t="n">
        <v>46326</v>
      </c>
      <c r="F3120" t="inlineStr">
        <is>
          <t>GÄVLEBORGS LÄN</t>
        </is>
      </c>
      <c r="G3120" t="inlineStr">
        <is>
          <t>LJUSDAL</t>
        </is>
      </c>
      <c r="I3120" t="n">
        <v>2</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17641-2025</t>
        </is>
      </c>
      <c r="B3121" t="inlineStr">
        <is>
          <t>avverkningsanmälan</t>
        </is>
      </c>
      <c r="C3121" t="inlineStr">
        <is>
          <t>Föryngringsavverkning</t>
        </is>
      </c>
      <c r="D3121" s="1" t="n">
        <v>45758</v>
      </c>
      <c r="E3121" s="1" t="n">
        <v>46326</v>
      </c>
      <c r="F3121" t="inlineStr">
        <is>
          <t>GÄVLEBORGS LÄN</t>
        </is>
      </c>
      <c r="G3121" t="inlineStr">
        <is>
          <t>NORDANSTIG</t>
        </is>
      </c>
      <c r="I3121" t="n">
        <v>4.7</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8510-2023</t>
        </is>
      </c>
      <c r="B3122" t="inlineStr">
        <is>
          <t>avverkningsanmälan</t>
        </is>
      </c>
      <c r="C3122" t="inlineStr">
        <is>
          <t>Föryngringsavverkning</t>
        </is>
      </c>
      <c r="D3122" s="1" t="n">
        <v>44977</v>
      </c>
      <c r="E3122" s="1" t="n">
        <v>46326</v>
      </c>
      <c r="F3122" t="inlineStr">
        <is>
          <t>GÄVLEBORGS LÄN</t>
        </is>
      </c>
      <c r="G3122" t="inlineStr">
        <is>
          <t>HOFORS</t>
        </is>
      </c>
      <c r="I3122" t="n">
        <v>0.4</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43715-2025</t>
        </is>
      </c>
      <c r="B3123" t="inlineStr">
        <is>
          <t>avverkningsanmälan</t>
        </is>
      </c>
      <c r="C3123" t="inlineStr">
        <is>
          <t>Föryngringsavverkning</t>
        </is>
      </c>
      <c r="D3123" s="1" t="n">
        <v>45912</v>
      </c>
      <c r="E3123" s="1" t="n">
        <v>46326</v>
      </c>
      <c r="F3123" t="inlineStr">
        <is>
          <t>GÄVLEBORGS LÄN</t>
        </is>
      </c>
      <c r="G3123" t="inlineStr">
        <is>
          <t>HUDIKSVALL</t>
        </is>
      </c>
      <c r="I3123" t="n">
        <v>1.3</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43733-2025</t>
        </is>
      </c>
      <c r="B3124" t="inlineStr">
        <is>
          <t>avverkningsanmälan</t>
        </is>
      </c>
      <c r="C3124" t="inlineStr">
        <is>
          <t>Föryngringsavverkning</t>
        </is>
      </c>
      <c r="D3124" s="1" t="n">
        <v>45912</v>
      </c>
      <c r="E3124" s="1" t="n">
        <v>46326</v>
      </c>
      <c r="F3124" t="inlineStr">
        <is>
          <t>GÄVLEBORGS LÄN</t>
        </is>
      </c>
      <c r="G3124" t="inlineStr">
        <is>
          <t>LJUSDAL</t>
        </is>
      </c>
      <c r="H3124" t="inlineStr">
        <is>
          <t>Sveaskog</t>
        </is>
      </c>
      <c r="I3124" t="n">
        <v>3.5</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33532-2025</t>
        </is>
      </c>
      <c r="B3125" t="inlineStr">
        <is>
          <t>avverkningsanmälan</t>
        </is>
      </c>
      <c r="C3125" t="inlineStr">
        <is>
          <t>Föryngringsavverkning</t>
        </is>
      </c>
      <c r="D3125" s="1" t="n">
        <v>45841</v>
      </c>
      <c r="E3125" s="1" t="n">
        <v>46326</v>
      </c>
      <c r="F3125" t="inlineStr">
        <is>
          <t>GÄVLEBORGS LÄN</t>
        </is>
      </c>
      <c r="G3125" t="inlineStr">
        <is>
          <t>NORDANSTIG</t>
        </is>
      </c>
      <c r="H3125" t="inlineStr">
        <is>
          <t>Holmen skog AB</t>
        </is>
      </c>
      <c r="I3125" t="n">
        <v>4.8</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43678-2025</t>
        </is>
      </c>
      <c r="B3126" t="inlineStr">
        <is>
          <t>avverkningsanmälan</t>
        </is>
      </c>
      <c r="C3126" t="inlineStr">
        <is>
          <t>Föryngringsavverkning</t>
        </is>
      </c>
      <c r="D3126" s="1" t="n">
        <v>45912</v>
      </c>
      <c r="E3126" s="1" t="n">
        <v>46326</v>
      </c>
      <c r="F3126" t="inlineStr">
        <is>
          <t>GÄVLEBORGS LÄN</t>
        </is>
      </c>
      <c r="G3126" t="inlineStr">
        <is>
          <t>HUDIKSVALL</t>
        </is>
      </c>
      <c r="I3126" t="n">
        <v>0.6</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44195-2025</t>
        </is>
      </c>
      <c r="B3127" t="inlineStr">
        <is>
          <t>avverkningsanmälan</t>
        </is>
      </c>
      <c r="C3127" t="inlineStr">
        <is>
          <t>Föryngringsavverkning</t>
        </is>
      </c>
      <c r="D3127" s="1" t="n">
        <v>45915</v>
      </c>
      <c r="E3127" s="1" t="n">
        <v>46326</v>
      </c>
      <c r="F3127" t="inlineStr">
        <is>
          <t>GÄVLEBORGS LÄN</t>
        </is>
      </c>
      <c r="G3127" t="inlineStr">
        <is>
          <t>BOLLNÄS</t>
        </is>
      </c>
      <c r="I3127" t="n">
        <v>1.9</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33333-2025</t>
        </is>
      </c>
      <c r="B3128" t="inlineStr">
        <is>
          <t>avverkningsanmälan</t>
        </is>
      </c>
      <c r="C3128" t="inlineStr">
        <is>
          <t>Föryngringsavverkning</t>
        </is>
      </c>
      <c r="D3128" s="1" t="n">
        <v>45841</v>
      </c>
      <c r="E3128" s="1" t="n">
        <v>46326</v>
      </c>
      <c r="F3128" t="inlineStr">
        <is>
          <t>GÄVLEBORGS LÄN</t>
        </is>
      </c>
      <c r="G3128" t="inlineStr">
        <is>
          <t>LJUSDAL</t>
        </is>
      </c>
      <c r="H3128" t="inlineStr">
        <is>
          <t>Sveaskog</t>
        </is>
      </c>
      <c r="I3128" t="n">
        <v>1.5</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33337-2025</t>
        </is>
      </c>
      <c r="B3129" t="inlineStr">
        <is>
          <t>avverkningsanmälan</t>
        </is>
      </c>
      <c r="C3129" t="inlineStr">
        <is>
          <t>Föryngringsavverkning</t>
        </is>
      </c>
      <c r="D3129" s="1" t="n">
        <v>45841</v>
      </c>
      <c r="E3129" s="1" t="n">
        <v>46326</v>
      </c>
      <c r="F3129" t="inlineStr">
        <is>
          <t>GÄVLEBORGS LÄN</t>
        </is>
      </c>
      <c r="G3129" t="inlineStr">
        <is>
          <t>LJUSDAL</t>
        </is>
      </c>
      <c r="H3129" t="inlineStr">
        <is>
          <t>Sveaskog</t>
        </is>
      </c>
      <c r="I3129" t="n">
        <v>1.5</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33339-2025</t>
        </is>
      </c>
      <c r="B3130" t="inlineStr">
        <is>
          <t>avverkningsanmälan</t>
        </is>
      </c>
      <c r="C3130" t="inlineStr">
        <is>
          <t>Föryngringsavverkning</t>
        </is>
      </c>
      <c r="D3130" s="1" t="n">
        <v>45841</v>
      </c>
      <c r="E3130" s="1" t="n">
        <v>46326</v>
      </c>
      <c r="F3130" t="inlineStr">
        <is>
          <t>GÄVLEBORGS LÄN</t>
        </is>
      </c>
      <c r="G3130" t="inlineStr">
        <is>
          <t>NORDANSTIG</t>
        </is>
      </c>
      <c r="H3130" t="inlineStr">
        <is>
          <t>Holmen skog AB</t>
        </is>
      </c>
      <c r="I3130" t="n">
        <v>2.2</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33228-2025</t>
        </is>
      </c>
      <c r="B3131" t="inlineStr">
        <is>
          <t>avverkningsanmälan</t>
        </is>
      </c>
      <c r="C3131" t="inlineStr">
        <is>
          <t>Föryngringsavverkning</t>
        </is>
      </c>
      <c r="D3131" s="1" t="n">
        <v>45840</v>
      </c>
      <c r="E3131" s="1" t="n">
        <v>46326</v>
      </c>
      <c r="F3131" t="inlineStr">
        <is>
          <t>GÄVLEBORGS LÄN</t>
        </is>
      </c>
      <c r="G3131" t="inlineStr">
        <is>
          <t>OCKELBO</t>
        </is>
      </c>
      <c r="H3131" t="inlineStr">
        <is>
          <t>Bergvik skog väst AB</t>
        </is>
      </c>
      <c r="I3131" t="n">
        <v>3.9</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33624-2025</t>
        </is>
      </c>
      <c r="B3132" t="inlineStr">
        <is>
          <t>avverkningsanmälan</t>
        </is>
      </c>
      <c r="C3132" t="inlineStr">
        <is>
          <t>Föryngringsavverkning</t>
        </is>
      </c>
      <c r="D3132" s="1" t="n">
        <v>45841</v>
      </c>
      <c r="E3132" s="1" t="n">
        <v>46326</v>
      </c>
      <c r="F3132" t="inlineStr">
        <is>
          <t>GÄVLEBORGS LÄN</t>
        </is>
      </c>
      <c r="G3132" t="inlineStr">
        <is>
          <t>BOLLNÄS</t>
        </is>
      </c>
      <c r="I3132" t="n">
        <v>1.2</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25593-2024</t>
        </is>
      </c>
      <c r="B3133" t="inlineStr">
        <is>
          <t>avverkningsanmälan</t>
        </is>
      </c>
      <c r="C3133" t="inlineStr">
        <is>
          <t>Föryngringsavverkning</t>
        </is>
      </c>
      <c r="D3133" s="1" t="n">
        <v>45463</v>
      </c>
      <c r="E3133" s="1" t="n">
        <v>46326</v>
      </c>
      <c r="F3133" t="inlineStr">
        <is>
          <t>GÄVLEBORGS LÄN</t>
        </is>
      </c>
      <c r="G3133" t="inlineStr">
        <is>
          <t>GÄVLE</t>
        </is>
      </c>
      <c r="H3133" t="inlineStr">
        <is>
          <t>Bergvik skog öst AB</t>
        </is>
      </c>
      <c r="I3133" t="n">
        <v>0.4</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44538-2025</t>
        </is>
      </c>
      <c r="B3134" t="inlineStr">
        <is>
          <t>avverkningsanmälan</t>
        </is>
      </c>
      <c r="C3134" t="inlineStr">
        <is>
          <t>Föryngringsavverkning</t>
        </is>
      </c>
      <c r="D3134" s="1" t="n">
        <v>45917</v>
      </c>
      <c r="E3134" s="1" t="n">
        <v>46326</v>
      </c>
      <c r="F3134" t="inlineStr">
        <is>
          <t>GÄVLEBORGS LÄN</t>
        </is>
      </c>
      <c r="G3134" t="inlineStr">
        <is>
          <t>OVANÅKER</t>
        </is>
      </c>
      <c r="I3134" t="n">
        <v>0.8</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44631-2025</t>
        </is>
      </c>
      <c r="B3135" t="inlineStr">
        <is>
          <t>avverkningsanmälan</t>
        </is>
      </c>
      <c r="C3135" t="inlineStr">
        <is>
          <t>Föryngringsavverkning</t>
        </is>
      </c>
      <c r="D3135" s="1" t="n">
        <v>45917</v>
      </c>
      <c r="E3135" s="1" t="n">
        <v>46326</v>
      </c>
      <c r="F3135" t="inlineStr">
        <is>
          <t>GÄVLEBORGS LÄN</t>
        </is>
      </c>
      <c r="G3135" t="inlineStr">
        <is>
          <t>HUDIKSVALL</t>
        </is>
      </c>
      <c r="I3135" t="n">
        <v>2.6</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4375-2026</t>
        </is>
      </c>
      <c r="B3136" t="inlineStr">
        <is>
          <t>avverkningsanmälan</t>
        </is>
      </c>
      <c r="C3136" t="inlineStr">
        <is>
          <t>Föryngringsavverkning</t>
        </is>
      </c>
      <c r="D3136" s="1" t="n">
        <v>46045</v>
      </c>
      <c r="E3136" s="1" t="n">
        <v>46326</v>
      </c>
      <c r="F3136" t="inlineStr">
        <is>
          <t>GÄVLEBORGS LÄN</t>
        </is>
      </c>
      <c r="G3136" t="inlineStr">
        <is>
          <t>SANDVIKEN</t>
        </is>
      </c>
      <c r="H3136" t="inlineStr">
        <is>
          <t>Kommuner</t>
        </is>
      </c>
      <c r="I3136" t="n">
        <v>1.1</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4384-2026</t>
        </is>
      </c>
      <c r="B3137" t="inlineStr">
        <is>
          <t>avverkningsanmälan</t>
        </is>
      </c>
      <c r="C3137" t="inlineStr">
        <is>
          <t>Föryngringsavverkning</t>
        </is>
      </c>
      <c r="D3137" s="1" t="n">
        <v>46045</v>
      </c>
      <c r="E3137" s="1" t="n">
        <v>46326</v>
      </c>
      <c r="F3137" t="inlineStr">
        <is>
          <t>GÄVLEBORGS LÄN</t>
        </is>
      </c>
      <c r="G3137" t="inlineStr">
        <is>
          <t>NORDANSTIG</t>
        </is>
      </c>
      <c r="I3137" t="n">
        <v>3.8</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3948-2026</t>
        </is>
      </c>
      <c r="B3138" t="inlineStr">
        <is>
          <t>avverkningsanmälan</t>
        </is>
      </c>
      <c r="C3138" t="inlineStr">
        <is>
          <t>Föryngringsavverkning</t>
        </is>
      </c>
      <c r="D3138" s="1" t="n">
        <v>46044</v>
      </c>
      <c r="E3138" s="1" t="n">
        <v>46326</v>
      </c>
      <c r="F3138" t="inlineStr">
        <is>
          <t>GÄVLEBORGS LÄN</t>
        </is>
      </c>
      <c r="G3138" t="inlineStr">
        <is>
          <t>BOLLNÄS</t>
        </is>
      </c>
      <c r="I3138" t="n">
        <v>1</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4106-2026</t>
        </is>
      </c>
      <c r="B3139" t="inlineStr">
        <is>
          <t>avverkningsanmälan</t>
        </is>
      </c>
      <c r="C3139" t="inlineStr">
        <is>
          <t>Föryngringsavverkning</t>
        </is>
      </c>
      <c r="D3139" s="1" t="n">
        <v>46044</v>
      </c>
      <c r="E3139" s="1" t="n">
        <v>46326</v>
      </c>
      <c r="F3139" t="inlineStr">
        <is>
          <t>GÄVLEBORGS LÄN</t>
        </is>
      </c>
      <c r="G3139" t="inlineStr">
        <is>
          <t>NORDANSTIG</t>
        </is>
      </c>
      <c r="I3139" t="n">
        <v>2.4</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2330-2026</t>
        </is>
      </c>
      <c r="B3140" t="inlineStr">
        <is>
          <t>avverkningsanmälan</t>
        </is>
      </c>
      <c r="C3140" t="inlineStr">
        <is>
          <t>Föryngringsavverkning</t>
        </is>
      </c>
      <c r="D3140" s="1" t="n">
        <v>46036</v>
      </c>
      <c r="E3140" s="1" t="n">
        <v>46326</v>
      </c>
      <c r="F3140" t="inlineStr">
        <is>
          <t>GÄVLEBORGS LÄN</t>
        </is>
      </c>
      <c r="G3140" t="inlineStr">
        <is>
          <t>OCKELBO</t>
        </is>
      </c>
      <c r="I3140" t="n">
        <v>3</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33259-2025</t>
        </is>
      </c>
      <c r="B3141" t="inlineStr">
        <is>
          <t>avverkningsanmälan</t>
        </is>
      </c>
      <c r="C3141" t="inlineStr">
        <is>
          <t>Föryngringsavverkning</t>
        </is>
      </c>
      <c r="D3141" s="1" t="n">
        <v>45840</v>
      </c>
      <c r="E3141" s="1" t="n">
        <v>46326</v>
      </c>
      <c r="F3141" t="inlineStr">
        <is>
          <t>GÄVLEBORGS LÄN</t>
        </is>
      </c>
      <c r="G3141" t="inlineStr">
        <is>
          <t>BOLLNÄS</t>
        </is>
      </c>
      <c r="I3141" t="n">
        <v>0.6</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33137-2025</t>
        </is>
      </c>
      <c r="B3142" t="inlineStr">
        <is>
          <t>avverkningsanmälan</t>
        </is>
      </c>
      <c r="C3142" t="inlineStr">
        <is>
          <t>Föryngringsavverkning</t>
        </is>
      </c>
      <c r="D3142" s="1" t="n">
        <v>45840</v>
      </c>
      <c r="E3142" s="1" t="n">
        <v>46326</v>
      </c>
      <c r="F3142" t="inlineStr">
        <is>
          <t>GÄVLEBORGS LÄN</t>
        </is>
      </c>
      <c r="G3142" t="inlineStr">
        <is>
          <t>BOLLNÄS</t>
        </is>
      </c>
      <c r="H3142" t="inlineStr">
        <is>
          <t>Bergvik skog väst AB</t>
        </is>
      </c>
      <c r="I3142" t="n">
        <v>3.8</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63108-2021</t>
        </is>
      </c>
      <c r="B3143" t="inlineStr">
        <is>
          <t>avverkningsanmälan</t>
        </is>
      </c>
      <c r="C3143" t="inlineStr">
        <is>
          <t>Föryngringsavverkning</t>
        </is>
      </c>
      <c r="D3143" s="1" t="n">
        <v>44505</v>
      </c>
      <c r="E3143" s="1" t="n">
        <v>46326</v>
      </c>
      <c r="F3143" t="inlineStr">
        <is>
          <t>GÄVLEBORGS LÄN</t>
        </is>
      </c>
      <c r="G3143" t="inlineStr">
        <is>
          <t>BOLLNÄS</t>
        </is>
      </c>
      <c r="H3143" t="inlineStr">
        <is>
          <t>Bergvik skog väst AB</t>
        </is>
      </c>
      <c r="I3143" t="n">
        <v>2</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44460-2025</t>
        </is>
      </c>
      <c r="B3144" t="inlineStr">
        <is>
          <t>avverkningsanmälan</t>
        </is>
      </c>
      <c r="C3144" t="inlineStr">
        <is>
          <t>Föryngringsavverkning</t>
        </is>
      </c>
      <c r="D3144" s="1" t="n">
        <v>45916</v>
      </c>
      <c r="E3144" s="1" t="n">
        <v>46326</v>
      </c>
      <c r="F3144" t="inlineStr">
        <is>
          <t>GÄVLEBORGS LÄN</t>
        </is>
      </c>
      <c r="G3144" t="inlineStr">
        <is>
          <t>LJUSDAL</t>
        </is>
      </c>
      <c r="I3144" t="n">
        <v>0.6</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33254-2025</t>
        </is>
      </c>
      <c r="B3145" t="inlineStr">
        <is>
          <t>avverkningsanmälan</t>
        </is>
      </c>
      <c r="C3145" t="inlineStr">
        <is>
          <t>Föryngringsavverkning</t>
        </is>
      </c>
      <c r="D3145" s="1" t="n">
        <v>45840</v>
      </c>
      <c r="E3145" s="1" t="n">
        <v>46326</v>
      </c>
      <c r="F3145" t="inlineStr">
        <is>
          <t>GÄVLEBORGS LÄN</t>
        </is>
      </c>
      <c r="G3145" t="inlineStr">
        <is>
          <t>HUDIKSVALL</t>
        </is>
      </c>
      <c r="H3145" t="inlineStr">
        <is>
          <t>Holmen skog AB</t>
        </is>
      </c>
      <c r="I3145" t="n">
        <v>1.3</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33355-2025</t>
        </is>
      </c>
      <c r="B3146" t="inlineStr">
        <is>
          <t>avverkningsanmälan</t>
        </is>
      </c>
      <c r="C3146" t="inlineStr">
        <is>
          <t>Föryngringsavverkning</t>
        </is>
      </c>
      <c r="D3146" s="1" t="n">
        <v>45841</v>
      </c>
      <c r="E3146" s="1" t="n">
        <v>46326</v>
      </c>
      <c r="F3146" t="inlineStr">
        <is>
          <t>GÄVLEBORGS LÄN</t>
        </is>
      </c>
      <c r="G3146" t="inlineStr">
        <is>
          <t>NORDANSTIG</t>
        </is>
      </c>
      <c r="H3146" t="inlineStr">
        <is>
          <t>Holmen skog AB</t>
        </is>
      </c>
      <c r="I3146" t="n">
        <v>34.6</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44550-2025</t>
        </is>
      </c>
      <c r="B3147" t="inlineStr">
        <is>
          <t>avverkningsanmälan</t>
        </is>
      </c>
      <c r="C3147" t="inlineStr">
        <is>
          <t>Föryngringsavverkning</t>
        </is>
      </c>
      <c r="D3147" s="1" t="n">
        <v>45917</v>
      </c>
      <c r="E3147" s="1" t="n">
        <v>46326</v>
      </c>
      <c r="F3147" t="inlineStr">
        <is>
          <t>GÄVLEBORGS LÄN</t>
        </is>
      </c>
      <c r="G3147" t="inlineStr">
        <is>
          <t>LJUSDAL</t>
        </is>
      </c>
      <c r="I3147" t="n">
        <v>4.7</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44591-2025</t>
        </is>
      </c>
      <c r="B3148" t="inlineStr">
        <is>
          <t>avverkningsanmälan</t>
        </is>
      </c>
      <c r="C3148" t="inlineStr">
        <is>
          <t>Föryngringsavverkning</t>
        </is>
      </c>
      <c r="D3148" s="1" t="n">
        <v>45917</v>
      </c>
      <c r="E3148" s="1" t="n">
        <v>46326</v>
      </c>
      <c r="F3148" t="inlineStr">
        <is>
          <t>GÄVLEBORGS LÄN</t>
        </is>
      </c>
      <c r="G3148" t="inlineStr">
        <is>
          <t>NORDANSTIG</t>
        </is>
      </c>
      <c r="I3148" t="n">
        <v>1.4</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4118-2026</t>
        </is>
      </c>
      <c r="B3149" t="inlineStr">
        <is>
          <t>avverkningsanmälan</t>
        </is>
      </c>
      <c r="C3149" t="inlineStr">
        <is>
          <t>Föryngringsavverkning</t>
        </is>
      </c>
      <c r="D3149" s="1" t="n">
        <v>46044</v>
      </c>
      <c r="E3149" s="1" t="n">
        <v>46326</v>
      </c>
      <c r="F3149" t="inlineStr">
        <is>
          <t>GÄVLEBORGS LÄN</t>
        </is>
      </c>
      <c r="G3149" t="inlineStr">
        <is>
          <t>OVANÅKER</t>
        </is>
      </c>
      <c r="I3149" t="n">
        <v>2.8</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4440-2026</t>
        </is>
      </c>
      <c r="B3150" t="inlineStr">
        <is>
          <t>avverkningsanmälan</t>
        </is>
      </c>
      <c r="C3150" t="inlineStr">
        <is>
          <t>Föryngringsavverkning</t>
        </is>
      </c>
      <c r="D3150" s="1" t="n">
        <v>46045</v>
      </c>
      <c r="E3150" s="1" t="n">
        <v>46326</v>
      </c>
      <c r="F3150" t="inlineStr">
        <is>
          <t>GÄVLEBORGS LÄN</t>
        </is>
      </c>
      <c r="G3150" t="inlineStr">
        <is>
          <t>OVANÅKER</t>
        </is>
      </c>
      <c r="I3150" t="n">
        <v>5</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4444-2026</t>
        </is>
      </c>
      <c r="B3151" t="inlineStr">
        <is>
          <t>avverkningsanmälan</t>
        </is>
      </c>
      <c r="C3151" t="inlineStr">
        <is>
          <t>Föryngringsavverkning</t>
        </is>
      </c>
      <c r="D3151" s="1" t="n">
        <v>46045</v>
      </c>
      <c r="E3151" s="1" t="n">
        <v>46326</v>
      </c>
      <c r="F3151" t="inlineStr">
        <is>
          <t>GÄVLEBORGS LÄN</t>
        </is>
      </c>
      <c r="G3151" t="inlineStr">
        <is>
          <t>GÄVLE</t>
        </is>
      </c>
      <c r="I3151" t="n">
        <v>1.8</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4445-2026</t>
        </is>
      </c>
      <c r="B3152" t="inlineStr">
        <is>
          <t>avverkningsanmälan</t>
        </is>
      </c>
      <c r="C3152" t="inlineStr">
        <is>
          <t>Föryngringsavverkning</t>
        </is>
      </c>
      <c r="D3152" s="1" t="n">
        <v>46045</v>
      </c>
      <c r="E3152" s="1" t="n">
        <v>46326</v>
      </c>
      <c r="F3152" t="inlineStr">
        <is>
          <t>GÄVLEBORGS LÄN</t>
        </is>
      </c>
      <c r="G3152" t="inlineStr">
        <is>
          <t>BOLLNÄS</t>
        </is>
      </c>
      <c r="I3152" t="n">
        <v>2.6</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4449-2026</t>
        </is>
      </c>
      <c r="B3153" t="inlineStr">
        <is>
          <t>avverkningsanmälan</t>
        </is>
      </c>
      <c r="C3153" t="inlineStr">
        <is>
          <t>Föryngringsavverkning</t>
        </is>
      </c>
      <c r="D3153" s="1" t="n">
        <v>46045</v>
      </c>
      <c r="E3153" s="1" t="n">
        <v>46326</v>
      </c>
      <c r="F3153" t="inlineStr">
        <is>
          <t>GÄVLEBORGS LÄN</t>
        </is>
      </c>
      <c r="G3153" t="inlineStr">
        <is>
          <t>BOLLNÄS</t>
        </is>
      </c>
      <c r="I3153" t="n">
        <v>1</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44398-2025</t>
        </is>
      </c>
      <c r="B3154" t="inlineStr">
        <is>
          <t>avverkningsanmälan</t>
        </is>
      </c>
      <c r="C3154" t="inlineStr">
        <is>
          <t>Föryngringsavverkning</t>
        </is>
      </c>
      <c r="D3154" s="1" t="n">
        <v>45916</v>
      </c>
      <c r="E3154" s="1" t="n">
        <v>46326</v>
      </c>
      <c r="F3154" t="inlineStr">
        <is>
          <t>GÄVLEBORGS LÄN</t>
        </is>
      </c>
      <c r="G3154" t="inlineStr">
        <is>
          <t>OVANÅKER</t>
        </is>
      </c>
      <c r="I3154" t="n">
        <v>9.199999999999999</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33803-2025</t>
        </is>
      </c>
      <c r="B3155" t="inlineStr">
        <is>
          <t>avverkningsanmälan</t>
        </is>
      </c>
      <c r="C3155" t="inlineStr">
        <is>
          <t>Föryngringsavverkning</t>
        </is>
      </c>
      <c r="D3155" s="1" t="n">
        <v>45842</v>
      </c>
      <c r="E3155" s="1" t="n">
        <v>46326</v>
      </c>
      <c r="F3155" t="inlineStr">
        <is>
          <t>GÄVLEBORGS LÄN</t>
        </is>
      </c>
      <c r="G3155" t="inlineStr">
        <is>
          <t>LJUSDAL</t>
        </is>
      </c>
      <c r="H3155" t="inlineStr">
        <is>
          <t>Sveaskog</t>
        </is>
      </c>
      <c r="I3155" t="n">
        <v>5.7</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2652-2024</t>
        </is>
      </c>
      <c r="B3156" t="inlineStr">
        <is>
          <t>avverkningsanmälan</t>
        </is>
      </c>
      <c r="C3156" t="inlineStr">
        <is>
          <t>Föryngringsavverkning</t>
        </is>
      </c>
      <c r="D3156" s="1" t="n">
        <v>45314</v>
      </c>
      <c r="E3156" s="1" t="n">
        <v>46326</v>
      </c>
      <c r="F3156" t="inlineStr">
        <is>
          <t>GÄVLEBORGS LÄN</t>
        </is>
      </c>
      <c r="G3156" t="inlineStr">
        <is>
          <t>HUDIKSVALL</t>
        </is>
      </c>
      <c r="I3156" t="n">
        <v>3</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2685-2024</t>
        </is>
      </c>
      <c r="B3157" t="inlineStr">
        <is>
          <t>avverkningsanmälan</t>
        </is>
      </c>
      <c r="C3157" t="inlineStr">
        <is>
          <t>Föryngringsavverkning</t>
        </is>
      </c>
      <c r="D3157" s="1" t="n">
        <v>45314</v>
      </c>
      <c r="E3157" s="1" t="n">
        <v>46326</v>
      </c>
      <c r="F3157" t="inlineStr">
        <is>
          <t>GÄVLEBORGS LÄN</t>
        </is>
      </c>
      <c r="G3157" t="inlineStr">
        <is>
          <t>HUDIKSVALL</t>
        </is>
      </c>
      <c r="I3157" t="n">
        <v>0.5</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30011-2023</t>
        </is>
      </c>
      <c r="B3158" t="inlineStr">
        <is>
          <t>avverkningsanmälan</t>
        </is>
      </c>
      <c r="C3158" t="inlineStr">
        <is>
          <t>Föryngringsavverkning</t>
        </is>
      </c>
      <c r="D3158" s="1" t="n">
        <v>45109</v>
      </c>
      <c r="E3158" s="1" t="n">
        <v>46326</v>
      </c>
      <c r="F3158" t="inlineStr">
        <is>
          <t>GÄVLEBORGS LÄN</t>
        </is>
      </c>
      <c r="G3158" t="inlineStr">
        <is>
          <t>OCKELBO</t>
        </is>
      </c>
      <c r="I3158" t="n">
        <v>1.9</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7916-2022</t>
        </is>
      </c>
      <c r="B3159" t="inlineStr">
        <is>
          <t>avverkningsanmälan</t>
        </is>
      </c>
      <c r="C3159" t="inlineStr">
        <is>
          <t>Föryngringsavverkning</t>
        </is>
      </c>
      <c r="D3159" s="1" t="n">
        <v>44608</v>
      </c>
      <c r="E3159" s="1" t="n">
        <v>46326</v>
      </c>
      <c r="F3159" t="inlineStr">
        <is>
          <t>GÄVLEBORGS LÄN</t>
        </is>
      </c>
      <c r="G3159" t="inlineStr">
        <is>
          <t>NORDANSTIG</t>
        </is>
      </c>
      <c r="I3159" t="n">
        <v>2.7</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44737-2025</t>
        </is>
      </c>
      <c r="B3160" t="inlineStr">
        <is>
          <t>avverkningsanmälan</t>
        </is>
      </c>
      <c r="C3160" t="inlineStr">
        <is>
          <t>Föryngringsavverkning</t>
        </is>
      </c>
      <c r="D3160" s="1" t="n">
        <v>45917</v>
      </c>
      <c r="E3160" s="1" t="n">
        <v>46326</v>
      </c>
      <c r="F3160" t="inlineStr">
        <is>
          <t>GÄVLEBORGS LÄN</t>
        </is>
      </c>
      <c r="G3160" t="inlineStr">
        <is>
          <t>LJUSDAL</t>
        </is>
      </c>
      <c r="I3160" t="n">
        <v>1.5</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20717-2024</t>
        </is>
      </c>
      <c r="B3161" t="inlineStr">
        <is>
          <t>avverkningsanmälan</t>
        </is>
      </c>
      <c r="C3161" t="inlineStr">
        <is>
          <t>Föryngringsavverkning</t>
        </is>
      </c>
      <c r="D3161" s="1" t="n">
        <v>45436</v>
      </c>
      <c r="E3161" s="1" t="n">
        <v>46326</v>
      </c>
      <c r="F3161" t="inlineStr">
        <is>
          <t>GÄVLEBORGS LÄN</t>
        </is>
      </c>
      <c r="G3161" t="inlineStr">
        <is>
          <t>SÖDERHAMN</t>
        </is>
      </c>
      <c r="I3161" t="n">
        <v>1.5</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41191-2024</t>
        </is>
      </c>
      <c r="B3162" t="inlineStr">
        <is>
          <t>avverkningsanmälan</t>
        </is>
      </c>
      <c r="C3162" t="inlineStr">
        <is>
          <t>Föryngringsavverkning</t>
        </is>
      </c>
      <c r="D3162" s="1" t="n">
        <v>45559</v>
      </c>
      <c r="E3162" s="1" t="n">
        <v>46326</v>
      </c>
      <c r="F3162" t="inlineStr">
        <is>
          <t>GÄVLEBORGS LÄN</t>
        </is>
      </c>
      <c r="G3162" t="inlineStr">
        <is>
          <t>HUDIKSVALL</t>
        </is>
      </c>
      <c r="H3162" t="inlineStr">
        <is>
          <t>Holmen skog AB</t>
        </is>
      </c>
      <c r="I3162" t="n">
        <v>15.7</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44557-2025</t>
        </is>
      </c>
      <c r="B3163" t="inlineStr">
        <is>
          <t>avverkningsanmälan</t>
        </is>
      </c>
      <c r="C3163" t="inlineStr">
        <is>
          <t>Föryngringsavverkning</t>
        </is>
      </c>
      <c r="D3163" s="1" t="n">
        <v>45917</v>
      </c>
      <c r="E3163" s="1" t="n">
        <v>46326</v>
      </c>
      <c r="F3163" t="inlineStr">
        <is>
          <t>GÄVLEBORGS LÄN</t>
        </is>
      </c>
      <c r="G3163" t="inlineStr">
        <is>
          <t>LJUSDAL</t>
        </is>
      </c>
      <c r="I3163" t="n">
        <v>0.8</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44559-2025</t>
        </is>
      </c>
      <c r="B3164" t="inlineStr">
        <is>
          <t>avverkningsanmälan</t>
        </is>
      </c>
      <c r="C3164" t="inlineStr">
        <is>
          <t>Föryngringsavverkning</t>
        </is>
      </c>
      <c r="D3164" s="1" t="n">
        <v>45917</v>
      </c>
      <c r="E3164" s="1" t="n">
        <v>46326</v>
      </c>
      <c r="F3164" t="inlineStr">
        <is>
          <t>GÄVLEBORGS LÄN</t>
        </is>
      </c>
      <c r="G3164" t="inlineStr">
        <is>
          <t>LJUSDAL</t>
        </is>
      </c>
      <c r="I3164" t="n">
        <v>2.7</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34239-2025</t>
        </is>
      </c>
      <c r="B3165" t="inlineStr">
        <is>
          <t>avverkningsanmälan</t>
        </is>
      </c>
      <c r="C3165" t="inlineStr">
        <is>
          <t>Föryngringsavverkning</t>
        </is>
      </c>
      <c r="D3165" s="1" t="n">
        <v>45845</v>
      </c>
      <c r="E3165" s="1" t="n">
        <v>46326</v>
      </c>
      <c r="F3165" t="inlineStr">
        <is>
          <t>GÄVLEBORGS LÄN</t>
        </is>
      </c>
      <c r="G3165" t="inlineStr">
        <is>
          <t>BOLLNÄS</t>
        </is>
      </c>
      <c r="I3165" t="n">
        <v>4.7</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29930-2025</t>
        </is>
      </c>
      <c r="B3166" t="inlineStr">
        <is>
          <t>avverkningsanmälan</t>
        </is>
      </c>
      <c r="C3166" t="inlineStr">
        <is>
          <t>Föryngringsavverkning</t>
        </is>
      </c>
      <c r="D3166" s="1" t="n">
        <v>45826</v>
      </c>
      <c r="E3166" s="1" t="n">
        <v>46326</v>
      </c>
      <c r="F3166" t="inlineStr">
        <is>
          <t>GÄVLEBORGS LÄN</t>
        </is>
      </c>
      <c r="G3166" t="inlineStr">
        <is>
          <t>BOLLNÄS</t>
        </is>
      </c>
      <c r="I3166" t="n">
        <v>1.7</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29981-2023</t>
        </is>
      </c>
      <c r="B3167" t="inlineStr">
        <is>
          <t>avverkningsanmälan</t>
        </is>
      </c>
      <c r="C3167" t="inlineStr">
        <is>
          <t>Föryngringsavverkning</t>
        </is>
      </c>
      <c r="D3167" s="1" t="n">
        <v>45108</v>
      </c>
      <c r="E3167" s="1" t="n">
        <v>46326</v>
      </c>
      <c r="F3167" t="inlineStr">
        <is>
          <t>GÄVLEBORGS LÄN</t>
        </is>
      </c>
      <c r="G3167" t="inlineStr">
        <is>
          <t>SÖDERHAMN</t>
        </is>
      </c>
      <c r="I3167" t="n">
        <v>0.6</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29983-2023</t>
        </is>
      </c>
      <c r="B3168" t="inlineStr">
        <is>
          <t>avverkningsanmälan</t>
        </is>
      </c>
      <c r="C3168" t="inlineStr">
        <is>
          <t>Föryngringsavverkning</t>
        </is>
      </c>
      <c r="D3168" s="1" t="n">
        <v>45108</v>
      </c>
      <c r="E3168" s="1" t="n">
        <v>46326</v>
      </c>
      <c r="F3168" t="inlineStr">
        <is>
          <t>GÄVLEBORGS LÄN</t>
        </is>
      </c>
      <c r="G3168" t="inlineStr">
        <is>
          <t>SÖDERHAMN</t>
        </is>
      </c>
      <c r="I3168" t="n">
        <v>2.4</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21978-2025</t>
        </is>
      </c>
      <c r="B3169" t="inlineStr">
        <is>
          <t>avverkningsanmälan</t>
        </is>
      </c>
      <c r="C3169" t="inlineStr">
        <is>
          <t>Föryngringsavverkning</t>
        </is>
      </c>
      <c r="D3169" s="1" t="n">
        <v>45784</v>
      </c>
      <c r="E3169" s="1" t="n">
        <v>46326</v>
      </c>
      <c r="F3169" t="inlineStr">
        <is>
          <t>GÄVLEBORGS LÄN</t>
        </is>
      </c>
      <c r="G3169" t="inlineStr">
        <is>
          <t>GÄVLE</t>
        </is>
      </c>
      <c r="I3169" t="n">
        <v>2.8</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34216-2025</t>
        </is>
      </c>
      <c r="B3170" t="inlineStr">
        <is>
          <t>avverkningsanmälan</t>
        </is>
      </c>
      <c r="C3170" t="inlineStr">
        <is>
          <t>Föryngringsavverkning</t>
        </is>
      </c>
      <c r="D3170" s="1" t="n">
        <v>45845</v>
      </c>
      <c r="E3170" s="1" t="n">
        <v>46326</v>
      </c>
      <c r="F3170" t="inlineStr">
        <is>
          <t>GÄVLEBORGS LÄN</t>
        </is>
      </c>
      <c r="G3170" t="inlineStr">
        <is>
          <t>BOLLNÄS</t>
        </is>
      </c>
      <c r="I3170" t="n">
        <v>0.6</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34219-2025</t>
        </is>
      </c>
      <c r="B3171" t="inlineStr">
        <is>
          <t>avverkningsanmälan</t>
        </is>
      </c>
      <c r="C3171" t="inlineStr">
        <is>
          <t>Föryngringsavverkning</t>
        </is>
      </c>
      <c r="D3171" s="1" t="n">
        <v>45845</v>
      </c>
      <c r="E3171" s="1" t="n">
        <v>46326</v>
      </c>
      <c r="F3171" t="inlineStr">
        <is>
          <t>GÄVLEBORGS LÄN</t>
        </is>
      </c>
      <c r="G3171" t="inlineStr">
        <is>
          <t>SANDVIKEN</t>
        </is>
      </c>
      <c r="H3171" t="inlineStr">
        <is>
          <t>Sveaskog</t>
        </is>
      </c>
      <c r="I3171" t="n">
        <v>4.4</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34233-2025</t>
        </is>
      </c>
      <c r="B3172" t="inlineStr">
        <is>
          <t>avverkningsanmälan</t>
        </is>
      </c>
      <c r="C3172" t="inlineStr">
        <is>
          <t>Föryngringsavverkning</t>
        </is>
      </c>
      <c r="D3172" s="1" t="n">
        <v>45845</v>
      </c>
      <c r="E3172" s="1" t="n">
        <v>46326</v>
      </c>
      <c r="F3172" t="inlineStr">
        <is>
          <t>GÄVLEBORGS LÄN</t>
        </is>
      </c>
      <c r="G3172" t="inlineStr">
        <is>
          <t>BOLLNÄS</t>
        </is>
      </c>
      <c r="I3172" t="n">
        <v>3.9</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32471-2023</t>
        </is>
      </c>
      <c r="B3173" t="inlineStr">
        <is>
          <t>avverkningsanmälan</t>
        </is>
      </c>
      <c r="C3173" t="inlineStr">
        <is>
          <t>Föryngringsavverkning</t>
        </is>
      </c>
      <c r="D3173" s="1" t="n">
        <v>45120</v>
      </c>
      <c r="E3173" s="1" t="n">
        <v>46326</v>
      </c>
      <c r="F3173" t="inlineStr">
        <is>
          <t>GÄVLEBORGS LÄN</t>
        </is>
      </c>
      <c r="G3173" t="inlineStr">
        <is>
          <t>NORDANSTIG</t>
        </is>
      </c>
      <c r="I3173" t="n">
        <v>1.9</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4111-2026</t>
        </is>
      </c>
      <c r="B3174" t="inlineStr">
        <is>
          <t>avverkningsanmälan</t>
        </is>
      </c>
      <c r="C3174" t="inlineStr">
        <is>
          <t>Föryngringsavverkning</t>
        </is>
      </c>
      <c r="D3174" s="1" t="n">
        <v>46044</v>
      </c>
      <c r="E3174" s="1" t="n">
        <v>46326</v>
      </c>
      <c r="F3174" t="inlineStr">
        <is>
          <t>GÄVLEBORGS LÄN</t>
        </is>
      </c>
      <c r="G3174" t="inlineStr">
        <is>
          <t>NORDANSTIG</t>
        </is>
      </c>
      <c r="I3174" t="n">
        <v>15.3</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10149-2025</t>
        </is>
      </c>
      <c r="B3175" t="inlineStr">
        <is>
          <t>avverkningsanmälan</t>
        </is>
      </c>
      <c r="C3175" t="inlineStr">
        <is>
          <t>Föryngringsavverkning</t>
        </is>
      </c>
      <c r="D3175" s="1" t="n">
        <v>45719</v>
      </c>
      <c r="E3175" s="1" t="n">
        <v>46326</v>
      </c>
      <c r="F3175" t="inlineStr">
        <is>
          <t>GÄVLEBORGS LÄN</t>
        </is>
      </c>
      <c r="G3175" t="inlineStr">
        <is>
          <t>OCKELBO</t>
        </is>
      </c>
      <c r="I3175" t="n">
        <v>1</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3712-2023</t>
        </is>
      </c>
      <c r="B3176" t="inlineStr">
        <is>
          <t>avverkningsanmälan</t>
        </is>
      </c>
      <c r="C3176" t="inlineStr">
        <is>
          <t>Föryngringsavverkning</t>
        </is>
      </c>
      <c r="D3176" s="1" t="n">
        <v>44951</v>
      </c>
      <c r="E3176" s="1" t="n">
        <v>46326</v>
      </c>
      <c r="F3176" t="inlineStr">
        <is>
          <t>GÄVLEBORGS LÄN</t>
        </is>
      </c>
      <c r="G3176" t="inlineStr">
        <is>
          <t>GÄVLE</t>
        </is>
      </c>
      <c r="H3176" t="inlineStr">
        <is>
          <t>Bergvik skog väst AB</t>
        </is>
      </c>
      <c r="I3176" t="n">
        <v>1.1</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44599-2025</t>
        </is>
      </c>
      <c r="B3177" t="inlineStr">
        <is>
          <t>avverkningsanmälan</t>
        </is>
      </c>
      <c r="C3177" t="inlineStr">
        <is>
          <t>Föryngringsavverkning</t>
        </is>
      </c>
      <c r="D3177" s="1" t="n">
        <v>45917</v>
      </c>
      <c r="E3177" s="1" t="n">
        <v>46326</v>
      </c>
      <c r="F3177" t="inlineStr">
        <is>
          <t>GÄVLEBORGS LÄN</t>
        </is>
      </c>
      <c r="G3177" t="inlineStr">
        <is>
          <t>NORDANSTIG</t>
        </is>
      </c>
      <c r="I3177" t="n">
        <v>1.8</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33965-2025</t>
        </is>
      </c>
      <c r="B3178" t="inlineStr">
        <is>
          <t>avverkningsanmälan</t>
        </is>
      </c>
      <c r="C3178" t="inlineStr">
        <is>
          <t>Föryngringsavverkning</t>
        </is>
      </c>
      <c r="D3178" s="1" t="n">
        <v>45842</v>
      </c>
      <c r="E3178" s="1" t="n">
        <v>46326</v>
      </c>
      <c r="F3178" t="inlineStr">
        <is>
          <t>GÄVLEBORGS LÄN</t>
        </is>
      </c>
      <c r="G3178" t="inlineStr">
        <is>
          <t>HUDIKSVALL</t>
        </is>
      </c>
      <c r="H3178" t="inlineStr">
        <is>
          <t>Holmen skog AB</t>
        </is>
      </c>
      <c r="I3178" t="n">
        <v>32.2</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781-2026</t>
        </is>
      </c>
      <c r="B3179" t="inlineStr">
        <is>
          <t>avverkningsanmälan</t>
        </is>
      </c>
      <c r="C3179" t="inlineStr">
        <is>
          <t>Föryngringsavverkning</t>
        </is>
      </c>
      <c r="D3179" s="1" t="n">
        <v>46029</v>
      </c>
      <c r="E3179" s="1" t="n">
        <v>46326</v>
      </c>
      <c r="F3179" t="inlineStr">
        <is>
          <t>GÄVLEBORGS LÄN</t>
        </is>
      </c>
      <c r="G3179" t="inlineStr">
        <is>
          <t>HUDIKSVALL</t>
        </is>
      </c>
      <c r="I3179" t="n">
        <v>0.6</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4176-2026</t>
        </is>
      </c>
      <c r="B3180" t="inlineStr">
        <is>
          <t>avverkningsanmälan</t>
        </is>
      </c>
      <c r="C3180" t="inlineStr">
        <is>
          <t>Föryngringsavverkning</t>
        </is>
      </c>
      <c r="D3180" s="1" t="n">
        <v>46044</v>
      </c>
      <c r="E3180" s="1" t="n">
        <v>46326</v>
      </c>
      <c r="F3180" t="inlineStr">
        <is>
          <t>GÄVLEBORGS LÄN</t>
        </is>
      </c>
      <c r="G3180" t="inlineStr">
        <is>
          <t>BOLLNÄS</t>
        </is>
      </c>
      <c r="I3180" t="n">
        <v>4.6</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19035-2023</t>
        </is>
      </c>
      <c r="B3181" t="inlineStr">
        <is>
          <t>avverkningsanmälan</t>
        </is>
      </c>
      <c r="C3181" t="inlineStr">
        <is>
          <t>Föryngringsavverkning</t>
        </is>
      </c>
      <c r="D3181" s="1" t="n">
        <v>45047</v>
      </c>
      <c r="E3181" s="1" t="n">
        <v>46326</v>
      </c>
      <c r="F3181" t="inlineStr">
        <is>
          <t>GÄVLEBORGS LÄN</t>
        </is>
      </c>
      <c r="G3181" t="inlineStr">
        <is>
          <t>LJUSDAL</t>
        </is>
      </c>
      <c r="I3181" t="n">
        <v>0.7</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44450-2025</t>
        </is>
      </c>
      <c r="B3182" t="inlineStr">
        <is>
          <t>avverkningsanmälan</t>
        </is>
      </c>
      <c r="C3182" t="inlineStr">
        <is>
          <t>Föryngringsavverkning</t>
        </is>
      </c>
      <c r="D3182" s="1" t="n">
        <v>45916</v>
      </c>
      <c r="E3182" s="1" t="n">
        <v>46326</v>
      </c>
      <c r="F3182" t="inlineStr">
        <is>
          <t>GÄVLEBORGS LÄN</t>
        </is>
      </c>
      <c r="G3182" t="inlineStr">
        <is>
          <t>SANDVIKEN</t>
        </is>
      </c>
      <c r="I3182" t="n">
        <v>2.2</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23006-2023</t>
        </is>
      </c>
      <c r="B3183" t="inlineStr">
        <is>
          <t>avverkningsanmälan</t>
        </is>
      </c>
      <c r="C3183" t="inlineStr">
        <is>
          <t>Föryngringsavverkning</t>
        </is>
      </c>
      <c r="D3183" s="1" t="n">
        <v>45073</v>
      </c>
      <c r="E3183" s="1" t="n">
        <v>46326</v>
      </c>
      <c r="F3183" t="inlineStr">
        <is>
          <t>GÄVLEBORGS LÄN</t>
        </is>
      </c>
      <c r="G3183" t="inlineStr">
        <is>
          <t>OCKELBO</t>
        </is>
      </c>
      <c r="I3183" t="n">
        <v>3.7</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33944-2025</t>
        </is>
      </c>
      <c r="B3184" t="inlineStr">
        <is>
          <t>avverkningsanmälan</t>
        </is>
      </c>
      <c r="C3184" t="inlineStr">
        <is>
          <t>Föryngringsavverkning</t>
        </is>
      </c>
      <c r="D3184" s="1" t="n">
        <v>45842</v>
      </c>
      <c r="E3184" s="1" t="n">
        <v>46326</v>
      </c>
      <c r="F3184" t="inlineStr">
        <is>
          <t>GÄVLEBORGS LÄN</t>
        </is>
      </c>
      <c r="G3184" t="inlineStr">
        <is>
          <t>BOLLNÄS</t>
        </is>
      </c>
      <c r="I3184" t="n">
        <v>0.5</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44348-2025</t>
        </is>
      </c>
      <c r="B3185" t="inlineStr">
        <is>
          <t>avverkningsanmälan</t>
        </is>
      </c>
      <c r="C3185" t="inlineStr">
        <is>
          <t>Föryngringsavverkning</t>
        </is>
      </c>
      <c r="D3185" s="1" t="n">
        <v>45916</v>
      </c>
      <c r="E3185" s="1" t="n">
        <v>46326</v>
      </c>
      <c r="F3185" t="inlineStr">
        <is>
          <t>GÄVLEBORGS LÄN</t>
        </is>
      </c>
      <c r="G3185" t="inlineStr">
        <is>
          <t>HUDIKSVALL</t>
        </is>
      </c>
      <c r="H3185" t="inlineStr">
        <is>
          <t>Holmen skog AB</t>
        </is>
      </c>
      <c r="I3185" t="n">
        <v>2.4</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44603-2025</t>
        </is>
      </c>
      <c r="B3186" t="inlineStr">
        <is>
          <t>avverkningsanmälan</t>
        </is>
      </c>
      <c r="C3186" t="inlineStr">
        <is>
          <t>Föryngringsavverkning</t>
        </is>
      </c>
      <c r="D3186" s="1" t="n">
        <v>45917</v>
      </c>
      <c r="E3186" s="1" t="n">
        <v>46326</v>
      </c>
      <c r="F3186" t="inlineStr">
        <is>
          <t>GÄVLEBORGS LÄN</t>
        </is>
      </c>
      <c r="G3186" t="inlineStr">
        <is>
          <t>NORDANSTIG</t>
        </is>
      </c>
      <c r="I3186" t="n">
        <v>1</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59064-2022</t>
        </is>
      </c>
      <c r="B3187" t="inlineStr">
        <is>
          <t>avverkningsanmälan</t>
        </is>
      </c>
      <c r="C3187" t="inlineStr">
        <is>
          <t>Föryngringsavverkning</t>
        </is>
      </c>
      <c r="D3187" s="1" t="n">
        <v>44904</v>
      </c>
      <c r="E3187" s="1" t="n">
        <v>46326</v>
      </c>
      <c r="F3187" t="inlineStr">
        <is>
          <t>GÄVLEBORGS LÄN</t>
        </is>
      </c>
      <c r="G3187" t="inlineStr">
        <is>
          <t>HUDIKSVALL</t>
        </is>
      </c>
      <c r="H3187" t="inlineStr">
        <is>
          <t>Kyrkan</t>
        </is>
      </c>
      <c r="I3187" t="n">
        <v>2</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44643-2025</t>
        </is>
      </c>
      <c r="B3188" t="inlineStr">
        <is>
          <t>avverkningsanmälan</t>
        </is>
      </c>
      <c r="C3188" t="inlineStr">
        <is>
          <t>Föryngringsavverkning</t>
        </is>
      </c>
      <c r="D3188" s="1" t="n">
        <v>45917</v>
      </c>
      <c r="E3188" s="1" t="n">
        <v>46326</v>
      </c>
      <c r="F3188" t="inlineStr">
        <is>
          <t>GÄVLEBORGS LÄN</t>
        </is>
      </c>
      <c r="G3188" t="inlineStr">
        <is>
          <t>BOLLNÄS</t>
        </is>
      </c>
      <c r="I3188" t="n">
        <v>0.7</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3119-2022</t>
        </is>
      </c>
      <c r="B3189" t="inlineStr">
        <is>
          <t>avverkningsanmälan</t>
        </is>
      </c>
      <c r="C3189" t="inlineStr">
        <is>
          <t>Föryngringsavverkning</t>
        </is>
      </c>
      <c r="D3189" s="1" t="n">
        <v>44582</v>
      </c>
      <c r="E3189" s="1" t="n">
        <v>46326</v>
      </c>
      <c r="F3189" t="inlineStr">
        <is>
          <t>GÄVLEBORGS LÄN</t>
        </is>
      </c>
      <c r="G3189" t="inlineStr">
        <is>
          <t>SANDVIKEN</t>
        </is>
      </c>
      <c r="H3189" t="inlineStr">
        <is>
          <t>Kyrkan</t>
        </is>
      </c>
      <c r="I3189" t="n">
        <v>1.3</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44692-2025</t>
        </is>
      </c>
      <c r="B3190" t="inlineStr">
        <is>
          <t>avverkningsanmälan</t>
        </is>
      </c>
      <c r="C3190" t="inlineStr">
        <is>
          <t>Föryngringsavverkning</t>
        </is>
      </c>
      <c r="D3190" s="1" t="n">
        <v>45917</v>
      </c>
      <c r="E3190" s="1" t="n">
        <v>46326</v>
      </c>
      <c r="F3190" t="inlineStr">
        <is>
          <t>GÄVLEBORGS LÄN</t>
        </is>
      </c>
      <c r="G3190" t="inlineStr">
        <is>
          <t>HOFORS</t>
        </is>
      </c>
      <c r="H3190" t="inlineStr">
        <is>
          <t>Sveaskog</t>
        </is>
      </c>
      <c r="I3190" t="n">
        <v>5.4</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45058-2025</t>
        </is>
      </c>
      <c r="B3191" t="inlineStr">
        <is>
          <t>avverkningsanmälan</t>
        </is>
      </c>
      <c r="C3191" t="inlineStr">
        <is>
          <t>Föryngringsavverkning</t>
        </is>
      </c>
      <c r="D3191" s="1" t="n">
        <v>45919</v>
      </c>
      <c r="E3191" s="1" t="n">
        <v>46326</v>
      </c>
      <c r="F3191" t="inlineStr">
        <is>
          <t>GÄVLEBORGS LÄN</t>
        </is>
      </c>
      <c r="G3191" t="inlineStr">
        <is>
          <t>NORDANSTIG</t>
        </is>
      </c>
      <c r="I3191" t="n">
        <v>0.8</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18357-2025</t>
        </is>
      </c>
      <c r="B3192" t="inlineStr">
        <is>
          <t>avverkningsanmälan</t>
        </is>
      </c>
      <c r="C3192" t="inlineStr">
        <is>
          <t>Föryngringsavverkning</t>
        </is>
      </c>
      <c r="D3192" s="1" t="n">
        <v>45762</v>
      </c>
      <c r="E3192" s="1" t="n">
        <v>46326</v>
      </c>
      <c r="F3192" t="inlineStr">
        <is>
          <t>GÄVLEBORGS LÄN</t>
        </is>
      </c>
      <c r="G3192" t="inlineStr">
        <is>
          <t>SANDVIKEN</t>
        </is>
      </c>
      <c r="I3192" t="n">
        <v>1.2</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45189-2025</t>
        </is>
      </c>
      <c r="B3193" t="inlineStr">
        <is>
          <t>avverkningsanmälan</t>
        </is>
      </c>
      <c r="C3193" t="inlineStr">
        <is>
          <t>Föryngringsavverkning</t>
        </is>
      </c>
      <c r="D3193" s="1" t="n">
        <v>45919</v>
      </c>
      <c r="E3193" s="1" t="n">
        <v>46326</v>
      </c>
      <c r="F3193" t="inlineStr">
        <is>
          <t>GÄVLEBORGS LÄN</t>
        </is>
      </c>
      <c r="G3193" t="inlineStr">
        <is>
          <t>LJUSDAL</t>
        </is>
      </c>
      <c r="H3193" t="inlineStr">
        <is>
          <t>Sveaskog</t>
        </is>
      </c>
      <c r="I3193" t="n">
        <v>3</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37986-2022</t>
        </is>
      </c>
      <c r="B3194" t="inlineStr">
        <is>
          <t>avverkningsanmälan</t>
        </is>
      </c>
      <c r="C3194" t="inlineStr">
        <is>
          <t>Föryngringsavverkning</t>
        </is>
      </c>
      <c r="D3194" s="1" t="n">
        <v>44811</v>
      </c>
      <c r="E3194" s="1" t="n">
        <v>46326</v>
      </c>
      <c r="F3194" t="inlineStr">
        <is>
          <t>GÄVLEBORGS LÄN</t>
        </is>
      </c>
      <c r="G3194" t="inlineStr">
        <is>
          <t>NORDANSTIG</t>
        </is>
      </c>
      <c r="I3194" t="n">
        <v>2.2</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28062-2025</t>
        </is>
      </c>
      <c r="B3195" t="inlineStr">
        <is>
          <t>avverkningsanmälan</t>
        </is>
      </c>
      <c r="C3195" t="inlineStr">
        <is>
          <t>Föryngringsavverkning</t>
        </is>
      </c>
      <c r="D3195" s="1" t="n">
        <v>45817</v>
      </c>
      <c r="E3195" s="1" t="n">
        <v>46326</v>
      </c>
      <c r="F3195" t="inlineStr">
        <is>
          <t>GÄVLEBORGS LÄN</t>
        </is>
      </c>
      <c r="G3195" t="inlineStr">
        <is>
          <t>SÖDERHAMN</t>
        </is>
      </c>
      <c r="I3195" t="n">
        <v>1.8</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34224-2025</t>
        </is>
      </c>
      <c r="B3196" t="inlineStr">
        <is>
          <t>avverkningsanmälan</t>
        </is>
      </c>
      <c r="C3196" t="inlineStr">
        <is>
          <t>Föryngringsavverkning</t>
        </is>
      </c>
      <c r="D3196" s="1" t="n">
        <v>45845</v>
      </c>
      <c r="E3196" s="1" t="n">
        <v>46326</v>
      </c>
      <c r="F3196" t="inlineStr">
        <is>
          <t>GÄVLEBORGS LÄN</t>
        </is>
      </c>
      <c r="G3196" t="inlineStr">
        <is>
          <t>BOLLNÄS</t>
        </is>
      </c>
      <c r="I3196" t="n">
        <v>2.6</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33757-2025</t>
        </is>
      </c>
      <c r="B3197" t="inlineStr">
        <is>
          <t>avverkningsanmälan</t>
        </is>
      </c>
      <c r="C3197" t="inlineStr">
        <is>
          <t>Föryngringsavverkning</t>
        </is>
      </c>
      <c r="D3197" s="1" t="n">
        <v>45842</v>
      </c>
      <c r="E3197" s="1" t="n">
        <v>46326</v>
      </c>
      <c r="F3197" t="inlineStr">
        <is>
          <t>GÄVLEBORGS LÄN</t>
        </is>
      </c>
      <c r="G3197" t="inlineStr">
        <is>
          <t>SANDVIKEN</t>
        </is>
      </c>
      <c r="I3197" t="n">
        <v>1.3</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45239-2025</t>
        </is>
      </c>
      <c r="B3198" t="inlineStr">
        <is>
          <t>avverkningsanmälan</t>
        </is>
      </c>
      <c r="C3198" t="inlineStr">
        <is>
          <t>Föryngringsavverkning</t>
        </is>
      </c>
      <c r="D3198" s="1" t="n">
        <v>45919</v>
      </c>
      <c r="E3198" s="1" t="n">
        <v>46326</v>
      </c>
      <c r="F3198" t="inlineStr">
        <is>
          <t>GÄVLEBORGS LÄN</t>
        </is>
      </c>
      <c r="G3198" t="inlineStr">
        <is>
          <t>BOLLNÄS</t>
        </is>
      </c>
      <c r="H3198" t="inlineStr">
        <is>
          <t>Bergvik skog väst AB</t>
        </is>
      </c>
      <c r="I3198" t="n">
        <v>0.8</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3961-2026</t>
        </is>
      </c>
      <c r="B3199" t="inlineStr">
        <is>
          <t>avverkningsanmälan</t>
        </is>
      </c>
      <c r="C3199" t="inlineStr">
        <is>
          <t>Föryngringsavverkning</t>
        </is>
      </c>
      <c r="D3199" s="1" t="n">
        <v>46044</v>
      </c>
      <c r="E3199" s="1" t="n">
        <v>46326</v>
      </c>
      <c r="F3199" t="inlineStr">
        <is>
          <t>GÄVLEBORGS LÄN</t>
        </is>
      </c>
      <c r="G3199" t="inlineStr">
        <is>
          <t>LJUSDAL</t>
        </is>
      </c>
      <c r="I3199" t="n">
        <v>0.8</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3106-2026</t>
        </is>
      </c>
      <c r="B3200" t="inlineStr">
        <is>
          <t>avverkningsanmälan</t>
        </is>
      </c>
      <c r="C3200" t="inlineStr">
        <is>
          <t>Föryngringsavverkning</t>
        </is>
      </c>
      <c r="D3200" s="1" t="n">
        <v>46041</v>
      </c>
      <c r="E3200" s="1" t="n">
        <v>46326</v>
      </c>
      <c r="F3200" t="inlineStr">
        <is>
          <t>GÄVLEBORGS LÄN</t>
        </is>
      </c>
      <c r="G3200" t="inlineStr">
        <is>
          <t>OVANÅKER</t>
        </is>
      </c>
      <c r="I3200" t="n">
        <v>19.1</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5149-2026</t>
        </is>
      </c>
      <c r="B3201" t="inlineStr">
        <is>
          <t>avverkningsanmälan</t>
        </is>
      </c>
      <c r="C3201" t="inlineStr">
        <is>
          <t>Föryngringsavverkning</t>
        </is>
      </c>
      <c r="D3201" s="1" t="n">
        <v>46049</v>
      </c>
      <c r="E3201" s="1" t="n">
        <v>46326</v>
      </c>
      <c r="F3201" t="inlineStr">
        <is>
          <t>GÄVLEBORGS LÄN</t>
        </is>
      </c>
      <c r="G3201" t="inlineStr">
        <is>
          <t>BOLLNÄS</t>
        </is>
      </c>
      <c r="I3201" t="n">
        <v>1</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56208-2023</t>
        </is>
      </c>
      <c r="B3202" t="inlineStr">
        <is>
          <t>avverkningsanmälan</t>
        </is>
      </c>
      <c r="C3202" t="inlineStr">
        <is>
          <t>Föryngringsavverkning</t>
        </is>
      </c>
      <c r="D3202" s="1" t="n">
        <v>45240</v>
      </c>
      <c r="E3202" s="1" t="n">
        <v>46326</v>
      </c>
      <c r="F3202" t="inlineStr">
        <is>
          <t>GÄVLEBORGS LÄN</t>
        </is>
      </c>
      <c r="G3202" t="inlineStr">
        <is>
          <t>BOLLNÄS</t>
        </is>
      </c>
      <c r="I3202" t="n">
        <v>1.3</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34116-2025</t>
        </is>
      </c>
      <c r="B3203" t="inlineStr">
        <is>
          <t>avverkningsanmälan</t>
        </is>
      </c>
      <c r="C3203" t="inlineStr">
        <is>
          <t>Föryngringsavverkning</t>
        </is>
      </c>
      <c r="D3203" s="1" t="n">
        <v>45845</v>
      </c>
      <c r="E3203" s="1" t="n">
        <v>46326</v>
      </c>
      <c r="F3203" t="inlineStr">
        <is>
          <t>GÄVLEBORGS LÄN</t>
        </is>
      </c>
      <c r="G3203" t="inlineStr">
        <is>
          <t>GÄVLE</t>
        </is>
      </c>
      <c r="I3203" t="n">
        <v>0.9</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4779-2026</t>
        </is>
      </c>
      <c r="B3204" t="inlineStr">
        <is>
          <t>avverkningsanmälan</t>
        </is>
      </c>
      <c r="C3204" t="inlineStr">
        <is>
          <t>Föryngringsavverkning</t>
        </is>
      </c>
      <c r="D3204" s="1" t="n">
        <v>46048</v>
      </c>
      <c r="E3204" s="1" t="n">
        <v>46326</v>
      </c>
      <c r="F3204" t="inlineStr">
        <is>
          <t>GÄVLEBORGS LÄN</t>
        </is>
      </c>
      <c r="G3204" t="inlineStr">
        <is>
          <t>NORDANSTIG</t>
        </is>
      </c>
      <c r="I3204" t="n">
        <v>8.199999999999999</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4783-2026</t>
        </is>
      </c>
      <c r="B3205" t="inlineStr">
        <is>
          <t>avverkningsanmälan</t>
        </is>
      </c>
      <c r="C3205" t="inlineStr">
        <is>
          <t>Avverkning för annat ändamål</t>
        </is>
      </c>
      <c r="D3205" s="1" t="n">
        <v>46048</v>
      </c>
      <c r="E3205" s="1" t="n">
        <v>46326</v>
      </c>
      <c r="F3205" t="inlineStr">
        <is>
          <t>GÄVLEBORGS LÄN</t>
        </is>
      </c>
      <c r="G3205" t="inlineStr">
        <is>
          <t>HUDIKSVALL</t>
        </is>
      </c>
      <c r="I3205" t="n">
        <v>0.3</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4611-2026</t>
        </is>
      </c>
      <c r="B3206" t="inlineStr">
        <is>
          <t>avverkningsanmälan</t>
        </is>
      </c>
      <c r="C3206" t="inlineStr">
        <is>
          <t>Föryngringsavverkning</t>
        </is>
      </c>
      <c r="D3206" s="1" t="n">
        <v>46048</v>
      </c>
      <c r="E3206" s="1" t="n">
        <v>46326</v>
      </c>
      <c r="F3206" t="inlineStr">
        <is>
          <t>GÄVLEBORGS LÄN</t>
        </is>
      </c>
      <c r="G3206" t="inlineStr">
        <is>
          <t>HUDIKSVALL</t>
        </is>
      </c>
      <c r="I3206" t="n">
        <v>4.6</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4323-2026</t>
        </is>
      </c>
      <c r="B3207" t="inlineStr">
        <is>
          <t>avverkningsanmälan</t>
        </is>
      </c>
      <c r="C3207" t="inlineStr">
        <is>
          <t>Föryngringsavverkning</t>
        </is>
      </c>
      <c r="D3207" s="1" t="n">
        <v>46045</v>
      </c>
      <c r="E3207" s="1" t="n">
        <v>46326</v>
      </c>
      <c r="F3207" t="inlineStr">
        <is>
          <t>GÄVLEBORGS LÄN</t>
        </is>
      </c>
      <c r="G3207" t="inlineStr">
        <is>
          <t>HUDIKSVALL</t>
        </is>
      </c>
      <c r="H3207" t="inlineStr">
        <is>
          <t>Holmen skog AB</t>
        </is>
      </c>
      <c r="I3207" t="n">
        <v>1.8</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5366-2024</t>
        </is>
      </c>
      <c r="B3208" t="inlineStr">
        <is>
          <t>avverkningsanmälan</t>
        </is>
      </c>
      <c r="C3208" t="inlineStr">
        <is>
          <t>Föryngringsavverkning</t>
        </is>
      </c>
      <c r="D3208" s="1" t="n">
        <v>45331</v>
      </c>
      <c r="E3208" s="1" t="n">
        <v>46326</v>
      </c>
      <c r="F3208" t="inlineStr">
        <is>
          <t>GÄVLEBORGS LÄN</t>
        </is>
      </c>
      <c r="G3208" t="inlineStr">
        <is>
          <t>SÖDERHAMN</t>
        </is>
      </c>
      <c r="I3208" t="n">
        <v>2</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34113-2025</t>
        </is>
      </c>
      <c r="B3209" t="inlineStr">
        <is>
          <t>avverkningsanmälan</t>
        </is>
      </c>
      <c r="C3209" t="inlineStr">
        <is>
          <t>Föryngringsavverkning</t>
        </is>
      </c>
      <c r="D3209" s="1" t="n">
        <v>45845</v>
      </c>
      <c r="E3209" s="1" t="n">
        <v>46326</v>
      </c>
      <c r="F3209" t="inlineStr">
        <is>
          <t>GÄVLEBORGS LÄN</t>
        </is>
      </c>
      <c r="G3209" t="inlineStr">
        <is>
          <t>GÄVLE</t>
        </is>
      </c>
      <c r="I3209" t="n">
        <v>0.6</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36058-2023</t>
        </is>
      </c>
      <c r="B3210" t="inlineStr">
        <is>
          <t>avverkningsanmälan</t>
        </is>
      </c>
      <c r="C3210" t="inlineStr">
        <is>
          <t>Föryngringsavverkning</t>
        </is>
      </c>
      <c r="D3210" s="1" t="n">
        <v>45149</v>
      </c>
      <c r="E3210" s="1" t="n">
        <v>46326</v>
      </c>
      <c r="F3210" t="inlineStr">
        <is>
          <t>GÄVLEBORGS LÄN</t>
        </is>
      </c>
      <c r="G3210" t="inlineStr">
        <is>
          <t>BOLLNÄS</t>
        </is>
      </c>
      <c r="I3210" t="n">
        <v>1.5</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36061-2023</t>
        </is>
      </c>
      <c r="B3211" t="inlineStr">
        <is>
          <t>avverkningsanmälan</t>
        </is>
      </c>
      <c r="C3211" t="inlineStr">
        <is>
          <t>Föryngringsavverkning</t>
        </is>
      </c>
      <c r="D3211" s="1" t="n">
        <v>45149</v>
      </c>
      <c r="E3211" s="1" t="n">
        <v>46326</v>
      </c>
      <c r="F3211" t="inlineStr">
        <is>
          <t>GÄVLEBORGS LÄN</t>
        </is>
      </c>
      <c r="G3211" t="inlineStr">
        <is>
          <t>BOLLNÄS</t>
        </is>
      </c>
      <c r="I3211" t="n">
        <v>0.8</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45224-2025</t>
        </is>
      </c>
      <c r="B3212" t="inlineStr">
        <is>
          <t>avverkningsanmälan</t>
        </is>
      </c>
      <c r="C3212" t="inlineStr">
        <is>
          <t>Föryngringsavverkning</t>
        </is>
      </c>
      <c r="D3212" s="1" t="n">
        <v>45919</v>
      </c>
      <c r="E3212" s="1" t="n">
        <v>46326</v>
      </c>
      <c r="F3212" t="inlineStr">
        <is>
          <t>GÄVLEBORGS LÄN</t>
        </is>
      </c>
      <c r="G3212" t="inlineStr">
        <is>
          <t>BOLLNÄS</t>
        </is>
      </c>
      <c r="H3212" t="inlineStr">
        <is>
          <t>Bergvik skog väst AB</t>
        </is>
      </c>
      <c r="I3212" t="n">
        <v>3.2</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45069-2025</t>
        </is>
      </c>
      <c r="B3213" t="inlineStr">
        <is>
          <t>avverkningsanmälan</t>
        </is>
      </c>
      <c r="C3213" t="inlineStr">
        <is>
          <t>Föryngringsavverkning</t>
        </is>
      </c>
      <c r="D3213" s="1" t="n">
        <v>45919</v>
      </c>
      <c r="E3213" s="1" t="n">
        <v>46326</v>
      </c>
      <c r="F3213" t="inlineStr">
        <is>
          <t>GÄVLEBORGS LÄN</t>
        </is>
      </c>
      <c r="G3213" t="inlineStr">
        <is>
          <t>OVANÅKER</t>
        </is>
      </c>
      <c r="I3213" t="n">
        <v>0.9</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45075-2025</t>
        </is>
      </c>
      <c r="B3214" t="inlineStr">
        <is>
          <t>avverkningsanmälan</t>
        </is>
      </c>
      <c r="C3214" t="inlineStr">
        <is>
          <t>Föryngringsavverkning</t>
        </is>
      </c>
      <c r="D3214" s="1" t="n">
        <v>45919</v>
      </c>
      <c r="E3214" s="1" t="n">
        <v>46326</v>
      </c>
      <c r="F3214" t="inlineStr">
        <is>
          <t>GÄVLEBORGS LÄN</t>
        </is>
      </c>
      <c r="G3214" t="inlineStr">
        <is>
          <t>HUDIKSVALL</t>
        </is>
      </c>
      <c r="I3214" t="n">
        <v>3.4</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5232-2026</t>
        </is>
      </c>
      <c r="B3215" t="inlineStr">
        <is>
          <t>avverkningsanmälan</t>
        </is>
      </c>
      <c r="C3215" t="inlineStr">
        <is>
          <t>Föryngringsavverkning</t>
        </is>
      </c>
      <c r="D3215" s="1" t="n">
        <v>46049</v>
      </c>
      <c r="E3215" s="1" t="n">
        <v>46326</v>
      </c>
      <c r="F3215" t="inlineStr">
        <is>
          <t>GÄVLEBORGS LÄN</t>
        </is>
      </c>
      <c r="G3215" t="inlineStr">
        <is>
          <t>OCKELBO</t>
        </is>
      </c>
      <c r="I3215" t="n">
        <v>1.6</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45136-2025</t>
        </is>
      </c>
      <c r="B3216" t="inlineStr">
        <is>
          <t>avverkningsanmälan</t>
        </is>
      </c>
      <c r="C3216" t="inlineStr">
        <is>
          <t>Föryngringsavverkning</t>
        </is>
      </c>
      <c r="D3216" s="1" t="n">
        <v>45919</v>
      </c>
      <c r="E3216" s="1" t="n">
        <v>46326</v>
      </c>
      <c r="F3216" t="inlineStr">
        <is>
          <t>GÄVLEBORGS LÄN</t>
        </is>
      </c>
      <c r="G3216" t="inlineStr">
        <is>
          <t>HUDIKSVALL</t>
        </is>
      </c>
      <c r="I3216" t="n">
        <v>4.4</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34342-2025</t>
        </is>
      </c>
      <c r="B3217" t="inlineStr">
        <is>
          <t>avverkningsanmälan</t>
        </is>
      </c>
      <c r="C3217" t="inlineStr">
        <is>
          <t>Föryngringsavverkning</t>
        </is>
      </c>
      <c r="D3217" s="1" t="n">
        <v>45846</v>
      </c>
      <c r="E3217" s="1" t="n">
        <v>46326</v>
      </c>
      <c r="F3217" t="inlineStr">
        <is>
          <t>GÄVLEBORGS LÄN</t>
        </is>
      </c>
      <c r="G3217" t="inlineStr">
        <is>
          <t>NORDANSTIG</t>
        </is>
      </c>
      <c r="H3217" t="inlineStr">
        <is>
          <t>Holmen skog AB</t>
        </is>
      </c>
      <c r="I3217" t="n">
        <v>2.2</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28983-2022</t>
        </is>
      </c>
      <c r="B3218" t="inlineStr">
        <is>
          <t>avverkningsanmälan</t>
        </is>
      </c>
      <c r="C3218" t="inlineStr">
        <is>
          <t>Föryngringsavverkning</t>
        </is>
      </c>
      <c r="D3218" s="1" t="n">
        <v>44749</v>
      </c>
      <c r="E3218" s="1" t="n">
        <v>46326</v>
      </c>
      <c r="F3218" t="inlineStr">
        <is>
          <t>GÄVLEBORGS LÄN</t>
        </is>
      </c>
      <c r="G3218" t="inlineStr">
        <is>
          <t>BOLLNÄS</t>
        </is>
      </c>
      <c r="I3218" t="n">
        <v>0.5</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36646-2022</t>
        </is>
      </c>
      <c r="B3219" t="inlineStr">
        <is>
          <t>avverkningsanmälan</t>
        </is>
      </c>
      <c r="C3219" t="inlineStr">
        <is>
          <t>Föryngringsavverkning</t>
        </is>
      </c>
      <c r="D3219" s="1" t="n">
        <v>44804</v>
      </c>
      <c r="E3219" s="1" t="n">
        <v>46326</v>
      </c>
      <c r="F3219" t="inlineStr">
        <is>
          <t>GÄVLEBORGS LÄN</t>
        </is>
      </c>
      <c r="G3219" t="inlineStr">
        <is>
          <t>SANDVIKEN</t>
        </is>
      </c>
      <c r="I3219" t="n">
        <v>9.199999999999999</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25596-2024</t>
        </is>
      </c>
      <c r="B3220" t="inlineStr">
        <is>
          <t>avverkningsanmälan</t>
        </is>
      </c>
      <c r="C3220" t="inlineStr">
        <is>
          <t>Föryngringsavverkning</t>
        </is>
      </c>
      <c r="D3220" s="1" t="n">
        <v>45463</v>
      </c>
      <c r="E3220" s="1" t="n">
        <v>46326</v>
      </c>
      <c r="F3220" t="inlineStr">
        <is>
          <t>GÄVLEBORGS LÄN</t>
        </is>
      </c>
      <c r="G3220" t="inlineStr">
        <is>
          <t>HUDIKSVALL</t>
        </is>
      </c>
      <c r="I3220" t="n">
        <v>2.5</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37686-2024</t>
        </is>
      </c>
      <c r="B3221" t="inlineStr">
        <is>
          <t>avverkningsanmälan</t>
        </is>
      </c>
      <c r="C3221" t="inlineStr">
        <is>
          <t>Föryngringsavverkning</t>
        </is>
      </c>
      <c r="D3221" s="1" t="n">
        <v>45541</v>
      </c>
      <c r="E3221" s="1" t="n">
        <v>46326</v>
      </c>
      <c r="F3221" t="inlineStr">
        <is>
          <t>GÄVLEBORGS LÄN</t>
        </is>
      </c>
      <c r="G3221" t="inlineStr">
        <is>
          <t>NORDANSTIG</t>
        </is>
      </c>
      <c r="H3221" t="inlineStr">
        <is>
          <t>Holmen skog AB</t>
        </is>
      </c>
      <c r="I3221" t="n">
        <v>3.5</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39022-2025</t>
        </is>
      </c>
      <c r="B3222" t="inlineStr">
        <is>
          <t>avverkningsanmälan</t>
        </is>
      </c>
      <c r="C3222" t="inlineStr">
        <is>
          <t>Föryngringsavverkning</t>
        </is>
      </c>
      <c r="D3222" s="1" t="n">
        <v>45888</v>
      </c>
      <c r="E3222" s="1" t="n">
        <v>46326</v>
      </c>
      <c r="F3222" t="inlineStr">
        <is>
          <t>GÄVLEBORGS LÄN</t>
        </is>
      </c>
      <c r="G3222" t="inlineStr">
        <is>
          <t>GÄVLE</t>
        </is>
      </c>
      <c r="I3222" t="n">
        <v>2.8</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59783-2023</t>
        </is>
      </c>
      <c r="B3223" t="inlineStr">
        <is>
          <t>avverkningsanmälan</t>
        </is>
      </c>
      <c r="C3223" t="inlineStr">
        <is>
          <t>Föryngringsavverkning</t>
        </is>
      </c>
      <c r="D3223" s="1" t="n">
        <v>45257</v>
      </c>
      <c r="E3223" s="1" t="n">
        <v>46326</v>
      </c>
      <c r="F3223" t="inlineStr">
        <is>
          <t>GÄVLEBORGS LÄN</t>
        </is>
      </c>
      <c r="G3223" t="inlineStr">
        <is>
          <t>SÖDERHAMN</t>
        </is>
      </c>
      <c r="I3223" t="n">
        <v>3.1</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4952-2026</t>
        </is>
      </c>
      <c r="B3224" t="inlineStr">
        <is>
          <t>avverkningsanmälan</t>
        </is>
      </c>
      <c r="C3224" t="inlineStr">
        <is>
          <t>Föryngringsavverkning</t>
        </is>
      </c>
      <c r="D3224" s="1" t="n">
        <v>46049</v>
      </c>
      <c r="E3224" s="1" t="n">
        <v>46326</v>
      </c>
      <c r="F3224" t="inlineStr">
        <is>
          <t>GÄVLEBORGS LÄN</t>
        </is>
      </c>
      <c r="G3224" t="inlineStr">
        <is>
          <t>BOLLNÄS</t>
        </is>
      </c>
      <c r="I3224" t="n">
        <v>6.3</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5047-2026</t>
        </is>
      </c>
      <c r="B3225" t="inlineStr">
        <is>
          <t>avverkningsanmälan</t>
        </is>
      </c>
      <c r="C3225" t="inlineStr">
        <is>
          <t>Föryngringsavverkning</t>
        </is>
      </c>
      <c r="D3225" s="1" t="n">
        <v>46049</v>
      </c>
      <c r="E3225" s="1" t="n">
        <v>46326</v>
      </c>
      <c r="F3225" t="inlineStr">
        <is>
          <t>GÄVLEBORGS LÄN</t>
        </is>
      </c>
      <c r="G3225" t="inlineStr">
        <is>
          <t>BOLLNÄS</t>
        </is>
      </c>
      <c r="I3225" t="n">
        <v>0.8</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44966-2025</t>
        </is>
      </c>
      <c r="B3226" t="inlineStr">
        <is>
          <t>avverkningsanmälan</t>
        </is>
      </c>
      <c r="C3226" t="inlineStr">
        <is>
          <t>Föryngringsavverkning</t>
        </is>
      </c>
      <c r="D3226" s="1" t="n">
        <v>45918</v>
      </c>
      <c r="E3226" s="1" t="n">
        <v>46326</v>
      </c>
      <c r="F3226" t="inlineStr">
        <is>
          <t>GÄVLEBORGS LÄN</t>
        </is>
      </c>
      <c r="G3226" t="inlineStr">
        <is>
          <t>HUDIKSVALL</t>
        </is>
      </c>
      <c r="I3226" t="n">
        <v>17.2</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45193-2025</t>
        </is>
      </c>
      <c r="B3227" t="inlineStr">
        <is>
          <t>avverkningsanmälan</t>
        </is>
      </c>
      <c r="C3227" t="inlineStr">
        <is>
          <t>Föryngringsavverkning</t>
        </is>
      </c>
      <c r="D3227" s="1" t="n">
        <v>45919</v>
      </c>
      <c r="E3227" s="1" t="n">
        <v>46326</v>
      </c>
      <c r="F3227" t="inlineStr">
        <is>
          <t>GÄVLEBORGS LÄN</t>
        </is>
      </c>
      <c r="G3227" t="inlineStr">
        <is>
          <t>OVANÅKER</t>
        </is>
      </c>
      <c r="H3227" t="inlineStr">
        <is>
          <t>Holmen skog AB</t>
        </is>
      </c>
      <c r="I3227" t="n">
        <v>2</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57673-2024</t>
        </is>
      </c>
      <c r="B3228" t="inlineStr">
        <is>
          <t>avverkningsanmälan</t>
        </is>
      </c>
      <c r="C3228" t="inlineStr">
        <is>
          <t>Föryngringsavverkning</t>
        </is>
      </c>
      <c r="D3228" s="1" t="n">
        <v>45630</v>
      </c>
      <c r="E3228" s="1" t="n">
        <v>46326</v>
      </c>
      <c r="F3228" t="inlineStr">
        <is>
          <t>GÄVLEBORGS LÄN</t>
        </is>
      </c>
      <c r="G3228" t="inlineStr">
        <is>
          <t>LJUSDAL</t>
        </is>
      </c>
      <c r="I3228" t="n">
        <v>1.1</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44986-2025</t>
        </is>
      </c>
      <c r="B3229" t="inlineStr">
        <is>
          <t>avverkningsanmälan</t>
        </is>
      </c>
      <c r="C3229" t="inlineStr">
        <is>
          <t>Föryngringsavverkning</t>
        </is>
      </c>
      <c r="D3229" s="1" t="n">
        <v>45918</v>
      </c>
      <c r="E3229" s="1" t="n">
        <v>46326</v>
      </c>
      <c r="F3229" t="inlineStr">
        <is>
          <t>GÄVLEBORGS LÄN</t>
        </is>
      </c>
      <c r="G3229" t="inlineStr">
        <is>
          <t>HUDIKSVALL</t>
        </is>
      </c>
      <c r="I3229" t="n">
        <v>0.9</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45103-2025</t>
        </is>
      </c>
      <c r="B3230" t="inlineStr">
        <is>
          <t>avverkningsanmälan</t>
        </is>
      </c>
      <c r="C3230" t="inlineStr">
        <is>
          <t>Föryngringsavverkning</t>
        </is>
      </c>
      <c r="D3230" s="1" t="n">
        <v>45919</v>
      </c>
      <c r="E3230" s="1" t="n">
        <v>46326</v>
      </c>
      <c r="F3230" t="inlineStr">
        <is>
          <t>GÄVLEBORGS LÄN</t>
        </is>
      </c>
      <c r="G3230" t="inlineStr">
        <is>
          <t>SANDVIKEN</t>
        </is>
      </c>
      <c r="H3230" t="inlineStr">
        <is>
          <t>Kyrkan</t>
        </is>
      </c>
      <c r="I3230" t="n">
        <v>3.4</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33478-2023</t>
        </is>
      </c>
      <c r="B3231" t="inlineStr">
        <is>
          <t>avverkningsanmälan</t>
        </is>
      </c>
      <c r="C3231" t="inlineStr">
        <is>
          <t>Föryngringsavverkning</t>
        </is>
      </c>
      <c r="D3231" s="1" t="n">
        <v>45131</v>
      </c>
      <c r="E3231" s="1" t="n">
        <v>46326</v>
      </c>
      <c r="F3231" t="inlineStr">
        <is>
          <t>GÄVLEBORGS LÄN</t>
        </is>
      </c>
      <c r="G3231" t="inlineStr">
        <is>
          <t>NORDANSTIG</t>
        </is>
      </c>
      <c r="I3231" t="n">
        <v>1.2</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31890-2023</t>
        </is>
      </c>
      <c r="B3232" t="inlineStr">
        <is>
          <t>avverkningsanmälan</t>
        </is>
      </c>
      <c r="C3232" t="inlineStr">
        <is>
          <t>Föryngringsavverkning</t>
        </is>
      </c>
      <c r="D3232" s="1" t="n">
        <v>45118</v>
      </c>
      <c r="E3232" s="1" t="n">
        <v>46326</v>
      </c>
      <c r="F3232" t="inlineStr">
        <is>
          <t>GÄVLEBORGS LÄN</t>
        </is>
      </c>
      <c r="G3232" t="inlineStr">
        <is>
          <t>LJUSDAL</t>
        </is>
      </c>
      <c r="I3232" t="n">
        <v>0.8</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45044-2025</t>
        </is>
      </c>
      <c r="B3233" t="inlineStr">
        <is>
          <t>avverkningsanmälan</t>
        </is>
      </c>
      <c r="C3233" t="inlineStr">
        <is>
          <t>Föryngringsavverkning</t>
        </is>
      </c>
      <c r="D3233" s="1" t="n">
        <v>45919</v>
      </c>
      <c r="E3233" s="1" t="n">
        <v>46326</v>
      </c>
      <c r="F3233" t="inlineStr">
        <is>
          <t>GÄVLEBORGS LÄN</t>
        </is>
      </c>
      <c r="G3233" t="inlineStr">
        <is>
          <t>BOLLNÄS</t>
        </is>
      </c>
      <c r="I3233" t="n">
        <v>0.8</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45050-2025</t>
        </is>
      </c>
      <c r="B3234" t="inlineStr">
        <is>
          <t>avverkningsanmälan</t>
        </is>
      </c>
      <c r="C3234" t="inlineStr">
        <is>
          <t>Föryngringsavverkning</t>
        </is>
      </c>
      <c r="D3234" s="1" t="n">
        <v>45919</v>
      </c>
      <c r="E3234" s="1" t="n">
        <v>46326</v>
      </c>
      <c r="F3234" t="inlineStr">
        <is>
          <t>GÄVLEBORGS LÄN</t>
        </is>
      </c>
      <c r="G3234" t="inlineStr">
        <is>
          <t>BOLLNÄS</t>
        </is>
      </c>
      <c r="I3234" t="n">
        <v>2</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44972-2025</t>
        </is>
      </c>
      <c r="B3235" t="inlineStr">
        <is>
          <t>avverkningsanmälan</t>
        </is>
      </c>
      <c r="C3235" t="inlineStr">
        <is>
          <t>Föryngringsavverkning</t>
        </is>
      </c>
      <c r="D3235" s="1" t="n">
        <v>45918</v>
      </c>
      <c r="E3235" s="1" t="n">
        <v>46326</v>
      </c>
      <c r="F3235" t="inlineStr">
        <is>
          <t>GÄVLEBORGS LÄN</t>
        </is>
      </c>
      <c r="G3235" t="inlineStr">
        <is>
          <t>NORDANSTIG</t>
        </is>
      </c>
      <c r="I3235" t="n">
        <v>2.3</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44978-2025</t>
        </is>
      </c>
      <c r="B3236" t="inlineStr">
        <is>
          <t>avverkningsanmälan</t>
        </is>
      </c>
      <c r="C3236" t="inlineStr">
        <is>
          <t>Föryngringsavverkning</t>
        </is>
      </c>
      <c r="D3236" s="1" t="n">
        <v>45918</v>
      </c>
      <c r="E3236" s="1" t="n">
        <v>46326</v>
      </c>
      <c r="F3236" t="inlineStr">
        <is>
          <t>GÄVLEBORGS LÄN</t>
        </is>
      </c>
      <c r="G3236" t="inlineStr">
        <is>
          <t>NORDANSTIG</t>
        </is>
      </c>
      <c r="I3236" t="n">
        <v>2.5</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45204-2025</t>
        </is>
      </c>
      <c r="B3237" t="inlineStr">
        <is>
          <t>avverkningsanmälan</t>
        </is>
      </c>
      <c r="C3237" t="inlineStr">
        <is>
          <t>Föryngringsavverkning</t>
        </is>
      </c>
      <c r="D3237" s="1" t="n">
        <v>45919</v>
      </c>
      <c r="E3237" s="1" t="n">
        <v>46326</v>
      </c>
      <c r="F3237" t="inlineStr">
        <is>
          <t>GÄVLEBORGS LÄN</t>
        </is>
      </c>
      <c r="G3237" t="inlineStr">
        <is>
          <t>OVANÅKER</t>
        </is>
      </c>
      <c r="H3237" t="inlineStr">
        <is>
          <t>Holmen skog AB</t>
        </is>
      </c>
      <c r="I3237" t="n">
        <v>2.5</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34276-2025</t>
        </is>
      </c>
      <c r="B3238" t="inlineStr">
        <is>
          <t>avverkningsanmälan</t>
        </is>
      </c>
      <c r="C3238" t="inlineStr">
        <is>
          <t>Föryngringsavverkning</t>
        </is>
      </c>
      <c r="D3238" s="1" t="n">
        <v>45845</v>
      </c>
      <c r="E3238" s="1" t="n">
        <v>46326</v>
      </c>
      <c r="F3238" t="inlineStr">
        <is>
          <t>GÄVLEBORGS LÄN</t>
        </is>
      </c>
      <c r="G3238" t="inlineStr">
        <is>
          <t>LJUSDAL</t>
        </is>
      </c>
      <c r="H3238" t="inlineStr">
        <is>
          <t>Holmen skog AB</t>
        </is>
      </c>
      <c r="I3238" t="n">
        <v>33.7</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45090-2025</t>
        </is>
      </c>
      <c r="B3239" t="inlineStr">
        <is>
          <t>avverkningsanmälan</t>
        </is>
      </c>
      <c r="C3239" t="inlineStr">
        <is>
          <t>Föryngringsavverkning</t>
        </is>
      </c>
      <c r="D3239" s="1" t="n">
        <v>45919</v>
      </c>
      <c r="E3239" s="1" t="n">
        <v>46326</v>
      </c>
      <c r="F3239" t="inlineStr">
        <is>
          <t>GÄVLEBORGS LÄN</t>
        </is>
      </c>
      <c r="G3239" t="inlineStr">
        <is>
          <t>SANDVIKEN</t>
        </is>
      </c>
      <c r="H3239" t="inlineStr">
        <is>
          <t>Kyrkan</t>
        </is>
      </c>
      <c r="I3239" t="n">
        <v>1.2</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34321-2025</t>
        </is>
      </c>
      <c r="B3240" t="inlineStr">
        <is>
          <t>avverkningsanmälan</t>
        </is>
      </c>
      <c r="C3240" t="inlineStr">
        <is>
          <t>Föryngringsavverkning</t>
        </is>
      </c>
      <c r="D3240" s="1" t="n">
        <v>45846</v>
      </c>
      <c r="E3240" s="1" t="n">
        <v>46326</v>
      </c>
      <c r="F3240" t="inlineStr">
        <is>
          <t>GÄVLEBORGS LÄN</t>
        </is>
      </c>
      <c r="G3240" t="inlineStr">
        <is>
          <t>OVANÅKER</t>
        </is>
      </c>
      <c r="H3240" t="inlineStr">
        <is>
          <t>Sveaskog</t>
        </is>
      </c>
      <c r="I3240" t="n">
        <v>2</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44983-2025</t>
        </is>
      </c>
      <c r="B3241" t="inlineStr">
        <is>
          <t>avverkningsanmälan</t>
        </is>
      </c>
      <c r="C3241" t="inlineStr">
        <is>
          <t>Föryngringsavverkning</t>
        </is>
      </c>
      <c r="D3241" s="1" t="n">
        <v>45918</v>
      </c>
      <c r="E3241" s="1" t="n">
        <v>46326</v>
      </c>
      <c r="F3241" t="inlineStr">
        <is>
          <t>GÄVLEBORGS LÄN</t>
        </is>
      </c>
      <c r="G3241" t="inlineStr">
        <is>
          <t>NORDANSTIG</t>
        </is>
      </c>
      <c r="I3241" t="n">
        <v>2.7</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41285-2022</t>
        </is>
      </c>
      <c r="B3242" t="inlineStr">
        <is>
          <t>avverkningsanmälan</t>
        </is>
      </c>
      <c r="C3242" t="inlineStr">
        <is>
          <t>Föryngringsavverkning</t>
        </is>
      </c>
      <c r="D3242" s="1" t="n">
        <v>44826</v>
      </c>
      <c r="E3242" s="1" t="n">
        <v>46326</v>
      </c>
      <c r="F3242" t="inlineStr">
        <is>
          <t>GÄVLEBORGS LÄN</t>
        </is>
      </c>
      <c r="G3242" t="inlineStr">
        <is>
          <t>LJUSDAL</t>
        </is>
      </c>
      <c r="I3242" t="n">
        <v>1.8</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56024-2024</t>
        </is>
      </c>
      <c r="B3243" t="inlineStr">
        <is>
          <t>avverkningsanmälan</t>
        </is>
      </c>
      <c r="C3243" t="inlineStr">
        <is>
          <t>Föryngringsavverkning</t>
        </is>
      </c>
      <c r="D3243" s="1" t="n">
        <v>45624</v>
      </c>
      <c r="E3243" s="1" t="n">
        <v>46326</v>
      </c>
      <c r="F3243" t="inlineStr">
        <is>
          <t>GÄVLEBORGS LÄN</t>
        </is>
      </c>
      <c r="G3243" t="inlineStr">
        <is>
          <t>BOLLNÄS</t>
        </is>
      </c>
      <c r="I3243" t="n">
        <v>0.5</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34311-2025</t>
        </is>
      </c>
      <c r="B3244" t="inlineStr">
        <is>
          <t>avverkningsanmälan</t>
        </is>
      </c>
      <c r="C3244" t="inlineStr">
        <is>
          <t>Föryngringsavverkning</t>
        </is>
      </c>
      <c r="D3244" s="1" t="n">
        <v>45846</v>
      </c>
      <c r="E3244" s="1" t="n">
        <v>46326</v>
      </c>
      <c r="F3244" t="inlineStr">
        <is>
          <t>GÄVLEBORGS LÄN</t>
        </is>
      </c>
      <c r="G3244" t="inlineStr">
        <is>
          <t>NORDANSTIG</t>
        </is>
      </c>
      <c r="H3244" t="inlineStr">
        <is>
          <t>Holmen skog AB</t>
        </is>
      </c>
      <c r="I3244" t="n">
        <v>1.9</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19178-2023</t>
        </is>
      </c>
      <c r="B3245" t="inlineStr">
        <is>
          <t>avverkningsanmälan</t>
        </is>
      </c>
      <c r="C3245" t="inlineStr">
        <is>
          <t>Föryngringsavverkning</t>
        </is>
      </c>
      <c r="D3245" s="1" t="n">
        <v>45048</v>
      </c>
      <c r="E3245" s="1" t="n">
        <v>46326</v>
      </c>
      <c r="F3245" t="inlineStr">
        <is>
          <t>GÄVLEBORGS LÄN</t>
        </is>
      </c>
      <c r="G3245" t="inlineStr">
        <is>
          <t>OCKELBO</t>
        </is>
      </c>
      <c r="I3245" t="n">
        <v>1.3</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64112-2023</t>
        </is>
      </c>
      <c r="B3246" t="inlineStr">
        <is>
          <t>avverkningsanmälan</t>
        </is>
      </c>
      <c r="C3246" t="inlineStr">
        <is>
          <t>Föryngringsavverkning</t>
        </is>
      </c>
      <c r="D3246" s="1" t="n">
        <v>45279</v>
      </c>
      <c r="E3246" s="1" t="n">
        <v>46326</v>
      </c>
      <c r="F3246" t="inlineStr">
        <is>
          <t>GÄVLEBORGS LÄN</t>
        </is>
      </c>
      <c r="G3246" t="inlineStr">
        <is>
          <t>SANDVIKEN</t>
        </is>
      </c>
      <c r="I3246" t="n">
        <v>2.2</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60335-2022</t>
        </is>
      </c>
      <c r="B3247" t="inlineStr">
        <is>
          <t>avverkningsanmälan</t>
        </is>
      </c>
      <c r="C3247" t="inlineStr">
        <is>
          <t>Föryngringsavverkning</t>
        </is>
      </c>
      <c r="D3247" s="1" t="n">
        <v>44910</v>
      </c>
      <c r="E3247" s="1" t="n">
        <v>46326</v>
      </c>
      <c r="F3247" t="inlineStr">
        <is>
          <t>GÄVLEBORGS LÄN</t>
        </is>
      </c>
      <c r="G3247" t="inlineStr">
        <is>
          <t>BOLLNÄS</t>
        </is>
      </c>
      <c r="I3247" t="n">
        <v>0.6</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34481-2025</t>
        </is>
      </c>
      <c r="B3248" t="inlineStr">
        <is>
          <t>avverkningsanmälan</t>
        </is>
      </c>
      <c r="C3248" t="inlineStr">
        <is>
          <t>Avverkning för annat ändamål</t>
        </is>
      </c>
      <c r="D3248" s="1" t="n">
        <v>45847</v>
      </c>
      <c r="E3248" s="1" t="n">
        <v>46326</v>
      </c>
      <c r="F3248" t="inlineStr">
        <is>
          <t>GÄVLEBORGS LÄN</t>
        </is>
      </c>
      <c r="G3248" t="inlineStr">
        <is>
          <t>BOLLNÄS</t>
        </is>
      </c>
      <c r="I3248" t="n">
        <v>0.3</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5049-2026</t>
        </is>
      </c>
      <c r="B3249" t="inlineStr">
        <is>
          <t>avverkningsanmälan</t>
        </is>
      </c>
      <c r="C3249" t="inlineStr">
        <is>
          <t>Föryngringsavverkning</t>
        </is>
      </c>
      <c r="D3249" s="1" t="n">
        <v>46049</v>
      </c>
      <c r="E3249" s="1" t="n">
        <v>46326</v>
      </c>
      <c r="F3249" t="inlineStr">
        <is>
          <t>GÄVLEBORGS LÄN</t>
        </is>
      </c>
      <c r="G3249" t="inlineStr">
        <is>
          <t>HUDIKSVALL</t>
        </is>
      </c>
      <c r="I3249" t="n">
        <v>0.8</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54908-2025</t>
        </is>
      </c>
      <c r="B3250" t="inlineStr">
        <is>
          <t>avverkningsanmälan</t>
        </is>
      </c>
      <c r="C3250" t="inlineStr">
        <is>
          <t>Föryngringsavverkning</t>
        </is>
      </c>
      <c r="D3250" s="1" t="n">
        <v>45967</v>
      </c>
      <c r="E3250" s="1" t="n">
        <v>46326</v>
      </c>
      <c r="F3250" t="inlineStr">
        <is>
          <t>GÄVLEBORGS LÄN</t>
        </is>
      </c>
      <c r="G3250" t="inlineStr">
        <is>
          <t>BOLLNÄS</t>
        </is>
      </c>
      <c r="I3250" t="n">
        <v>1.4</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4512-2026</t>
        </is>
      </c>
      <c r="B3251" t="inlineStr">
        <is>
          <t>avverkningsanmälan</t>
        </is>
      </c>
      <c r="C3251" t="inlineStr">
        <is>
          <t>Föryngringsavverkning</t>
        </is>
      </c>
      <c r="D3251" s="1" t="n">
        <v>46045</v>
      </c>
      <c r="E3251" s="1" t="n">
        <v>46326</v>
      </c>
      <c r="F3251" t="inlineStr">
        <is>
          <t>GÄVLEBORGS LÄN</t>
        </is>
      </c>
      <c r="G3251" t="inlineStr">
        <is>
          <t>SANDVIKEN</t>
        </is>
      </c>
      <c r="I3251" t="n">
        <v>0.6</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4604-2026</t>
        </is>
      </c>
      <c r="B3252" t="inlineStr">
        <is>
          <t>avverkningsanmälan</t>
        </is>
      </c>
      <c r="C3252" t="inlineStr">
        <is>
          <t>Föryngringsavverkning</t>
        </is>
      </c>
      <c r="D3252" s="1" t="n">
        <v>46048</v>
      </c>
      <c r="E3252" s="1" t="n">
        <v>46326</v>
      </c>
      <c r="F3252" t="inlineStr">
        <is>
          <t>GÄVLEBORGS LÄN</t>
        </is>
      </c>
      <c r="G3252" t="inlineStr">
        <is>
          <t>HUDIKSVALL</t>
        </is>
      </c>
      <c r="I3252" t="n">
        <v>5.1</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45850-2025</t>
        </is>
      </c>
      <c r="B3253" t="inlineStr">
        <is>
          <t>avverkningsanmälan</t>
        </is>
      </c>
      <c r="C3253" t="inlineStr">
        <is>
          <t>Avverkning för annat ändamål</t>
        </is>
      </c>
      <c r="D3253" s="1" t="n">
        <v>45923</v>
      </c>
      <c r="E3253" s="1" t="n">
        <v>46326</v>
      </c>
      <c r="F3253" t="inlineStr">
        <is>
          <t>GÄVLEBORGS LÄN</t>
        </is>
      </c>
      <c r="G3253" t="inlineStr">
        <is>
          <t>GÄVLE</t>
        </is>
      </c>
      <c r="I3253" t="n">
        <v>5</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40530-2025</t>
        </is>
      </c>
      <c r="B3254" t="inlineStr">
        <is>
          <t>avverkningsanmälan</t>
        </is>
      </c>
      <c r="C3254" t="inlineStr">
        <is>
          <t>Föryngringsavverkning</t>
        </is>
      </c>
      <c r="D3254" s="1" t="n">
        <v>45896</v>
      </c>
      <c r="E3254" s="1" t="n">
        <v>46326</v>
      </c>
      <c r="F3254" t="inlineStr">
        <is>
          <t>GÄVLEBORGS LÄN</t>
        </is>
      </c>
      <c r="G3254" t="inlineStr">
        <is>
          <t>GÄVLE</t>
        </is>
      </c>
      <c r="I3254" t="n">
        <v>1.2</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32918-2023</t>
        </is>
      </c>
      <c r="B3255" t="inlineStr">
        <is>
          <t>avverkningsanmälan</t>
        </is>
      </c>
      <c r="C3255" t="inlineStr">
        <is>
          <t>Föryngringsavverkning</t>
        </is>
      </c>
      <c r="D3255" s="1" t="n">
        <v>45125</v>
      </c>
      <c r="E3255" s="1" t="n">
        <v>46326</v>
      </c>
      <c r="F3255" t="inlineStr">
        <is>
          <t>GÄVLEBORGS LÄN</t>
        </is>
      </c>
      <c r="G3255" t="inlineStr">
        <is>
          <t>LJUSDAL</t>
        </is>
      </c>
      <c r="H3255" t="inlineStr">
        <is>
          <t>Holmen skog AB</t>
        </is>
      </c>
      <c r="I3255" t="n">
        <v>4.1</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45723-2025</t>
        </is>
      </c>
      <c r="B3256" t="inlineStr">
        <is>
          <t>avverkningsanmälan</t>
        </is>
      </c>
      <c r="C3256" t="inlineStr">
        <is>
          <t>Föryngringsavverkning</t>
        </is>
      </c>
      <c r="D3256" s="1" t="n">
        <v>45923</v>
      </c>
      <c r="E3256" s="1" t="n">
        <v>46326</v>
      </c>
      <c r="F3256" t="inlineStr">
        <is>
          <t>GÄVLEBORGS LÄN</t>
        </is>
      </c>
      <c r="G3256" t="inlineStr">
        <is>
          <t>HUDIKSVALL</t>
        </is>
      </c>
      <c r="I3256" t="n">
        <v>1.8</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34525-2025</t>
        </is>
      </c>
      <c r="B3257" t="inlineStr">
        <is>
          <t>avverkningsanmälan</t>
        </is>
      </c>
      <c r="C3257" t="inlineStr">
        <is>
          <t>Föryngringsavverkning</t>
        </is>
      </c>
      <c r="D3257" s="1" t="n">
        <v>45847</v>
      </c>
      <c r="E3257" s="1" t="n">
        <v>46326</v>
      </c>
      <c r="F3257" t="inlineStr">
        <is>
          <t>GÄVLEBORGS LÄN</t>
        </is>
      </c>
      <c r="G3257" t="inlineStr">
        <is>
          <t>SÖDERHAMN</t>
        </is>
      </c>
      <c r="I3257" t="n">
        <v>1.5</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4763-2026</t>
        </is>
      </c>
      <c r="B3258" t="inlineStr">
        <is>
          <t>avverkningsanmälan</t>
        </is>
      </c>
      <c r="C3258" t="inlineStr">
        <is>
          <t>Föryngringsavverkning</t>
        </is>
      </c>
      <c r="D3258" s="1" t="n">
        <v>46048</v>
      </c>
      <c r="E3258" s="1" t="n">
        <v>46326</v>
      </c>
      <c r="F3258" t="inlineStr">
        <is>
          <t>GÄVLEBORGS LÄN</t>
        </is>
      </c>
      <c r="G3258" t="inlineStr">
        <is>
          <t>BOLLNÄS</t>
        </is>
      </c>
      <c r="I3258" t="n">
        <v>1.3</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4794-2026</t>
        </is>
      </c>
      <c r="B3259" t="inlineStr">
        <is>
          <t>avverkningsanmälan</t>
        </is>
      </c>
      <c r="C3259" t="inlineStr">
        <is>
          <t>Föryngringsavverkning</t>
        </is>
      </c>
      <c r="D3259" s="1" t="n">
        <v>46048</v>
      </c>
      <c r="E3259" s="1" t="n">
        <v>46326</v>
      </c>
      <c r="F3259" t="inlineStr">
        <is>
          <t>GÄVLEBORGS LÄN</t>
        </is>
      </c>
      <c r="G3259" t="inlineStr">
        <is>
          <t>NORDANSTIG</t>
        </is>
      </c>
      <c r="I3259" t="n">
        <v>15.3</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45738-2025</t>
        </is>
      </c>
      <c r="B3260" t="inlineStr">
        <is>
          <t>avverkningsanmälan</t>
        </is>
      </c>
      <c r="C3260" t="inlineStr">
        <is>
          <t>Föryngringsavverkning</t>
        </is>
      </c>
      <c r="D3260" s="1" t="n">
        <v>45923</v>
      </c>
      <c r="E3260" s="1" t="n">
        <v>46326</v>
      </c>
      <c r="F3260" t="inlineStr">
        <is>
          <t>GÄVLEBORGS LÄN</t>
        </is>
      </c>
      <c r="G3260" t="inlineStr">
        <is>
          <t>HUDIKSVALL</t>
        </is>
      </c>
      <c r="I3260" t="n">
        <v>1.5</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29954-2024</t>
        </is>
      </c>
      <c r="B3261" t="inlineStr">
        <is>
          <t>avverkningsanmälan</t>
        </is>
      </c>
      <c r="C3261" t="inlineStr">
        <is>
          <t>Föryngringsavverkning</t>
        </is>
      </c>
      <c r="D3261" s="1" t="n">
        <v>45488</v>
      </c>
      <c r="E3261" s="1" t="n">
        <v>46326</v>
      </c>
      <c r="F3261" t="inlineStr">
        <is>
          <t>GÄVLEBORGS LÄN</t>
        </is>
      </c>
      <c r="G3261" t="inlineStr">
        <is>
          <t>OCKELBO</t>
        </is>
      </c>
      <c r="I3261" t="n">
        <v>1.2</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9262-2024</t>
        </is>
      </c>
      <c r="B3262" t="inlineStr">
        <is>
          <t>avverkningsanmälan</t>
        </is>
      </c>
      <c r="C3262" t="inlineStr">
        <is>
          <t>Föryngringsavverkning</t>
        </is>
      </c>
      <c r="D3262" s="1" t="n">
        <v>45358</v>
      </c>
      <c r="E3262" s="1" t="n">
        <v>46326</v>
      </c>
      <c r="F3262" t="inlineStr">
        <is>
          <t>GÄVLEBORGS LÄN</t>
        </is>
      </c>
      <c r="G3262" t="inlineStr">
        <is>
          <t>BOLLNÄS</t>
        </is>
      </c>
      <c r="I3262" t="n">
        <v>1.7</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34553-2025</t>
        </is>
      </c>
      <c r="B3263" t="inlineStr">
        <is>
          <t>avverkningsanmälan</t>
        </is>
      </c>
      <c r="C3263" t="inlineStr">
        <is>
          <t>Föryngringsavverkning</t>
        </is>
      </c>
      <c r="D3263" s="1" t="n">
        <v>45847</v>
      </c>
      <c r="E3263" s="1" t="n">
        <v>46326</v>
      </c>
      <c r="F3263" t="inlineStr">
        <is>
          <t>GÄVLEBORGS LÄN</t>
        </is>
      </c>
      <c r="G3263" t="inlineStr">
        <is>
          <t>BOLLNÄS</t>
        </is>
      </c>
      <c r="I3263" t="n">
        <v>1</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34694-2025</t>
        </is>
      </c>
      <c r="B3264" t="inlineStr">
        <is>
          <t>avverkningsanmälan</t>
        </is>
      </c>
      <c r="C3264" t="inlineStr">
        <is>
          <t>Föryngringsavverkning</t>
        </is>
      </c>
      <c r="D3264" s="1" t="n">
        <v>45848</v>
      </c>
      <c r="E3264" s="1" t="n">
        <v>46326</v>
      </c>
      <c r="F3264" t="inlineStr">
        <is>
          <t>GÄVLEBORGS LÄN</t>
        </is>
      </c>
      <c r="G3264" t="inlineStr">
        <is>
          <t>NORDANSTIG</t>
        </is>
      </c>
      <c r="H3264" t="inlineStr">
        <is>
          <t>Holmen skog AB</t>
        </is>
      </c>
      <c r="I3264" t="n">
        <v>6</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46074-2024</t>
        </is>
      </c>
      <c r="B3265" t="inlineStr">
        <is>
          <t>avverkningsanmälan</t>
        </is>
      </c>
      <c r="C3265" t="inlineStr">
        <is>
          <t>Föryngringsavverkning</t>
        </is>
      </c>
      <c r="D3265" s="1" t="n">
        <v>45581</v>
      </c>
      <c r="E3265" s="1" t="n">
        <v>46326</v>
      </c>
      <c r="F3265" t="inlineStr">
        <is>
          <t>GÄVLEBORGS LÄN</t>
        </is>
      </c>
      <c r="G3265" t="inlineStr">
        <is>
          <t>OCKELBO</t>
        </is>
      </c>
      <c r="H3265" t="inlineStr">
        <is>
          <t>Bergvik skog väst AB</t>
        </is>
      </c>
      <c r="I3265" t="n">
        <v>3.6</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18291-2023</t>
        </is>
      </c>
      <c r="B3266" t="inlineStr">
        <is>
          <t>avverkningsanmälan</t>
        </is>
      </c>
      <c r="C3266" t="inlineStr">
        <is>
          <t>Föryngringsavverkning</t>
        </is>
      </c>
      <c r="D3266" s="1" t="n">
        <v>45041</v>
      </c>
      <c r="E3266" s="1" t="n">
        <v>46326</v>
      </c>
      <c r="F3266" t="inlineStr">
        <is>
          <t>GÄVLEBORGS LÄN</t>
        </is>
      </c>
      <c r="G3266" t="inlineStr">
        <is>
          <t>OCKELBO</t>
        </is>
      </c>
      <c r="H3266" t="inlineStr">
        <is>
          <t>Bergvik skog väst AB</t>
        </is>
      </c>
      <c r="I3266" t="n">
        <v>4</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4693-2026</t>
        </is>
      </c>
      <c r="B3267" t="inlineStr">
        <is>
          <t>avverkningsanmälan</t>
        </is>
      </c>
      <c r="C3267" t="inlineStr">
        <is>
          <t>Föryngringsavverkning</t>
        </is>
      </c>
      <c r="D3267" s="1" t="n">
        <v>46048</v>
      </c>
      <c r="E3267" s="1" t="n">
        <v>46326</v>
      </c>
      <c r="F3267" t="inlineStr">
        <is>
          <t>GÄVLEBORGS LÄN</t>
        </is>
      </c>
      <c r="G3267" t="inlineStr">
        <is>
          <t>BOLLNÄS</t>
        </is>
      </c>
      <c r="H3267" t="inlineStr">
        <is>
          <t>Bergvik skog väst AB</t>
        </is>
      </c>
      <c r="I3267" t="n">
        <v>0.4</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45902-2025</t>
        </is>
      </c>
      <c r="B3268" t="inlineStr">
        <is>
          <t>avverkningsanmälan</t>
        </is>
      </c>
      <c r="C3268" t="inlineStr">
        <is>
          <t>Avverkning för att bevara och utveckla /försöksver</t>
        </is>
      </c>
      <c r="D3268" s="1" t="n">
        <v>45923</v>
      </c>
      <c r="E3268" s="1" t="n">
        <v>46326</v>
      </c>
      <c r="F3268" t="inlineStr">
        <is>
          <t>GÄVLEBORGS LÄN</t>
        </is>
      </c>
      <c r="G3268" t="inlineStr">
        <is>
          <t>NORDANSTIG</t>
        </is>
      </c>
      <c r="H3268" t="inlineStr">
        <is>
          <t>SCA</t>
        </is>
      </c>
      <c r="I3268" t="n">
        <v>1.5</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34725-2025</t>
        </is>
      </c>
      <c r="B3269" t="inlineStr">
        <is>
          <t>avverkningsanmälan</t>
        </is>
      </c>
      <c r="C3269" t="inlineStr">
        <is>
          <t>Föryngringsavverkning</t>
        </is>
      </c>
      <c r="D3269" s="1" t="n">
        <v>45848</v>
      </c>
      <c r="E3269" s="1" t="n">
        <v>46326</v>
      </c>
      <c r="F3269" t="inlineStr">
        <is>
          <t>GÄVLEBORGS LÄN</t>
        </is>
      </c>
      <c r="G3269" t="inlineStr">
        <is>
          <t>GÄVLE</t>
        </is>
      </c>
      <c r="I3269" t="n">
        <v>1.5</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34662-2025</t>
        </is>
      </c>
      <c r="B3270" t="inlineStr">
        <is>
          <t>avverkningsanmälan</t>
        </is>
      </c>
      <c r="C3270" t="inlineStr">
        <is>
          <t>Föryngringsavverkning</t>
        </is>
      </c>
      <c r="D3270" s="1" t="n">
        <v>45848</v>
      </c>
      <c r="E3270" s="1" t="n">
        <v>46326</v>
      </c>
      <c r="F3270" t="inlineStr">
        <is>
          <t>GÄVLEBORGS LÄN</t>
        </is>
      </c>
      <c r="G3270" t="inlineStr">
        <is>
          <t>SÖDERHAMN</t>
        </is>
      </c>
      <c r="I3270" t="n">
        <v>0.8</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34625-2025</t>
        </is>
      </c>
      <c r="B3271" t="inlineStr">
        <is>
          <t>avverkningsanmälan</t>
        </is>
      </c>
      <c r="C3271" t="inlineStr">
        <is>
          <t>Föryngringsavverkning</t>
        </is>
      </c>
      <c r="D3271" s="1" t="n">
        <v>45847</v>
      </c>
      <c r="E3271" s="1" t="n">
        <v>46326</v>
      </c>
      <c r="F3271" t="inlineStr">
        <is>
          <t>GÄVLEBORGS LÄN</t>
        </is>
      </c>
      <c r="G3271" t="inlineStr">
        <is>
          <t>HUDIKSVALL</t>
        </is>
      </c>
      <c r="H3271" t="inlineStr">
        <is>
          <t>Holmen skog AB</t>
        </is>
      </c>
      <c r="I3271" t="n">
        <v>15.7</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521-2024</t>
        </is>
      </c>
      <c r="B3272" t="inlineStr">
        <is>
          <t>avverkningsanmälan</t>
        </is>
      </c>
      <c r="C3272" t="inlineStr">
        <is>
          <t>Föryngringsavverkning</t>
        </is>
      </c>
      <c r="D3272" s="1" t="n">
        <v>45299</v>
      </c>
      <c r="E3272" s="1" t="n">
        <v>46326</v>
      </c>
      <c r="F3272" t="inlineStr">
        <is>
          <t>GÄVLEBORGS LÄN</t>
        </is>
      </c>
      <c r="G3272" t="inlineStr">
        <is>
          <t>BOLLNÄS</t>
        </is>
      </c>
      <c r="I3272" t="n">
        <v>4.8</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45327-2025</t>
        </is>
      </c>
      <c r="B3273" t="inlineStr">
        <is>
          <t>avverkningsanmälan</t>
        </is>
      </c>
      <c r="C3273" t="inlineStr">
        <is>
          <t>Avverkning för annat ändamål</t>
        </is>
      </c>
      <c r="D3273" s="1" t="n">
        <v>45922</v>
      </c>
      <c r="E3273" s="1" t="n">
        <v>46326</v>
      </c>
      <c r="F3273" t="inlineStr">
        <is>
          <t>GÄVLEBORGS LÄN</t>
        </is>
      </c>
      <c r="G3273" t="inlineStr">
        <is>
          <t>BOLLNÄS</t>
        </is>
      </c>
      <c r="H3273" t="inlineStr">
        <is>
          <t>Sveaskog</t>
        </is>
      </c>
      <c r="I3273" t="n">
        <v>1.4</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34836-2025</t>
        </is>
      </c>
      <c r="B3274" t="inlineStr">
        <is>
          <t>avverkningsanmälan</t>
        </is>
      </c>
      <c r="C3274" t="inlineStr">
        <is>
          <t>Föryngringsavverkning</t>
        </is>
      </c>
      <c r="D3274" s="1" t="n">
        <v>45849</v>
      </c>
      <c r="E3274" s="1" t="n">
        <v>46326</v>
      </c>
      <c r="F3274" t="inlineStr">
        <is>
          <t>GÄVLEBORGS LÄN</t>
        </is>
      </c>
      <c r="G3274" t="inlineStr">
        <is>
          <t>HUDIKSVALL</t>
        </is>
      </c>
      <c r="I3274" t="n">
        <v>2.4</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34837-2025</t>
        </is>
      </c>
      <c r="B3275" t="inlineStr">
        <is>
          <t>avverkningsanmälan</t>
        </is>
      </c>
      <c r="C3275" t="inlineStr">
        <is>
          <t>Föryngringsavverkning</t>
        </is>
      </c>
      <c r="D3275" s="1" t="n">
        <v>45849</v>
      </c>
      <c r="E3275" s="1" t="n">
        <v>46326</v>
      </c>
      <c r="F3275" t="inlineStr">
        <is>
          <t>GÄVLEBORGS LÄN</t>
        </is>
      </c>
      <c r="G3275" t="inlineStr">
        <is>
          <t>HUDIKSVALL</t>
        </is>
      </c>
      <c r="I3275" t="n">
        <v>0.8</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5056-2026</t>
        </is>
      </c>
      <c r="B3276" t="inlineStr">
        <is>
          <t>avverkningsanmälan</t>
        </is>
      </c>
      <c r="C3276" t="inlineStr">
        <is>
          <t>Föryngringsavverkning</t>
        </is>
      </c>
      <c r="D3276" s="1" t="n">
        <v>46049</v>
      </c>
      <c r="E3276" s="1" t="n">
        <v>46326</v>
      </c>
      <c r="F3276" t="inlineStr">
        <is>
          <t>GÄVLEBORGS LÄN</t>
        </is>
      </c>
      <c r="G3276" t="inlineStr">
        <is>
          <t>BOLLNÄS</t>
        </is>
      </c>
      <c r="I3276" t="n">
        <v>0.9</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5161-2026</t>
        </is>
      </c>
      <c r="B3277" t="inlineStr">
        <is>
          <t>avverkningsanmälan</t>
        </is>
      </c>
      <c r="C3277" t="inlineStr">
        <is>
          <t>Föryngringsavverkning</t>
        </is>
      </c>
      <c r="D3277" s="1" t="n">
        <v>46049</v>
      </c>
      <c r="E3277" s="1" t="n">
        <v>46326</v>
      </c>
      <c r="F3277" t="inlineStr">
        <is>
          <t>GÄVLEBORGS LÄN</t>
        </is>
      </c>
      <c r="G3277" t="inlineStr">
        <is>
          <t>BOLLNÄS</t>
        </is>
      </c>
      <c r="I3277" t="n">
        <v>0.8</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5231-2026</t>
        </is>
      </c>
      <c r="B3278" t="inlineStr">
        <is>
          <t>avverkningsanmälan</t>
        </is>
      </c>
      <c r="C3278" t="inlineStr">
        <is>
          <t>Föryngringsavverkning</t>
        </is>
      </c>
      <c r="D3278" s="1" t="n">
        <v>46049</v>
      </c>
      <c r="E3278" s="1" t="n">
        <v>46326</v>
      </c>
      <c r="F3278" t="inlineStr">
        <is>
          <t>GÄVLEBORGS LÄN</t>
        </is>
      </c>
      <c r="G3278" t="inlineStr">
        <is>
          <t>OCKELBO</t>
        </is>
      </c>
      <c r="I3278" t="n">
        <v>3</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45284-2025</t>
        </is>
      </c>
      <c r="B3279" t="inlineStr">
        <is>
          <t>avverkningsanmälan</t>
        </is>
      </c>
      <c r="C3279" t="inlineStr">
        <is>
          <t>Föryngringsavverkning</t>
        </is>
      </c>
      <c r="D3279" s="1" t="n">
        <v>45919</v>
      </c>
      <c r="E3279" s="1" t="n">
        <v>46326</v>
      </c>
      <c r="F3279" t="inlineStr">
        <is>
          <t>GÄVLEBORGS LÄN</t>
        </is>
      </c>
      <c r="G3279" t="inlineStr">
        <is>
          <t>HUDIKSVALL</t>
        </is>
      </c>
      <c r="I3279" t="n">
        <v>2.4</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4595-2026</t>
        </is>
      </c>
      <c r="B3280" t="inlineStr">
        <is>
          <t>avverkningsanmälan</t>
        </is>
      </c>
      <c r="C3280" t="inlineStr">
        <is>
          <t>Föryngringsavverkning</t>
        </is>
      </c>
      <c r="D3280" s="1" t="n">
        <v>46048</v>
      </c>
      <c r="E3280" s="1" t="n">
        <v>46326</v>
      </c>
      <c r="F3280" t="inlineStr">
        <is>
          <t>GÄVLEBORGS LÄN</t>
        </is>
      </c>
      <c r="G3280" t="inlineStr">
        <is>
          <t>LJUSDAL</t>
        </is>
      </c>
      <c r="H3280" t="inlineStr">
        <is>
          <t>SCA</t>
        </is>
      </c>
      <c r="I3280" t="n">
        <v>3.3</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1659-2025</t>
        </is>
      </c>
      <c r="B3281" t="inlineStr">
        <is>
          <t>avverkningsanmälan</t>
        </is>
      </c>
      <c r="C3281" t="inlineStr">
        <is>
          <t>Föryngringsavverkning</t>
        </is>
      </c>
      <c r="D3281" s="1" t="n">
        <v>45670</v>
      </c>
      <c r="E3281" s="1" t="n">
        <v>46326</v>
      </c>
      <c r="F3281" t="inlineStr">
        <is>
          <t>GÄVLEBORGS LÄN</t>
        </is>
      </c>
      <c r="G3281" t="inlineStr">
        <is>
          <t>SÖDERHAMN</t>
        </is>
      </c>
      <c r="I3281" t="n">
        <v>1</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62646-2023</t>
        </is>
      </c>
      <c r="B3282" t="inlineStr">
        <is>
          <t>avverkningsanmälan</t>
        </is>
      </c>
      <c r="C3282" t="inlineStr">
        <is>
          <t>Föryngringsavverkning</t>
        </is>
      </c>
      <c r="D3282" s="1" t="n">
        <v>45271</v>
      </c>
      <c r="E3282" s="1" t="n">
        <v>46326</v>
      </c>
      <c r="F3282" t="inlineStr">
        <is>
          <t>GÄVLEBORGS LÄN</t>
        </is>
      </c>
      <c r="G3282" t="inlineStr">
        <is>
          <t>NORDANSTIG</t>
        </is>
      </c>
      <c r="I3282" t="n">
        <v>4.1</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62674-2023</t>
        </is>
      </c>
      <c r="B3283" t="inlineStr">
        <is>
          <t>avverkningsanmälan</t>
        </is>
      </c>
      <c r="C3283" t="inlineStr">
        <is>
          <t>Föryngringsavverkning</t>
        </is>
      </c>
      <c r="D3283" s="1" t="n">
        <v>45271</v>
      </c>
      <c r="E3283" s="1" t="n">
        <v>46326</v>
      </c>
      <c r="F3283" t="inlineStr">
        <is>
          <t>GÄVLEBORGS LÄN</t>
        </is>
      </c>
      <c r="G3283" t="inlineStr">
        <is>
          <t>HUDIKSVALL</t>
        </is>
      </c>
      <c r="I3283" t="n">
        <v>3.5</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62685-2023</t>
        </is>
      </c>
      <c r="B3284" t="inlineStr">
        <is>
          <t>avverkningsanmälan</t>
        </is>
      </c>
      <c r="C3284" t="inlineStr">
        <is>
          <t>Föryngringsavverkning</t>
        </is>
      </c>
      <c r="D3284" s="1" t="n">
        <v>45271</v>
      </c>
      <c r="E3284" s="1" t="n">
        <v>46326</v>
      </c>
      <c r="F3284" t="inlineStr">
        <is>
          <t>GÄVLEBORGS LÄN</t>
        </is>
      </c>
      <c r="G3284" t="inlineStr">
        <is>
          <t>BOLLNÄS</t>
        </is>
      </c>
      <c r="I3284" t="n">
        <v>1.1</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34652-2025</t>
        </is>
      </c>
      <c r="B3285" t="inlineStr">
        <is>
          <t>avverkningsanmälan</t>
        </is>
      </c>
      <c r="C3285" t="inlineStr">
        <is>
          <t>Föryngringsavverkning</t>
        </is>
      </c>
      <c r="D3285" s="1" t="n">
        <v>45848</v>
      </c>
      <c r="E3285" s="1" t="n">
        <v>46326</v>
      </c>
      <c r="F3285" t="inlineStr">
        <is>
          <t>GÄVLEBORGS LÄN</t>
        </is>
      </c>
      <c r="G3285" t="inlineStr">
        <is>
          <t>LJUSDAL</t>
        </is>
      </c>
      <c r="I3285" t="n">
        <v>1</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45832-2025</t>
        </is>
      </c>
      <c r="B3286" t="inlineStr">
        <is>
          <t>avverkningsanmälan</t>
        </is>
      </c>
      <c r="C3286" t="inlineStr">
        <is>
          <t>Föryngringsavverkning</t>
        </is>
      </c>
      <c r="D3286" s="1" t="n">
        <v>45923</v>
      </c>
      <c r="E3286" s="1" t="n">
        <v>46326</v>
      </c>
      <c r="F3286" t="inlineStr">
        <is>
          <t>GÄVLEBORGS LÄN</t>
        </is>
      </c>
      <c r="G3286" t="inlineStr">
        <is>
          <t>BOLLNÄS</t>
        </is>
      </c>
      <c r="I3286" t="n">
        <v>2.5</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45851-2025</t>
        </is>
      </c>
      <c r="B3287" t="inlineStr">
        <is>
          <t>avverkningsanmälan</t>
        </is>
      </c>
      <c r="C3287" t="inlineStr">
        <is>
          <t>Föryngringsavverkning</t>
        </is>
      </c>
      <c r="D3287" s="1" t="n">
        <v>45923</v>
      </c>
      <c r="E3287" s="1" t="n">
        <v>46326</v>
      </c>
      <c r="F3287" t="inlineStr">
        <is>
          <t>GÄVLEBORGS LÄN</t>
        </is>
      </c>
      <c r="G3287" t="inlineStr">
        <is>
          <t>HUDIKSVALL</t>
        </is>
      </c>
      <c r="I3287" t="n">
        <v>0.9</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39869-2025</t>
        </is>
      </c>
      <c r="B3288" t="inlineStr">
        <is>
          <t>avverkningsanmälan</t>
        </is>
      </c>
      <c r="C3288" t="inlineStr">
        <is>
          <t>Föryngringsavverkning</t>
        </is>
      </c>
      <c r="D3288" s="1" t="n">
        <v>45891</v>
      </c>
      <c r="E3288" s="1" t="n">
        <v>46326</v>
      </c>
      <c r="F3288" t="inlineStr">
        <is>
          <t>GÄVLEBORGS LÄN</t>
        </is>
      </c>
      <c r="G3288" t="inlineStr">
        <is>
          <t>SÖDERHAMN</t>
        </is>
      </c>
      <c r="I3288" t="n">
        <v>1.3</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34688-2025</t>
        </is>
      </c>
      <c r="B3289" t="inlineStr">
        <is>
          <t>avverkningsanmälan</t>
        </is>
      </c>
      <c r="C3289" t="inlineStr">
        <is>
          <t>Föryngringsavverkning</t>
        </is>
      </c>
      <c r="D3289" s="1" t="n">
        <v>45848</v>
      </c>
      <c r="E3289" s="1" t="n">
        <v>46326</v>
      </c>
      <c r="F3289" t="inlineStr">
        <is>
          <t>GÄVLEBORGS LÄN</t>
        </is>
      </c>
      <c r="G3289" t="inlineStr">
        <is>
          <t>BOLLNÄS</t>
        </is>
      </c>
      <c r="H3289" t="inlineStr">
        <is>
          <t>Holmen skog AB</t>
        </is>
      </c>
      <c r="I3289" t="n">
        <v>32.6</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45889-2025</t>
        </is>
      </c>
      <c r="B3290" t="inlineStr">
        <is>
          <t>avverkningsanmälan</t>
        </is>
      </c>
      <c r="C3290" t="inlineStr">
        <is>
          <t>Föryngringsavverkning</t>
        </is>
      </c>
      <c r="D3290" s="1" t="n">
        <v>45923</v>
      </c>
      <c r="E3290" s="1" t="n">
        <v>46326</v>
      </c>
      <c r="F3290" t="inlineStr">
        <is>
          <t>GÄVLEBORGS LÄN</t>
        </is>
      </c>
      <c r="G3290" t="inlineStr">
        <is>
          <t>BOLLNÄS</t>
        </is>
      </c>
      <c r="H3290" t="inlineStr">
        <is>
          <t>Bergvik skog väst AB</t>
        </is>
      </c>
      <c r="I3290" t="n">
        <v>2.1</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15015-2023</t>
        </is>
      </c>
      <c r="B3291" t="inlineStr">
        <is>
          <t>avverkningsanmälan</t>
        </is>
      </c>
      <c r="C3291" t="inlineStr">
        <is>
          <t>Avverkning för att bevara och utveckla /försöksver</t>
        </is>
      </c>
      <c r="D3291" s="1" t="n">
        <v>45015</v>
      </c>
      <c r="E3291" s="1" t="n">
        <v>46326</v>
      </c>
      <c r="F3291" t="inlineStr">
        <is>
          <t>GÄVLEBORGS LÄN</t>
        </is>
      </c>
      <c r="G3291" t="inlineStr">
        <is>
          <t>LJUSDAL</t>
        </is>
      </c>
      <c r="I3291" t="n">
        <v>1.5</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34728-2025</t>
        </is>
      </c>
      <c r="B3292" t="inlineStr">
        <is>
          <t>avverkningsanmälan</t>
        </is>
      </c>
      <c r="C3292" t="inlineStr">
        <is>
          <t>Föryngringsavverkning</t>
        </is>
      </c>
      <c r="D3292" s="1" t="n">
        <v>45848</v>
      </c>
      <c r="E3292" s="1" t="n">
        <v>46326</v>
      </c>
      <c r="F3292" t="inlineStr">
        <is>
          <t>GÄVLEBORGS LÄN</t>
        </is>
      </c>
      <c r="G3292" t="inlineStr">
        <is>
          <t>NORDANSTIG</t>
        </is>
      </c>
      <c r="H3292" t="inlineStr">
        <is>
          <t>Holmen skog AB</t>
        </is>
      </c>
      <c r="I3292" t="n">
        <v>1</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34658-2025</t>
        </is>
      </c>
      <c r="B3293" t="inlineStr">
        <is>
          <t>avverkningsanmälan</t>
        </is>
      </c>
      <c r="C3293" t="inlineStr">
        <is>
          <t>Föryngringsavverkning</t>
        </is>
      </c>
      <c r="D3293" s="1" t="n">
        <v>45848</v>
      </c>
      <c r="E3293" s="1" t="n">
        <v>46326</v>
      </c>
      <c r="F3293" t="inlineStr">
        <is>
          <t>GÄVLEBORGS LÄN</t>
        </is>
      </c>
      <c r="G3293" t="inlineStr">
        <is>
          <t>LJUSDAL</t>
        </is>
      </c>
      <c r="I3293" t="n">
        <v>0.9</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45713-2025</t>
        </is>
      </c>
      <c r="B3294" t="inlineStr">
        <is>
          <t>avverkningsanmälan</t>
        </is>
      </c>
      <c r="C3294" t="inlineStr">
        <is>
          <t>Föryngringsavverkning</t>
        </is>
      </c>
      <c r="D3294" s="1" t="n">
        <v>45923</v>
      </c>
      <c r="E3294" s="1" t="n">
        <v>46326</v>
      </c>
      <c r="F3294" t="inlineStr">
        <is>
          <t>GÄVLEBORGS LÄN</t>
        </is>
      </c>
      <c r="G3294" t="inlineStr">
        <is>
          <t>BOLLNÄS</t>
        </is>
      </c>
      <c r="H3294" t="inlineStr">
        <is>
          <t>Kyrkan</t>
        </is>
      </c>
      <c r="I3294" t="n">
        <v>3.4</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34669-2025</t>
        </is>
      </c>
      <c r="B3295" t="inlineStr">
        <is>
          <t>avverkningsanmälan</t>
        </is>
      </c>
      <c r="C3295" t="inlineStr">
        <is>
          <t>Föryngringsavverkning</t>
        </is>
      </c>
      <c r="D3295" s="1" t="n">
        <v>45848</v>
      </c>
      <c r="E3295" s="1" t="n">
        <v>46326</v>
      </c>
      <c r="F3295" t="inlineStr">
        <is>
          <t>GÄVLEBORGS LÄN</t>
        </is>
      </c>
      <c r="G3295" t="inlineStr">
        <is>
          <t>SÖDERHAMN</t>
        </is>
      </c>
      <c r="I3295" t="n">
        <v>2.4</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34722-2025</t>
        </is>
      </c>
      <c r="B3296" t="inlineStr">
        <is>
          <t>avverkningsanmälan</t>
        </is>
      </c>
      <c r="C3296" t="inlineStr">
        <is>
          <t>Föryngringsavverkning</t>
        </is>
      </c>
      <c r="D3296" s="1" t="n">
        <v>45848</v>
      </c>
      <c r="E3296" s="1" t="n">
        <v>46326</v>
      </c>
      <c r="F3296" t="inlineStr">
        <is>
          <t>GÄVLEBORGS LÄN</t>
        </is>
      </c>
      <c r="G3296" t="inlineStr">
        <is>
          <t>GÄVLE</t>
        </is>
      </c>
      <c r="I3296" t="n">
        <v>2.4</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45737-2025</t>
        </is>
      </c>
      <c r="B3297" t="inlineStr">
        <is>
          <t>avverkningsanmälan</t>
        </is>
      </c>
      <c r="C3297" t="inlineStr">
        <is>
          <t>Föryngringsavverkning</t>
        </is>
      </c>
      <c r="D3297" s="1" t="n">
        <v>45923</v>
      </c>
      <c r="E3297" s="1" t="n">
        <v>46326</v>
      </c>
      <c r="F3297" t="inlineStr">
        <is>
          <t>GÄVLEBORGS LÄN</t>
        </is>
      </c>
      <c r="G3297" t="inlineStr">
        <is>
          <t>BOLLNÄS</t>
        </is>
      </c>
      <c r="H3297" t="inlineStr">
        <is>
          <t>Kyrkan</t>
        </is>
      </c>
      <c r="I3297" t="n">
        <v>1.3</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60192-2023</t>
        </is>
      </c>
      <c r="B3298" t="inlineStr">
        <is>
          <t>avverkningsanmälan</t>
        </is>
      </c>
      <c r="C3298" t="inlineStr">
        <is>
          <t>Föryngringsavverkning</t>
        </is>
      </c>
      <c r="D3298" s="1" t="n">
        <v>45258</v>
      </c>
      <c r="E3298" s="1" t="n">
        <v>46326</v>
      </c>
      <c r="F3298" t="inlineStr">
        <is>
          <t>GÄVLEBORGS LÄN</t>
        </is>
      </c>
      <c r="G3298" t="inlineStr">
        <is>
          <t>HUDIKSVALL</t>
        </is>
      </c>
      <c r="I3298" t="n">
        <v>1.6</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45830-2025</t>
        </is>
      </c>
      <c r="B3299" t="inlineStr">
        <is>
          <t>avverkningsanmälan</t>
        </is>
      </c>
      <c r="C3299" t="inlineStr">
        <is>
          <t>Föryngringsavverkning</t>
        </is>
      </c>
      <c r="D3299" s="1" t="n">
        <v>45923</v>
      </c>
      <c r="E3299" s="1" t="n">
        <v>46326</v>
      </c>
      <c r="F3299" t="inlineStr">
        <is>
          <t>GÄVLEBORGS LÄN</t>
        </is>
      </c>
      <c r="G3299" t="inlineStr">
        <is>
          <t>BOLLNÄS</t>
        </is>
      </c>
      <c r="I3299" t="n">
        <v>1.4</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45838-2025</t>
        </is>
      </c>
      <c r="B3300" t="inlineStr">
        <is>
          <t>avverkningsanmälan</t>
        </is>
      </c>
      <c r="C3300" t="inlineStr">
        <is>
          <t>Föryngringsavverkning</t>
        </is>
      </c>
      <c r="D3300" s="1" t="n">
        <v>45923</v>
      </c>
      <c r="E3300" s="1" t="n">
        <v>46326</v>
      </c>
      <c r="F3300" t="inlineStr">
        <is>
          <t>GÄVLEBORGS LÄN</t>
        </is>
      </c>
      <c r="G3300" t="inlineStr">
        <is>
          <t>BOLLNÄS</t>
        </is>
      </c>
      <c r="I3300" t="n">
        <v>1</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4851-2026</t>
        </is>
      </c>
      <c r="B3301" t="inlineStr">
        <is>
          <t>avverkningsanmälan</t>
        </is>
      </c>
      <c r="C3301" t="inlineStr">
        <is>
          <t>Föryngringsavverkning</t>
        </is>
      </c>
      <c r="D3301" s="1" t="n">
        <v>46048</v>
      </c>
      <c r="E3301" s="1" t="n">
        <v>46326</v>
      </c>
      <c r="F3301" t="inlineStr">
        <is>
          <t>GÄVLEBORGS LÄN</t>
        </is>
      </c>
      <c r="G3301" t="inlineStr">
        <is>
          <t>BOLLNÄS</t>
        </is>
      </c>
      <c r="H3301" t="inlineStr">
        <is>
          <t>Kyrkan</t>
        </is>
      </c>
      <c r="I3301" t="n">
        <v>1.4</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45280-2025</t>
        </is>
      </c>
      <c r="B3302" t="inlineStr">
        <is>
          <t>avverkningsanmälan</t>
        </is>
      </c>
      <c r="C3302" t="inlineStr">
        <is>
          <t>Föryngringsavverkning</t>
        </is>
      </c>
      <c r="D3302" s="1" t="n">
        <v>45919</v>
      </c>
      <c r="E3302" s="1" t="n">
        <v>46326</v>
      </c>
      <c r="F3302" t="inlineStr">
        <is>
          <t>GÄVLEBORGS LÄN</t>
        </is>
      </c>
      <c r="G3302" t="inlineStr">
        <is>
          <t>BOLLNÄS</t>
        </is>
      </c>
      <c r="I3302" t="n">
        <v>3.5</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45901-2025</t>
        </is>
      </c>
      <c r="B3303" t="inlineStr">
        <is>
          <t>avverkningsanmälan</t>
        </is>
      </c>
      <c r="C3303" t="inlineStr">
        <is>
          <t>Föryngringsavverkning</t>
        </is>
      </c>
      <c r="D3303" s="1" t="n">
        <v>45923</v>
      </c>
      <c r="E3303" s="1" t="n">
        <v>46326</v>
      </c>
      <c r="F3303" t="inlineStr">
        <is>
          <t>GÄVLEBORGS LÄN</t>
        </is>
      </c>
      <c r="G3303" t="inlineStr">
        <is>
          <t>BOLLNÄS</t>
        </is>
      </c>
      <c r="H3303" t="inlineStr">
        <is>
          <t>Bergvik skog väst AB</t>
        </is>
      </c>
      <c r="I3303" t="n">
        <v>1.4</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34788-2025</t>
        </is>
      </c>
      <c r="B3304" t="inlineStr">
        <is>
          <t>avverkningsanmälan</t>
        </is>
      </c>
      <c r="C3304" t="inlineStr">
        <is>
          <t>Föryngringsavverkning</t>
        </is>
      </c>
      <c r="D3304" s="1" t="n">
        <v>45848</v>
      </c>
      <c r="E3304" s="1" t="n">
        <v>46326</v>
      </c>
      <c r="F3304" t="inlineStr">
        <is>
          <t>GÄVLEBORGS LÄN</t>
        </is>
      </c>
      <c r="G3304" t="inlineStr">
        <is>
          <t>NORDANSTIG</t>
        </is>
      </c>
      <c r="I3304" t="n">
        <v>1</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46958-2024</t>
        </is>
      </c>
      <c r="B3305" t="inlineStr">
        <is>
          <t>avverkningsanmälan</t>
        </is>
      </c>
      <c r="C3305" t="inlineStr">
        <is>
          <t>Föryngringsavverkning</t>
        </is>
      </c>
      <c r="D3305" s="1" t="n">
        <v>45586</v>
      </c>
      <c r="E3305" s="1" t="n">
        <v>46326</v>
      </c>
      <c r="F3305" t="inlineStr">
        <is>
          <t>GÄVLEBORGS LÄN</t>
        </is>
      </c>
      <c r="G3305" t="inlineStr">
        <is>
          <t>BOLLNÄS</t>
        </is>
      </c>
      <c r="H3305" t="inlineStr">
        <is>
          <t>Bergvik skog väst AB</t>
        </is>
      </c>
      <c r="I3305" t="n">
        <v>1</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55046-2022</t>
        </is>
      </c>
      <c r="B3306" t="inlineStr">
        <is>
          <t>avverkningsanmälan</t>
        </is>
      </c>
      <c r="C3306" t="inlineStr">
        <is>
          <t>Föryngringsavverkning</t>
        </is>
      </c>
      <c r="D3306" s="1" t="n">
        <v>44886</v>
      </c>
      <c r="E3306" s="1" t="n">
        <v>46326</v>
      </c>
      <c r="F3306" t="inlineStr">
        <is>
          <t>GÄVLEBORGS LÄN</t>
        </is>
      </c>
      <c r="G3306" t="inlineStr">
        <is>
          <t>LJUSDAL</t>
        </is>
      </c>
      <c r="H3306" t="inlineStr">
        <is>
          <t>Bergvik skog väst AB</t>
        </is>
      </c>
      <c r="I3306" t="n">
        <v>43.8</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989-2023</t>
        </is>
      </c>
      <c r="B3307" t="inlineStr">
        <is>
          <t>avverkningsanmälan</t>
        </is>
      </c>
      <c r="C3307" t="inlineStr">
        <is>
          <t>Föryngringsavverkning</t>
        </is>
      </c>
      <c r="D3307" s="1" t="n">
        <v>44935</v>
      </c>
      <c r="E3307" s="1" t="n">
        <v>46326</v>
      </c>
      <c r="F3307" t="inlineStr">
        <is>
          <t>GÄVLEBORGS LÄN</t>
        </is>
      </c>
      <c r="G3307" t="inlineStr">
        <is>
          <t>GÄVLE</t>
        </is>
      </c>
      <c r="I3307" t="n">
        <v>3.7</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5187-2026</t>
        </is>
      </c>
      <c r="B3308" t="inlineStr">
        <is>
          <t>avverkningsanmälan</t>
        </is>
      </c>
      <c r="C3308" t="inlineStr">
        <is>
          <t>Föryngringsavverkning</t>
        </is>
      </c>
      <c r="D3308" s="1" t="n">
        <v>46049</v>
      </c>
      <c r="E3308" s="1" t="n">
        <v>46326</v>
      </c>
      <c r="F3308" t="inlineStr">
        <is>
          <t>GÄVLEBORGS LÄN</t>
        </is>
      </c>
      <c r="G3308" t="inlineStr">
        <is>
          <t>OVANÅKER</t>
        </is>
      </c>
      <c r="I3308" t="n">
        <v>1.7</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19682-2024</t>
        </is>
      </c>
      <c r="B3309" t="inlineStr">
        <is>
          <t>avverkningsanmälan</t>
        </is>
      </c>
      <c r="C3309" t="inlineStr">
        <is>
          <t>Föryngringsavverkning</t>
        </is>
      </c>
      <c r="D3309" s="1" t="n">
        <v>45432</v>
      </c>
      <c r="E3309" s="1" t="n">
        <v>46326</v>
      </c>
      <c r="F3309" t="inlineStr">
        <is>
          <t>GÄVLEBORGS LÄN</t>
        </is>
      </c>
      <c r="G3309" t="inlineStr">
        <is>
          <t>HUDIKSVALL</t>
        </is>
      </c>
      <c r="I3309" t="n">
        <v>3.3</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46142-2025</t>
        </is>
      </c>
      <c r="B3310" t="inlineStr">
        <is>
          <t>avverkningsanmälan</t>
        </is>
      </c>
      <c r="C3310" t="inlineStr">
        <is>
          <t>Föryngringsavverkning</t>
        </is>
      </c>
      <c r="D3310" s="1" t="n">
        <v>45924</v>
      </c>
      <c r="E3310" s="1" t="n">
        <v>46326</v>
      </c>
      <c r="F3310" t="inlineStr">
        <is>
          <t>GÄVLEBORGS LÄN</t>
        </is>
      </c>
      <c r="G3310" t="inlineStr">
        <is>
          <t>HUDIKSVALL</t>
        </is>
      </c>
      <c r="I3310" t="n">
        <v>1.4</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46185-2025</t>
        </is>
      </c>
      <c r="B3311" t="inlineStr">
        <is>
          <t>avverkningsanmälan</t>
        </is>
      </c>
      <c r="C3311" t="inlineStr">
        <is>
          <t>Föryngringsavverkning</t>
        </is>
      </c>
      <c r="D3311" s="1" t="n">
        <v>45924</v>
      </c>
      <c r="E3311" s="1" t="n">
        <v>46326</v>
      </c>
      <c r="F3311" t="inlineStr">
        <is>
          <t>GÄVLEBORGS LÄN</t>
        </is>
      </c>
      <c r="G3311" t="inlineStr">
        <is>
          <t>BOLLNÄS</t>
        </is>
      </c>
      <c r="I3311" t="n">
        <v>7.2</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37253-2024</t>
        </is>
      </c>
      <c r="B3312" t="inlineStr">
        <is>
          <t>avverkningsanmälan</t>
        </is>
      </c>
      <c r="C3312" t="inlineStr">
        <is>
          <t>Föryngringsavverkning</t>
        </is>
      </c>
      <c r="D3312" s="1" t="n">
        <v>45540</v>
      </c>
      <c r="E3312" s="1" t="n">
        <v>46326</v>
      </c>
      <c r="F3312" t="inlineStr">
        <is>
          <t>GÄVLEBORGS LÄN</t>
        </is>
      </c>
      <c r="G3312" t="inlineStr">
        <is>
          <t>GÄVLE</t>
        </is>
      </c>
      <c r="I3312" t="n">
        <v>1.9</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46257-2025</t>
        </is>
      </c>
      <c r="B3313" t="inlineStr">
        <is>
          <t>avverkningsanmälan</t>
        </is>
      </c>
      <c r="C3313" t="inlineStr">
        <is>
          <t>Föryngringsavverkning</t>
        </is>
      </c>
      <c r="D3313" s="1" t="n">
        <v>45925</v>
      </c>
      <c r="E3313" s="1" t="n">
        <v>46326</v>
      </c>
      <c r="F3313" t="inlineStr">
        <is>
          <t>GÄVLEBORGS LÄN</t>
        </is>
      </c>
      <c r="G3313" t="inlineStr">
        <is>
          <t>HUDIKSVALL</t>
        </is>
      </c>
      <c r="I3313" t="n">
        <v>0.5</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35017-2025</t>
        </is>
      </c>
      <c r="B3314" t="inlineStr">
        <is>
          <t>avverkningsanmälan</t>
        </is>
      </c>
      <c r="C3314" t="inlineStr">
        <is>
          <t>Avverkning för att bevara och utveckla /försöksver</t>
        </is>
      </c>
      <c r="D3314" s="1" t="n">
        <v>45851</v>
      </c>
      <c r="E3314" s="1" t="n">
        <v>46326</v>
      </c>
      <c r="F3314" t="inlineStr">
        <is>
          <t>GÄVLEBORGS LÄN</t>
        </is>
      </c>
      <c r="G3314" t="inlineStr">
        <is>
          <t>OCKELBO</t>
        </is>
      </c>
      <c r="H3314" t="inlineStr">
        <is>
          <t>Bergvik skog väst AB</t>
        </is>
      </c>
      <c r="I3314" t="n">
        <v>27.8</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45939-2025</t>
        </is>
      </c>
      <c r="B3315" t="inlineStr">
        <is>
          <t>avverkningsanmälan</t>
        </is>
      </c>
      <c r="C3315" t="inlineStr">
        <is>
          <t>Föryngringsavverkning</t>
        </is>
      </c>
      <c r="D3315" s="1" t="n">
        <v>45924</v>
      </c>
      <c r="E3315" s="1" t="n">
        <v>46326</v>
      </c>
      <c r="F3315" t="inlineStr">
        <is>
          <t>GÄVLEBORGS LÄN</t>
        </is>
      </c>
      <c r="G3315" t="inlineStr">
        <is>
          <t>OVANÅKER</t>
        </is>
      </c>
      <c r="I3315" t="n">
        <v>2.7</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35075-2025</t>
        </is>
      </c>
      <c r="B3316" t="inlineStr">
        <is>
          <t>avverkningsanmälan</t>
        </is>
      </c>
      <c r="C3316" t="inlineStr">
        <is>
          <t>Föryngringsavverkning</t>
        </is>
      </c>
      <c r="D3316" s="1" t="n">
        <v>45852</v>
      </c>
      <c r="E3316" s="1" t="n">
        <v>46326</v>
      </c>
      <c r="F3316" t="inlineStr">
        <is>
          <t>GÄVLEBORGS LÄN</t>
        </is>
      </c>
      <c r="G3316" t="inlineStr">
        <is>
          <t>OVANÅKER</t>
        </is>
      </c>
      <c r="I3316" t="n">
        <v>0.5</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35100-2025</t>
        </is>
      </c>
      <c r="B3317" t="inlineStr">
        <is>
          <t>avverkningsanmälan</t>
        </is>
      </c>
      <c r="C3317" t="inlineStr">
        <is>
          <t>Föryngringsavverkning</t>
        </is>
      </c>
      <c r="D3317" s="1" t="n">
        <v>45852</v>
      </c>
      <c r="E3317" s="1" t="n">
        <v>46326</v>
      </c>
      <c r="F3317" t="inlineStr">
        <is>
          <t>GÄVLEBORGS LÄN</t>
        </is>
      </c>
      <c r="G3317" t="inlineStr">
        <is>
          <t>HUDIKSVALL</t>
        </is>
      </c>
      <c r="H3317" t="inlineStr">
        <is>
          <t>Holmen skog AB</t>
        </is>
      </c>
      <c r="I3317" t="n">
        <v>2.8</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46188-2025</t>
        </is>
      </c>
      <c r="B3318" t="inlineStr">
        <is>
          <t>avverkningsanmälan</t>
        </is>
      </c>
      <c r="C3318" t="inlineStr">
        <is>
          <t>Föryngringsavverkning</t>
        </is>
      </c>
      <c r="D3318" s="1" t="n">
        <v>45924</v>
      </c>
      <c r="E3318" s="1" t="n">
        <v>46326</v>
      </c>
      <c r="F3318" t="inlineStr">
        <is>
          <t>GÄVLEBORGS LÄN</t>
        </is>
      </c>
      <c r="G3318" t="inlineStr">
        <is>
          <t>OVANÅKER</t>
        </is>
      </c>
      <c r="I3318" t="n">
        <v>0.8</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35357-2025</t>
        </is>
      </c>
      <c r="B3319" t="inlineStr">
        <is>
          <t>avverkningsanmälan</t>
        </is>
      </c>
      <c r="C3319" t="inlineStr">
        <is>
          <t>Avverkning för annat ändamål</t>
        </is>
      </c>
      <c r="D3319" s="1" t="n">
        <v>45853</v>
      </c>
      <c r="E3319" s="1" t="n">
        <v>46326</v>
      </c>
      <c r="F3319" t="inlineStr">
        <is>
          <t>GÄVLEBORGS LÄN</t>
        </is>
      </c>
      <c r="G3319" t="inlineStr">
        <is>
          <t>LJUSDAL</t>
        </is>
      </c>
      <c r="H3319" t="inlineStr">
        <is>
          <t>Sveaskog</t>
        </is>
      </c>
      <c r="I3319" t="n">
        <v>0.4</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46076-2025</t>
        </is>
      </c>
      <c r="B3320" t="inlineStr">
        <is>
          <t>avverkningsanmälan</t>
        </is>
      </c>
      <c r="C3320" t="inlineStr">
        <is>
          <t>Föryngringsavverkning</t>
        </is>
      </c>
      <c r="D3320" s="1" t="n">
        <v>45924</v>
      </c>
      <c r="E3320" s="1" t="n">
        <v>46326</v>
      </c>
      <c r="F3320" t="inlineStr">
        <is>
          <t>GÄVLEBORGS LÄN</t>
        </is>
      </c>
      <c r="G3320" t="inlineStr">
        <is>
          <t>HUDIKSVALL</t>
        </is>
      </c>
      <c r="I3320" t="n">
        <v>2.4</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35128-2025</t>
        </is>
      </c>
      <c r="B3321" t="inlineStr">
        <is>
          <t>avverkningsanmälan</t>
        </is>
      </c>
      <c r="C3321" t="inlineStr">
        <is>
          <t>Föryngringsavverkning</t>
        </is>
      </c>
      <c r="D3321" s="1" t="n">
        <v>45852</v>
      </c>
      <c r="E3321" s="1" t="n">
        <v>46326</v>
      </c>
      <c r="F3321" t="inlineStr">
        <is>
          <t>GÄVLEBORGS LÄN</t>
        </is>
      </c>
      <c r="G3321" t="inlineStr">
        <is>
          <t>HUDIKSVALL</t>
        </is>
      </c>
      <c r="H3321" t="inlineStr">
        <is>
          <t>Holmen skog AB</t>
        </is>
      </c>
      <c r="I3321" t="n">
        <v>4.8</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51133-2023</t>
        </is>
      </c>
      <c r="B3322" t="inlineStr">
        <is>
          <t>avverkningsanmälan</t>
        </is>
      </c>
      <c r="C3322" t="inlineStr">
        <is>
          <t>Föryngringsavverkning</t>
        </is>
      </c>
      <c r="D3322" s="1" t="n">
        <v>45219</v>
      </c>
      <c r="E3322" s="1" t="n">
        <v>46326</v>
      </c>
      <c r="F3322" t="inlineStr">
        <is>
          <t>GÄVLEBORGS LÄN</t>
        </is>
      </c>
      <c r="G3322" t="inlineStr">
        <is>
          <t>BOLLNÄS</t>
        </is>
      </c>
      <c r="I3322" t="n">
        <v>2.5</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46027-2025</t>
        </is>
      </c>
      <c r="B3323" t="inlineStr">
        <is>
          <t>avverkningsanmälan</t>
        </is>
      </c>
      <c r="C3323" t="inlineStr">
        <is>
          <t>Föryngringsavverkning</t>
        </is>
      </c>
      <c r="D3323" s="1" t="n">
        <v>45924</v>
      </c>
      <c r="E3323" s="1" t="n">
        <v>46326</v>
      </c>
      <c r="F3323" t="inlineStr">
        <is>
          <t>GÄVLEBORGS LÄN</t>
        </is>
      </c>
      <c r="G3323" t="inlineStr">
        <is>
          <t>NORDANSTIG</t>
        </is>
      </c>
      <c r="H3323" t="inlineStr">
        <is>
          <t>Holmen skog AB</t>
        </is>
      </c>
      <c r="I3323" t="n">
        <v>1.7</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4610-2026</t>
        </is>
      </c>
      <c r="B3324" t="inlineStr">
        <is>
          <t>avverkningsanmälan</t>
        </is>
      </c>
      <c r="C3324" t="inlineStr">
        <is>
          <t>Föryngringsavverkning</t>
        </is>
      </c>
      <c r="D3324" s="1" t="n">
        <v>46048</v>
      </c>
      <c r="E3324" s="1" t="n">
        <v>46326</v>
      </c>
      <c r="F3324" t="inlineStr">
        <is>
          <t>GÄVLEBORGS LÄN</t>
        </is>
      </c>
      <c r="G3324" t="inlineStr">
        <is>
          <t>LJUSDAL</t>
        </is>
      </c>
      <c r="I3324" t="n">
        <v>1.9</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46399-2025</t>
        </is>
      </c>
      <c r="B3325" t="inlineStr">
        <is>
          <t>avverkningsanmälan</t>
        </is>
      </c>
      <c r="C3325" t="inlineStr">
        <is>
          <t>Föryngringsavverkning</t>
        </is>
      </c>
      <c r="D3325" s="1" t="n">
        <v>45925</v>
      </c>
      <c r="E3325" s="1" t="n">
        <v>46326</v>
      </c>
      <c r="F3325" t="inlineStr">
        <is>
          <t>GÄVLEBORGS LÄN</t>
        </is>
      </c>
      <c r="G3325" t="inlineStr">
        <is>
          <t>OVANÅKER</t>
        </is>
      </c>
      <c r="I3325" t="n">
        <v>6</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35088-2025</t>
        </is>
      </c>
      <c r="B3326" t="inlineStr">
        <is>
          <t>avverkningsanmälan</t>
        </is>
      </c>
      <c r="C3326" t="inlineStr">
        <is>
          <t>Föryngringsavverkning</t>
        </is>
      </c>
      <c r="D3326" s="1" t="n">
        <v>45852</v>
      </c>
      <c r="E3326" s="1" t="n">
        <v>46326</v>
      </c>
      <c r="F3326" t="inlineStr">
        <is>
          <t>GÄVLEBORGS LÄN</t>
        </is>
      </c>
      <c r="G3326" t="inlineStr">
        <is>
          <t>LJUSDAL</t>
        </is>
      </c>
      <c r="I3326" t="n">
        <v>3.3</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4632-2026</t>
        </is>
      </c>
      <c r="B3327" t="inlineStr">
        <is>
          <t>avverkningsanmälan</t>
        </is>
      </c>
      <c r="C3327" t="inlineStr">
        <is>
          <t>Föryngringsavverkning</t>
        </is>
      </c>
      <c r="D3327" s="1" t="n">
        <v>46048</v>
      </c>
      <c r="E3327" s="1" t="n">
        <v>46326</v>
      </c>
      <c r="F3327" t="inlineStr">
        <is>
          <t>GÄVLEBORGS LÄN</t>
        </is>
      </c>
      <c r="G3327" t="inlineStr">
        <is>
          <t>OVANÅKER</t>
        </is>
      </c>
      <c r="I3327" t="n">
        <v>2.9</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46133-2025</t>
        </is>
      </c>
      <c r="B3328" t="inlineStr">
        <is>
          <t>avverkningsanmälan</t>
        </is>
      </c>
      <c r="C3328" t="inlineStr">
        <is>
          <t>Föryngringsavverkning</t>
        </is>
      </c>
      <c r="D3328" s="1" t="n">
        <v>45924</v>
      </c>
      <c r="E3328" s="1" t="n">
        <v>46326</v>
      </c>
      <c r="F3328" t="inlineStr">
        <is>
          <t>GÄVLEBORGS LÄN</t>
        </is>
      </c>
      <c r="G3328" t="inlineStr">
        <is>
          <t>GÄVLE</t>
        </is>
      </c>
      <c r="H3328" t="inlineStr">
        <is>
          <t>Bergvik skog öst AB</t>
        </is>
      </c>
      <c r="I3328" t="n">
        <v>0.6</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46320-2025</t>
        </is>
      </c>
      <c r="B3329" t="inlineStr">
        <is>
          <t>avverkningsanmälan</t>
        </is>
      </c>
      <c r="C3329" t="inlineStr">
        <is>
          <t>Föryngringsavverkning</t>
        </is>
      </c>
      <c r="D3329" s="1" t="n">
        <v>45925</v>
      </c>
      <c r="E3329" s="1" t="n">
        <v>46326</v>
      </c>
      <c r="F3329" t="inlineStr">
        <is>
          <t>GÄVLEBORGS LÄN</t>
        </is>
      </c>
      <c r="G3329" t="inlineStr">
        <is>
          <t>OCKELBO</t>
        </is>
      </c>
      <c r="H3329" t="inlineStr">
        <is>
          <t>Bergvik skog väst AB</t>
        </is>
      </c>
      <c r="I3329" t="n">
        <v>2.6</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46321-2025</t>
        </is>
      </c>
      <c r="B3330" t="inlineStr">
        <is>
          <t>avverkningsanmälan</t>
        </is>
      </c>
      <c r="C3330" t="inlineStr">
        <is>
          <t>Föryngringsavverkning</t>
        </is>
      </c>
      <c r="D3330" s="1" t="n">
        <v>45925</v>
      </c>
      <c r="E3330" s="1" t="n">
        <v>46326</v>
      </c>
      <c r="F3330" t="inlineStr">
        <is>
          <t>GÄVLEBORGS LÄN</t>
        </is>
      </c>
      <c r="G3330" t="inlineStr">
        <is>
          <t>SANDVIKEN</t>
        </is>
      </c>
      <c r="I3330" t="n">
        <v>6.2</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35255-2025</t>
        </is>
      </c>
      <c r="B3331" t="inlineStr">
        <is>
          <t>avverkningsanmälan</t>
        </is>
      </c>
      <c r="C3331" t="inlineStr">
        <is>
          <t>Avverkning för annat ändamål</t>
        </is>
      </c>
      <c r="D3331" s="1" t="n">
        <v>45853</v>
      </c>
      <c r="E3331" s="1" t="n">
        <v>46326</v>
      </c>
      <c r="F3331" t="inlineStr">
        <is>
          <t>GÄVLEBORGS LÄN</t>
        </is>
      </c>
      <c r="G3331" t="inlineStr">
        <is>
          <t>LJUSDAL</t>
        </is>
      </c>
      <c r="H3331" t="inlineStr">
        <is>
          <t>Sveaskog</t>
        </is>
      </c>
      <c r="I3331" t="n">
        <v>1.2</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4695-2026</t>
        </is>
      </c>
      <c r="B3332" t="inlineStr">
        <is>
          <t>avverkningsanmälan</t>
        </is>
      </c>
      <c r="C3332" t="inlineStr">
        <is>
          <t>Föryngringsavverkning</t>
        </is>
      </c>
      <c r="D3332" s="1" t="n">
        <v>46048</v>
      </c>
      <c r="E3332" s="1" t="n">
        <v>46326</v>
      </c>
      <c r="F3332" t="inlineStr">
        <is>
          <t>GÄVLEBORGS LÄN</t>
        </is>
      </c>
      <c r="G3332" t="inlineStr">
        <is>
          <t>NORDANSTIG</t>
        </is>
      </c>
      <c r="I3332" t="n">
        <v>1.9</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4954-2026</t>
        </is>
      </c>
      <c r="B3333" t="inlineStr">
        <is>
          <t>avverkningsanmälan</t>
        </is>
      </c>
      <c r="C3333" t="inlineStr">
        <is>
          <t>Föryngringsavverkning</t>
        </is>
      </c>
      <c r="D3333" s="1" t="n">
        <v>46049</v>
      </c>
      <c r="E3333" s="1" t="n">
        <v>46326</v>
      </c>
      <c r="F3333" t="inlineStr">
        <is>
          <t>GÄVLEBORGS LÄN</t>
        </is>
      </c>
      <c r="G3333" t="inlineStr">
        <is>
          <t>BOLLNÄS</t>
        </is>
      </c>
      <c r="I3333" t="n">
        <v>5.8</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35052-2025</t>
        </is>
      </c>
      <c r="B3334" t="inlineStr">
        <is>
          <t>avverkningsanmälan</t>
        </is>
      </c>
      <c r="C3334" t="inlineStr">
        <is>
          <t>Föryngringsavverkning</t>
        </is>
      </c>
      <c r="D3334" s="1" t="n">
        <v>45852</v>
      </c>
      <c r="E3334" s="1" t="n">
        <v>46326</v>
      </c>
      <c r="F3334" t="inlineStr">
        <is>
          <t>GÄVLEBORGS LÄN</t>
        </is>
      </c>
      <c r="G3334" t="inlineStr">
        <is>
          <t>LJUSDAL</t>
        </is>
      </c>
      <c r="H3334" t="inlineStr">
        <is>
          <t>Bergvik skog väst AB</t>
        </is>
      </c>
      <c r="I3334" t="n">
        <v>4</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46466-2025</t>
        </is>
      </c>
      <c r="B3335" t="inlineStr">
        <is>
          <t>avverkningsanmälan</t>
        </is>
      </c>
      <c r="C3335" t="inlineStr">
        <is>
          <t>Föryngringsavverkning</t>
        </is>
      </c>
      <c r="D3335" s="1" t="n">
        <v>45925</v>
      </c>
      <c r="E3335" s="1" t="n">
        <v>46326</v>
      </c>
      <c r="F3335" t="inlineStr">
        <is>
          <t>GÄVLEBORGS LÄN</t>
        </is>
      </c>
      <c r="G3335" t="inlineStr">
        <is>
          <t>LJUSDAL</t>
        </is>
      </c>
      <c r="I3335" t="n">
        <v>0.4</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51413-2023</t>
        </is>
      </c>
      <c r="B3336" t="inlineStr">
        <is>
          <t>avverkningsanmälan</t>
        </is>
      </c>
      <c r="C3336" t="inlineStr">
        <is>
          <t>Föryngringsavverkning</t>
        </is>
      </c>
      <c r="D3336" s="1" t="n">
        <v>45219</v>
      </c>
      <c r="E3336" s="1" t="n">
        <v>46326</v>
      </c>
      <c r="F3336" t="inlineStr">
        <is>
          <t>GÄVLEBORGS LÄN</t>
        </is>
      </c>
      <c r="G3336" t="inlineStr">
        <is>
          <t>SÖDERHAMN</t>
        </is>
      </c>
      <c r="H3336" t="inlineStr">
        <is>
          <t>Kommuner</t>
        </is>
      </c>
      <c r="I3336" t="n">
        <v>1.8</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45947-2025</t>
        </is>
      </c>
      <c r="B3337" t="inlineStr">
        <is>
          <t>avverkningsanmälan</t>
        </is>
      </c>
      <c r="C3337" t="inlineStr">
        <is>
          <t>Föryngringsavverkning</t>
        </is>
      </c>
      <c r="D3337" s="1" t="n">
        <v>45924</v>
      </c>
      <c r="E3337" s="1" t="n">
        <v>46326</v>
      </c>
      <c r="F3337" t="inlineStr">
        <is>
          <t>GÄVLEBORGS LÄN</t>
        </is>
      </c>
      <c r="G3337" t="inlineStr">
        <is>
          <t>BOLLNÄS</t>
        </is>
      </c>
      <c r="I3337" t="n">
        <v>3.3</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45962-2025</t>
        </is>
      </c>
      <c r="B3338" t="inlineStr">
        <is>
          <t>avverkningsanmälan</t>
        </is>
      </c>
      <c r="C3338" t="inlineStr">
        <is>
          <t>Föryngringsavverkning</t>
        </is>
      </c>
      <c r="D3338" s="1" t="n">
        <v>45924</v>
      </c>
      <c r="E3338" s="1" t="n">
        <v>46326</v>
      </c>
      <c r="F3338" t="inlineStr">
        <is>
          <t>GÄVLEBORGS LÄN</t>
        </is>
      </c>
      <c r="G3338" t="inlineStr">
        <is>
          <t>HUDIKSVALL</t>
        </is>
      </c>
      <c r="I3338" t="n">
        <v>5.1</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46342-2025</t>
        </is>
      </c>
      <c r="B3339" t="inlineStr">
        <is>
          <t>avverkningsanmälan</t>
        </is>
      </c>
      <c r="C3339" t="inlineStr">
        <is>
          <t>Föryngringsavverkning</t>
        </is>
      </c>
      <c r="D3339" s="1" t="n">
        <v>45925</v>
      </c>
      <c r="E3339" s="1" t="n">
        <v>46326</v>
      </c>
      <c r="F3339" t="inlineStr">
        <is>
          <t>GÄVLEBORGS LÄN</t>
        </is>
      </c>
      <c r="G3339" t="inlineStr">
        <is>
          <t>LJUSDAL</t>
        </is>
      </c>
      <c r="I3339" t="n">
        <v>1.4</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32007-2024</t>
        </is>
      </c>
      <c r="B3340" t="inlineStr">
        <is>
          <t>avverkningsanmälan</t>
        </is>
      </c>
      <c r="C3340" t="inlineStr">
        <is>
          <t>Föryngringsavverkning</t>
        </is>
      </c>
      <c r="D3340" s="1" t="n">
        <v>45510</v>
      </c>
      <c r="E3340" s="1" t="n">
        <v>46326</v>
      </c>
      <c r="F3340" t="inlineStr">
        <is>
          <t>GÄVLEBORGS LÄN</t>
        </is>
      </c>
      <c r="G3340" t="inlineStr">
        <is>
          <t>HUDIKSVALL</t>
        </is>
      </c>
      <c r="I3340" t="n">
        <v>1.3</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32011-2024</t>
        </is>
      </c>
      <c r="B3341" t="inlineStr">
        <is>
          <t>avverkningsanmälan</t>
        </is>
      </c>
      <c r="C3341" t="inlineStr">
        <is>
          <t>Avverkning för annat ändamål</t>
        </is>
      </c>
      <c r="D3341" s="1" t="n">
        <v>45510</v>
      </c>
      <c r="E3341" s="1" t="n">
        <v>46326</v>
      </c>
      <c r="F3341" t="inlineStr">
        <is>
          <t>GÄVLEBORGS LÄN</t>
        </is>
      </c>
      <c r="G3341" t="inlineStr">
        <is>
          <t>OCKELBO</t>
        </is>
      </c>
      <c r="I3341" t="n">
        <v>1.7</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46011-2025</t>
        </is>
      </c>
      <c r="B3342" t="inlineStr">
        <is>
          <t>avverkningsanmälan</t>
        </is>
      </c>
      <c r="C3342" t="inlineStr">
        <is>
          <t>Föryngringsavverkning</t>
        </is>
      </c>
      <c r="D3342" s="1" t="n">
        <v>45924</v>
      </c>
      <c r="E3342" s="1" t="n">
        <v>46326</v>
      </c>
      <c r="F3342" t="inlineStr">
        <is>
          <t>GÄVLEBORGS LÄN</t>
        </is>
      </c>
      <c r="G3342" t="inlineStr">
        <is>
          <t>GÄVLE</t>
        </is>
      </c>
      <c r="H3342" t="inlineStr">
        <is>
          <t>Bergvik skog väst AB</t>
        </is>
      </c>
      <c r="I3342" t="n">
        <v>0.2</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45946-2025</t>
        </is>
      </c>
      <c r="B3343" t="inlineStr">
        <is>
          <t>avverkningsanmälan</t>
        </is>
      </c>
      <c r="C3343" t="inlineStr">
        <is>
          <t>Föryngringsavverkning</t>
        </is>
      </c>
      <c r="D3343" s="1" t="n">
        <v>45924</v>
      </c>
      <c r="E3343" s="1" t="n">
        <v>46326</v>
      </c>
      <c r="F3343" t="inlineStr">
        <is>
          <t>GÄVLEBORGS LÄN</t>
        </is>
      </c>
      <c r="G3343" t="inlineStr">
        <is>
          <t>NORDANSTIG</t>
        </is>
      </c>
      <c r="H3343" t="inlineStr">
        <is>
          <t>Holmen skog AB</t>
        </is>
      </c>
      <c r="I3343" t="n">
        <v>1.6</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45951-2025</t>
        </is>
      </c>
      <c r="B3344" t="inlineStr">
        <is>
          <t>avverkningsanmälan</t>
        </is>
      </c>
      <c r="C3344" t="inlineStr">
        <is>
          <t>Föryngringsavverkning</t>
        </is>
      </c>
      <c r="D3344" s="1" t="n">
        <v>45924</v>
      </c>
      <c r="E3344" s="1" t="n">
        <v>46326</v>
      </c>
      <c r="F3344" t="inlineStr">
        <is>
          <t>GÄVLEBORGS LÄN</t>
        </is>
      </c>
      <c r="G3344" t="inlineStr">
        <is>
          <t>BOLLNÄS</t>
        </is>
      </c>
      <c r="I3344" t="n">
        <v>0.7</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46269-2025</t>
        </is>
      </c>
      <c r="B3345" t="inlineStr">
        <is>
          <t>avverkningsanmälan</t>
        </is>
      </c>
      <c r="C3345" t="inlineStr">
        <is>
          <t>Föryngringsavverkning</t>
        </is>
      </c>
      <c r="D3345" s="1" t="n">
        <v>45925</v>
      </c>
      <c r="E3345" s="1" t="n">
        <v>46326</v>
      </c>
      <c r="F3345" t="inlineStr">
        <is>
          <t>GÄVLEBORGS LÄN</t>
        </is>
      </c>
      <c r="G3345" t="inlineStr">
        <is>
          <t>SANDVIKEN</t>
        </is>
      </c>
      <c r="I3345" t="n">
        <v>10.3</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58748-2024</t>
        </is>
      </c>
      <c r="B3346" t="inlineStr">
        <is>
          <t>avverkningsanmälan</t>
        </is>
      </c>
      <c r="C3346" t="inlineStr">
        <is>
          <t>Föryngringsavverkning</t>
        </is>
      </c>
      <c r="D3346" s="1" t="n">
        <v>45635</v>
      </c>
      <c r="E3346" s="1" t="n">
        <v>46326</v>
      </c>
      <c r="F3346" t="inlineStr">
        <is>
          <t>GÄVLEBORGS LÄN</t>
        </is>
      </c>
      <c r="G3346" t="inlineStr">
        <is>
          <t>BOLLNÄS</t>
        </is>
      </c>
      <c r="I3346" t="n">
        <v>6.5</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46260-2025</t>
        </is>
      </c>
      <c r="B3347" t="inlineStr">
        <is>
          <t>avverkningsanmälan</t>
        </is>
      </c>
      <c r="C3347" t="inlineStr">
        <is>
          <t>Föryngringsavverkning</t>
        </is>
      </c>
      <c r="D3347" s="1" t="n">
        <v>45925</v>
      </c>
      <c r="E3347" s="1" t="n">
        <v>46326</v>
      </c>
      <c r="F3347" t="inlineStr">
        <is>
          <t>GÄVLEBORGS LÄN</t>
        </is>
      </c>
      <c r="G3347" t="inlineStr">
        <is>
          <t>HUDIKSVALL</t>
        </is>
      </c>
      <c r="I3347" t="n">
        <v>1.3</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46262-2025</t>
        </is>
      </c>
      <c r="B3348" t="inlineStr">
        <is>
          <t>avverkningsanmälan</t>
        </is>
      </c>
      <c r="C3348" t="inlineStr">
        <is>
          <t>Föryngringsavverkning</t>
        </is>
      </c>
      <c r="D3348" s="1" t="n">
        <v>45925</v>
      </c>
      <c r="E3348" s="1" t="n">
        <v>46326</v>
      </c>
      <c r="F3348" t="inlineStr">
        <is>
          <t>GÄVLEBORGS LÄN</t>
        </is>
      </c>
      <c r="G3348" t="inlineStr">
        <is>
          <t>NORDANSTIG</t>
        </is>
      </c>
      <c r="I3348" t="n">
        <v>1.6</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46323-2025</t>
        </is>
      </c>
      <c r="B3349" t="inlineStr">
        <is>
          <t>avverkningsanmälan</t>
        </is>
      </c>
      <c r="C3349" t="inlineStr">
        <is>
          <t>Föryngringsavverkning</t>
        </is>
      </c>
      <c r="D3349" s="1" t="n">
        <v>45925</v>
      </c>
      <c r="E3349" s="1" t="n">
        <v>46326</v>
      </c>
      <c r="F3349" t="inlineStr">
        <is>
          <t>GÄVLEBORGS LÄN</t>
        </is>
      </c>
      <c r="G3349" t="inlineStr">
        <is>
          <t>LJUSDAL</t>
        </is>
      </c>
      <c r="I3349" t="n">
        <v>0.8</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46328-2025</t>
        </is>
      </c>
      <c r="B3350" t="inlineStr">
        <is>
          <t>avverkningsanmälan</t>
        </is>
      </c>
      <c r="C3350" t="inlineStr">
        <is>
          <t>Föryngringsavverkning</t>
        </is>
      </c>
      <c r="D3350" s="1" t="n">
        <v>45925</v>
      </c>
      <c r="E3350" s="1" t="n">
        <v>46326</v>
      </c>
      <c r="F3350" t="inlineStr">
        <is>
          <t>GÄVLEBORGS LÄN</t>
        </is>
      </c>
      <c r="G3350" t="inlineStr">
        <is>
          <t>LJUSDAL</t>
        </is>
      </c>
      <c r="I3350" t="n">
        <v>0.8</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13064-2022</t>
        </is>
      </c>
      <c r="B3351" t="inlineStr">
        <is>
          <t>avverkningsanmälan</t>
        </is>
      </c>
      <c r="C3351" t="inlineStr">
        <is>
          <t>Föryngringsavverkning</t>
        </is>
      </c>
      <c r="D3351" s="1" t="n">
        <v>44643</v>
      </c>
      <c r="E3351" s="1" t="n">
        <v>46326</v>
      </c>
      <c r="F3351" t="inlineStr">
        <is>
          <t>GÄVLEBORGS LÄN</t>
        </is>
      </c>
      <c r="G3351" t="inlineStr">
        <is>
          <t>LJUSDAL</t>
        </is>
      </c>
      <c r="I3351" t="n">
        <v>2.4</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13246-2025</t>
        </is>
      </c>
      <c r="B3352" t="inlineStr">
        <is>
          <t>avverkningsanmälan</t>
        </is>
      </c>
      <c r="C3352" t="inlineStr">
        <is>
          <t>Föryngringsavverkning</t>
        </is>
      </c>
      <c r="D3352" s="1" t="n">
        <v>45735</v>
      </c>
      <c r="E3352" s="1" t="n">
        <v>46326</v>
      </c>
      <c r="F3352" t="inlineStr">
        <is>
          <t>GÄVLEBORGS LÄN</t>
        </is>
      </c>
      <c r="G3352" t="inlineStr">
        <is>
          <t>LJUSDAL</t>
        </is>
      </c>
      <c r="I3352" t="n">
        <v>3.7</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4807-2026</t>
        </is>
      </c>
      <c r="B3353" t="inlineStr">
        <is>
          <t>avverkningsanmälan</t>
        </is>
      </c>
      <c r="C3353" t="inlineStr">
        <is>
          <t>Föryngringsavverkning</t>
        </is>
      </c>
      <c r="D3353" s="1" t="n">
        <v>46048</v>
      </c>
      <c r="E3353" s="1" t="n">
        <v>46326</v>
      </c>
      <c r="F3353" t="inlineStr">
        <is>
          <t>GÄVLEBORGS LÄN</t>
        </is>
      </c>
      <c r="G3353" t="inlineStr">
        <is>
          <t>LJUSDAL</t>
        </is>
      </c>
      <c r="I3353" t="n">
        <v>2.9</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46783-2025</t>
        </is>
      </c>
      <c r="B3354" t="inlineStr">
        <is>
          <t>avverkningsanmälan</t>
        </is>
      </c>
      <c r="C3354" t="inlineStr">
        <is>
          <t>Föryngringsavverkning</t>
        </is>
      </c>
      <c r="D3354" s="1" t="n">
        <v>45926</v>
      </c>
      <c r="E3354" s="1" t="n">
        <v>46326</v>
      </c>
      <c r="F3354" t="inlineStr">
        <is>
          <t>GÄVLEBORGS LÄN</t>
        </is>
      </c>
      <c r="G3354" t="inlineStr">
        <is>
          <t>GÄVLE</t>
        </is>
      </c>
      <c r="H3354" t="inlineStr">
        <is>
          <t>Bergvik skog väst AB</t>
        </is>
      </c>
      <c r="I3354" t="n">
        <v>5.9</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35337-2025</t>
        </is>
      </c>
      <c r="B3355" t="inlineStr">
        <is>
          <t>avverkningsanmälan</t>
        </is>
      </c>
      <c r="C3355" t="inlineStr">
        <is>
          <t>Föryngringsavverkning</t>
        </is>
      </c>
      <c r="D3355" s="1" t="n">
        <v>45854</v>
      </c>
      <c r="E3355" s="1" t="n">
        <v>46326</v>
      </c>
      <c r="F3355" t="inlineStr">
        <is>
          <t>GÄVLEBORGS LÄN</t>
        </is>
      </c>
      <c r="G3355" t="inlineStr">
        <is>
          <t>GÄVLE</t>
        </is>
      </c>
      <c r="I3355" t="n">
        <v>0.5</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50413-2023</t>
        </is>
      </c>
      <c r="B3356" t="inlineStr">
        <is>
          <t>avverkningsanmälan</t>
        </is>
      </c>
      <c r="C3356" t="inlineStr">
        <is>
          <t>Föryngringsavverkning</t>
        </is>
      </c>
      <c r="D3356" s="1" t="n">
        <v>45216</v>
      </c>
      <c r="E3356" s="1" t="n">
        <v>46326</v>
      </c>
      <c r="F3356" t="inlineStr">
        <is>
          <t>GÄVLEBORGS LÄN</t>
        </is>
      </c>
      <c r="G3356" t="inlineStr">
        <is>
          <t>NORDANSTIG</t>
        </is>
      </c>
      <c r="I3356" t="n">
        <v>0.9</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46886-2025</t>
        </is>
      </c>
      <c r="B3357" t="inlineStr">
        <is>
          <t>avverkningsanmälan</t>
        </is>
      </c>
      <c r="C3357" t="inlineStr">
        <is>
          <t>Föryngringsavverkning</t>
        </is>
      </c>
      <c r="D3357" s="1" t="n">
        <v>45929</v>
      </c>
      <c r="E3357" s="1" t="n">
        <v>46326</v>
      </c>
      <c r="F3357" t="inlineStr">
        <is>
          <t>GÄVLEBORGS LÄN</t>
        </is>
      </c>
      <c r="G3357" t="inlineStr">
        <is>
          <t>HUDIKSVALL</t>
        </is>
      </c>
      <c r="I3357" t="n">
        <v>3.4</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35208-2025</t>
        </is>
      </c>
      <c r="B3358" t="inlineStr">
        <is>
          <t>avverkningsanmälan</t>
        </is>
      </c>
      <c r="C3358" t="inlineStr">
        <is>
          <t>Avverkning för att bevara och utveckla /försöksver</t>
        </is>
      </c>
      <c r="D3358" s="1" t="n">
        <v>45853</v>
      </c>
      <c r="E3358" s="1" t="n">
        <v>46326</v>
      </c>
      <c r="F3358" t="inlineStr">
        <is>
          <t>GÄVLEBORGS LÄN</t>
        </is>
      </c>
      <c r="G3358" t="inlineStr">
        <is>
          <t>BOLLNÄS</t>
        </is>
      </c>
      <c r="H3358" t="inlineStr">
        <is>
          <t>Bergvik skog väst AB</t>
        </is>
      </c>
      <c r="I3358" t="n">
        <v>2</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46614-2025</t>
        </is>
      </c>
      <c r="B3359" t="inlineStr">
        <is>
          <t>avverkningsanmälan</t>
        </is>
      </c>
      <c r="C3359" t="inlineStr">
        <is>
          <t>Föryngringsavverkning</t>
        </is>
      </c>
      <c r="D3359" s="1" t="n">
        <v>45926</v>
      </c>
      <c r="E3359" s="1" t="n">
        <v>46326</v>
      </c>
      <c r="F3359" t="inlineStr">
        <is>
          <t>GÄVLEBORGS LÄN</t>
        </is>
      </c>
      <c r="G3359" t="inlineStr">
        <is>
          <t>OVANÅKER</t>
        </is>
      </c>
      <c r="I3359" t="n">
        <v>7</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5968-2025</t>
        </is>
      </c>
      <c r="B3360" t="inlineStr">
        <is>
          <t>avverkningsanmälan</t>
        </is>
      </c>
      <c r="C3360" t="inlineStr">
        <is>
          <t>Föryngringsavverkning</t>
        </is>
      </c>
      <c r="D3360" s="1" t="n">
        <v>45695</v>
      </c>
      <c r="E3360" s="1" t="n">
        <v>46326</v>
      </c>
      <c r="F3360" t="inlineStr">
        <is>
          <t>GÄVLEBORGS LÄN</t>
        </is>
      </c>
      <c r="G3360" t="inlineStr">
        <is>
          <t>NORDANSTIG</t>
        </is>
      </c>
      <c r="I3360" t="n">
        <v>1.3</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7065-2023</t>
        </is>
      </c>
      <c r="B3361" t="inlineStr">
        <is>
          <t>avverkningsanmälan</t>
        </is>
      </c>
      <c r="C3361" t="inlineStr">
        <is>
          <t>Föryngringsavverkning</t>
        </is>
      </c>
      <c r="D3361" s="1" t="n">
        <v>44969</v>
      </c>
      <c r="E3361" s="1" t="n">
        <v>46326</v>
      </c>
      <c r="F3361" t="inlineStr">
        <is>
          <t>GÄVLEBORGS LÄN</t>
        </is>
      </c>
      <c r="G3361" t="inlineStr">
        <is>
          <t>HUDIKSVALL</t>
        </is>
      </c>
      <c r="I3361" t="n">
        <v>1.2</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46902-2025</t>
        </is>
      </c>
      <c r="B3362" t="inlineStr">
        <is>
          <t>avverkningsanmälan</t>
        </is>
      </c>
      <c r="C3362" t="inlineStr">
        <is>
          <t>Föryngringsavverkning</t>
        </is>
      </c>
      <c r="D3362" s="1" t="n">
        <v>45929</v>
      </c>
      <c r="E3362" s="1" t="n">
        <v>46326</v>
      </c>
      <c r="F3362" t="inlineStr">
        <is>
          <t>GÄVLEBORGS LÄN</t>
        </is>
      </c>
      <c r="G3362" t="inlineStr">
        <is>
          <t>HUDIKSVALL</t>
        </is>
      </c>
      <c r="I3362" t="n">
        <v>1.3</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46932-2025</t>
        </is>
      </c>
      <c r="B3363" t="inlineStr">
        <is>
          <t>avverkningsanmälan</t>
        </is>
      </c>
      <c r="C3363" t="inlineStr">
        <is>
          <t>Föryngringsavverkning</t>
        </is>
      </c>
      <c r="D3363" s="1" t="n">
        <v>45929</v>
      </c>
      <c r="E3363" s="1" t="n">
        <v>46326</v>
      </c>
      <c r="F3363" t="inlineStr">
        <is>
          <t>GÄVLEBORGS LÄN</t>
        </is>
      </c>
      <c r="G3363" t="inlineStr">
        <is>
          <t>OVANÅKER</t>
        </is>
      </c>
      <c r="I3363" t="n">
        <v>3</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30940-2022</t>
        </is>
      </c>
      <c r="B3364" t="inlineStr">
        <is>
          <t>avverkningsanmälan</t>
        </is>
      </c>
      <c r="C3364" t="inlineStr">
        <is>
          <t>Föryngringsavverkning</t>
        </is>
      </c>
      <c r="D3364" s="1" t="n">
        <v>44768</v>
      </c>
      <c r="E3364" s="1" t="n">
        <v>46326</v>
      </c>
      <c r="F3364" t="inlineStr">
        <is>
          <t>GÄVLEBORGS LÄN</t>
        </is>
      </c>
      <c r="G3364" t="inlineStr">
        <is>
          <t>NORDANSTIG</t>
        </is>
      </c>
      <c r="H3364" t="inlineStr">
        <is>
          <t>Holmen skog AB</t>
        </is>
      </c>
      <c r="I3364" t="n">
        <v>1.8</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4548-2026</t>
        </is>
      </c>
      <c r="B3365" t="inlineStr">
        <is>
          <t>avverkningsanmälan</t>
        </is>
      </c>
      <c r="C3365" t="inlineStr">
        <is>
          <t>Föryngringsavverkning</t>
        </is>
      </c>
      <c r="D3365" s="1" t="n">
        <v>46047</v>
      </c>
      <c r="E3365" s="1" t="n">
        <v>46326</v>
      </c>
      <c r="F3365" t="inlineStr">
        <is>
          <t>GÄVLEBORGS LÄN</t>
        </is>
      </c>
      <c r="G3365" t="inlineStr">
        <is>
          <t>OVANÅKER</t>
        </is>
      </c>
      <c r="I3365" t="n">
        <v>2.3</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4777-2026</t>
        </is>
      </c>
      <c r="B3366" t="inlineStr">
        <is>
          <t>avverkningsanmälan</t>
        </is>
      </c>
      <c r="C3366" t="inlineStr">
        <is>
          <t>Föryngringsavverkning</t>
        </is>
      </c>
      <c r="D3366" s="1" t="n">
        <v>46048</v>
      </c>
      <c r="E3366" s="1" t="n">
        <v>46326</v>
      </c>
      <c r="F3366" t="inlineStr">
        <is>
          <t>GÄVLEBORGS LÄN</t>
        </is>
      </c>
      <c r="G3366" t="inlineStr">
        <is>
          <t>NORDANSTIG</t>
        </is>
      </c>
      <c r="I3366" t="n">
        <v>3.1</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4803-2026</t>
        </is>
      </c>
      <c r="B3367" t="inlineStr">
        <is>
          <t>avverkningsanmälan</t>
        </is>
      </c>
      <c r="C3367" t="inlineStr">
        <is>
          <t>Föryngringsavverkning</t>
        </is>
      </c>
      <c r="D3367" s="1" t="n">
        <v>46048</v>
      </c>
      <c r="E3367" s="1" t="n">
        <v>46326</v>
      </c>
      <c r="F3367" t="inlineStr">
        <is>
          <t>GÄVLEBORGS LÄN</t>
        </is>
      </c>
      <c r="G3367" t="inlineStr">
        <is>
          <t>LJUSDAL</t>
        </is>
      </c>
      <c r="I3367" t="n">
        <v>5.5</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15985-2025</t>
        </is>
      </c>
      <c r="B3368" t="inlineStr">
        <is>
          <t>avverkningsanmälan</t>
        </is>
      </c>
      <c r="C3368" t="inlineStr">
        <is>
          <t>Föryngringsavverkning</t>
        </is>
      </c>
      <c r="D3368" s="1" t="n">
        <v>45749</v>
      </c>
      <c r="E3368" s="1" t="n">
        <v>46326</v>
      </c>
      <c r="F3368" t="inlineStr">
        <is>
          <t>GÄVLEBORGS LÄN</t>
        </is>
      </c>
      <c r="G3368" t="inlineStr">
        <is>
          <t>HUDIKSVALL</t>
        </is>
      </c>
      <c r="I3368" t="n">
        <v>1.1</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60699-2024</t>
        </is>
      </c>
      <c r="B3369" t="inlineStr">
        <is>
          <t>avverkningsanmälan</t>
        </is>
      </c>
      <c r="C3369" t="inlineStr">
        <is>
          <t>Föryngringsavverkning</t>
        </is>
      </c>
      <c r="D3369" s="1" t="n">
        <v>45644</v>
      </c>
      <c r="E3369" s="1" t="n">
        <v>46326</v>
      </c>
      <c r="F3369" t="inlineStr">
        <is>
          <t>GÄVLEBORGS LÄN</t>
        </is>
      </c>
      <c r="G3369" t="inlineStr">
        <is>
          <t>OCKELBO</t>
        </is>
      </c>
      <c r="H3369" t="inlineStr">
        <is>
          <t>Bergvik skog väst AB</t>
        </is>
      </c>
      <c r="I3369" t="n">
        <v>5.3</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50693-2024</t>
        </is>
      </c>
      <c r="B3370" t="inlineStr">
        <is>
          <t>avverkningsanmälan</t>
        </is>
      </c>
      <c r="C3370" t="inlineStr">
        <is>
          <t>Föryngringsavverkning</t>
        </is>
      </c>
      <c r="D3370" s="1" t="n">
        <v>45602</v>
      </c>
      <c r="E3370" s="1" t="n">
        <v>46326</v>
      </c>
      <c r="F3370" t="inlineStr">
        <is>
          <t>GÄVLEBORGS LÄN</t>
        </is>
      </c>
      <c r="G3370" t="inlineStr">
        <is>
          <t>OCKELBO</t>
        </is>
      </c>
      <c r="H3370" t="inlineStr">
        <is>
          <t>Bergvik skog väst AB</t>
        </is>
      </c>
      <c r="I3370" t="n">
        <v>2.6</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30349-2023</t>
        </is>
      </c>
      <c r="B3371" t="inlineStr">
        <is>
          <t>avverkningsanmälan</t>
        </is>
      </c>
      <c r="C3371" t="inlineStr">
        <is>
          <t>Föryngringsavverkning</t>
        </is>
      </c>
      <c r="D3371" s="1" t="n">
        <v>45111</v>
      </c>
      <c r="E3371" s="1" t="n">
        <v>46326</v>
      </c>
      <c r="F3371" t="inlineStr">
        <is>
          <t>GÄVLEBORGS LÄN</t>
        </is>
      </c>
      <c r="G3371" t="inlineStr">
        <is>
          <t>OCKELBO</t>
        </is>
      </c>
      <c r="I3371" t="n">
        <v>5.3</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46676-2025</t>
        </is>
      </c>
      <c r="B3372" t="inlineStr">
        <is>
          <t>avverkningsanmälan</t>
        </is>
      </c>
      <c r="C3372" t="inlineStr">
        <is>
          <t>Föryngringsavverkning</t>
        </is>
      </c>
      <c r="D3372" s="1" t="n">
        <v>45926</v>
      </c>
      <c r="E3372" s="1" t="n">
        <v>46326</v>
      </c>
      <c r="F3372" t="inlineStr">
        <is>
          <t>GÄVLEBORGS LÄN</t>
        </is>
      </c>
      <c r="G3372" t="inlineStr">
        <is>
          <t>HUDIKSVALL</t>
        </is>
      </c>
      <c r="I3372" t="n">
        <v>3.3</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16141-2023</t>
        </is>
      </c>
      <c r="B3373" t="inlineStr">
        <is>
          <t>avverkningsanmälan</t>
        </is>
      </c>
      <c r="C3373" t="inlineStr">
        <is>
          <t>Föryngringsavverkning</t>
        </is>
      </c>
      <c r="D3373" s="1" t="n">
        <v>45027</v>
      </c>
      <c r="E3373" s="1" t="n">
        <v>46326</v>
      </c>
      <c r="F3373" t="inlineStr">
        <is>
          <t>GÄVLEBORGS LÄN</t>
        </is>
      </c>
      <c r="G3373" t="inlineStr">
        <is>
          <t>OCKELBO</t>
        </is>
      </c>
      <c r="H3373" t="inlineStr">
        <is>
          <t>Bergvik skog väst AB</t>
        </is>
      </c>
      <c r="I3373" t="n">
        <v>1.7</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46618-2025</t>
        </is>
      </c>
      <c r="B3374" t="inlineStr">
        <is>
          <t>avverkningsanmälan</t>
        </is>
      </c>
      <c r="C3374" t="inlineStr">
        <is>
          <t>Föryngringsavverkning</t>
        </is>
      </c>
      <c r="D3374" s="1" t="n">
        <v>45926</v>
      </c>
      <c r="E3374" s="1" t="n">
        <v>46326</v>
      </c>
      <c r="F3374" t="inlineStr">
        <is>
          <t>GÄVLEBORGS LÄN</t>
        </is>
      </c>
      <c r="G3374" t="inlineStr">
        <is>
          <t>SANDVIKEN</t>
        </is>
      </c>
      <c r="H3374" t="inlineStr">
        <is>
          <t>Sveaskog</t>
        </is>
      </c>
      <c r="I3374" t="n">
        <v>4.2</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46639-2025</t>
        </is>
      </c>
      <c r="B3375" t="inlineStr">
        <is>
          <t>avverkningsanmälan</t>
        </is>
      </c>
      <c r="C3375" t="inlineStr">
        <is>
          <t>Föryngringsavverkning</t>
        </is>
      </c>
      <c r="D3375" s="1" t="n">
        <v>45926</v>
      </c>
      <c r="E3375" s="1" t="n">
        <v>46326</v>
      </c>
      <c r="F3375" t="inlineStr">
        <is>
          <t>GÄVLEBORGS LÄN</t>
        </is>
      </c>
      <c r="G3375" t="inlineStr">
        <is>
          <t>HUDIKSVALL</t>
        </is>
      </c>
      <c r="I3375" t="n">
        <v>4.1</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53503-2023</t>
        </is>
      </c>
      <c r="B3376" t="inlineStr">
        <is>
          <t>avverkningsanmälan</t>
        </is>
      </c>
      <c r="C3376" t="inlineStr">
        <is>
          <t>Föryngringsavverkning</t>
        </is>
      </c>
      <c r="D3376" s="1" t="n">
        <v>45230</v>
      </c>
      <c r="E3376" s="1" t="n">
        <v>46326</v>
      </c>
      <c r="F3376" t="inlineStr">
        <is>
          <t>GÄVLEBORGS LÄN</t>
        </is>
      </c>
      <c r="G3376" t="inlineStr">
        <is>
          <t>SÖDERHAMN</t>
        </is>
      </c>
      <c r="I3376" t="n">
        <v>1.5</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4867-2026</t>
        </is>
      </c>
      <c r="B3377" t="inlineStr">
        <is>
          <t>avverkningsanmälan</t>
        </is>
      </c>
      <c r="C3377" t="inlineStr">
        <is>
          <t>Föryngringsavverkning</t>
        </is>
      </c>
      <c r="D3377" s="1" t="n">
        <v>46048</v>
      </c>
      <c r="E3377" s="1" t="n">
        <v>46326</v>
      </c>
      <c r="F3377" t="inlineStr">
        <is>
          <t>GÄVLEBORGS LÄN</t>
        </is>
      </c>
      <c r="G3377" t="inlineStr">
        <is>
          <t>OCKELBO</t>
        </is>
      </c>
      <c r="I3377" t="n">
        <v>0.3</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4843-2026</t>
        </is>
      </c>
      <c r="B3378" t="inlineStr">
        <is>
          <t>avverkningsanmälan</t>
        </is>
      </c>
      <c r="C3378" t="inlineStr">
        <is>
          <t>Föryngringsavverkning</t>
        </is>
      </c>
      <c r="D3378" s="1" t="n">
        <v>46048</v>
      </c>
      <c r="E3378" s="1" t="n">
        <v>46326</v>
      </c>
      <c r="F3378" t="inlineStr">
        <is>
          <t>GÄVLEBORGS LÄN</t>
        </is>
      </c>
      <c r="G3378" t="inlineStr">
        <is>
          <t>HUDIKSVALL</t>
        </is>
      </c>
      <c r="I3378" t="n">
        <v>4.2</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9427-2024</t>
        </is>
      </c>
      <c r="B3379" t="inlineStr">
        <is>
          <t>avverkningsanmälan</t>
        </is>
      </c>
      <c r="C3379" t="inlineStr">
        <is>
          <t>Föryngringsavverkning</t>
        </is>
      </c>
      <c r="D3379" s="1" t="n">
        <v>45359</v>
      </c>
      <c r="E3379" s="1" t="n">
        <v>46326</v>
      </c>
      <c r="F3379" t="inlineStr">
        <is>
          <t>GÄVLEBORGS LÄN</t>
        </is>
      </c>
      <c r="G3379" t="inlineStr">
        <is>
          <t>HUDIKSVALL</t>
        </is>
      </c>
      <c r="H3379" t="inlineStr">
        <is>
          <t>Holmen skog AB</t>
        </is>
      </c>
      <c r="I3379" t="n">
        <v>0.5</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54949-2022</t>
        </is>
      </c>
      <c r="B3380" t="inlineStr">
        <is>
          <t>avverkningsanmälan</t>
        </is>
      </c>
      <c r="C3380" t="inlineStr">
        <is>
          <t>Föryngringsavverkning</t>
        </is>
      </c>
      <c r="D3380" s="1" t="n">
        <v>44886</v>
      </c>
      <c r="E3380" s="1" t="n">
        <v>46326</v>
      </c>
      <c r="F3380" t="inlineStr">
        <is>
          <t>GÄVLEBORGS LÄN</t>
        </is>
      </c>
      <c r="G3380" t="inlineStr">
        <is>
          <t>BOLLNÄS</t>
        </is>
      </c>
      <c r="I3380" t="n">
        <v>1.2</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54974-2022</t>
        </is>
      </c>
      <c r="B3381" t="inlineStr">
        <is>
          <t>avverkningsanmälan</t>
        </is>
      </c>
      <c r="C3381" t="inlineStr">
        <is>
          <t>Föryngringsavverkning</t>
        </is>
      </c>
      <c r="D3381" s="1" t="n">
        <v>44886</v>
      </c>
      <c r="E3381" s="1" t="n">
        <v>46326</v>
      </c>
      <c r="F3381" t="inlineStr">
        <is>
          <t>GÄVLEBORGS LÄN</t>
        </is>
      </c>
      <c r="G3381" t="inlineStr">
        <is>
          <t>BOLLNÄS</t>
        </is>
      </c>
      <c r="I3381" t="n">
        <v>0.9</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30718-2023</t>
        </is>
      </c>
      <c r="B3382" t="inlineStr">
        <is>
          <t>avverkningsanmälan</t>
        </is>
      </c>
      <c r="C3382" t="inlineStr">
        <is>
          <t>Föryngringsavverkning</t>
        </is>
      </c>
      <c r="D3382" s="1" t="n">
        <v>45112</v>
      </c>
      <c r="E3382" s="1" t="n">
        <v>46326</v>
      </c>
      <c r="F3382" t="inlineStr">
        <is>
          <t>GÄVLEBORGS LÄN</t>
        </is>
      </c>
      <c r="G3382" t="inlineStr">
        <is>
          <t>SANDVIKEN</t>
        </is>
      </c>
      <c r="I3382" t="n">
        <v>1.6</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50689-2024</t>
        </is>
      </c>
      <c r="B3383" t="inlineStr">
        <is>
          <t>avverkningsanmälan</t>
        </is>
      </c>
      <c r="C3383" t="inlineStr">
        <is>
          <t>Föryngringsavverkning</t>
        </is>
      </c>
      <c r="D3383" s="1" t="n">
        <v>45602</v>
      </c>
      <c r="E3383" s="1" t="n">
        <v>46326</v>
      </c>
      <c r="F3383" t="inlineStr">
        <is>
          <t>GÄVLEBORGS LÄN</t>
        </is>
      </c>
      <c r="G3383" t="inlineStr">
        <is>
          <t>OCKELBO</t>
        </is>
      </c>
      <c r="H3383" t="inlineStr">
        <is>
          <t>Bergvik skog väst AB</t>
        </is>
      </c>
      <c r="I3383" t="n">
        <v>1.2</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50692-2024</t>
        </is>
      </c>
      <c r="B3384" t="inlineStr">
        <is>
          <t>avverkningsanmälan</t>
        </is>
      </c>
      <c r="C3384" t="inlineStr">
        <is>
          <t>Föryngringsavverkning</t>
        </is>
      </c>
      <c r="D3384" s="1" t="n">
        <v>45602</v>
      </c>
      <c r="E3384" s="1" t="n">
        <v>46326</v>
      </c>
      <c r="F3384" t="inlineStr">
        <is>
          <t>GÄVLEBORGS LÄN</t>
        </is>
      </c>
      <c r="G3384" t="inlineStr">
        <is>
          <t>OCKELBO</t>
        </is>
      </c>
      <c r="H3384" t="inlineStr">
        <is>
          <t>Bergvik skog väst AB</t>
        </is>
      </c>
      <c r="I3384" t="n">
        <v>2.2</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46675-2025</t>
        </is>
      </c>
      <c r="B3385" t="inlineStr">
        <is>
          <t>avverkningsanmälan</t>
        </is>
      </c>
      <c r="C3385" t="inlineStr">
        <is>
          <t>Föryngringsavverkning</t>
        </is>
      </c>
      <c r="D3385" s="1" t="n">
        <v>45926</v>
      </c>
      <c r="E3385" s="1" t="n">
        <v>46326</v>
      </c>
      <c r="F3385" t="inlineStr">
        <is>
          <t>GÄVLEBORGS LÄN</t>
        </is>
      </c>
      <c r="G3385" t="inlineStr">
        <is>
          <t>BOLLNÄS</t>
        </is>
      </c>
      <c r="I3385" t="n">
        <v>1.6</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4875-2026</t>
        </is>
      </c>
      <c r="B3386" t="inlineStr">
        <is>
          <t>avverkningsanmälan</t>
        </is>
      </c>
      <c r="C3386" t="inlineStr">
        <is>
          <t>Föryngringsavverkning</t>
        </is>
      </c>
      <c r="D3386" s="1" t="n">
        <v>46048</v>
      </c>
      <c r="E3386" s="1" t="n">
        <v>46326</v>
      </c>
      <c r="F3386" t="inlineStr">
        <is>
          <t>GÄVLEBORGS LÄN</t>
        </is>
      </c>
      <c r="G3386" t="inlineStr">
        <is>
          <t>HUDIKSVALL</t>
        </is>
      </c>
      <c r="I3386" t="n">
        <v>1.3</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35707-2025</t>
        </is>
      </c>
      <c r="B3387" t="inlineStr">
        <is>
          <t>avverkningsanmälan</t>
        </is>
      </c>
      <c r="C3387" t="inlineStr">
        <is>
          <t>Föryngringsavverkning</t>
        </is>
      </c>
      <c r="D3387" s="1" t="n">
        <v>45860</v>
      </c>
      <c r="E3387" s="1" t="n">
        <v>46326</v>
      </c>
      <c r="F3387" t="inlineStr">
        <is>
          <t>GÄVLEBORGS LÄN</t>
        </is>
      </c>
      <c r="G3387" t="inlineStr">
        <is>
          <t>NORDANSTIG</t>
        </is>
      </c>
      <c r="H3387" t="inlineStr">
        <is>
          <t>Holmen skog AB</t>
        </is>
      </c>
      <c r="I3387" t="n">
        <v>4.2</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35650-2025</t>
        </is>
      </c>
      <c r="B3388" t="inlineStr">
        <is>
          <t>avverkningsanmälan</t>
        </is>
      </c>
      <c r="C3388" t="inlineStr">
        <is>
          <t>Föryngringsavverkning</t>
        </is>
      </c>
      <c r="D3388" s="1" t="n">
        <v>45859</v>
      </c>
      <c r="E3388" s="1" t="n">
        <v>46326</v>
      </c>
      <c r="F3388" t="inlineStr">
        <is>
          <t>GÄVLEBORGS LÄN</t>
        </is>
      </c>
      <c r="G3388" t="inlineStr">
        <is>
          <t>GÄVLE</t>
        </is>
      </c>
      <c r="H3388" t="inlineStr">
        <is>
          <t>Bergvik skog väst AB</t>
        </is>
      </c>
      <c r="I3388" t="n">
        <v>1.5</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5154-2026</t>
        </is>
      </c>
      <c r="B3389" t="inlineStr">
        <is>
          <t>avverkningsanmälan</t>
        </is>
      </c>
      <c r="C3389" t="inlineStr">
        <is>
          <t>Föryngringsavverkning</t>
        </is>
      </c>
      <c r="D3389" s="1" t="n">
        <v>46049</v>
      </c>
      <c r="E3389" s="1" t="n">
        <v>46326</v>
      </c>
      <c r="F3389" t="inlineStr">
        <is>
          <t>GÄVLEBORGS LÄN</t>
        </is>
      </c>
      <c r="G3389" t="inlineStr">
        <is>
          <t>BOLLNÄS</t>
        </is>
      </c>
      <c r="I3389" t="n">
        <v>1.6</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4891-2026</t>
        </is>
      </c>
      <c r="B3390" t="inlineStr">
        <is>
          <t>avverkningsanmälan</t>
        </is>
      </c>
      <c r="C3390" t="inlineStr">
        <is>
          <t>Föryngringsavverkning</t>
        </is>
      </c>
      <c r="D3390" s="1" t="n">
        <v>46048</v>
      </c>
      <c r="E3390" s="1" t="n">
        <v>46326</v>
      </c>
      <c r="F3390" t="inlineStr">
        <is>
          <t>GÄVLEBORGS LÄN</t>
        </is>
      </c>
      <c r="G3390" t="inlineStr">
        <is>
          <t>OCKELBO</t>
        </is>
      </c>
      <c r="I3390" t="n">
        <v>0.8</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4931-2026</t>
        </is>
      </c>
      <c r="B3391" t="inlineStr">
        <is>
          <t>avverkningsanmälan</t>
        </is>
      </c>
      <c r="C3391" t="inlineStr">
        <is>
          <t>Föryngringsavverkning</t>
        </is>
      </c>
      <c r="D3391" s="1" t="n">
        <v>46048</v>
      </c>
      <c r="E3391" s="1" t="n">
        <v>46326</v>
      </c>
      <c r="F3391" t="inlineStr">
        <is>
          <t>GÄVLEBORGS LÄN</t>
        </is>
      </c>
      <c r="G3391" t="inlineStr">
        <is>
          <t>BOLLNÄS</t>
        </is>
      </c>
      <c r="I3391" t="n">
        <v>2.6</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4944-2026</t>
        </is>
      </c>
      <c r="B3392" t="inlineStr">
        <is>
          <t>avverkningsanmälan</t>
        </is>
      </c>
      <c r="C3392" t="inlineStr">
        <is>
          <t>Föryngringsavverkning</t>
        </is>
      </c>
      <c r="D3392" s="1" t="n">
        <v>46049</v>
      </c>
      <c r="E3392" s="1" t="n">
        <v>46326</v>
      </c>
      <c r="F3392" t="inlineStr">
        <is>
          <t>GÄVLEBORGS LÄN</t>
        </is>
      </c>
      <c r="G3392" t="inlineStr">
        <is>
          <t>BOLLNÄS</t>
        </is>
      </c>
      <c r="I3392" t="n">
        <v>1</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16627-2025</t>
        </is>
      </c>
      <c r="B3393" t="inlineStr">
        <is>
          <t>avverkningsanmälan</t>
        </is>
      </c>
      <c r="C3393" t="inlineStr">
        <is>
          <t>Föryngringsavverkning</t>
        </is>
      </c>
      <c r="D3393" s="1" t="n">
        <v>45754</v>
      </c>
      <c r="E3393" s="1" t="n">
        <v>46326</v>
      </c>
      <c r="F3393" t="inlineStr">
        <is>
          <t>GÄVLEBORGS LÄN</t>
        </is>
      </c>
      <c r="G3393" t="inlineStr">
        <is>
          <t>BOLLNÄS</t>
        </is>
      </c>
      <c r="I3393" t="n">
        <v>1.6</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2232-2022</t>
        </is>
      </c>
      <c r="B3394" t="inlineStr">
        <is>
          <t>avverkningsanmälan</t>
        </is>
      </c>
      <c r="C3394" t="inlineStr">
        <is>
          <t>Föryngringsavverkning</t>
        </is>
      </c>
      <c r="D3394" s="1" t="n">
        <v>44578</v>
      </c>
      <c r="E3394" s="1" t="n">
        <v>46326</v>
      </c>
      <c r="F3394" t="inlineStr">
        <is>
          <t>GÄVLEBORGS LÄN</t>
        </is>
      </c>
      <c r="G3394" t="inlineStr">
        <is>
          <t>HUDIKSVALL</t>
        </is>
      </c>
      <c r="H3394" t="inlineStr">
        <is>
          <t>Holmen skog AB</t>
        </is>
      </c>
      <c r="I3394" t="n">
        <v>8.699999999999999</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47091-2025</t>
        </is>
      </c>
      <c r="B3395" t="inlineStr">
        <is>
          <t>avverkningsanmälan</t>
        </is>
      </c>
      <c r="C3395" t="inlineStr">
        <is>
          <t>Föryngringsavverkning</t>
        </is>
      </c>
      <c r="D3395" s="1" t="n">
        <v>45929</v>
      </c>
      <c r="E3395" s="1" t="n">
        <v>46326</v>
      </c>
      <c r="F3395" t="inlineStr">
        <is>
          <t>GÄVLEBORGS LÄN</t>
        </is>
      </c>
      <c r="G3395" t="inlineStr">
        <is>
          <t>HOFORS</t>
        </is>
      </c>
      <c r="I3395" t="n">
        <v>3.7</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47108-2025</t>
        </is>
      </c>
      <c r="B3396" t="inlineStr">
        <is>
          <t>avverkningsanmälan</t>
        </is>
      </c>
      <c r="C3396" t="inlineStr">
        <is>
          <t>Föryngringsavverkning</t>
        </is>
      </c>
      <c r="D3396" s="1" t="n">
        <v>45929</v>
      </c>
      <c r="E3396" s="1" t="n">
        <v>46326</v>
      </c>
      <c r="F3396" t="inlineStr">
        <is>
          <t>GÄVLEBORGS LÄN</t>
        </is>
      </c>
      <c r="G3396" t="inlineStr">
        <is>
          <t>BOLLNÄS</t>
        </is>
      </c>
      <c r="I3396" t="n">
        <v>5.3</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35733-2025</t>
        </is>
      </c>
      <c r="B3397" t="inlineStr">
        <is>
          <t>avverkningsanmälan</t>
        </is>
      </c>
      <c r="C3397" t="inlineStr">
        <is>
          <t>Föryngringsavverkning</t>
        </is>
      </c>
      <c r="D3397" s="1" t="n">
        <v>45860</v>
      </c>
      <c r="E3397" s="1" t="n">
        <v>46326</v>
      </c>
      <c r="F3397" t="inlineStr">
        <is>
          <t>GÄVLEBORGS LÄN</t>
        </is>
      </c>
      <c r="G3397" t="inlineStr">
        <is>
          <t>NORDANSTIG</t>
        </is>
      </c>
      <c r="I3397" t="n">
        <v>1.9</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16911-2025</t>
        </is>
      </c>
      <c r="B3398" t="inlineStr">
        <is>
          <t>avverkningsanmälan</t>
        </is>
      </c>
      <c r="C3398" t="inlineStr">
        <is>
          <t>Föryngringsavverkning</t>
        </is>
      </c>
      <c r="D3398" s="1" t="n">
        <v>45755</v>
      </c>
      <c r="E3398" s="1" t="n">
        <v>46326</v>
      </c>
      <c r="F3398" t="inlineStr">
        <is>
          <t>GÄVLEBORGS LÄN</t>
        </is>
      </c>
      <c r="G3398" t="inlineStr">
        <is>
          <t>OVANÅKER</t>
        </is>
      </c>
      <c r="I3398" t="n">
        <v>2.8</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63703-2023</t>
        </is>
      </c>
      <c r="B3399" t="inlineStr">
        <is>
          <t>avverkningsanmälan</t>
        </is>
      </c>
      <c r="C3399" t="inlineStr">
        <is>
          <t>Föryngringsavverkning</t>
        </is>
      </c>
      <c r="D3399" s="1" t="n">
        <v>45275</v>
      </c>
      <c r="E3399" s="1" t="n">
        <v>46326</v>
      </c>
      <c r="F3399" t="inlineStr">
        <is>
          <t>GÄVLEBORGS LÄN</t>
        </is>
      </c>
      <c r="G3399" t="inlineStr">
        <is>
          <t>OVANÅKER</t>
        </is>
      </c>
      <c r="I3399" t="n">
        <v>1.3</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35831-2025</t>
        </is>
      </c>
      <c r="B3400" t="inlineStr">
        <is>
          <t>avverkningsanmälan</t>
        </is>
      </c>
      <c r="C3400" t="inlineStr">
        <is>
          <t>Föryngringsavverkning</t>
        </is>
      </c>
      <c r="D3400" s="1" t="n">
        <v>45861</v>
      </c>
      <c r="E3400" s="1" t="n">
        <v>46326</v>
      </c>
      <c r="F3400" t="inlineStr">
        <is>
          <t>GÄVLEBORGS LÄN</t>
        </is>
      </c>
      <c r="G3400" t="inlineStr">
        <is>
          <t>HUDIKSVALL</t>
        </is>
      </c>
      <c r="I3400" t="n">
        <v>1.3</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833-2026</t>
        </is>
      </c>
      <c r="B3401" t="inlineStr">
        <is>
          <t>avverkningsanmälan</t>
        </is>
      </c>
      <c r="C3401" t="inlineStr">
        <is>
          <t>Föryngringsavverkning</t>
        </is>
      </c>
      <c r="D3401" s="1" t="n">
        <v>46030</v>
      </c>
      <c r="E3401" s="1" t="n">
        <v>46326</v>
      </c>
      <c r="F3401" t="inlineStr">
        <is>
          <t>GÄVLEBORGS LÄN</t>
        </is>
      </c>
      <c r="G3401" t="inlineStr">
        <is>
          <t>BOLLNÄS</t>
        </is>
      </c>
      <c r="I3401" t="n">
        <v>10.8</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4710-2026</t>
        </is>
      </c>
      <c r="B3402" t="inlineStr">
        <is>
          <t>avverkningsanmälan</t>
        </is>
      </c>
      <c r="C3402" t="inlineStr">
        <is>
          <t>Föryngringsavverkning</t>
        </is>
      </c>
      <c r="D3402" s="1" t="n">
        <v>46048</v>
      </c>
      <c r="E3402" s="1" t="n">
        <v>46326</v>
      </c>
      <c r="F3402" t="inlineStr">
        <is>
          <t>GÄVLEBORGS LÄN</t>
        </is>
      </c>
      <c r="G3402" t="inlineStr">
        <is>
          <t>OVANÅKER</t>
        </is>
      </c>
      <c r="I3402" t="n">
        <v>1</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4948-2026</t>
        </is>
      </c>
      <c r="B3403" t="inlineStr">
        <is>
          <t>avverkningsanmälan</t>
        </is>
      </c>
      <c r="C3403" t="inlineStr">
        <is>
          <t>Föryngringsavverkning</t>
        </is>
      </c>
      <c r="D3403" s="1" t="n">
        <v>46049</v>
      </c>
      <c r="E3403" s="1" t="n">
        <v>46326</v>
      </c>
      <c r="F3403" t="inlineStr">
        <is>
          <t>GÄVLEBORGS LÄN</t>
        </is>
      </c>
      <c r="G3403" t="inlineStr">
        <is>
          <t>BOLLNÄS</t>
        </is>
      </c>
      <c r="I3403" t="n">
        <v>1.2</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1892-2024</t>
        </is>
      </c>
      <c r="B3404" t="inlineStr">
        <is>
          <t>avverkningsanmälan</t>
        </is>
      </c>
      <c r="C3404" t="inlineStr">
        <is>
          <t>Föryngringsavverkning</t>
        </is>
      </c>
      <c r="D3404" s="1" t="n">
        <v>45308</v>
      </c>
      <c r="E3404" s="1" t="n">
        <v>46326</v>
      </c>
      <c r="F3404" t="inlineStr">
        <is>
          <t>GÄVLEBORGS LÄN</t>
        </is>
      </c>
      <c r="G3404" t="inlineStr">
        <is>
          <t>OVANÅKER</t>
        </is>
      </c>
      <c r="I3404" t="n">
        <v>0.3</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5635-2026</t>
        </is>
      </c>
      <c r="B3405" t="inlineStr">
        <is>
          <t>avverkningsanmälan</t>
        </is>
      </c>
      <c r="C3405" t="inlineStr">
        <is>
          <t>Föryngringsavverkning</t>
        </is>
      </c>
      <c r="D3405" s="1" t="n">
        <v>46051</v>
      </c>
      <c r="E3405" s="1" t="n">
        <v>46326</v>
      </c>
      <c r="F3405" t="inlineStr">
        <is>
          <t>GÄVLEBORGS LÄN</t>
        </is>
      </c>
      <c r="G3405" t="inlineStr">
        <is>
          <t>HUDIKSVALL</t>
        </is>
      </c>
      <c r="I3405" t="n">
        <v>5.6</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5567-2026</t>
        </is>
      </c>
      <c r="B3406" t="inlineStr">
        <is>
          <t>avverkningsanmälan</t>
        </is>
      </c>
      <c r="C3406" t="inlineStr">
        <is>
          <t>Föryngringsavverkning</t>
        </is>
      </c>
      <c r="D3406" s="1" t="n">
        <v>46050</v>
      </c>
      <c r="E3406" s="1" t="n">
        <v>46326</v>
      </c>
      <c r="F3406" t="inlineStr">
        <is>
          <t>GÄVLEBORGS LÄN</t>
        </is>
      </c>
      <c r="G3406" t="inlineStr">
        <is>
          <t>SANDVIKEN</t>
        </is>
      </c>
      <c r="I3406" t="n">
        <v>4.8</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46715-2025</t>
        </is>
      </c>
      <c r="B3407" t="inlineStr">
        <is>
          <t>avverkningsanmälan</t>
        </is>
      </c>
      <c r="C3407" t="inlineStr">
        <is>
          <t>Föryngringsavverkning</t>
        </is>
      </c>
      <c r="D3407" s="1" t="n">
        <v>45926</v>
      </c>
      <c r="E3407" s="1" t="n">
        <v>46326</v>
      </c>
      <c r="F3407" t="inlineStr">
        <is>
          <t>GÄVLEBORGS LÄN</t>
        </is>
      </c>
      <c r="G3407" t="inlineStr">
        <is>
          <t>LJUSDAL</t>
        </is>
      </c>
      <c r="H3407" t="inlineStr">
        <is>
          <t>Sveaskog</t>
        </is>
      </c>
      <c r="I3407" t="n">
        <v>1.4</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10352-2025</t>
        </is>
      </c>
      <c r="B3408" t="inlineStr">
        <is>
          <t>avverkningsanmälan</t>
        </is>
      </c>
      <c r="C3408" t="inlineStr">
        <is>
          <t>Avverkning för att bevara och utveckla /försöksver</t>
        </is>
      </c>
      <c r="D3408" s="1" t="n">
        <v>45720</v>
      </c>
      <c r="E3408" s="1" t="n">
        <v>46326</v>
      </c>
      <c r="F3408" t="inlineStr">
        <is>
          <t>GÄVLEBORGS LÄN</t>
        </is>
      </c>
      <c r="G3408" t="inlineStr">
        <is>
          <t>GÄVLE</t>
        </is>
      </c>
      <c r="I3408" t="n">
        <v>0.6</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52140-2024</t>
        </is>
      </c>
      <c r="B3409" t="inlineStr">
        <is>
          <t>avverkningsanmälan</t>
        </is>
      </c>
      <c r="C3409" t="inlineStr">
        <is>
          <t>Föryngringsavverkning</t>
        </is>
      </c>
      <c r="D3409" s="1" t="n">
        <v>45608</v>
      </c>
      <c r="E3409" s="1" t="n">
        <v>46326</v>
      </c>
      <c r="F3409" t="inlineStr">
        <is>
          <t>GÄVLEBORGS LÄN</t>
        </is>
      </c>
      <c r="G3409" t="inlineStr">
        <is>
          <t>OCKELBO</t>
        </is>
      </c>
      <c r="H3409" t="inlineStr">
        <is>
          <t>Bergvik skog väst AB</t>
        </is>
      </c>
      <c r="I3409" t="n">
        <v>9.800000000000001</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38401-2023</t>
        </is>
      </c>
      <c r="B3410" t="inlineStr">
        <is>
          <t>avverkningsanmälan</t>
        </is>
      </c>
      <c r="C3410" t="inlineStr">
        <is>
          <t>Föryngringsavverkning</t>
        </is>
      </c>
      <c r="D3410" s="1" t="n">
        <v>45162</v>
      </c>
      <c r="E3410" s="1" t="n">
        <v>46326</v>
      </c>
      <c r="F3410" t="inlineStr">
        <is>
          <t>GÄVLEBORGS LÄN</t>
        </is>
      </c>
      <c r="G3410" t="inlineStr">
        <is>
          <t>OCKELBO</t>
        </is>
      </c>
      <c r="H3410" t="inlineStr">
        <is>
          <t>Bergvik skog väst AB</t>
        </is>
      </c>
      <c r="I3410" t="n">
        <v>3</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66825-2021</t>
        </is>
      </c>
      <c r="B3411" t="inlineStr">
        <is>
          <t>avverkningsanmälan</t>
        </is>
      </c>
      <c r="C3411" t="inlineStr">
        <is>
          <t>Föryngringsavverkning</t>
        </is>
      </c>
      <c r="D3411" s="1" t="n">
        <v>44522</v>
      </c>
      <c r="E3411" s="1" t="n">
        <v>46326</v>
      </c>
      <c r="F3411" t="inlineStr">
        <is>
          <t>GÄVLEBORGS LÄN</t>
        </is>
      </c>
      <c r="G3411" t="inlineStr">
        <is>
          <t>OCKELBO</t>
        </is>
      </c>
      <c r="H3411" t="inlineStr">
        <is>
          <t>Bergvik skog väst AB</t>
        </is>
      </c>
      <c r="I3411" t="n">
        <v>1.1</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26180-2023</t>
        </is>
      </c>
      <c r="B3412" t="inlineStr">
        <is>
          <t>avverkningsanmälan</t>
        </is>
      </c>
      <c r="C3412" t="inlineStr">
        <is>
          <t>Föryngringsavverkning</t>
        </is>
      </c>
      <c r="D3412" s="1" t="n">
        <v>45091</v>
      </c>
      <c r="E3412" s="1" t="n">
        <v>46326</v>
      </c>
      <c r="F3412" t="inlineStr">
        <is>
          <t>GÄVLEBORGS LÄN</t>
        </is>
      </c>
      <c r="G3412" t="inlineStr">
        <is>
          <t>LJUSDAL</t>
        </is>
      </c>
      <c r="H3412" t="inlineStr">
        <is>
          <t>Sveaskog</t>
        </is>
      </c>
      <c r="I3412" t="n">
        <v>3.7</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35825-2025</t>
        </is>
      </c>
      <c r="B3413" t="inlineStr">
        <is>
          <t>avverkningsanmälan</t>
        </is>
      </c>
      <c r="C3413" t="inlineStr">
        <is>
          <t>Föryngringsavverkning</t>
        </is>
      </c>
      <c r="D3413" s="1" t="n">
        <v>45861</v>
      </c>
      <c r="E3413" s="1" t="n">
        <v>46326</v>
      </c>
      <c r="F3413" t="inlineStr">
        <is>
          <t>GÄVLEBORGS LÄN</t>
        </is>
      </c>
      <c r="G3413" t="inlineStr">
        <is>
          <t>HUDIKSVALL</t>
        </is>
      </c>
      <c r="I3413" t="n">
        <v>5.9</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46922-2025</t>
        </is>
      </c>
      <c r="B3414" t="inlineStr">
        <is>
          <t>avverkningsanmälan</t>
        </is>
      </c>
      <c r="C3414" t="inlineStr">
        <is>
          <t>Föryngringsavverkning</t>
        </is>
      </c>
      <c r="D3414" s="1" t="n">
        <v>45929</v>
      </c>
      <c r="E3414" s="1" t="n">
        <v>46326</v>
      </c>
      <c r="F3414" t="inlineStr">
        <is>
          <t>GÄVLEBORGS LÄN</t>
        </is>
      </c>
      <c r="G3414" t="inlineStr">
        <is>
          <t>HUDIKSVALL</t>
        </is>
      </c>
      <c r="H3414" t="inlineStr">
        <is>
          <t>Holmen skog AB</t>
        </is>
      </c>
      <c r="I3414" t="n">
        <v>1.5</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5330-2026</t>
        </is>
      </c>
      <c r="B3415" t="inlineStr">
        <is>
          <t>avverkningsanmälan</t>
        </is>
      </c>
      <c r="C3415" t="inlineStr">
        <is>
          <t>Föryngringsavverkning</t>
        </is>
      </c>
      <c r="D3415" s="1" t="n">
        <v>46050</v>
      </c>
      <c r="E3415" s="1" t="n">
        <v>46326</v>
      </c>
      <c r="F3415" t="inlineStr">
        <is>
          <t>GÄVLEBORGS LÄN</t>
        </is>
      </c>
      <c r="G3415" t="inlineStr">
        <is>
          <t>OCKELBO</t>
        </is>
      </c>
      <c r="H3415" t="inlineStr">
        <is>
          <t>Bergvik skog väst AB</t>
        </is>
      </c>
      <c r="I3415" t="n">
        <v>7.8</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5606-2026</t>
        </is>
      </c>
      <c r="B3416" t="inlineStr">
        <is>
          <t>avverkningsanmälan</t>
        </is>
      </c>
      <c r="C3416" t="inlineStr">
        <is>
          <t>Föryngringsavverkning</t>
        </is>
      </c>
      <c r="D3416" s="1" t="n">
        <v>46051</v>
      </c>
      <c r="E3416" s="1" t="n">
        <v>46326</v>
      </c>
      <c r="F3416" t="inlineStr">
        <is>
          <t>GÄVLEBORGS LÄN</t>
        </is>
      </c>
      <c r="G3416" t="inlineStr">
        <is>
          <t>NORDANSTIG</t>
        </is>
      </c>
      <c r="I3416" t="n">
        <v>1.9</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5598-2026</t>
        </is>
      </c>
      <c r="B3417" t="inlineStr">
        <is>
          <t>avverkningsanmälan</t>
        </is>
      </c>
      <c r="C3417" t="inlineStr">
        <is>
          <t>Föryngringsavverkning</t>
        </is>
      </c>
      <c r="D3417" s="1" t="n">
        <v>46051</v>
      </c>
      <c r="E3417" s="1" t="n">
        <v>46326</v>
      </c>
      <c r="F3417" t="inlineStr">
        <is>
          <t>GÄVLEBORGS LÄN</t>
        </is>
      </c>
      <c r="G3417" t="inlineStr">
        <is>
          <t>NORDANSTIG</t>
        </is>
      </c>
      <c r="I3417" t="n">
        <v>1.6</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5368-2026</t>
        </is>
      </c>
      <c r="B3418" t="inlineStr">
        <is>
          <t>avverkningsanmälan</t>
        </is>
      </c>
      <c r="C3418" t="inlineStr">
        <is>
          <t>Föryngringsavverkning</t>
        </is>
      </c>
      <c r="D3418" s="1" t="n">
        <v>46050</v>
      </c>
      <c r="E3418" s="1" t="n">
        <v>46326</v>
      </c>
      <c r="F3418" t="inlineStr">
        <is>
          <t>GÄVLEBORGS LÄN</t>
        </is>
      </c>
      <c r="G3418" t="inlineStr">
        <is>
          <t>OVANÅKER</t>
        </is>
      </c>
      <c r="I3418" t="n">
        <v>4.7</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17230-2023</t>
        </is>
      </c>
      <c r="B3419" t="inlineStr">
        <is>
          <t>avverkningsanmälan</t>
        </is>
      </c>
      <c r="C3419" t="inlineStr">
        <is>
          <t>Föryngringsavverkning</t>
        </is>
      </c>
      <c r="D3419" s="1" t="n">
        <v>45035</v>
      </c>
      <c r="E3419" s="1" t="n">
        <v>46326</v>
      </c>
      <c r="F3419" t="inlineStr">
        <is>
          <t>GÄVLEBORGS LÄN</t>
        </is>
      </c>
      <c r="G3419" t="inlineStr">
        <is>
          <t>LJUSDAL</t>
        </is>
      </c>
      <c r="H3419" t="inlineStr">
        <is>
          <t>Holmen skog AB</t>
        </is>
      </c>
      <c r="I3419" t="n">
        <v>1.6</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35652-2025</t>
        </is>
      </c>
      <c r="B3420" t="inlineStr">
        <is>
          <t>avverkningsanmälan</t>
        </is>
      </c>
      <c r="C3420" t="inlineStr">
        <is>
          <t>Föryngringsavverkning</t>
        </is>
      </c>
      <c r="D3420" s="1" t="n">
        <v>45859</v>
      </c>
      <c r="E3420" s="1" t="n">
        <v>46326</v>
      </c>
      <c r="F3420" t="inlineStr">
        <is>
          <t>GÄVLEBORGS LÄN</t>
        </is>
      </c>
      <c r="G3420" t="inlineStr">
        <is>
          <t>NORDANSTIG</t>
        </is>
      </c>
      <c r="I3420" t="n">
        <v>1.4</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46719-2025</t>
        </is>
      </c>
      <c r="B3421" t="inlineStr">
        <is>
          <t>avverkningsanmälan</t>
        </is>
      </c>
      <c r="C3421" t="inlineStr">
        <is>
          <t>Föryngringsavverkning</t>
        </is>
      </c>
      <c r="D3421" s="1" t="n">
        <v>45926</v>
      </c>
      <c r="E3421" s="1" t="n">
        <v>46326</v>
      </c>
      <c r="F3421" t="inlineStr">
        <is>
          <t>GÄVLEBORGS LÄN</t>
        </is>
      </c>
      <c r="G3421" t="inlineStr">
        <is>
          <t>LJUSDAL</t>
        </is>
      </c>
      <c r="H3421" t="inlineStr">
        <is>
          <t>Sveaskog</t>
        </is>
      </c>
      <c r="I3421" t="n">
        <v>1.4</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46883-2025</t>
        </is>
      </c>
      <c r="B3422" t="inlineStr">
        <is>
          <t>avverkningsanmälan</t>
        </is>
      </c>
      <c r="C3422" t="inlineStr">
        <is>
          <t>Föryngringsavverkning</t>
        </is>
      </c>
      <c r="D3422" s="1" t="n">
        <v>45929</v>
      </c>
      <c r="E3422" s="1" t="n">
        <v>46326</v>
      </c>
      <c r="F3422" t="inlineStr">
        <is>
          <t>GÄVLEBORGS LÄN</t>
        </is>
      </c>
      <c r="G3422" t="inlineStr">
        <is>
          <t>BOLLNÄS</t>
        </is>
      </c>
      <c r="I3422" t="n">
        <v>1.5</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46579-2025</t>
        </is>
      </c>
      <c r="B3423" t="inlineStr">
        <is>
          <t>avverkningsanmälan</t>
        </is>
      </c>
      <c r="C3423" t="inlineStr">
        <is>
          <t>Föryngringsavverkning</t>
        </is>
      </c>
      <c r="D3423" s="1" t="n">
        <v>45926</v>
      </c>
      <c r="E3423" s="1" t="n">
        <v>46326</v>
      </c>
      <c r="F3423" t="inlineStr">
        <is>
          <t>GÄVLEBORGS LÄN</t>
        </is>
      </c>
      <c r="G3423" t="inlineStr">
        <is>
          <t>HUDIKSVALL</t>
        </is>
      </c>
      <c r="H3423" t="inlineStr">
        <is>
          <t>Holmen skog AB</t>
        </is>
      </c>
      <c r="I3423" t="n">
        <v>5.1</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34291-2025</t>
        </is>
      </c>
      <c r="B3424" t="inlineStr">
        <is>
          <t>avverkningsanmälan</t>
        </is>
      </c>
      <c r="C3424" t="inlineStr">
        <is>
          <t>Föryngringsavverkning</t>
        </is>
      </c>
      <c r="D3424" s="1" t="n">
        <v>45846</v>
      </c>
      <c r="E3424" s="1" t="n">
        <v>46326</v>
      </c>
      <c r="F3424" t="inlineStr">
        <is>
          <t>GÄVLEBORGS LÄN</t>
        </is>
      </c>
      <c r="G3424" t="inlineStr">
        <is>
          <t>OCKELBO</t>
        </is>
      </c>
      <c r="H3424" t="inlineStr">
        <is>
          <t>Bergvik skog väst AB</t>
        </is>
      </c>
      <c r="I3424" t="n">
        <v>6.4</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51247-2024</t>
        </is>
      </c>
      <c r="B3425" t="inlineStr">
        <is>
          <t>avverkningsanmälan</t>
        </is>
      </c>
      <c r="C3425" t="inlineStr">
        <is>
          <t>Föryngringsavverkning</t>
        </is>
      </c>
      <c r="D3425" s="1" t="n">
        <v>45603</v>
      </c>
      <c r="E3425" s="1" t="n">
        <v>46326</v>
      </c>
      <c r="F3425" t="inlineStr">
        <is>
          <t>GÄVLEBORGS LÄN</t>
        </is>
      </c>
      <c r="G3425" t="inlineStr">
        <is>
          <t>LJUSDAL</t>
        </is>
      </c>
      <c r="H3425" t="inlineStr">
        <is>
          <t>Kommuner</t>
        </is>
      </c>
      <c r="I3425" t="n">
        <v>6.1</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40283-2024</t>
        </is>
      </c>
      <c r="B3426" t="inlineStr">
        <is>
          <t>avverkningsanmälan</t>
        </is>
      </c>
      <c r="C3426" t="inlineStr">
        <is>
          <t>Föryngringsavverkning</t>
        </is>
      </c>
      <c r="D3426" s="1" t="n">
        <v>45554</v>
      </c>
      <c r="E3426" s="1" t="n">
        <v>46326</v>
      </c>
      <c r="F3426" t="inlineStr">
        <is>
          <t>GÄVLEBORGS LÄN</t>
        </is>
      </c>
      <c r="G3426" t="inlineStr">
        <is>
          <t>OCKELBO</t>
        </is>
      </c>
      <c r="H3426" t="inlineStr">
        <is>
          <t>Bergvik skog väst AB</t>
        </is>
      </c>
      <c r="I3426" t="n">
        <v>1.3</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50235-2023</t>
        </is>
      </c>
      <c r="B3427" t="inlineStr">
        <is>
          <t>avverkningsanmälan</t>
        </is>
      </c>
      <c r="C3427" t="inlineStr">
        <is>
          <t>Föryngringsavverkning</t>
        </is>
      </c>
      <c r="D3427" s="1" t="n">
        <v>45216</v>
      </c>
      <c r="E3427" s="1" t="n">
        <v>46326</v>
      </c>
      <c r="F3427" t="inlineStr">
        <is>
          <t>GÄVLEBORGS LÄN</t>
        </is>
      </c>
      <c r="G3427" t="inlineStr">
        <is>
          <t>OCKELBO</t>
        </is>
      </c>
      <c r="H3427" t="inlineStr">
        <is>
          <t>Bergvik skog väst AB</t>
        </is>
      </c>
      <c r="I3427" t="n">
        <v>0.7</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35878-2025</t>
        </is>
      </c>
      <c r="B3428" t="inlineStr">
        <is>
          <t>avverkningsanmälan</t>
        </is>
      </c>
      <c r="C3428" t="inlineStr">
        <is>
          <t>Föryngringsavverkning</t>
        </is>
      </c>
      <c r="D3428" s="1" t="n">
        <v>45862</v>
      </c>
      <c r="E3428" s="1" t="n">
        <v>46326</v>
      </c>
      <c r="F3428" t="inlineStr">
        <is>
          <t>GÄVLEBORGS LÄN</t>
        </is>
      </c>
      <c r="G3428" t="inlineStr">
        <is>
          <t>GÄVLE</t>
        </is>
      </c>
      <c r="I3428" t="n">
        <v>0.7</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46992-2025</t>
        </is>
      </c>
      <c r="B3429" t="inlineStr">
        <is>
          <t>avverkningsanmälan</t>
        </is>
      </c>
      <c r="C3429" t="inlineStr">
        <is>
          <t>Föryngringsavverkning</t>
        </is>
      </c>
      <c r="D3429" s="1" t="n">
        <v>45929</v>
      </c>
      <c r="E3429" s="1" t="n">
        <v>46326</v>
      </c>
      <c r="F3429" t="inlineStr">
        <is>
          <t>GÄVLEBORGS LÄN</t>
        </is>
      </c>
      <c r="G3429" t="inlineStr">
        <is>
          <t>HUDIKSVALL</t>
        </is>
      </c>
      <c r="I3429" t="n">
        <v>2.3</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5660-2026</t>
        </is>
      </c>
      <c r="B3430" t="inlineStr">
        <is>
          <t>avverkningsanmälan</t>
        </is>
      </c>
      <c r="C3430" t="inlineStr">
        <is>
          <t>Föryngringsavverkning</t>
        </is>
      </c>
      <c r="D3430" s="1" t="n">
        <v>46051</v>
      </c>
      <c r="E3430" s="1" t="n">
        <v>46326</v>
      </c>
      <c r="F3430" t="inlineStr">
        <is>
          <t>GÄVLEBORGS LÄN</t>
        </is>
      </c>
      <c r="G3430" t="inlineStr">
        <is>
          <t>BOLLNÄS</t>
        </is>
      </c>
      <c r="I3430" t="n">
        <v>2.6</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5373-2026</t>
        </is>
      </c>
      <c r="B3431" t="inlineStr">
        <is>
          <t>avverkningsanmälan</t>
        </is>
      </c>
      <c r="C3431" t="inlineStr">
        <is>
          <t>Föryngringsavverkning</t>
        </is>
      </c>
      <c r="D3431" s="1" t="n">
        <v>46050</v>
      </c>
      <c r="E3431" s="1" t="n">
        <v>46326</v>
      </c>
      <c r="F3431" t="inlineStr">
        <is>
          <t>GÄVLEBORGS LÄN</t>
        </is>
      </c>
      <c r="G3431" t="inlineStr">
        <is>
          <t>BOLLNÄS</t>
        </is>
      </c>
      <c r="H3431" t="inlineStr">
        <is>
          <t>Bergvik skog väst AB</t>
        </is>
      </c>
      <c r="I3431" t="n">
        <v>0.5</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24201-2023</t>
        </is>
      </c>
      <c r="B3432" t="inlineStr">
        <is>
          <t>avverkningsanmälan</t>
        </is>
      </c>
      <c r="C3432" t="inlineStr">
        <is>
          <t>Föryngringsavverkning</t>
        </is>
      </c>
      <c r="D3432" s="1" t="n">
        <v>45079</v>
      </c>
      <c r="E3432" s="1" t="n">
        <v>46326</v>
      </c>
      <c r="F3432" t="inlineStr">
        <is>
          <t>GÄVLEBORGS LÄN</t>
        </is>
      </c>
      <c r="G3432" t="inlineStr">
        <is>
          <t>HUDIKSVALL</t>
        </is>
      </c>
      <c r="I3432" t="n">
        <v>1.4</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4062-2025</t>
        </is>
      </c>
      <c r="B3433" t="inlineStr">
        <is>
          <t>avverkningsanmälan</t>
        </is>
      </c>
      <c r="C3433" t="inlineStr">
        <is>
          <t>Avverkning för att bevara och utveckla /försöksver</t>
        </is>
      </c>
      <c r="D3433" s="1" t="n">
        <v>45684</v>
      </c>
      <c r="E3433" s="1" t="n">
        <v>46326</v>
      </c>
      <c r="F3433" t="inlineStr">
        <is>
          <t>GÄVLEBORGS LÄN</t>
        </is>
      </c>
      <c r="G3433" t="inlineStr">
        <is>
          <t>HUDIKSVALL</t>
        </is>
      </c>
      <c r="I3433" t="n">
        <v>0.9</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25665-2023</t>
        </is>
      </c>
      <c r="B3434" t="inlineStr">
        <is>
          <t>avverkningsanmälan</t>
        </is>
      </c>
      <c r="C3434" t="inlineStr">
        <is>
          <t>Föryngringsavverkning</t>
        </is>
      </c>
      <c r="D3434" s="1" t="n">
        <v>45089</v>
      </c>
      <c r="E3434" s="1" t="n">
        <v>46326</v>
      </c>
      <c r="F3434" t="inlineStr">
        <is>
          <t>GÄVLEBORGS LÄN</t>
        </is>
      </c>
      <c r="G3434" t="inlineStr">
        <is>
          <t>NORDANSTIG</t>
        </is>
      </c>
      <c r="I3434" t="n">
        <v>1.1</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46552-2025</t>
        </is>
      </c>
      <c r="B3435" t="inlineStr">
        <is>
          <t>avverkningsanmälan</t>
        </is>
      </c>
      <c r="C3435" t="inlineStr">
        <is>
          <t>Föryngringsavverkning</t>
        </is>
      </c>
      <c r="D3435" s="1" t="n">
        <v>45926</v>
      </c>
      <c r="E3435" s="1" t="n">
        <v>46326</v>
      </c>
      <c r="F3435" t="inlineStr">
        <is>
          <t>GÄVLEBORGS LÄN</t>
        </is>
      </c>
      <c r="G3435" t="inlineStr">
        <is>
          <t>GÄVLE</t>
        </is>
      </c>
      <c r="H3435" t="inlineStr">
        <is>
          <t>Kyrkan</t>
        </is>
      </c>
      <c r="I3435" t="n">
        <v>2.8</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5400-2026</t>
        </is>
      </c>
      <c r="B3436" t="inlineStr">
        <is>
          <t>avverkningsanmälan</t>
        </is>
      </c>
      <c r="C3436" t="inlineStr">
        <is>
          <t>Föryngringsavverkning</t>
        </is>
      </c>
      <c r="D3436" s="1" t="n">
        <v>46050</v>
      </c>
      <c r="E3436" s="1" t="n">
        <v>46326</v>
      </c>
      <c r="F3436" t="inlineStr">
        <is>
          <t>GÄVLEBORGS LÄN</t>
        </is>
      </c>
      <c r="G3436" t="inlineStr">
        <is>
          <t>LJUSDAL</t>
        </is>
      </c>
      <c r="I3436" t="n">
        <v>10.3</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5422-2026</t>
        </is>
      </c>
      <c r="B3437" t="inlineStr">
        <is>
          <t>avverkningsanmälan</t>
        </is>
      </c>
      <c r="C3437" t="inlineStr">
        <is>
          <t>Föryngringsavverkning</t>
        </is>
      </c>
      <c r="D3437" s="1" t="n">
        <v>46050</v>
      </c>
      <c r="E3437" s="1" t="n">
        <v>46326</v>
      </c>
      <c r="F3437" t="inlineStr">
        <is>
          <t>GÄVLEBORGS LÄN</t>
        </is>
      </c>
      <c r="G3437" t="inlineStr">
        <is>
          <t>NORDANSTIG</t>
        </is>
      </c>
      <c r="H3437" t="inlineStr">
        <is>
          <t>Holmen skog AB</t>
        </is>
      </c>
      <c r="I3437" t="n">
        <v>23.8</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40281-2024</t>
        </is>
      </c>
      <c r="B3438" t="inlineStr">
        <is>
          <t>avverkningsanmälan</t>
        </is>
      </c>
      <c r="C3438" t="inlineStr">
        <is>
          <t>Föryngringsavverkning</t>
        </is>
      </c>
      <c r="D3438" s="1" t="n">
        <v>45554</v>
      </c>
      <c r="E3438" s="1" t="n">
        <v>46326</v>
      </c>
      <c r="F3438" t="inlineStr">
        <is>
          <t>GÄVLEBORGS LÄN</t>
        </is>
      </c>
      <c r="G3438" t="inlineStr">
        <is>
          <t>OCKELBO</t>
        </is>
      </c>
      <c r="H3438" t="inlineStr">
        <is>
          <t>Bergvik skog väst AB</t>
        </is>
      </c>
      <c r="I3438" t="n">
        <v>1.1</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47057-2025</t>
        </is>
      </c>
      <c r="B3439" t="inlineStr">
        <is>
          <t>avverkningsanmälan</t>
        </is>
      </c>
      <c r="C3439" t="inlineStr">
        <is>
          <t>Föryngringsavverkning</t>
        </is>
      </c>
      <c r="D3439" s="1" t="n">
        <v>45929</v>
      </c>
      <c r="E3439" s="1" t="n">
        <v>46326</v>
      </c>
      <c r="F3439" t="inlineStr">
        <is>
          <t>GÄVLEBORGS LÄN</t>
        </is>
      </c>
      <c r="G3439" t="inlineStr">
        <is>
          <t>SÖDERHAMN</t>
        </is>
      </c>
      <c r="I3439" t="n">
        <v>2.1</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47061-2025</t>
        </is>
      </c>
      <c r="B3440" t="inlineStr">
        <is>
          <t>avverkningsanmälan</t>
        </is>
      </c>
      <c r="C3440" t="inlineStr">
        <is>
          <t>Föryngringsavverkning</t>
        </is>
      </c>
      <c r="D3440" s="1" t="n">
        <v>45929</v>
      </c>
      <c r="E3440" s="1" t="n">
        <v>46326</v>
      </c>
      <c r="F3440" t="inlineStr">
        <is>
          <t>GÄVLEBORGS LÄN</t>
        </is>
      </c>
      <c r="G3440" t="inlineStr">
        <is>
          <t>BOLLNÄS</t>
        </is>
      </c>
      <c r="I3440" t="n">
        <v>0.8</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46621-2025</t>
        </is>
      </c>
      <c r="B3441" t="inlineStr">
        <is>
          <t>avverkningsanmälan</t>
        </is>
      </c>
      <c r="C3441" t="inlineStr">
        <is>
          <t>Föryngringsavverkning</t>
        </is>
      </c>
      <c r="D3441" s="1" t="n">
        <v>45926</v>
      </c>
      <c r="E3441" s="1" t="n">
        <v>46326</v>
      </c>
      <c r="F3441" t="inlineStr">
        <is>
          <t>GÄVLEBORGS LÄN</t>
        </is>
      </c>
      <c r="G3441" t="inlineStr">
        <is>
          <t>SANDVIKEN</t>
        </is>
      </c>
      <c r="H3441" t="inlineStr">
        <is>
          <t>Sveaskog</t>
        </is>
      </c>
      <c r="I3441" t="n">
        <v>0.9</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46622-2025</t>
        </is>
      </c>
      <c r="B3442" t="inlineStr">
        <is>
          <t>avverkningsanmälan</t>
        </is>
      </c>
      <c r="C3442" t="inlineStr">
        <is>
          <t>Föryngringsavverkning</t>
        </is>
      </c>
      <c r="D3442" s="1" t="n">
        <v>45926</v>
      </c>
      <c r="E3442" s="1" t="n">
        <v>46326</v>
      </c>
      <c r="F3442" t="inlineStr">
        <is>
          <t>GÄVLEBORGS LÄN</t>
        </is>
      </c>
      <c r="G3442" t="inlineStr">
        <is>
          <t>HUDIKSVALL</t>
        </is>
      </c>
      <c r="I3442" t="n">
        <v>2.3</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35961-2025</t>
        </is>
      </c>
      <c r="B3443" t="inlineStr">
        <is>
          <t>avverkningsanmälan</t>
        </is>
      </c>
      <c r="C3443" t="inlineStr">
        <is>
          <t>Föryngringsavverkning</t>
        </is>
      </c>
      <c r="D3443" s="1" t="n">
        <v>45863</v>
      </c>
      <c r="E3443" s="1" t="n">
        <v>46326</v>
      </c>
      <c r="F3443" t="inlineStr">
        <is>
          <t>GÄVLEBORGS LÄN</t>
        </is>
      </c>
      <c r="G3443" t="inlineStr">
        <is>
          <t>SÖDERHAMN</t>
        </is>
      </c>
      <c r="H3443" t="inlineStr">
        <is>
          <t>Bergvik skog väst AB</t>
        </is>
      </c>
      <c r="I3443" t="n">
        <v>0.4</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35938-2025</t>
        </is>
      </c>
      <c r="B3444" t="inlineStr">
        <is>
          <t>avverkningsanmälan</t>
        </is>
      </c>
      <c r="C3444" t="inlineStr">
        <is>
          <t>Föryngringsavverkning</t>
        </is>
      </c>
      <c r="D3444" s="1" t="n">
        <v>45862</v>
      </c>
      <c r="E3444" s="1" t="n">
        <v>46326</v>
      </c>
      <c r="F3444" t="inlineStr">
        <is>
          <t>GÄVLEBORGS LÄN</t>
        </is>
      </c>
      <c r="G3444" t="inlineStr">
        <is>
          <t>GÄVLE</t>
        </is>
      </c>
      <c r="H3444" t="inlineStr">
        <is>
          <t>Bergvik skog väst AB</t>
        </is>
      </c>
      <c r="I3444" t="n">
        <v>3.9</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50271-2023</t>
        </is>
      </c>
      <c r="B3445" t="inlineStr">
        <is>
          <t>avverkningsanmälan</t>
        </is>
      </c>
      <c r="C3445" t="inlineStr">
        <is>
          <t>Föryngringsavverkning</t>
        </is>
      </c>
      <c r="D3445" s="1" t="n">
        <v>45216</v>
      </c>
      <c r="E3445" s="1" t="n">
        <v>46326</v>
      </c>
      <c r="F3445" t="inlineStr">
        <is>
          <t>GÄVLEBORGS LÄN</t>
        </is>
      </c>
      <c r="G3445" t="inlineStr">
        <is>
          <t>LJUSDAL</t>
        </is>
      </c>
      <c r="I3445" t="n">
        <v>27.4</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5451-2026</t>
        </is>
      </c>
      <c r="B3446" t="inlineStr">
        <is>
          <t>avverkningsanmälan</t>
        </is>
      </c>
      <c r="C3446" t="inlineStr">
        <is>
          <t>Föryngringsavverkning</t>
        </is>
      </c>
      <c r="D3446" s="1" t="n">
        <v>46050</v>
      </c>
      <c r="E3446" s="1" t="n">
        <v>46326</v>
      </c>
      <c r="F3446" t="inlineStr">
        <is>
          <t>GÄVLEBORGS LÄN</t>
        </is>
      </c>
      <c r="G3446" t="inlineStr">
        <is>
          <t>HUDIKSVALL</t>
        </is>
      </c>
      <c r="I3446" t="n">
        <v>3.4</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38893-2022</t>
        </is>
      </c>
      <c r="B3447" t="inlineStr">
        <is>
          <t>avverkningsanmälan</t>
        </is>
      </c>
      <c r="C3447" t="inlineStr">
        <is>
          <t>Föryngringsavverkning</t>
        </is>
      </c>
      <c r="D3447" s="1" t="n">
        <v>44816</v>
      </c>
      <c r="E3447" s="1" t="n">
        <v>46326</v>
      </c>
      <c r="F3447" t="inlineStr">
        <is>
          <t>GÄVLEBORGS LÄN</t>
        </is>
      </c>
      <c r="G3447" t="inlineStr">
        <is>
          <t>OCKELBO</t>
        </is>
      </c>
      <c r="H3447" t="inlineStr">
        <is>
          <t>Bergvik skog väst AB</t>
        </is>
      </c>
      <c r="I3447" t="n">
        <v>3.1</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58166-2024</t>
        </is>
      </c>
      <c r="B3448" t="inlineStr">
        <is>
          <t>avverkningsanmälan</t>
        </is>
      </c>
      <c r="C3448" t="inlineStr">
        <is>
          <t>Föryngringsavverkning</t>
        </is>
      </c>
      <c r="D3448" s="1" t="n">
        <v>45632</v>
      </c>
      <c r="E3448" s="1" t="n">
        <v>46326</v>
      </c>
      <c r="F3448" t="inlineStr">
        <is>
          <t>GÄVLEBORGS LÄN</t>
        </is>
      </c>
      <c r="G3448" t="inlineStr">
        <is>
          <t>SÖDERHAMN</t>
        </is>
      </c>
      <c r="H3448" t="inlineStr">
        <is>
          <t>Bergvik skog väst AB</t>
        </is>
      </c>
      <c r="I3448" t="n">
        <v>1.2</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58173-2024</t>
        </is>
      </c>
      <c r="B3449" t="inlineStr">
        <is>
          <t>avverkningsanmälan</t>
        </is>
      </c>
      <c r="C3449" t="inlineStr">
        <is>
          <t>Föryngringsavverkning</t>
        </is>
      </c>
      <c r="D3449" s="1" t="n">
        <v>45632</v>
      </c>
      <c r="E3449" s="1" t="n">
        <v>46326</v>
      </c>
      <c r="F3449" t="inlineStr">
        <is>
          <t>GÄVLEBORGS LÄN</t>
        </is>
      </c>
      <c r="G3449" t="inlineStr">
        <is>
          <t>LJUSDAL</t>
        </is>
      </c>
      <c r="I3449" t="n">
        <v>1.4</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35995-2025</t>
        </is>
      </c>
      <c r="B3450" t="inlineStr">
        <is>
          <t>avverkningsanmälan</t>
        </is>
      </c>
      <c r="C3450" t="inlineStr">
        <is>
          <t>Föryngringsavverkning</t>
        </is>
      </c>
      <c r="D3450" s="1" t="n">
        <v>45863</v>
      </c>
      <c r="E3450" s="1" t="n">
        <v>46326</v>
      </c>
      <c r="F3450" t="inlineStr">
        <is>
          <t>GÄVLEBORGS LÄN</t>
        </is>
      </c>
      <c r="G3450" t="inlineStr">
        <is>
          <t>SANDVIKEN</t>
        </is>
      </c>
      <c r="I3450" t="n">
        <v>0.5</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5777-2026</t>
        </is>
      </c>
      <c r="B3451" t="inlineStr">
        <is>
          <t>avverkningsanmälan</t>
        </is>
      </c>
      <c r="C3451" t="inlineStr">
        <is>
          <t>Föryngringsavverkning</t>
        </is>
      </c>
      <c r="D3451" s="1" t="n">
        <v>46051</v>
      </c>
      <c r="E3451" s="1" t="n">
        <v>46326</v>
      </c>
      <c r="F3451" t="inlineStr">
        <is>
          <t>GÄVLEBORGS LÄN</t>
        </is>
      </c>
      <c r="G3451" t="inlineStr">
        <is>
          <t>BOLLNÄS</t>
        </is>
      </c>
      <c r="I3451" t="n">
        <v>12.3</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5796-2026</t>
        </is>
      </c>
      <c r="B3452" t="inlineStr">
        <is>
          <t>avverkningsanmälan</t>
        </is>
      </c>
      <c r="C3452" t="inlineStr">
        <is>
          <t>Föryngringsavverkning</t>
        </is>
      </c>
      <c r="D3452" s="1" t="n">
        <v>46051</v>
      </c>
      <c r="E3452" s="1" t="n">
        <v>46326</v>
      </c>
      <c r="F3452" t="inlineStr">
        <is>
          <t>GÄVLEBORGS LÄN</t>
        </is>
      </c>
      <c r="G3452" t="inlineStr">
        <is>
          <t>BOLLNÄS</t>
        </is>
      </c>
      <c r="I3452" t="n">
        <v>2.1</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6724-2024</t>
        </is>
      </c>
      <c r="B3453" t="inlineStr">
        <is>
          <t>avverkningsanmälan</t>
        </is>
      </c>
      <c r="C3453" t="inlineStr">
        <is>
          <t>Föryngringsavverkning</t>
        </is>
      </c>
      <c r="D3453" s="1" t="n">
        <v>45342</v>
      </c>
      <c r="E3453" s="1" t="n">
        <v>46326</v>
      </c>
      <c r="F3453" t="inlineStr">
        <is>
          <t>GÄVLEBORGS LÄN</t>
        </is>
      </c>
      <c r="G3453" t="inlineStr">
        <is>
          <t>LJUSDAL</t>
        </is>
      </c>
      <c r="H3453" t="inlineStr">
        <is>
          <t>Bergvik skog väst AB</t>
        </is>
      </c>
      <c r="I3453" t="n">
        <v>0.8</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48221-2024</t>
        </is>
      </c>
      <c r="B3454" t="inlineStr">
        <is>
          <t>avverkningsanmälan</t>
        </is>
      </c>
      <c r="C3454" t="inlineStr">
        <is>
          <t>Föryngringsavverkning</t>
        </is>
      </c>
      <c r="D3454" s="1" t="n">
        <v>45590</v>
      </c>
      <c r="E3454" s="1" t="n">
        <v>46326</v>
      </c>
      <c r="F3454" t="inlineStr">
        <is>
          <t>GÄVLEBORGS LÄN</t>
        </is>
      </c>
      <c r="G3454" t="inlineStr">
        <is>
          <t>OCKELBO</t>
        </is>
      </c>
      <c r="H3454" t="inlineStr">
        <is>
          <t>Bergvik skog väst AB</t>
        </is>
      </c>
      <c r="I3454" t="n">
        <v>5.5</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35919-2025</t>
        </is>
      </c>
      <c r="B3455" t="inlineStr">
        <is>
          <t>avverkningsanmälan</t>
        </is>
      </c>
      <c r="C3455" t="inlineStr">
        <is>
          <t>Avverkning för annat ändamål</t>
        </is>
      </c>
      <c r="D3455" s="1" t="n">
        <v>45862</v>
      </c>
      <c r="E3455" s="1" t="n">
        <v>46326</v>
      </c>
      <c r="F3455" t="inlineStr">
        <is>
          <t>GÄVLEBORGS LÄN</t>
        </is>
      </c>
      <c r="G3455" t="inlineStr">
        <is>
          <t>GÄVLE</t>
        </is>
      </c>
      <c r="I3455" t="n">
        <v>0.4</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5420-2026</t>
        </is>
      </c>
      <c r="B3456" t="inlineStr">
        <is>
          <t>avverkningsanmälan</t>
        </is>
      </c>
      <c r="C3456" t="inlineStr">
        <is>
          <t>Föryngringsavverkning</t>
        </is>
      </c>
      <c r="D3456" s="1" t="n">
        <v>46050</v>
      </c>
      <c r="E3456" s="1" t="n">
        <v>46326</v>
      </c>
      <c r="F3456" t="inlineStr">
        <is>
          <t>GÄVLEBORGS LÄN</t>
        </is>
      </c>
      <c r="G3456" t="inlineStr">
        <is>
          <t>HUDIKSVALL</t>
        </is>
      </c>
      <c r="I3456" t="n">
        <v>3.2</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5459-2026</t>
        </is>
      </c>
      <c r="B3457" t="inlineStr">
        <is>
          <t>avverkningsanmälan</t>
        </is>
      </c>
      <c r="C3457" t="inlineStr">
        <is>
          <t>Föryngringsavverkning</t>
        </is>
      </c>
      <c r="D3457" s="1" t="n">
        <v>46050</v>
      </c>
      <c r="E3457" s="1" t="n">
        <v>46326</v>
      </c>
      <c r="F3457" t="inlineStr">
        <is>
          <t>GÄVLEBORGS LÄN</t>
        </is>
      </c>
      <c r="G3457" t="inlineStr">
        <is>
          <t>NORDANSTIG</t>
        </is>
      </c>
      <c r="I3457" t="n">
        <v>6.3</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32345-2024</t>
        </is>
      </c>
      <c r="B3458" t="inlineStr">
        <is>
          <t>avverkningsanmälan</t>
        </is>
      </c>
      <c r="C3458" t="inlineStr">
        <is>
          <t>Föryngringsavverkning</t>
        </is>
      </c>
      <c r="D3458" s="1" t="n">
        <v>45512</v>
      </c>
      <c r="E3458" s="1" t="n">
        <v>46326</v>
      </c>
      <c r="F3458" t="inlineStr">
        <is>
          <t>GÄVLEBORGS LÄN</t>
        </is>
      </c>
      <c r="G3458" t="inlineStr">
        <is>
          <t>OVANÅKER</t>
        </is>
      </c>
      <c r="H3458" t="inlineStr">
        <is>
          <t>Bergvik skog väst AB</t>
        </is>
      </c>
      <c r="I3458" t="n">
        <v>3.2</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47100-2025</t>
        </is>
      </c>
      <c r="B3459" t="inlineStr">
        <is>
          <t>avverkningsanmälan</t>
        </is>
      </c>
      <c r="C3459" t="inlineStr">
        <is>
          <t>Föryngringsavverkning</t>
        </is>
      </c>
      <c r="D3459" s="1" t="n">
        <v>45929</v>
      </c>
      <c r="E3459" s="1" t="n">
        <v>46326</v>
      </c>
      <c r="F3459" t="inlineStr">
        <is>
          <t>GÄVLEBORGS LÄN</t>
        </is>
      </c>
      <c r="G3459" t="inlineStr">
        <is>
          <t>SÖDERHAMN</t>
        </is>
      </c>
      <c r="I3459" t="n">
        <v>4.7</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5571-2026</t>
        </is>
      </c>
      <c r="B3460" t="inlineStr">
        <is>
          <t>avverkningsanmälan</t>
        </is>
      </c>
      <c r="C3460" t="inlineStr">
        <is>
          <t>Föryngringsavverkning</t>
        </is>
      </c>
      <c r="D3460" s="1" t="n">
        <v>46050</v>
      </c>
      <c r="E3460" s="1" t="n">
        <v>46326</v>
      </c>
      <c r="F3460" t="inlineStr">
        <is>
          <t>GÄVLEBORGS LÄN</t>
        </is>
      </c>
      <c r="G3460" t="inlineStr">
        <is>
          <t>BOLLNÄS</t>
        </is>
      </c>
      <c r="I3460" t="n">
        <v>5.4</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5678-2026</t>
        </is>
      </c>
      <c r="B3461" t="inlineStr">
        <is>
          <t>avverkningsanmälan</t>
        </is>
      </c>
      <c r="C3461" t="inlineStr">
        <is>
          <t>Föryngringsavverkning</t>
        </is>
      </c>
      <c r="D3461" s="1" t="n">
        <v>46051</v>
      </c>
      <c r="E3461" s="1" t="n">
        <v>46326</v>
      </c>
      <c r="F3461" t="inlineStr">
        <is>
          <t>GÄVLEBORGS LÄN</t>
        </is>
      </c>
      <c r="G3461" t="inlineStr">
        <is>
          <t>BOLLNÄS</t>
        </is>
      </c>
      <c r="I3461" t="n">
        <v>0.7</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5560-2026</t>
        </is>
      </c>
      <c r="B3462" t="inlineStr">
        <is>
          <t>avverkningsanmälan</t>
        </is>
      </c>
      <c r="C3462" t="inlineStr">
        <is>
          <t>Föryngringsavverkning</t>
        </is>
      </c>
      <c r="D3462" s="1" t="n">
        <v>46050</v>
      </c>
      <c r="E3462" s="1" t="n">
        <v>46326</v>
      </c>
      <c r="F3462" t="inlineStr">
        <is>
          <t>GÄVLEBORGS LÄN</t>
        </is>
      </c>
      <c r="G3462" t="inlineStr">
        <is>
          <t>HUDIKSVALL</t>
        </is>
      </c>
      <c r="I3462" t="n">
        <v>1.4</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5254-2026</t>
        </is>
      </c>
      <c r="B3463" t="inlineStr">
        <is>
          <t>avverkningsanmälan</t>
        </is>
      </c>
      <c r="C3463" t="inlineStr">
        <is>
          <t>Föryngringsavverkning</t>
        </is>
      </c>
      <c r="D3463" s="1" t="n">
        <v>46050</v>
      </c>
      <c r="E3463" s="1" t="n">
        <v>46326</v>
      </c>
      <c r="F3463" t="inlineStr">
        <is>
          <t>GÄVLEBORGS LÄN</t>
        </is>
      </c>
      <c r="G3463" t="inlineStr">
        <is>
          <t>OVANÅKER</t>
        </is>
      </c>
      <c r="I3463" t="n">
        <v>6.8</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5255-2026</t>
        </is>
      </c>
      <c r="B3464" t="inlineStr">
        <is>
          <t>avverkningsanmälan</t>
        </is>
      </c>
      <c r="C3464" t="inlineStr">
        <is>
          <t>Föryngringsavverkning</t>
        </is>
      </c>
      <c r="D3464" s="1" t="n">
        <v>46050</v>
      </c>
      <c r="E3464" s="1" t="n">
        <v>46326</v>
      </c>
      <c r="F3464" t="inlineStr">
        <is>
          <t>GÄVLEBORGS LÄN</t>
        </is>
      </c>
      <c r="G3464" t="inlineStr">
        <is>
          <t>BOLLNÄS</t>
        </is>
      </c>
      <c r="I3464" t="n">
        <v>0.4</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5449-2026</t>
        </is>
      </c>
      <c r="B3465" t="inlineStr">
        <is>
          <t>avverkningsanmälan</t>
        </is>
      </c>
      <c r="C3465" t="inlineStr">
        <is>
          <t>Föryngringsavverkning</t>
        </is>
      </c>
      <c r="D3465" s="1" t="n">
        <v>46050</v>
      </c>
      <c r="E3465" s="1" t="n">
        <v>46326</v>
      </c>
      <c r="F3465" t="inlineStr">
        <is>
          <t>GÄVLEBORGS LÄN</t>
        </is>
      </c>
      <c r="G3465" t="inlineStr">
        <is>
          <t>BOLLNÄS</t>
        </is>
      </c>
      <c r="H3465" t="inlineStr">
        <is>
          <t>Bergvik skog väst AB</t>
        </is>
      </c>
      <c r="I3465" t="n">
        <v>0.4</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5456-2026</t>
        </is>
      </c>
      <c r="B3466" t="inlineStr">
        <is>
          <t>avverkningsanmälan</t>
        </is>
      </c>
      <c r="C3466" t="inlineStr">
        <is>
          <t>Föryngringsavverkning</t>
        </is>
      </c>
      <c r="D3466" s="1" t="n">
        <v>46050</v>
      </c>
      <c r="E3466" s="1" t="n">
        <v>46326</v>
      </c>
      <c r="F3466" t="inlineStr">
        <is>
          <t>GÄVLEBORGS LÄN</t>
        </is>
      </c>
      <c r="G3466" t="inlineStr">
        <is>
          <t>NORDANSTIG</t>
        </is>
      </c>
      <c r="H3466" t="inlineStr">
        <is>
          <t>Holmen skog AB</t>
        </is>
      </c>
      <c r="I3466" t="n">
        <v>7.5</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47011-2025</t>
        </is>
      </c>
      <c r="B3467" t="inlineStr">
        <is>
          <t>avverkningsanmälan</t>
        </is>
      </c>
      <c r="C3467" t="inlineStr">
        <is>
          <t>Föryngringsavverkning</t>
        </is>
      </c>
      <c r="D3467" s="1" t="n">
        <v>45929</v>
      </c>
      <c r="E3467" s="1" t="n">
        <v>46326</v>
      </c>
      <c r="F3467" t="inlineStr">
        <is>
          <t>GÄVLEBORGS LÄN</t>
        </is>
      </c>
      <c r="G3467" t="inlineStr">
        <is>
          <t>OCKELBO</t>
        </is>
      </c>
      <c r="I3467" t="n">
        <v>0.6</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47016-2025</t>
        </is>
      </c>
      <c r="B3468" t="inlineStr">
        <is>
          <t>avverkningsanmälan</t>
        </is>
      </c>
      <c r="C3468" t="inlineStr">
        <is>
          <t>Föryngringsavverkning</t>
        </is>
      </c>
      <c r="D3468" s="1" t="n">
        <v>45929</v>
      </c>
      <c r="E3468" s="1" t="n">
        <v>46326</v>
      </c>
      <c r="F3468" t="inlineStr">
        <is>
          <t>GÄVLEBORGS LÄN</t>
        </is>
      </c>
      <c r="G3468" t="inlineStr">
        <is>
          <t>OCKELBO</t>
        </is>
      </c>
      <c r="I3468" t="n">
        <v>0.5</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61622-2021</t>
        </is>
      </c>
      <c r="B3469" t="inlineStr">
        <is>
          <t>avverkningsanmälan</t>
        </is>
      </c>
      <c r="C3469" t="inlineStr">
        <is>
          <t>Föryngringsavverkning</t>
        </is>
      </c>
      <c r="D3469" s="1" t="n">
        <v>44501</v>
      </c>
      <c r="E3469" s="1" t="n">
        <v>46326</v>
      </c>
      <c r="F3469" t="inlineStr">
        <is>
          <t>GÄVLEBORGS LÄN</t>
        </is>
      </c>
      <c r="G3469" t="inlineStr">
        <is>
          <t>OCKELBO</t>
        </is>
      </c>
      <c r="H3469" t="inlineStr">
        <is>
          <t>Bergvik skog väst AB</t>
        </is>
      </c>
      <c r="I3469" t="n">
        <v>1.1</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54454-2024</t>
        </is>
      </c>
      <c r="B3470" t="inlineStr">
        <is>
          <t>avverkningsanmälan</t>
        </is>
      </c>
      <c r="C3470" t="inlineStr">
        <is>
          <t>Föryngringsavverkning</t>
        </is>
      </c>
      <c r="D3470" s="1" t="n">
        <v>45617</v>
      </c>
      <c r="E3470" s="1" t="n">
        <v>46326</v>
      </c>
      <c r="F3470" t="inlineStr">
        <is>
          <t>GÄVLEBORGS LÄN</t>
        </is>
      </c>
      <c r="G3470" t="inlineStr">
        <is>
          <t>OCKELBO</t>
        </is>
      </c>
      <c r="H3470" t="inlineStr">
        <is>
          <t>Bergvik skog väst AB</t>
        </is>
      </c>
      <c r="I3470" t="n">
        <v>6.8</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36061-2025</t>
        </is>
      </c>
      <c r="B3471" t="inlineStr">
        <is>
          <t>avverkningsanmälan</t>
        </is>
      </c>
      <c r="C3471" t="inlineStr">
        <is>
          <t>Föryngringsavverkning</t>
        </is>
      </c>
      <c r="D3471" s="1" t="n">
        <v>45866</v>
      </c>
      <c r="E3471" s="1" t="n">
        <v>46326</v>
      </c>
      <c r="F3471" t="inlineStr">
        <is>
          <t>GÄVLEBORGS LÄN</t>
        </is>
      </c>
      <c r="G3471" t="inlineStr">
        <is>
          <t>LJUSDAL</t>
        </is>
      </c>
      <c r="I3471" t="n">
        <v>3.6</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36107-2025</t>
        </is>
      </c>
      <c r="B3472" t="inlineStr">
        <is>
          <t>avverkningsanmälan</t>
        </is>
      </c>
      <c r="C3472" t="inlineStr">
        <is>
          <t>Föryngringsavverkning</t>
        </is>
      </c>
      <c r="D3472" s="1" t="n">
        <v>45866</v>
      </c>
      <c r="E3472" s="1" t="n">
        <v>46326</v>
      </c>
      <c r="F3472" t="inlineStr">
        <is>
          <t>GÄVLEBORGS LÄN</t>
        </is>
      </c>
      <c r="G3472" t="inlineStr">
        <is>
          <t>SANDVIKEN</t>
        </is>
      </c>
      <c r="H3472" t="inlineStr">
        <is>
          <t>Sveaskog</t>
        </is>
      </c>
      <c r="I3472" t="n">
        <v>2.9</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5547-2026</t>
        </is>
      </c>
      <c r="B3473" t="inlineStr">
        <is>
          <t>avverkningsanmälan</t>
        </is>
      </c>
      <c r="C3473" t="inlineStr">
        <is>
          <t>Föryngringsavverkning</t>
        </is>
      </c>
      <c r="D3473" s="1" t="n">
        <v>46050</v>
      </c>
      <c r="E3473" s="1" t="n">
        <v>46326</v>
      </c>
      <c r="F3473" t="inlineStr">
        <is>
          <t>GÄVLEBORGS LÄN</t>
        </is>
      </c>
      <c r="G3473" t="inlineStr">
        <is>
          <t>SANDVIKEN</t>
        </is>
      </c>
      <c r="I3473" t="n">
        <v>0.5</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5549-2026</t>
        </is>
      </c>
      <c r="B3474" t="inlineStr">
        <is>
          <t>avverkningsanmälan</t>
        </is>
      </c>
      <c r="C3474" t="inlineStr">
        <is>
          <t>Föryngringsavverkning</t>
        </is>
      </c>
      <c r="D3474" s="1" t="n">
        <v>46050</v>
      </c>
      <c r="E3474" s="1" t="n">
        <v>46326</v>
      </c>
      <c r="F3474" t="inlineStr">
        <is>
          <t>GÄVLEBORGS LÄN</t>
        </is>
      </c>
      <c r="G3474" t="inlineStr">
        <is>
          <t>HOFORS</t>
        </is>
      </c>
      <c r="I3474" t="n">
        <v>2.4</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5356-2026</t>
        </is>
      </c>
      <c r="B3475" t="inlineStr">
        <is>
          <t>avverkningsanmälan</t>
        </is>
      </c>
      <c r="C3475" t="inlineStr">
        <is>
          <t>Föryngringsavverkning</t>
        </is>
      </c>
      <c r="D3475" s="1" t="n">
        <v>46050</v>
      </c>
      <c r="E3475" s="1" t="n">
        <v>46326</v>
      </c>
      <c r="F3475" t="inlineStr">
        <is>
          <t>GÄVLEBORGS LÄN</t>
        </is>
      </c>
      <c r="G3475" t="inlineStr">
        <is>
          <t>BOLLNÄS</t>
        </is>
      </c>
      <c r="H3475" t="inlineStr">
        <is>
          <t>Bergvik skog väst AB</t>
        </is>
      </c>
      <c r="I3475" t="n">
        <v>0.4</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5426-2026</t>
        </is>
      </c>
      <c r="B3476" t="inlineStr">
        <is>
          <t>avverkningsanmälan</t>
        </is>
      </c>
      <c r="C3476" t="inlineStr">
        <is>
          <t>Föryngringsavverkning</t>
        </is>
      </c>
      <c r="D3476" s="1" t="n">
        <v>46050</v>
      </c>
      <c r="E3476" s="1" t="n">
        <v>46326</v>
      </c>
      <c r="F3476" t="inlineStr">
        <is>
          <t>GÄVLEBORGS LÄN</t>
        </is>
      </c>
      <c r="G3476" t="inlineStr">
        <is>
          <t>OVANÅKER</t>
        </is>
      </c>
      <c r="I3476" t="n">
        <v>2.8</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5651-2026</t>
        </is>
      </c>
      <c r="B3477" t="inlineStr">
        <is>
          <t>avverkningsanmälan</t>
        </is>
      </c>
      <c r="C3477" t="inlineStr">
        <is>
          <t>Föryngringsavverkning</t>
        </is>
      </c>
      <c r="D3477" s="1" t="n">
        <v>46051</v>
      </c>
      <c r="E3477" s="1" t="n">
        <v>46326</v>
      </c>
      <c r="F3477" t="inlineStr">
        <is>
          <t>GÄVLEBORGS LÄN</t>
        </is>
      </c>
      <c r="G3477" t="inlineStr">
        <is>
          <t>BOLLNÄS</t>
        </is>
      </c>
      <c r="I3477" t="n">
        <v>2.4</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36228-2025</t>
        </is>
      </c>
      <c r="B3478" t="inlineStr">
        <is>
          <t>avverkningsanmälan</t>
        </is>
      </c>
      <c r="C3478" t="inlineStr">
        <is>
          <t>Föryngringsavverkning</t>
        </is>
      </c>
      <c r="D3478" s="1" t="n">
        <v>45867</v>
      </c>
      <c r="E3478" s="1" t="n">
        <v>46326</v>
      </c>
      <c r="F3478" t="inlineStr">
        <is>
          <t>GÄVLEBORGS LÄN</t>
        </is>
      </c>
      <c r="G3478" t="inlineStr">
        <is>
          <t>BOLLNÄS</t>
        </is>
      </c>
      <c r="I3478" t="n">
        <v>1.9</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45519-2022</t>
        </is>
      </c>
      <c r="B3479" t="inlineStr">
        <is>
          <t>avverkningsanmälan</t>
        </is>
      </c>
      <c r="C3479" t="inlineStr">
        <is>
          <t>Föryngringsavverkning</t>
        </is>
      </c>
      <c r="D3479" s="1" t="n">
        <v>44845</v>
      </c>
      <c r="E3479" s="1" t="n">
        <v>46326</v>
      </c>
      <c r="F3479" t="inlineStr">
        <is>
          <t>GÄVLEBORGS LÄN</t>
        </is>
      </c>
      <c r="G3479" t="inlineStr">
        <is>
          <t>OCKELBO</t>
        </is>
      </c>
      <c r="H3479" t="inlineStr">
        <is>
          <t>Bergvik skog väst AB</t>
        </is>
      </c>
      <c r="I3479" t="n">
        <v>2.5</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46705-2025</t>
        </is>
      </c>
      <c r="B3480" t="inlineStr">
        <is>
          <t>avverkningsanmälan</t>
        </is>
      </c>
      <c r="C3480" t="inlineStr">
        <is>
          <t>Föryngringsavverkning</t>
        </is>
      </c>
      <c r="D3480" s="1" t="n">
        <v>45926</v>
      </c>
      <c r="E3480" s="1" t="n">
        <v>46326</v>
      </c>
      <c r="F3480" t="inlineStr">
        <is>
          <t>GÄVLEBORGS LÄN</t>
        </is>
      </c>
      <c r="G3480" t="inlineStr">
        <is>
          <t>HUDIKSVALL</t>
        </is>
      </c>
      <c r="I3480" t="n">
        <v>6.4</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5579-2026</t>
        </is>
      </c>
      <c r="B3481" t="inlineStr">
        <is>
          <t>avverkningsanmälan</t>
        </is>
      </c>
      <c r="C3481" t="inlineStr">
        <is>
          <t>Föryngringsavverkning</t>
        </is>
      </c>
      <c r="D3481" s="1" t="n">
        <v>46051</v>
      </c>
      <c r="E3481" s="1" t="n">
        <v>46326</v>
      </c>
      <c r="F3481" t="inlineStr">
        <is>
          <t>GÄVLEBORGS LÄN</t>
        </is>
      </c>
      <c r="G3481" t="inlineStr">
        <is>
          <t>OVANÅKER</t>
        </is>
      </c>
      <c r="I3481" t="n">
        <v>0.6</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5581-2026</t>
        </is>
      </c>
      <c r="B3482" t="inlineStr">
        <is>
          <t>avverkningsanmälan</t>
        </is>
      </c>
      <c r="C3482" t="inlineStr">
        <is>
          <t>Föryngringsavverkning</t>
        </is>
      </c>
      <c r="D3482" s="1" t="n">
        <v>46051</v>
      </c>
      <c r="E3482" s="1" t="n">
        <v>46326</v>
      </c>
      <c r="F3482" t="inlineStr">
        <is>
          <t>GÄVLEBORGS LÄN</t>
        </is>
      </c>
      <c r="G3482" t="inlineStr">
        <is>
          <t>BOLLNÄS</t>
        </is>
      </c>
      <c r="I3482" t="n">
        <v>3.8</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5634-2026</t>
        </is>
      </c>
      <c r="B3483" t="inlineStr">
        <is>
          <t>avverkningsanmälan</t>
        </is>
      </c>
      <c r="C3483" t="inlineStr">
        <is>
          <t>Föryngringsavverkning</t>
        </is>
      </c>
      <c r="D3483" s="1" t="n">
        <v>46051</v>
      </c>
      <c r="E3483" s="1" t="n">
        <v>46326</v>
      </c>
      <c r="F3483" t="inlineStr">
        <is>
          <t>GÄVLEBORGS LÄN</t>
        </is>
      </c>
      <c r="G3483" t="inlineStr">
        <is>
          <t>HUDIKSVALL</t>
        </is>
      </c>
      <c r="I3483" t="n">
        <v>2.4</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5315-2026</t>
        </is>
      </c>
      <c r="B3484" t="inlineStr">
        <is>
          <t>avverkningsanmälan</t>
        </is>
      </c>
      <c r="C3484" t="inlineStr">
        <is>
          <t>Föryngringsavverkning</t>
        </is>
      </c>
      <c r="D3484" s="1" t="n">
        <v>46050</v>
      </c>
      <c r="E3484" s="1" t="n">
        <v>46326</v>
      </c>
      <c r="F3484" t="inlineStr">
        <is>
          <t>GÄVLEBORGS LÄN</t>
        </is>
      </c>
      <c r="G3484" t="inlineStr">
        <is>
          <t>NORDANSTIG</t>
        </is>
      </c>
      <c r="H3484" t="inlineStr">
        <is>
          <t>Holmen skog AB</t>
        </is>
      </c>
      <c r="I3484" t="n">
        <v>0.5</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5346-2026</t>
        </is>
      </c>
      <c r="B3485" t="inlineStr">
        <is>
          <t>avverkningsanmälan</t>
        </is>
      </c>
      <c r="C3485" t="inlineStr">
        <is>
          <t>Föryngringsavverkning</t>
        </is>
      </c>
      <c r="D3485" s="1" t="n">
        <v>46050</v>
      </c>
      <c r="E3485" s="1" t="n">
        <v>46326</v>
      </c>
      <c r="F3485" t="inlineStr">
        <is>
          <t>GÄVLEBORGS LÄN</t>
        </is>
      </c>
      <c r="G3485" t="inlineStr">
        <is>
          <t>BOLLNÄS</t>
        </is>
      </c>
      <c r="I3485" t="n">
        <v>2.8</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36091-2025</t>
        </is>
      </c>
      <c r="B3486" t="inlineStr">
        <is>
          <t>avverkningsanmälan</t>
        </is>
      </c>
      <c r="C3486" t="inlineStr">
        <is>
          <t>Föryngringsavverkning</t>
        </is>
      </c>
      <c r="D3486" s="1" t="n">
        <v>45866</v>
      </c>
      <c r="E3486" s="1" t="n">
        <v>46326</v>
      </c>
      <c r="F3486" t="inlineStr">
        <is>
          <t>GÄVLEBORGS LÄN</t>
        </is>
      </c>
      <c r="G3486" t="inlineStr">
        <is>
          <t>SANDVIKEN</t>
        </is>
      </c>
      <c r="H3486" t="inlineStr">
        <is>
          <t>Sveaskog</t>
        </is>
      </c>
      <c r="I3486" t="n">
        <v>2.4</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46790-2025</t>
        </is>
      </c>
      <c r="B3487" t="inlineStr">
        <is>
          <t>avverkningsanmälan</t>
        </is>
      </c>
      <c r="C3487" t="inlineStr">
        <is>
          <t>Föryngringsavverkning</t>
        </is>
      </c>
      <c r="D3487" s="1" t="n">
        <v>45926</v>
      </c>
      <c r="E3487" s="1" t="n">
        <v>46326</v>
      </c>
      <c r="F3487" t="inlineStr">
        <is>
          <t>GÄVLEBORGS LÄN</t>
        </is>
      </c>
      <c r="G3487" t="inlineStr">
        <is>
          <t>GÄVLE</t>
        </is>
      </c>
      <c r="H3487" t="inlineStr">
        <is>
          <t>Bergvik skog väst AB</t>
        </is>
      </c>
      <c r="I3487" t="n">
        <v>1.7</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5596-2026</t>
        </is>
      </c>
      <c r="B3488" t="inlineStr">
        <is>
          <t>avverkningsanmälan</t>
        </is>
      </c>
      <c r="C3488" t="inlineStr">
        <is>
          <t>Föryngringsavverkning</t>
        </is>
      </c>
      <c r="D3488" s="1" t="n">
        <v>46051</v>
      </c>
      <c r="E3488" s="1" t="n">
        <v>46326</v>
      </c>
      <c r="F3488" t="inlineStr">
        <is>
          <t>GÄVLEBORGS LÄN</t>
        </is>
      </c>
      <c r="G3488" t="inlineStr">
        <is>
          <t>OCKELBO</t>
        </is>
      </c>
      <c r="H3488" t="inlineStr">
        <is>
          <t>Bergvik skog väst AB</t>
        </is>
      </c>
      <c r="I3488" t="n">
        <v>0.5</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5603-2026</t>
        </is>
      </c>
      <c r="B3489" t="inlineStr">
        <is>
          <t>avverkningsanmälan</t>
        </is>
      </c>
      <c r="C3489" t="inlineStr">
        <is>
          <t>Föryngringsavverkning</t>
        </is>
      </c>
      <c r="D3489" s="1" t="n">
        <v>46051</v>
      </c>
      <c r="E3489" s="1" t="n">
        <v>46326</v>
      </c>
      <c r="F3489" t="inlineStr">
        <is>
          <t>GÄVLEBORGS LÄN</t>
        </is>
      </c>
      <c r="G3489" t="inlineStr">
        <is>
          <t>NORDANSTIG</t>
        </is>
      </c>
      <c r="I3489" t="n">
        <v>1</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36213-2025</t>
        </is>
      </c>
      <c r="B3490" t="inlineStr">
        <is>
          <t>avverkningsanmälan</t>
        </is>
      </c>
      <c r="C3490" t="inlineStr">
        <is>
          <t>Föryngringsavverkning</t>
        </is>
      </c>
      <c r="D3490" s="1" t="n">
        <v>45867</v>
      </c>
      <c r="E3490" s="1" t="n">
        <v>46326</v>
      </c>
      <c r="F3490" t="inlineStr">
        <is>
          <t>GÄVLEBORGS LÄN</t>
        </is>
      </c>
      <c r="G3490" t="inlineStr">
        <is>
          <t>LJUSDAL</t>
        </is>
      </c>
      <c r="I3490" t="n">
        <v>0.6</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67768-2021</t>
        </is>
      </c>
      <c r="B3491" t="inlineStr">
        <is>
          <t>avverkningsanmälan</t>
        </is>
      </c>
      <c r="C3491" t="inlineStr">
        <is>
          <t>Föryngringsavverkning</t>
        </is>
      </c>
      <c r="D3491" s="1" t="n">
        <v>44525</v>
      </c>
      <c r="E3491" s="1" t="n">
        <v>46326</v>
      </c>
      <c r="F3491" t="inlineStr">
        <is>
          <t>GÄVLEBORGS LÄN</t>
        </is>
      </c>
      <c r="G3491" t="inlineStr">
        <is>
          <t>OCKELBO</t>
        </is>
      </c>
      <c r="H3491" t="inlineStr">
        <is>
          <t>Bergvik skog väst AB</t>
        </is>
      </c>
      <c r="I3491" t="n">
        <v>1.2</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38355-2022</t>
        </is>
      </c>
      <c r="B3492" t="inlineStr">
        <is>
          <t>avverkningsanmälan</t>
        </is>
      </c>
      <c r="C3492" t="inlineStr">
        <is>
          <t>Avverkning för annat ändamål</t>
        </is>
      </c>
      <c r="D3492" s="1" t="n">
        <v>44812</v>
      </c>
      <c r="E3492" s="1" t="n">
        <v>46326</v>
      </c>
      <c r="F3492" t="inlineStr">
        <is>
          <t>GÄVLEBORGS LÄN</t>
        </is>
      </c>
      <c r="G3492" t="inlineStr">
        <is>
          <t>SÖDERHAMN</t>
        </is>
      </c>
      <c r="I3492" t="n">
        <v>2</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36234-2025</t>
        </is>
      </c>
      <c r="B3493" t="inlineStr">
        <is>
          <t>avverkningsanmälan</t>
        </is>
      </c>
      <c r="C3493" t="inlineStr">
        <is>
          <t>Föryngringsavverkning</t>
        </is>
      </c>
      <c r="D3493" s="1" t="n">
        <v>45867</v>
      </c>
      <c r="E3493" s="1" t="n">
        <v>46326</v>
      </c>
      <c r="F3493" t="inlineStr">
        <is>
          <t>GÄVLEBORGS LÄN</t>
        </is>
      </c>
      <c r="G3493" t="inlineStr">
        <is>
          <t>BOLLNÄS</t>
        </is>
      </c>
      <c r="I3493" t="n">
        <v>1.9</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46485-2024</t>
        </is>
      </c>
      <c r="B3494" t="inlineStr">
        <is>
          <t>avverkningsanmälan</t>
        </is>
      </c>
      <c r="C3494" t="inlineStr">
        <is>
          <t>Föryngringsavverkning</t>
        </is>
      </c>
      <c r="D3494" s="1" t="n">
        <v>45582</v>
      </c>
      <c r="E3494" s="1" t="n">
        <v>46326</v>
      </c>
      <c r="F3494" t="inlineStr">
        <is>
          <t>GÄVLEBORGS LÄN</t>
        </is>
      </c>
      <c r="G3494" t="inlineStr">
        <is>
          <t>OCKELBO</t>
        </is>
      </c>
      <c r="H3494" t="inlineStr">
        <is>
          <t>Bergvik skog väst AB</t>
        </is>
      </c>
      <c r="I3494" t="n">
        <v>6.7</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5479-2026</t>
        </is>
      </c>
      <c r="B3495" t="inlineStr">
        <is>
          <t>avverkningsanmälan</t>
        </is>
      </c>
      <c r="C3495" t="inlineStr">
        <is>
          <t>Föryngringsavverkning</t>
        </is>
      </c>
      <c r="D3495" s="1" t="n">
        <v>46050</v>
      </c>
      <c r="E3495" s="1" t="n">
        <v>46326</v>
      </c>
      <c r="F3495" t="inlineStr">
        <is>
          <t>GÄVLEBORGS LÄN</t>
        </is>
      </c>
      <c r="G3495" t="inlineStr">
        <is>
          <t>OVANÅKER</t>
        </is>
      </c>
      <c r="I3495" t="n">
        <v>2.9</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5574-2026</t>
        </is>
      </c>
      <c r="B3496" t="inlineStr">
        <is>
          <t>avverkningsanmälan</t>
        </is>
      </c>
      <c r="C3496" t="inlineStr">
        <is>
          <t>Föryngringsavverkning</t>
        </is>
      </c>
      <c r="D3496" s="1" t="n">
        <v>46051</v>
      </c>
      <c r="E3496" s="1" t="n">
        <v>46326</v>
      </c>
      <c r="F3496" t="inlineStr">
        <is>
          <t>GÄVLEBORGS LÄN</t>
        </is>
      </c>
      <c r="G3496" t="inlineStr">
        <is>
          <t>SANDVIKEN</t>
        </is>
      </c>
      <c r="I3496" t="n">
        <v>2.5</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43652-2025</t>
        </is>
      </c>
      <c r="B3497" t="inlineStr">
        <is>
          <t>avverkningsanmälan</t>
        </is>
      </c>
      <c r="C3497" t="inlineStr">
        <is>
          <t>Föryngringsavverkning</t>
        </is>
      </c>
      <c r="D3497" s="1" t="n">
        <v>45912</v>
      </c>
      <c r="E3497" s="1" t="n">
        <v>46326</v>
      </c>
      <c r="F3497" t="inlineStr">
        <is>
          <t>GÄVLEBORGS LÄN</t>
        </is>
      </c>
      <c r="G3497" t="inlineStr">
        <is>
          <t>NORDANSTIG</t>
        </is>
      </c>
      <c r="H3497" t="inlineStr">
        <is>
          <t>Holmen skog AB</t>
        </is>
      </c>
      <c r="I3497" t="n">
        <v>1</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29768-2023</t>
        </is>
      </c>
      <c r="B3498" t="inlineStr">
        <is>
          <t>avverkningsanmälan</t>
        </is>
      </c>
      <c r="C3498" t="inlineStr">
        <is>
          <t>Föryngringsavverkning</t>
        </is>
      </c>
      <c r="D3498" s="1" t="n">
        <v>45107</v>
      </c>
      <c r="E3498" s="1" t="n">
        <v>46326</v>
      </c>
      <c r="F3498" t="inlineStr">
        <is>
          <t>GÄVLEBORGS LÄN</t>
        </is>
      </c>
      <c r="G3498" t="inlineStr">
        <is>
          <t>OCKELBO</t>
        </is>
      </c>
      <c r="H3498" t="inlineStr">
        <is>
          <t>Bergvik skog väst AB</t>
        </is>
      </c>
      <c r="I3498" t="n">
        <v>2.9</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5262-2026</t>
        </is>
      </c>
      <c r="B3499" t="inlineStr">
        <is>
          <t>avverkningsanmälan</t>
        </is>
      </c>
      <c r="C3499" t="inlineStr">
        <is>
          <t>Föryngringsavverkning</t>
        </is>
      </c>
      <c r="D3499" s="1" t="n">
        <v>46050</v>
      </c>
      <c r="E3499" s="1" t="n">
        <v>46326</v>
      </c>
      <c r="F3499" t="inlineStr">
        <is>
          <t>GÄVLEBORGS LÄN</t>
        </is>
      </c>
      <c r="G3499" t="inlineStr">
        <is>
          <t>BOLLNÄS</t>
        </is>
      </c>
      <c r="I3499" t="n">
        <v>1.3</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5337-2026</t>
        </is>
      </c>
      <c r="B3500" t="inlineStr">
        <is>
          <t>avverkningsanmälan</t>
        </is>
      </c>
      <c r="C3500" t="inlineStr">
        <is>
          <t>Föryngringsavverkning</t>
        </is>
      </c>
      <c r="D3500" s="1" t="n">
        <v>46050</v>
      </c>
      <c r="E3500" s="1" t="n">
        <v>46326</v>
      </c>
      <c r="F3500" t="inlineStr">
        <is>
          <t>GÄVLEBORGS LÄN</t>
        </is>
      </c>
      <c r="G3500" t="inlineStr">
        <is>
          <t>OCKELBO</t>
        </is>
      </c>
      <c r="H3500" t="inlineStr">
        <is>
          <t>Bergvik skog väst AB</t>
        </is>
      </c>
      <c r="I3500" t="n">
        <v>6.9</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36047-2025</t>
        </is>
      </c>
      <c r="B3501" t="inlineStr">
        <is>
          <t>avverkningsanmälan</t>
        </is>
      </c>
      <c r="C3501" t="inlineStr">
        <is>
          <t>Föryngringsavverkning</t>
        </is>
      </c>
      <c r="D3501" s="1" t="n">
        <v>45866</v>
      </c>
      <c r="E3501" s="1" t="n">
        <v>46326</v>
      </c>
      <c r="F3501" t="inlineStr">
        <is>
          <t>GÄVLEBORGS LÄN</t>
        </is>
      </c>
      <c r="G3501" t="inlineStr">
        <is>
          <t>LJUSDAL</t>
        </is>
      </c>
      <c r="I3501" t="n">
        <v>2.2</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47382-2025</t>
        </is>
      </c>
      <c r="B3502" t="inlineStr">
        <is>
          <t>avverkningsanmälan</t>
        </is>
      </c>
      <c r="C3502" t="inlineStr">
        <is>
          <t>Föryngringsavverkning</t>
        </is>
      </c>
      <c r="D3502" s="1" t="n">
        <v>45930</v>
      </c>
      <c r="E3502" s="1" t="n">
        <v>46326</v>
      </c>
      <c r="F3502" t="inlineStr">
        <is>
          <t>GÄVLEBORGS LÄN</t>
        </is>
      </c>
      <c r="G3502" t="inlineStr">
        <is>
          <t>OVANÅKER</t>
        </is>
      </c>
      <c r="I3502" t="n">
        <v>0.7</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47384-2025</t>
        </is>
      </c>
      <c r="B3503" t="inlineStr">
        <is>
          <t>avverkningsanmälan</t>
        </is>
      </c>
      <c r="C3503" t="inlineStr">
        <is>
          <t>Föryngringsavverkning</t>
        </is>
      </c>
      <c r="D3503" s="1" t="n">
        <v>45930</v>
      </c>
      <c r="E3503" s="1" t="n">
        <v>46326</v>
      </c>
      <c r="F3503" t="inlineStr">
        <is>
          <t>GÄVLEBORGS LÄN</t>
        </is>
      </c>
      <c r="G3503" t="inlineStr">
        <is>
          <t>OVANÅKER</t>
        </is>
      </c>
      <c r="I3503" t="n">
        <v>2.6</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5594-2026</t>
        </is>
      </c>
      <c r="B3504" t="inlineStr">
        <is>
          <t>avverkningsanmälan</t>
        </is>
      </c>
      <c r="C3504" t="inlineStr">
        <is>
          <t>Föryngringsavverkning</t>
        </is>
      </c>
      <c r="D3504" s="1" t="n">
        <v>46051</v>
      </c>
      <c r="E3504" s="1" t="n">
        <v>46326</v>
      </c>
      <c r="F3504" t="inlineStr">
        <is>
          <t>GÄVLEBORGS LÄN</t>
        </is>
      </c>
      <c r="G3504" t="inlineStr">
        <is>
          <t>NORDANSTIG</t>
        </is>
      </c>
      <c r="I3504" t="n">
        <v>0.8</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5610-2026</t>
        </is>
      </c>
      <c r="B3505" t="inlineStr">
        <is>
          <t>avverkningsanmälan</t>
        </is>
      </c>
      <c r="C3505" t="inlineStr">
        <is>
          <t>Föryngringsavverkning</t>
        </is>
      </c>
      <c r="D3505" s="1" t="n">
        <v>46051</v>
      </c>
      <c r="E3505" s="1" t="n">
        <v>46326</v>
      </c>
      <c r="F3505" t="inlineStr">
        <is>
          <t>GÄVLEBORGS LÄN</t>
        </is>
      </c>
      <c r="G3505" t="inlineStr">
        <is>
          <t>HUDIKSVALL</t>
        </is>
      </c>
      <c r="I3505" t="n">
        <v>1</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5444-2026</t>
        </is>
      </c>
      <c r="B3506" t="inlineStr">
        <is>
          <t>avverkningsanmälan</t>
        </is>
      </c>
      <c r="C3506" t="inlineStr">
        <is>
          <t>Föryngringsavverkning</t>
        </is>
      </c>
      <c r="D3506" s="1" t="n">
        <v>46050</v>
      </c>
      <c r="E3506" s="1" t="n">
        <v>46326</v>
      </c>
      <c r="F3506" t="inlineStr">
        <is>
          <t>GÄVLEBORGS LÄN</t>
        </is>
      </c>
      <c r="G3506" t="inlineStr">
        <is>
          <t>OVANÅKER</t>
        </is>
      </c>
      <c r="I3506" t="n">
        <v>1.6</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5447-2026</t>
        </is>
      </c>
      <c r="B3507" t="inlineStr">
        <is>
          <t>avverkningsanmälan</t>
        </is>
      </c>
      <c r="C3507" t="inlineStr">
        <is>
          <t>Föryngringsavverkning</t>
        </is>
      </c>
      <c r="D3507" s="1" t="n">
        <v>46050</v>
      </c>
      <c r="E3507" s="1" t="n">
        <v>46326</v>
      </c>
      <c r="F3507" t="inlineStr">
        <is>
          <t>GÄVLEBORGS LÄN</t>
        </is>
      </c>
      <c r="G3507" t="inlineStr">
        <is>
          <t>HUDIKSVALL</t>
        </is>
      </c>
      <c r="I3507" t="n">
        <v>2.2</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5462-2023</t>
        </is>
      </c>
      <c r="B3508" t="inlineStr">
        <is>
          <t>avverkningsanmälan</t>
        </is>
      </c>
      <c r="C3508" t="inlineStr">
        <is>
          <t>Föryngringsavverkning</t>
        </is>
      </c>
      <c r="D3508" s="1" t="n">
        <v>44960</v>
      </c>
      <c r="E3508" s="1" t="n">
        <v>46326</v>
      </c>
      <c r="F3508" t="inlineStr">
        <is>
          <t>GÄVLEBORGS LÄN</t>
        </is>
      </c>
      <c r="G3508" t="inlineStr">
        <is>
          <t>GÄVLE</t>
        </is>
      </c>
      <c r="H3508" t="inlineStr">
        <is>
          <t>Bergvik skog öst AB</t>
        </is>
      </c>
      <c r="I3508" t="n">
        <v>2.2</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60822-2022</t>
        </is>
      </c>
      <c r="B3509" t="inlineStr">
        <is>
          <t>avverkningsanmälan</t>
        </is>
      </c>
      <c r="C3509" t="inlineStr">
        <is>
          <t>Föryngringsavverkning</t>
        </is>
      </c>
      <c r="D3509" s="1" t="n">
        <v>44904</v>
      </c>
      <c r="E3509" s="1" t="n">
        <v>46326</v>
      </c>
      <c r="F3509" t="inlineStr">
        <is>
          <t>GÄVLEBORGS LÄN</t>
        </is>
      </c>
      <c r="G3509" t="inlineStr">
        <is>
          <t>LJUSDAL</t>
        </is>
      </c>
      <c r="I3509" t="n">
        <v>0.8</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36106-2025</t>
        </is>
      </c>
      <c r="B3510" t="inlineStr">
        <is>
          <t>avverkningsanmälan</t>
        </is>
      </c>
      <c r="C3510" t="inlineStr">
        <is>
          <t>Föryngringsavverkning</t>
        </is>
      </c>
      <c r="D3510" s="1" t="n">
        <v>45866</v>
      </c>
      <c r="E3510" s="1" t="n">
        <v>46326</v>
      </c>
      <c r="F3510" t="inlineStr">
        <is>
          <t>GÄVLEBORGS LÄN</t>
        </is>
      </c>
      <c r="G3510" t="inlineStr">
        <is>
          <t>GÄVLE</t>
        </is>
      </c>
      <c r="H3510" t="inlineStr">
        <is>
          <t>Bergvik skog väst AB</t>
        </is>
      </c>
      <c r="I3510" t="n">
        <v>1.2</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47602-2025</t>
        </is>
      </c>
      <c r="B3511" t="inlineStr">
        <is>
          <t>avverkningsanmälan</t>
        </is>
      </c>
      <c r="C3511" t="inlineStr">
        <is>
          <t>Föryngringsavverkning</t>
        </is>
      </c>
      <c r="D3511" s="1" t="n">
        <v>45931</v>
      </c>
      <c r="E3511" s="1" t="n">
        <v>46326</v>
      </c>
      <c r="F3511" t="inlineStr">
        <is>
          <t>GÄVLEBORGS LÄN</t>
        </is>
      </c>
      <c r="G3511" t="inlineStr">
        <is>
          <t>GÄVLE</t>
        </is>
      </c>
      <c r="I3511" t="n">
        <v>1.7</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47249-2025</t>
        </is>
      </c>
      <c r="B3512" t="inlineStr">
        <is>
          <t>avverkningsanmälan</t>
        </is>
      </c>
      <c r="C3512" t="inlineStr">
        <is>
          <t>Föryngringsavverkning</t>
        </is>
      </c>
      <c r="D3512" s="1" t="n">
        <v>45930</v>
      </c>
      <c r="E3512" s="1" t="n">
        <v>46326</v>
      </c>
      <c r="F3512" t="inlineStr">
        <is>
          <t>GÄVLEBORGS LÄN</t>
        </is>
      </c>
      <c r="G3512" t="inlineStr">
        <is>
          <t>HOFORS</t>
        </is>
      </c>
      <c r="I3512" t="n">
        <v>1.6</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5755-2026</t>
        </is>
      </c>
      <c r="B3513" t="inlineStr">
        <is>
          <t>avverkningsanmälan</t>
        </is>
      </c>
      <c r="C3513" t="inlineStr">
        <is>
          <t>Föryngringsavverkning</t>
        </is>
      </c>
      <c r="D3513" s="1" t="n">
        <v>46051</v>
      </c>
      <c r="E3513" s="1" t="n">
        <v>46326</v>
      </c>
      <c r="F3513" t="inlineStr">
        <is>
          <t>GÄVLEBORGS LÄN</t>
        </is>
      </c>
      <c r="G3513" t="inlineStr">
        <is>
          <t>SANDVIKEN</t>
        </is>
      </c>
      <c r="I3513" t="n">
        <v>2.8</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5499-2026</t>
        </is>
      </c>
      <c r="B3514" t="inlineStr">
        <is>
          <t>avverkningsanmälan</t>
        </is>
      </c>
      <c r="C3514" t="inlineStr">
        <is>
          <t>Föryngringsavverkning</t>
        </is>
      </c>
      <c r="D3514" s="1" t="n">
        <v>46050</v>
      </c>
      <c r="E3514" s="1" t="n">
        <v>46326</v>
      </c>
      <c r="F3514" t="inlineStr">
        <is>
          <t>GÄVLEBORGS LÄN</t>
        </is>
      </c>
      <c r="G3514" t="inlineStr">
        <is>
          <t>OVANÅKER</t>
        </is>
      </c>
      <c r="I3514" t="n">
        <v>8.300000000000001</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36255-2025</t>
        </is>
      </c>
      <c r="B3515" t="inlineStr">
        <is>
          <t>avverkningsanmälan</t>
        </is>
      </c>
      <c r="C3515" t="inlineStr">
        <is>
          <t>Föryngringsavverkning</t>
        </is>
      </c>
      <c r="D3515" s="1" t="n">
        <v>45867</v>
      </c>
      <c r="E3515" s="1" t="n">
        <v>46326</v>
      </c>
      <c r="F3515" t="inlineStr">
        <is>
          <t>GÄVLEBORGS LÄN</t>
        </is>
      </c>
      <c r="G3515" t="inlineStr">
        <is>
          <t>GÄVLE</t>
        </is>
      </c>
      <c r="I3515" t="n">
        <v>1.2</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36200-2025</t>
        </is>
      </c>
      <c r="B3516" t="inlineStr">
        <is>
          <t>avverkningsanmälan</t>
        </is>
      </c>
      <c r="C3516" t="inlineStr">
        <is>
          <t>Föryngringsavverkning</t>
        </is>
      </c>
      <c r="D3516" s="1" t="n">
        <v>45867</v>
      </c>
      <c r="E3516" s="1" t="n">
        <v>46326</v>
      </c>
      <c r="F3516" t="inlineStr">
        <is>
          <t>GÄVLEBORGS LÄN</t>
        </is>
      </c>
      <c r="G3516" t="inlineStr">
        <is>
          <t>HUDIKSVALL</t>
        </is>
      </c>
      <c r="H3516" t="inlineStr">
        <is>
          <t>Holmen skog AB</t>
        </is>
      </c>
      <c r="I3516" t="n">
        <v>2.4</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5396-2026</t>
        </is>
      </c>
      <c r="B3517" t="inlineStr">
        <is>
          <t>avverkningsanmälan</t>
        </is>
      </c>
      <c r="C3517" t="inlineStr">
        <is>
          <t>Föryngringsavverkning</t>
        </is>
      </c>
      <c r="D3517" s="1" t="n">
        <v>46050</v>
      </c>
      <c r="E3517" s="1" t="n">
        <v>46326</v>
      </c>
      <c r="F3517" t="inlineStr">
        <is>
          <t>GÄVLEBORGS LÄN</t>
        </is>
      </c>
      <c r="G3517" t="inlineStr">
        <is>
          <t>BOLLNÄS</t>
        </is>
      </c>
      <c r="H3517" t="inlineStr">
        <is>
          <t>Bergvik skog väst AB</t>
        </is>
      </c>
      <c r="I3517" t="n">
        <v>0.4</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5668-2026</t>
        </is>
      </c>
      <c r="B3518" t="inlineStr">
        <is>
          <t>avverkningsanmälan</t>
        </is>
      </c>
      <c r="C3518" t="inlineStr">
        <is>
          <t>Föryngringsavverkning</t>
        </is>
      </c>
      <c r="D3518" s="1" t="n">
        <v>46051</v>
      </c>
      <c r="E3518" s="1" t="n">
        <v>46326</v>
      </c>
      <c r="F3518" t="inlineStr">
        <is>
          <t>GÄVLEBORGS LÄN</t>
        </is>
      </c>
      <c r="G3518" t="inlineStr">
        <is>
          <t>OCKELBO</t>
        </is>
      </c>
      <c r="I3518" t="n">
        <v>1.4</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47612-2025</t>
        </is>
      </c>
      <c r="B3519" t="inlineStr">
        <is>
          <t>avverkningsanmälan</t>
        </is>
      </c>
      <c r="C3519" t="inlineStr">
        <is>
          <t>Föryngringsavverkning</t>
        </is>
      </c>
      <c r="D3519" s="1" t="n">
        <v>45931</v>
      </c>
      <c r="E3519" s="1" t="n">
        <v>46326</v>
      </c>
      <c r="F3519" t="inlineStr">
        <is>
          <t>GÄVLEBORGS LÄN</t>
        </is>
      </c>
      <c r="G3519" t="inlineStr">
        <is>
          <t>GÄVLE</t>
        </is>
      </c>
      <c r="I3519" t="n">
        <v>2.5</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29802-2023</t>
        </is>
      </c>
      <c r="B3520" t="inlineStr">
        <is>
          <t>avverkningsanmälan</t>
        </is>
      </c>
      <c r="C3520" t="inlineStr">
        <is>
          <t>Föryngringsavverkning</t>
        </is>
      </c>
      <c r="D3520" s="1" t="n">
        <v>45107</v>
      </c>
      <c r="E3520" s="1" t="n">
        <v>46326</v>
      </c>
      <c r="F3520" t="inlineStr">
        <is>
          <t>GÄVLEBORGS LÄN</t>
        </is>
      </c>
      <c r="G3520" t="inlineStr">
        <is>
          <t>SÖDERHAMN</t>
        </is>
      </c>
      <c r="I3520" t="n">
        <v>1.7</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29807-2023</t>
        </is>
      </c>
      <c r="B3521" t="inlineStr">
        <is>
          <t>avverkningsanmälan</t>
        </is>
      </c>
      <c r="C3521" t="inlineStr">
        <is>
          <t>Föryngringsavverkning</t>
        </is>
      </c>
      <c r="D3521" s="1" t="n">
        <v>45099</v>
      </c>
      <c r="E3521" s="1" t="n">
        <v>46326</v>
      </c>
      <c r="F3521" t="inlineStr">
        <is>
          <t>GÄVLEBORGS LÄN</t>
        </is>
      </c>
      <c r="G3521" t="inlineStr">
        <is>
          <t>LJUSDAL</t>
        </is>
      </c>
      <c r="I3521" t="n">
        <v>0.8</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5674-2026</t>
        </is>
      </c>
      <c r="B3522" t="inlineStr">
        <is>
          <t>avverkningsanmälan</t>
        </is>
      </c>
      <c r="C3522" t="inlineStr">
        <is>
          <t>Föryngringsavverkning</t>
        </is>
      </c>
      <c r="D3522" s="1" t="n">
        <v>46051</v>
      </c>
      <c r="E3522" s="1" t="n">
        <v>46326</v>
      </c>
      <c r="F3522" t="inlineStr">
        <is>
          <t>GÄVLEBORGS LÄN</t>
        </is>
      </c>
      <c r="G3522" t="inlineStr">
        <is>
          <t>BOLLNÄS</t>
        </is>
      </c>
      <c r="I3522" t="n">
        <v>0.4</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5676-2026</t>
        </is>
      </c>
      <c r="B3523" t="inlineStr">
        <is>
          <t>avverkningsanmälan</t>
        </is>
      </c>
      <c r="C3523" t="inlineStr">
        <is>
          <t>Föryngringsavverkning</t>
        </is>
      </c>
      <c r="D3523" s="1" t="n">
        <v>46051</v>
      </c>
      <c r="E3523" s="1" t="n">
        <v>46326</v>
      </c>
      <c r="F3523" t="inlineStr">
        <is>
          <t>GÄVLEBORGS LÄN</t>
        </is>
      </c>
      <c r="G3523" t="inlineStr">
        <is>
          <t>BOLLNÄS</t>
        </is>
      </c>
      <c r="I3523" t="n">
        <v>0.5</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47267-2025</t>
        </is>
      </c>
      <c r="B3524" t="inlineStr">
        <is>
          <t>avverkningsanmälan</t>
        </is>
      </c>
      <c r="C3524" t="inlineStr">
        <is>
          <t>Föryngringsavverkning</t>
        </is>
      </c>
      <c r="D3524" s="1" t="n">
        <v>45930</v>
      </c>
      <c r="E3524" s="1" t="n">
        <v>46326</v>
      </c>
      <c r="F3524" t="inlineStr">
        <is>
          <t>GÄVLEBORGS LÄN</t>
        </is>
      </c>
      <c r="G3524" t="inlineStr">
        <is>
          <t>OCKELBO</t>
        </is>
      </c>
      <c r="I3524" t="n">
        <v>2.1</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47324-2025</t>
        </is>
      </c>
      <c r="B3525" t="inlineStr">
        <is>
          <t>avverkningsanmälan</t>
        </is>
      </c>
      <c r="C3525" t="inlineStr">
        <is>
          <t>Föryngringsavverkning</t>
        </is>
      </c>
      <c r="D3525" s="1" t="n">
        <v>45930</v>
      </c>
      <c r="E3525" s="1" t="n">
        <v>46326</v>
      </c>
      <c r="F3525" t="inlineStr">
        <is>
          <t>GÄVLEBORGS LÄN</t>
        </is>
      </c>
      <c r="G3525" t="inlineStr">
        <is>
          <t>LJUSDAL</t>
        </is>
      </c>
      <c r="I3525" t="n">
        <v>1.2</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6376-2026</t>
        </is>
      </c>
      <c r="B3526" t="inlineStr">
        <is>
          <t>avverkningsanmälan</t>
        </is>
      </c>
      <c r="C3526" t="inlineStr">
        <is>
          <t>Föryngringsavverkning</t>
        </is>
      </c>
      <c r="D3526" s="1" t="n">
        <v>46055</v>
      </c>
      <c r="E3526" s="1" t="n">
        <v>46326</v>
      </c>
      <c r="F3526" t="inlineStr">
        <is>
          <t>GÄVLEBORGS LÄN</t>
        </is>
      </c>
      <c r="G3526" t="inlineStr">
        <is>
          <t>BOLLNÄS</t>
        </is>
      </c>
      <c r="H3526" t="inlineStr">
        <is>
          <t>Bergvik skog väst AB</t>
        </is>
      </c>
      <c r="I3526" t="n">
        <v>8.699999999999999</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3163-2026</t>
        </is>
      </c>
      <c r="B3527" t="inlineStr">
        <is>
          <t>avverkningsanmälan</t>
        </is>
      </c>
      <c r="C3527" t="inlineStr">
        <is>
          <t>Föryngringsavverkning</t>
        </is>
      </c>
      <c r="D3527" s="1" t="n">
        <v>46041</v>
      </c>
      <c r="E3527" s="1" t="n">
        <v>46326</v>
      </c>
      <c r="F3527" t="inlineStr">
        <is>
          <t>GÄVLEBORGS LÄN</t>
        </is>
      </c>
      <c r="G3527" t="inlineStr">
        <is>
          <t>BOLLNÄS</t>
        </is>
      </c>
      <c r="I3527" t="n">
        <v>6.7</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5846-2026</t>
        </is>
      </c>
      <c r="B3528" t="inlineStr">
        <is>
          <t>avverkningsanmälan</t>
        </is>
      </c>
      <c r="C3528" t="inlineStr">
        <is>
          <t>Föryngringsavverkning</t>
        </is>
      </c>
      <c r="D3528" s="1" t="n">
        <v>46052</v>
      </c>
      <c r="E3528" s="1" t="n">
        <v>46326</v>
      </c>
      <c r="F3528" t="inlineStr">
        <is>
          <t>GÄVLEBORGS LÄN</t>
        </is>
      </c>
      <c r="G3528" t="inlineStr">
        <is>
          <t>OCKELBO</t>
        </is>
      </c>
      <c r="I3528" t="n">
        <v>2.3</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6274-2026</t>
        </is>
      </c>
      <c r="B3529" t="inlineStr">
        <is>
          <t>avverkningsanmälan</t>
        </is>
      </c>
      <c r="C3529" t="inlineStr">
        <is>
          <t>Föryngringsavverkning</t>
        </is>
      </c>
      <c r="D3529" s="1" t="n">
        <v>46055</v>
      </c>
      <c r="E3529" s="1" t="n">
        <v>46326</v>
      </c>
      <c r="F3529" t="inlineStr">
        <is>
          <t>GÄVLEBORGS LÄN</t>
        </is>
      </c>
      <c r="G3529" t="inlineStr">
        <is>
          <t>SANDVIKEN</t>
        </is>
      </c>
      <c r="H3529" t="inlineStr">
        <is>
          <t>Kommuner</t>
        </is>
      </c>
      <c r="I3529" t="n">
        <v>1.5</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36159-2025</t>
        </is>
      </c>
      <c r="B3530" t="inlineStr">
        <is>
          <t>avverkningsanmälan</t>
        </is>
      </c>
      <c r="C3530" t="inlineStr">
        <is>
          <t>Föryngringsavverkning</t>
        </is>
      </c>
      <c r="D3530" s="1" t="n">
        <v>45867</v>
      </c>
      <c r="E3530" s="1" t="n">
        <v>46326</v>
      </c>
      <c r="F3530" t="inlineStr">
        <is>
          <t>GÄVLEBORGS LÄN</t>
        </is>
      </c>
      <c r="G3530" t="inlineStr">
        <is>
          <t>HUDIKSVALL</t>
        </is>
      </c>
      <c r="I3530" t="n">
        <v>3.6</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1075-2025</t>
        </is>
      </c>
      <c r="B3531" t="inlineStr">
        <is>
          <t>avverkningsanmälan</t>
        </is>
      </c>
      <c r="C3531" t="inlineStr">
        <is>
          <t>Föryngringsavverkning</t>
        </is>
      </c>
      <c r="D3531" s="1" t="n">
        <v>45666</v>
      </c>
      <c r="E3531" s="1" t="n">
        <v>46326</v>
      </c>
      <c r="F3531" t="inlineStr">
        <is>
          <t>GÄVLEBORGS LÄN</t>
        </is>
      </c>
      <c r="G3531" t="inlineStr">
        <is>
          <t>SÖDERHAMN</t>
        </is>
      </c>
      <c r="H3531" t="inlineStr">
        <is>
          <t>Kommuner</t>
        </is>
      </c>
      <c r="I3531" t="n">
        <v>0.4</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1111-2025</t>
        </is>
      </c>
      <c r="B3532" t="inlineStr">
        <is>
          <t>avverkningsanmälan</t>
        </is>
      </c>
      <c r="C3532" t="inlineStr">
        <is>
          <t>Föryngringsavverkning</t>
        </is>
      </c>
      <c r="D3532" s="1" t="n">
        <v>45666</v>
      </c>
      <c r="E3532" s="1" t="n">
        <v>46326</v>
      </c>
      <c r="F3532" t="inlineStr">
        <is>
          <t>GÄVLEBORGS LÄN</t>
        </is>
      </c>
      <c r="G3532" t="inlineStr">
        <is>
          <t>HUDIKSVALL</t>
        </is>
      </c>
      <c r="I3532" t="n">
        <v>3.2</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6793-2026</t>
        </is>
      </c>
      <c r="B3533" t="inlineStr">
        <is>
          <t>avverkningsanmälan</t>
        </is>
      </c>
      <c r="C3533" t="inlineStr">
        <is>
          <t>Föryngringsavverkning</t>
        </is>
      </c>
      <c r="D3533" s="1" t="n">
        <v>46055</v>
      </c>
      <c r="E3533" s="1" t="n">
        <v>46326</v>
      </c>
      <c r="F3533" t="inlineStr">
        <is>
          <t>GÄVLEBORGS LÄN</t>
        </is>
      </c>
      <c r="G3533" t="inlineStr">
        <is>
          <t>SANDVIKEN</t>
        </is>
      </c>
      <c r="I3533" t="n">
        <v>0.9</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47310-2025</t>
        </is>
      </c>
      <c r="B3534" t="inlineStr">
        <is>
          <t>avverkningsanmälan</t>
        </is>
      </c>
      <c r="C3534" t="inlineStr">
        <is>
          <t>Föryngringsavverkning</t>
        </is>
      </c>
      <c r="D3534" s="1" t="n">
        <v>45930</v>
      </c>
      <c r="E3534" s="1" t="n">
        <v>46326</v>
      </c>
      <c r="F3534" t="inlineStr">
        <is>
          <t>GÄVLEBORGS LÄN</t>
        </is>
      </c>
      <c r="G3534" t="inlineStr">
        <is>
          <t>OVANÅKER</t>
        </is>
      </c>
      <c r="I3534" t="n">
        <v>0.7</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36265-2025</t>
        </is>
      </c>
      <c r="B3535" t="inlineStr">
        <is>
          <t>avverkningsanmälan</t>
        </is>
      </c>
      <c r="C3535" t="inlineStr">
        <is>
          <t>Föryngringsavverkning</t>
        </is>
      </c>
      <c r="D3535" s="1" t="n">
        <v>45867</v>
      </c>
      <c r="E3535" s="1" t="n">
        <v>46326</v>
      </c>
      <c r="F3535" t="inlineStr">
        <is>
          <t>GÄVLEBORGS LÄN</t>
        </is>
      </c>
      <c r="G3535" t="inlineStr">
        <is>
          <t>BOLLNÄS</t>
        </is>
      </c>
      <c r="I3535" t="n">
        <v>1.1</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47374-2025</t>
        </is>
      </c>
      <c r="B3536" t="inlineStr">
        <is>
          <t>avverkningsanmälan</t>
        </is>
      </c>
      <c r="C3536" t="inlineStr">
        <is>
          <t>Föryngringsavverkning</t>
        </is>
      </c>
      <c r="D3536" s="1" t="n">
        <v>45930</v>
      </c>
      <c r="E3536" s="1" t="n">
        <v>46326</v>
      </c>
      <c r="F3536" t="inlineStr">
        <is>
          <t>GÄVLEBORGS LÄN</t>
        </is>
      </c>
      <c r="G3536" t="inlineStr">
        <is>
          <t>OVANÅKER</t>
        </is>
      </c>
      <c r="I3536" t="n">
        <v>7.2</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6336-2026</t>
        </is>
      </c>
      <c r="B3537" t="inlineStr">
        <is>
          <t>avverkningsanmälan</t>
        </is>
      </c>
      <c r="C3537" t="inlineStr">
        <is>
          <t>Föryngringsavverkning</t>
        </is>
      </c>
      <c r="D3537" s="1" t="n">
        <v>46055</v>
      </c>
      <c r="E3537" s="1" t="n">
        <v>46326</v>
      </c>
      <c r="F3537" t="inlineStr">
        <is>
          <t>GÄVLEBORGS LÄN</t>
        </is>
      </c>
      <c r="G3537" t="inlineStr">
        <is>
          <t>SÖDERHAMN</t>
        </is>
      </c>
      <c r="I3537" t="n">
        <v>14</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6374-2026</t>
        </is>
      </c>
      <c r="B3538" t="inlineStr">
        <is>
          <t>avverkningsanmälan</t>
        </is>
      </c>
      <c r="C3538" t="inlineStr">
        <is>
          <t>Föryngringsavverkning</t>
        </is>
      </c>
      <c r="D3538" s="1" t="n">
        <v>46055</v>
      </c>
      <c r="E3538" s="1" t="n">
        <v>46326</v>
      </c>
      <c r="F3538" t="inlineStr">
        <is>
          <t>GÄVLEBORGS LÄN</t>
        </is>
      </c>
      <c r="G3538" t="inlineStr">
        <is>
          <t>LJUSDAL</t>
        </is>
      </c>
      <c r="I3538" t="n">
        <v>1.5</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1213-2025</t>
        </is>
      </c>
      <c r="B3539" t="inlineStr">
        <is>
          <t>avverkningsanmälan</t>
        </is>
      </c>
      <c r="C3539" t="inlineStr">
        <is>
          <t>Föryngringsavverkning</t>
        </is>
      </c>
      <c r="D3539" s="1" t="n">
        <v>45667</v>
      </c>
      <c r="E3539" s="1" t="n">
        <v>46326</v>
      </c>
      <c r="F3539" t="inlineStr">
        <is>
          <t>GÄVLEBORGS LÄN</t>
        </is>
      </c>
      <c r="G3539" t="inlineStr">
        <is>
          <t>SANDVIKEN</t>
        </is>
      </c>
      <c r="I3539" t="n">
        <v>2.4</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6150-2026</t>
        </is>
      </c>
      <c r="B3540" t="inlineStr">
        <is>
          <t>avverkningsanmälan</t>
        </is>
      </c>
      <c r="C3540" t="inlineStr">
        <is>
          <t>Föryngringsavverkning</t>
        </is>
      </c>
      <c r="D3540" s="1" t="n">
        <v>46054</v>
      </c>
      <c r="E3540" s="1" t="n">
        <v>46326</v>
      </c>
      <c r="F3540" t="inlineStr">
        <is>
          <t>GÄVLEBORGS LÄN</t>
        </is>
      </c>
      <c r="G3540" t="inlineStr">
        <is>
          <t>OVANÅKER</t>
        </is>
      </c>
      <c r="I3540" t="n">
        <v>1.4</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6065-2026</t>
        </is>
      </c>
      <c r="B3541" t="inlineStr">
        <is>
          <t>avverkningsanmälan</t>
        </is>
      </c>
      <c r="C3541" t="inlineStr">
        <is>
          <t>Föryngringsavverkning</t>
        </is>
      </c>
      <c r="D3541" s="1" t="n">
        <v>46052</v>
      </c>
      <c r="E3541" s="1" t="n">
        <v>46326</v>
      </c>
      <c r="F3541" t="inlineStr">
        <is>
          <t>GÄVLEBORGS LÄN</t>
        </is>
      </c>
      <c r="G3541" t="inlineStr">
        <is>
          <t>GÄVLE</t>
        </is>
      </c>
      <c r="H3541" t="inlineStr">
        <is>
          <t>Bergvik skog öst AB</t>
        </is>
      </c>
      <c r="I3541" t="n">
        <v>2.3</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6066-2026</t>
        </is>
      </c>
      <c r="B3542" t="inlineStr">
        <is>
          <t>avverkningsanmälan</t>
        </is>
      </c>
      <c r="C3542" t="inlineStr">
        <is>
          <t>Föryngringsavverkning</t>
        </is>
      </c>
      <c r="D3542" s="1" t="n">
        <v>46052</v>
      </c>
      <c r="E3542" s="1" t="n">
        <v>46326</v>
      </c>
      <c r="F3542" t="inlineStr">
        <is>
          <t>GÄVLEBORGS LÄN</t>
        </is>
      </c>
      <c r="G3542" t="inlineStr">
        <is>
          <t>HUDIKSVALL</t>
        </is>
      </c>
      <c r="I3542" t="n">
        <v>2.5</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6153-2026</t>
        </is>
      </c>
      <c r="B3543" t="inlineStr">
        <is>
          <t>avverkningsanmälan</t>
        </is>
      </c>
      <c r="C3543" t="inlineStr">
        <is>
          <t>Föryngringsavverkning</t>
        </is>
      </c>
      <c r="D3543" s="1" t="n">
        <v>46055</v>
      </c>
      <c r="E3543" s="1" t="n">
        <v>46326</v>
      </c>
      <c r="F3543" t="inlineStr">
        <is>
          <t>GÄVLEBORGS LÄN</t>
        </is>
      </c>
      <c r="G3543" t="inlineStr">
        <is>
          <t>BOLLNÄS</t>
        </is>
      </c>
      <c r="I3543" t="n">
        <v>2.3</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47183-2025</t>
        </is>
      </c>
      <c r="B3544" t="inlineStr">
        <is>
          <t>avverkningsanmälan</t>
        </is>
      </c>
      <c r="C3544" t="inlineStr">
        <is>
          <t>Föryngringsavverkning</t>
        </is>
      </c>
      <c r="D3544" s="1" t="n">
        <v>45930</v>
      </c>
      <c r="E3544" s="1" t="n">
        <v>46326</v>
      </c>
      <c r="F3544" t="inlineStr">
        <is>
          <t>GÄVLEBORGS LÄN</t>
        </is>
      </c>
      <c r="G3544" t="inlineStr">
        <is>
          <t>HUDIKSVALL</t>
        </is>
      </c>
      <c r="I3544" t="n">
        <v>16.4</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47185-2025</t>
        </is>
      </c>
      <c r="B3545" t="inlineStr">
        <is>
          <t>avverkningsanmälan</t>
        </is>
      </c>
      <c r="C3545" t="inlineStr">
        <is>
          <t>Föryngringsavverkning</t>
        </is>
      </c>
      <c r="D3545" s="1" t="n">
        <v>45930</v>
      </c>
      <c r="E3545" s="1" t="n">
        <v>46326</v>
      </c>
      <c r="F3545" t="inlineStr">
        <is>
          <t>GÄVLEBORGS LÄN</t>
        </is>
      </c>
      <c r="G3545" t="inlineStr">
        <is>
          <t>HUDIKSVALL</t>
        </is>
      </c>
      <c r="I3545" t="n">
        <v>2.3</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36186-2025</t>
        </is>
      </c>
      <c r="B3546" t="inlineStr">
        <is>
          <t>avverkningsanmälan</t>
        </is>
      </c>
      <c r="C3546" t="inlineStr">
        <is>
          <t>Föryngringsavverkning</t>
        </is>
      </c>
      <c r="D3546" s="1" t="n">
        <v>45867</v>
      </c>
      <c r="E3546" s="1" t="n">
        <v>46326</v>
      </c>
      <c r="F3546" t="inlineStr">
        <is>
          <t>GÄVLEBORGS LÄN</t>
        </is>
      </c>
      <c r="G3546" t="inlineStr">
        <is>
          <t>SÖDERHAMN</t>
        </is>
      </c>
      <c r="H3546" t="inlineStr">
        <is>
          <t>Bergvik skog väst AB</t>
        </is>
      </c>
      <c r="I3546" t="n">
        <v>2.1</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25724-2024</t>
        </is>
      </c>
      <c r="B3547" t="inlineStr">
        <is>
          <t>avverkningsanmälan</t>
        </is>
      </c>
      <c r="C3547" t="inlineStr">
        <is>
          <t>Föryngringsavverkning</t>
        </is>
      </c>
      <c r="D3547" s="1" t="n">
        <v>45463</v>
      </c>
      <c r="E3547" s="1" t="n">
        <v>46326</v>
      </c>
      <c r="F3547" t="inlineStr">
        <is>
          <t>GÄVLEBORGS LÄN</t>
        </is>
      </c>
      <c r="G3547" t="inlineStr">
        <is>
          <t>NORDANSTIG</t>
        </is>
      </c>
      <c r="I3547" t="n">
        <v>0.6</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47396-2025</t>
        </is>
      </c>
      <c r="B3548" t="inlineStr">
        <is>
          <t>avverkningsanmälan</t>
        </is>
      </c>
      <c r="C3548" t="inlineStr">
        <is>
          <t>Föryngringsavverkning</t>
        </is>
      </c>
      <c r="D3548" s="1" t="n">
        <v>45930</v>
      </c>
      <c r="E3548" s="1" t="n">
        <v>46326</v>
      </c>
      <c r="F3548" t="inlineStr">
        <is>
          <t>GÄVLEBORGS LÄN</t>
        </is>
      </c>
      <c r="G3548" t="inlineStr">
        <is>
          <t>SANDVIKEN</t>
        </is>
      </c>
      <c r="I3548" t="n">
        <v>1.2</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24720-2023</t>
        </is>
      </c>
      <c r="B3549" t="inlineStr">
        <is>
          <t>avverkningsanmälan</t>
        </is>
      </c>
      <c r="C3549" t="inlineStr">
        <is>
          <t>Föryngringsavverkning</t>
        </is>
      </c>
      <c r="D3549" s="1" t="n">
        <v>45084</v>
      </c>
      <c r="E3549" s="1" t="n">
        <v>46326</v>
      </c>
      <c r="F3549" t="inlineStr">
        <is>
          <t>GÄVLEBORGS LÄN</t>
        </is>
      </c>
      <c r="G3549" t="inlineStr">
        <is>
          <t>GÄVLE</t>
        </is>
      </c>
      <c r="I3549" t="n">
        <v>0.8</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24766-2023</t>
        </is>
      </c>
      <c r="B3550" t="inlineStr">
        <is>
          <t>avverkningsanmälan</t>
        </is>
      </c>
      <c r="C3550" t="inlineStr">
        <is>
          <t>Avverkning för annat ändamål</t>
        </is>
      </c>
      <c r="D3550" s="1" t="n">
        <v>45084</v>
      </c>
      <c r="E3550" s="1" t="n">
        <v>46326</v>
      </c>
      <c r="F3550" t="inlineStr">
        <is>
          <t>GÄVLEBORGS LÄN</t>
        </is>
      </c>
      <c r="G3550" t="inlineStr">
        <is>
          <t>SÖDERHAMN</t>
        </is>
      </c>
      <c r="I3550" t="n">
        <v>0.7</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47639-2025</t>
        </is>
      </c>
      <c r="B3551" t="inlineStr">
        <is>
          <t>avverkningsanmälan</t>
        </is>
      </c>
      <c r="C3551" t="inlineStr">
        <is>
          <t>Föryngringsavverkning</t>
        </is>
      </c>
      <c r="D3551" s="1" t="n">
        <v>45931</v>
      </c>
      <c r="E3551" s="1" t="n">
        <v>46326</v>
      </c>
      <c r="F3551" t="inlineStr">
        <is>
          <t>GÄVLEBORGS LÄN</t>
        </is>
      </c>
      <c r="G3551" t="inlineStr">
        <is>
          <t>BOLLNÄS</t>
        </is>
      </c>
      <c r="I3551" t="n">
        <v>1.3</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29841-2023</t>
        </is>
      </c>
      <c r="B3552" t="inlineStr">
        <is>
          <t>avverkningsanmälan</t>
        </is>
      </c>
      <c r="C3552" t="inlineStr">
        <is>
          <t>Föryngringsavverkning</t>
        </is>
      </c>
      <c r="D3552" s="1" t="n">
        <v>45099</v>
      </c>
      <c r="E3552" s="1" t="n">
        <v>46326</v>
      </c>
      <c r="F3552" t="inlineStr">
        <is>
          <t>GÄVLEBORGS LÄN</t>
        </is>
      </c>
      <c r="G3552" t="inlineStr">
        <is>
          <t>LJUSDAL</t>
        </is>
      </c>
      <c r="I3552" t="n">
        <v>0.8</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47544-2025</t>
        </is>
      </c>
      <c r="B3553" t="inlineStr">
        <is>
          <t>avverkningsanmälan</t>
        </is>
      </c>
      <c r="C3553" t="inlineStr">
        <is>
          <t>Föryngringsavverkning</t>
        </is>
      </c>
      <c r="D3553" s="1" t="n">
        <v>45931</v>
      </c>
      <c r="E3553" s="1" t="n">
        <v>46326</v>
      </c>
      <c r="F3553" t="inlineStr">
        <is>
          <t>GÄVLEBORGS LÄN</t>
        </is>
      </c>
      <c r="G3553" t="inlineStr">
        <is>
          <t>NORDANSTIG</t>
        </is>
      </c>
      <c r="I3553" t="n">
        <v>1.9</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36194-2025</t>
        </is>
      </c>
      <c r="B3554" t="inlineStr">
        <is>
          <t>avverkningsanmälan</t>
        </is>
      </c>
      <c r="C3554" t="inlineStr">
        <is>
          <t>Föryngringsavverkning</t>
        </is>
      </c>
      <c r="D3554" s="1" t="n">
        <v>45867</v>
      </c>
      <c r="E3554" s="1" t="n">
        <v>46326</v>
      </c>
      <c r="F3554" t="inlineStr">
        <is>
          <t>GÄVLEBORGS LÄN</t>
        </is>
      </c>
      <c r="G3554" t="inlineStr">
        <is>
          <t>HUDIKSVALL</t>
        </is>
      </c>
      <c r="H3554" t="inlineStr">
        <is>
          <t>Holmen skog AB</t>
        </is>
      </c>
      <c r="I3554" t="n">
        <v>3.6</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6196-2026</t>
        </is>
      </c>
      <c r="B3555" t="inlineStr">
        <is>
          <t>avverkningsanmälan</t>
        </is>
      </c>
      <c r="C3555" t="inlineStr">
        <is>
          <t>Föryngringsavverkning</t>
        </is>
      </c>
      <c r="D3555" s="1" t="n">
        <v>46055</v>
      </c>
      <c r="E3555" s="1" t="n">
        <v>46326</v>
      </c>
      <c r="F3555" t="inlineStr">
        <is>
          <t>GÄVLEBORGS LÄN</t>
        </is>
      </c>
      <c r="G3555" t="inlineStr">
        <is>
          <t>OVANÅKER</t>
        </is>
      </c>
      <c r="I3555" t="n">
        <v>0.7</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5824-2026</t>
        </is>
      </c>
      <c r="B3556" t="inlineStr">
        <is>
          <t>avverkningsanmälan</t>
        </is>
      </c>
      <c r="C3556" t="inlineStr">
        <is>
          <t>Föryngringsavverkning</t>
        </is>
      </c>
      <c r="D3556" s="1" t="n">
        <v>46052</v>
      </c>
      <c r="E3556" s="1" t="n">
        <v>46326</v>
      </c>
      <c r="F3556" t="inlineStr">
        <is>
          <t>GÄVLEBORGS LÄN</t>
        </is>
      </c>
      <c r="G3556" t="inlineStr">
        <is>
          <t>BOLLNÄS</t>
        </is>
      </c>
      <c r="I3556" t="n">
        <v>2.3</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6113-2026</t>
        </is>
      </c>
      <c r="B3557" t="inlineStr">
        <is>
          <t>avverkningsanmälan</t>
        </is>
      </c>
      <c r="C3557" t="inlineStr">
        <is>
          <t>Föryngringsavverkning</t>
        </is>
      </c>
      <c r="D3557" s="1" t="n">
        <v>46053</v>
      </c>
      <c r="E3557" s="1" t="n">
        <v>46326</v>
      </c>
      <c r="F3557" t="inlineStr">
        <is>
          <t>GÄVLEBORGS LÄN</t>
        </is>
      </c>
      <c r="G3557" t="inlineStr">
        <is>
          <t>OVANÅKER</t>
        </is>
      </c>
      <c r="I3557" t="n">
        <v>1.9</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18681-2022</t>
        </is>
      </c>
      <c r="B3558" t="inlineStr">
        <is>
          <t>avverkningsanmälan</t>
        </is>
      </c>
      <c r="C3558" t="inlineStr">
        <is>
          <t>Föryngringsavverkning</t>
        </is>
      </c>
      <c r="D3558" s="1" t="n">
        <v>44687</v>
      </c>
      <c r="E3558" s="1" t="n">
        <v>46326</v>
      </c>
      <c r="F3558" t="inlineStr">
        <is>
          <t>GÄVLEBORGS LÄN</t>
        </is>
      </c>
      <c r="G3558" t="inlineStr">
        <is>
          <t>LJUSDAL</t>
        </is>
      </c>
      <c r="H3558" t="inlineStr">
        <is>
          <t>Bergvik skog väst AB</t>
        </is>
      </c>
      <c r="I3558" t="n">
        <v>2.9</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6172-2026</t>
        </is>
      </c>
      <c r="B3559" t="inlineStr">
        <is>
          <t>avverkningsanmälan</t>
        </is>
      </c>
      <c r="C3559" t="inlineStr">
        <is>
          <t>Föryngringsavverkning</t>
        </is>
      </c>
      <c r="D3559" s="1" t="n">
        <v>46055</v>
      </c>
      <c r="E3559" s="1" t="n">
        <v>46326</v>
      </c>
      <c r="F3559" t="inlineStr">
        <is>
          <t>GÄVLEBORGS LÄN</t>
        </is>
      </c>
      <c r="G3559" t="inlineStr">
        <is>
          <t>BOLLNÄS</t>
        </is>
      </c>
      <c r="I3559" t="n">
        <v>6.7</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36212-2025</t>
        </is>
      </c>
      <c r="B3560" t="inlineStr">
        <is>
          <t>avverkningsanmälan</t>
        </is>
      </c>
      <c r="C3560" t="inlineStr">
        <is>
          <t>Föryngringsavverkning</t>
        </is>
      </c>
      <c r="D3560" s="1" t="n">
        <v>45867</v>
      </c>
      <c r="E3560" s="1" t="n">
        <v>46326</v>
      </c>
      <c r="F3560" t="inlineStr">
        <is>
          <t>GÄVLEBORGS LÄN</t>
        </is>
      </c>
      <c r="G3560" t="inlineStr">
        <is>
          <t>SANDVIKEN</t>
        </is>
      </c>
      <c r="I3560" t="n">
        <v>2.3</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1873-2025</t>
        </is>
      </c>
      <c r="B3561" t="inlineStr">
        <is>
          <t>avverkningsanmälan</t>
        </is>
      </c>
      <c r="C3561" t="inlineStr">
        <is>
          <t>Föryngringsavverkning</t>
        </is>
      </c>
      <c r="D3561" s="1" t="n">
        <v>45671</v>
      </c>
      <c r="E3561" s="1" t="n">
        <v>46326</v>
      </c>
      <c r="F3561" t="inlineStr">
        <is>
          <t>GÄVLEBORGS LÄN</t>
        </is>
      </c>
      <c r="G3561" t="inlineStr">
        <is>
          <t>NORDANSTIG</t>
        </is>
      </c>
      <c r="H3561" t="inlineStr">
        <is>
          <t>Holmen skog AB</t>
        </is>
      </c>
      <c r="I3561" t="n">
        <v>9.199999999999999</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36493-2025</t>
        </is>
      </c>
      <c r="B3562" t="inlineStr">
        <is>
          <t>avverkningsanmälan</t>
        </is>
      </c>
      <c r="C3562" t="inlineStr">
        <is>
          <t>Föryngringsavverkning</t>
        </is>
      </c>
      <c r="D3562" s="1" t="n">
        <v>45869</v>
      </c>
      <c r="E3562" s="1" t="n">
        <v>46326</v>
      </c>
      <c r="F3562" t="inlineStr">
        <is>
          <t>GÄVLEBORGS LÄN</t>
        </is>
      </c>
      <c r="G3562" t="inlineStr">
        <is>
          <t>GÄVLE</t>
        </is>
      </c>
      <c r="I3562" t="n">
        <v>0.8</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47171-2025</t>
        </is>
      </c>
      <c r="B3563" t="inlineStr">
        <is>
          <t>avverkningsanmälan</t>
        </is>
      </c>
      <c r="C3563" t="inlineStr">
        <is>
          <t>Föryngringsavverkning</t>
        </is>
      </c>
      <c r="D3563" s="1" t="n">
        <v>45930</v>
      </c>
      <c r="E3563" s="1" t="n">
        <v>46326</v>
      </c>
      <c r="F3563" t="inlineStr">
        <is>
          <t>GÄVLEBORGS LÄN</t>
        </is>
      </c>
      <c r="G3563" t="inlineStr">
        <is>
          <t>GÄVLE</t>
        </is>
      </c>
      <c r="I3563" t="n">
        <v>3.2</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47172-2025</t>
        </is>
      </c>
      <c r="B3564" t="inlineStr">
        <is>
          <t>avverkningsanmälan</t>
        </is>
      </c>
      <c r="C3564" t="inlineStr">
        <is>
          <t>Föryngringsavverkning</t>
        </is>
      </c>
      <c r="D3564" s="1" t="n">
        <v>45930</v>
      </c>
      <c r="E3564" s="1" t="n">
        <v>46326</v>
      </c>
      <c r="F3564" t="inlineStr">
        <is>
          <t>GÄVLEBORGS LÄN</t>
        </is>
      </c>
      <c r="G3564" t="inlineStr">
        <is>
          <t>GÄVLE</t>
        </is>
      </c>
      <c r="I3564" t="n">
        <v>0.3</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47181-2025</t>
        </is>
      </c>
      <c r="B3565" t="inlineStr">
        <is>
          <t>avverkningsanmälan</t>
        </is>
      </c>
      <c r="C3565" t="inlineStr">
        <is>
          <t>Föryngringsavverkning</t>
        </is>
      </c>
      <c r="D3565" s="1" t="n">
        <v>45930</v>
      </c>
      <c r="E3565" s="1" t="n">
        <v>46326</v>
      </c>
      <c r="F3565" t="inlineStr">
        <is>
          <t>GÄVLEBORGS LÄN</t>
        </is>
      </c>
      <c r="G3565" t="inlineStr">
        <is>
          <t>HUDIKSVALL</t>
        </is>
      </c>
      <c r="I3565" t="n">
        <v>3.8</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47260-2025</t>
        </is>
      </c>
      <c r="B3566" t="inlineStr">
        <is>
          <t>avverkningsanmälan</t>
        </is>
      </c>
      <c r="C3566" t="inlineStr">
        <is>
          <t>Föryngringsavverkning</t>
        </is>
      </c>
      <c r="D3566" s="1" t="n">
        <v>45930</v>
      </c>
      <c r="E3566" s="1" t="n">
        <v>46326</v>
      </c>
      <c r="F3566" t="inlineStr">
        <is>
          <t>GÄVLEBORGS LÄN</t>
        </is>
      </c>
      <c r="G3566" t="inlineStr">
        <is>
          <t>HUDIKSVALL</t>
        </is>
      </c>
      <c r="H3566" t="inlineStr">
        <is>
          <t>Holmen skog AB</t>
        </is>
      </c>
      <c r="I3566" t="n">
        <v>18.3</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36418-2025</t>
        </is>
      </c>
      <c r="B3567" t="inlineStr">
        <is>
          <t>avverkningsanmälan</t>
        </is>
      </c>
      <c r="C3567" t="inlineStr">
        <is>
          <t>Föryngringsavverkning</t>
        </is>
      </c>
      <c r="D3567" s="1" t="n">
        <v>45868</v>
      </c>
      <c r="E3567" s="1" t="n">
        <v>46326</v>
      </c>
      <c r="F3567" t="inlineStr">
        <is>
          <t>GÄVLEBORGS LÄN</t>
        </is>
      </c>
      <c r="G3567" t="inlineStr">
        <is>
          <t>HUDIKSVALL</t>
        </is>
      </c>
      <c r="I3567" t="n">
        <v>6.1</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47747-2025</t>
        </is>
      </c>
      <c r="B3568" t="inlineStr">
        <is>
          <t>avverkningsanmälan</t>
        </is>
      </c>
      <c r="C3568" t="inlineStr">
        <is>
          <t>Föryngringsavverkning</t>
        </is>
      </c>
      <c r="D3568" s="1" t="n">
        <v>45931</v>
      </c>
      <c r="E3568" s="1" t="n">
        <v>46326</v>
      </c>
      <c r="F3568" t="inlineStr">
        <is>
          <t>GÄVLEBORGS LÄN</t>
        </is>
      </c>
      <c r="G3568" t="inlineStr">
        <is>
          <t>LJUSDAL</t>
        </is>
      </c>
      <c r="I3568" t="n">
        <v>7.9</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47367-2025</t>
        </is>
      </c>
      <c r="B3569" t="inlineStr">
        <is>
          <t>avverkningsanmälan</t>
        </is>
      </c>
      <c r="C3569" t="inlineStr">
        <is>
          <t>Föryngringsavverkning</t>
        </is>
      </c>
      <c r="D3569" s="1" t="n">
        <v>45930</v>
      </c>
      <c r="E3569" s="1" t="n">
        <v>46326</v>
      </c>
      <c r="F3569" t="inlineStr">
        <is>
          <t>GÄVLEBORGS LÄN</t>
        </is>
      </c>
      <c r="G3569" t="inlineStr">
        <is>
          <t>OVANÅKER</t>
        </is>
      </c>
      <c r="I3569" t="n">
        <v>3.3</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36404-2025</t>
        </is>
      </c>
      <c r="B3570" t="inlineStr">
        <is>
          <t>avverkningsanmälan</t>
        </is>
      </c>
      <c r="C3570" t="inlineStr">
        <is>
          <t>Föryngringsavverkning</t>
        </is>
      </c>
      <c r="D3570" s="1" t="n">
        <v>45868</v>
      </c>
      <c r="E3570" s="1" t="n">
        <v>46326</v>
      </c>
      <c r="F3570" t="inlineStr">
        <is>
          <t>GÄVLEBORGS LÄN</t>
        </is>
      </c>
      <c r="G3570" t="inlineStr">
        <is>
          <t>OVANÅKER</t>
        </is>
      </c>
      <c r="I3570" t="n">
        <v>2.5</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36482-2025</t>
        </is>
      </c>
      <c r="B3571" t="inlineStr">
        <is>
          <t>avverkningsanmälan</t>
        </is>
      </c>
      <c r="C3571" t="inlineStr">
        <is>
          <t>Föryngringsavverkning</t>
        </is>
      </c>
      <c r="D3571" s="1" t="n">
        <v>45869</v>
      </c>
      <c r="E3571" s="1" t="n">
        <v>46326</v>
      </c>
      <c r="F3571" t="inlineStr">
        <is>
          <t>GÄVLEBORGS LÄN</t>
        </is>
      </c>
      <c r="G3571" t="inlineStr">
        <is>
          <t>BOLLNÄS</t>
        </is>
      </c>
      <c r="I3571" t="n">
        <v>0.6</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2705-2025</t>
        </is>
      </c>
      <c r="B3572" t="inlineStr">
        <is>
          <t>avverkningsanmälan</t>
        </is>
      </c>
      <c r="C3572" t="inlineStr">
        <is>
          <t>Föryngringsavverkning</t>
        </is>
      </c>
      <c r="D3572" s="1" t="n">
        <v>45677</v>
      </c>
      <c r="E3572" s="1" t="n">
        <v>46326</v>
      </c>
      <c r="F3572" t="inlineStr">
        <is>
          <t>GÄVLEBORGS LÄN</t>
        </is>
      </c>
      <c r="G3572" t="inlineStr">
        <is>
          <t>NORDANSTIG</t>
        </is>
      </c>
      <c r="H3572" t="inlineStr">
        <is>
          <t>Holmen skog AB</t>
        </is>
      </c>
      <c r="I3572" t="n">
        <v>14</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6730-2024</t>
        </is>
      </c>
      <c r="B3573" t="inlineStr">
        <is>
          <t>avverkningsanmälan</t>
        </is>
      </c>
      <c r="C3573" t="inlineStr">
        <is>
          <t>Föryngringsavverkning</t>
        </is>
      </c>
      <c r="D3573" s="1" t="n">
        <v>45342</v>
      </c>
      <c r="E3573" s="1" t="n">
        <v>46326</v>
      </c>
      <c r="F3573" t="inlineStr">
        <is>
          <t>GÄVLEBORGS LÄN</t>
        </is>
      </c>
      <c r="G3573" t="inlineStr">
        <is>
          <t>HUDIKSVALL</t>
        </is>
      </c>
      <c r="I3573" t="n">
        <v>6.4</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36516-2025</t>
        </is>
      </c>
      <c r="B3574" t="inlineStr">
        <is>
          <t>avverkningsanmälan</t>
        </is>
      </c>
      <c r="C3574" t="inlineStr">
        <is>
          <t>Föryngringsavverkning</t>
        </is>
      </c>
      <c r="D3574" s="1" t="n">
        <v>45869</v>
      </c>
      <c r="E3574" s="1" t="n">
        <v>46326</v>
      </c>
      <c r="F3574" t="inlineStr">
        <is>
          <t>GÄVLEBORGS LÄN</t>
        </is>
      </c>
      <c r="G3574" t="inlineStr">
        <is>
          <t>GÄVLE</t>
        </is>
      </c>
      <c r="I3574" t="n">
        <v>0.4</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47770-2025</t>
        </is>
      </c>
      <c r="B3575" t="inlineStr">
        <is>
          <t>avverkningsanmälan</t>
        </is>
      </c>
      <c r="C3575" t="inlineStr">
        <is>
          <t>Föryngringsavverkning</t>
        </is>
      </c>
      <c r="D3575" s="1" t="n">
        <v>45931</v>
      </c>
      <c r="E3575" s="1" t="n">
        <v>46326</v>
      </c>
      <c r="F3575" t="inlineStr">
        <is>
          <t>GÄVLEBORGS LÄN</t>
        </is>
      </c>
      <c r="G3575" t="inlineStr">
        <is>
          <t>SANDVIKEN</t>
        </is>
      </c>
      <c r="I3575" t="n">
        <v>6.5</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47643-2025</t>
        </is>
      </c>
      <c r="B3576" t="inlineStr">
        <is>
          <t>avverkningsanmälan</t>
        </is>
      </c>
      <c r="C3576" t="inlineStr">
        <is>
          <t>Föryngringsavverkning</t>
        </is>
      </c>
      <c r="D3576" s="1" t="n">
        <v>45931</v>
      </c>
      <c r="E3576" s="1" t="n">
        <v>46326</v>
      </c>
      <c r="F3576" t="inlineStr">
        <is>
          <t>GÄVLEBORGS LÄN</t>
        </is>
      </c>
      <c r="G3576" t="inlineStr">
        <is>
          <t>LJUSDAL</t>
        </is>
      </c>
      <c r="H3576" t="inlineStr">
        <is>
          <t>Sveaskog</t>
        </is>
      </c>
      <c r="I3576" t="n">
        <v>0.6</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27028-2025</t>
        </is>
      </c>
      <c r="B3577" t="inlineStr">
        <is>
          <t>avverkningsanmälan</t>
        </is>
      </c>
      <c r="C3577" t="inlineStr">
        <is>
          <t>Föryngringsavverkning</t>
        </is>
      </c>
      <c r="D3577" s="1" t="n">
        <v>45811</v>
      </c>
      <c r="E3577" s="1" t="n">
        <v>46326</v>
      </c>
      <c r="F3577" t="inlineStr">
        <is>
          <t>GÄVLEBORGS LÄN</t>
        </is>
      </c>
      <c r="G3577" t="inlineStr">
        <is>
          <t>SÖDERHAMN</t>
        </is>
      </c>
      <c r="I3577" t="n">
        <v>0.7</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58473-2024</t>
        </is>
      </c>
      <c r="B3578" t="inlineStr">
        <is>
          <t>avverkningsanmälan</t>
        </is>
      </c>
      <c r="C3578" t="inlineStr">
        <is>
          <t>Föryngringsavverkning</t>
        </is>
      </c>
      <c r="D3578" s="1" t="n">
        <v>45635</v>
      </c>
      <c r="E3578" s="1" t="n">
        <v>46326</v>
      </c>
      <c r="F3578" t="inlineStr">
        <is>
          <t>GÄVLEBORGS LÄN</t>
        </is>
      </c>
      <c r="G3578" t="inlineStr">
        <is>
          <t>HUDIKSVALL</t>
        </is>
      </c>
      <c r="I3578" t="n">
        <v>3.8</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47745-2025</t>
        </is>
      </c>
      <c r="B3579" t="inlineStr">
        <is>
          <t>avverkningsanmälan</t>
        </is>
      </c>
      <c r="C3579" t="inlineStr">
        <is>
          <t>Föryngringsavverkning</t>
        </is>
      </c>
      <c r="D3579" s="1" t="n">
        <v>45931</v>
      </c>
      <c r="E3579" s="1" t="n">
        <v>46326</v>
      </c>
      <c r="F3579" t="inlineStr">
        <is>
          <t>GÄVLEBORGS LÄN</t>
        </is>
      </c>
      <c r="G3579" t="inlineStr">
        <is>
          <t>HUDIKSVALL</t>
        </is>
      </c>
      <c r="I3579" t="n">
        <v>20.1</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36403-2025</t>
        </is>
      </c>
      <c r="B3580" t="inlineStr">
        <is>
          <t>avverkningsanmälan</t>
        </is>
      </c>
      <c r="C3580" t="inlineStr">
        <is>
          <t>Föryngringsavverkning</t>
        </is>
      </c>
      <c r="D3580" s="1" t="n">
        <v>45868</v>
      </c>
      <c r="E3580" s="1" t="n">
        <v>46326</v>
      </c>
      <c r="F3580" t="inlineStr">
        <is>
          <t>GÄVLEBORGS LÄN</t>
        </is>
      </c>
      <c r="G3580" t="inlineStr">
        <is>
          <t>OVANÅKER</t>
        </is>
      </c>
      <c r="I3580" t="n">
        <v>2.5</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36406-2025</t>
        </is>
      </c>
      <c r="B3581" t="inlineStr">
        <is>
          <t>avverkningsanmälan</t>
        </is>
      </c>
      <c r="C3581" t="inlineStr">
        <is>
          <t>Föryngringsavverkning</t>
        </is>
      </c>
      <c r="D3581" s="1" t="n">
        <v>45868</v>
      </c>
      <c r="E3581" s="1" t="n">
        <v>46326</v>
      </c>
      <c r="F3581" t="inlineStr">
        <is>
          <t>GÄVLEBORGS LÄN</t>
        </is>
      </c>
      <c r="G3581" t="inlineStr">
        <is>
          <t>OVANÅKER</t>
        </is>
      </c>
      <c r="I3581" t="n">
        <v>2.2</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2651-2024</t>
        </is>
      </c>
      <c r="B3582" t="inlineStr">
        <is>
          <t>avverkningsanmälan</t>
        </is>
      </c>
      <c r="C3582" t="inlineStr">
        <is>
          <t>Föryngringsavverkning</t>
        </is>
      </c>
      <c r="D3582" s="1" t="n">
        <v>45314</v>
      </c>
      <c r="E3582" s="1" t="n">
        <v>46326</v>
      </c>
      <c r="F3582" t="inlineStr">
        <is>
          <t>GÄVLEBORGS LÄN</t>
        </is>
      </c>
      <c r="G3582" t="inlineStr">
        <is>
          <t>HUDIKSVALL</t>
        </is>
      </c>
      <c r="H3582" t="inlineStr">
        <is>
          <t>Holmen skog AB</t>
        </is>
      </c>
      <c r="I3582" t="n">
        <v>0.9</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6026-2026</t>
        </is>
      </c>
      <c r="B3583" t="inlineStr">
        <is>
          <t>avverkningsanmälan</t>
        </is>
      </c>
      <c r="C3583" t="inlineStr">
        <is>
          <t>Föryngringsavverkning</t>
        </is>
      </c>
      <c r="D3583" s="1" t="n">
        <v>46052</v>
      </c>
      <c r="E3583" s="1" t="n">
        <v>46326</v>
      </c>
      <c r="F3583" t="inlineStr">
        <is>
          <t>GÄVLEBORGS LÄN</t>
        </is>
      </c>
      <c r="G3583" t="inlineStr">
        <is>
          <t>BOLLNÄS</t>
        </is>
      </c>
      <c r="I3583" t="n">
        <v>0.8</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6116-2026</t>
        </is>
      </c>
      <c r="B3584" t="inlineStr">
        <is>
          <t>avverkningsanmälan</t>
        </is>
      </c>
      <c r="C3584" t="inlineStr">
        <is>
          <t>Föryngringsavverkning</t>
        </is>
      </c>
      <c r="D3584" s="1" t="n">
        <v>46053</v>
      </c>
      <c r="E3584" s="1" t="n">
        <v>46326</v>
      </c>
      <c r="F3584" t="inlineStr">
        <is>
          <t>GÄVLEBORGS LÄN</t>
        </is>
      </c>
      <c r="G3584" t="inlineStr">
        <is>
          <t>NORDANSTIG</t>
        </is>
      </c>
      <c r="I3584" t="n">
        <v>45.3</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6279-2026</t>
        </is>
      </c>
      <c r="B3585" t="inlineStr">
        <is>
          <t>avverkningsanmälan</t>
        </is>
      </c>
      <c r="C3585" t="inlineStr">
        <is>
          <t>Föryngringsavverkning</t>
        </is>
      </c>
      <c r="D3585" s="1" t="n">
        <v>46055</v>
      </c>
      <c r="E3585" s="1" t="n">
        <v>46326</v>
      </c>
      <c r="F3585" t="inlineStr">
        <is>
          <t>GÄVLEBORGS LÄN</t>
        </is>
      </c>
      <c r="G3585" t="inlineStr">
        <is>
          <t>NORDANSTIG</t>
        </is>
      </c>
      <c r="H3585" t="inlineStr">
        <is>
          <t>Holmen skog AB</t>
        </is>
      </c>
      <c r="I3585" t="n">
        <v>3.7</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36349-2025</t>
        </is>
      </c>
      <c r="B3586" t="inlineStr">
        <is>
          <t>avverkningsanmälan</t>
        </is>
      </c>
      <c r="C3586" t="inlineStr">
        <is>
          <t>Föryngringsavverkning</t>
        </is>
      </c>
      <c r="D3586" s="1" t="n">
        <v>45868</v>
      </c>
      <c r="E3586" s="1" t="n">
        <v>46326</v>
      </c>
      <c r="F3586" t="inlineStr">
        <is>
          <t>GÄVLEBORGS LÄN</t>
        </is>
      </c>
      <c r="G3586" t="inlineStr">
        <is>
          <t>HOFORS</t>
        </is>
      </c>
      <c r="I3586" t="n">
        <v>2.7</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48232-2025</t>
        </is>
      </c>
      <c r="B3587" t="inlineStr">
        <is>
          <t>avverkningsanmälan</t>
        </is>
      </c>
      <c r="C3587" t="inlineStr">
        <is>
          <t>Föryngringsavverkning</t>
        </is>
      </c>
      <c r="D3587" s="1" t="n">
        <v>45933</v>
      </c>
      <c r="E3587" s="1" t="n">
        <v>46326</v>
      </c>
      <c r="F3587" t="inlineStr">
        <is>
          <t>GÄVLEBORGS LÄN</t>
        </is>
      </c>
      <c r="G3587" t="inlineStr">
        <is>
          <t>HOFORS</t>
        </is>
      </c>
      <c r="H3587" t="inlineStr">
        <is>
          <t>Sveaskog</t>
        </is>
      </c>
      <c r="I3587" t="n">
        <v>1</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32849-2022</t>
        </is>
      </c>
      <c r="B3588" t="inlineStr">
        <is>
          <t>avverkningsanmälan</t>
        </is>
      </c>
      <c r="C3588" t="inlineStr">
        <is>
          <t>Föryngringsavverkning</t>
        </is>
      </c>
      <c r="D3588" s="1" t="n">
        <v>44784</v>
      </c>
      <c r="E3588" s="1" t="n">
        <v>46326</v>
      </c>
      <c r="F3588" t="inlineStr">
        <is>
          <t>GÄVLEBORGS LÄN</t>
        </is>
      </c>
      <c r="G3588" t="inlineStr">
        <is>
          <t>SANDVIKEN</t>
        </is>
      </c>
      <c r="I3588" t="n">
        <v>1.5</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47987-2025</t>
        </is>
      </c>
      <c r="B3589" t="inlineStr">
        <is>
          <t>avverkningsanmälan</t>
        </is>
      </c>
      <c r="C3589" t="inlineStr">
        <is>
          <t>Föryngringsavverkning</t>
        </is>
      </c>
      <c r="D3589" s="1" t="n">
        <v>45932</v>
      </c>
      <c r="E3589" s="1" t="n">
        <v>46326</v>
      </c>
      <c r="F3589" t="inlineStr">
        <is>
          <t>GÄVLEBORGS LÄN</t>
        </is>
      </c>
      <c r="G3589" t="inlineStr">
        <is>
          <t>OCKELBO</t>
        </is>
      </c>
      <c r="H3589" t="inlineStr">
        <is>
          <t>Bergvik skog väst AB</t>
        </is>
      </c>
      <c r="I3589" t="n">
        <v>3.7</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48004-2025</t>
        </is>
      </c>
      <c r="B3590" t="inlineStr">
        <is>
          <t>avverkningsanmälan</t>
        </is>
      </c>
      <c r="C3590" t="inlineStr">
        <is>
          <t>Föryngringsavverkning</t>
        </is>
      </c>
      <c r="D3590" s="1" t="n">
        <v>45932</v>
      </c>
      <c r="E3590" s="1" t="n">
        <v>46326</v>
      </c>
      <c r="F3590" t="inlineStr">
        <is>
          <t>GÄVLEBORGS LÄN</t>
        </is>
      </c>
      <c r="G3590" t="inlineStr">
        <is>
          <t>GÄVLE</t>
        </is>
      </c>
      <c r="I3590" t="n">
        <v>0.8</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48285-2025</t>
        </is>
      </c>
      <c r="B3591" t="inlineStr">
        <is>
          <t>avverkningsanmälan</t>
        </is>
      </c>
      <c r="C3591" t="inlineStr">
        <is>
          <t>Föryngringsavverkning</t>
        </is>
      </c>
      <c r="D3591" s="1" t="n">
        <v>45933</v>
      </c>
      <c r="E3591" s="1" t="n">
        <v>46326</v>
      </c>
      <c r="F3591" t="inlineStr">
        <is>
          <t>GÄVLEBORGS LÄN</t>
        </is>
      </c>
      <c r="G3591" t="inlineStr">
        <is>
          <t>LJUSDAL</t>
        </is>
      </c>
      <c r="H3591" t="inlineStr">
        <is>
          <t>Sveaskog</t>
        </is>
      </c>
      <c r="I3591" t="n">
        <v>1.4</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48318-2025</t>
        </is>
      </c>
      <c r="B3592" t="inlineStr">
        <is>
          <t>avverkningsanmälan</t>
        </is>
      </c>
      <c r="C3592" t="inlineStr">
        <is>
          <t>Föryngringsavverkning</t>
        </is>
      </c>
      <c r="D3592" s="1" t="n">
        <v>45933</v>
      </c>
      <c r="E3592" s="1" t="n">
        <v>46326</v>
      </c>
      <c r="F3592" t="inlineStr">
        <is>
          <t>GÄVLEBORGS LÄN</t>
        </is>
      </c>
      <c r="G3592" t="inlineStr">
        <is>
          <t>LJUSDAL</t>
        </is>
      </c>
      <c r="I3592" t="n">
        <v>3.9</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48333-2025</t>
        </is>
      </c>
      <c r="B3593" t="inlineStr">
        <is>
          <t>avverkningsanmälan</t>
        </is>
      </c>
      <c r="C3593" t="inlineStr">
        <is>
          <t>Föryngringsavverkning</t>
        </is>
      </c>
      <c r="D3593" s="1" t="n">
        <v>45933</v>
      </c>
      <c r="E3593" s="1" t="n">
        <v>46326</v>
      </c>
      <c r="F3593" t="inlineStr">
        <is>
          <t>GÄVLEBORGS LÄN</t>
        </is>
      </c>
      <c r="G3593" t="inlineStr">
        <is>
          <t>LJUSDAL</t>
        </is>
      </c>
      <c r="I3593" t="n">
        <v>0.7</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60750-2023</t>
        </is>
      </c>
      <c r="B3594" t="inlineStr">
        <is>
          <t>avverkningsanmälan</t>
        </is>
      </c>
      <c r="C3594" t="inlineStr">
        <is>
          <t>Föryngringsavverkning</t>
        </is>
      </c>
      <c r="D3594" s="1" t="n">
        <v>45260</v>
      </c>
      <c r="E3594" s="1" t="n">
        <v>46326</v>
      </c>
      <c r="F3594" t="inlineStr">
        <is>
          <t>GÄVLEBORGS LÄN</t>
        </is>
      </c>
      <c r="G3594" t="inlineStr">
        <is>
          <t>HUDIKSVALL</t>
        </is>
      </c>
      <c r="H3594" t="inlineStr">
        <is>
          <t>Holmen skog AB</t>
        </is>
      </c>
      <c r="I3594" t="n">
        <v>2.6</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58885-2023</t>
        </is>
      </c>
      <c r="B3595" t="inlineStr">
        <is>
          <t>avverkningsanmälan</t>
        </is>
      </c>
      <c r="C3595" t="inlineStr">
        <is>
          <t>Föryngringsavverkning</t>
        </is>
      </c>
      <c r="D3595" s="1" t="n">
        <v>45252</v>
      </c>
      <c r="E3595" s="1" t="n">
        <v>46326</v>
      </c>
      <c r="F3595" t="inlineStr">
        <is>
          <t>GÄVLEBORGS LÄN</t>
        </is>
      </c>
      <c r="G3595" t="inlineStr">
        <is>
          <t>SANDVIKEN</t>
        </is>
      </c>
      <c r="I3595" t="n">
        <v>0.7</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11409-2024</t>
        </is>
      </c>
      <c r="B3596" t="inlineStr">
        <is>
          <t>avverkningsanmälan</t>
        </is>
      </c>
      <c r="C3596" t="inlineStr">
        <is>
          <t>Föryngringsavverkning</t>
        </is>
      </c>
      <c r="D3596" s="1" t="n">
        <v>45372</v>
      </c>
      <c r="E3596" s="1" t="n">
        <v>46326</v>
      </c>
      <c r="F3596" t="inlineStr">
        <is>
          <t>GÄVLEBORGS LÄN</t>
        </is>
      </c>
      <c r="G3596" t="inlineStr">
        <is>
          <t>HUDIKSVALL</t>
        </is>
      </c>
      <c r="H3596" t="inlineStr">
        <is>
          <t>Holmen skog AB</t>
        </is>
      </c>
      <c r="I3596" t="n">
        <v>8.199999999999999</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6198-2026</t>
        </is>
      </c>
      <c r="B3597" t="inlineStr">
        <is>
          <t>avverkningsanmälan</t>
        </is>
      </c>
      <c r="C3597" t="inlineStr">
        <is>
          <t>Föryngringsavverkning</t>
        </is>
      </c>
      <c r="D3597" s="1" t="n">
        <v>46055</v>
      </c>
      <c r="E3597" s="1" t="n">
        <v>46326</v>
      </c>
      <c r="F3597" t="inlineStr">
        <is>
          <t>GÄVLEBORGS LÄN</t>
        </is>
      </c>
      <c r="G3597" t="inlineStr">
        <is>
          <t>HUDIKSVALL</t>
        </is>
      </c>
      <c r="I3597" t="n">
        <v>1.3</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64422-2023</t>
        </is>
      </c>
      <c r="B3598" t="inlineStr">
        <is>
          <t>avverkningsanmälan</t>
        </is>
      </c>
      <c r="C3598" t="inlineStr">
        <is>
          <t>Föryngringsavverkning</t>
        </is>
      </c>
      <c r="D3598" s="1" t="n">
        <v>45280</v>
      </c>
      <c r="E3598" s="1" t="n">
        <v>46326</v>
      </c>
      <c r="F3598" t="inlineStr">
        <is>
          <t>GÄVLEBORGS LÄN</t>
        </is>
      </c>
      <c r="G3598" t="inlineStr">
        <is>
          <t>BOLLNÄS</t>
        </is>
      </c>
      <c r="I3598" t="n">
        <v>6.2</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43718-2023</t>
        </is>
      </c>
      <c r="B3599" t="inlineStr">
        <is>
          <t>avverkningsanmälan</t>
        </is>
      </c>
      <c r="C3599" t="inlineStr">
        <is>
          <t>Föryngringsavverkning</t>
        </is>
      </c>
      <c r="D3599" s="1" t="n">
        <v>45187</v>
      </c>
      <c r="E3599" s="1" t="n">
        <v>46326</v>
      </c>
      <c r="F3599" t="inlineStr">
        <is>
          <t>GÄVLEBORGS LÄN</t>
        </is>
      </c>
      <c r="G3599" t="inlineStr">
        <is>
          <t>LJUSDAL</t>
        </is>
      </c>
      <c r="H3599" t="inlineStr">
        <is>
          <t>Sveaskog</t>
        </is>
      </c>
      <c r="I3599" t="n">
        <v>4.4</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5968-2026</t>
        </is>
      </c>
      <c r="B3600" t="inlineStr">
        <is>
          <t>avverkningsanmälan</t>
        </is>
      </c>
      <c r="C3600" t="inlineStr">
        <is>
          <t>Föryngringsavverkning</t>
        </is>
      </c>
      <c r="D3600" s="1" t="n">
        <v>46052</v>
      </c>
      <c r="E3600" s="1" t="n">
        <v>46326</v>
      </c>
      <c r="F3600" t="inlineStr">
        <is>
          <t>GÄVLEBORGS LÄN</t>
        </is>
      </c>
      <c r="G3600" t="inlineStr">
        <is>
          <t>BOLLNÄS</t>
        </is>
      </c>
      <c r="I3600" t="n">
        <v>2.8</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48117-2025</t>
        </is>
      </c>
      <c r="B3601" t="inlineStr">
        <is>
          <t>avverkningsanmälan</t>
        </is>
      </c>
      <c r="C3601" t="inlineStr">
        <is>
          <t>Föryngringsavverkning</t>
        </is>
      </c>
      <c r="D3601" s="1" t="n">
        <v>45933</v>
      </c>
      <c r="E3601" s="1" t="n">
        <v>46326</v>
      </c>
      <c r="F3601" t="inlineStr">
        <is>
          <t>GÄVLEBORGS LÄN</t>
        </is>
      </c>
      <c r="G3601" t="inlineStr">
        <is>
          <t>GÄVLE</t>
        </is>
      </c>
      <c r="H3601" t="inlineStr">
        <is>
          <t>Bergvik skog väst AB</t>
        </is>
      </c>
      <c r="I3601" t="n">
        <v>2.9</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27959-2025</t>
        </is>
      </c>
      <c r="B3602" t="inlineStr">
        <is>
          <t>avverkningsanmälan</t>
        </is>
      </c>
      <c r="C3602" t="inlineStr">
        <is>
          <t>Föryngringsavverkning</t>
        </is>
      </c>
      <c r="D3602" s="1" t="n">
        <v>45816</v>
      </c>
      <c r="E3602" s="1" t="n">
        <v>46326</v>
      </c>
      <c r="F3602" t="inlineStr">
        <is>
          <t>GÄVLEBORGS LÄN</t>
        </is>
      </c>
      <c r="G3602" t="inlineStr">
        <is>
          <t>HOFORS</t>
        </is>
      </c>
      <c r="H3602" t="inlineStr">
        <is>
          <t>Bergvik skog väst AB</t>
        </is>
      </c>
      <c r="I3602" t="n">
        <v>45.6</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32959-2024</t>
        </is>
      </c>
      <c r="B3603" t="inlineStr">
        <is>
          <t>avverkningsanmälan</t>
        </is>
      </c>
      <c r="C3603" t="inlineStr">
        <is>
          <t>Föryngringsavverkning</t>
        </is>
      </c>
      <c r="D3603" s="1" t="n">
        <v>45517</v>
      </c>
      <c r="E3603" s="1" t="n">
        <v>46326</v>
      </c>
      <c r="F3603" t="inlineStr">
        <is>
          <t>GÄVLEBORGS LÄN</t>
        </is>
      </c>
      <c r="G3603" t="inlineStr">
        <is>
          <t>HUDIKSVALL</t>
        </is>
      </c>
      <c r="H3603" t="inlineStr">
        <is>
          <t>Holmen skog AB</t>
        </is>
      </c>
      <c r="I3603" t="n">
        <v>2.9</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8693-2024</t>
        </is>
      </c>
      <c r="B3604" t="inlineStr">
        <is>
          <t>avverkningsanmälan</t>
        </is>
      </c>
      <c r="C3604" t="inlineStr">
        <is>
          <t>Föryngringsavverkning</t>
        </is>
      </c>
      <c r="D3604" s="1" t="n">
        <v>45356</v>
      </c>
      <c r="E3604" s="1" t="n">
        <v>46326</v>
      </c>
      <c r="F3604" t="inlineStr">
        <is>
          <t>GÄVLEBORGS LÄN</t>
        </is>
      </c>
      <c r="G3604" t="inlineStr">
        <is>
          <t>GÄVLE</t>
        </is>
      </c>
      <c r="I3604" t="n">
        <v>0.5</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48240-2025</t>
        </is>
      </c>
      <c r="B3605" t="inlineStr">
        <is>
          <t>avverkningsanmälan</t>
        </is>
      </c>
      <c r="C3605" t="inlineStr">
        <is>
          <t>Föryngringsavverkning</t>
        </is>
      </c>
      <c r="D3605" s="1" t="n">
        <v>45933</v>
      </c>
      <c r="E3605" s="1" t="n">
        <v>46326</v>
      </c>
      <c r="F3605" t="inlineStr">
        <is>
          <t>GÄVLEBORGS LÄN</t>
        </is>
      </c>
      <c r="G3605" t="inlineStr">
        <is>
          <t>HOFORS</t>
        </is>
      </c>
      <c r="H3605" t="inlineStr">
        <is>
          <t>Sveaskog</t>
        </is>
      </c>
      <c r="I3605" t="n">
        <v>1.3</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36584-2025</t>
        </is>
      </c>
      <c r="B3606" t="inlineStr">
        <is>
          <t>avverkningsanmälan</t>
        </is>
      </c>
      <c r="C3606" t="inlineStr">
        <is>
          <t>Föryngringsavverkning</t>
        </is>
      </c>
      <c r="D3606" s="1" t="n">
        <v>45870</v>
      </c>
      <c r="E3606" s="1" t="n">
        <v>46326</v>
      </c>
      <c r="F3606" t="inlineStr">
        <is>
          <t>GÄVLEBORGS LÄN</t>
        </is>
      </c>
      <c r="G3606" t="inlineStr">
        <is>
          <t>SANDVIKEN</t>
        </is>
      </c>
      <c r="H3606" t="inlineStr">
        <is>
          <t>Sveaskog</t>
        </is>
      </c>
      <c r="I3606" t="n">
        <v>1.9</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48241-2025</t>
        </is>
      </c>
      <c r="B3607" t="inlineStr">
        <is>
          <t>avverkningsanmälan</t>
        </is>
      </c>
      <c r="C3607" t="inlineStr">
        <is>
          <t>Föryngringsavverkning</t>
        </is>
      </c>
      <c r="D3607" s="1" t="n">
        <v>45933</v>
      </c>
      <c r="E3607" s="1" t="n">
        <v>46326</v>
      </c>
      <c r="F3607" t="inlineStr">
        <is>
          <t>GÄVLEBORGS LÄN</t>
        </is>
      </c>
      <c r="G3607" t="inlineStr">
        <is>
          <t>HOFORS</t>
        </is>
      </c>
      <c r="H3607" t="inlineStr">
        <is>
          <t>Sveaskog</t>
        </is>
      </c>
      <c r="I3607" t="n">
        <v>1.1</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46445-2025</t>
        </is>
      </c>
      <c r="B3608" t="inlineStr">
        <is>
          <t>avverkningsanmälan</t>
        </is>
      </c>
      <c r="C3608" t="inlineStr">
        <is>
          <t>Föryngringsavverkning</t>
        </is>
      </c>
      <c r="D3608" s="1" t="n">
        <v>45925</v>
      </c>
      <c r="E3608" s="1" t="n">
        <v>46326</v>
      </c>
      <c r="F3608" t="inlineStr">
        <is>
          <t>GÄVLEBORGS LÄN</t>
        </is>
      </c>
      <c r="G3608" t="inlineStr">
        <is>
          <t>LJUSDAL</t>
        </is>
      </c>
      <c r="I3608" t="n">
        <v>4.3</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51989-2023</t>
        </is>
      </c>
      <c r="B3609" t="inlineStr">
        <is>
          <t>avverkningsanmälan</t>
        </is>
      </c>
      <c r="C3609" t="inlineStr">
        <is>
          <t>Föryngringsavverkning</t>
        </is>
      </c>
      <c r="D3609" s="1" t="n">
        <v>45223</v>
      </c>
      <c r="E3609" s="1" t="n">
        <v>46326</v>
      </c>
      <c r="F3609" t="inlineStr">
        <is>
          <t>GÄVLEBORGS LÄN</t>
        </is>
      </c>
      <c r="G3609" t="inlineStr">
        <is>
          <t>OCKELBO</t>
        </is>
      </c>
      <c r="H3609" t="inlineStr">
        <is>
          <t>Bergvik skog väst AB</t>
        </is>
      </c>
      <c r="I3609" t="n">
        <v>2.9</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65879-2021</t>
        </is>
      </c>
      <c r="B3610" t="inlineStr">
        <is>
          <t>avverkningsanmälan</t>
        </is>
      </c>
      <c r="C3610" t="inlineStr">
        <is>
          <t>Föryngringsavverkning</t>
        </is>
      </c>
      <c r="D3610" s="1" t="n">
        <v>44517</v>
      </c>
      <c r="E3610" s="1" t="n">
        <v>46326</v>
      </c>
      <c r="F3610" t="inlineStr">
        <is>
          <t>GÄVLEBORGS LÄN</t>
        </is>
      </c>
      <c r="G3610" t="inlineStr">
        <is>
          <t>GÄVLE</t>
        </is>
      </c>
      <c r="H3610" t="inlineStr">
        <is>
          <t>Kyrkan</t>
        </is>
      </c>
      <c r="I3610" t="n">
        <v>5.6</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47790-2025</t>
        </is>
      </c>
      <c r="B3611" t="inlineStr">
        <is>
          <t>avverkningsanmälan</t>
        </is>
      </c>
      <c r="C3611" t="inlineStr">
        <is>
          <t>Föryngringsavverkning</t>
        </is>
      </c>
      <c r="D3611" s="1" t="n">
        <v>45931</v>
      </c>
      <c r="E3611" s="1" t="n">
        <v>46326</v>
      </c>
      <c r="F3611" t="inlineStr">
        <is>
          <t>GÄVLEBORGS LÄN</t>
        </is>
      </c>
      <c r="G3611" t="inlineStr">
        <is>
          <t>NORDANSTIG</t>
        </is>
      </c>
      <c r="I3611" t="n">
        <v>2</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48261-2025</t>
        </is>
      </c>
      <c r="B3612" t="inlineStr">
        <is>
          <t>avverkningsanmälan</t>
        </is>
      </c>
      <c r="C3612" t="inlineStr">
        <is>
          <t>Föryngringsavverkning</t>
        </is>
      </c>
      <c r="D3612" s="1" t="n">
        <v>45933</v>
      </c>
      <c r="E3612" s="1" t="n">
        <v>46326</v>
      </c>
      <c r="F3612" t="inlineStr">
        <is>
          <t>GÄVLEBORGS LÄN</t>
        </is>
      </c>
      <c r="G3612" t="inlineStr">
        <is>
          <t>SANDVIKEN</t>
        </is>
      </c>
      <c r="H3612" t="inlineStr">
        <is>
          <t>Sveaskog</t>
        </is>
      </c>
      <c r="I3612" t="n">
        <v>3.9</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48268-2025</t>
        </is>
      </c>
      <c r="B3613" t="inlineStr">
        <is>
          <t>avverkningsanmälan</t>
        </is>
      </c>
      <c r="C3613" t="inlineStr">
        <is>
          <t>Föryngringsavverkning</t>
        </is>
      </c>
      <c r="D3613" s="1" t="n">
        <v>45933</v>
      </c>
      <c r="E3613" s="1" t="n">
        <v>46326</v>
      </c>
      <c r="F3613" t="inlineStr">
        <is>
          <t>GÄVLEBORGS LÄN</t>
        </is>
      </c>
      <c r="G3613" t="inlineStr">
        <is>
          <t>SANDVIKEN</t>
        </is>
      </c>
      <c r="H3613" t="inlineStr">
        <is>
          <t>Sveaskog</t>
        </is>
      </c>
      <c r="I3613" t="n">
        <v>1.8</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36732-2025</t>
        </is>
      </c>
      <c r="B3614" t="inlineStr">
        <is>
          <t>avverkningsanmälan</t>
        </is>
      </c>
      <c r="C3614" t="inlineStr">
        <is>
          <t>Föryngringsavverkning</t>
        </is>
      </c>
      <c r="D3614" s="1" t="n">
        <v>45873</v>
      </c>
      <c r="E3614" s="1" t="n">
        <v>46326</v>
      </c>
      <c r="F3614" t="inlineStr">
        <is>
          <t>GÄVLEBORGS LÄN</t>
        </is>
      </c>
      <c r="G3614" t="inlineStr">
        <is>
          <t>SANDVIKEN</t>
        </is>
      </c>
      <c r="I3614" t="n">
        <v>5.6</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36753-2025</t>
        </is>
      </c>
      <c r="B3615" t="inlineStr">
        <is>
          <t>avverkningsanmälan</t>
        </is>
      </c>
      <c r="C3615" t="inlineStr">
        <is>
          <t>Föryngringsavverkning</t>
        </is>
      </c>
      <c r="D3615" s="1" t="n">
        <v>45873</v>
      </c>
      <c r="E3615" s="1" t="n">
        <v>46326</v>
      </c>
      <c r="F3615" t="inlineStr">
        <is>
          <t>GÄVLEBORGS LÄN</t>
        </is>
      </c>
      <c r="G3615" t="inlineStr">
        <is>
          <t>OVANÅKER</t>
        </is>
      </c>
      <c r="H3615" t="inlineStr">
        <is>
          <t>Bergvik skog väst AB</t>
        </is>
      </c>
      <c r="I3615" t="n">
        <v>6</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36784-2025</t>
        </is>
      </c>
      <c r="B3616" t="inlineStr">
        <is>
          <t>avverkningsanmälan</t>
        </is>
      </c>
      <c r="C3616" t="inlineStr">
        <is>
          <t>Föryngringsavverkning</t>
        </is>
      </c>
      <c r="D3616" s="1" t="n">
        <v>45873</v>
      </c>
      <c r="E3616" s="1" t="n">
        <v>46326</v>
      </c>
      <c r="F3616" t="inlineStr">
        <is>
          <t>GÄVLEBORGS LÄN</t>
        </is>
      </c>
      <c r="G3616" t="inlineStr">
        <is>
          <t>LJUSDAL</t>
        </is>
      </c>
      <c r="H3616" t="inlineStr">
        <is>
          <t>Bergvik skog väst AB</t>
        </is>
      </c>
      <c r="I3616" t="n">
        <v>0.8</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37367-2024</t>
        </is>
      </c>
      <c r="B3617" t="inlineStr">
        <is>
          <t>avverkningsanmälan</t>
        </is>
      </c>
      <c r="C3617" t="inlineStr">
        <is>
          <t>Föryngringsavverkning</t>
        </is>
      </c>
      <c r="D3617" s="1" t="n">
        <v>45540</v>
      </c>
      <c r="E3617" s="1" t="n">
        <v>46326</v>
      </c>
      <c r="F3617" t="inlineStr">
        <is>
          <t>GÄVLEBORGS LÄN</t>
        </is>
      </c>
      <c r="G3617" t="inlineStr">
        <is>
          <t>SANDVIKEN</t>
        </is>
      </c>
      <c r="I3617" t="n">
        <v>0.5</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36680-2025</t>
        </is>
      </c>
      <c r="B3618" t="inlineStr">
        <is>
          <t>avverkningsanmälan</t>
        </is>
      </c>
      <c r="C3618" t="inlineStr">
        <is>
          <t>Föryngringsavverkning</t>
        </is>
      </c>
      <c r="D3618" s="1" t="n">
        <v>45873</v>
      </c>
      <c r="E3618" s="1" t="n">
        <v>46326</v>
      </c>
      <c r="F3618" t="inlineStr">
        <is>
          <t>GÄVLEBORGS LÄN</t>
        </is>
      </c>
      <c r="G3618" t="inlineStr">
        <is>
          <t>GÄVLE</t>
        </is>
      </c>
      <c r="H3618" t="inlineStr">
        <is>
          <t>Bergvik skog väst AB</t>
        </is>
      </c>
      <c r="I3618" t="n">
        <v>2</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47923-2025</t>
        </is>
      </c>
      <c r="B3619" t="inlineStr">
        <is>
          <t>avverkningsanmälan</t>
        </is>
      </c>
      <c r="C3619" t="inlineStr">
        <is>
          <t>Föryngringsavverkning</t>
        </is>
      </c>
      <c r="D3619" s="1" t="n">
        <v>45932</v>
      </c>
      <c r="E3619" s="1" t="n">
        <v>46326</v>
      </c>
      <c r="F3619" t="inlineStr">
        <is>
          <t>GÄVLEBORGS LÄN</t>
        </is>
      </c>
      <c r="G3619" t="inlineStr">
        <is>
          <t>LJUSDAL</t>
        </is>
      </c>
      <c r="I3619" t="n">
        <v>0.7</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6369-2026</t>
        </is>
      </c>
      <c r="B3620" t="inlineStr">
        <is>
          <t>avverkningsanmälan</t>
        </is>
      </c>
      <c r="C3620" t="inlineStr">
        <is>
          <t>Föryngringsavverkning</t>
        </is>
      </c>
      <c r="D3620" s="1" t="n">
        <v>46055</v>
      </c>
      <c r="E3620" s="1" t="n">
        <v>46326</v>
      </c>
      <c r="F3620" t="inlineStr">
        <is>
          <t>GÄVLEBORGS LÄN</t>
        </is>
      </c>
      <c r="G3620" t="inlineStr">
        <is>
          <t>HUDIKSVALL</t>
        </is>
      </c>
      <c r="I3620" t="n">
        <v>4.5</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48231-2025</t>
        </is>
      </c>
      <c r="B3621" t="inlineStr">
        <is>
          <t>avverkningsanmälan</t>
        </is>
      </c>
      <c r="C3621" t="inlineStr">
        <is>
          <t>Föryngringsavverkning</t>
        </is>
      </c>
      <c r="D3621" s="1" t="n">
        <v>45933</v>
      </c>
      <c r="E3621" s="1" t="n">
        <v>46326</v>
      </c>
      <c r="F3621" t="inlineStr">
        <is>
          <t>GÄVLEBORGS LÄN</t>
        </is>
      </c>
      <c r="G3621" t="inlineStr">
        <is>
          <t>HOFORS</t>
        </is>
      </c>
      <c r="H3621" t="inlineStr">
        <is>
          <t>Sveaskog</t>
        </is>
      </c>
      <c r="I3621" t="n">
        <v>2.7</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48251-2025</t>
        </is>
      </c>
      <c r="B3622" t="inlineStr">
        <is>
          <t>avverkningsanmälan</t>
        </is>
      </c>
      <c r="C3622" t="inlineStr">
        <is>
          <t>Föryngringsavverkning</t>
        </is>
      </c>
      <c r="D3622" s="1" t="n">
        <v>45933</v>
      </c>
      <c r="E3622" s="1" t="n">
        <v>46326</v>
      </c>
      <c r="F3622" t="inlineStr">
        <is>
          <t>GÄVLEBORGS LÄN</t>
        </is>
      </c>
      <c r="G3622" t="inlineStr">
        <is>
          <t>GÄVLE</t>
        </is>
      </c>
      <c r="H3622" t="inlineStr">
        <is>
          <t>Bergvik skog öst AB</t>
        </is>
      </c>
      <c r="I3622" t="n">
        <v>1.3</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4475-2025</t>
        </is>
      </c>
      <c r="B3623" t="inlineStr">
        <is>
          <t>avverkningsanmälan</t>
        </is>
      </c>
      <c r="C3623" t="inlineStr">
        <is>
          <t>Föryngringsavverkning</t>
        </is>
      </c>
      <c r="D3623" s="1" t="n">
        <v>45686</v>
      </c>
      <c r="E3623" s="1" t="n">
        <v>46326</v>
      </c>
      <c r="F3623" t="inlineStr">
        <is>
          <t>GÄVLEBORGS LÄN</t>
        </is>
      </c>
      <c r="G3623" t="inlineStr">
        <is>
          <t>OVANÅKER</t>
        </is>
      </c>
      <c r="I3623" t="n">
        <v>1.4</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60356-2024</t>
        </is>
      </c>
      <c r="B3624" t="inlineStr">
        <is>
          <t>avverkningsanmälan</t>
        </is>
      </c>
      <c r="C3624" t="inlineStr">
        <is>
          <t>Föryngringsavverkning</t>
        </is>
      </c>
      <c r="D3624" s="1" t="n">
        <v>45643</v>
      </c>
      <c r="E3624" s="1" t="n">
        <v>46326</v>
      </c>
      <c r="F3624" t="inlineStr">
        <is>
          <t>GÄVLEBORGS LÄN</t>
        </is>
      </c>
      <c r="G3624" t="inlineStr">
        <is>
          <t>HUDIKSVALL</t>
        </is>
      </c>
      <c r="I3624" t="n">
        <v>1.5</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56150-2023</t>
        </is>
      </c>
      <c r="B3625" t="inlineStr">
        <is>
          <t>avverkningsanmälan</t>
        </is>
      </c>
      <c r="C3625" t="inlineStr">
        <is>
          <t>Föryngringsavverkning</t>
        </is>
      </c>
      <c r="D3625" s="1" t="n">
        <v>45240</v>
      </c>
      <c r="E3625" s="1" t="n">
        <v>46326</v>
      </c>
      <c r="F3625" t="inlineStr">
        <is>
          <t>GÄVLEBORGS LÄN</t>
        </is>
      </c>
      <c r="G3625" t="inlineStr">
        <is>
          <t>SANDVIKEN</t>
        </is>
      </c>
      <c r="H3625" t="inlineStr">
        <is>
          <t>Sveaskog</t>
        </is>
      </c>
      <c r="I3625" t="n">
        <v>2.8</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48002-2025</t>
        </is>
      </c>
      <c r="B3626" t="inlineStr">
        <is>
          <t>avverkningsanmälan</t>
        </is>
      </c>
      <c r="C3626" t="inlineStr">
        <is>
          <t>Föryngringsavverkning</t>
        </is>
      </c>
      <c r="D3626" s="1" t="n">
        <v>45932</v>
      </c>
      <c r="E3626" s="1" t="n">
        <v>46326</v>
      </c>
      <c r="F3626" t="inlineStr">
        <is>
          <t>GÄVLEBORGS LÄN</t>
        </is>
      </c>
      <c r="G3626" t="inlineStr">
        <is>
          <t>GÄVLE</t>
        </is>
      </c>
      <c r="I3626" t="n">
        <v>6.6</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48154-2025</t>
        </is>
      </c>
      <c r="B3627" t="inlineStr">
        <is>
          <t>avverkningsanmälan</t>
        </is>
      </c>
      <c r="C3627" t="inlineStr">
        <is>
          <t>Föryngringsavverkning</t>
        </is>
      </c>
      <c r="D3627" s="1" t="n">
        <v>45933</v>
      </c>
      <c r="E3627" s="1" t="n">
        <v>46326</v>
      </c>
      <c r="F3627" t="inlineStr">
        <is>
          <t>GÄVLEBORGS LÄN</t>
        </is>
      </c>
      <c r="G3627" t="inlineStr">
        <is>
          <t>HUDIKSVALL</t>
        </is>
      </c>
      <c r="H3627" t="inlineStr">
        <is>
          <t>Holmen skog AB</t>
        </is>
      </c>
      <c r="I3627" t="n">
        <v>5.3</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47994-2025</t>
        </is>
      </c>
      <c r="B3628" t="inlineStr">
        <is>
          <t>avverkningsanmälan</t>
        </is>
      </c>
      <c r="C3628" t="inlineStr">
        <is>
          <t>Föryngringsavverkning</t>
        </is>
      </c>
      <c r="D3628" s="1" t="n">
        <v>45932</v>
      </c>
      <c r="E3628" s="1" t="n">
        <v>46326</v>
      </c>
      <c r="F3628" t="inlineStr">
        <is>
          <t>GÄVLEBORGS LÄN</t>
        </is>
      </c>
      <c r="G3628" t="inlineStr">
        <is>
          <t>GÄVLE</t>
        </is>
      </c>
      <c r="I3628" t="n">
        <v>10.1</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37202-2023</t>
        </is>
      </c>
      <c r="B3629" t="inlineStr">
        <is>
          <t>avverkningsanmälan</t>
        </is>
      </c>
      <c r="C3629" t="inlineStr">
        <is>
          <t>Föryngringsavverkning</t>
        </is>
      </c>
      <c r="D3629" s="1" t="n">
        <v>45155</v>
      </c>
      <c r="E3629" s="1" t="n">
        <v>46326</v>
      </c>
      <c r="F3629" t="inlineStr">
        <is>
          <t>GÄVLEBORGS LÄN</t>
        </is>
      </c>
      <c r="G3629" t="inlineStr">
        <is>
          <t>LJUSDAL</t>
        </is>
      </c>
      <c r="H3629" t="inlineStr">
        <is>
          <t>Sveaskog</t>
        </is>
      </c>
      <c r="I3629" t="n">
        <v>7.1</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42712-2024</t>
        </is>
      </c>
      <c r="B3630" t="inlineStr">
        <is>
          <t>avverkningsanmälan</t>
        </is>
      </c>
      <c r="C3630" t="inlineStr">
        <is>
          <t>Föryngringsavverkning</t>
        </is>
      </c>
      <c r="D3630" s="1" t="n">
        <v>45566</v>
      </c>
      <c r="E3630" s="1" t="n">
        <v>46326</v>
      </c>
      <c r="F3630" t="inlineStr">
        <is>
          <t>GÄVLEBORGS LÄN</t>
        </is>
      </c>
      <c r="G3630" t="inlineStr">
        <is>
          <t>LJUSDAL</t>
        </is>
      </c>
      <c r="H3630" t="inlineStr">
        <is>
          <t>Kommuner</t>
        </is>
      </c>
      <c r="I3630" t="n">
        <v>6.9</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42720-2024</t>
        </is>
      </c>
      <c r="B3631" t="inlineStr">
        <is>
          <t>avverkningsanmälan</t>
        </is>
      </c>
      <c r="C3631" t="inlineStr">
        <is>
          <t>Föryngringsavverkning</t>
        </is>
      </c>
      <c r="D3631" s="1" t="n">
        <v>45566</v>
      </c>
      <c r="E3631" s="1" t="n">
        <v>46326</v>
      </c>
      <c r="F3631" t="inlineStr">
        <is>
          <t>GÄVLEBORGS LÄN</t>
        </is>
      </c>
      <c r="G3631" t="inlineStr">
        <is>
          <t>LJUSDAL</t>
        </is>
      </c>
      <c r="H3631" t="inlineStr">
        <is>
          <t>Kommuner</t>
        </is>
      </c>
      <c r="I3631" t="n">
        <v>5.9</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42726-2024</t>
        </is>
      </c>
      <c r="B3632" t="inlineStr">
        <is>
          <t>avverkningsanmälan</t>
        </is>
      </c>
      <c r="C3632" t="inlineStr">
        <is>
          <t>Avverkning för annat ändamål</t>
        </is>
      </c>
      <c r="D3632" s="1" t="n">
        <v>45566</v>
      </c>
      <c r="E3632" s="1" t="n">
        <v>46326</v>
      </c>
      <c r="F3632" t="inlineStr">
        <is>
          <t>GÄVLEBORGS LÄN</t>
        </is>
      </c>
      <c r="G3632" t="inlineStr">
        <is>
          <t>LJUSDAL</t>
        </is>
      </c>
      <c r="I3632" t="n">
        <v>1.6</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18926-2025</t>
        </is>
      </c>
      <c r="B3633" t="inlineStr">
        <is>
          <t>avverkningsanmälan</t>
        </is>
      </c>
      <c r="C3633" t="inlineStr">
        <is>
          <t>Föryngringsavverkning</t>
        </is>
      </c>
      <c r="D3633" s="1" t="n">
        <v>45764</v>
      </c>
      <c r="E3633" s="1" t="n">
        <v>46326</v>
      </c>
      <c r="F3633" t="inlineStr">
        <is>
          <t>GÄVLEBORGS LÄN</t>
        </is>
      </c>
      <c r="G3633" t="inlineStr">
        <is>
          <t>HUDIKSVALL</t>
        </is>
      </c>
      <c r="I3633" t="n">
        <v>0.7</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36744-2025</t>
        </is>
      </c>
      <c r="B3634" t="inlineStr">
        <is>
          <t>avverkningsanmälan</t>
        </is>
      </c>
      <c r="C3634" t="inlineStr">
        <is>
          <t>Föryngringsavverkning</t>
        </is>
      </c>
      <c r="D3634" s="1" t="n">
        <v>45873</v>
      </c>
      <c r="E3634" s="1" t="n">
        <v>46326</v>
      </c>
      <c r="F3634" t="inlineStr">
        <is>
          <t>GÄVLEBORGS LÄN</t>
        </is>
      </c>
      <c r="G3634" t="inlineStr">
        <is>
          <t>OVANÅKER</t>
        </is>
      </c>
      <c r="H3634" t="inlineStr">
        <is>
          <t>Bergvik skog väst AB</t>
        </is>
      </c>
      <c r="I3634" t="n">
        <v>18.7</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47925-2025</t>
        </is>
      </c>
      <c r="B3635" t="inlineStr">
        <is>
          <t>avverkningsanmälan</t>
        </is>
      </c>
      <c r="C3635" t="inlineStr">
        <is>
          <t>Föryngringsavverkning</t>
        </is>
      </c>
      <c r="D3635" s="1" t="n">
        <v>45932</v>
      </c>
      <c r="E3635" s="1" t="n">
        <v>46326</v>
      </c>
      <c r="F3635" t="inlineStr">
        <is>
          <t>GÄVLEBORGS LÄN</t>
        </is>
      </c>
      <c r="G3635" t="inlineStr">
        <is>
          <t>LJUSDAL</t>
        </is>
      </c>
      <c r="I3635" t="n">
        <v>0.9</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48263-2025</t>
        </is>
      </c>
      <c r="B3636" t="inlineStr">
        <is>
          <t>avverkningsanmälan</t>
        </is>
      </c>
      <c r="C3636" t="inlineStr">
        <is>
          <t>Föryngringsavverkning</t>
        </is>
      </c>
      <c r="D3636" s="1" t="n">
        <v>45933</v>
      </c>
      <c r="E3636" s="1" t="n">
        <v>46326</v>
      </c>
      <c r="F3636" t="inlineStr">
        <is>
          <t>GÄVLEBORGS LÄN</t>
        </is>
      </c>
      <c r="G3636" t="inlineStr">
        <is>
          <t>SANDVIKEN</t>
        </is>
      </c>
      <c r="H3636" t="inlineStr">
        <is>
          <t>Sveaskog</t>
        </is>
      </c>
      <c r="I3636" t="n">
        <v>11.9</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61422-2024</t>
        </is>
      </c>
      <c r="B3637" t="inlineStr">
        <is>
          <t>avverkningsanmälan</t>
        </is>
      </c>
      <c r="C3637" t="inlineStr">
        <is>
          <t>Föryngringsavverkning</t>
        </is>
      </c>
      <c r="D3637" s="1" t="n">
        <v>45646</v>
      </c>
      <c r="E3637" s="1" t="n">
        <v>46326</v>
      </c>
      <c r="F3637" t="inlineStr">
        <is>
          <t>GÄVLEBORGS LÄN</t>
        </is>
      </c>
      <c r="G3637" t="inlineStr">
        <is>
          <t>NORDANSTIG</t>
        </is>
      </c>
      <c r="I3637" t="n">
        <v>1.1</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36659-2025</t>
        </is>
      </c>
      <c r="B3638" t="inlineStr">
        <is>
          <t>avverkningsanmälan</t>
        </is>
      </c>
      <c r="C3638" t="inlineStr">
        <is>
          <t>Föryngringsavverkning</t>
        </is>
      </c>
      <c r="D3638" s="1" t="n">
        <v>45873</v>
      </c>
      <c r="E3638" s="1" t="n">
        <v>46326</v>
      </c>
      <c r="F3638" t="inlineStr">
        <is>
          <t>GÄVLEBORGS LÄN</t>
        </is>
      </c>
      <c r="G3638" t="inlineStr">
        <is>
          <t>OVANÅKER</t>
        </is>
      </c>
      <c r="I3638" t="n">
        <v>1.7</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48249-2025</t>
        </is>
      </c>
      <c r="B3639" t="inlineStr">
        <is>
          <t>avverkningsanmälan</t>
        </is>
      </c>
      <c r="C3639" t="inlineStr">
        <is>
          <t>Föryngringsavverkning</t>
        </is>
      </c>
      <c r="D3639" s="1" t="n">
        <v>45933</v>
      </c>
      <c r="E3639" s="1" t="n">
        <v>46326</v>
      </c>
      <c r="F3639" t="inlineStr">
        <is>
          <t>GÄVLEBORGS LÄN</t>
        </is>
      </c>
      <c r="G3639" t="inlineStr">
        <is>
          <t>GÄVLE</t>
        </is>
      </c>
      <c r="H3639" t="inlineStr">
        <is>
          <t>Bergvik skog öst AB</t>
        </is>
      </c>
      <c r="I3639" t="n">
        <v>0.5</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48566-2025</t>
        </is>
      </c>
      <c r="B3640" t="inlineStr">
        <is>
          <t>avverkningsanmälan</t>
        </is>
      </c>
      <c r="C3640" t="inlineStr">
        <is>
          <t>Föryngringsavverkning</t>
        </is>
      </c>
      <c r="D3640" s="1" t="n">
        <v>45936</v>
      </c>
      <c r="E3640" s="1" t="n">
        <v>46326</v>
      </c>
      <c r="F3640" t="inlineStr">
        <is>
          <t>GÄVLEBORGS LÄN</t>
        </is>
      </c>
      <c r="G3640" t="inlineStr">
        <is>
          <t>NORDANSTIG</t>
        </is>
      </c>
      <c r="I3640" t="n">
        <v>9</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48694-2025</t>
        </is>
      </c>
      <c r="B3641" t="inlineStr">
        <is>
          <t>avverkningsanmälan</t>
        </is>
      </c>
      <c r="C3641" t="inlineStr">
        <is>
          <t>Föryngringsavverkning</t>
        </is>
      </c>
      <c r="D3641" s="1" t="n">
        <v>45936</v>
      </c>
      <c r="E3641" s="1" t="n">
        <v>46326</v>
      </c>
      <c r="F3641" t="inlineStr">
        <is>
          <t>GÄVLEBORGS LÄN</t>
        </is>
      </c>
      <c r="G3641" t="inlineStr">
        <is>
          <t>LJUSDAL</t>
        </is>
      </c>
      <c r="I3641" t="n">
        <v>7.5</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5862-2026</t>
        </is>
      </c>
      <c r="B3642" t="inlineStr">
        <is>
          <t>avverkningsanmälan</t>
        </is>
      </c>
      <c r="C3642" t="inlineStr">
        <is>
          <t>Föryngringsavverkning</t>
        </is>
      </c>
      <c r="D3642" s="1" t="n">
        <v>46052</v>
      </c>
      <c r="E3642" s="1" t="n">
        <v>46326</v>
      </c>
      <c r="F3642" t="inlineStr">
        <is>
          <t>GÄVLEBORGS LÄN</t>
        </is>
      </c>
      <c r="G3642" t="inlineStr">
        <is>
          <t>OVANÅKER</t>
        </is>
      </c>
      <c r="I3642" t="n">
        <v>2</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5864-2026</t>
        </is>
      </c>
      <c r="B3643" t="inlineStr">
        <is>
          <t>avverkningsanmälan</t>
        </is>
      </c>
      <c r="C3643" t="inlineStr">
        <is>
          <t>Föryngringsavverkning</t>
        </is>
      </c>
      <c r="D3643" s="1" t="n">
        <v>46052</v>
      </c>
      <c r="E3643" s="1" t="n">
        <v>46326</v>
      </c>
      <c r="F3643" t="inlineStr">
        <is>
          <t>GÄVLEBORGS LÄN</t>
        </is>
      </c>
      <c r="G3643" t="inlineStr">
        <is>
          <t>BOLLNÄS</t>
        </is>
      </c>
      <c r="I3643" t="n">
        <v>1.7</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2280-2022</t>
        </is>
      </c>
      <c r="B3644" t="inlineStr">
        <is>
          <t>avverkningsanmälan</t>
        </is>
      </c>
      <c r="C3644" t="inlineStr">
        <is>
          <t>Föryngringsavverkning</t>
        </is>
      </c>
      <c r="D3644" s="1" t="n">
        <v>44578</v>
      </c>
      <c r="E3644" s="1" t="n">
        <v>46326</v>
      </c>
      <c r="F3644" t="inlineStr">
        <is>
          <t>GÄVLEBORGS LÄN</t>
        </is>
      </c>
      <c r="G3644" t="inlineStr">
        <is>
          <t>HUDIKSVALL</t>
        </is>
      </c>
      <c r="I3644" t="n">
        <v>2.5</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48612-2025</t>
        </is>
      </c>
      <c r="B3645" t="inlineStr">
        <is>
          <t>avverkningsanmälan</t>
        </is>
      </c>
      <c r="C3645" t="inlineStr">
        <is>
          <t>Föryngringsavverkning</t>
        </is>
      </c>
      <c r="D3645" s="1" t="n">
        <v>45935</v>
      </c>
      <c r="E3645" s="1" t="n">
        <v>46326</v>
      </c>
      <c r="F3645" t="inlineStr">
        <is>
          <t>GÄVLEBORGS LÄN</t>
        </is>
      </c>
      <c r="G3645" t="inlineStr">
        <is>
          <t>HOFORS</t>
        </is>
      </c>
      <c r="H3645" t="inlineStr">
        <is>
          <t>Bergvik skog väst AB</t>
        </is>
      </c>
      <c r="I3645" t="n">
        <v>5.3</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48634-2025</t>
        </is>
      </c>
      <c r="B3646" t="inlineStr">
        <is>
          <t>avverkningsanmälan</t>
        </is>
      </c>
      <c r="C3646" t="inlineStr">
        <is>
          <t>Föryngringsavverkning</t>
        </is>
      </c>
      <c r="D3646" s="1" t="n">
        <v>45936</v>
      </c>
      <c r="E3646" s="1" t="n">
        <v>46326</v>
      </c>
      <c r="F3646" t="inlineStr">
        <is>
          <t>GÄVLEBORGS LÄN</t>
        </is>
      </c>
      <c r="G3646" t="inlineStr">
        <is>
          <t>LJUSDAL</t>
        </is>
      </c>
      <c r="H3646" t="inlineStr">
        <is>
          <t>Holmen skog AB</t>
        </is>
      </c>
      <c r="I3646" t="n">
        <v>0.8</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48635-2025</t>
        </is>
      </c>
      <c r="B3647" t="inlineStr">
        <is>
          <t>avverkningsanmälan</t>
        </is>
      </c>
      <c r="C3647" t="inlineStr">
        <is>
          <t>Föryngringsavverkning</t>
        </is>
      </c>
      <c r="D3647" s="1" t="n">
        <v>45936</v>
      </c>
      <c r="E3647" s="1" t="n">
        <v>46326</v>
      </c>
      <c r="F3647" t="inlineStr">
        <is>
          <t>GÄVLEBORGS LÄN</t>
        </is>
      </c>
      <c r="G3647" t="inlineStr">
        <is>
          <t>LJUSDAL</t>
        </is>
      </c>
      <c r="H3647" t="inlineStr">
        <is>
          <t>Holmen skog AB</t>
        </is>
      </c>
      <c r="I3647" t="n">
        <v>2.3</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5844-2026</t>
        </is>
      </c>
      <c r="B3648" t="inlineStr">
        <is>
          <t>avverkningsanmälan</t>
        </is>
      </c>
      <c r="C3648" t="inlineStr">
        <is>
          <t>Föryngringsavverkning</t>
        </is>
      </c>
      <c r="D3648" s="1" t="n">
        <v>46052</v>
      </c>
      <c r="E3648" s="1" t="n">
        <v>46326</v>
      </c>
      <c r="F3648" t="inlineStr">
        <is>
          <t>GÄVLEBORGS LÄN</t>
        </is>
      </c>
      <c r="G3648" t="inlineStr">
        <is>
          <t>HUDIKSVALL</t>
        </is>
      </c>
      <c r="I3648" t="n">
        <v>2.1</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48715-2025</t>
        </is>
      </c>
      <c r="B3649" t="inlineStr">
        <is>
          <t>avverkningsanmälan</t>
        </is>
      </c>
      <c r="C3649" t="inlineStr">
        <is>
          <t>Föryngringsavverkning</t>
        </is>
      </c>
      <c r="D3649" s="1" t="n">
        <v>45936</v>
      </c>
      <c r="E3649" s="1" t="n">
        <v>46326</v>
      </c>
      <c r="F3649" t="inlineStr">
        <is>
          <t>GÄVLEBORGS LÄN</t>
        </is>
      </c>
      <c r="G3649" t="inlineStr">
        <is>
          <t>NORDANSTIG</t>
        </is>
      </c>
      <c r="H3649" t="inlineStr">
        <is>
          <t>Holmen skog AB</t>
        </is>
      </c>
      <c r="I3649" t="n">
        <v>1.9</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48724-2025</t>
        </is>
      </c>
      <c r="B3650" t="inlineStr">
        <is>
          <t>avverkningsanmälan</t>
        </is>
      </c>
      <c r="C3650" t="inlineStr">
        <is>
          <t>Föryngringsavverkning</t>
        </is>
      </c>
      <c r="D3650" s="1" t="n">
        <v>45936</v>
      </c>
      <c r="E3650" s="1" t="n">
        <v>46326</v>
      </c>
      <c r="F3650" t="inlineStr">
        <is>
          <t>GÄVLEBORGS LÄN</t>
        </is>
      </c>
      <c r="G3650" t="inlineStr">
        <is>
          <t>NORDANSTIG</t>
        </is>
      </c>
      <c r="I3650" t="n">
        <v>1.3</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48963-2025</t>
        </is>
      </c>
      <c r="B3651" t="inlineStr">
        <is>
          <t>avverkningsanmälan</t>
        </is>
      </c>
      <c r="C3651" t="inlineStr">
        <is>
          <t>Föryngringsavverkning</t>
        </is>
      </c>
      <c r="D3651" s="1" t="n">
        <v>45936</v>
      </c>
      <c r="E3651" s="1" t="n">
        <v>46326</v>
      </c>
      <c r="F3651" t="inlineStr">
        <is>
          <t>GÄVLEBORGS LÄN</t>
        </is>
      </c>
      <c r="G3651" t="inlineStr">
        <is>
          <t>SANDVIKEN</t>
        </is>
      </c>
      <c r="H3651" t="inlineStr">
        <is>
          <t>Bergvik skog väst AB</t>
        </is>
      </c>
      <c r="I3651" t="n">
        <v>10.1</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47495-2024</t>
        </is>
      </c>
      <c r="B3652" t="inlineStr">
        <is>
          <t>avverkningsanmälan</t>
        </is>
      </c>
      <c r="C3652" t="inlineStr">
        <is>
          <t>Föryngringsavverkning</t>
        </is>
      </c>
      <c r="D3652" s="1" t="n">
        <v>45587</v>
      </c>
      <c r="E3652" s="1" t="n">
        <v>46326</v>
      </c>
      <c r="F3652" t="inlineStr">
        <is>
          <t>GÄVLEBORGS LÄN</t>
        </is>
      </c>
      <c r="G3652" t="inlineStr">
        <is>
          <t>HOFORS</t>
        </is>
      </c>
      <c r="H3652" t="inlineStr">
        <is>
          <t>Sveaskog</t>
        </is>
      </c>
      <c r="I3652" t="n">
        <v>5.2</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36793-2025</t>
        </is>
      </c>
      <c r="B3653" t="inlineStr">
        <is>
          <t>avverkningsanmälan</t>
        </is>
      </c>
      <c r="C3653" t="inlineStr">
        <is>
          <t>Föryngringsavverkning</t>
        </is>
      </c>
      <c r="D3653" s="1" t="n">
        <v>45873</v>
      </c>
      <c r="E3653" s="1" t="n">
        <v>46326</v>
      </c>
      <c r="F3653" t="inlineStr">
        <is>
          <t>GÄVLEBORGS LÄN</t>
        </is>
      </c>
      <c r="G3653" t="inlineStr">
        <is>
          <t>SANDVIKEN</t>
        </is>
      </c>
      <c r="I3653" t="n">
        <v>4.2</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36795-2025</t>
        </is>
      </c>
      <c r="B3654" t="inlineStr">
        <is>
          <t>avverkningsanmälan</t>
        </is>
      </c>
      <c r="C3654" t="inlineStr">
        <is>
          <t>Föryngringsavverkning</t>
        </is>
      </c>
      <c r="D3654" s="1" t="n">
        <v>45873</v>
      </c>
      <c r="E3654" s="1" t="n">
        <v>46326</v>
      </c>
      <c r="F3654" t="inlineStr">
        <is>
          <t>GÄVLEBORGS LÄN</t>
        </is>
      </c>
      <c r="G3654" t="inlineStr">
        <is>
          <t>SANDVIKEN</t>
        </is>
      </c>
      <c r="I3654" t="n">
        <v>1.7</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36693-2025</t>
        </is>
      </c>
      <c r="B3655" t="inlineStr">
        <is>
          <t>avverkningsanmälan</t>
        </is>
      </c>
      <c r="C3655" t="inlineStr">
        <is>
          <t>Föryngringsavverkning</t>
        </is>
      </c>
      <c r="D3655" s="1" t="n">
        <v>45873</v>
      </c>
      <c r="E3655" s="1" t="n">
        <v>46326</v>
      </c>
      <c r="F3655" t="inlineStr">
        <is>
          <t>GÄVLEBORGS LÄN</t>
        </is>
      </c>
      <c r="G3655" t="inlineStr">
        <is>
          <t>SANDVIKEN</t>
        </is>
      </c>
      <c r="I3655" t="n">
        <v>0.6</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48631-2025</t>
        </is>
      </c>
      <c r="B3656" t="inlineStr">
        <is>
          <t>avverkningsanmälan</t>
        </is>
      </c>
      <c r="C3656" t="inlineStr">
        <is>
          <t>Föryngringsavverkning</t>
        </is>
      </c>
      <c r="D3656" s="1" t="n">
        <v>45936</v>
      </c>
      <c r="E3656" s="1" t="n">
        <v>46326</v>
      </c>
      <c r="F3656" t="inlineStr">
        <is>
          <t>GÄVLEBORGS LÄN</t>
        </is>
      </c>
      <c r="G3656" t="inlineStr">
        <is>
          <t>LJUSDAL</t>
        </is>
      </c>
      <c r="H3656" t="inlineStr">
        <is>
          <t>Holmen skog AB</t>
        </is>
      </c>
      <c r="I3656" t="n">
        <v>13.7</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46075-2024</t>
        </is>
      </c>
      <c r="B3657" t="inlineStr">
        <is>
          <t>avverkningsanmälan</t>
        </is>
      </c>
      <c r="C3657" t="inlineStr">
        <is>
          <t>Föryngringsavverkning</t>
        </is>
      </c>
      <c r="D3657" s="1" t="n">
        <v>45581</v>
      </c>
      <c r="E3657" s="1" t="n">
        <v>46326</v>
      </c>
      <c r="F3657" t="inlineStr">
        <is>
          <t>GÄVLEBORGS LÄN</t>
        </is>
      </c>
      <c r="G3657" t="inlineStr">
        <is>
          <t>LJUSDAL</t>
        </is>
      </c>
      <c r="H3657" t="inlineStr">
        <is>
          <t>Bergvik skog väst AB</t>
        </is>
      </c>
      <c r="I3657" t="n">
        <v>0.4</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19605-2025</t>
        </is>
      </c>
      <c r="B3658" t="inlineStr">
        <is>
          <t>avverkningsanmälan</t>
        </is>
      </c>
      <c r="C3658" t="inlineStr">
        <is>
          <t>Föryngringsavverkning</t>
        </is>
      </c>
      <c r="D3658" s="1" t="n">
        <v>45770</v>
      </c>
      <c r="E3658" s="1" t="n">
        <v>46326</v>
      </c>
      <c r="F3658" t="inlineStr">
        <is>
          <t>GÄVLEBORGS LÄN</t>
        </is>
      </c>
      <c r="G3658" t="inlineStr">
        <is>
          <t>HUDIKSVALL</t>
        </is>
      </c>
      <c r="H3658" t="inlineStr">
        <is>
          <t>Holmen skog AB</t>
        </is>
      </c>
      <c r="I3658" t="n">
        <v>9.5</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71645-2021</t>
        </is>
      </c>
      <c r="B3659" t="inlineStr">
        <is>
          <t>avverkningsanmälan</t>
        </is>
      </c>
      <c r="C3659" t="inlineStr">
        <is>
          <t>Föryngringsavverkning</t>
        </is>
      </c>
      <c r="D3659" s="1" t="n">
        <v>44543</v>
      </c>
      <c r="E3659" s="1" t="n">
        <v>46326</v>
      </c>
      <c r="F3659" t="inlineStr">
        <is>
          <t>GÄVLEBORGS LÄN</t>
        </is>
      </c>
      <c r="G3659" t="inlineStr">
        <is>
          <t>SÖDERHAMN</t>
        </is>
      </c>
      <c r="I3659" t="n">
        <v>2.1</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48677-2025</t>
        </is>
      </c>
      <c r="B3660" t="inlineStr">
        <is>
          <t>avverkningsanmälan</t>
        </is>
      </c>
      <c r="C3660" t="inlineStr">
        <is>
          <t>Föryngringsavverkning</t>
        </is>
      </c>
      <c r="D3660" s="1" t="n">
        <v>45936</v>
      </c>
      <c r="E3660" s="1" t="n">
        <v>46326</v>
      </c>
      <c r="F3660" t="inlineStr">
        <is>
          <t>GÄVLEBORGS LÄN</t>
        </is>
      </c>
      <c r="G3660" t="inlineStr">
        <is>
          <t>NORDANSTIG</t>
        </is>
      </c>
      <c r="I3660" t="n">
        <v>0.6</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36957-2025</t>
        </is>
      </c>
      <c r="B3661" t="inlineStr">
        <is>
          <t>avverkningsanmälan</t>
        </is>
      </c>
      <c r="C3661" t="inlineStr">
        <is>
          <t>Föryngringsavverkning</t>
        </is>
      </c>
      <c r="D3661" s="1" t="n">
        <v>45874</v>
      </c>
      <c r="E3661" s="1" t="n">
        <v>46326</v>
      </c>
      <c r="F3661" t="inlineStr">
        <is>
          <t>GÄVLEBORGS LÄN</t>
        </is>
      </c>
      <c r="G3661" t="inlineStr">
        <is>
          <t>BOLLNÄS</t>
        </is>
      </c>
      <c r="H3661" t="inlineStr">
        <is>
          <t>Bergvik skog väst AB</t>
        </is>
      </c>
      <c r="I3661" t="n">
        <v>7.2</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36981-2025</t>
        </is>
      </c>
      <c r="B3662" t="inlineStr">
        <is>
          <t>avverkningsanmälan</t>
        </is>
      </c>
      <c r="C3662" t="inlineStr">
        <is>
          <t>Avverkning för att bevara och utveckla /försöksver</t>
        </is>
      </c>
      <c r="D3662" s="1" t="n">
        <v>45874</v>
      </c>
      <c r="E3662" s="1" t="n">
        <v>46326</v>
      </c>
      <c r="F3662" t="inlineStr">
        <is>
          <t>GÄVLEBORGS LÄN</t>
        </is>
      </c>
      <c r="G3662" t="inlineStr">
        <is>
          <t>LJUSDAL</t>
        </is>
      </c>
      <c r="H3662" t="inlineStr">
        <is>
          <t>Sveaskog</t>
        </is>
      </c>
      <c r="I3662" t="n">
        <v>6.2</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48380-2025</t>
        </is>
      </c>
      <c r="B3663" t="inlineStr">
        <is>
          <t>avverkningsanmälan</t>
        </is>
      </c>
      <c r="C3663" t="inlineStr">
        <is>
          <t>Föryngringsavverkning</t>
        </is>
      </c>
      <c r="D3663" s="1" t="n">
        <v>45933</v>
      </c>
      <c r="E3663" s="1" t="n">
        <v>46326</v>
      </c>
      <c r="F3663" t="inlineStr">
        <is>
          <t>GÄVLEBORGS LÄN</t>
        </is>
      </c>
      <c r="G3663" t="inlineStr">
        <is>
          <t>HUDIKSVALL</t>
        </is>
      </c>
      <c r="I3663" t="n">
        <v>3.7</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70043-2021</t>
        </is>
      </c>
      <c r="B3664" t="inlineStr">
        <is>
          <t>avverkningsanmälan</t>
        </is>
      </c>
      <c r="C3664" t="inlineStr">
        <is>
          <t>Föryngringsavverkning</t>
        </is>
      </c>
      <c r="D3664" s="1" t="n">
        <v>44533</v>
      </c>
      <c r="E3664" s="1" t="n">
        <v>46326</v>
      </c>
      <c r="F3664" t="inlineStr">
        <is>
          <t>GÄVLEBORGS LÄN</t>
        </is>
      </c>
      <c r="G3664" t="inlineStr">
        <is>
          <t>GÄVLE</t>
        </is>
      </c>
      <c r="H3664" t="inlineStr">
        <is>
          <t>Bergvik skog öst AB</t>
        </is>
      </c>
      <c r="I3664" t="n">
        <v>1.5</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37208-2025</t>
        </is>
      </c>
      <c r="B3665" t="inlineStr">
        <is>
          <t>avverkningsanmälan</t>
        </is>
      </c>
      <c r="C3665" t="inlineStr">
        <is>
          <t>Föryngringsavverkning</t>
        </is>
      </c>
      <c r="D3665" s="1" t="n">
        <v>45875</v>
      </c>
      <c r="E3665" s="1" t="n">
        <v>46326</v>
      </c>
      <c r="F3665" t="inlineStr">
        <is>
          <t>GÄVLEBORGS LÄN</t>
        </is>
      </c>
      <c r="G3665" t="inlineStr">
        <is>
          <t>HUDIKSVALL</t>
        </is>
      </c>
      <c r="I3665" t="n">
        <v>1.2</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48543-2025</t>
        </is>
      </c>
      <c r="B3666" t="inlineStr">
        <is>
          <t>avverkningsanmälan</t>
        </is>
      </c>
      <c r="C3666" t="inlineStr">
        <is>
          <t>Föryngringsavverkning</t>
        </is>
      </c>
      <c r="D3666" s="1" t="n">
        <v>45936</v>
      </c>
      <c r="E3666" s="1" t="n">
        <v>46326</v>
      </c>
      <c r="F3666" t="inlineStr">
        <is>
          <t>GÄVLEBORGS LÄN</t>
        </is>
      </c>
      <c r="G3666" t="inlineStr">
        <is>
          <t>SÖDERHAMN</t>
        </is>
      </c>
      <c r="I3666" t="n">
        <v>1.7</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37082-2025</t>
        </is>
      </c>
      <c r="B3667" t="inlineStr">
        <is>
          <t>avverkningsanmälan</t>
        </is>
      </c>
      <c r="C3667" t="inlineStr">
        <is>
          <t>Föryngringsavverkning</t>
        </is>
      </c>
      <c r="D3667" s="1" t="n">
        <v>45875</v>
      </c>
      <c r="E3667" s="1" t="n">
        <v>46326</v>
      </c>
      <c r="F3667" t="inlineStr">
        <is>
          <t>GÄVLEBORGS LÄN</t>
        </is>
      </c>
      <c r="G3667" t="inlineStr">
        <is>
          <t>HUDIKSVALL</t>
        </is>
      </c>
      <c r="H3667" t="inlineStr">
        <is>
          <t>Holmen skog AB</t>
        </is>
      </c>
      <c r="I3667" t="n">
        <v>10.8</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41221-2022</t>
        </is>
      </c>
      <c r="B3668" t="inlineStr">
        <is>
          <t>avverkningsanmälan</t>
        </is>
      </c>
      <c r="C3668" t="inlineStr">
        <is>
          <t>Avverkning för annat ändamål</t>
        </is>
      </c>
      <c r="D3668" s="1" t="n">
        <v>44826</v>
      </c>
      <c r="E3668" s="1" t="n">
        <v>46326</v>
      </c>
      <c r="F3668" t="inlineStr">
        <is>
          <t>GÄVLEBORGS LÄN</t>
        </is>
      </c>
      <c r="G3668" t="inlineStr">
        <is>
          <t>SÖDERHAMN</t>
        </is>
      </c>
      <c r="I3668" t="n">
        <v>0.8</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49176-2025</t>
        </is>
      </c>
      <c r="B3669" t="inlineStr">
        <is>
          <t>avverkningsanmälan</t>
        </is>
      </c>
      <c r="C3669" t="inlineStr">
        <is>
          <t>Föryngringsavverkning</t>
        </is>
      </c>
      <c r="D3669" s="1" t="n">
        <v>45938</v>
      </c>
      <c r="E3669" s="1" t="n">
        <v>46326</v>
      </c>
      <c r="F3669" t="inlineStr">
        <is>
          <t>GÄVLEBORGS LÄN</t>
        </is>
      </c>
      <c r="G3669" t="inlineStr">
        <is>
          <t>OVANÅKER</t>
        </is>
      </c>
      <c r="I3669" t="n">
        <v>0.6</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44199-2025</t>
        </is>
      </c>
      <c r="B3670" t="inlineStr">
        <is>
          <t>avverkningsanmälan</t>
        </is>
      </c>
      <c r="C3670" t="inlineStr">
        <is>
          <t>Föryngringsavverkning</t>
        </is>
      </c>
      <c r="D3670" s="1" t="n">
        <v>45915</v>
      </c>
      <c r="E3670" s="1" t="n">
        <v>46326</v>
      </c>
      <c r="F3670" t="inlineStr">
        <is>
          <t>GÄVLEBORGS LÄN</t>
        </is>
      </c>
      <c r="G3670" t="inlineStr">
        <is>
          <t>OVANÅKER</t>
        </is>
      </c>
      <c r="I3670" t="n">
        <v>2.7</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48916-2025</t>
        </is>
      </c>
      <c r="B3671" t="inlineStr">
        <is>
          <t>avverkningsanmälan</t>
        </is>
      </c>
      <c r="C3671" t="inlineStr">
        <is>
          <t>Föryngringsavverkning</t>
        </is>
      </c>
      <c r="D3671" s="1" t="n">
        <v>45937</v>
      </c>
      <c r="E3671" s="1" t="n">
        <v>46326</v>
      </c>
      <c r="F3671" t="inlineStr">
        <is>
          <t>GÄVLEBORGS LÄN</t>
        </is>
      </c>
      <c r="G3671" t="inlineStr">
        <is>
          <t>NORDANSTIG</t>
        </is>
      </c>
      <c r="I3671" t="n">
        <v>1.1</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49027-2025</t>
        </is>
      </c>
      <c r="B3672" t="inlineStr">
        <is>
          <t>avverkningsanmälan</t>
        </is>
      </c>
      <c r="C3672" t="inlineStr">
        <is>
          <t>Föryngringsavverkning</t>
        </is>
      </c>
      <c r="D3672" s="1" t="n">
        <v>45937</v>
      </c>
      <c r="E3672" s="1" t="n">
        <v>46326</v>
      </c>
      <c r="F3672" t="inlineStr">
        <is>
          <t>GÄVLEBORGS LÄN</t>
        </is>
      </c>
      <c r="G3672" t="inlineStr">
        <is>
          <t>OCKELBO</t>
        </is>
      </c>
      <c r="I3672" t="n">
        <v>11</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21880-2023</t>
        </is>
      </c>
      <c r="B3673" t="inlineStr">
        <is>
          <t>avverkningsanmälan</t>
        </is>
      </c>
      <c r="C3673" t="inlineStr">
        <is>
          <t>Föryngringsavverkning</t>
        </is>
      </c>
      <c r="D3673" s="1" t="n">
        <v>45068</v>
      </c>
      <c r="E3673" s="1" t="n">
        <v>46326</v>
      </c>
      <c r="F3673" t="inlineStr">
        <is>
          <t>GÄVLEBORGS LÄN</t>
        </is>
      </c>
      <c r="G3673" t="inlineStr">
        <is>
          <t>HUDIKSVALL</t>
        </is>
      </c>
      <c r="I3673" t="n">
        <v>0.9</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43539-2023</t>
        </is>
      </c>
      <c r="B3674" t="inlineStr">
        <is>
          <t>avverkningsanmälan</t>
        </is>
      </c>
      <c r="C3674" t="inlineStr">
        <is>
          <t>Föryngringsavverkning</t>
        </is>
      </c>
      <c r="D3674" s="1" t="n">
        <v>45184</v>
      </c>
      <c r="E3674" s="1" t="n">
        <v>46326</v>
      </c>
      <c r="F3674" t="inlineStr">
        <is>
          <t>GÄVLEBORGS LÄN</t>
        </is>
      </c>
      <c r="G3674" t="inlineStr">
        <is>
          <t>NORDANSTIG</t>
        </is>
      </c>
      <c r="I3674" t="n">
        <v>3.9</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36836-2025</t>
        </is>
      </c>
      <c r="B3675" t="inlineStr">
        <is>
          <t>avverkningsanmälan</t>
        </is>
      </c>
      <c r="C3675" t="inlineStr">
        <is>
          <t>Föryngringsavverkning</t>
        </is>
      </c>
      <c r="D3675" s="1" t="n">
        <v>45874</v>
      </c>
      <c r="E3675" s="1" t="n">
        <v>46326</v>
      </c>
      <c r="F3675" t="inlineStr">
        <is>
          <t>GÄVLEBORGS LÄN</t>
        </is>
      </c>
      <c r="G3675" t="inlineStr">
        <is>
          <t>OVANÅKER</t>
        </is>
      </c>
      <c r="I3675" t="n">
        <v>4.5</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44182-2023</t>
        </is>
      </c>
      <c r="B3676" t="inlineStr">
        <is>
          <t>avverkningsanmälan</t>
        </is>
      </c>
      <c r="C3676" t="inlineStr">
        <is>
          <t>Föryngringsavverkning</t>
        </is>
      </c>
      <c r="D3676" s="1" t="n">
        <v>45188</v>
      </c>
      <c r="E3676" s="1" t="n">
        <v>46326</v>
      </c>
      <c r="F3676" t="inlineStr">
        <is>
          <t>GÄVLEBORGS LÄN</t>
        </is>
      </c>
      <c r="G3676" t="inlineStr">
        <is>
          <t>HUDIKSVALL</t>
        </is>
      </c>
      <c r="H3676" t="inlineStr">
        <is>
          <t>Holmen skog AB</t>
        </is>
      </c>
      <c r="I3676" t="n">
        <v>14.6</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49014-2025</t>
        </is>
      </c>
      <c r="B3677" t="inlineStr">
        <is>
          <t>avverkningsanmälan</t>
        </is>
      </c>
      <c r="C3677" t="inlineStr">
        <is>
          <t>Föryngringsavverkning</t>
        </is>
      </c>
      <c r="D3677" s="1" t="n">
        <v>45937</v>
      </c>
      <c r="E3677" s="1" t="n">
        <v>46326</v>
      </c>
      <c r="F3677" t="inlineStr">
        <is>
          <t>GÄVLEBORGS LÄN</t>
        </is>
      </c>
      <c r="G3677" t="inlineStr">
        <is>
          <t>OCKELBO</t>
        </is>
      </c>
      <c r="I3677" t="n">
        <v>0.7</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48835-2025</t>
        </is>
      </c>
      <c r="B3678" t="inlineStr">
        <is>
          <t>avverkningsanmälan</t>
        </is>
      </c>
      <c r="C3678" t="inlineStr">
        <is>
          <t>Föryngringsavverkning</t>
        </is>
      </c>
      <c r="D3678" s="1" t="n">
        <v>45937</v>
      </c>
      <c r="E3678" s="1" t="n">
        <v>46326</v>
      </c>
      <c r="F3678" t="inlineStr">
        <is>
          <t>GÄVLEBORGS LÄN</t>
        </is>
      </c>
      <c r="G3678" t="inlineStr">
        <is>
          <t>SÖDERHAMN</t>
        </is>
      </c>
      <c r="I3678" t="n">
        <v>2.9</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52221-2024</t>
        </is>
      </c>
      <c r="B3679" t="inlineStr">
        <is>
          <t>avverkningsanmälan</t>
        </is>
      </c>
      <c r="C3679" t="inlineStr">
        <is>
          <t>Föryngringsavverkning</t>
        </is>
      </c>
      <c r="D3679" s="1" t="n">
        <v>45608</v>
      </c>
      <c r="E3679" s="1" t="n">
        <v>46326</v>
      </c>
      <c r="F3679" t="inlineStr">
        <is>
          <t>GÄVLEBORGS LÄN</t>
        </is>
      </c>
      <c r="G3679" t="inlineStr">
        <is>
          <t>HUDIKSVALL</t>
        </is>
      </c>
      <c r="I3679" t="n">
        <v>4.5</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37083-2025</t>
        </is>
      </c>
      <c r="B3680" t="inlineStr">
        <is>
          <t>avverkningsanmälan</t>
        </is>
      </c>
      <c r="C3680" t="inlineStr">
        <is>
          <t>Föryngringsavverkning</t>
        </is>
      </c>
      <c r="D3680" s="1" t="n">
        <v>45875</v>
      </c>
      <c r="E3680" s="1" t="n">
        <v>46326</v>
      </c>
      <c r="F3680" t="inlineStr">
        <is>
          <t>GÄVLEBORGS LÄN</t>
        </is>
      </c>
      <c r="G3680" t="inlineStr">
        <is>
          <t>HUDIKSVALL</t>
        </is>
      </c>
      <c r="H3680" t="inlineStr">
        <is>
          <t>Holmen skog AB</t>
        </is>
      </c>
      <c r="I3680" t="n">
        <v>6.4</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3718-2025</t>
        </is>
      </c>
      <c r="B3681" t="inlineStr">
        <is>
          <t>avverkningsanmälan</t>
        </is>
      </c>
      <c r="C3681" t="inlineStr">
        <is>
          <t>Föryngringsavverkning</t>
        </is>
      </c>
      <c r="D3681" s="1" t="n">
        <v>45681</v>
      </c>
      <c r="E3681" s="1" t="n">
        <v>46326</v>
      </c>
      <c r="F3681" t="inlineStr">
        <is>
          <t>GÄVLEBORGS LÄN</t>
        </is>
      </c>
      <c r="G3681" t="inlineStr">
        <is>
          <t>GÄVLE</t>
        </is>
      </c>
      <c r="H3681" t="inlineStr">
        <is>
          <t>Bergvik skog öst AB</t>
        </is>
      </c>
      <c r="I3681" t="n">
        <v>0.5</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49021-2025</t>
        </is>
      </c>
      <c r="B3682" t="inlineStr">
        <is>
          <t>avverkningsanmälan</t>
        </is>
      </c>
      <c r="C3682" t="inlineStr">
        <is>
          <t>Föryngringsavverkning</t>
        </is>
      </c>
      <c r="D3682" s="1" t="n">
        <v>45937</v>
      </c>
      <c r="E3682" s="1" t="n">
        <v>46326</v>
      </c>
      <c r="F3682" t="inlineStr">
        <is>
          <t>GÄVLEBORGS LÄN</t>
        </is>
      </c>
      <c r="G3682" t="inlineStr">
        <is>
          <t>SANDVIKEN</t>
        </is>
      </c>
      <c r="I3682" t="n">
        <v>1.3</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49035-2025</t>
        </is>
      </c>
      <c r="B3683" t="inlineStr">
        <is>
          <t>avverkningsanmälan</t>
        </is>
      </c>
      <c r="C3683" t="inlineStr">
        <is>
          <t>Föryngringsavverkning</t>
        </is>
      </c>
      <c r="D3683" s="1" t="n">
        <v>45937</v>
      </c>
      <c r="E3683" s="1" t="n">
        <v>46326</v>
      </c>
      <c r="F3683" t="inlineStr">
        <is>
          <t>GÄVLEBORGS LÄN</t>
        </is>
      </c>
      <c r="G3683" t="inlineStr">
        <is>
          <t>LJUSDAL</t>
        </is>
      </c>
      <c r="I3683" t="n">
        <v>0.5</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49287-2025</t>
        </is>
      </c>
      <c r="B3684" t="inlineStr">
        <is>
          <t>avverkningsanmälan</t>
        </is>
      </c>
      <c r="C3684" t="inlineStr">
        <is>
          <t>Föryngringsavverkning</t>
        </is>
      </c>
      <c r="D3684" s="1" t="n">
        <v>45938</v>
      </c>
      <c r="E3684" s="1" t="n">
        <v>46326</v>
      </c>
      <c r="F3684" t="inlineStr">
        <is>
          <t>GÄVLEBORGS LÄN</t>
        </is>
      </c>
      <c r="G3684" t="inlineStr">
        <is>
          <t>NORDANSTIG</t>
        </is>
      </c>
      <c r="I3684" t="n">
        <v>0.5</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32360-2024</t>
        </is>
      </c>
      <c r="B3685" t="inlineStr">
        <is>
          <t>avverkningsanmälan</t>
        </is>
      </c>
      <c r="C3685" t="inlineStr">
        <is>
          <t>Föryngringsavverkning</t>
        </is>
      </c>
      <c r="D3685" s="1" t="n">
        <v>45512</v>
      </c>
      <c r="E3685" s="1" t="n">
        <v>46326</v>
      </c>
      <c r="F3685" t="inlineStr">
        <is>
          <t>GÄVLEBORGS LÄN</t>
        </is>
      </c>
      <c r="G3685" t="inlineStr">
        <is>
          <t>LJUSDAL</t>
        </is>
      </c>
      <c r="H3685" t="inlineStr">
        <is>
          <t>Sveaskog</t>
        </is>
      </c>
      <c r="I3685" t="n">
        <v>1</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30007-2024</t>
        </is>
      </c>
      <c r="B3686" t="inlineStr">
        <is>
          <t>avverkningsanmälan</t>
        </is>
      </c>
      <c r="C3686" t="inlineStr">
        <is>
          <t>Föryngringsavverkning</t>
        </is>
      </c>
      <c r="D3686" s="1" t="n">
        <v>45488</v>
      </c>
      <c r="E3686" s="1" t="n">
        <v>46326</v>
      </c>
      <c r="F3686" t="inlineStr">
        <is>
          <t>GÄVLEBORGS LÄN</t>
        </is>
      </c>
      <c r="G3686" t="inlineStr">
        <is>
          <t>HOFORS</t>
        </is>
      </c>
      <c r="H3686" t="inlineStr">
        <is>
          <t>Sveaskog</t>
        </is>
      </c>
      <c r="I3686" t="n">
        <v>11.5</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48986-2025</t>
        </is>
      </c>
      <c r="B3687" t="inlineStr">
        <is>
          <t>avverkningsanmälan</t>
        </is>
      </c>
      <c r="C3687" t="inlineStr">
        <is>
          <t>Föryngringsavverkning</t>
        </is>
      </c>
      <c r="D3687" s="1" t="n">
        <v>45937</v>
      </c>
      <c r="E3687" s="1" t="n">
        <v>46326</v>
      </c>
      <c r="F3687" t="inlineStr">
        <is>
          <t>GÄVLEBORGS LÄN</t>
        </is>
      </c>
      <c r="G3687" t="inlineStr">
        <is>
          <t>GÄVLE</t>
        </is>
      </c>
      <c r="H3687" t="inlineStr">
        <is>
          <t>Bergvik skog väst AB</t>
        </is>
      </c>
      <c r="I3687" t="n">
        <v>2.5</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41962-2022</t>
        </is>
      </c>
      <c r="B3688" t="inlineStr">
        <is>
          <t>avverkningsanmälan</t>
        </is>
      </c>
      <c r="C3688" t="inlineStr">
        <is>
          <t>Föryngringsavverkning</t>
        </is>
      </c>
      <c r="D3688" s="1" t="n">
        <v>44830</v>
      </c>
      <c r="E3688" s="1" t="n">
        <v>46326</v>
      </c>
      <c r="F3688" t="inlineStr">
        <is>
          <t>GÄVLEBORGS LÄN</t>
        </is>
      </c>
      <c r="G3688" t="inlineStr">
        <is>
          <t>BOLLNÄS</t>
        </is>
      </c>
      <c r="I3688" t="n">
        <v>2</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30009-2024</t>
        </is>
      </c>
      <c r="B3689" t="inlineStr">
        <is>
          <t>avverkningsanmälan</t>
        </is>
      </c>
      <c r="C3689" t="inlineStr">
        <is>
          <t>Föryngringsavverkning</t>
        </is>
      </c>
      <c r="D3689" s="1" t="n">
        <v>45488</v>
      </c>
      <c r="E3689" s="1" t="n">
        <v>46326</v>
      </c>
      <c r="F3689" t="inlineStr">
        <is>
          <t>GÄVLEBORGS LÄN</t>
        </is>
      </c>
      <c r="G3689" t="inlineStr">
        <is>
          <t>HOFORS</t>
        </is>
      </c>
      <c r="H3689" t="inlineStr">
        <is>
          <t>Sveaskog</t>
        </is>
      </c>
      <c r="I3689" t="n">
        <v>0.6</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49008-2025</t>
        </is>
      </c>
      <c r="B3690" t="inlineStr">
        <is>
          <t>avverkningsanmälan</t>
        </is>
      </c>
      <c r="C3690" t="inlineStr">
        <is>
          <t>Föryngringsavverkning</t>
        </is>
      </c>
      <c r="D3690" s="1" t="n">
        <v>45937</v>
      </c>
      <c r="E3690" s="1" t="n">
        <v>46326</v>
      </c>
      <c r="F3690" t="inlineStr">
        <is>
          <t>GÄVLEBORGS LÄN</t>
        </is>
      </c>
      <c r="G3690" t="inlineStr">
        <is>
          <t>OCKELBO</t>
        </is>
      </c>
      <c r="I3690" t="n">
        <v>2.6</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49268-2025</t>
        </is>
      </c>
      <c r="B3691" t="inlineStr">
        <is>
          <t>avverkningsanmälan</t>
        </is>
      </c>
      <c r="C3691" t="inlineStr">
        <is>
          <t>Föryngringsavverkning</t>
        </is>
      </c>
      <c r="D3691" s="1" t="n">
        <v>45938</v>
      </c>
      <c r="E3691" s="1" t="n">
        <v>46326</v>
      </c>
      <c r="F3691" t="inlineStr">
        <is>
          <t>GÄVLEBORGS LÄN</t>
        </is>
      </c>
      <c r="G3691" t="inlineStr">
        <is>
          <t>NORDANSTIG</t>
        </is>
      </c>
      <c r="I3691" t="n">
        <v>0.7</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49328-2025</t>
        </is>
      </c>
      <c r="B3692" t="inlineStr">
        <is>
          <t>avverkningsanmälan</t>
        </is>
      </c>
      <c r="C3692" t="inlineStr">
        <is>
          <t>Föryngringsavverkning</t>
        </is>
      </c>
      <c r="D3692" s="1" t="n">
        <v>45938</v>
      </c>
      <c r="E3692" s="1" t="n">
        <v>46326</v>
      </c>
      <c r="F3692" t="inlineStr">
        <is>
          <t>GÄVLEBORGS LÄN</t>
        </is>
      </c>
      <c r="G3692" t="inlineStr">
        <is>
          <t>NORDANSTIG</t>
        </is>
      </c>
      <c r="I3692" t="n">
        <v>2.7</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49342-2025</t>
        </is>
      </c>
      <c r="B3693" t="inlineStr">
        <is>
          <t>avverkningsanmälan</t>
        </is>
      </c>
      <c r="C3693" t="inlineStr">
        <is>
          <t>Föryngringsavverkning</t>
        </is>
      </c>
      <c r="D3693" s="1" t="n">
        <v>45938</v>
      </c>
      <c r="E3693" s="1" t="n">
        <v>46326</v>
      </c>
      <c r="F3693" t="inlineStr">
        <is>
          <t>GÄVLEBORGS LÄN</t>
        </is>
      </c>
      <c r="G3693" t="inlineStr">
        <is>
          <t>NORDANSTIG</t>
        </is>
      </c>
      <c r="I3693" t="n">
        <v>6.2</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36647-2025</t>
        </is>
      </c>
      <c r="B3694" t="inlineStr">
        <is>
          <t>avverkningsanmälan</t>
        </is>
      </c>
      <c r="C3694" t="inlineStr">
        <is>
          <t>Föryngringsavverkning</t>
        </is>
      </c>
      <c r="D3694" s="1" t="n">
        <v>45872</v>
      </c>
      <c r="E3694" s="1" t="n">
        <v>46326</v>
      </c>
      <c r="F3694" t="inlineStr">
        <is>
          <t>GÄVLEBORGS LÄN</t>
        </is>
      </c>
      <c r="G3694" t="inlineStr">
        <is>
          <t>HUDIKSVALL</t>
        </is>
      </c>
      <c r="H3694" t="inlineStr">
        <is>
          <t>Holmen skog AB</t>
        </is>
      </c>
      <c r="I3694" t="n">
        <v>8.199999999999999</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15973-2022</t>
        </is>
      </c>
      <c r="B3695" t="inlineStr">
        <is>
          <t>avverkningsanmälan</t>
        </is>
      </c>
      <c r="C3695" t="inlineStr">
        <is>
          <t>Föryngringsavverkning</t>
        </is>
      </c>
      <c r="D3695" s="1" t="n">
        <v>44664</v>
      </c>
      <c r="E3695" s="1" t="n">
        <v>46326</v>
      </c>
      <c r="F3695" t="inlineStr">
        <is>
          <t>GÄVLEBORGS LÄN</t>
        </is>
      </c>
      <c r="G3695" t="inlineStr">
        <is>
          <t>NORDANSTIG</t>
        </is>
      </c>
      <c r="H3695" t="inlineStr">
        <is>
          <t>SCA</t>
        </is>
      </c>
      <c r="I3695" t="n">
        <v>3</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37444-2025</t>
        </is>
      </c>
      <c r="B3696" t="inlineStr">
        <is>
          <t>avverkningsanmälan</t>
        </is>
      </c>
      <c r="C3696" t="inlineStr">
        <is>
          <t>Föryngringsavverkning</t>
        </is>
      </c>
      <c r="D3696" s="1" t="n">
        <v>45877</v>
      </c>
      <c r="E3696" s="1" t="n">
        <v>46326</v>
      </c>
      <c r="F3696" t="inlineStr">
        <is>
          <t>GÄVLEBORGS LÄN</t>
        </is>
      </c>
      <c r="G3696" t="inlineStr">
        <is>
          <t>HOFORS</t>
        </is>
      </c>
      <c r="H3696" t="inlineStr">
        <is>
          <t>Sveaskog</t>
        </is>
      </c>
      <c r="I3696" t="n">
        <v>4.8</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49597-2025</t>
        </is>
      </c>
      <c r="B3697" t="inlineStr">
        <is>
          <t>avverkningsanmälan</t>
        </is>
      </c>
      <c r="C3697" t="inlineStr">
        <is>
          <t>Föryngringsavverkning</t>
        </is>
      </c>
      <c r="D3697" s="1" t="n">
        <v>45939</v>
      </c>
      <c r="E3697" s="1" t="n">
        <v>46326</v>
      </c>
      <c r="F3697" t="inlineStr">
        <is>
          <t>GÄVLEBORGS LÄN</t>
        </is>
      </c>
      <c r="G3697" t="inlineStr">
        <is>
          <t>NORDANSTIG</t>
        </is>
      </c>
      <c r="I3697" t="n">
        <v>1.2</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41701-2023</t>
        </is>
      </c>
      <c r="B3698" t="inlineStr">
        <is>
          <t>avverkningsanmälan</t>
        </is>
      </c>
      <c r="C3698" t="inlineStr">
        <is>
          <t>Föryngringsavverkning</t>
        </is>
      </c>
      <c r="D3698" s="1" t="n">
        <v>45176</v>
      </c>
      <c r="E3698" s="1" t="n">
        <v>46326</v>
      </c>
      <c r="F3698" t="inlineStr">
        <is>
          <t>GÄVLEBORGS LÄN</t>
        </is>
      </c>
      <c r="G3698" t="inlineStr">
        <is>
          <t>NORDANSTIG</t>
        </is>
      </c>
      <c r="H3698" t="inlineStr">
        <is>
          <t>Holmen skog AB</t>
        </is>
      </c>
      <c r="I3698" t="n">
        <v>5.6</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49263-2025</t>
        </is>
      </c>
      <c r="B3699" t="inlineStr">
        <is>
          <t>avverkningsanmälan</t>
        </is>
      </c>
      <c r="C3699" t="inlineStr">
        <is>
          <t>Föryngringsavverkning</t>
        </is>
      </c>
      <c r="D3699" s="1" t="n">
        <v>45938</v>
      </c>
      <c r="E3699" s="1" t="n">
        <v>46326</v>
      </c>
      <c r="F3699" t="inlineStr">
        <is>
          <t>GÄVLEBORGS LÄN</t>
        </is>
      </c>
      <c r="G3699" t="inlineStr">
        <is>
          <t>NORDANSTIG</t>
        </is>
      </c>
      <c r="I3699" t="n">
        <v>0.6</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49309-2025</t>
        </is>
      </c>
      <c r="B3700" t="inlineStr">
        <is>
          <t>avverkningsanmälan</t>
        </is>
      </c>
      <c r="C3700" t="inlineStr">
        <is>
          <t>Föryngringsavverkning</t>
        </is>
      </c>
      <c r="D3700" s="1" t="n">
        <v>45938</v>
      </c>
      <c r="E3700" s="1" t="n">
        <v>46326</v>
      </c>
      <c r="F3700" t="inlineStr">
        <is>
          <t>GÄVLEBORGS LÄN</t>
        </is>
      </c>
      <c r="G3700" t="inlineStr">
        <is>
          <t>NORDANSTIG</t>
        </is>
      </c>
      <c r="I3700" t="n">
        <v>7.4</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37213-2025</t>
        </is>
      </c>
      <c r="B3701" t="inlineStr">
        <is>
          <t>avverkningsanmälan</t>
        </is>
      </c>
      <c r="C3701" t="inlineStr">
        <is>
          <t>Föryngringsavverkning</t>
        </is>
      </c>
      <c r="D3701" s="1" t="n">
        <v>45875</v>
      </c>
      <c r="E3701" s="1" t="n">
        <v>46326</v>
      </c>
      <c r="F3701" t="inlineStr">
        <is>
          <t>GÄVLEBORGS LÄN</t>
        </is>
      </c>
      <c r="G3701" t="inlineStr">
        <is>
          <t>HUDIKSVALL</t>
        </is>
      </c>
      <c r="H3701" t="inlineStr">
        <is>
          <t>Holmen skog AB</t>
        </is>
      </c>
      <c r="I3701" t="n">
        <v>7.8</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55201-2023</t>
        </is>
      </c>
      <c r="B3702" t="inlineStr">
        <is>
          <t>avverkningsanmälan</t>
        </is>
      </c>
      <c r="C3702" t="inlineStr">
        <is>
          <t>Föryngringsavverkning</t>
        </is>
      </c>
      <c r="D3702" s="1" t="n">
        <v>45237</v>
      </c>
      <c r="E3702" s="1" t="n">
        <v>46326</v>
      </c>
      <c r="F3702" t="inlineStr">
        <is>
          <t>GÄVLEBORGS LÄN</t>
        </is>
      </c>
      <c r="G3702" t="inlineStr">
        <is>
          <t>HUDIKSVALL</t>
        </is>
      </c>
      <c r="H3702" t="inlineStr">
        <is>
          <t>Holmen skog AB</t>
        </is>
      </c>
      <c r="I3702" t="n">
        <v>0.5</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18763-2025</t>
        </is>
      </c>
      <c r="B3703" t="inlineStr">
        <is>
          <t>avverkningsanmälan</t>
        </is>
      </c>
      <c r="C3703" t="inlineStr">
        <is>
          <t>Föryngringsavverkning</t>
        </is>
      </c>
      <c r="D3703" s="1" t="n">
        <v>45764</v>
      </c>
      <c r="E3703" s="1" t="n">
        <v>46326</v>
      </c>
      <c r="F3703" t="inlineStr">
        <is>
          <t>GÄVLEBORGS LÄN</t>
        </is>
      </c>
      <c r="G3703" t="inlineStr">
        <is>
          <t>LJUSDAL</t>
        </is>
      </c>
      <c r="I3703" t="n">
        <v>2.9</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10107-2025</t>
        </is>
      </c>
      <c r="B3704" t="inlineStr">
        <is>
          <t>avverkningsanmälan</t>
        </is>
      </c>
      <c r="C3704" t="inlineStr">
        <is>
          <t>Föryngringsavverkning</t>
        </is>
      </c>
      <c r="D3704" s="1" t="n">
        <v>45719</v>
      </c>
      <c r="E3704" s="1" t="n">
        <v>46326</v>
      </c>
      <c r="F3704" t="inlineStr">
        <is>
          <t>GÄVLEBORGS LÄN</t>
        </is>
      </c>
      <c r="G3704" t="inlineStr">
        <is>
          <t>OVANÅKER</t>
        </is>
      </c>
      <c r="H3704" t="inlineStr">
        <is>
          <t>Bergvik skog väst AB</t>
        </is>
      </c>
      <c r="I3704" t="n">
        <v>1.7</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37366-2025</t>
        </is>
      </c>
      <c r="B3705" t="inlineStr">
        <is>
          <t>avverkningsanmälan</t>
        </is>
      </c>
      <c r="C3705" t="inlineStr">
        <is>
          <t>Föryngringsavverkning</t>
        </is>
      </c>
      <c r="D3705" s="1" t="n">
        <v>45877</v>
      </c>
      <c r="E3705" s="1" t="n">
        <v>46326</v>
      </c>
      <c r="F3705" t="inlineStr">
        <is>
          <t>GÄVLEBORGS LÄN</t>
        </is>
      </c>
      <c r="G3705" t="inlineStr">
        <is>
          <t>OVANÅKER</t>
        </is>
      </c>
      <c r="I3705" t="n">
        <v>1</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48825-2025</t>
        </is>
      </c>
      <c r="B3706" t="inlineStr">
        <is>
          <t>avverkningsanmälan</t>
        </is>
      </c>
      <c r="C3706" t="inlineStr">
        <is>
          <t>Föryngringsavverkning</t>
        </is>
      </c>
      <c r="D3706" s="1" t="n">
        <v>45937</v>
      </c>
      <c r="E3706" s="1" t="n">
        <v>46326</v>
      </c>
      <c r="F3706" t="inlineStr">
        <is>
          <t>GÄVLEBORGS LÄN</t>
        </is>
      </c>
      <c r="G3706" t="inlineStr">
        <is>
          <t>LJUSDAL</t>
        </is>
      </c>
      <c r="H3706" t="inlineStr">
        <is>
          <t>Sveaskog</t>
        </is>
      </c>
      <c r="I3706" t="n">
        <v>0.7</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49457-2025</t>
        </is>
      </c>
      <c r="B3707" t="inlineStr">
        <is>
          <t>avverkningsanmälan</t>
        </is>
      </c>
      <c r="C3707" t="inlineStr">
        <is>
          <t>Föryngringsavverkning</t>
        </is>
      </c>
      <c r="D3707" s="1" t="n">
        <v>45939</v>
      </c>
      <c r="E3707" s="1" t="n">
        <v>46326</v>
      </c>
      <c r="F3707" t="inlineStr">
        <is>
          <t>GÄVLEBORGS LÄN</t>
        </is>
      </c>
      <c r="G3707" t="inlineStr">
        <is>
          <t>LJUSDAL</t>
        </is>
      </c>
      <c r="I3707" t="n">
        <v>2.4</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37392-2025</t>
        </is>
      </c>
      <c r="B3708" t="inlineStr">
        <is>
          <t>avverkningsanmälan</t>
        </is>
      </c>
      <c r="C3708" t="inlineStr">
        <is>
          <t>Föryngringsavverkning</t>
        </is>
      </c>
      <c r="D3708" s="1" t="n">
        <v>45877</v>
      </c>
      <c r="E3708" s="1" t="n">
        <v>46326</v>
      </c>
      <c r="F3708" t="inlineStr">
        <is>
          <t>GÄVLEBORGS LÄN</t>
        </is>
      </c>
      <c r="G3708" t="inlineStr">
        <is>
          <t>OVANÅKER</t>
        </is>
      </c>
      <c r="I3708" t="n">
        <v>0.9</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48996-2025</t>
        </is>
      </c>
      <c r="B3709" t="inlineStr">
        <is>
          <t>avverkningsanmälan</t>
        </is>
      </c>
      <c r="C3709" t="inlineStr">
        <is>
          <t>Föryngringsavverkning</t>
        </is>
      </c>
      <c r="D3709" s="1" t="n">
        <v>45937</v>
      </c>
      <c r="E3709" s="1" t="n">
        <v>46326</v>
      </c>
      <c r="F3709" t="inlineStr">
        <is>
          <t>GÄVLEBORGS LÄN</t>
        </is>
      </c>
      <c r="G3709" t="inlineStr">
        <is>
          <t>OCKELBO</t>
        </is>
      </c>
      <c r="I3709" t="n">
        <v>1.7</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49384-2025</t>
        </is>
      </c>
      <c r="B3710" t="inlineStr">
        <is>
          <t>avverkningsanmälan</t>
        </is>
      </c>
      <c r="C3710" t="inlineStr">
        <is>
          <t>Föryngringsavverkning</t>
        </is>
      </c>
      <c r="D3710" s="1" t="n">
        <v>45938</v>
      </c>
      <c r="E3710" s="1" t="n">
        <v>46326</v>
      </c>
      <c r="F3710" t="inlineStr">
        <is>
          <t>GÄVLEBORGS LÄN</t>
        </is>
      </c>
      <c r="G3710" t="inlineStr">
        <is>
          <t>GÄVLE</t>
        </is>
      </c>
      <c r="H3710" t="inlineStr">
        <is>
          <t>Bergvik skog väst AB</t>
        </is>
      </c>
      <c r="I3710" t="n">
        <v>1.7</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49511-2025</t>
        </is>
      </c>
      <c r="B3711" t="inlineStr">
        <is>
          <t>avverkningsanmälan</t>
        </is>
      </c>
      <c r="C3711" t="inlineStr">
        <is>
          <t>Föryngringsavverkning</t>
        </is>
      </c>
      <c r="D3711" s="1" t="n">
        <v>45939</v>
      </c>
      <c r="E3711" s="1" t="n">
        <v>46326</v>
      </c>
      <c r="F3711" t="inlineStr">
        <is>
          <t>GÄVLEBORGS LÄN</t>
        </is>
      </c>
      <c r="G3711" t="inlineStr">
        <is>
          <t>GÄVLE</t>
        </is>
      </c>
      <c r="H3711" t="inlineStr">
        <is>
          <t>Kyrkan</t>
        </is>
      </c>
      <c r="I3711" t="n">
        <v>2.4</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33344-2025</t>
        </is>
      </c>
      <c r="B3712" t="inlineStr">
        <is>
          <t>avverkningsanmälan</t>
        </is>
      </c>
      <c r="C3712" t="inlineStr">
        <is>
          <t>Föryngringsavverkning</t>
        </is>
      </c>
      <c r="D3712" s="1" t="n">
        <v>45841</v>
      </c>
      <c r="E3712" s="1" t="n">
        <v>46326</v>
      </c>
      <c r="F3712" t="inlineStr">
        <is>
          <t>GÄVLEBORGS LÄN</t>
        </is>
      </c>
      <c r="G3712" t="inlineStr">
        <is>
          <t>LJUSDAL</t>
        </is>
      </c>
      <c r="I3712" t="n">
        <v>9.699999999999999</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49273-2025</t>
        </is>
      </c>
      <c r="B3713" t="inlineStr">
        <is>
          <t>avverkningsanmälan</t>
        </is>
      </c>
      <c r="C3713" t="inlineStr">
        <is>
          <t>Föryngringsavverkning</t>
        </is>
      </c>
      <c r="D3713" s="1" t="n">
        <v>45938</v>
      </c>
      <c r="E3713" s="1" t="n">
        <v>46326</v>
      </c>
      <c r="F3713" t="inlineStr">
        <is>
          <t>GÄVLEBORGS LÄN</t>
        </is>
      </c>
      <c r="G3713" t="inlineStr">
        <is>
          <t>NORDANSTIG</t>
        </is>
      </c>
      <c r="I3713" t="n">
        <v>1.4</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49282-2025</t>
        </is>
      </c>
      <c r="B3714" t="inlineStr">
        <is>
          <t>avverkningsanmälan</t>
        </is>
      </c>
      <c r="C3714" t="inlineStr">
        <is>
          <t>Föryngringsavverkning</t>
        </is>
      </c>
      <c r="D3714" s="1" t="n">
        <v>45938</v>
      </c>
      <c r="E3714" s="1" t="n">
        <v>46326</v>
      </c>
      <c r="F3714" t="inlineStr">
        <is>
          <t>GÄVLEBORGS LÄN</t>
        </is>
      </c>
      <c r="G3714" t="inlineStr">
        <is>
          <t>NORDANSTIG</t>
        </is>
      </c>
      <c r="I3714" t="n">
        <v>1.4</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49286-2025</t>
        </is>
      </c>
      <c r="B3715" t="inlineStr">
        <is>
          <t>avverkningsanmälan</t>
        </is>
      </c>
      <c r="C3715" t="inlineStr">
        <is>
          <t>Föryngringsavverkning</t>
        </is>
      </c>
      <c r="D3715" s="1" t="n">
        <v>45938</v>
      </c>
      <c r="E3715" s="1" t="n">
        <v>46326</v>
      </c>
      <c r="F3715" t="inlineStr">
        <is>
          <t>GÄVLEBORGS LÄN</t>
        </is>
      </c>
      <c r="G3715" t="inlineStr">
        <is>
          <t>NORDANSTIG</t>
        </is>
      </c>
      <c r="I3715" t="n">
        <v>1.1</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34600-2024</t>
        </is>
      </c>
      <c r="B3716" t="inlineStr">
        <is>
          <t>avverkningsanmälan</t>
        </is>
      </c>
      <c r="C3716" t="inlineStr">
        <is>
          <t>Föryngringsavverkning</t>
        </is>
      </c>
      <c r="D3716" s="1" t="n">
        <v>45526</v>
      </c>
      <c r="E3716" s="1" t="n">
        <v>46326</v>
      </c>
      <c r="F3716" t="inlineStr">
        <is>
          <t>GÄVLEBORGS LÄN</t>
        </is>
      </c>
      <c r="G3716" t="inlineStr">
        <is>
          <t>GÄVLE</t>
        </is>
      </c>
      <c r="I3716" t="n">
        <v>1.4</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34613-2024</t>
        </is>
      </c>
      <c r="B3717" t="inlineStr">
        <is>
          <t>avverkningsanmälan</t>
        </is>
      </c>
      <c r="C3717" t="inlineStr">
        <is>
          <t>Avverkning för annat ändamål</t>
        </is>
      </c>
      <c r="D3717" s="1" t="n">
        <v>45526</v>
      </c>
      <c r="E3717" s="1" t="n">
        <v>46326</v>
      </c>
      <c r="F3717" t="inlineStr">
        <is>
          <t>GÄVLEBORGS LÄN</t>
        </is>
      </c>
      <c r="G3717" t="inlineStr">
        <is>
          <t>BOLLNÄS</t>
        </is>
      </c>
      <c r="H3717" t="inlineStr">
        <is>
          <t>Sveaskog</t>
        </is>
      </c>
      <c r="I3717" t="n">
        <v>0.4</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60188-2023</t>
        </is>
      </c>
      <c r="B3718" t="inlineStr">
        <is>
          <t>avverkningsanmälan</t>
        </is>
      </c>
      <c r="C3718" t="inlineStr">
        <is>
          <t>Föryngringsavverkning</t>
        </is>
      </c>
      <c r="D3718" s="1" t="n">
        <v>45258</v>
      </c>
      <c r="E3718" s="1" t="n">
        <v>46326</v>
      </c>
      <c r="F3718" t="inlineStr">
        <is>
          <t>GÄVLEBORGS LÄN</t>
        </is>
      </c>
      <c r="G3718" t="inlineStr">
        <is>
          <t>HUDIKSVALL</t>
        </is>
      </c>
      <c r="H3718" t="inlineStr">
        <is>
          <t>Holmen skog AB</t>
        </is>
      </c>
      <c r="I3718" t="n">
        <v>0.2</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49446-2025</t>
        </is>
      </c>
      <c r="B3719" t="inlineStr">
        <is>
          <t>avverkningsanmälan</t>
        </is>
      </c>
      <c r="C3719" t="inlineStr">
        <is>
          <t>Föryngringsavverkning</t>
        </is>
      </c>
      <c r="D3719" s="1" t="n">
        <v>45938</v>
      </c>
      <c r="E3719" s="1" t="n">
        <v>46326</v>
      </c>
      <c r="F3719" t="inlineStr">
        <is>
          <t>GÄVLEBORGS LÄN</t>
        </is>
      </c>
      <c r="G3719" t="inlineStr">
        <is>
          <t>SANDVIKEN</t>
        </is>
      </c>
      <c r="I3719" t="n">
        <v>1.9</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49454-2025</t>
        </is>
      </c>
      <c r="B3720" t="inlineStr">
        <is>
          <t>avverkningsanmälan</t>
        </is>
      </c>
      <c r="C3720" t="inlineStr">
        <is>
          <t>Föryngringsavverkning</t>
        </is>
      </c>
      <c r="D3720" s="1" t="n">
        <v>45939</v>
      </c>
      <c r="E3720" s="1" t="n">
        <v>46326</v>
      </c>
      <c r="F3720" t="inlineStr">
        <is>
          <t>GÄVLEBORGS LÄN</t>
        </is>
      </c>
      <c r="G3720" t="inlineStr">
        <is>
          <t>SANDVIKEN</t>
        </is>
      </c>
      <c r="H3720" t="inlineStr">
        <is>
          <t>Sveaskog</t>
        </is>
      </c>
      <c r="I3720" t="n">
        <v>4.8</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37355-2025</t>
        </is>
      </c>
      <c r="B3721" t="inlineStr">
        <is>
          <t>avverkningsanmälan</t>
        </is>
      </c>
      <c r="C3721" t="inlineStr">
        <is>
          <t>Föryngringsavverkning</t>
        </is>
      </c>
      <c r="D3721" s="1" t="n">
        <v>45876</v>
      </c>
      <c r="E3721" s="1" t="n">
        <v>46326</v>
      </c>
      <c r="F3721" t="inlineStr">
        <is>
          <t>GÄVLEBORGS LÄN</t>
        </is>
      </c>
      <c r="G3721" t="inlineStr">
        <is>
          <t>HUDIKSVALL</t>
        </is>
      </c>
      <c r="H3721" t="inlineStr">
        <is>
          <t>Holmen skog AB</t>
        </is>
      </c>
      <c r="I3721" t="n">
        <v>14.6</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44369-2025</t>
        </is>
      </c>
      <c r="B3722" t="inlineStr">
        <is>
          <t>avverkningsanmälan</t>
        </is>
      </c>
      <c r="C3722" t="inlineStr">
        <is>
          <t>Föryngringsavverkning</t>
        </is>
      </c>
      <c r="D3722" s="1" t="n">
        <v>45916</v>
      </c>
      <c r="E3722" s="1" t="n">
        <v>46326</v>
      </c>
      <c r="F3722" t="inlineStr">
        <is>
          <t>GÄVLEBORGS LÄN</t>
        </is>
      </c>
      <c r="G3722" t="inlineStr">
        <is>
          <t>GÄVLE</t>
        </is>
      </c>
      <c r="I3722" t="n">
        <v>2.4</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48855-2025</t>
        </is>
      </c>
      <c r="B3723" t="inlineStr">
        <is>
          <t>avverkningsanmälan</t>
        </is>
      </c>
      <c r="C3723" t="inlineStr">
        <is>
          <t>Föryngringsavverkning</t>
        </is>
      </c>
      <c r="D3723" s="1" t="n">
        <v>45937</v>
      </c>
      <c r="E3723" s="1" t="n">
        <v>46326</v>
      </c>
      <c r="F3723" t="inlineStr">
        <is>
          <t>GÄVLEBORGS LÄN</t>
        </is>
      </c>
      <c r="G3723" t="inlineStr">
        <is>
          <t>OCKELBO</t>
        </is>
      </c>
      <c r="H3723" t="inlineStr">
        <is>
          <t>Bergvik skog väst AB</t>
        </is>
      </c>
      <c r="I3723" t="n">
        <v>6.1</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60517-2022</t>
        </is>
      </c>
      <c r="B3724" t="inlineStr">
        <is>
          <t>avverkningsanmälan</t>
        </is>
      </c>
      <c r="C3724" t="inlineStr">
        <is>
          <t>Föryngringsavverkning</t>
        </is>
      </c>
      <c r="D3724" s="1" t="n">
        <v>44911</v>
      </c>
      <c r="E3724" s="1" t="n">
        <v>46326</v>
      </c>
      <c r="F3724" t="inlineStr">
        <is>
          <t>GÄVLEBORGS LÄN</t>
        </is>
      </c>
      <c r="G3724" t="inlineStr">
        <is>
          <t>HUDIKSVALL</t>
        </is>
      </c>
      <c r="H3724" t="inlineStr">
        <is>
          <t>Holmen skog AB</t>
        </is>
      </c>
      <c r="I3724" t="n">
        <v>3.8</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49548-2025</t>
        </is>
      </c>
      <c r="B3725" t="inlineStr">
        <is>
          <t>avverkningsanmälan</t>
        </is>
      </c>
      <c r="C3725" t="inlineStr">
        <is>
          <t>Föryngringsavverkning</t>
        </is>
      </c>
      <c r="D3725" s="1" t="n">
        <v>45939</v>
      </c>
      <c r="E3725" s="1" t="n">
        <v>46326</v>
      </c>
      <c r="F3725" t="inlineStr">
        <is>
          <t>GÄVLEBORGS LÄN</t>
        </is>
      </c>
      <c r="G3725" t="inlineStr">
        <is>
          <t>OVANÅKER</t>
        </is>
      </c>
      <c r="I3725" t="n">
        <v>6</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49217-2025</t>
        </is>
      </c>
      <c r="B3726" t="inlineStr">
        <is>
          <t>avverkningsanmälan</t>
        </is>
      </c>
      <c r="C3726" t="inlineStr">
        <is>
          <t>Avverkning för annat ändamål</t>
        </is>
      </c>
      <c r="D3726" s="1" t="n">
        <v>45938</v>
      </c>
      <c r="E3726" s="1" t="n">
        <v>46326</v>
      </c>
      <c r="F3726" t="inlineStr">
        <is>
          <t>GÄVLEBORGS LÄN</t>
        </is>
      </c>
      <c r="G3726" t="inlineStr">
        <is>
          <t>SANDVIKEN</t>
        </is>
      </c>
      <c r="I3726" t="n">
        <v>0.6</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37317-2025</t>
        </is>
      </c>
      <c r="B3727" t="inlineStr">
        <is>
          <t>avverkningsanmälan</t>
        </is>
      </c>
      <c r="C3727" t="inlineStr">
        <is>
          <t>Föryngringsavverkning</t>
        </is>
      </c>
      <c r="D3727" s="1" t="n">
        <v>45876</v>
      </c>
      <c r="E3727" s="1" t="n">
        <v>46326</v>
      </c>
      <c r="F3727" t="inlineStr">
        <is>
          <t>GÄVLEBORGS LÄN</t>
        </is>
      </c>
      <c r="G3727" t="inlineStr">
        <is>
          <t>LJUSDAL</t>
        </is>
      </c>
      <c r="I3727" t="n">
        <v>5.7</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6061-2026</t>
        </is>
      </c>
      <c r="B3728" t="inlineStr">
        <is>
          <t>avverkningsanmälan</t>
        </is>
      </c>
      <c r="C3728" t="inlineStr">
        <is>
          <t>Föryngringsavverkning</t>
        </is>
      </c>
      <c r="D3728" s="1" t="n">
        <v>46052</v>
      </c>
      <c r="E3728" s="1" t="n">
        <v>46326</v>
      </c>
      <c r="F3728" t="inlineStr">
        <is>
          <t>GÄVLEBORGS LÄN</t>
        </is>
      </c>
      <c r="G3728" t="inlineStr">
        <is>
          <t>HUDIKSVALL</t>
        </is>
      </c>
      <c r="I3728" t="n">
        <v>2.9</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49173-2025</t>
        </is>
      </c>
      <c r="B3729" t="inlineStr">
        <is>
          <t>avverkningsanmälan</t>
        </is>
      </c>
      <c r="C3729" t="inlineStr">
        <is>
          <t>Föryngringsavverkning</t>
        </is>
      </c>
      <c r="D3729" s="1" t="n">
        <v>45938</v>
      </c>
      <c r="E3729" s="1" t="n">
        <v>46326</v>
      </c>
      <c r="F3729" t="inlineStr">
        <is>
          <t>GÄVLEBORGS LÄN</t>
        </is>
      </c>
      <c r="G3729" t="inlineStr">
        <is>
          <t>OVANÅKER</t>
        </is>
      </c>
      <c r="I3729" t="n">
        <v>0.5</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51259-2023</t>
        </is>
      </c>
      <c r="B3730" t="inlineStr">
        <is>
          <t>avverkningsanmälan</t>
        </is>
      </c>
      <c r="C3730" t="inlineStr">
        <is>
          <t>Föryngringsavverkning</t>
        </is>
      </c>
      <c r="D3730" s="1" t="n">
        <v>45219</v>
      </c>
      <c r="E3730" s="1" t="n">
        <v>46326</v>
      </c>
      <c r="F3730" t="inlineStr">
        <is>
          <t>GÄVLEBORGS LÄN</t>
        </is>
      </c>
      <c r="G3730" t="inlineStr">
        <is>
          <t>BOLLNÄS</t>
        </is>
      </c>
      <c r="I3730" t="n">
        <v>0.4</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51261-2023</t>
        </is>
      </c>
      <c r="B3731" t="inlineStr">
        <is>
          <t>avverkningsanmälan</t>
        </is>
      </c>
      <c r="C3731" t="inlineStr">
        <is>
          <t>Föryngringsavverkning</t>
        </is>
      </c>
      <c r="D3731" s="1" t="n">
        <v>45219</v>
      </c>
      <c r="E3731" s="1" t="n">
        <v>46326</v>
      </c>
      <c r="F3731" t="inlineStr">
        <is>
          <t>GÄVLEBORGS LÄN</t>
        </is>
      </c>
      <c r="G3731" t="inlineStr">
        <is>
          <t>BOLLNÄS</t>
        </is>
      </c>
      <c r="I3731" t="n">
        <v>0.5</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6120-2026</t>
        </is>
      </c>
      <c r="B3732" t="inlineStr">
        <is>
          <t>avverkningsanmälan</t>
        </is>
      </c>
      <c r="C3732" t="inlineStr">
        <is>
          <t>Föryngringsavverkning</t>
        </is>
      </c>
      <c r="D3732" s="1" t="n">
        <v>46053</v>
      </c>
      <c r="E3732" s="1" t="n">
        <v>46326</v>
      </c>
      <c r="F3732" t="inlineStr">
        <is>
          <t>GÄVLEBORGS LÄN</t>
        </is>
      </c>
      <c r="G3732" t="inlineStr">
        <is>
          <t>OCKELBO</t>
        </is>
      </c>
      <c r="I3732" t="n">
        <v>2.9</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6008-2026</t>
        </is>
      </c>
      <c r="B3733" t="inlineStr">
        <is>
          <t>avverkningsanmälan</t>
        </is>
      </c>
      <c r="C3733" t="inlineStr">
        <is>
          <t>Föryngringsavverkning</t>
        </is>
      </c>
      <c r="D3733" s="1" t="n">
        <v>46052</v>
      </c>
      <c r="E3733" s="1" t="n">
        <v>46326</v>
      </c>
      <c r="F3733" t="inlineStr">
        <is>
          <t>GÄVLEBORGS LÄN</t>
        </is>
      </c>
      <c r="G3733" t="inlineStr">
        <is>
          <t>BOLLNÄS</t>
        </is>
      </c>
      <c r="I3733" t="n">
        <v>1.2</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6010-2026</t>
        </is>
      </c>
      <c r="B3734" t="inlineStr">
        <is>
          <t>avverkningsanmälan</t>
        </is>
      </c>
      <c r="C3734" t="inlineStr">
        <is>
          <t>Föryngringsavverkning</t>
        </is>
      </c>
      <c r="D3734" s="1" t="n">
        <v>46052</v>
      </c>
      <c r="E3734" s="1" t="n">
        <v>46326</v>
      </c>
      <c r="F3734" t="inlineStr">
        <is>
          <t>GÄVLEBORGS LÄN</t>
        </is>
      </c>
      <c r="G3734" t="inlineStr">
        <is>
          <t>LJUSDAL</t>
        </is>
      </c>
      <c r="I3734" t="n">
        <v>1.8</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6017-2026</t>
        </is>
      </c>
      <c r="B3735" t="inlineStr">
        <is>
          <t>avverkningsanmälan</t>
        </is>
      </c>
      <c r="C3735" t="inlineStr">
        <is>
          <t>Föryngringsavverkning</t>
        </is>
      </c>
      <c r="D3735" s="1" t="n">
        <v>46052</v>
      </c>
      <c r="E3735" s="1" t="n">
        <v>46326</v>
      </c>
      <c r="F3735" t="inlineStr">
        <is>
          <t>GÄVLEBORGS LÄN</t>
        </is>
      </c>
      <c r="G3735" t="inlineStr">
        <is>
          <t>BOLLNÄS</t>
        </is>
      </c>
      <c r="I3735" t="n">
        <v>28.2</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49595-2025</t>
        </is>
      </c>
      <c r="B3736" t="inlineStr">
        <is>
          <t>avverkningsanmälan</t>
        </is>
      </c>
      <c r="C3736" t="inlineStr">
        <is>
          <t>Föryngringsavverkning</t>
        </is>
      </c>
      <c r="D3736" s="1" t="n">
        <v>45939</v>
      </c>
      <c r="E3736" s="1" t="n">
        <v>46326</v>
      </c>
      <c r="F3736" t="inlineStr">
        <is>
          <t>GÄVLEBORGS LÄN</t>
        </is>
      </c>
      <c r="G3736" t="inlineStr">
        <is>
          <t>NORDANSTIG</t>
        </is>
      </c>
      <c r="I3736" t="n">
        <v>0.6</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6055-2026</t>
        </is>
      </c>
      <c r="B3737" t="inlineStr">
        <is>
          <t>avverkningsanmälan</t>
        </is>
      </c>
      <c r="C3737" t="inlineStr">
        <is>
          <t>Föryngringsavverkning</t>
        </is>
      </c>
      <c r="D3737" s="1" t="n">
        <v>46052</v>
      </c>
      <c r="E3737" s="1" t="n">
        <v>46326</v>
      </c>
      <c r="F3737" t="inlineStr">
        <is>
          <t>GÄVLEBORGS LÄN</t>
        </is>
      </c>
      <c r="G3737" t="inlineStr">
        <is>
          <t>GÄVLE</t>
        </is>
      </c>
      <c r="H3737" t="inlineStr">
        <is>
          <t>Bergvik skog öst AB</t>
        </is>
      </c>
      <c r="I3737" t="n">
        <v>0.7</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5868-2026</t>
        </is>
      </c>
      <c r="B3738" t="inlineStr">
        <is>
          <t>avverkningsanmälan</t>
        </is>
      </c>
      <c r="C3738" t="inlineStr">
        <is>
          <t>Föryngringsavverkning</t>
        </is>
      </c>
      <c r="D3738" s="1" t="n">
        <v>46052</v>
      </c>
      <c r="E3738" s="1" t="n">
        <v>46326</v>
      </c>
      <c r="F3738" t="inlineStr">
        <is>
          <t>GÄVLEBORGS LÄN</t>
        </is>
      </c>
      <c r="G3738" t="inlineStr">
        <is>
          <t>OVANÅKER</t>
        </is>
      </c>
      <c r="I3738" t="n">
        <v>0.7</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49455-2024</t>
        </is>
      </c>
      <c r="B3739" t="inlineStr">
        <is>
          <t>avverkningsanmälan</t>
        </is>
      </c>
      <c r="C3739" t="inlineStr">
        <is>
          <t>Föryngringsavverkning</t>
        </is>
      </c>
      <c r="D3739" s="1" t="n">
        <v>45596</v>
      </c>
      <c r="E3739" s="1" t="n">
        <v>46326</v>
      </c>
      <c r="F3739" t="inlineStr">
        <is>
          <t>GÄVLEBORGS LÄN</t>
        </is>
      </c>
      <c r="G3739" t="inlineStr">
        <is>
          <t>NORDANSTIG</t>
        </is>
      </c>
      <c r="I3739" t="n">
        <v>1.8</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39669-2022</t>
        </is>
      </c>
      <c r="B3740" t="inlineStr">
        <is>
          <t>avverkningsanmälan</t>
        </is>
      </c>
      <c r="C3740" t="inlineStr">
        <is>
          <t>Föryngringsavverkning</t>
        </is>
      </c>
      <c r="D3740" s="1" t="n">
        <v>44818</v>
      </c>
      <c r="E3740" s="1" t="n">
        <v>46326</v>
      </c>
      <c r="F3740" t="inlineStr">
        <is>
          <t>GÄVLEBORGS LÄN</t>
        </is>
      </c>
      <c r="G3740" t="inlineStr">
        <is>
          <t>HUDIKSVALL</t>
        </is>
      </c>
      <c r="H3740" t="inlineStr">
        <is>
          <t>Holmen skog AB</t>
        </is>
      </c>
      <c r="I3740" t="n">
        <v>5.9</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6529-2026</t>
        </is>
      </c>
      <c r="B3741" t="inlineStr">
        <is>
          <t>avverkningsanmälan</t>
        </is>
      </c>
      <c r="C3741" t="inlineStr">
        <is>
          <t>Föryngringsavverkning</t>
        </is>
      </c>
      <c r="D3741" s="1" t="n">
        <v>46052</v>
      </c>
      <c r="E3741" s="1" t="n">
        <v>46326</v>
      </c>
      <c r="F3741" t="inlineStr">
        <is>
          <t>GÄVLEBORGS LÄN</t>
        </is>
      </c>
      <c r="G3741" t="inlineStr">
        <is>
          <t>OCKELBO</t>
        </is>
      </c>
      <c r="I3741" t="n">
        <v>2.4</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6531-2026</t>
        </is>
      </c>
      <c r="B3742" t="inlineStr">
        <is>
          <t>avverkningsanmälan</t>
        </is>
      </c>
      <c r="C3742" t="inlineStr">
        <is>
          <t>Föryngringsavverkning</t>
        </is>
      </c>
      <c r="D3742" s="1" t="n">
        <v>46052</v>
      </c>
      <c r="E3742" s="1" t="n">
        <v>46326</v>
      </c>
      <c r="F3742" t="inlineStr">
        <is>
          <t>GÄVLEBORGS LÄN</t>
        </is>
      </c>
      <c r="G3742" t="inlineStr">
        <is>
          <t>OCKELBO</t>
        </is>
      </c>
      <c r="I3742" t="n">
        <v>0.9</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49510-2025</t>
        </is>
      </c>
      <c r="B3743" t="inlineStr">
        <is>
          <t>avverkningsanmälan</t>
        </is>
      </c>
      <c r="C3743" t="inlineStr">
        <is>
          <t>Föryngringsavverkning</t>
        </is>
      </c>
      <c r="D3743" s="1" t="n">
        <v>45939</v>
      </c>
      <c r="E3743" s="1" t="n">
        <v>46326</v>
      </c>
      <c r="F3743" t="inlineStr">
        <is>
          <t>GÄVLEBORGS LÄN</t>
        </is>
      </c>
      <c r="G3743" t="inlineStr">
        <is>
          <t>GÄVLE</t>
        </is>
      </c>
      <c r="I3743" t="n">
        <v>3.1</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49032-2025</t>
        </is>
      </c>
      <c r="B3744" t="inlineStr">
        <is>
          <t>avverkningsanmälan</t>
        </is>
      </c>
      <c r="C3744" t="inlineStr">
        <is>
          <t>Föryngringsavverkning</t>
        </is>
      </c>
      <c r="D3744" s="1" t="n">
        <v>45937</v>
      </c>
      <c r="E3744" s="1" t="n">
        <v>46326</v>
      </c>
      <c r="F3744" t="inlineStr">
        <is>
          <t>GÄVLEBORGS LÄN</t>
        </is>
      </c>
      <c r="G3744" t="inlineStr">
        <is>
          <t>OCKELBO</t>
        </is>
      </c>
      <c r="I3744" t="n">
        <v>11.1</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48834-2024</t>
        </is>
      </c>
      <c r="B3745" t="inlineStr">
        <is>
          <t>avverkningsanmälan</t>
        </is>
      </c>
      <c r="C3745" t="inlineStr">
        <is>
          <t>Föryngringsavverkning</t>
        </is>
      </c>
      <c r="D3745" s="1" t="n">
        <v>45593</v>
      </c>
      <c r="E3745" s="1" t="n">
        <v>46326</v>
      </c>
      <c r="F3745" t="inlineStr">
        <is>
          <t>GÄVLEBORGS LÄN</t>
        </is>
      </c>
      <c r="G3745" t="inlineStr">
        <is>
          <t>GÄVLE</t>
        </is>
      </c>
      <c r="I3745" t="n">
        <v>2</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50066-2022</t>
        </is>
      </c>
      <c r="B3746" t="inlineStr">
        <is>
          <t>avverkningsanmälan</t>
        </is>
      </c>
      <c r="C3746" t="inlineStr">
        <is>
          <t>Föryngringsavverkning</t>
        </is>
      </c>
      <c r="D3746" s="1" t="n">
        <v>44865</v>
      </c>
      <c r="E3746" s="1" t="n">
        <v>46326</v>
      </c>
      <c r="F3746" t="inlineStr">
        <is>
          <t>GÄVLEBORGS LÄN</t>
        </is>
      </c>
      <c r="G3746" t="inlineStr">
        <is>
          <t>BOLLNÄS</t>
        </is>
      </c>
      <c r="I3746" t="n">
        <v>0.8</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49042-2025</t>
        </is>
      </c>
      <c r="B3747" t="inlineStr">
        <is>
          <t>avverkningsanmälan</t>
        </is>
      </c>
      <c r="C3747" t="inlineStr">
        <is>
          <t>Föryngringsavverkning</t>
        </is>
      </c>
      <c r="D3747" s="1" t="n">
        <v>45937</v>
      </c>
      <c r="E3747" s="1" t="n">
        <v>46326</v>
      </c>
      <c r="F3747" t="inlineStr">
        <is>
          <t>GÄVLEBORGS LÄN</t>
        </is>
      </c>
      <c r="G3747" t="inlineStr">
        <is>
          <t>SANDVIKEN</t>
        </is>
      </c>
      <c r="I3747" t="n">
        <v>0.7</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6005-2026</t>
        </is>
      </c>
      <c r="B3748" t="inlineStr">
        <is>
          <t>avverkningsanmälan</t>
        </is>
      </c>
      <c r="C3748" t="inlineStr">
        <is>
          <t>Föryngringsavverkning</t>
        </is>
      </c>
      <c r="D3748" s="1" t="n">
        <v>46052</v>
      </c>
      <c r="E3748" s="1" t="n">
        <v>46326</v>
      </c>
      <c r="F3748" t="inlineStr">
        <is>
          <t>GÄVLEBORGS LÄN</t>
        </is>
      </c>
      <c r="G3748" t="inlineStr">
        <is>
          <t>BOLLNÄS</t>
        </is>
      </c>
      <c r="I3748" t="n">
        <v>2</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6046-2026</t>
        </is>
      </c>
      <c r="B3749" t="inlineStr">
        <is>
          <t>avverkningsanmälan</t>
        </is>
      </c>
      <c r="C3749" t="inlineStr">
        <is>
          <t>Föryngringsavverkning</t>
        </is>
      </c>
      <c r="D3749" s="1" t="n">
        <v>46052</v>
      </c>
      <c r="E3749" s="1" t="n">
        <v>46326</v>
      </c>
      <c r="F3749" t="inlineStr">
        <is>
          <t>GÄVLEBORGS LÄN</t>
        </is>
      </c>
      <c r="G3749" t="inlineStr">
        <is>
          <t>GÄVLE</t>
        </is>
      </c>
      <c r="H3749" t="inlineStr">
        <is>
          <t>Bergvik skog öst AB</t>
        </is>
      </c>
      <c r="I3749" t="n">
        <v>2.3</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6054-2026</t>
        </is>
      </c>
      <c r="B3750" t="inlineStr">
        <is>
          <t>avverkningsanmälan</t>
        </is>
      </c>
      <c r="C3750" t="inlineStr">
        <is>
          <t>Föryngringsavverkning</t>
        </is>
      </c>
      <c r="D3750" s="1" t="n">
        <v>46052</v>
      </c>
      <c r="E3750" s="1" t="n">
        <v>46326</v>
      </c>
      <c r="F3750" t="inlineStr">
        <is>
          <t>GÄVLEBORGS LÄN</t>
        </is>
      </c>
      <c r="G3750" t="inlineStr">
        <is>
          <t>HUDIKSVALL</t>
        </is>
      </c>
      <c r="I3750" t="n">
        <v>1.4</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6059-2026</t>
        </is>
      </c>
      <c r="B3751" t="inlineStr">
        <is>
          <t>avverkningsanmälan</t>
        </is>
      </c>
      <c r="C3751" t="inlineStr">
        <is>
          <t>Föryngringsavverkning</t>
        </is>
      </c>
      <c r="D3751" s="1" t="n">
        <v>46052</v>
      </c>
      <c r="E3751" s="1" t="n">
        <v>46326</v>
      </c>
      <c r="F3751" t="inlineStr">
        <is>
          <t>GÄVLEBORGS LÄN</t>
        </is>
      </c>
      <c r="G3751" t="inlineStr">
        <is>
          <t>BOLLNÄS</t>
        </is>
      </c>
      <c r="I3751" t="n">
        <v>1</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47415-2023</t>
        </is>
      </c>
      <c r="B3752" t="inlineStr">
        <is>
          <t>avverkningsanmälan</t>
        </is>
      </c>
      <c r="C3752" t="inlineStr">
        <is>
          <t>Föryngringsavverkning</t>
        </is>
      </c>
      <c r="D3752" s="1" t="n">
        <v>45202</v>
      </c>
      <c r="E3752" s="1" t="n">
        <v>46326</v>
      </c>
      <c r="F3752" t="inlineStr">
        <is>
          <t>GÄVLEBORGS LÄN</t>
        </is>
      </c>
      <c r="G3752" t="inlineStr">
        <is>
          <t>HUDIKSVALL</t>
        </is>
      </c>
      <c r="H3752" t="inlineStr">
        <is>
          <t>Holmen skog AB</t>
        </is>
      </c>
      <c r="I3752" t="n">
        <v>0.9</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6266-2026</t>
        </is>
      </c>
      <c r="B3753" t="inlineStr">
        <is>
          <t>avverkningsanmälan</t>
        </is>
      </c>
      <c r="C3753" t="inlineStr">
        <is>
          <t>Föryngringsavverkning</t>
        </is>
      </c>
      <c r="D3753" s="1" t="n">
        <v>46055</v>
      </c>
      <c r="E3753" s="1" t="n">
        <v>46326</v>
      </c>
      <c r="F3753" t="inlineStr">
        <is>
          <t>GÄVLEBORGS LÄN</t>
        </is>
      </c>
      <c r="G3753" t="inlineStr">
        <is>
          <t>OCKELBO</t>
        </is>
      </c>
      <c r="H3753" t="inlineStr">
        <is>
          <t>Bergvik skog väst AB</t>
        </is>
      </c>
      <c r="I3753" t="n">
        <v>2</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6292-2026</t>
        </is>
      </c>
      <c r="B3754" t="inlineStr">
        <is>
          <t>avverkningsanmälan</t>
        </is>
      </c>
      <c r="C3754" t="inlineStr">
        <is>
          <t>Föryngringsavverkning</t>
        </is>
      </c>
      <c r="D3754" s="1" t="n">
        <v>46055</v>
      </c>
      <c r="E3754" s="1" t="n">
        <v>46326</v>
      </c>
      <c r="F3754" t="inlineStr">
        <is>
          <t>GÄVLEBORGS LÄN</t>
        </is>
      </c>
      <c r="G3754" t="inlineStr">
        <is>
          <t>BOLLNÄS</t>
        </is>
      </c>
      <c r="I3754" t="n">
        <v>0.7</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49331-2025</t>
        </is>
      </c>
      <c r="B3755" t="inlineStr">
        <is>
          <t>avverkningsanmälan</t>
        </is>
      </c>
      <c r="C3755" t="inlineStr">
        <is>
          <t>Föryngringsavverkning</t>
        </is>
      </c>
      <c r="D3755" s="1" t="n">
        <v>45938</v>
      </c>
      <c r="E3755" s="1" t="n">
        <v>46326</v>
      </c>
      <c r="F3755" t="inlineStr">
        <is>
          <t>GÄVLEBORGS LÄN</t>
        </is>
      </c>
      <c r="G3755" t="inlineStr">
        <is>
          <t>NORDANSTIG</t>
        </is>
      </c>
      <c r="I3755" t="n">
        <v>1.5</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6317-2026</t>
        </is>
      </c>
      <c r="B3756" t="inlineStr">
        <is>
          <t>avverkningsanmälan</t>
        </is>
      </c>
      <c r="C3756" t="inlineStr">
        <is>
          <t>Föryngringsavverkning</t>
        </is>
      </c>
      <c r="D3756" s="1" t="n">
        <v>46055</v>
      </c>
      <c r="E3756" s="1" t="n">
        <v>46326</v>
      </c>
      <c r="F3756" t="inlineStr">
        <is>
          <t>GÄVLEBORGS LÄN</t>
        </is>
      </c>
      <c r="G3756" t="inlineStr">
        <is>
          <t>BOLLNÄS</t>
        </is>
      </c>
      <c r="I3756" t="n">
        <v>16.2</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6323-2026</t>
        </is>
      </c>
      <c r="B3757" t="inlineStr">
        <is>
          <t>avverkningsanmälan</t>
        </is>
      </c>
      <c r="C3757" t="inlineStr">
        <is>
          <t>Föryngringsavverkning</t>
        </is>
      </c>
      <c r="D3757" s="1" t="n">
        <v>46055</v>
      </c>
      <c r="E3757" s="1" t="n">
        <v>46326</v>
      </c>
      <c r="F3757" t="inlineStr">
        <is>
          <t>GÄVLEBORGS LÄN</t>
        </is>
      </c>
      <c r="G3757" t="inlineStr">
        <is>
          <t>BOLLNÄS</t>
        </is>
      </c>
      <c r="I3757" t="n">
        <v>2.2</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49672-2025</t>
        </is>
      </c>
      <c r="B3758" t="inlineStr">
        <is>
          <t>avverkningsanmälan</t>
        </is>
      </c>
      <c r="C3758" t="inlineStr">
        <is>
          <t>Föryngringsavverkning</t>
        </is>
      </c>
      <c r="D3758" s="1" t="n">
        <v>45939</v>
      </c>
      <c r="E3758" s="1" t="n">
        <v>46326</v>
      </c>
      <c r="F3758" t="inlineStr">
        <is>
          <t>GÄVLEBORGS LÄN</t>
        </is>
      </c>
      <c r="G3758" t="inlineStr">
        <is>
          <t>OVANÅKER</t>
        </is>
      </c>
      <c r="I3758" t="n">
        <v>0.2</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5889-2026</t>
        </is>
      </c>
      <c r="B3759" t="inlineStr">
        <is>
          <t>avverkningsanmälan</t>
        </is>
      </c>
      <c r="C3759" t="inlineStr">
        <is>
          <t>Föryngringsavverkning</t>
        </is>
      </c>
      <c r="D3759" s="1" t="n">
        <v>46052</v>
      </c>
      <c r="E3759" s="1" t="n">
        <v>46326</v>
      </c>
      <c r="F3759" t="inlineStr">
        <is>
          <t>GÄVLEBORGS LÄN</t>
        </is>
      </c>
      <c r="G3759" t="inlineStr">
        <is>
          <t>OVANÅKER</t>
        </is>
      </c>
      <c r="I3759" t="n">
        <v>3.4</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5954-2026</t>
        </is>
      </c>
      <c r="B3760" t="inlineStr">
        <is>
          <t>avverkningsanmälan</t>
        </is>
      </c>
      <c r="C3760" t="inlineStr">
        <is>
          <t>Föryngringsavverkning</t>
        </is>
      </c>
      <c r="D3760" s="1" t="n">
        <v>46052</v>
      </c>
      <c r="E3760" s="1" t="n">
        <v>46326</v>
      </c>
      <c r="F3760" t="inlineStr">
        <is>
          <t>GÄVLEBORGS LÄN</t>
        </is>
      </c>
      <c r="G3760" t="inlineStr">
        <is>
          <t>SÖDERHAMN</t>
        </is>
      </c>
      <c r="I3760" t="n">
        <v>1.8</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6287-2026</t>
        </is>
      </c>
      <c r="B3761" t="inlineStr">
        <is>
          <t>avverkningsanmälan</t>
        </is>
      </c>
      <c r="C3761" t="inlineStr">
        <is>
          <t>Föryngringsavverkning</t>
        </is>
      </c>
      <c r="D3761" s="1" t="n">
        <v>46055</v>
      </c>
      <c r="E3761" s="1" t="n">
        <v>46326</v>
      </c>
      <c r="F3761" t="inlineStr">
        <is>
          <t>GÄVLEBORGS LÄN</t>
        </is>
      </c>
      <c r="G3761" t="inlineStr">
        <is>
          <t>NORDANSTIG</t>
        </is>
      </c>
      <c r="H3761" t="inlineStr">
        <is>
          <t>Holmen skog AB</t>
        </is>
      </c>
      <c r="I3761" t="n">
        <v>3.5</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6296-2026</t>
        </is>
      </c>
      <c r="B3762" t="inlineStr">
        <is>
          <t>avverkningsanmälan</t>
        </is>
      </c>
      <c r="C3762" t="inlineStr">
        <is>
          <t>Föryngringsavverkning</t>
        </is>
      </c>
      <c r="D3762" s="1" t="n">
        <v>46055</v>
      </c>
      <c r="E3762" s="1" t="n">
        <v>46326</v>
      </c>
      <c r="F3762" t="inlineStr">
        <is>
          <t>GÄVLEBORGS LÄN</t>
        </is>
      </c>
      <c r="G3762" t="inlineStr">
        <is>
          <t>BOLLNÄS</t>
        </is>
      </c>
      <c r="I3762" t="n">
        <v>0.8</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28680-2023</t>
        </is>
      </c>
      <c r="B3763" t="inlineStr">
        <is>
          <t>avverkningsanmälan</t>
        </is>
      </c>
      <c r="C3763" t="inlineStr">
        <is>
          <t>Föryngringsavverkning</t>
        </is>
      </c>
      <c r="D3763" s="1" t="n">
        <v>45103</v>
      </c>
      <c r="E3763" s="1" t="n">
        <v>46326</v>
      </c>
      <c r="F3763" t="inlineStr">
        <is>
          <t>GÄVLEBORGS LÄN</t>
        </is>
      </c>
      <c r="G3763" t="inlineStr">
        <is>
          <t>NORDANSTIG</t>
        </is>
      </c>
      <c r="H3763" t="inlineStr">
        <is>
          <t>Holmen skog AB</t>
        </is>
      </c>
      <c r="I3763" t="n">
        <v>3.3</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48832-2025</t>
        </is>
      </c>
      <c r="B3764" t="inlineStr">
        <is>
          <t>avverkningsanmälan</t>
        </is>
      </c>
      <c r="C3764" t="inlineStr">
        <is>
          <t>Föryngringsavverkning</t>
        </is>
      </c>
      <c r="D3764" s="1" t="n">
        <v>45937</v>
      </c>
      <c r="E3764" s="1" t="n">
        <v>46326</v>
      </c>
      <c r="F3764" t="inlineStr">
        <is>
          <t>GÄVLEBORGS LÄN</t>
        </is>
      </c>
      <c r="G3764" t="inlineStr">
        <is>
          <t>NORDANSTIG</t>
        </is>
      </c>
      <c r="I3764" t="n">
        <v>1.1</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49551-2025</t>
        </is>
      </c>
      <c r="B3765" t="inlineStr">
        <is>
          <t>avverkningsanmälan</t>
        </is>
      </c>
      <c r="C3765" t="inlineStr">
        <is>
          <t>Föryngringsavverkning</t>
        </is>
      </c>
      <c r="D3765" s="1" t="n">
        <v>45939</v>
      </c>
      <c r="E3765" s="1" t="n">
        <v>46326</v>
      </c>
      <c r="F3765" t="inlineStr">
        <is>
          <t>GÄVLEBORGS LÄN</t>
        </is>
      </c>
      <c r="G3765" t="inlineStr">
        <is>
          <t>OVANÅKER</t>
        </is>
      </c>
      <c r="I3765" t="n">
        <v>0.6</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6326-2026</t>
        </is>
      </c>
      <c r="B3766" t="inlineStr">
        <is>
          <t>avverkningsanmälan</t>
        </is>
      </c>
      <c r="C3766" t="inlineStr">
        <is>
          <t>Föryngringsavverkning</t>
        </is>
      </c>
      <c r="D3766" s="1" t="n">
        <v>46055</v>
      </c>
      <c r="E3766" s="1" t="n">
        <v>46326</v>
      </c>
      <c r="F3766" t="inlineStr">
        <is>
          <t>GÄVLEBORGS LÄN</t>
        </is>
      </c>
      <c r="G3766" t="inlineStr">
        <is>
          <t>BOLLNÄS</t>
        </is>
      </c>
      <c r="I3766" t="n">
        <v>4.3</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6344-2026</t>
        </is>
      </c>
      <c r="B3767" t="inlineStr">
        <is>
          <t>avverkningsanmälan</t>
        </is>
      </c>
      <c r="C3767" t="inlineStr">
        <is>
          <t>Föryngringsavverkning</t>
        </is>
      </c>
      <c r="D3767" s="1" t="n">
        <v>46055</v>
      </c>
      <c r="E3767" s="1" t="n">
        <v>46326</v>
      </c>
      <c r="F3767" t="inlineStr">
        <is>
          <t>GÄVLEBORGS LÄN</t>
        </is>
      </c>
      <c r="G3767" t="inlineStr">
        <is>
          <t>NORDANSTIG</t>
        </is>
      </c>
      <c r="I3767" t="n">
        <v>4.9</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6012-2026</t>
        </is>
      </c>
      <c r="B3768" t="inlineStr">
        <is>
          <t>avverkningsanmälan</t>
        </is>
      </c>
      <c r="C3768" t="inlineStr">
        <is>
          <t>Föryngringsavverkning</t>
        </is>
      </c>
      <c r="D3768" s="1" t="n">
        <v>46052</v>
      </c>
      <c r="E3768" s="1" t="n">
        <v>46326</v>
      </c>
      <c r="F3768" t="inlineStr">
        <is>
          <t>GÄVLEBORGS LÄN</t>
        </is>
      </c>
      <c r="G3768" t="inlineStr">
        <is>
          <t>BOLLNÄS</t>
        </is>
      </c>
      <c r="I3768" t="n">
        <v>10.2</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49594-2025</t>
        </is>
      </c>
      <c r="B3769" t="inlineStr">
        <is>
          <t>avverkningsanmälan</t>
        </is>
      </c>
      <c r="C3769" t="inlineStr">
        <is>
          <t>Föryngringsavverkning</t>
        </is>
      </c>
      <c r="D3769" s="1" t="n">
        <v>45939</v>
      </c>
      <c r="E3769" s="1" t="n">
        <v>46326</v>
      </c>
      <c r="F3769" t="inlineStr">
        <is>
          <t>GÄVLEBORGS LÄN</t>
        </is>
      </c>
      <c r="G3769" t="inlineStr">
        <is>
          <t>NORDANSTIG</t>
        </is>
      </c>
      <c r="I3769" t="n">
        <v>0.6</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49596-2025</t>
        </is>
      </c>
      <c r="B3770" t="inlineStr">
        <is>
          <t>avverkningsanmälan</t>
        </is>
      </c>
      <c r="C3770" t="inlineStr">
        <is>
          <t>Föryngringsavverkning</t>
        </is>
      </c>
      <c r="D3770" s="1" t="n">
        <v>45939</v>
      </c>
      <c r="E3770" s="1" t="n">
        <v>46326</v>
      </c>
      <c r="F3770" t="inlineStr">
        <is>
          <t>GÄVLEBORGS LÄN</t>
        </is>
      </c>
      <c r="G3770" t="inlineStr">
        <is>
          <t>NORDANSTIG</t>
        </is>
      </c>
      <c r="I3770" t="n">
        <v>0.7</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37763-2023</t>
        </is>
      </c>
      <c r="B3771" t="inlineStr">
        <is>
          <t>avverkningsanmälan</t>
        </is>
      </c>
      <c r="C3771" t="inlineStr">
        <is>
          <t>Föryngringsavverkning</t>
        </is>
      </c>
      <c r="D3771" s="1" t="n">
        <v>45156</v>
      </c>
      <c r="E3771" s="1" t="n">
        <v>46326</v>
      </c>
      <c r="F3771" t="inlineStr">
        <is>
          <t>GÄVLEBORGS LÄN</t>
        </is>
      </c>
      <c r="G3771" t="inlineStr">
        <is>
          <t>HOFORS</t>
        </is>
      </c>
      <c r="I3771" t="n">
        <v>2.9</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49297-2025</t>
        </is>
      </c>
      <c r="B3772" t="inlineStr">
        <is>
          <t>avverkningsanmälan</t>
        </is>
      </c>
      <c r="C3772" t="inlineStr">
        <is>
          <t>Föryngringsavverkning</t>
        </is>
      </c>
      <c r="D3772" s="1" t="n">
        <v>45938</v>
      </c>
      <c r="E3772" s="1" t="n">
        <v>46326</v>
      </c>
      <c r="F3772" t="inlineStr">
        <is>
          <t>GÄVLEBORGS LÄN</t>
        </is>
      </c>
      <c r="G3772" t="inlineStr">
        <is>
          <t>LJUSDAL</t>
        </is>
      </c>
      <c r="I3772" t="n">
        <v>4.2</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49320-2025</t>
        </is>
      </c>
      <c r="B3773" t="inlineStr">
        <is>
          <t>avverkningsanmälan</t>
        </is>
      </c>
      <c r="C3773" t="inlineStr">
        <is>
          <t>Föryngringsavverkning</t>
        </is>
      </c>
      <c r="D3773" s="1" t="n">
        <v>45938</v>
      </c>
      <c r="E3773" s="1" t="n">
        <v>46326</v>
      </c>
      <c r="F3773" t="inlineStr">
        <is>
          <t>GÄVLEBORGS LÄN</t>
        </is>
      </c>
      <c r="G3773" t="inlineStr">
        <is>
          <t>SANDVIKEN</t>
        </is>
      </c>
      <c r="H3773" t="inlineStr">
        <is>
          <t>Sveaskog</t>
        </is>
      </c>
      <c r="I3773" t="n">
        <v>5.7</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49334-2025</t>
        </is>
      </c>
      <c r="B3774" t="inlineStr">
        <is>
          <t>avverkningsanmälan</t>
        </is>
      </c>
      <c r="C3774" t="inlineStr">
        <is>
          <t>Föryngringsavverkning</t>
        </is>
      </c>
      <c r="D3774" s="1" t="n">
        <v>45938</v>
      </c>
      <c r="E3774" s="1" t="n">
        <v>46326</v>
      </c>
      <c r="F3774" t="inlineStr">
        <is>
          <t>GÄVLEBORGS LÄN</t>
        </is>
      </c>
      <c r="G3774" t="inlineStr">
        <is>
          <t>NORDANSTIG</t>
        </is>
      </c>
      <c r="I3774" t="n">
        <v>0.8</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206-2025</t>
        </is>
      </c>
      <c r="B3775" t="inlineStr">
        <is>
          <t>avverkningsanmälan</t>
        </is>
      </c>
      <c r="C3775" t="inlineStr">
        <is>
          <t>Föryngringsavverkning</t>
        </is>
      </c>
      <c r="D3775" s="1" t="n">
        <v>45660</v>
      </c>
      <c r="E3775" s="1" t="n">
        <v>46326</v>
      </c>
      <c r="F3775" t="inlineStr">
        <is>
          <t>GÄVLEBORGS LÄN</t>
        </is>
      </c>
      <c r="G3775" t="inlineStr">
        <is>
          <t>LJUSDAL</t>
        </is>
      </c>
      <c r="I3775" t="n">
        <v>5.8</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209-2025</t>
        </is>
      </c>
      <c r="B3776" t="inlineStr">
        <is>
          <t>avverkningsanmälan</t>
        </is>
      </c>
      <c r="C3776" t="inlineStr">
        <is>
          <t>Föryngringsavverkning</t>
        </is>
      </c>
      <c r="D3776" s="1" t="n">
        <v>45660</v>
      </c>
      <c r="E3776" s="1" t="n">
        <v>46326</v>
      </c>
      <c r="F3776" t="inlineStr">
        <is>
          <t>GÄVLEBORGS LÄN</t>
        </is>
      </c>
      <c r="G3776" t="inlineStr">
        <is>
          <t>LJUSDAL</t>
        </is>
      </c>
      <c r="I3776" t="n">
        <v>2</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6020-2026</t>
        </is>
      </c>
      <c r="B3777" t="inlineStr">
        <is>
          <t>avverkningsanmälan</t>
        </is>
      </c>
      <c r="C3777" t="inlineStr">
        <is>
          <t>Föryngringsavverkning</t>
        </is>
      </c>
      <c r="D3777" s="1" t="n">
        <v>46052</v>
      </c>
      <c r="E3777" s="1" t="n">
        <v>46326</v>
      </c>
      <c r="F3777" t="inlineStr">
        <is>
          <t>GÄVLEBORGS LÄN</t>
        </is>
      </c>
      <c r="G3777" t="inlineStr">
        <is>
          <t>BOLLNÄS</t>
        </is>
      </c>
      <c r="I3777" t="n">
        <v>3</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6032-2026</t>
        </is>
      </c>
      <c r="B3778" t="inlineStr">
        <is>
          <t>avverkningsanmälan</t>
        </is>
      </c>
      <c r="C3778" t="inlineStr">
        <is>
          <t>Föryngringsavverkning</t>
        </is>
      </c>
      <c r="D3778" s="1" t="n">
        <v>46052</v>
      </c>
      <c r="E3778" s="1" t="n">
        <v>46326</v>
      </c>
      <c r="F3778" t="inlineStr">
        <is>
          <t>GÄVLEBORGS LÄN</t>
        </is>
      </c>
      <c r="G3778" t="inlineStr">
        <is>
          <t>OVANÅKER</t>
        </is>
      </c>
      <c r="I3778" t="n">
        <v>1.2</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50130-2025</t>
        </is>
      </c>
      <c r="B3779" t="inlineStr">
        <is>
          <t>avverkningsanmälan</t>
        </is>
      </c>
      <c r="C3779" t="inlineStr">
        <is>
          <t>Föryngringsavverkning</t>
        </is>
      </c>
      <c r="D3779" s="1" t="n">
        <v>45943</v>
      </c>
      <c r="E3779" s="1" t="n">
        <v>46326</v>
      </c>
      <c r="F3779" t="inlineStr">
        <is>
          <t>GÄVLEBORGS LÄN</t>
        </is>
      </c>
      <c r="G3779" t="inlineStr">
        <is>
          <t>BOLLNÄS</t>
        </is>
      </c>
      <c r="H3779" t="inlineStr">
        <is>
          <t>Bergvik skog väst AB</t>
        </is>
      </c>
      <c r="I3779" t="n">
        <v>3.1</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49811-2025</t>
        </is>
      </c>
      <c r="B3780" t="inlineStr">
        <is>
          <t>avverkningsanmälan</t>
        </is>
      </c>
      <c r="C3780" t="inlineStr">
        <is>
          <t>Föryngringsavverkning</t>
        </is>
      </c>
      <c r="D3780" s="1" t="n">
        <v>45940</v>
      </c>
      <c r="E3780" s="1" t="n">
        <v>46326</v>
      </c>
      <c r="F3780" t="inlineStr">
        <is>
          <t>GÄVLEBORGS LÄN</t>
        </is>
      </c>
      <c r="G3780" t="inlineStr">
        <is>
          <t>BOLLNÄS</t>
        </is>
      </c>
      <c r="H3780" t="inlineStr">
        <is>
          <t>Bergvik skog väst AB</t>
        </is>
      </c>
      <c r="I3780" t="n">
        <v>1.2</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6230-2026</t>
        </is>
      </c>
      <c r="B3781" t="inlineStr">
        <is>
          <t>avverkningsanmälan</t>
        </is>
      </c>
      <c r="C3781" t="inlineStr">
        <is>
          <t>Föryngringsavverkning</t>
        </is>
      </c>
      <c r="D3781" s="1" t="n">
        <v>46055</v>
      </c>
      <c r="E3781" s="1" t="n">
        <v>46326</v>
      </c>
      <c r="F3781" t="inlineStr">
        <is>
          <t>GÄVLEBORGS LÄN</t>
        </is>
      </c>
      <c r="G3781" t="inlineStr">
        <is>
          <t>SÖDERHAMN</t>
        </is>
      </c>
      <c r="I3781" t="n">
        <v>1.7</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26131-2024</t>
        </is>
      </c>
      <c r="B3782" t="inlineStr">
        <is>
          <t>avverkningsanmälan</t>
        </is>
      </c>
      <c r="C3782" t="inlineStr">
        <is>
          <t>Föryngringsavverkning</t>
        </is>
      </c>
      <c r="D3782" s="1" t="n">
        <v>45468</v>
      </c>
      <c r="E3782" s="1" t="n">
        <v>46326</v>
      </c>
      <c r="F3782" t="inlineStr">
        <is>
          <t>GÄVLEBORGS LÄN</t>
        </is>
      </c>
      <c r="G3782" t="inlineStr">
        <is>
          <t>GÄVLE</t>
        </is>
      </c>
      <c r="H3782" t="inlineStr">
        <is>
          <t>Bergvik skog väst AB</t>
        </is>
      </c>
      <c r="I3782" t="n">
        <v>1.1</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6387-2026</t>
        </is>
      </c>
      <c r="B3783" t="inlineStr">
        <is>
          <t>avverkningsanmälan</t>
        </is>
      </c>
      <c r="C3783" t="inlineStr">
        <is>
          <t>Föryngringsavverkning</t>
        </is>
      </c>
      <c r="D3783" s="1" t="n">
        <v>46055</v>
      </c>
      <c r="E3783" s="1" t="n">
        <v>46326</v>
      </c>
      <c r="F3783" t="inlineStr">
        <is>
          <t>GÄVLEBORGS LÄN</t>
        </is>
      </c>
      <c r="G3783" t="inlineStr">
        <is>
          <t>BOLLNÄS</t>
        </is>
      </c>
      <c r="I3783" t="n">
        <v>1.8</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5947-2026</t>
        </is>
      </c>
      <c r="B3784" t="inlineStr">
        <is>
          <t>avverkningsanmälan</t>
        </is>
      </c>
      <c r="C3784" t="inlineStr">
        <is>
          <t>Föryngringsavverkning</t>
        </is>
      </c>
      <c r="D3784" s="1" t="n">
        <v>46052</v>
      </c>
      <c r="E3784" s="1" t="n">
        <v>46326</v>
      </c>
      <c r="F3784" t="inlineStr">
        <is>
          <t>GÄVLEBORGS LÄN</t>
        </is>
      </c>
      <c r="G3784" t="inlineStr">
        <is>
          <t>NORDANSTIG</t>
        </is>
      </c>
      <c r="I3784" t="n">
        <v>10.2</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6371-2026</t>
        </is>
      </c>
      <c r="B3785" t="inlineStr">
        <is>
          <t>avverkningsanmälan</t>
        </is>
      </c>
      <c r="C3785" t="inlineStr">
        <is>
          <t>Föryngringsavverkning</t>
        </is>
      </c>
      <c r="D3785" s="1" t="n">
        <v>46055</v>
      </c>
      <c r="E3785" s="1" t="n">
        <v>46326</v>
      </c>
      <c r="F3785" t="inlineStr">
        <is>
          <t>GÄVLEBORGS LÄN</t>
        </is>
      </c>
      <c r="G3785" t="inlineStr">
        <is>
          <t>BOLLNÄS</t>
        </is>
      </c>
      <c r="H3785" t="inlineStr">
        <is>
          <t>Bergvik skog väst AB</t>
        </is>
      </c>
      <c r="I3785" t="n">
        <v>2</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49842-2025</t>
        </is>
      </c>
      <c r="B3786" t="inlineStr">
        <is>
          <t>avverkningsanmälan</t>
        </is>
      </c>
      <c r="C3786" t="inlineStr">
        <is>
          <t>Föryngringsavverkning</t>
        </is>
      </c>
      <c r="D3786" s="1" t="n">
        <v>45940</v>
      </c>
      <c r="E3786" s="1" t="n">
        <v>46326</v>
      </c>
      <c r="F3786" t="inlineStr">
        <is>
          <t>GÄVLEBORGS LÄN</t>
        </is>
      </c>
      <c r="G3786" t="inlineStr">
        <is>
          <t>GÄVLE</t>
        </is>
      </c>
      <c r="H3786" t="inlineStr">
        <is>
          <t>Bergvik skog väst AB</t>
        </is>
      </c>
      <c r="I3786" t="n">
        <v>1.5</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50157-2025</t>
        </is>
      </c>
      <c r="B3787" t="inlineStr">
        <is>
          <t>avverkningsanmälan</t>
        </is>
      </c>
      <c r="C3787" t="inlineStr">
        <is>
          <t>Föryngringsavverkning</t>
        </is>
      </c>
      <c r="D3787" s="1" t="n">
        <v>45943</v>
      </c>
      <c r="E3787" s="1" t="n">
        <v>46326</v>
      </c>
      <c r="F3787" t="inlineStr">
        <is>
          <t>GÄVLEBORGS LÄN</t>
        </is>
      </c>
      <c r="G3787" t="inlineStr">
        <is>
          <t>BOLLNÄS</t>
        </is>
      </c>
      <c r="I3787" t="n">
        <v>1.2</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6063-2026</t>
        </is>
      </c>
      <c r="B3788" t="inlineStr">
        <is>
          <t>avverkningsanmälan</t>
        </is>
      </c>
      <c r="C3788" t="inlineStr">
        <is>
          <t>Föryngringsavverkning</t>
        </is>
      </c>
      <c r="D3788" s="1" t="n">
        <v>46052</v>
      </c>
      <c r="E3788" s="1" t="n">
        <v>46326</v>
      </c>
      <c r="F3788" t="inlineStr">
        <is>
          <t>GÄVLEBORGS LÄN</t>
        </is>
      </c>
      <c r="G3788" t="inlineStr">
        <is>
          <t>BOLLNÄS</t>
        </is>
      </c>
      <c r="I3788" t="n">
        <v>1.4</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6148-2026</t>
        </is>
      </c>
      <c r="B3789" t="inlineStr">
        <is>
          <t>avverkningsanmälan</t>
        </is>
      </c>
      <c r="C3789" t="inlineStr">
        <is>
          <t>Föryngringsavverkning</t>
        </is>
      </c>
      <c r="D3789" s="1" t="n">
        <v>46054</v>
      </c>
      <c r="E3789" s="1" t="n">
        <v>46326</v>
      </c>
      <c r="F3789" t="inlineStr">
        <is>
          <t>GÄVLEBORGS LÄN</t>
        </is>
      </c>
      <c r="G3789" t="inlineStr">
        <is>
          <t>OVANÅKER</t>
        </is>
      </c>
      <c r="I3789" t="n">
        <v>3.9</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50012-2025</t>
        </is>
      </c>
      <c r="B3790" t="inlineStr">
        <is>
          <t>avverkningsanmälan</t>
        </is>
      </c>
      <c r="C3790" t="inlineStr">
        <is>
          <t>Föryngringsavverkning</t>
        </is>
      </c>
      <c r="D3790" s="1" t="n">
        <v>45943</v>
      </c>
      <c r="E3790" s="1" t="n">
        <v>46326</v>
      </c>
      <c r="F3790" t="inlineStr">
        <is>
          <t>GÄVLEBORGS LÄN</t>
        </is>
      </c>
      <c r="G3790" t="inlineStr">
        <is>
          <t>SANDVIKEN</t>
        </is>
      </c>
      <c r="H3790" t="inlineStr">
        <is>
          <t>Sveaskog</t>
        </is>
      </c>
      <c r="I3790" t="n">
        <v>16.6</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6117-2026</t>
        </is>
      </c>
      <c r="B3791" t="inlineStr">
        <is>
          <t>avverkningsanmälan</t>
        </is>
      </c>
      <c r="C3791" t="inlineStr">
        <is>
          <t>Föryngringsavverkning</t>
        </is>
      </c>
      <c r="D3791" s="1" t="n">
        <v>46053</v>
      </c>
      <c r="E3791" s="1" t="n">
        <v>46326</v>
      </c>
      <c r="F3791" t="inlineStr">
        <is>
          <t>GÄVLEBORGS LÄN</t>
        </is>
      </c>
      <c r="G3791" t="inlineStr">
        <is>
          <t>NORDANSTIG</t>
        </is>
      </c>
      <c r="I3791" t="n">
        <v>9.1</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28024-2024</t>
        </is>
      </c>
      <c r="B3792" t="inlineStr">
        <is>
          <t>avverkningsanmälan</t>
        </is>
      </c>
      <c r="C3792" t="inlineStr">
        <is>
          <t>Föryngringsavverkning</t>
        </is>
      </c>
      <c r="D3792" s="1" t="n">
        <v>45476</v>
      </c>
      <c r="E3792" s="1" t="n">
        <v>46326</v>
      </c>
      <c r="F3792" t="inlineStr">
        <is>
          <t>GÄVLEBORGS LÄN</t>
        </is>
      </c>
      <c r="G3792" t="inlineStr">
        <is>
          <t>LJUSDAL</t>
        </is>
      </c>
      <c r="I3792" t="n">
        <v>2.4</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50177-2025</t>
        </is>
      </c>
      <c r="B3793" t="inlineStr">
        <is>
          <t>avverkningsanmälan</t>
        </is>
      </c>
      <c r="C3793" t="inlineStr">
        <is>
          <t>Föryngringsavverkning</t>
        </is>
      </c>
      <c r="D3793" s="1" t="n">
        <v>45943</v>
      </c>
      <c r="E3793" s="1" t="n">
        <v>46326</v>
      </c>
      <c r="F3793" t="inlineStr">
        <is>
          <t>GÄVLEBORGS LÄN</t>
        </is>
      </c>
      <c r="G3793" t="inlineStr">
        <is>
          <t>GÄVLE</t>
        </is>
      </c>
      <c r="H3793" t="inlineStr">
        <is>
          <t>Bergvik skog väst AB</t>
        </is>
      </c>
      <c r="I3793" t="n">
        <v>1.6</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6175-2026</t>
        </is>
      </c>
      <c r="B3794" t="inlineStr">
        <is>
          <t>avverkningsanmälan</t>
        </is>
      </c>
      <c r="C3794" t="inlineStr">
        <is>
          <t>Föryngringsavverkning</t>
        </is>
      </c>
      <c r="D3794" s="1" t="n">
        <v>46055</v>
      </c>
      <c r="E3794" s="1" t="n">
        <v>46326</v>
      </c>
      <c r="F3794" t="inlineStr">
        <is>
          <t>GÄVLEBORGS LÄN</t>
        </is>
      </c>
      <c r="G3794" t="inlineStr">
        <is>
          <t>OVANÅKER</t>
        </is>
      </c>
      <c r="I3794" t="n">
        <v>2.8</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6294-2026</t>
        </is>
      </c>
      <c r="B3795" t="inlineStr">
        <is>
          <t>avverkningsanmälan</t>
        </is>
      </c>
      <c r="C3795" t="inlineStr">
        <is>
          <t>Föryngringsavverkning</t>
        </is>
      </c>
      <c r="D3795" s="1" t="n">
        <v>46055</v>
      </c>
      <c r="E3795" s="1" t="n">
        <v>46326</v>
      </c>
      <c r="F3795" t="inlineStr">
        <is>
          <t>GÄVLEBORGS LÄN</t>
        </is>
      </c>
      <c r="G3795" t="inlineStr">
        <is>
          <t>HUDIKSVALL</t>
        </is>
      </c>
      <c r="I3795" t="n">
        <v>14.2</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6227-2026</t>
        </is>
      </c>
      <c r="B3796" t="inlineStr">
        <is>
          <t>avverkningsanmälan</t>
        </is>
      </c>
      <c r="C3796" t="inlineStr">
        <is>
          <t>Föryngringsavverkning</t>
        </is>
      </c>
      <c r="D3796" s="1" t="n">
        <v>46055</v>
      </c>
      <c r="E3796" s="1" t="n">
        <v>46326</v>
      </c>
      <c r="F3796" t="inlineStr">
        <is>
          <t>GÄVLEBORGS LÄN</t>
        </is>
      </c>
      <c r="G3796" t="inlineStr">
        <is>
          <t>SANDVIKEN</t>
        </is>
      </c>
      <c r="H3796" t="inlineStr">
        <is>
          <t>Kommuner</t>
        </is>
      </c>
      <c r="I3796" t="n">
        <v>4.7</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6228-2026</t>
        </is>
      </c>
      <c r="B3797" t="inlineStr">
        <is>
          <t>avverkningsanmälan</t>
        </is>
      </c>
      <c r="C3797" t="inlineStr">
        <is>
          <t>Föryngringsavverkning</t>
        </is>
      </c>
      <c r="D3797" s="1" t="n">
        <v>46055</v>
      </c>
      <c r="E3797" s="1" t="n">
        <v>46326</v>
      </c>
      <c r="F3797" t="inlineStr">
        <is>
          <t>GÄVLEBORGS LÄN</t>
        </is>
      </c>
      <c r="G3797" t="inlineStr">
        <is>
          <t>SÖDERHAMN</t>
        </is>
      </c>
      <c r="I3797" t="n">
        <v>2.8</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49848-2025</t>
        </is>
      </c>
      <c r="B3798" t="inlineStr">
        <is>
          <t>avverkningsanmälan</t>
        </is>
      </c>
      <c r="C3798" t="inlineStr">
        <is>
          <t>Föryngringsavverkning</t>
        </is>
      </c>
      <c r="D3798" s="1" t="n">
        <v>45940</v>
      </c>
      <c r="E3798" s="1" t="n">
        <v>46326</v>
      </c>
      <c r="F3798" t="inlineStr">
        <is>
          <t>GÄVLEBORGS LÄN</t>
        </is>
      </c>
      <c r="G3798" t="inlineStr">
        <is>
          <t>BOLLNÄS</t>
        </is>
      </c>
      <c r="H3798" t="inlineStr">
        <is>
          <t>Bergvik skog väst AB</t>
        </is>
      </c>
      <c r="I3798" t="n">
        <v>4.2</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64344-2021</t>
        </is>
      </c>
      <c r="B3799" t="inlineStr">
        <is>
          <t>avverkningsanmälan</t>
        </is>
      </c>
      <c r="C3799" t="inlineStr">
        <is>
          <t>Föryngringsavverkning</t>
        </is>
      </c>
      <c r="D3799" s="1" t="n">
        <v>44511</v>
      </c>
      <c r="E3799" s="1" t="n">
        <v>46326</v>
      </c>
      <c r="F3799" t="inlineStr">
        <is>
          <t>GÄVLEBORGS LÄN</t>
        </is>
      </c>
      <c r="G3799" t="inlineStr">
        <is>
          <t>HUDIKSVALL</t>
        </is>
      </c>
      <c r="I3799" t="n">
        <v>5.2</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35505-2024</t>
        </is>
      </c>
      <c r="B3800" t="inlineStr">
        <is>
          <t>avverkningsanmälan</t>
        </is>
      </c>
      <c r="C3800" t="inlineStr">
        <is>
          <t>Föryngringsavverkning</t>
        </is>
      </c>
      <c r="D3800" s="1" t="n">
        <v>45531</v>
      </c>
      <c r="E3800" s="1" t="n">
        <v>46326</v>
      </c>
      <c r="F3800" t="inlineStr">
        <is>
          <t>GÄVLEBORGS LÄN</t>
        </is>
      </c>
      <c r="G3800" t="inlineStr">
        <is>
          <t>HOFORS</t>
        </is>
      </c>
      <c r="H3800" t="inlineStr">
        <is>
          <t>Sveaskog</t>
        </is>
      </c>
      <c r="I3800" t="n">
        <v>1</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49736-2025</t>
        </is>
      </c>
      <c r="B3801" t="inlineStr">
        <is>
          <t>avverkningsanmälan</t>
        </is>
      </c>
      <c r="C3801" t="inlineStr">
        <is>
          <t>Föryngringsavverkning</t>
        </is>
      </c>
      <c r="D3801" s="1" t="n">
        <v>45940</v>
      </c>
      <c r="E3801" s="1" t="n">
        <v>46326</v>
      </c>
      <c r="F3801" t="inlineStr">
        <is>
          <t>GÄVLEBORGS LÄN</t>
        </is>
      </c>
      <c r="G3801" t="inlineStr">
        <is>
          <t>LJUSDAL</t>
        </is>
      </c>
      <c r="I3801" t="n">
        <v>2</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50007-2025</t>
        </is>
      </c>
      <c r="B3802" t="inlineStr">
        <is>
          <t>avverkningsanmälan</t>
        </is>
      </c>
      <c r="C3802" t="inlineStr">
        <is>
          <t>Föryngringsavverkning</t>
        </is>
      </c>
      <c r="D3802" s="1" t="n">
        <v>45943</v>
      </c>
      <c r="E3802" s="1" t="n">
        <v>46326</v>
      </c>
      <c r="F3802" t="inlineStr">
        <is>
          <t>GÄVLEBORGS LÄN</t>
        </is>
      </c>
      <c r="G3802" t="inlineStr">
        <is>
          <t>SÖDERHAMN</t>
        </is>
      </c>
      <c r="I3802" t="n">
        <v>2.6</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6095-2026</t>
        </is>
      </c>
      <c r="B3803" t="inlineStr">
        <is>
          <t>avverkningsanmälan</t>
        </is>
      </c>
      <c r="C3803" t="inlineStr">
        <is>
          <t>Föryngringsavverkning</t>
        </is>
      </c>
      <c r="D3803" s="1" t="n">
        <v>46052</v>
      </c>
      <c r="E3803" s="1" t="n">
        <v>46326</v>
      </c>
      <c r="F3803" t="inlineStr">
        <is>
          <t>GÄVLEBORGS LÄN</t>
        </is>
      </c>
      <c r="G3803" t="inlineStr">
        <is>
          <t>SÖDERHAMN</t>
        </is>
      </c>
      <c r="I3803" t="n">
        <v>0.4</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50064-2025</t>
        </is>
      </c>
      <c r="B3804" t="inlineStr">
        <is>
          <t>avverkningsanmälan</t>
        </is>
      </c>
      <c r="C3804" t="inlineStr">
        <is>
          <t>Avverkning för att bevara och utveckla /försöksver</t>
        </is>
      </c>
      <c r="D3804" s="1" t="n">
        <v>45943</v>
      </c>
      <c r="E3804" s="1" t="n">
        <v>46326</v>
      </c>
      <c r="F3804" t="inlineStr">
        <is>
          <t>GÄVLEBORGS LÄN</t>
        </is>
      </c>
      <c r="G3804" t="inlineStr">
        <is>
          <t>OVANÅKER</t>
        </is>
      </c>
      <c r="I3804" t="n">
        <v>1.9</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65403-2021</t>
        </is>
      </c>
      <c r="B3805" t="inlineStr">
        <is>
          <t>avverkningsanmälan</t>
        </is>
      </c>
      <c r="C3805" t="inlineStr">
        <is>
          <t>Föryngringsavverkning</t>
        </is>
      </c>
      <c r="D3805" s="1" t="n">
        <v>44515</v>
      </c>
      <c r="E3805" s="1" t="n">
        <v>46326</v>
      </c>
      <c r="F3805" t="inlineStr">
        <is>
          <t>GÄVLEBORGS LÄN</t>
        </is>
      </c>
      <c r="G3805" t="inlineStr">
        <is>
          <t>BOLLNÄS</t>
        </is>
      </c>
      <c r="H3805" t="inlineStr">
        <is>
          <t>Bergvik skog väst AB</t>
        </is>
      </c>
      <c r="I3805" t="n">
        <v>1.5</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50218-2025</t>
        </is>
      </c>
      <c r="B3806" t="inlineStr">
        <is>
          <t>avverkningsanmälan</t>
        </is>
      </c>
      <c r="C3806" t="inlineStr">
        <is>
          <t>Föryngringsavverkning</t>
        </is>
      </c>
      <c r="D3806" s="1" t="n">
        <v>45943</v>
      </c>
      <c r="E3806" s="1" t="n">
        <v>46326</v>
      </c>
      <c r="F3806" t="inlineStr">
        <is>
          <t>GÄVLEBORGS LÄN</t>
        </is>
      </c>
      <c r="G3806" t="inlineStr">
        <is>
          <t>BOLLNÄS</t>
        </is>
      </c>
      <c r="I3806" t="n">
        <v>1.1</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49742-2025</t>
        </is>
      </c>
      <c r="B3807" t="inlineStr">
        <is>
          <t>avverkningsanmälan</t>
        </is>
      </c>
      <c r="C3807" t="inlineStr">
        <is>
          <t>Föryngringsavverkning</t>
        </is>
      </c>
      <c r="D3807" s="1" t="n">
        <v>45940</v>
      </c>
      <c r="E3807" s="1" t="n">
        <v>46326</v>
      </c>
      <c r="F3807" t="inlineStr">
        <is>
          <t>GÄVLEBORGS LÄN</t>
        </is>
      </c>
      <c r="G3807" t="inlineStr">
        <is>
          <t>BOLLNÄS</t>
        </is>
      </c>
      <c r="I3807" t="n">
        <v>3.2</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57199-2022</t>
        </is>
      </c>
      <c r="B3808" t="inlineStr">
        <is>
          <t>avverkningsanmälan</t>
        </is>
      </c>
      <c r="C3808" t="inlineStr">
        <is>
          <t>Avverkning för annat ändamål</t>
        </is>
      </c>
      <c r="D3808" s="1" t="n">
        <v>44895</v>
      </c>
      <c r="E3808" s="1" t="n">
        <v>46326</v>
      </c>
      <c r="F3808" t="inlineStr">
        <is>
          <t>GÄVLEBORGS LÄN</t>
        </is>
      </c>
      <c r="G3808" t="inlineStr">
        <is>
          <t>HUDIKSVALL</t>
        </is>
      </c>
      <c r="I3808" t="n">
        <v>7.2</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51867-2022</t>
        </is>
      </c>
      <c r="B3809" t="inlineStr">
        <is>
          <t>avverkningsanmälan</t>
        </is>
      </c>
      <c r="C3809" t="inlineStr">
        <is>
          <t>Föryngringsavverkning</t>
        </is>
      </c>
      <c r="D3809" s="1" t="n">
        <v>44872</v>
      </c>
      <c r="E3809" s="1" t="n">
        <v>46326</v>
      </c>
      <c r="F3809" t="inlineStr">
        <is>
          <t>GÄVLEBORGS LÄN</t>
        </is>
      </c>
      <c r="G3809" t="inlineStr">
        <is>
          <t>BOLLNÄS</t>
        </is>
      </c>
      <c r="I3809" t="n">
        <v>1.6</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57269-2022</t>
        </is>
      </c>
      <c r="B3810" t="inlineStr">
        <is>
          <t>avverkningsanmälan</t>
        </is>
      </c>
      <c r="C3810" t="inlineStr">
        <is>
          <t>Avverkning för annat ändamål</t>
        </is>
      </c>
      <c r="D3810" s="1" t="n">
        <v>44895</v>
      </c>
      <c r="E3810" s="1" t="n">
        <v>46326</v>
      </c>
      <c r="F3810" t="inlineStr">
        <is>
          <t>GÄVLEBORGS LÄN</t>
        </is>
      </c>
      <c r="G3810" t="inlineStr">
        <is>
          <t>LJUSDAL</t>
        </is>
      </c>
      <c r="I3810" t="n">
        <v>0.5</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50665-2025</t>
        </is>
      </c>
      <c r="B3811" t="inlineStr">
        <is>
          <t>avverkningsanmälan</t>
        </is>
      </c>
      <c r="C3811" t="inlineStr">
        <is>
          <t>Föryngringsavverkning</t>
        </is>
      </c>
      <c r="D3811" s="1" t="n">
        <v>45945</v>
      </c>
      <c r="E3811" s="1" t="n">
        <v>46326</v>
      </c>
      <c r="F3811" t="inlineStr">
        <is>
          <t>GÄVLEBORGS LÄN</t>
        </is>
      </c>
      <c r="G3811" t="inlineStr">
        <is>
          <t>SANDVIKEN</t>
        </is>
      </c>
      <c r="I3811" t="n">
        <v>0.5</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31822-2025</t>
        </is>
      </c>
      <c r="B3812" t="inlineStr">
        <is>
          <t>avverkningsanmälan</t>
        </is>
      </c>
      <c r="C3812" t="inlineStr">
        <is>
          <t>Föryngringsavverkning</t>
        </is>
      </c>
      <c r="D3812" s="1" t="n">
        <v>45834</v>
      </c>
      <c r="E3812" s="1" t="n">
        <v>46326</v>
      </c>
      <c r="F3812" t="inlineStr">
        <is>
          <t>GÄVLEBORGS LÄN</t>
        </is>
      </c>
      <c r="G3812" t="inlineStr">
        <is>
          <t>OCKELBO</t>
        </is>
      </c>
      <c r="I3812" t="n">
        <v>0.9</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6651-2026</t>
        </is>
      </c>
      <c r="B3813" t="inlineStr">
        <is>
          <t>avverkningsanmälan</t>
        </is>
      </c>
      <c r="C3813" t="inlineStr">
        <is>
          <t>Föryngringsavverkning</t>
        </is>
      </c>
      <c r="D3813" s="1" t="n">
        <v>46056</v>
      </c>
      <c r="E3813" s="1" t="n">
        <v>46326</v>
      </c>
      <c r="F3813" t="inlineStr">
        <is>
          <t>GÄVLEBORGS LÄN</t>
        </is>
      </c>
      <c r="G3813" t="inlineStr">
        <is>
          <t>SANDVIKEN</t>
        </is>
      </c>
      <c r="I3813" t="n">
        <v>8.800000000000001</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50446-2025</t>
        </is>
      </c>
      <c r="B3814" t="inlineStr">
        <is>
          <t>avverkningsanmälan</t>
        </is>
      </c>
      <c r="C3814" t="inlineStr">
        <is>
          <t>Föryngringsavverkning</t>
        </is>
      </c>
      <c r="D3814" s="1" t="n">
        <v>45945</v>
      </c>
      <c r="E3814" s="1" t="n">
        <v>46326</v>
      </c>
      <c r="F3814" t="inlineStr">
        <is>
          <t>GÄVLEBORGS LÄN</t>
        </is>
      </c>
      <c r="G3814" t="inlineStr">
        <is>
          <t>OVANÅKER</t>
        </is>
      </c>
      <c r="I3814" t="n">
        <v>1.9</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50320-2025</t>
        </is>
      </c>
      <c r="B3815" t="inlineStr">
        <is>
          <t>avverkningsanmälan</t>
        </is>
      </c>
      <c r="C3815" t="inlineStr">
        <is>
          <t>Föryngringsavverkning</t>
        </is>
      </c>
      <c r="D3815" s="1" t="n">
        <v>45944</v>
      </c>
      <c r="E3815" s="1" t="n">
        <v>46326</v>
      </c>
      <c r="F3815" t="inlineStr">
        <is>
          <t>GÄVLEBORGS LÄN</t>
        </is>
      </c>
      <c r="G3815" t="inlineStr">
        <is>
          <t>HUDIKSVALL</t>
        </is>
      </c>
      <c r="I3815" t="n">
        <v>1.3</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50334-2025</t>
        </is>
      </c>
      <c r="B3816" t="inlineStr">
        <is>
          <t>avverkningsanmälan</t>
        </is>
      </c>
      <c r="C3816" t="inlineStr">
        <is>
          <t>Föryngringsavverkning</t>
        </is>
      </c>
      <c r="D3816" s="1" t="n">
        <v>45944</v>
      </c>
      <c r="E3816" s="1" t="n">
        <v>46326</v>
      </c>
      <c r="F3816" t="inlineStr">
        <is>
          <t>GÄVLEBORGS LÄN</t>
        </is>
      </c>
      <c r="G3816" t="inlineStr">
        <is>
          <t>HUDIKSVALL</t>
        </is>
      </c>
      <c r="I3816" t="n">
        <v>2.8</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55291-2024</t>
        </is>
      </c>
      <c r="B3817" t="inlineStr">
        <is>
          <t>avverkningsanmälan</t>
        </is>
      </c>
      <c r="C3817" t="inlineStr">
        <is>
          <t>Föryngringsavverkning</t>
        </is>
      </c>
      <c r="D3817" s="1" t="n">
        <v>45621</v>
      </c>
      <c r="E3817" s="1" t="n">
        <v>46326</v>
      </c>
      <c r="F3817" t="inlineStr">
        <is>
          <t>GÄVLEBORGS LÄN</t>
        </is>
      </c>
      <c r="G3817" t="inlineStr">
        <is>
          <t>LJUSDAL</t>
        </is>
      </c>
      <c r="H3817" t="inlineStr">
        <is>
          <t>Sveaskog</t>
        </is>
      </c>
      <c r="I3817" t="n">
        <v>4.5</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39207-2023</t>
        </is>
      </c>
      <c r="B3818" t="inlineStr">
        <is>
          <t>avverkningsanmälan</t>
        </is>
      </c>
      <c r="C3818" t="inlineStr">
        <is>
          <t>Föryngringsavverkning</t>
        </is>
      </c>
      <c r="D3818" s="1" t="n">
        <v>45166</v>
      </c>
      <c r="E3818" s="1" t="n">
        <v>46326</v>
      </c>
      <c r="F3818" t="inlineStr">
        <is>
          <t>GÄVLEBORGS LÄN</t>
        </is>
      </c>
      <c r="G3818" t="inlineStr">
        <is>
          <t>NORDANSTIG</t>
        </is>
      </c>
      <c r="H3818" t="inlineStr">
        <is>
          <t>Holmen skog AB</t>
        </is>
      </c>
      <c r="I3818" t="n">
        <v>3.8</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6666-2026</t>
        </is>
      </c>
      <c r="B3819" t="inlineStr">
        <is>
          <t>avverkningsanmälan</t>
        </is>
      </c>
      <c r="C3819" t="inlineStr">
        <is>
          <t>Föryngringsavverkning</t>
        </is>
      </c>
      <c r="D3819" s="1" t="n">
        <v>46056</v>
      </c>
      <c r="E3819" s="1" t="n">
        <v>46326</v>
      </c>
      <c r="F3819" t="inlineStr">
        <is>
          <t>GÄVLEBORGS LÄN</t>
        </is>
      </c>
      <c r="G3819" t="inlineStr">
        <is>
          <t>BOLLNÄS</t>
        </is>
      </c>
      <c r="I3819" t="n">
        <v>0.5</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6673-2026</t>
        </is>
      </c>
      <c r="B3820" t="inlineStr">
        <is>
          <t>avverkningsanmälan</t>
        </is>
      </c>
      <c r="C3820" t="inlineStr">
        <is>
          <t>Föryngringsavverkning</t>
        </is>
      </c>
      <c r="D3820" s="1" t="n">
        <v>46056</v>
      </c>
      <c r="E3820" s="1" t="n">
        <v>46326</v>
      </c>
      <c r="F3820" t="inlineStr">
        <is>
          <t>GÄVLEBORGS LÄN</t>
        </is>
      </c>
      <c r="G3820" t="inlineStr">
        <is>
          <t>GÄVLE</t>
        </is>
      </c>
      <c r="I3820" t="n">
        <v>1</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6677-2026</t>
        </is>
      </c>
      <c r="B3821" t="inlineStr">
        <is>
          <t>avverkningsanmälan</t>
        </is>
      </c>
      <c r="C3821" t="inlineStr">
        <is>
          <t>Föryngringsavverkning</t>
        </is>
      </c>
      <c r="D3821" s="1" t="n">
        <v>46056</v>
      </c>
      <c r="E3821" s="1" t="n">
        <v>46326</v>
      </c>
      <c r="F3821" t="inlineStr">
        <is>
          <t>GÄVLEBORGS LÄN</t>
        </is>
      </c>
      <c r="G3821" t="inlineStr">
        <is>
          <t>OCKELBO</t>
        </is>
      </c>
      <c r="H3821" t="inlineStr">
        <is>
          <t>Bergvik skog väst AB</t>
        </is>
      </c>
      <c r="I3821" t="n">
        <v>9.4</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6647-2026</t>
        </is>
      </c>
      <c r="B3822" t="inlineStr">
        <is>
          <t>avverkningsanmälan</t>
        </is>
      </c>
      <c r="C3822" t="inlineStr">
        <is>
          <t>Föryngringsavverkning</t>
        </is>
      </c>
      <c r="D3822" s="1" t="n">
        <v>46056</v>
      </c>
      <c r="E3822" s="1" t="n">
        <v>46326</v>
      </c>
      <c r="F3822" t="inlineStr">
        <is>
          <t>GÄVLEBORGS LÄN</t>
        </is>
      </c>
      <c r="G3822" t="inlineStr">
        <is>
          <t>NORDANSTIG</t>
        </is>
      </c>
      <c r="I3822" t="n">
        <v>7</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6681-2026</t>
        </is>
      </c>
      <c r="B3823" t="inlineStr">
        <is>
          <t>avverkningsanmälan</t>
        </is>
      </c>
      <c r="C3823" t="inlineStr">
        <is>
          <t>Föryngringsavverkning</t>
        </is>
      </c>
      <c r="D3823" s="1" t="n">
        <v>46056</v>
      </c>
      <c r="E3823" s="1" t="n">
        <v>46326</v>
      </c>
      <c r="F3823" t="inlineStr">
        <is>
          <t>GÄVLEBORGS LÄN</t>
        </is>
      </c>
      <c r="G3823" t="inlineStr">
        <is>
          <t>GÄVLE</t>
        </is>
      </c>
      <c r="I3823" t="n">
        <v>6.6</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6752-2026</t>
        </is>
      </c>
      <c r="B3824" t="inlineStr">
        <is>
          <t>avverkningsanmälan</t>
        </is>
      </c>
      <c r="C3824" t="inlineStr">
        <is>
          <t>Föryngringsavverkning</t>
        </is>
      </c>
      <c r="D3824" s="1" t="n">
        <v>46056</v>
      </c>
      <c r="E3824" s="1" t="n">
        <v>46326</v>
      </c>
      <c r="F3824" t="inlineStr">
        <is>
          <t>GÄVLEBORGS LÄN</t>
        </is>
      </c>
      <c r="G3824" t="inlineStr">
        <is>
          <t>OVANÅKER</t>
        </is>
      </c>
      <c r="I3824" t="n">
        <v>1.5</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1483-2022</t>
        </is>
      </c>
      <c r="B3825" t="inlineStr">
        <is>
          <t>avverkningsanmälan</t>
        </is>
      </c>
      <c r="C3825" t="inlineStr">
        <is>
          <t>Föryngringsavverkning</t>
        </is>
      </c>
      <c r="D3825" s="1" t="n">
        <v>44573</v>
      </c>
      <c r="E3825" s="1" t="n">
        <v>46326</v>
      </c>
      <c r="F3825" t="inlineStr">
        <is>
          <t>GÄVLEBORGS LÄN</t>
        </is>
      </c>
      <c r="G3825" t="inlineStr">
        <is>
          <t>NORDANSTIG</t>
        </is>
      </c>
      <c r="I3825" t="n">
        <v>7.8</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6769-2026</t>
        </is>
      </c>
      <c r="B3826" t="inlineStr">
        <is>
          <t>avverkningsanmälan</t>
        </is>
      </c>
      <c r="C3826" t="inlineStr">
        <is>
          <t>Föryngringsavverkning</t>
        </is>
      </c>
      <c r="D3826" s="1" t="n">
        <v>46057</v>
      </c>
      <c r="E3826" s="1" t="n">
        <v>46326</v>
      </c>
      <c r="F3826" t="inlineStr">
        <is>
          <t>GÄVLEBORGS LÄN</t>
        </is>
      </c>
      <c r="G3826" t="inlineStr">
        <is>
          <t>BOLLNÄS</t>
        </is>
      </c>
      <c r="I3826" t="n">
        <v>1.6</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6501-2026</t>
        </is>
      </c>
      <c r="B3827" t="inlineStr">
        <is>
          <t>avverkningsanmälan</t>
        </is>
      </c>
      <c r="C3827" t="inlineStr">
        <is>
          <t>Föryngringsavverkning</t>
        </is>
      </c>
      <c r="D3827" s="1" t="n">
        <v>46056</v>
      </c>
      <c r="E3827" s="1" t="n">
        <v>46326</v>
      </c>
      <c r="F3827" t="inlineStr">
        <is>
          <t>GÄVLEBORGS LÄN</t>
        </is>
      </c>
      <c r="G3827" t="inlineStr">
        <is>
          <t>BOLLNÄS</t>
        </is>
      </c>
      <c r="I3827" t="n">
        <v>3.7</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50318-2025</t>
        </is>
      </c>
      <c r="B3828" t="inlineStr">
        <is>
          <t>avverkningsanmälan</t>
        </is>
      </c>
      <c r="C3828" t="inlineStr">
        <is>
          <t>Föryngringsavverkning</t>
        </is>
      </c>
      <c r="D3828" s="1" t="n">
        <v>45944</v>
      </c>
      <c r="E3828" s="1" t="n">
        <v>46326</v>
      </c>
      <c r="F3828" t="inlineStr">
        <is>
          <t>GÄVLEBORGS LÄN</t>
        </is>
      </c>
      <c r="G3828" t="inlineStr">
        <is>
          <t>HUDIKSVALL</t>
        </is>
      </c>
      <c r="I3828" t="n">
        <v>1.3</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57341-2023</t>
        </is>
      </c>
      <c r="B3829" t="inlineStr">
        <is>
          <t>avverkningsanmälan</t>
        </is>
      </c>
      <c r="C3829" t="inlineStr">
        <is>
          <t>Föryngringsavverkning</t>
        </is>
      </c>
      <c r="D3829" s="1" t="n">
        <v>45245</v>
      </c>
      <c r="E3829" s="1" t="n">
        <v>46326</v>
      </c>
      <c r="F3829" t="inlineStr">
        <is>
          <t>GÄVLEBORGS LÄN</t>
        </is>
      </c>
      <c r="G3829" t="inlineStr">
        <is>
          <t>GÄVLE</t>
        </is>
      </c>
      <c r="I3829" t="n">
        <v>0.6</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50549-2025</t>
        </is>
      </c>
      <c r="B3830" t="inlineStr">
        <is>
          <t>avverkningsanmälan</t>
        </is>
      </c>
      <c r="C3830" t="inlineStr">
        <is>
          <t>Föryngringsavverkning</t>
        </is>
      </c>
      <c r="D3830" s="1" t="n">
        <v>45945</v>
      </c>
      <c r="E3830" s="1" t="n">
        <v>46326</v>
      </c>
      <c r="F3830" t="inlineStr">
        <is>
          <t>GÄVLEBORGS LÄN</t>
        </is>
      </c>
      <c r="G3830" t="inlineStr">
        <is>
          <t>LJUSDAL</t>
        </is>
      </c>
      <c r="I3830" t="n">
        <v>1.2</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2986-2023</t>
        </is>
      </c>
      <c r="B3831" t="inlineStr">
        <is>
          <t>avverkningsanmälan</t>
        </is>
      </c>
      <c r="C3831" t="inlineStr">
        <is>
          <t>Föryngringsavverkning</t>
        </is>
      </c>
      <c r="D3831" s="1" t="n">
        <v>44945</v>
      </c>
      <c r="E3831" s="1" t="n">
        <v>46326</v>
      </c>
      <c r="F3831" t="inlineStr">
        <is>
          <t>GÄVLEBORGS LÄN</t>
        </is>
      </c>
      <c r="G3831" t="inlineStr">
        <is>
          <t>NORDANSTIG</t>
        </is>
      </c>
      <c r="H3831" t="inlineStr">
        <is>
          <t>Holmen skog AB</t>
        </is>
      </c>
      <c r="I3831" t="n">
        <v>5.4</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6665-2026</t>
        </is>
      </c>
      <c r="B3832" t="inlineStr">
        <is>
          <t>avverkningsanmälan</t>
        </is>
      </c>
      <c r="C3832" t="inlineStr">
        <is>
          <t>Föryngringsavverkning</t>
        </is>
      </c>
      <c r="D3832" s="1" t="n">
        <v>46056</v>
      </c>
      <c r="E3832" s="1" t="n">
        <v>46326</v>
      </c>
      <c r="F3832" t="inlineStr">
        <is>
          <t>GÄVLEBORGS LÄN</t>
        </is>
      </c>
      <c r="G3832" t="inlineStr">
        <is>
          <t>OCKELBO</t>
        </is>
      </c>
      <c r="I3832" t="n">
        <v>0.7</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6683-2026</t>
        </is>
      </c>
      <c r="B3833" t="inlineStr">
        <is>
          <t>avverkningsanmälan</t>
        </is>
      </c>
      <c r="C3833" t="inlineStr">
        <is>
          <t>Föryngringsavverkning</t>
        </is>
      </c>
      <c r="D3833" s="1" t="n">
        <v>46056</v>
      </c>
      <c r="E3833" s="1" t="n">
        <v>46326</v>
      </c>
      <c r="F3833" t="inlineStr">
        <is>
          <t>GÄVLEBORGS LÄN</t>
        </is>
      </c>
      <c r="G3833" t="inlineStr">
        <is>
          <t>GÄVLE</t>
        </is>
      </c>
      <c r="I3833" t="n">
        <v>6.5</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6912-2026</t>
        </is>
      </c>
      <c r="B3834" t="inlineStr">
        <is>
          <t>avverkningsanmälan</t>
        </is>
      </c>
      <c r="C3834" t="inlineStr">
        <is>
          <t>Föryngringsavverkning</t>
        </is>
      </c>
      <c r="D3834" s="1" t="n">
        <v>46057</v>
      </c>
      <c r="E3834" s="1" t="n">
        <v>46326</v>
      </c>
      <c r="F3834" t="inlineStr">
        <is>
          <t>GÄVLEBORGS LÄN</t>
        </is>
      </c>
      <c r="G3834" t="inlineStr">
        <is>
          <t>OVANÅKER</t>
        </is>
      </c>
      <c r="I3834" t="n">
        <v>1.2</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6537-2026</t>
        </is>
      </c>
      <c r="B3835" t="inlineStr">
        <is>
          <t>avverkningsanmälan</t>
        </is>
      </c>
      <c r="C3835" t="inlineStr">
        <is>
          <t>Föryngringsavverkning</t>
        </is>
      </c>
      <c r="D3835" s="1" t="n">
        <v>46056</v>
      </c>
      <c r="E3835" s="1" t="n">
        <v>46326</v>
      </c>
      <c r="F3835" t="inlineStr">
        <is>
          <t>GÄVLEBORGS LÄN</t>
        </is>
      </c>
      <c r="G3835" t="inlineStr">
        <is>
          <t>BOLLNÄS</t>
        </is>
      </c>
      <c r="I3835" t="n">
        <v>5.4</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6554-2026</t>
        </is>
      </c>
      <c r="B3836" t="inlineStr">
        <is>
          <t>avverkningsanmälan</t>
        </is>
      </c>
      <c r="C3836" t="inlineStr">
        <is>
          <t>Föryngringsavverkning</t>
        </is>
      </c>
      <c r="D3836" s="1" t="n">
        <v>46056</v>
      </c>
      <c r="E3836" s="1" t="n">
        <v>46326</v>
      </c>
      <c r="F3836" t="inlineStr">
        <is>
          <t>GÄVLEBORGS LÄN</t>
        </is>
      </c>
      <c r="G3836" t="inlineStr">
        <is>
          <t>BOLLNÄS</t>
        </is>
      </c>
      <c r="I3836" t="n">
        <v>3.7</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6773-2026</t>
        </is>
      </c>
      <c r="B3837" t="inlineStr">
        <is>
          <t>avverkningsanmälan</t>
        </is>
      </c>
      <c r="C3837" t="inlineStr">
        <is>
          <t>Föryngringsavverkning</t>
        </is>
      </c>
      <c r="D3837" s="1" t="n">
        <v>46057</v>
      </c>
      <c r="E3837" s="1" t="n">
        <v>46326</v>
      </c>
      <c r="F3837" t="inlineStr">
        <is>
          <t>GÄVLEBORGS LÄN</t>
        </is>
      </c>
      <c r="G3837" t="inlineStr">
        <is>
          <t>BOLLNÄS</t>
        </is>
      </c>
      <c r="I3837" t="n">
        <v>5</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6784-2026</t>
        </is>
      </c>
      <c r="B3838" t="inlineStr">
        <is>
          <t>avverkningsanmälan</t>
        </is>
      </c>
      <c r="C3838" t="inlineStr">
        <is>
          <t>Föryngringsavverkning</t>
        </is>
      </c>
      <c r="D3838" s="1" t="n">
        <v>46057</v>
      </c>
      <c r="E3838" s="1" t="n">
        <v>46326</v>
      </c>
      <c r="F3838" t="inlineStr">
        <is>
          <t>GÄVLEBORGS LÄN</t>
        </is>
      </c>
      <c r="G3838" t="inlineStr">
        <is>
          <t>BOLLNÄS</t>
        </is>
      </c>
      <c r="I3838" t="n">
        <v>21.8</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6807-2026</t>
        </is>
      </c>
      <c r="B3839" t="inlineStr">
        <is>
          <t>avverkningsanmälan</t>
        </is>
      </c>
      <c r="C3839" t="inlineStr">
        <is>
          <t>Föryngringsavverkning</t>
        </is>
      </c>
      <c r="D3839" s="1" t="n">
        <v>46057</v>
      </c>
      <c r="E3839" s="1" t="n">
        <v>46326</v>
      </c>
      <c r="F3839" t="inlineStr">
        <is>
          <t>GÄVLEBORGS LÄN</t>
        </is>
      </c>
      <c r="G3839" t="inlineStr">
        <is>
          <t>LJUSDAL</t>
        </is>
      </c>
      <c r="I3839" t="n">
        <v>1.2</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6821-2026</t>
        </is>
      </c>
      <c r="B3840" t="inlineStr">
        <is>
          <t>avverkningsanmälan</t>
        </is>
      </c>
      <c r="C3840" t="inlineStr">
        <is>
          <t>Föryngringsavverkning</t>
        </is>
      </c>
      <c r="D3840" s="1" t="n">
        <v>46057</v>
      </c>
      <c r="E3840" s="1" t="n">
        <v>46326</v>
      </c>
      <c r="F3840" t="inlineStr">
        <is>
          <t>GÄVLEBORGS LÄN</t>
        </is>
      </c>
      <c r="G3840" t="inlineStr">
        <is>
          <t>OVANÅKER</t>
        </is>
      </c>
      <c r="I3840" t="n">
        <v>2.2</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6862-2026</t>
        </is>
      </c>
      <c r="B3841" t="inlineStr">
        <is>
          <t>avverkningsanmälan</t>
        </is>
      </c>
      <c r="C3841" t="inlineStr">
        <is>
          <t>Föryngringsavverkning</t>
        </is>
      </c>
      <c r="D3841" s="1" t="n">
        <v>46057</v>
      </c>
      <c r="E3841" s="1" t="n">
        <v>46326</v>
      </c>
      <c r="F3841" t="inlineStr">
        <is>
          <t>GÄVLEBORGS LÄN</t>
        </is>
      </c>
      <c r="G3841" t="inlineStr">
        <is>
          <t>OCKELBO</t>
        </is>
      </c>
      <c r="H3841" t="inlineStr">
        <is>
          <t>Bergvik skog väst AB</t>
        </is>
      </c>
      <c r="I3841" t="n">
        <v>4.2</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5579-2022</t>
        </is>
      </c>
      <c r="B3842" t="inlineStr">
        <is>
          <t>avverkningsanmälan</t>
        </is>
      </c>
      <c r="C3842" t="inlineStr">
        <is>
          <t>Föryngringsavverkning</t>
        </is>
      </c>
      <c r="D3842" s="1" t="n">
        <v>44595</v>
      </c>
      <c r="E3842" s="1" t="n">
        <v>46326</v>
      </c>
      <c r="F3842" t="inlineStr">
        <is>
          <t>GÄVLEBORGS LÄN</t>
        </is>
      </c>
      <c r="G3842" t="inlineStr">
        <is>
          <t>BOLLNÄS</t>
        </is>
      </c>
      <c r="I3842" t="n">
        <v>0.9</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50356-2025</t>
        </is>
      </c>
      <c r="B3843" t="inlineStr">
        <is>
          <t>avverkningsanmälan</t>
        </is>
      </c>
      <c r="C3843" t="inlineStr">
        <is>
          <t>Föryngringsavverkning</t>
        </is>
      </c>
      <c r="D3843" s="1" t="n">
        <v>45944</v>
      </c>
      <c r="E3843" s="1" t="n">
        <v>46326</v>
      </c>
      <c r="F3843" t="inlineStr">
        <is>
          <t>GÄVLEBORGS LÄN</t>
        </is>
      </c>
      <c r="G3843" t="inlineStr">
        <is>
          <t>GÄVLE</t>
        </is>
      </c>
      <c r="H3843" t="inlineStr">
        <is>
          <t>Bergvik skog väst AB</t>
        </is>
      </c>
      <c r="I3843" t="n">
        <v>0.4</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50331-2025</t>
        </is>
      </c>
      <c r="B3844" t="inlineStr">
        <is>
          <t>avverkningsanmälan</t>
        </is>
      </c>
      <c r="C3844" t="inlineStr">
        <is>
          <t>Föryngringsavverkning</t>
        </is>
      </c>
      <c r="D3844" s="1" t="n">
        <v>45944</v>
      </c>
      <c r="E3844" s="1" t="n">
        <v>46326</v>
      </c>
      <c r="F3844" t="inlineStr">
        <is>
          <t>GÄVLEBORGS LÄN</t>
        </is>
      </c>
      <c r="G3844" t="inlineStr">
        <is>
          <t>HUDIKSVALL</t>
        </is>
      </c>
      <c r="I3844" t="n">
        <v>1.2</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6546-2026</t>
        </is>
      </c>
      <c r="B3845" t="inlineStr">
        <is>
          <t>avverkningsanmälan</t>
        </is>
      </c>
      <c r="C3845" t="inlineStr">
        <is>
          <t>Föryngringsavverkning</t>
        </is>
      </c>
      <c r="D3845" s="1" t="n">
        <v>46056</v>
      </c>
      <c r="E3845" s="1" t="n">
        <v>46326</v>
      </c>
      <c r="F3845" t="inlineStr">
        <is>
          <t>GÄVLEBORGS LÄN</t>
        </is>
      </c>
      <c r="G3845" t="inlineStr">
        <is>
          <t>BOLLNÄS</t>
        </is>
      </c>
      <c r="I3845" t="n">
        <v>1.3</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6832-2026</t>
        </is>
      </c>
      <c r="B3846" t="inlineStr">
        <is>
          <t>avverkningsanmälan</t>
        </is>
      </c>
      <c r="C3846" t="inlineStr">
        <is>
          <t>Föryngringsavverkning</t>
        </is>
      </c>
      <c r="D3846" s="1" t="n">
        <v>46057</v>
      </c>
      <c r="E3846" s="1" t="n">
        <v>46326</v>
      </c>
      <c r="F3846" t="inlineStr">
        <is>
          <t>GÄVLEBORGS LÄN</t>
        </is>
      </c>
      <c r="G3846" t="inlineStr">
        <is>
          <t>HUDIKSVALL</t>
        </is>
      </c>
      <c r="I3846" t="n">
        <v>1.4</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6849-2026</t>
        </is>
      </c>
      <c r="B3847" t="inlineStr">
        <is>
          <t>avverkningsanmälan</t>
        </is>
      </c>
      <c r="C3847" t="inlineStr">
        <is>
          <t>Föryngringsavverkning</t>
        </is>
      </c>
      <c r="D3847" s="1" t="n">
        <v>46057</v>
      </c>
      <c r="E3847" s="1" t="n">
        <v>46326</v>
      </c>
      <c r="F3847" t="inlineStr">
        <is>
          <t>GÄVLEBORGS LÄN</t>
        </is>
      </c>
      <c r="G3847" t="inlineStr">
        <is>
          <t>HUDIKSVALL</t>
        </is>
      </c>
      <c r="H3847" t="inlineStr">
        <is>
          <t>Naturvårdsverket</t>
        </is>
      </c>
      <c r="I3847" t="n">
        <v>1.8</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6840-2026</t>
        </is>
      </c>
      <c r="B3848" t="inlineStr">
        <is>
          <t>avverkningsanmälan</t>
        </is>
      </c>
      <c r="C3848" t="inlineStr">
        <is>
          <t>Föryngringsavverkning</t>
        </is>
      </c>
      <c r="D3848" s="1" t="n">
        <v>46057</v>
      </c>
      <c r="E3848" s="1" t="n">
        <v>46326</v>
      </c>
      <c r="F3848" t="inlineStr">
        <is>
          <t>GÄVLEBORGS LÄN</t>
        </is>
      </c>
      <c r="G3848" t="inlineStr">
        <is>
          <t>NORDANSTIG</t>
        </is>
      </c>
      <c r="I3848" t="n">
        <v>0.5</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6927-2026</t>
        </is>
      </c>
      <c r="B3849" t="inlineStr">
        <is>
          <t>avverkningsanmälan</t>
        </is>
      </c>
      <c r="C3849" t="inlineStr">
        <is>
          <t>Föryngringsavverkning</t>
        </is>
      </c>
      <c r="D3849" s="1" t="n">
        <v>46057</v>
      </c>
      <c r="E3849" s="1" t="n">
        <v>46326</v>
      </c>
      <c r="F3849" t="inlineStr">
        <is>
          <t>GÄVLEBORGS LÄN</t>
        </is>
      </c>
      <c r="G3849" t="inlineStr">
        <is>
          <t>LJUSDAL</t>
        </is>
      </c>
      <c r="I3849" t="n">
        <v>0.5</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6643-2026</t>
        </is>
      </c>
      <c r="B3850" t="inlineStr">
        <is>
          <t>avverkningsanmälan</t>
        </is>
      </c>
      <c r="C3850" t="inlineStr">
        <is>
          <t>Föryngringsavverkning</t>
        </is>
      </c>
      <c r="D3850" s="1" t="n">
        <v>46056</v>
      </c>
      <c r="E3850" s="1" t="n">
        <v>46326</v>
      </c>
      <c r="F3850" t="inlineStr">
        <is>
          <t>GÄVLEBORGS LÄN</t>
        </is>
      </c>
      <c r="G3850" t="inlineStr">
        <is>
          <t>BOLLNÄS</t>
        </is>
      </c>
      <c r="I3850" t="n">
        <v>18</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6920-2026</t>
        </is>
      </c>
      <c r="B3851" t="inlineStr">
        <is>
          <t>avverkningsanmälan</t>
        </is>
      </c>
      <c r="C3851" t="inlineStr">
        <is>
          <t>Föryngringsavverkning</t>
        </is>
      </c>
      <c r="D3851" s="1" t="n">
        <v>46057</v>
      </c>
      <c r="E3851" s="1" t="n">
        <v>46326</v>
      </c>
      <c r="F3851" t="inlineStr">
        <is>
          <t>GÄVLEBORGS LÄN</t>
        </is>
      </c>
      <c r="G3851" t="inlineStr">
        <is>
          <t>BOLLNÄS</t>
        </is>
      </c>
      <c r="I3851" t="n">
        <v>1.1</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6436-2026</t>
        </is>
      </c>
      <c r="B3852" t="inlineStr">
        <is>
          <t>avverkningsanmälan</t>
        </is>
      </c>
      <c r="C3852" t="inlineStr">
        <is>
          <t>Föryngringsavverkning</t>
        </is>
      </c>
      <c r="D3852" s="1" t="n">
        <v>46055</v>
      </c>
      <c r="E3852" s="1" t="n">
        <v>46326</v>
      </c>
      <c r="F3852" t="inlineStr">
        <is>
          <t>GÄVLEBORGS LÄN</t>
        </is>
      </c>
      <c r="G3852" t="inlineStr">
        <is>
          <t>BOLLNÄS</t>
        </is>
      </c>
      <c r="I3852" t="n">
        <v>0.5</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6438-2026</t>
        </is>
      </c>
      <c r="B3853" t="inlineStr">
        <is>
          <t>avverkningsanmälan</t>
        </is>
      </c>
      <c r="C3853" t="inlineStr">
        <is>
          <t>Föryngringsavverkning</t>
        </is>
      </c>
      <c r="D3853" s="1" t="n">
        <v>46055</v>
      </c>
      <c r="E3853" s="1" t="n">
        <v>46326</v>
      </c>
      <c r="F3853" t="inlineStr">
        <is>
          <t>GÄVLEBORGS LÄN</t>
        </is>
      </c>
      <c r="G3853" t="inlineStr">
        <is>
          <t>BOLLNÄS</t>
        </is>
      </c>
      <c r="H3853" t="inlineStr">
        <is>
          <t>Kyrkan</t>
        </is>
      </c>
      <c r="I3853" t="n">
        <v>0.8</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37693-2024</t>
        </is>
      </c>
      <c r="B3854" t="inlineStr">
        <is>
          <t>avverkningsanmälan</t>
        </is>
      </c>
      <c r="C3854" t="inlineStr">
        <is>
          <t>Föryngringsavverkning</t>
        </is>
      </c>
      <c r="D3854" s="1" t="n">
        <v>45541</v>
      </c>
      <c r="E3854" s="1" t="n">
        <v>46326</v>
      </c>
      <c r="F3854" t="inlineStr">
        <is>
          <t>GÄVLEBORGS LÄN</t>
        </is>
      </c>
      <c r="G3854" t="inlineStr">
        <is>
          <t>HUDIKSVALL</t>
        </is>
      </c>
      <c r="H3854" t="inlineStr">
        <is>
          <t>Kommuner</t>
        </is>
      </c>
      <c r="I3854" t="n">
        <v>2.6</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37725-2025</t>
        </is>
      </c>
      <c r="B3855" t="inlineStr">
        <is>
          <t>avverkningsanmälan</t>
        </is>
      </c>
      <c r="C3855" t="inlineStr">
        <is>
          <t>Föryngringsavverkning</t>
        </is>
      </c>
      <c r="D3855" s="1" t="n">
        <v>45880</v>
      </c>
      <c r="E3855" s="1" t="n">
        <v>46326</v>
      </c>
      <c r="F3855" t="inlineStr">
        <is>
          <t>GÄVLEBORGS LÄN</t>
        </is>
      </c>
      <c r="G3855" t="inlineStr">
        <is>
          <t>HUDIKSVALL</t>
        </is>
      </c>
      <c r="I3855" t="n">
        <v>2.3</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6826-2026</t>
        </is>
      </c>
      <c r="B3856" t="inlineStr">
        <is>
          <t>avverkningsanmälan</t>
        </is>
      </c>
      <c r="C3856" t="inlineStr">
        <is>
          <t>Föryngringsavverkning</t>
        </is>
      </c>
      <c r="D3856" s="1" t="n">
        <v>46057</v>
      </c>
      <c r="E3856" s="1" t="n">
        <v>46326</v>
      </c>
      <c r="F3856" t="inlineStr">
        <is>
          <t>GÄVLEBORGS LÄN</t>
        </is>
      </c>
      <c r="G3856" t="inlineStr">
        <is>
          <t>HUDIKSVALL</t>
        </is>
      </c>
      <c r="I3856" t="n">
        <v>1.1</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6859-2026</t>
        </is>
      </c>
      <c r="B3857" t="inlineStr">
        <is>
          <t>avverkningsanmälan</t>
        </is>
      </c>
      <c r="C3857" t="inlineStr">
        <is>
          <t>Föryngringsavverkning</t>
        </is>
      </c>
      <c r="D3857" s="1" t="n">
        <v>46057</v>
      </c>
      <c r="E3857" s="1" t="n">
        <v>46326</v>
      </c>
      <c r="F3857" t="inlineStr">
        <is>
          <t>GÄVLEBORGS LÄN</t>
        </is>
      </c>
      <c r="G3857" t="inlineStr">
        <is>
          <t>NORDANSTIG</t>
        </is>
      </c>
      <c r="I3857" t="n">
        <v>0.8</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6917-2026</t>
        </is>
      </c>
      <c r="B3858" t="inlineStr">
        <is>
          <t>avverkningsanmälan</t>
        </is>
      </c>
      <c r="C3858" t="inlineStr">
        <is>
          <t>Föryngringsavverkning</t>
        </is>
      </c>
      <c r="D3858" s="1" t="n">
        <v>46057</v>
      </c>
      <c r="E3858" s="1" t="n">
        <v>46326</v>
      </c>
      <c r="F3858" t="inlineStr">
        <is>
          <t>GÄVLEBORGS LÄN</t>
        </is>
      </c>
      <c r="G3858" t="inlineStr">
        <is>
          <t>BOLLNÄS</t>
        </is>
      </c>
      <c r="I3858" t="n">
        <v>3</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47395-2025</t>
        </is>
      </c>
      <c r="B3859" t="inlineStr">
        <is>
          <t>avverkningsanmälan</t>
        </is>
      </c>
      <c r="C3859" t="inlineStr">
        <is>
          <t>Föryngringsavverkning</t>
        </is>
      </c>
      <c r="D3859" s="1" t="n">
        <v>45930</v>
      </c>
      <c r="E3859" s="1" t="n">
        <v>46326</v>
      </c>
      <c r="F3859" t="inlineStr">
        <is>
          <t>GÄVLEBORGS LÄN</t>
        </is>
      </c>
      <c r="G3859" t="inlineStr">
        <is>
          <t>SANDVIKEN</t>
        </is>
      </c>
      <c r="I3859" t="n">
        <v>2.4</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47398-2025</t>
        </is>
      </c>
      <c r="B3860" t="inlineStr">
        <is>
          <t>avverkningsanmälan</t>
        </is>
      </c>
      <c r="C3860" t="inlineStr">
        <is>
          <t>Föryngringsavverkning</t>
        </is>
      </c>
      <c r="D3860" s="1" t="n">
        <v>45930</v>
      </c>
      <c r="E3860" s="1" t="n">
        <v>46326</v>
      </c>
      <c r="F3860" t="inlineStr">
        <is>
          <t>GÄVLEBORGS LÄN</t>
        </is>
      </c>
      <c r="G3860" t="inlineStr">
        <is>
          <t>SANDVIKEN</t>
        </is>
      </c>
      <c r="I3860" t="n">
        <v>2.2</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3694-2026</t>
        </is>
      </c>
      <c r="B3861" t="inlineStr">
        <is>
          <t>avverkningsanmälan</t>
        </is>
      </c>
      <c r="C3861" t="inlineStr">
        <is>
          <t>Föryngringsavverkning</t>
        </is>
      </c>
      <c r="D3861" s="1" t="n">
        <v>46043</v>
      </c>
      <c r="E3861" s="1" t="n">
        <v>46326</v>
      </c>
      <c r="F3861" t="inlineStr">
        <is>
          <t>GÄVLEBORGS LÄN</t>
        </is>
      </c>
      <c r="G3861" t="inlineStr">
        <is>
          <t>SANDVIKEN</t>
        </is>
      </c>
      <c r="I3861" t="n">
        <v>1.2</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6571-2026</t>
        </is>
      </c>
      <c r="B3862" t="inlineStr">
        <is>
          <t>avverkningsanmälan</t>
        </is>
      </c>
      <c r="C3862" t="inlineStr">
        <is>
          <t>Föryngringsavverkning</t>
        </is>
      </c>
      <c r="D3862" s="1" t="n">
        <v>46056</v>
      </c>
      <c r="E3862" s="1" t="n">
        <v>46326</v>
      </c>
      <c r="F3862" t="inlineStr">
        <is>
          <t>GÄVLEBORGS LÄN</t>
        </is>
      </c>
      <c r="G3862" t="inlineStr">
        <is>
          <t>BOLLNÄS</t>
        </is>
      </c>
      <c r="I3862" t="n">
        <v>0.8</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6441-2026</t>
        </is>
      </c>
      <c r="B3863" t="inlineStr">
        <is>
          <t>avverkningsanmälan</t>
        </is>
      </c>
      <c r="C3863" t="inlineStr">
        <is>
          <t>Föryngringsavverkning</t>
        </is>
      </c>
      <c r="D3863" s="1" t="n">
        <v>46055</v>
      </c>
      <c r="E3863" s="1" t="n">
        <v>46326</v>
      </c>
      <c r="F3863" t="inlineStr">
        <is>
          <t>GÄVLEBORGS LÄN</t>
        </is>
      </c>
      <c r="G3863" t="inlineStr">
        <is>
          <t>BOLLNÄS</t>
        </is>
      </c>
      <c r="I3863" t="n">
        <v>3.9</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6461-2026</t>
        </is>
      </c>
      <c r="B3864" t="inlineStr">
        <is>
          <t>avverkningsanmälan</t>
        </is>
      </c>
      <c r="C3864" t="inlineStr">
        <is>
          <t>Föryngringsavverkning</t>
        </is>
      </c>
      <c r="D3864" s="1" t="n">
        <v>46056</v>
      </c>
      <c r="E3864" s="1" t="n">
        <v>46326</v>
      </c>
      <c r="F3864" t="inlineStr">
        <is>
          <t>GÄVLEBORGS LÄN</t>
        </is>
      </c>
      <c r="G3864" t="inlineStr">
        <is>
          <t>BOLLNÄS</t>
        </is>
      </c>
      <c r="H3864" t="inlineStr">
        <is>
          <t>Kyrkan</t>
        </is>
      </c>
      <c r="I3864" t="n">
        <v>5.9</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6488-2026</t>
        </is>
      </c>
      <c r="B3865" t="inlineStr">
        <is>
          <t>avverkningsanmälan</t>
        </is>
      </c>
      <c r="C3865" t="inlineStr">
        <is>
          <t>Föryngringsavverkning</t>
        </is>
      </c>
      <c r="D3865" s="1" t="n">
        <v>46056</v>
      </c>
      <c r="E3865" s="1" t="n">
        <v>46326</v>
      </c>
      <c r="F3865" t="inlineStr">
        <is>
          <t>GÄVLEBORGS LÄN</t>
        </is>
      </c>
      <c r="G3865" t="inlineStr">
        <is>
          <t>HUDIKSVALL</t>
        </is>
      </c>
      <c r="I3865" t="n">
        <v>0.3</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6528-2026</t>
        </is>
      </c>
      <c r="B3866" t="inlineStr">
        <is>
          <t>avverkningsanmälan</t>
        </is>
      </c>
      <c r="C3866" t="inlineStr">
        <is>
          <t>Föryngringsavverkning</t>
        </is>
      </c>
      <c r="D3866" s="1" t="n">
        <v>46056</v>
      </c>
      <c r="E3866" s="1" t="n">
        <v>46326</v>
      </c>
      <c r="F3866" t="inlineStr">
        <is>
          <t>GÄVLEBORGS LÄN</t>
        </is>
      </c>
      <c r="G3866" t="inlineStr">
        <is>
          <t>BOLLNÄS</t>
        </is>
      </c>
      <c r="I3866" t="n">
        <v>0.6</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6698-2026</t>
        </is>
      </c>
      <c r="B3867" t="inlineStr">
        <is>
          <t>avverkningsanmälan</t>
        </is>
      </c>
      <c r="C3867" t="inlineStr">
        <is>
          <t>Föryngringsavverkning</t>
        </is>
      </c>
      <c r="D3867" s="1" t="n">
        <v>46056</v>
      </c>
      <c r="E3867" s="1" t="n">
        <v>46326</v>
      </c>
      <c r="F3867" t="inlineStr">
        <is>
          <t>GÄVLEBORGS LÄN</t>
        </is>
      </c>
      <c r="G3867" t="inlineStr">
        <is>
          <t>OCKELBO</t>
        </is>
      </c>
      <c r="I3867" t="n">
        <v>1.3</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6710-2026</t>
        </is>
      </c>
      <c r="B3868" t="inlineStr">
        <is>
          <t>avverkningsanmälan</t>
        </is>
      </c>
      <c r="C3868" t="inlineStr">
        <is>
          <t>Föryngringsavverkning</t>
        </is>
      </c>
      <c r="D3868" s="1" t="n">
        <v>46056</v>
      </c>
      <c r="E3868" s="1" t="n">
        <v>46326</v>
      </c>
      <c r="F3868" t="inlineStr">
        <is>
          <t>GÄVLEBORGS LÄN</t>
        </is>
      </c>
      <c r="G3868" t="inlineStr">
        <is>
          <t>OCKELBO</t>
        </is>
      </c>
      <c r="I3868" t="n">
        <v>4.3</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37987-2025</t>
        </is>
      </c>
      <c r="B3869" t="inlineStr">
        <is>
          <t>avverkningsanmälan</t>
        </is>
      </c>
      <c r="C3869" t="inlineStr">
        <is>
          <t>Föryngringsavverkning</t>
        </is>
      </c>
      <c r="D3869" s="1" t="n">
        <v>45881</v>
      </c>
      <c r="E3869" s="1" t="n">
        <v>46326</v>
      </c>
      <c r="F3869" t="inlineStr">
        <is>
          <t>GÄVLEBORGS LÄN</t>
        </is>
      </c>
      <c r="G3869" t="inlineStr">
        <is>
          <t>BOLLNÄS</t>
        </is>
      </c>
      <c r="I3869" t="n">
        <v>5.6</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38240-2024</t>
        </is>
      </c>
      <c r="B3870" t="inlineStr">
        <is>
          <t>avverkningsanmälan</t>
        </is>
      </c>
      <c r="C3870" t="inlineStr">
        <is>
          <t>Föryngringsavverkning</t>
        </is>
      </c>
      <c r="D3870" s="1" t="n">
        <v>45545</v>
      </c>
      <c r="E3870" s="1" t="n">
        <v>46326</v>
      </c>
      <c r="F3870" t="inlineStr">
        <is>
          <t>GÄVLEBORGS LÄN</t>
        </is>
      </c>
      <c r="G3870" t="inlineStr">
        <is>
          <t>GÄVLE</t>
        </is>
      </c>
      <c r="H3870" t="inlineStr">
        <is>
          <t>Bergvik skog väst AB</t>
        </is>
      </c>
      <c r="I3870" t="n">
        <v>2.4</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37531-2025</t>
        </is>
      </c>
      <c r="B3871" t="inlineStr">
        <is>
          <t>avverkningsanmälan</t>
        </is>
      </c>
      <c r="C3871" t="inlineStr">
        <is>
          <t>Föryngringsavverkning</t>
        </is>
      </c>
      <c r="D3871" s="1" t="n">
        <v>45878</v>
      </c>
      <c r="E3871" s="1" t="n">
        <v>46326</v>
      </c>
      <c r="F3871" t="inlineStr">
        <is>
          <t>GÄVLEBORGS LÄN</t>
        </is>
      </c>
      <c r="G3871" t="inlineStr">
        <is>
          <t>OVANÅKER</t>
        </is>
      </c>
      <c r="I3871" t="n">
        <v>1.1</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37538-2025</t>
        </is>
      </c>
      <c r="B3872" t="inlineStr">
        <is>
          <t>avverkningsanmälan</t>
        </is>
      </c>
      <c r="C3872" t="inlineStr">
        <is>
          <t>Föryngringsavverkning</t>
        </is>
      </c>
      <c r="D3872" s="1" t="n">
        <v>45879</v>
      </c>
      <c r="E3872" s="1" t="n">
        <v>46326</v>
      </c>
      <c r="F3872" t="inlineStr">
        <is>
          <t>GÄVLEBORGS LÄN</t>
        </is>
      </c>
      <c r="G3872" t="inlineStr">
        <is>
          <t>SÖDERHAMN</t>
        </is>
      </c>
      <c r="I3872" t="n">
        <v>3.3</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37701-2025</t>
        </is>
      </c>
      <c r="B3873" t="inlineStr">
        <is>
          <t>avverkningsanmälan</t>
        </is>
      </c>
      <c r="C3873" t="inlineStr">
        <is>
          <t>Avverkning för annat ändamål</t>
        </is>
      </c>
      <c r="D3873" s="1" t="n">
        <v>45880</v>
      </c>
      <c r="E3873" s="1" t="n">
        <v>46326</v>
      </c>
      <c r="F3873" t="inlineStr">
        <is>
          <t>GÄVLEBORGS LÄN</t>
        </is>
      </c>
      <c r="G3873" t="inlineStr">
        <is>
          <t>HUDIKSVALL</t>
        </is>
      </c>
      <c r="I3873" t="n">
        <v>0.4</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6853-2026</t>
        </is>
      </c>
      <c r="B3874" t="inlineStr">
        <is>
          <t>avverkningsanmälan</t>
        </is>
      </c>
      <c r="C3874" t="inlineStr">
        <is>
          <t>Föryngringsavverkning</t>
        </is>
      </c>
      <c r="D3874" s="1" t="n">
        <v>46057</v>
      </c>
      <c r="E3874" s="1" t="n">
        <v>46326</v>
      </c>
      <c r="F3874" t="inlineStr">
        <is>
          <t>GÄVLEBORGS LÄN</t>
        </is>
      </c>
      <c r="G3874" t="inlineStr">
        <is>
          <t>BOLLNÄS</t>
        </is>
      </c>
      <c r="H3874" t="inlineStr">
        <is>
          <t>Bergvik skog väst AB</t>
        </is>
      </c>
      <c r="I3874" t="n">
        <v>1.7</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6492-2026</t>
        </is>
      </c>
      <c r="B3875" t="inlineStr">
        <is>
          <t>avverkningsanmälan</t>
        </is>
      </c>
      <c r="C3875" t="inlineStr">
        <is>
          <t>Föryngringsavverkning</t>
        </is>
      </c>
      <c r="D3875" s="1" t="n">
        <v>46056</v>
      </c>
      <c r="E3875" s="1" t="n">
        <v>46326</v>
      </c>
      <c r="F3875" t="inlineStr">
        <is>
          <t>GÄVLEBORGS LÄN</t>
        </is>
      </c>
      <c r="G3875" t="inlineStr">
        <is>
          <t>BOLLNÄS</t>
        </is>
      </c>
      <c r="I3875" t="n">
        <v>3.7</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6913-2026</t>
        </is>
      </c>
      <c r="B3876" t="inlineStr">
        <is>
          <t>avverkningsanmälan</t>
        </is>
      </c>
      <c r="C3876" t="inlineStr">
        <is>
          <t>Föryngringsavverkning</t>
        </is>
      </c>
      <c r="D3876" s="1" t="n">
        <v>46057</v>
      </c>
      <c r="E3876" s="1" t="n">
        <v>46326</v>
      </c>
      <c r="F3876" t="inlineStr">
        <is>
          <t>GÄVLEBORGS LÄN</t>
        </is>
      </c>
      <c r="G3876" t="inlineStr">
        <is>
          <t>OVANÅKER</t>
        </is>
      </c>
      <c r="I3876" t="n">
        <v>4.6</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50552-2025</t>
        </is>
      </c>
      <c r="B3877" t="inlineStr">
        <is>
          <t>avverkningsanmälan</t>
        </is>
      </c>
      <c r="C3877" t="inlineStr">
        <is>
          <t>Föryngringsavverkning</t>
        </is>
      </c>
      <c r="D3877" s="1" t="n">
        <v>45945</v>
      </c>
      <c r="E3877" s="1" t="n">
        <v>46326</v>
      </c>
      <c r="F3877" t="inlineStr">
        <is>
          <t>GÄVLEBORGS LÄN</t>
        </is>
      </c>
      <c r="G3877" t="inlineStr">
        <is>
          <t>SANDVIKEN</t>
        </is>
      </c>
      <c r="I3877" t="n">
        <v>5</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4704-2025</t>
        </is>
      </c>
      <c r="B3878" t="inlineStr">
        <is>
          <t>avverkningsanmälan</t>
        </is>
      </c>
      <c r="C3878" t="inlineStr">
        <is>
          <t>Föryngringsavverkning</t>
        </is>
      </c>
      <c r="D3878" s="1" t="n">
        <v>45688</v>
      </c>
      <c r="E3878" s="1" t="n">
        <v>46326</v>
      </c>
      <c r="F3878" t="inlineStr">
        <is>
          <t>GÄVLEBORGS LÄN</t>
        </is>
      </c>
      <c r="G3878" t="inlineStr">
        <is>
          <t>OVANÅKER</t>
        </is>
      </c>
      <c r="I3878" t="n">
        <v>5.6</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9964-2025</t>
        </is>
      </c>
      <c r="B3879" t="inlineStr">
        <is>
          <t>avverkningsanmälan</t>
        </is>
      </c>
      <c r="C3879" t="inlineStr">
        <is>
          <t>Föryngringsavverkning</t>
        </is>
      </c>
      <c r="D3879" s="1" t="n">
        <v>45719</v>
      </c>
      <c r="E3879" s="1" t="n">
        <v>46326</v>
      </c>
      <c r="F3879" t="inlineStr">
        <is>
          <t>GÄVLEBORGS LÄN</t>
        </is>
      </c>
      <c r="G3879" t="inlineStr">
        <is>
          <t>OCKELBO</t>
        </is>
      </c>
      <c r="H3879" t="inlineStr">
        <is>
          <t>Bergvik skog öst AB</t>
        </is>
      </c>
      <c r="I3879" t="n">
        <v>0.9</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50310-2025</t>
        </is>
      </c>
      <c r="B3880" t="inlineStr">
        <is>
          <t>avverkningsanmälan</t>
        </is>
      </c>
      <c r="C3880" t="inlineStr">
        <is>
          <t>Föryngringsavverkning</t>
        </is>
      </c>
      <c r="D3880" s="1" t="n">
        <v>45944</v>
      </c>
      <c r="E3880" s="1" t="n">
        <v>46326</v>
      </c>
      <c r="F3880" t="inlineStr">
        <is>
          <t>GÄVLEBORGS LÄN</t>
        </is>
      </c>
      <c r="G3880" t="inlineStr">
        <is>
          <t>LJUSDAL</t>
        </is>
      </c>
      <c r="H3880" t="inlineStr">
        <is>
          <t>Bergvik skog väst AB</t>
        </is>
      </c>
      <c r="I3880" t="n">
        <v>7.6</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37540-2025</t>
        </is>
      </c>
      <c r="B3881" t="inlineStr">
        <is>
          <t>avverkningsanmälan</t>
        </is>
      </c>
      <c r="C3881" t="inlineStr">
        <is>
          <t>Föryngringsavverkning</t>
        </is>
      </c>
      <c r="D3881" s="1" t="n">
        <v>45879</v>
      </c>
      <c r="E3881" s="1" t="n">
        <v>46326</v>
      </c>
      <c r="F3881" t="inlineStr">
        <is>
          <t>GÄVLEBORGS LÄN</t>
        </is>
      </c>
      <c r="G3881" t="inlineStr">
        <is>
          <t>OVANÅKER</t>
        </is>
      </c>
      <c r="I3881" t="n">
        <v>0.9</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6755-2026</t>
        </is>
      </c>
      <c r="B3882" t="inlineStr">
        <is>
          <t>avverkningsanmälan</t>
        </is>
      </c>
      <c r="C3882" t="inlineStr">
        <is>
          <t>Föryngringsavverkning</t>
        </is>
      </c>
      <c r="D3882" s="1" t="n">
        <v>46056</v>
      </c>
      <c r="E3882" s="1" t="n">
        <v>46326</v>
      </c>
      <c r="F3882" t="inlineStr">
        <is>
          <t>GÄVLEBORGS LÄN</t>
        </is>
      </c>
      <c r="G3882" t="inlineStr">
        <is>
          <t>HUDIKSVALL</t>
        </is>
      </c>
      <c r="H3882" t="inlineStr">
        <is>
          <t>Holmen skog AB</t>
        </is>
      </c>
      <c r="I3882" t="n">
        <v>1.9</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6760-2026</t>
        </is>
      </c>
      <c r="B3883" t="inlineStr">
        <is>
          <t>avverkningsanmälan</t>
        </is>
      </c>
      <c r="C3883" t="inlineStr">
        <is>
          <t>Föryngringsavverkning</t>
        </is>
      </c>
      <c r="D3883" s="1" t="n">
        <v>46056</v>
      </c>
      <c r="E3883" s="1" t="n">
        <v>46326</v>
      </c>
      <c r="F3883" t="inlineStr">
        <is>
          <t>GÄVLEBORGS LÄN</t>
        </is>
      </c>
      <c r="G3883" t="inlineStr">
        <is>
          <t>BOLLNÄS</t>
        </is>
      </c>
      <c r="I3883" t="n">
        <v>9.4</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6433-2026</t>
        </is>
      </c>
      <c r="B3884" t="inlineStr">
        <is>
          <t>avverkningsanmälan</t>
        </is>
      </c>
      <c r="C3884" t="inlineStr">
        <is>
          <t>Föryngringsavverkning</t>
        </is>
      </c>
      <c r="D3884" s="1" t="n">
        <v>46055</v>
      </c>
      <c r="E3884" s="1" t="n">
        <v>46326</v>
      </c>
      <c r="F3884" t="inlineStr">
        <is>
          <t>GÄVLEBORGS LÄN</t>
        </is>
      </c>
      <c r="G3884" t="inlineStr">
        <is>
          <t>BOLLNÄS</t>
        </is>
      </c>
      <c r="I3884" t="n">
        <v>0.7</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6480-2026</t>
        </is>
      </c>
      <c r="B3885" t="inlineStr">
        <is>
          <t>avverkningsanmälan</t>
        </is>
      </c>
      <c r="C3885" t="inlineStr">
        <is>
          <t>Föryngringsavverkning</t>
        </is>
      </c>
      <c r="D3885" s="1" t="n">
        <v>46056</v>
      </c>
      <c r="E3885" s="1" t="n">
        <v>46326</v>
      </c>
      <c r="F3885" t="inlineStr">
        <is>
          <t>GÄVLEBORGS LÄN</t>
        </is>
      </c>
      <c r="G3885" t="inlineStr">
        <is>
          <t>SANDVIKEN</t>
        </is>
      </c>
      <c r="I3885" t="n">
        <v>0.7</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6482-2026</t>
        </is>
      </c>
      <c r="B3886" t="inlineStr">
        <is>
          <t>avverkningsanmälan</t>
        </is>
      </c>
      <c r="C3886" t="inlineStr">
        <is>
          <t>Föryngringsavverkning</t>
        </is>
      </c>
      <c r="D3886" s="1" t="n">
        <v>46056</v>
      </c>
      <c r="E3886" s="1" t="n">
        <v>46326</v>
      </c>
      <c r="F3886" t="inlineStr">
        <is>
          <t>GÄVLEBORGS LÄN</t>
        </is>
      </c>
      <c r="G3886" t="inlineStr">
        <is>
          <t>BOLLNÄS</t>
        </is>
      </c>
      <c r="I3886" t="n">
        <v>1.6</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6487-2026</t>
        </is>
      </c>
      <c r="B3887" t="inlineStr">
        <is>
          <t>avverkningsanmälan</t>
        </is>
      </c>
      <c r="C3887" t="inlineStr">
        <is>
          <t>Föryngringsavverkning</t>
        </is>
      </c>
      <c r="D3887" s="1" t="n">
        <v>46056</v>
      </c>
      <c r="E3887" s="1" t="n">
        <v>46326</v>
      </c>
      <c r="F3887" t="inlineStr">
        <is>
          <t>GÄVLEBORGS LÄN</t>
        </is>
      </c>
      <c r="G3887" t="inlineStr">
        <is>
          <t>HUDIKSVALL</t>
        </is>
      </c>
      <c r="I3887" t="n">
        <v>0.6</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6699-2026</t>
        </is>
      </c>
      <c r="B3888" t="inlineStr">
        <is>
          <t>avverkningsanmälan</t>
        </is>
      </c>
      <c r="C3888" t="inlineStr">
        <is>
          <t>Föryngringsavverkning</t>
        </is>
      </c>
      <c r="D3888" s="1" t="n">
        <v>46056</v>
      </c>
      <c r="E3888" s="1" t="n">
        <v>46326</v>
      </c>
      <c r="F3888" t="inlineStr">
        <is>
          <t>GÄVLEBORGS LÄN</t>
        </is>
      </c>
      <c r="G3888" t="inlineStr">
        <is>
          <t>LJUSDAL</t>
        </is>
      </c>
      <c r="I3888" t="n">
        <v>5.4</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6721-2026</t>
        </is>
      </c>
      <c r="B3889" t="inlineStr">
        <is>
          <t>avverkningsanmälan</t>
        </is>
      </c>
      <c r="C3889" t="inlineStr">
        <is>
          <t>Föryngringsavverkning</t>
        </is>
      </c>
      <c r="D3889" s="1" t="n">
        <v>46056</v>
      </c>
      <c r="E3889" s="1" t="n">
        <v>46326</v>
      </c>
      <c r="F3889" t="inlineStr">
        <is>
          <t>GÄVLEBORGS LÄN</t>
        </is>
      </c>
      <c r="G3889" t="inlineStr">
        <is>
          <t>HUDIKSVALL</t>
        </is>
      </c>
      <c r="I3889" t="n">
        <v>0.3</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6735-2026</t>
        </is>
      </c>
      <c r="B3890" t="inlineStr">
        <is>
          <t>avverkningsanmälan</t>
        </is>
      </c>
      <c r="C3890" t="inlineStr">
        <is>
          <t>Föryngringsavverkning</t>
        </is>
      </c>
      <c r="D3890" s="1" t="n">
        <v>46056</v>
      </c>
      <c r="E3890" s="1" t="n">
        <v>46326</v>
      </c>
      <c r="F3890" t="inlineStr">
        <is>
          <t>GÄVLEBORGS LÄN</t>
        </is>
      </c>
      <c r="G3890" t="inlineStr">
        <is>
          <t>OVANÅKER</t>
        </is>
      </c>
      <c r="I3890" t="n">
        <v>0.9</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18162-2022</t>
        </is>
      </c>
      <c r="B3891" t="inlineStr">
        <is>
          <t>avverkningsanmälan</t>
        </is>
      </c>
      <c r="C3891" t="inlineStr">
        <is>
          <t>Föryngringsavverkning</t>
        </is>
      </c>
      <c r="D3891" s="1" t="n">
        <v>44684</v>
      </c>
      <c r="E3891" s="1" t="n">
        <v>46326</v>
      </c>
      <c r="F3891" t="inlineStr">
        <is>
          <t>GÄVLEBORGS LÄN</t>
        </is>
      </c>
      <c r="G3891" t="inlineStr">
        <is>
          <t>GÄVLE</t>
        </is>
      </c>
      <c r="H3891" t="inlineStr">
        <is>
          <t>Bergvik skog väst AB</t>
        </is>
      </c>
      <c r="I3891" t="n">
        <v>2</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43538-2023</t>
        </is>
      </c>
      <c r="B3892" t="inlineStr">
        <is>
          <t>avverkningsanmälan</t>
        </is>
      </c>
      <c r="C3892" t="inlineStr">
        <is>
          <t>Föryngringsavverkning</t>
        </is>
      </c>
      <c r="D3892" s="1" t="n">
        <v>45184</v>
      </c>
      <c r="E3892" s="1" t="n">
        <v>46326</v>
      </c>
      <c r="F3892" t="inlineStr">
        <is>
          <t>GÄVLEBORGS LÄN</t>
        </is>
      </c>
      <c r="G3892" t="inlineStr">
        <is>
          <t>OCKELBO</t>
        </is>
      </c>
      <c r="H3892" t="inlineStr">
        <is>
          <t>Bergvik skog väst AB</t>
        </is>
      </c>
      <c r="I3892" t="n">
        <v>3.3</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37848-2025</t>
        </is>
      </c>
      <c r="B3893" t="inlineStr">
        <is>
          <t>avverkningsanmälan</t>
        </is>
      </c>
      <c r="C3893" t="inlineStr">
        <is>
          <t>Avverkning för annat ändamål</t>
        </is>
      </c>
      <c r="D3893" s="1" t="n">
        <v>45881</v>
      </c>
      <c r="E3893" s="1" t="n">
        <v>46326</v>
      </c>
      <c r="F3893" t="inlineStr">
        <is>
          <t>GÄVLEBORGS LÄN</t>
        </is>
      </c>
      <c r="G3893" t="inlineStr">
        <is>
          <t>NORDANSTIG</t>
        </is>
      </c>
      <c r="I3893" t="n">
        <v>0.3</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57044-2022</t>
        </is>
      </c>
      <c r="B3894" t="inlineStr">
        <is>
          <t>avverkningsanmälan</t>
        </is>
      </c>
      <c r="C3894" t="inlineStr">
        <is>
          <t>Föryngringsavverkning</t>
        </is>
      </c>
      <c r="D3894" s="1" t="n">
        <v>44895</v>
      </c>
      <c r="E3894" s="1" t="n">
        <v>46326</v>
      </c>
      <c r="F3894" t="inlineStr">
        <is>
          <t>GÄVLEBORGS LÄN</t>
        </is>
      </c>
      <c r="G3894" t="inlineStr">
        <is>
          <t>SÖDERHAMN</t>
        </is>
      </c>
      <c r="I3894" t="n">
        <v>2</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30842-2024</t>
        </is>
      </c>
      <c r="B3895" t="inlineStr">
        <is>
          <t>avverkningsanmälan</t>
        </is>
      </c>
      <c r="C3895" t="inlineStr">
        <is>
          <t>Föryngringsavverkning</t>
        </is>
      </c>
      <c r="D3895" s="1" t="n">
        <v>45497</v>
      </c>
      <c r="E3895" s="1" t="n">
        <v>46326</v>
      </c>
      <c r="F3895" t="inlineStr">
        <is>
          <t>GÄVLEBORGS LÄN</t>
        </is>
      </c>
      <c r="G3895" t="inlineStr">
        <is>
          <t>NORDANSTIG</t>
        </is>
      </c>
      <c r="H3895" t="inlineStr">
        <is>
          <t>Holmen skog AB</t>
        </is>
      </c>
      <c r="I3895" t="n">
        <v>6.9</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37903-2025</t>
        </is>
      </c>
      <c r="B3896" t="inlineStr">
        <is>
          <t>avverkningsanmälan</t>
        </is>
      </c>
      <c r="C3896" t="inlineStr">
        <is>
          <t>Föryngringsavverkning</t>
        </is>
      </c>
      <c r="D3896" s="1" t="n">
        <v>45881</v>
      </c>
      <c r="E3896" s="1" t="n">
        <v>46326</v>
      </c>
      <c r="F3896" t="inlineStr">
        <is>
          <t>GÄVLEBORGS LÄN</t>
        </is>
      </c>
      <c r="G3896" t="inlineStr">
        <is>
          <t>LJUSDAL</t>
        </is>
      </c>
      <c r="H3896" t="inlineStr">
        <is>
          <t>Bergvik skog väst AB</t>
        </is>
      </c>
      <c r="I3896" t="n">
        <v>3.9</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28005-2025</t>
        </is>
      </c>
      <c r="B3897" t="inlineStr">
        <is>
          <t>avverkningsanmälan</t>
        </is>
      </c>
      <c r="C3897" t="inlineStr">
        <is>
          <t>Föryngringsavverkning</t>
        </is>
      </c>
      <c r="D3897" s="1" t="n">
        <v>45817</v>
      </c>
      <c r="E3897" s="1" t="n">
        <v>46326</v>
      </c>
      <c r="F3897" t="inlineStr">
        <is>
          <t>GÄVLEBORGS LÄN</t>
        </is>
      </c>
      <c r="G3897" t="inlineStr">
        <is>
          <t>GÄVLE</t>
        </is>
      </c>
      <c r="I3897" t="n">
        <v>2.2</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50246-2025</t>
        </is>
      </c>
      <c r="B3898" t="inlineStr">
        <is>
          <t>avverkningsanmälan</t>
        </is>
      </c>
      <c r="C3898" t="inlineStr">
        <is>
          <t>Föryngringsavverkning</t>
        </is>
      </c>
      <c r="D3898" s="1" t="n">
        <v>45944</v>
      </c>
      <c r="E3898" s="1" t="n">
        <v>46326</v>
      </c>
      <c r="F3898" t="inlineStr">
        <is>
          <t>GÄVLEBORGS LÄN</t>
        </is>
      </c>
      <c r="G3898" t="inlineStr">
        <is>
          <t>SÖDERHAMN</t>
        </is>
      </c>
      <c r="I3898" t="n">
        <v>1.1</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50313-2025</t>
        </is>
      </c>
      <c r="B3899" t="inlineStr">
        <is>
          <t>avverkningsanmälan</t>
        </is>
      </c>
      <c r="C3899" t="inlineStr">
        <is>
          <t>Föryngringsavverkning</t>
        </is>
      </c>
      <c r="D3899" s="1" t="n">
        <v>45944</v>
      </c>
      <c r="E3899" s="1" t="n">
        <v>46326</v>
      </c>
      <c r="F3899" t="inlineStr">
        <is>
          <t>GÄVLEBORGS LÄN</t>
        </is>
      </c>
      <c r="G3899" t="inlineStr">
        <is>
          <t>HUDIKSVALL</t>
        </is>
      </c>
      <c r="I3899" t="n">
        <v>3.5</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50321-2025</t>
        </is>
      </c>
      <c r="B3900" t="inlineStr">
        <is>
          <t>avverkningsanmälan</t>
        </is>
      </c>
      <c r="C3900" t="inlineStr">
        <is>
          <t>Föryngringsavverkning</t>
        </is>
      </c>
      <c r="D3900" s="1" t="n">
        <v>45944</v>
      </c>
      <c r="E3900" s="1" t="n">
        <v>46326</v>
      </c>
      <c r="F3900" t="inlineStr">
        <is>
          <t>GÄVLEBORGS LÄN</t>
        </is>
      </c>
      <c r="G3900" t="inlineStr">
        <is>
          <t>HUDIKSVALL</t>
        </is>
      </c>
      <c r="I3900" t="n">
        <v>7.9</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37616-2025</t>
        </is>
      </c>
      <c r="B3901" t="inlineStr">
        <is>
          <t>avverkningsanmälan</t>
        </is>
      </c>
      <c r="C3901" t="inlineStr">
        <is>
          <t>Föryngringsavverkning</t>
        </is>
      </c>
      <c r="D3901" s="1" t="n">
        <v>45880</v>
      </c>
      <c r="E3901" s="1" t="n">
        <v>46326</v>
      </c>
      <c r="F3901" t="inlineStr">
        <is>
          <t>GÄVLEBORGS LÄN</t>
        </is>
      </c>
      <c r="G3901" t="inlineStr">
        <is>
          <t>HUDIKSVALL</t>
        </is>
      </c>
      <c r="I3901" t="n">
        <v>6.9</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6591-2026</t>
        </is>
      </c>
      <c r="B3902" t="inlineStr">
        <is>
          <t>avverkningsanmälan</t>
        </is>
      </c>
      <c r="C3902" t="inlineStr">
        <is>
          <t>Föryngringsavverkning</t>
        </is>
      </c>
      <c r="D3902" s="1" t="n">
        <v>46056</v>
      </c>
      <c r="E3902" s="1" t="n">
        <v>46326</v>
      </c>
      <c r="F3902" t="inlineStr">
        <is>
          <t>GÄVLEBORGS LÄN</t>
        </is>
      </c>
      <c r="G3902" t="inlineStr">
        <is>
          <t>HUDIKSVALL</t>
        </is>
      </c>
      <c r="H3902" t="inlineStr">
        <is>
          <t>Holmen skog AB</t>
        </is>
      </c>
      <c r="I3902" t="n">
        <v>3</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6854-2026</t>
        </is>
      </c>
      <c r="B3903" t="inlineStr">
        <is>
          <t>avverkningsanmälan</t>
        </is>
      </c>
      <c r="C3903" t="inlineStr">
        <is>
          <t>Föryngringsavverkning</t>
        </is>
      </c>
      <c r="D3903" s="1" t="n">
        <v>46057</v>
      </c>
      <c r="E3903" s="1" t="n">
        <v>46326</v>
      </c>
      <c r="F3903" t="inlineStr">
        <is>
          <t>GÄVLEBORGS LÄN</t>
        </is>
      </c>
      <c r="G3903" t="inlineStr">
        <is>
          <t>NORDANSTIG</t>
        </is>
      </c>
      <c r="I3903" t="n">
        <v>5.2</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47737-2025</t>
        </is>
      </c>
      <c r="B3904" t="inlineStr">
        <is>
          <t>avverkningsanmälan</t>
        </is>
      </c>
      <c r="C3904" t="inlineStr">
        <is>
          <t>Föryngringsavverkning</t>
        </is>
      </c>
      <c r="D3904" s="1" t="n">
        <v>45931</v>
      </c>
      <c r="E3904" s="1" t="n">
        <v>46326</v>
      </c>
      <c r="F3904" t="inlineStr">
        <is>
          <t>GÄVLEBORGS LÄN</t>
        </is>
      </c>
      <c r="G3904" t="inlineStr">
        <is>
          <t>OVANÅKER</t>
        </is>
      </c>
      <c r="I3904" t="n">
        <v>1</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37631-2025</t>
        </is>
      </c>
      <c r="B3905" t="inlineStr">
        <is>
          <t>avverkningsanmälan</t>
        </is>
      </c>
      <c r="C3905" t="inlineStr">
        <is>
          <t>Föryngringsavverkning</t>
        </is>
      </c>
      <c r="D3905" s="1" t="n">
        <v>45880</v>
      </c>
      <c r="E3905" s="1" t="n">
        <v>46326</v>
      </c>
      <c r="F3905" t="inlineStr">
        <is>
          <t>GÄVLEBORGS LÄN</t>
        </is>
      </c>
      <c r="G3905" t="inlineStr">
        <is>
          <t>BOLLNÄS</t>
        </is>
      </c>
      <c r="I3905" t="n">
        <v>8.699999999999999</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37728-2025</t>
        </is>
      </c>
      <c r="B3906" t="inlineStr">
        <is>
          <t>avverkningsanmälan</t>
        </is>
      </c>
      <c r="C3906" t="inlineStr">
        <is>
          <t>Föryngringsavverkning</t>
        </is>
      </c>
      <c r="D3906" s="1" t="n">
        <v>45880</v>
      </c>
      <c r="E3906" s="1" t="n">
        <v>46326</v>
      </c>
      <c r="F3906" t="inlineStr">
        <is>
          <t>GÄVLEBORGS LÄN</t>
        </is>
      </c>
      <c r="G3906" t="inlineStr">
        <is>
          <t>NORDANSTIG</t>
        </is>
      </c>
      <c r="H3906" t="inlineStr">
        <is>
          <t>Holmen skog AB</t>
        </is>
      </c>
      <c r="I3906" t="n">
        <v>0.5</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13486-2024</t>
        </is>
      </c>
      <c r="B3907" t="inlineStr">
        <is>
          <t>avverkningsanmälan</t>
        </is>
      </c>
      <c r="C3907" t="inlineStr">
        <is>
          <t>Föryngringsavverkning</t>
        </is>
      </c>
      <c r="D3907" s="1" t="n">
        <v>45387</v>
      </c>
      <c r="E3907" s="1" t="n">
        <v>46326</v>
      </c>
      <c r="F3907" t="inlineStr">
        <is>
          <t>GÄVLEBORGS LÄN</t>
        </is>
      </c>
      <c r="G3907" t="inlineStr">
        <is>
          <t>OVANÅKER</t>
        </is>
      </c>
      <c r="I3907" t="n">
        <v>2.1</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6590-2026</t>
        </is>
      </c>
      <c r="B3908" t="inlineStr">
        <is>
          <t>avverkningsanmälan</t>
        </is>
      </c>
      <c r="C3908" t="inlineStr">
        <is>
          <t>Föryngringsavverkning</t>
        </is>
      </c>
      <c r="D3908" s="1" t="n">
        <v>46056</v>
      </c>
      <c r="E3908" s="1" t="n">
        <v>46326</v>
      </c>
      <c r="F3908" t="inlineStr">
        <is>
          <t>GÄVLEBORGS LÄN</t>
        </is>
      </c>
      <c r="G3908" t="inlineStr">
        <is>
          <t>OCKELBO</t>
        </is>
      </c>
      <c r="I3908" t="n">
        <v>2.5</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37645-2025</t>
        </is>
      </c>
      <c r="B3909" t="inlineStr">
        <is>
          <t>avverkningsanmälan</t>
        </is>
      </c>
      <c r="C3909" t="inlineStr">
        <is>
          <t>Föryngringsavverkning</t>
        </is>
      </c>
      <c r="D3909" s="1" t="n">
        <v>45880</v>
      </c>
      <c r="E3909" s="1" t="n">
        <v>46326</v>
      </c>
      <c r="F3909" t="inlineStr">
        <is>
          <t>GÄVLEBORGS LÄN</t>
        </is>
      </c>
      <c r="G3909" t="inlineStr">
        <is>
          <t>HUDIKSVALL</t>
        </is>
      </c>
      <c r="I3909" t="n">
        <v>3.4</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30208-2022</t>
        </is>
      </c>
      <c r="B3910" t="inlineStr">
        <is>
          <t>avverkningsanmälan</t>
        </is>
      </c>
      <c r="C3910" t="inlineStr">
        <is>
          <t>Föryngringsavverkning</t>
        </is>
      </c>
      <c r="D3910" s="1" t="n">
        <v>44757</v>
      </c>
      <c r="E3910" s="1" t="n">
        <v>46326</v>
      </c>
      <c r="F3910" t="inlineStr">
        <is>
          <t>GÄVLEBORGS LÄN</t>
        </is>
      </c>
      <c r="G3910" t="inlineStr">
        <is>
          <t>SÖDERHAMN</t>
        </is>
      </c>
      <c r="I3910" t="n">
        <v>1.2</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51998-2023</t>
        </is>
      </c>
      <c r="B3911" t="inlineStr">
        <is>
          <t>avverkningsanmälan</t>
        </is>
      </c>
      <c r="C3911" t="inlineStr">
        <is>
          <t>Föryngringsavverkning</t>
        </is>
      </c>
      <c r="D3911" s="1" t="n">
        <v>45223</v>
      </c>
      <c r="E3911" s="1" t="n">
        <v>46326</v>
      </c>
      <c r="F3911" t="inlineStr">
        <is>
          <t>GÄVLEBORGS LÄN</t>
        </is>
      </c>
      <c r="G3911" t="inlineStr">
        <is>
          <t>NORDANSTIG</t>
        </is>
      </c>
      <c r="I3911" t="n">
        <v>1.2</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37804-2025</t>
        </is>
      </c>
      <c r="B3912" t="inlineStr">
        <is>
          <t>avverkningsanmälan</t>
        </is>
      </c>
      <c r="C3912" t="inlineStr">
        <is>
          <t>Föryngringsavverkning</t>
        </is>
      </c>
      <c r="D3912" s="1" t="n">
        <v>45881</v>
      </c>
      <c r="E3912" s="1" t="n">
        <v>46326</v>
      </c>
      <c r="F3912" t="inlineStr">
        <is>
          <t>GÄVLEBORGS LÄN</t>
        </is>
      </c>
      <c r="G3912" t="inlineStr">
        <is>
          <t>HUDIKSVALL</t>
        </is>
      </c>
      <c r="H3912" t="inlineStr">
        <is>
          <t>Holmen skog AB</t>
        </is>
      </c>
      <c r="I3912" t="n">
        <v>25.3</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37541-2025</t>
        </is>
      </c>
      <c r="B3913" t="inlineStr">
        <is>
          <t>avverkningsanmälan</t>
        </is>
      </c>
      <c r="C3913" t="inlineStr">
        <is>
          <t>Föryngringsavverkning</t>
        </is>
      </c>
      <c r="D3913" s="1" t="n">
        <v>45879</v>
      </c>
      <c r="E3913" s="1" t="n">
        <v>46326</v>
      </c>
      <c r="F3913" t="inlineStr">
        <is>
          <t>GÄVLEBORGS LÄN</t>
        </is>
      </c>
      <c r="G3913" t="inlineStr">
        <is>
          <t>SÖDERHAMN</t>
        </is>
      </c>
      <c r="I3913" t="n">
        <v>1.6</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39424-2024</t>
        </is>
      </c>
      <c r="B3914" t="inlineStr">
        <is>
          <t>avverkningsanmälan</t>
        </is>
      </c>
      <c r="C3914" t="inlineStr">
        <is>
          <t>Föryngringsavverkning</t>
        </is>
      </c>
      <c r="D3914" s="1" t="n">
        <v>45551</v>
      </c>
      <c r="E3914" s="1" t="n">
        <v>46326</v>
      </c>
      <c r="F3914" t="inlineStr">
        <is>
          <t>GÄVLEBORGS LÄN</t>
        </is>
      </c>
      <c r="G3914" t="inlineStr">
        <is>
          <t>OCKELBO</t>
        </is>
      </c>
      <c r="I3914" t="n">
        <v>3.6</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50873-2025</t>
        </is>
      </c>
      <c r="B3915" t="inlineStr">
        <is>
          <t>avverkningsanmälan</t>
        </is>
      </c>
      <c r="C3915" t="inlineStr">
        <is>
          <t>Föryngringsavverkning</t>
        </is>
      </c>
      <c r="D3915" s="1" t="n">
        <v>45946</v>
      </c>
      <c r="E3915" s="1" t="n">
        <v>46326</v>
      </c>
      <c r="F3915" t="inlineStr">
        <is>
          <t>GÄVLEBORGS LÄN</t>
        </is>
      </c>
      <c r="G3915" t="inlineStr">
        <is>
          <t>HUDIKSVALL</t>
        </is>
      </c>
      <c r="I3915" t="n">
        <v>1.4</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38007-2025</t>
        </is>
      </c>
      <c r="B3916" t="inlineStr">
        <is>
          <t>avverkningsanmälan</t>
        </is>
      </c>
      <c r="C3916" t="inlineStr">
        <is>
          <t>Föryngringsavverkning</t>
        </is>
      </c>
      <c r="D3916" s="1" t="n">
        <v>45882</v>
      </c>
      <c r="E3916" s="1" t="n">
        <v>46326</v>
      </c>
      <c r="F3916" t="inlineStr">
        <is>
          <t>GÄVLEBORGS LÄN</t>
        </is>
      </c>
      <c r="G3916" t="inlineStr">
        <is>
          <t>LJUSDAL</t>
        </is>
      </c>
      <c r="H3916" t="inlineStr">
        <is>
          <t>Naturvårdsverket</t>
        </is>
      </c>
      <c r="I3916" t="n">
        <v>0.8</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51225-2025</t>
        </is>
      </c>
      <c r="B3917" t="inlineStr">
        <is>
          <t>avverkningsanmälan</t>
        </is>
      </c>
      <c r="C3917" t="inlineStr">
        <is>
          <t>Föryngringsavverkning</t>
        </is>
      </c>
      <c r="D3917" s="1" t="n">
        <v>45947</v>
      </c>
      <c r="E3917" s="1" t="n">
        <v>46326</v>
      </c>
      <c r="F3917" t="inlineStr">
        <is>
          <t>GÄVLEBORGS LÄN</t>
        </is>
      </c>
      <c r="G3917" t="inlineStr">
        <is>
          <t>HOFORS</t>
        </is>
      </c>
      <c r="H3917" t="inlineStr">
        <is>
          <t>Sveaskog</t>
        </is>
      </c>
      <c r="I3917" t="n">
        <v>2.1</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71678-2021</t>
        </is>
      </c>
      <c r="B3918" t="inlineStr">
        <is>
          <t>avverkningsanmälan</t>
        </is>
      </c>
      <c r="C3918" t="inlineStr">
        <is>
          <t>Föryngringsavverkning</t>
        </is>
      </c>
      <c r="D3918" s="1" t="n">
        <v>44543</v>
      </c>
      <c r="E3918" s="1" t="n">
        <v>46326</v>
      </c>
      <c r="F3918" t="inlineStr">
        <is>
          <t>GÄVLEBORGS LÄN</t>
        </is>
      </c>
      <c r="G3918" t="inlineStr">
        <is>
          <t>BOLLNÄS</t>
        </is>
      </c>
      <c r="I3918" t="n">
        <v>1</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72083-2021</t>
        </is>
      </c>
      <c r="B3919" t="inlineStr">
        <is>
          <t>avverkningsanmälan</t>
        </is>
      </c>
      <c r="C3919" t="inlineStr">
        <is>
          <t>Föryngringsavverkning</t>
        </is>
      </c>
      <c r="D3919" s="1" t="n">
        <v>44544</v>
      </c>
      <c r="E3919" s="1" t="n">
        <v>46326</v>
      </c>
      <c r="F3919" t="inlineStr">
        <is>
          <t>GÄVLEBORGS LÄN</t>
        </is>
      </c>
      <c r="G3919" t="inlineStr">
        <is>
          <t>HUDIKSVALL</t>
        </is>
      </c>
      <c r="I3919" t="n">
        <v>1.4</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50818-2025</t>
        </is>
      </c>
      <c r="B3920" t="inlineStr">
        <is>
          <t>avverkningsanmälan</t>
        </is>
      </c>
      <c r="C3920" t="inlineStr">
        <is>
          <t>Föryngringsavverkning</t>
        </is>
      </c>
      <c r="D3920" s="1" t="n">
        <v>45946</v>
      </c>
      <c r="E3920" s="1" t="n">
        <v>46326</v>
      </c>
      <c r="F3920" t="inlineStr">
        <is>
          <t>GÄVLEBORGS LÄN</t>
        </is>
      </c>
      <c r="G3920" t="inlineStr">
        <is>
          <t>NORDANSTIG</t>
        </is>
      </c>
      <c r="I3920" t="n">
        <v>4.8</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50851-2025</t>
        </is>
      </c>
      <c r="B3921" t="inlineStr">
        <is>
          <t>avverkningsanmälan</t>
        </is>
      </c>
      <c r="C3921" t="inlineStr">
        <is>
          <t>Avverkning för annat ändamål</t>
        </is>
      </c>
      <c r="D3921" s="1" t="n">
        <v>45946</v>
      </c>
      <c r="E3921" s="1" t="n">
        <v>46326</v>
      </c>
      <c r="F3921" t="inlineStr">
        <is>
          <t>GÄVLEBORGS LÄN</t>
        </is>
      </c>
      <c r="G3921" t="inlineStr">
        <is>
          <t>SANDVIKEN</t>
        </is>
      </c>
      <c r="I3921" t="n">
        <v>2.6</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38295-2025</t>
        </is>
      </c>
      <c r="B3922" t="inlineStr">
        <is>
          <t>avverkningsanmälan</t>
        </is>
      </c>
      <c r="C3922" t="inlineStr">
        <is>
          <t>Avverkning för annat ändamål</t>
        </is>
      </c>
      <c r="D3922" s="1" t="n">
        <v>45883</v>
      </c>
      <c r="E3922" s="1" t="n">
        <v>46326</v>
      </c>
      <c r="F3922" t="inlineStr">
        <is>
          <t>GÄVLEBORGS LÄN</t>
        </is>
      </c>
      <c r="G3922" t="inlineStr">
        <is>
          <t>NORDANSTIG</t>
        </is>
      </c>
      <c r="I3922" t="n">
        <v>0.3</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29084-2025</t>
        </is>
      </c>
      <c r="B3923" t="inlineStr">
        <is>
          <t>avverkningsanmälan</t>
        </is>
      </c>
      <c r="C3923" t="inlineStr">
        <is>
          <t>Föryngringsavverkning</t>
        </is>
      </c>
      <c r="D3923" s="1" t="n">
        <v>45821</v>
      </c>
      <c r="E3923" s="1" t="n">
        <v>46326</v>
      </c>
      <c r="F3923" t="inlineStr">
        <is>
          <t>GÄVLEBORGS LÄN</t>
        </is>
      </c>
      <c r="G3923" t="inlineStr">
        <is>
          <t>SÖDERHAMN</t>
        </is>
      </c>
      <c r="I3923" t="n">
        <v>7</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6641-2026</t>
        </is>
      </c>
      <c r="B3924" t="inlineStr">
        <is>
          <t>avverkningsanmälan</t>
        </is>
      </c>
      <c r="C3924" t="inlineStr">
        <is>
          <t>Föryngringsavverkning</t>
        </is>
      </c>
      <c r="D3924" s="1" t="n">
        <v>46056</v>
      </c>
      <c r="E3924" s="1" t="n">
        <v>46326</v>
      </c>
      <c r="F3924" t="inlineStr">
        <is>
          <t>GÄVLEBORGS LÄN</t>
        </is>
      </c>
      <c r="G3924" t="inlineStr">
        <is>
          <t>NORDANSTIG</t>
        </is>
      </c>
      <c r="I3924" t="n">
        <v>6.3</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6940-2026</t>
        </is>
      </c>
      <c r="B3925" t="inlineStr">
        <is>
          <t>avverkningsanmälan</t>
        </is>
      </c>
      <c r="C3925" t="inlineStr">
        <is>
          <t>Föryngringsavverkning</t>
        </is>
      </c>
      <c r="D3925" s="1" t="n">
        <v>46057</v>
      </c>
      <c r="E3925" s="1" t="n">
        <v>46326</v>
      </c>
      <c r="F3925" t="inlineStr">
        <is>
          <t>GÄVLEBORGS LÄN</t>
        </is>
      </c>
      <c r="G3925" t="inlineStr">
        <is>
          <t>OVANÅKER</t>
        </is>
      </c>
      <c r="I3925" t="n">
        <v>5.5</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38009-2025</t>
        </is>
      </c>
      <c r="B3926" t="inlineStr">
        <is>
          <t>avverkningsanmälan</t>
        </is>
      </c>
      <c r="C3926" t="inlineStr">
        <is>
          <t>Föryngringsavverkning</t>
        </is>
      </c>
      <c r="D3926" s="1" t="n">
        <v>45882</v>
      </c>
      <c r="E3926" s="1" t="n">
        <v>46326</v>
      </c>
      <c r="F3926" t="inlineStr">
        <is>
          <t>GÄVLEBORGS LÄN</t>
        </is>
      </c>
      <c r="G3926" t="inlineStr">
        <is>
          <t>LJUSDAL</t>
        </is>
      </c>
      <c r="H3926" t="inlineStr">
        <is>
          <t>Naturvårdsverket</t>
        </is>
      </c>
      <c r="I3926" t="n">
        <v>6.7</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71408-2021</t>
        </is>
      </c>
      <c r="B3927" t="inlineStr">
        <is>
          <t>avverkningsanmälan</t>
        </is>
      </c>
      <c r="C3927" t="inlineStr">
        <is>
          <t>Föryngringsavverkning</t>
        </is>
      </c>
      <c r="D3927" s="1" t="n">
        <v>44540</v>
      </c>
      <c r="E3927" s="1" t="n">
        <v>46326</v>
      </c>
      <c r="F3927" t="inlineStr">
        <is>
          <t>GÄVLEBORGS LÄN</t>
        </is>
      </c>
      <c r="G3927" t="inlineStr">
        <is>
          <t>HUDIKSVALL</t>
        </is>
      </c>
      <c r="H3927" t="inlineStr">
        <is>
          <t>Holmen skog AB</t>
        </is>
      </c>
      <c r="I3927" t="n">
        <v>1.5</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6734-2026</t>
        </is>
      </c>
      <c r="B3928" t="inlineStr">
        <is>
          <t>avverkningsanmälan</t>
        </is>
      </c>
      <c r="C3928" t="inlineStr">
        <is>
          <t>Föryngringsavverkning</t>
        </is>
      </c>
      <c r="D3928" s="1" t="n">
        <v>46056</v>
      </c>
      <c r="E3928" s="1" t="n">
        <v>46326</v>
      </c>
      <c r="F3928" t="inlineStr">
        <is>
          <t>GÄVLEBORGS LÄN</t>
        </is>
      </c>
      <c r="G3928" t="inlineStr">
        <is>
          <t>OVANÅKER</t>
        </is>
      </c>
      <c r="I3928" t="n">
        <v>2.2</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6759-2026</t>
        </is>
      </c>
      <c r="B3929" t="inlineStr">
        <is>
          <t>avverkningsanmälan</t>
        </is>
      </c>
      <c r="C3929" t="inlineStr">
        <is>
          <t>Föryngringsavverkning</t>
        </is>
      </c>
      <c r="D3929" s="1" t="n">
        <v>46056</v>
      </c>
      <c r="E3929" s="1" t="n">
        <v>46326</v>
      </c>
      <c r="F3929" t="inlineStr">
        <is>
          <t>GÄVLEBORGS LÄN</t>
        </is>
      </c>
      <c r="G3929" t="inlineStr">
        <is>
          <t>BOLLNÄS</t>
        </is>
      </c>
      <c r="I3929" t="n">
        <v>2.9</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6770-2026</t>
        </is>
      </c>
      <c r="B3930" t="inlineStr">
        <is>
          <t>avverkningsanmälan</t>
        </is>
      </c>
      <c r="C3930" t="inlineStr">
        <is>
          <t>Föryngringsavverkning</t>
        </is>
      </c>
      <c r="D3930" s="1" t="n">
        <v>46057</v>
      </c>
      <c r="E3930" s="1" t="n">
        <v>46326</v>
      </c>
      <c r="F3930" t="inlineStr">
        <is>
          <t>GÄVLEBORGS LÄN</t>
        </is>
      </c>
      <c r="G3930" t="inlineStr">
        <is>
          <t>BOLLNÄS</t>
        </is>
      </c>
      <c r="I3930" t="n">
        <v>1.7</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4095-2024</t>
        </is>
      </c>
      <c r="B3931" t="inlineStr">
        <is>
          <t>avverkningsanmälan</t>
        </is>
      </c>
      <c r="C3931" t="inlineStr">
        <is>
          <t>Föryngringsavverkning</t>
        </is>
      </c>
      <c r="D3931" s="1" t="n">
        <v>45323</v>
      </c>
      <c r="E3931" s="1" t="n">
        <v>46326</v>
      </c>
      <c r="F3931" t="inlineStr">
        <is>
          <t>GÄVLEBORGS LÄN</t>
        </is>
      </c>
      <c r="G3931" t="inlineStr">
        <is>
          <t>LJUSDAL</t>
        </is>
      </c>
      <c r="I3931" t="n">
        <v>0.6</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25828-2024</t>
        </is>
      </c>
      <c r="B3932" t="inlineStr">
        <is>
          <t>avverkningsanmälan</t>
        </is>
      </c>
      <c r="C3932" t="inlineStr">
        <is>
          <t>Föryngringsavverkning</t>
        </is>
      </c>
      <c r="D3932" s="1" t="n">
        <v>45467</v>
      </c>
      <c r="E3932" s="1" t="n">
        <v>46326</v>
      </c>
      <c r="F3932" t="inlineStr">
        <is>
          <t>GÄVLEBORGS LÄN</t>
        </is>
      </c>
      <c r="G3932" t="inlineStr">
        <is>
          <t>SANDVIKEN</t>
        </is>
      </c>
      <c r="I3932" t="n">
        <v>0.9</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37563-2025</t>
        </is>
      </c>
      <c r="B3933" t="inlineStr">
        <is>
          <t>avverkningsanmälan</t>
        </is>
      </c>
      <c r="C3933" t="inlineStr">
        <is>
          <t>Avverkning för annat ändamål</t>
        </is>
      </c>
      <c r="D3933" s="1" t="n">
        <v>45880</v>
      </c>
      <c r="E3933" s="1" t="n">
        <v>46326</v>
      </c>
      <c r="F3933" t="inlineStr">
        <is>
          <t>GÄVLEBORGS LÄN</t>
        </is>
      </c>
      <c r="G3933" t="inlineStr">
        <is>
          <t>NORDANSTIG</t>
        </is>
      </c>
      <c r="I3933" t="n">
        <v>2.1</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59772-2024</t>
        </is>
      </c>
      <c r="B3934" t="inlineStr">
        <is>
          <t>avverkningsanmälan</t>
        </is>
      </c>
      <c r="C3934" t="inlineStr">
        <is>
          <t>Föryngringsavverkning</t>
        </is>
      </c>
      <c r="D3934" s="1" t="n">
        <v>45639</v>
      </c>
      <c r="E3934" s="1" t="n">
        <v>46326</v>
      </c>
      <c r="F3934" t="inlineStr">
        <is>
          <t>GÄVLEBORGS LÄN</t>
        </is>
      </c>
      <c r="G3934" t="inlineStr">
        <is>
          <t>SÖDERHAMN</t>
        </is>
      </c>
      <c r="I3934" t="n">
        <v>3.9</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18914-2024</t>
        </is>
      </c>
      <c r="B3935" t="inlineStr">
        <is>
          <t>avverkningsanmälan</t>
        </is>
      </c>
      <c r="C3935" t="inlineStr">
        <is>
          <t>Föryngringsavverkning</t>
        </is>
      </c>
      <c r="D3935" s="1" t="n">
        <v>45427</v>
      </c>
      <c r="E3935" s="1" t="n">
        <v>46326</v>
      </c>
      <c r="F3935" t="inlineStr">
        <is>
          <t>GÄVLEBORGS LÄN</t>
        </is>
      </c>
      <c r="G3935" t="inlineStr">
        <is>
          <t>LJUSDAL</t>
        </is>
      </c>
      <c r="I3935" t="n">
        <v>1</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51101-2025</t>
        </is>
      </c>
      <c r="B3936" t="inlineStr">
        <is>
          <t>avverkningsanmälan</t>
        </is>
      </c>
      <c r="C3936" t="inlineStr">
        <is>
          <t>Föryngringsavverkning</t>
        </is>
      </c>
      <c r="D3936" s="1" t="n">
        <v>45947</v>
      </c>
      <c r="E3936" s="1" t="n">
        <v>46326</v>
      </c>
      <c r="F3936" t="inlineStr">
        <is>
          <t>GÄVLEBORGS LÄN</t>
        </is>
      </c>
      <c r="G3936" t="inlineStr">
        <is>
          <t>NORDANSTIG</t>
        </is>
      </c>
      <c r="H3936" t="inlineStr">
        <is>
          <t>Holmen skog AB</t>
        </is>
      </c>
      <c r="I3936" t="n">
        <v>6.1</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13663-2025</t>
        </is>
      </c>
      <c r="B3937" t="inlineStr">
        <is>
          <t>avverkningsanmälan</t>
        </is>
      </c>
      <c r="C3937" t="inlineStr">
        <is>
          <t>Avverkning för annat ändamål</t>
        </is>
      </c>
      <c r="D3937" s="1" t="n">
        <v>45736</v>
      </c>
      <c r="E3937" s="1" t="n">
        <v>46326</v>
      </c>
      <c r="F3937" t="inlineStr">
        <is>
          <t>GÄVLEBORGS LÄN</t>
        </is>
      </c>
      <c r="G3937" t="inlineStr">
        <is>
          <t>HUDIKSVALL</t>
        </is>
      </c>
      <c r="I3937" t="n">
        <v>3.5</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38359-2025</t>
        </is>
      </c>
      <c r="B3938" t="inlineStr">
        <is>
          <t>avverkningsanmälan</t>
        </is>
      </c>
      <c r="C3938" t="inlineStr">
        <is>
          <t>Föryngringsavverkning</t>
        </is>
      </c>
      <c r="D3938" s="1" t="n">
        <v>45883</v>
      </c>
      <c r="E3938" s="1" t="n">
        <v>46326</v>
      </c>
      <c r="F3938" t="inlineStr">
        <is>
          <t>GÄVLEBORGS LÄN</t>
        </is>
      </c>
      <c r="G3938" t="inlineStr">
        <is>
          <t>LJUSDAL</t>
        </is>
      </c>
      <c r="I3938" t="n">
        <v>4.4</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38439-2025</t>
        </is>
      </c>
      <c r="B3939" t="inlineStr">
        <is>
          <t>avverkningsanmälan</t>
        </is>
      </c>
      <c r="C3939" t="inlineStr">
        <is>
          <t>Föryngringsavverkning</t>
        </is>
      </c>
      <c r="D3939" s="1" t="n">
        <v>45883</v>
      </c>
      <c r="E3939" s="1" t="n">
        <v>46326</v>
      </c>
      <c r="F3939" t="inlineStr">
        <is>
          <t>GÄVLEBORGS LÄN</t>
        </is>
      </c>
      <c r="G3939" t="inlineStr">
        <is>
          <t>SANDVIKEN</t>
        </is>
      </c>
      <c r="I3939" t="n">
        <v>1.2</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7033-2026</t>
        </is>
      </c>
      <c r="B3940" t="inlineStr">
        <is>
          <t>avverkningsanmälan</t>
        </is>
      </c>
      <c r="C3940" t="inlineStr">
        <is>
          <t>Föryngringsavverkning</t>
        </is>
      </c>
      <c r="D3940" s="1" t="n">
        <v>46057</v>
      </c>
      <c r="E3940" s="1" t="n">
        <v>46326</v>
      </c>
      <c r="F3940" t="inlineStr">
        <is>
          <t>GÄVLEBORGS LÄN</t>
        </is>
      </c>
      <c r="G3940" t="inlineStr">
        <is>
          <t>HUDIKSVALL</t>
        </is>
      </c>
      <c r="I3940" t="n">
        <v>4.2</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7061-2026</t>
        </is>
      </c>
      <c r="B3941" t="inlineStr">
        <is>
          <t>avverkningsanmälan</t>
        </is>
      </c>
      <c r="C3941" t="inlineStr">
        <is>
          <t>Föryngringsavverkning</t>
        </is>
      </c>
      <c r="D3941" s="1" t="n">
        <v>46057</v>
      </c>
      <c r="E3941" s="1" t="n">
        <v>46326</v>
      </c>
      <c r="F3941" t="inlineStr">
        <is>
          <t>GÄVLEBORGS LÄN</t>
        </is>
      </c>
      <c r="G3941" t="inlineStr">
        <is>
          <t>OVANÅKER</t>
        </is>
      </c>
      <c r="I3941" t="n">
        <v>0.5</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6588-2026</t>
        </is>
      </c>
      <c r="B3942" t="inlineStr">
        <is>
          <t>avverkningsanmälan</t>
        </is>
      </c>
      <c r="C3942" t="inlineStr">
        <is>
          <t>Föryngringsavverkning</t>
        </is>
      </c>
      <c r="D3942" s="1" t="n">
        <v>46056</v>
      </c>
      <c r="E3942" s="1" t="n">
        <v>46326</v>
      </c>
      <c r="F3942" t="inlineStr">
        <is>
          <t>GÄVLEBORGS LÄN</t>
        </is>
      </c>
      <c r="G3942" t="inlineStr">
        <is>
          <t>OCKELBO</t>
        </is>
      </c>
      <c r="I3942" t="n">
        <v>3</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6589-2026</t>
        </is>
      </c>
      <c r="B3943" t="inlineStr">
        <is>
          <t>avverkningsanmälan</t>
        </is>
      </c>
      <c r="C3943" t="inlineStr">
        <is>
          <t>Föryngringsavverkning</t>
        </is>
      </c>
      <c r="D3943" s="1" t="n">
        <v>46056</v>
      </c>
      <c r="E3943" s="1" t="n">
        <v>46326</v>
      </c>
      <c r="F3943" t="inlineStr">
        <is>
          <t>GÄVLEBORGS LÄN</t>
        </is>
      </c>
      <c r="G3943" t="inlineStr">
        <is>
          <t>OCKELBO</t>
        </is>
      </c>
      <c r="I3943" t="n">
        <v>5</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6598-2026</t>
        </is>
      </c>
      <c r="B3944" t="inlineStr">
        <is>
          <t>avverkningsanmälan</t>
        </is>
      </c>
      <c r="C3944" t="inlineStr">
        <is>
          <t>Föryngringsavverkning</t>
        </is>
      </c>
      <c r="D3944" s="1" t="n">
        <v>46056</v>
      </c>
      <c r="E3944" s="1" t="n">
        <v>46326</v>
      </c>
      <c r="F3944" t="inlineStr">
        <is>
          <t>GÄVLEBORGS LÄN</t>
        </is>
      </c>
      <c r="G3944" t="inlineStr">
        <is>
          <t>OCKELBO</t>
        </is>
      </c>
      <c r="I3944" t="n">
        <v>2.9</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6557-2026</t>
        </is>
      </c>
      <c r="B3945" t="inlineStr">
        <is>
          <t>avverkningsanmälan</t>
        </is>
      </c>
      <c r="C3945" t="inlineStr">
        <is>
          <t>Föryngringsavverkning</t>
        </is>
      </c>
      <c r="D3945" s="1" t="n">
        <v>46056</v>
      </c>
      <c r="E3945" s="1" t="n">
        <v>46326</v>
      </c>
      <c r="F3945" t="inlineStr">
        <is>
          <t>GÄVLEBORGS LÄN</t>
        </is>
      </c>
      <c r="G3945" t="inlineStr">
        <is>
          <t>BOLLNÄS</t>
        </is>
      </c>
      <c r="I3945" t="n">
        <v>0.6</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29773-2023</t>
        </is>
      </c>
      <c r="B3946" t="inlineStr">
        <is>
          <t>avverkningsanmälan</t>
        </is>
      </c>
      <c r="C3946" t="inlineStr">
        <is>
          <t>Föryngringsavverkning</t>
        </is>
      </c>
      <c r="D3946" s="1" t="n">
        <v>45107</v>
      </c>
      <c r="E3946" s="1" t="n">
        <v>46326</v>
      </c>
      <c r="F3946" t="inlineStr">
        <is>
          <t>GÄVLEBORGS LÄN</t>
        </is>
      </c>
      <c r="G3946" t="inlineStr">
        <is>
          <t>BOLLNÄS</t>
        </is>
      </c>
      <c r="I3946" t="n">
        <v>1</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3871-2024</t>
        </is>
      </c>
      <c r="B3947" t="inlineStr">
        <is>
          <t>avverkningsanmälan</t>
        </is>
      </c>
      <c r="C3947" t="inlineStr">
        <is>
          <t>Föryngringsavverkning</t>
        </is>
      </c>
      <c r="D3947" s="1" t="n">
        <v>45322</v>
      </c>
      <c r="E3947" s="1" t="n">
        <v>46326</v>
      </c>
      <c r="F3947" t="inlineStr">
        <is>
          <t>GÄVLEBORGS LÄN</t>
        </is>
      </c>
      <c r="G3947" t="inlineStr">
        <is>
          <t>OVANÅKER</t>
        </is>
      </c>
      <c r="I3947" t="n">
        <v>1.8</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7537-2026</t>
        </is>
      </c>
      <c r="B3948" t="inlineStr">
        <is>
          <t>avverkningsanmälan</t>
        </is>
      </c>
      <c r="C3948" t="inlineStr">
        <is>
          <t>Föryngringsavverkning</t>
        </is>
      </c>
      <c r="D3948" s="1" t="n">
        <v>46059</v>
      </c>
      <c r="E3948" s="1" t="n">
        <v>46326</v>
      </c>
      <c r="F3948" t="inlineStr">
        <is>
          <t>GÄVLEBORGS LÄN</t>
        </is>
      </c>
      <c r="G3948" t="inlineStr">
        <is>
          <t>LJUSDAL</t>
        </is>
      </c>
      <c r="H3948" t="inlineStr">
        <is>
          <t>Holmen skog AB</t>
        </is>
      </c>
      <c r="I3948" t="n">
        <v>3.8</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47701-2023</t>
        </is>
      </c>
      <c r="B3949" t="inlineStr">
        <is>
          <t>avverkningsanmälan</t>
        </is>
      </c>
      <c r="C3949" t="inlineStr">
        <is>
          <t>Föryngringsavverkning</t>
        </is>
      </c>
      <c r="D3949" s="1" t="n">
        <v>45203</v>
      </c>
      <c r="E3949" s="1" t="n">
        <v>46326</v>
      </c>
      <c r="F3949" t="inlineStr">
        <is>
          <t>GÄVLEBORGS LÄN</t>
        </is>
      </c>
      <c r="G3949" t="inlineStr">
        <is>
          <t>BOLLNÄS</t>
        </is>
      </c>
      <c r="I3949" t="n">
        <v>1.7</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38074-2025</t>
        </is>
      </c>
      <c r="B3950" t="inlineStr">
        <is>
          <t>avverkningsanmälan</t>
        </is>
      </c>
      <c r="C3950" t="inlineStr">
        <is>
          <t>Föryngringsavverkning</t>
        </is>
      </c>
      <c r="D3950" s="1" t="n">
        <v>45882</v>
      </c>
      <c r="E3950" s="1" t="n">
        <v>46326</v>
      </c>
      <c r="F3950" t="inlineStr">
        <is>
          <t>GÄVLEBORGS LÄN</t>
        </is>
      </c>
      <c r="G3950" t="inlineStr">
        <is>
          <t>BOLLNÄS</t>
        </is>
      </c>
      <c r="I3950" t="n">
        <v>2.6</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13508-2025</t>
        </is>
      </c>
      <c r="B3951" t="inlineStr">
        <is>
          <t>avverkningsanmälan</t>
        </is>
      </c>
      <c r="C3951" t="inlineStr">
        <is>
          <t>Föryngringsavverkning</t>
        </is>
      </c>
      <c r="D3951" s="1" t="n">
        <v>45736</v>
      </c>
      <c r="E3951" s="1" t="n">
        <v>46326</v>
      </c>
      <c r="F3951" t="inlineStr">
        <is>
          <t>GÄVLEBORGS LÄN</t>
        </is>
      </c>
      <c r="G3951" t="inlineStr">
        <is>
          <t>LJUSDAL</t>
        </is>
      </c>
      <c r="I3951" t="n">
        <v>3.6</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38091-2025</t>
        </is>
      </c>
      <c r="B3952" t="inlineStr">
        <is>
          <t>avverkningsanmälan</t>
        </is>
      </c>
      <c r="C3952" t="inlineStr">
        <is>
          <t>Föryngringsavverkning</t>
        </is>
      </c>
      <c r="D3952" s="1" t="n">
        <v>45882</v>
      </c>
      <c r="E3952" s="1" t="n">
        <v>46326</v>
      </c>
      <c r="F3952" t="inlineStr">
        <is>
          <t>GÄVLEBORGS LÄN</t>
        </is>
      </c>
      <c r="G3952" t="inlineStr">
        <is>
          <t>NORDANSTIG</t>
        </is>
      </c>
      <c r="H3952" t="inlineStr">
        <is>
          <t>Holmen skog AB</t>
        </is>
      </c>
      <c r="I3952" t="n">
        <v>20.2</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15964-2025</t>
        </is>
      </c>
      <c r="B3953" t="inlineStr">
        <is>
          <t>avverkningsanmälan</t>
        </is>
      </c>
      <c r="C3953" t="inlineStr">
        <is>
          <t>Föryngringsavverkning</t>
        </is>
      </c>
      <c r="D3953" s="1" t="n">
        <v>45749</v>
      </c>
      <c r="E3953" s="1" t="n">
        <v>46326</v>
      </c>
      <c r="F3953" t="inlineStr">
        <is>
          <t>GÄVLEBORGS LÄN</t>
        </is>
      </c>
      <c r="G3953" t="inlineStr">
        <is>
          <t>HUDIKSVALL</t>
        </is>
      </c>
      <c r="I3953" t="n">
        <v>3.5</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38435-2025</t>
        </is>
      </c>
      <c r="B3954" t="inlineStr">
        <is>
          <t>avverkningsanmälan</t>
        </is>
      </c>
      <c r="C3954" t="inlineStr">
        <is>
          <t>Föryngringsavverkning</t>
        </is>
      </c>
      <c r="D3954" s="1" t="n">
        <v>45883</v>
      </c>
      <c r="E3954" s="1" t="n">
        <v>46326</v>
      </c>
      <c r="F3954" t="inlineStr">
        <is>
          <t>GÄVLEBORGS LÄN</t>
        </is>
      </c>
      <c r="G3954" t="inlineStr">
        <is>
          <t>SANDVIKEN</t>
        </is>
      </c>
      <c r="I3954" t="n">
        <v>1.5</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50833-2025</t>
        </is>
      </c>
      <c r="B3955" t="inlineStr">
        <is>
          <t>avverkningsanmälan</t>
        </is>
      </c>
      <c r="C3955" t="inlineStr">
        <is>
          <t>Föryngringsavverkning</t>
        </is>
      </c>
      <c r="D3955" s="1" t="n">
        <v>45946</v>
      </c>
      <c r="E3955" s="1" t="n">
        <v>46326</v>
      </c>
      <c r="F3955" t="inlineStr">
        <is>
          <t>GÄVLEBORGS LÄN</t>
        </is>
      </c>
      <c r="G3955" t="inlineStr">
        <is>
          <t>SANDVIKEN</t>
        </is>
      </c>
      <c r="I3955" t="n">
        <v>0.6</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59354-2024</t>
        </is>
      </c>
      <c r="B3956" t="inlineStr">
        <is>
          <t>avverkningsanmälan</t>
        </is>
      </c>
      <c r="C3956" t="inlineStr">
        <is>
          <t>Föryngringsavverkning</t>
        </is>
      </c>
      <c r="D3956" s="1" t="n">
        <v>45638</v>
      </c>
      <c r="E3956" s="1" t="n">
        <v>46326</v>
      </c>
      <c r="F3956" t="inlineStr">
        <is>
          <t>GÄVLEBORGS LÄN</t>
        </is>
      </c>
      <c r="G3956" t="inlineStr">
        <is>
          <t>OVANÅKER</t>
        </is>
      </c>
      <c r="I3956" t="n">
        <v>0.5</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14093-2025</t>
        </is>
      </c>
      <c r="B3957" t="inlineStr">
        <is>
          <t>avverkningsanmälan</t>
        </is>
      </c>
      <c r="C3957" t="inlineStr">
        <is>
          <t>Föryngringsavverkning</t>
        </is>
      </c>
      <c r="D3957" s="1" t="n">
        <v>45740</v>
      </c>
      <c r="E3957" s="1" t="n">
        <v>46326</v>
      </c>
      <c r="F3957" t="inlineStr">
        <is>
          <t>GÄVLEBORGS LÄN</t>
        </is>
      </c>
      <c r="G3957" t="inlineStr">
        <is>
          <t>GÄVLE</t>
        </is>
      </c>
      <c r="H3957" t="inlineStr">
        <is>
          <t>Bergvik skog öst AB</t>
        </is>
      </c>
      <c r="I3957" t="n">
        <v>0.9</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30229-2024</t>
        </is>
      </c>
      <c r="B3958" t="inlineStr">
        <is>
          <t>avverkningsanmälan</t>
        </is>
      </c>
      <c r="C3958" t="inlineStr">
        <is>
          <t>Föryngringsavverkning</t>
        </is>
      </c>
      <c r="D3958" s="1" t="n">
        <v>45490</v>
      </c>
      <c r="E3958" s="1" t="n">
        <v>46326</v>
      </c>
      <c r="F3958" t="inlineStr">
        <is>
          <t>GÄVLEBORGS LÄN</t>
        </is>
      </c>
      <c r="G3958" t="inlineStr">
        <is>
          <t>HOFORS</t>
        </is>
      </c>
      <c r="H3958" t="inlineStr">
        <is>
          <t>Sveaskog</t>
        </is>
      </c>
      <c r="I3958" t="n">
        <v>3.3</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30242-2024</t>
        </is>
      </c>
      <c r="B3959" t="inlineStr">
        <is>
          <t>avverkningsanmälan</t>
        </is>
      </c>
      <c r="C3959" t="inlineStr">
        <is>
          <t>Föryngringsavverkning</t>
        </is>
      </c>
      <c r="D3959" s="1" t="n">
        <v>45490</v>
      </c>
      <c r="E3959" s="1" t="n">
        <v>46326</v>
      </c>
      <c r="F3959" t="inlineStr">
        <is>
          <t>GÄVLEBORGS LÄN</t>
        </is>
      </c>
      <c r="G3959" t="inlineStr">
        <is>
          <t>OCKELBO</t>
        </is>
      </c>
      <c r="H3959" t="inlineStr">
        <is>
          <t>Bergvik skog väst AB</t>
        </is>
      </c>
      <c r="I3959" t="n">
        <v>0.3</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38423-2025</t>
        </is>
      </c>
      <c r="B3960" t="inlineStr">
        <is>
          <t>avverkningsanmälan</t>
        </is>
      </c>
      <c r="C3960" t="inlineStr">
        <is>
          <t>Föryngringsavverkning</t>
        </is>
      </c>
      <c r="D3960" s="1" t="n">
        <v>45883</v>
      </c>
      <c r="E3960" s="1" t="n">
        <v>46326</v>
      </c>
      <c r="F3960" t="inlineStr">
        <is>
          <t>GÄVLEBORGS LÄN</t>
        </is>
      </c>
      <c r="G3960" t="inlineStr">
        <is>
          <t>SANDVIKEN</t>
        </is>
      </c>
      <c r="I3960" t="n">
        <v>0.5</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51230-2025</t>
        </is>
      </c>
      <c r="B3961" t="inlineStr">
        <is>
          <t>avverkningsanmälan</t>
        </is>
      </c>
      <c r="C3961" t="inlineStr">
        <is>
          <t>Föryngringsavverkning</t>
        </is>
      </c>
      <c r="D3961" s="1" t="n">
        <v>45947</v>
      </c>
      <c r="E3961" s="1" t="n">
        <v>46326</v>
      </c>
      <c r="F3961" t="inlineStr">
        <is>
          <t>GÄVLEBORGS LÄN</t>
        </is>
      </c>
      <c r="G3961" t="inlineStr">
        <is>
          <t>LJUSDAL</t>
        </is>
      </c>
      <c r="H3961" t="inlineStr">
        <is>
          <t>Sveaskog</t>
        </is>
      </c>
      <c r="I3961" t="n">
        <v>0.9</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42331-2024</t>
        </is>
      </c>
      <c r="B3962" t="inlineStr">
        <is>
          <t>avverkningsanmälan</t>
        </is>
      </c>
      <c r="C3962" t="inlineStr">
        <is>
          <t>Föryngringsavverkning</t>
        </is>
      </c>
      <c r="D3962" s="1" t="n">
        <v>45562</v>
      </c>
      <c r="E3962" s="1" t="n">
        <v>46326</v>
      </c>
      <c r="F3962" t="inlineStr">
        <is>
          <t>GÄVLEBORGS LÄN</t>
        </is>
      </c>
      <c r="G3962" t="inlineStr">
        <is>
          <t>OVANÅKER</t>
        </is>
      </c>
      <c r="I3962" t="n">
        <v>0.1</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50976-2025</t>
        </is>
      </c>
      <c r="B3963" t="inlineStr">
        <is>
          <t>avverkningsanmälan</t>
        </is>
      </c>
      <c r="C3963" t="inlineStr">
        <is>
          <t>Föryngringsavverkning</t>
        </is>
      </c>
      <c r="D3963" s="1" t="n">
        <v>45947</v>
      </c>
      <c r="E3963" s="1" t="n">
        <v>46326</v>
      </c>
      <c r="F3963" t="inlineStr">
        <is>
          <t>GÄVLEBORGS LÄN</t>
        </is>
      </c>
      <c r="G3963" t="inlineStr">
        <is>
          <t>LJUSDAL</t>
        </is>
      </c>
      <c r="I3963" t="n">
        <v>5.4</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9474-2022</t>
        </is>
      </c>
      <c r="B3964" t="inlineStr">
        <is>
          <t>avverkningsanmälan</t>
        </is>
      </c>
      <c r="C3964" t="inlineStr">
        <is>
          <t>Föryngringsavverkning</t>
        </is>
      </c>
      <c r="D3964" s="1" t="n">
        <v>44616</v>
      </c>
      <c r="E3964" s="1" t="n">
        <v>46326</v>
      </c>
      <c r="F3964" t="inlineStr">
        <is>
          <t>GÄVLEBORGS LÄN</t>
        </is>
      </c>
      <c r="G3964" t="inlineStr">
        <is>
          <t>BOLLNÄS</t>
        </is>
      </c>
      <c r="I3964" t="n">
        <v>0.8</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38077-2025</t>
        </is>
      </c>
      <c r="B3965" t="inlineStr">
        <is>
          <t>avverkningsanmälan</t>
        </is>
      </c>
      <c r="C3965" t="inlineStr">
        <is>
          <t>Föryngringsavverkning</t>
        </is>
      </c>
      <c r="D3965" s="1" t="n">
        <v>45882</v>
      </c>
      <c r="E3965" s="1" t="n">
        <v>46326</v>
      </c>
      <c r="F3965" t="inlineStr">
        <is>
          <t>GÄVLEBORGS LÄN</t>
        </is>
      </c>
      <c r="G3965" t="inlineStr">
        <is>
          <t>HUDIKSVALL</t>
        </is>
      </c>
      <c r="I3965" t="n">
        <v>4.5</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38248-2025</t>
        </is>
      </c>
      <c r="B3966" t="inlineStr">
        <is>
          <t>avverkningsanmälan</t>
        </is>
      </c>
      <c r="C3966" t="inlineStr">
        <is>
          <t>Föryngringsavverkning</t>
        </is>
      </c>
      <c r="D3966" s="1" t="n">
        <v>45883</v>
      </c>
      <c r="E3966" s="1" t="n">
        <v>46326</v>
      </c>
      <c r="F3966" t="inlineStr">
        <is>
          <t>GÄVLEBORGS LÄN</t>
        </is>
      </c>
      <c r="G3966" t="inlineStr">
        <is>
          <t>BOLLNÄS</t>
        </is>
      </c>
      <c r="I3966" t="n">
        <v>1.1</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38218-2025</t>
        </is>
      </c>
      <c r="B3967" t="inlineStr">
        <is>
          <t>avverkningsanmälan</t>
        </is>
      </c>
      <c r="C3967" t="inlineStr">
        <is>
          <t>Föryngringsavverkning</t>
        </is>
      </c>
      <c r="D3967" s="1" t="n">
        <v>45883</v>
      </c>
      <c r="E3967" s="1" t="n">
        <v>46326</v>
      </c>
      <c r="F3967" t="inlineStr">
        <is>
          <t>GÄVLEBORGS LÄN</t>
        </is>
      </c>
      <c r="G3967" t="inlineStr">
        <is>
          <t>SÖDERHAMN</t>
        </is>
      </c>
      <c r="I3967" t="n">
        <v>2.6</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50898-2025</t>
        </is>
      </c>
      <c r="B3968" t="inlineStr">
        <is>
          <t>avverkningsanmälan</t>
        </is>
      </c>
      <c r="C3968" t="inlineStr">
        <is>
          <t>Föryngringsavverkning</t>
        </is>
      </c>
      <c r="D3968" s="1" t="n">
        <v>45946</v>
      </c>
      <c r="E3968" s="1" t="n">
        <v>46326</v>
      </c>
      <c r="F3968" t="inlineStr">
        <is>
          <t>GÄVLEBORGS LÄN</t>
        </is>
      </c>
      <c r="G3968" t="inlineStr">
        <is>
          <t>HUDIKSVALL</t>
        </is>
      </c>
      <c r="I3968" t="n">
        <v>3.1</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6792-2024</t>
        </is>
      </c>
      <c r="B3969" t="inlineStr">
        <is>
          <t>avverkningsanmälan</t>
        </is>
      </c>
      <c r="C3969" t="inlineStr">
        <is>
          <t>Avverkning för annat ändamål</t>
        </is>
      </c>
      <c r="D3969" s="1" t="n">
        <v>45342</v>
      </c>
      <c r="E3969" s="1" t="n">
        <v>46326</v>
      </c>
      <c r="F3969" t="inlineStr">
        <is>
          <t>GÄVLEBORGS LÄN</t>
        </is>
      </c>
      <c r="G3969" t="inlineStr">
        <is>
          <t>SÖDERHAMN</t>
        </is>
      </c>
      <c r="I3969" t="n">
        <v>3.8</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33704-2023</t>
        </is>
      </c>
      <c r="B3970" t="inlineStr">
        <is>
          <t>avverkningsanmälan</t>
        </is>
      </c>
      <c r="C3970" t="inlineStr">
        <is>
          <t>Föryngringsavverkning</t>
        </is>
      </c>
      <c r="D3970" s="1" t="n">
        <v>45132</v>
      </c>
      <c r="E3970" s="1" t="n">
        <v>46326</v>
      </c>
      <c r="F3970" t="inlineStr">
        <is>
          <t>GÄVLEBORGS LÄN</t>
        </is>
      </c>
      <c r="G3970" t="inlineStr">
        <is>
          <t>HUDIKSVALL</t>
        </is>
      </c>
      <c r="I3970" t="n">
        <v>7.8</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38246-2025</t>
        </is>
      </c>
      <c r="B3971" t="inlineStr">
        <is>
          <t>avverkningsanmälan</t>
        </is>
      </c>
      <c r="C3971" t="inlineStr">
        <is>
          <t>Föryngringsavverkning</t>
        </is>
      </c>
      <c r="D3971" s="1" t="n">
        <v>45883</v>
      </c>
      <c r="E3971" s="1" t="n">
        <v>46326</v>
      </c>
      <c r="F3971" t="inlineStr">
        <is>
          <t>GÄVLEBORGS LÄN</t>
        </is>
      </c>
      <c r="G3971" t="inlineStr">
        <is>
          <t>NORDANSTIG</t>
        </is>
      </c>
      <c r="I3971" t="n">
        <v>0.8</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50824-2025</t>
        </is>
      </c>
      <c r="B3972" t="inlineStr">
        <is>
          <t>avverkningsanmälan</t>
        </is>
      </c>
      <c r="C3972" t="inlineStr">
        <is>
          <t>Föryngringsavverkning</t>
        </is>
      </c>
      <c r="D3972" s="1" t="n">
        <v>45946</v>
      </c>
      <c r="E3972" s="1" t="n">
        <v>46326</v>
      </c>
      <c r="F3972" t="inlineStr">
        <is>
          <t>GÄVLEBORGS LÄN</t>
        </is>
      </c>
      <c r="G3972" t="inlineStr">
        <is>
          <t>NORDANSTIG</t>
        </is>
      </c>
      <c r="I3972" t="n">
        <v>0.5</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34370-2024</t>
        </is>
      </c>
      <c r="B3973" t="inlineStr">
        <is>
          <t>avverkningsanmälan</t>
        </is>
      </c>
      <c r="C3973" t="inlineStr">
        <is>
          <t>Föryngringsavverkning</t>
        </is>
      </c>
      <c r="D3973" s="1" t="n">
        <v>45525</v>
      </c>
      <c r="E3973" s="1" t="n">
        <v>46326</v>
      </c>
      <c r="F3973" t="inlineStr">
        <is>
          <t>GÄVLEBORGS LÄN</t>
        </is>
      </c>
      <c r="G3973" t="inlineStr">
        <is>
          <t>NORDANSTIG</t>
        </is>
      </c>
      <c r="H3973" t="inlineStr">
        <is>
          <t>Holmen skog AB</t>
        </is>
      </c>
      <c r="I3973" t="n">
        <v>2.8</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20044-2024</t>
        </is>
      </c>
      <c r="B3974" t="inlineStr">
        <is>
          <t>avverkningsanmälan</t>
        </is>
      </c>
      <c r="C3974" t="inlineStr">
        <is>
          <t>Föryngringsavverkning</t>
        </is>
      </c>
      <c r="D3974" s="1" t="n">
        <v>45434</v>
      </c>
      <c r="E3974" s="1" t="n">
        <v>46326</v>
      </c>
      <c r="F3974" t="inlineStr">
        <is>
          <t>GÄVLEBORGS LÄN</t>
        </is>
      </c>
      <c r="G3974" t="inlineStr">
        <is>
          <t>NORDANSTIG</t>
        </is>
      </c>
      <c r="H3974" t="inlineStr">
        <is>
          <t>Holmen skog AB</t>
        </is>
      </c>
      <c r="I3974" t="n">
        <v>9.1</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38251-2025</t>
        </is>
      </c>
      <c r="B3975" t="inlineStr">
        <is>
          <t>avverkningsanmälan</t>
        </is>
      </c>
      <c r="C3975" t="inlineStr">
        <is>
          <t>Föryngringsavverkning</t>
        </is>
      </c>
      <c r="D3975" s="1" t="n">
        <v>45883</v>
      </c>
      <c r="E3975" s="1" t="n">
        <v>46326</v>
      </c>
      <c r="F3975" t="inlineStr">
        <is>
          <t>GÄVLEBORGS LÄN</t>
        </is>
      </c>
      <c r="G3975" t="inlineStr">
        <is>
          <t>BOLLNÄS</t>
        </is>
      </c>
      <c r="I3975" t="n">
        <v>1.4</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38259-2025</t>
        </is>
      </c>
      <c r="B3976" t="inlineStr">
        <is>
          <t>avverkningsanmälan</t>
        </is>
      </c>
      <c r="C3976" t="inlineStr">
        <is>
          <t>Föryngringsavverkning</t>
        </is>
      </c>
      <c r="D3976" s="1" t="n">
        <v>45883</v>
      </c>
      <c r="E3976" s="1" t="n">
        <v>46326</v>
      </c>
      <c r="F3976" t="inlineStr">
        <is>
          <t>GÄVLEBORGS LÄN</t>
        </is>
      </c>
      <c r="G3976" t="inlineStr">
        <is>
          <t>HUDIKSVALL</t>
        </is>
      </c>
      <c r="I3976" t="n">
        <v>3.3</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31673-2024</t>
        </is>
      </c>
      <c r="B3977" t="inlineStr">
        <is>
          <t>avverkningsanmälan</t>
        </is>
      </c>
      <c r="C3977" t="inlineStr">
        <is>
          <t>Föryngringsavverkning</t>
        </is>
      </c>
      <c r="D3977" s="1" t="n">
        <v>45506</v>
      </c>
      <c r="E3977" s="1" t="n">
        <v>46326</v>
      </c>
      <c r="F3977" t="inlineStr">
        <is>
          <t>GÄVLEBORGS LÄN</t>
        </is>
      </c>
      <c r="G3977" t="inlineStr">
        <is>
          <t>LJUSDAL</t>
        </is>
      </c>
      <c r="H3977" t="inlineStr">
        <is>
          <t>SCA</t>
        </is>
      </c>
      <c r="I3977" t="n">
        <v>2</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11315-2025</t>
        </is>
      </c>
      <c r="B3978" t="inlineStr">
        <is>
          <t>avverkningsanmälan</t>
        </is>
      </c>
      <c r="C3978" t="inlineStr">
        <is>
          <t>Föryngringsavverkning</t>
        </is>
      </c>
      <c r="D3978" s="1" t="n">
        <v>45726</v>
      </c>
      <c r="E3978" s="1" t="n">
        <v>46326</v>
      </c>
      <c r="F3978" t="inlineStr">
        <is>
          <t>GÄVLEBORGS LÄN</t>
        </is>
      </c>
      <c r="G3978" t="inlineStr">
        <is>
          <t>HUDIKSVALL</t>
        </is>
      </c>
      <c r="H3978" t="inlineStr">
        <is>
          <t>Holmen skog AB</t>
        </is>
      </c>
      <c r="I3978" t="n">
        <v>9.6</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7048-2026</t>
        </is>
      </c>
      <c r="B3979" t="inlineStr">
        <is>
          <t>avverkningsanmälan</t>
        </is>
      </c>
      <c r="C3979" t="inlineStr">
        <is>
          <t>Föryngringsavverkning</t>
        </is>
      </c>
      <c r="D3979" s="1" t="n">
        <v>46057</v>
      </c>
      <c r="E3979" s="1" t="n">
        <v>46326</v>
      </c>
      <c r="F3979" t="inlineStr">
        <is>
          <t>GÄVLEBORGS LÄN</t>
        </is>
      </c>
      <c r="G3979" t="inlineStr">
        <is>
          <t>HUDIKSVALL</t>
        </is>
      </c>
      <c r="H3979" t="inlineStr">
        <is>
          <t>Holmen skog AB</t>
        </is>
      </c>
      <c r="I3979" t="n">
        <v>7.6</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7114-2026</t>
        </is>
      </c>
      <c r="B3980" t="inlineStr">
        <is>
          <t>avverkningsanmälan</t>
        </is>
      </c>
      <c r="C3980" t="inlineStr">
        <is>
          <t>Föryngringsavverkning</t>
        </is>
      </c>
      <c r="D3980" s="1" t="n">
        <v>46058</v>
      </c>
      <c r="E3980" s="1" t="n">
        <v>46326</v>
      </c>
      <c r="F3980" t="inlineStr">
        <is>
          <t>GÄVLEBORGS LÄN</t>
        </is>
      </c>
      <c r="G3980" t="inlineStr">
        <is>
          <t>SÖDERHAMN</t>
        </is>
      </c>
      <c r="H3980" t="inlineStr">
        <is>
          <t>Övriga statliga verk och myndigheter</t>
        </is>
      </c>
      <c r="I3980" t="n">
        <v>6</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47100-2024</t>
        </is>
      </c>
      <c r="B3981" t="inlineStr">
        <is>
          <t>avverkningsanmälan</t>
        </is>
      </c>
      <c r="C3981" t="inlineStr">
        <is>
          <t>Föryngringsavverkning</t>
        </is>
      </c>
      <c r="D3981" s="1" t="n">
        <v>45586</v>
      </c>
      <c r="E3981" s="1" t="n">
        <v>46326</v>
      </c>
      <c r="F3981" t="inlineStr">
        <is>
          <t>GÄVLEBORGS LÄN</t>
        </is>
      </c>
      <c r="G3981" t="inlineStr">
        <is>
          <t>OCKELBO</t>
        </is>
      </c>
      <c r="I3981" t="n">
        <v>3.6</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7348-2026</t>
        </is>
      </c>
      <c r="B3982" t="inlineStr">
        <is>
          <t>avverkningsanmälan</t>
        </is>
      </c>
      <c r="C3982" t="inlineStr">
        <is>
          <t>Föryngringsavverkning</t>
        </is>
      </c>
      <c r="D3982" s="1" t="n">
        <v>46058</v>
      </c>
      <c r="E3982" s="1" t="n">
        <v>46326</v>
      </c>
      <c r="F3982" t="inlineStr">
        <is>
          <t>GÄVLEBORGS LÄN</t>
        </is>
      </c>
      <c r="G3982" t="inlineStr">
        <is>
          <t>SANDVIKEN</t>
        </is>
      </c>
      <c r="I3982" t="n">
        <v>1</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7095-2026</t>
        </is>
      </c>
      <c r="B3983" t="inlineStr">
        <is>
          <t>avverkningsanmälan</t>
        </is>
      </c>
      <c r="C3983" t="inlineStr">
        <is>
          <t>Föryngringsavverkning</t>
        </is>
      </c>
      <c r="D3983" s="1" t="n">
        <v>46058</v>
      </c>
      <c r="E3983" s="1" t="n">
        <v>46326</v>
      </c>
      <c r="F3983" t="inlineStr">
        <is>
          <t>GÄVLEBORGS LÄN</t>
        </is>
      </c>
      <c r="G3983" t="inlineStr">
        <is>
          <t>BOLLNÄS</t>
        </is>
      </c>
      <c r="I3983" t="n">
        <v>2.8</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28711-2022</t>
        </is>
      </c>
      <c r="B3984" t="inlineStr">
        <is>
          <t>avverkningsanmälan</t>
        </is>
      </c>
      <c r="C3984" t="inlineStr">
        <is>
          <t>Föryngringsavverkning</t>
        </is>
      </c>
      <c r="D3984" s="1" t="n">
        <v>44748</v>
      </c>
      <c r="E3984" s="1" t="n">
        <v>46326</v>
      </c>
      <c r="F3984" t="inlineStr">
        <is>
          <t>GÄVLEBORGS LÄN</t>
        </is>
      </c>
      <c r="G3984" t="inlineStr">
        <is>
          <t>NORDANSTIG</t>
        </is>
      </c>
      <c r="I3984" t="n">
        <v>1.7</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50878-2025</t>
        </is>
      </c>
      <c r="B3985" t="inlineStr">
        <is>
          <t>avverkningsanmälan</t>
        </is>
      </c>
      <c r="C3985" t="inlineStr">
        <is>
          <t>Avverkning för annat ändamål</t>
        </is>
      </c>
      <c r="D3985" s="1" t="n">
        <v>45946</v>
      </c>
      <c r="E3985" s="1" t="n">
        <v>46326</v>
      </c>
      <c r="F3985" t="inlineStr">
        <is>
          <t>GÄVLEBORGS LÄN</t>
        </is>
      </c>
      <c r="G3985" t="inlineStr">
        <is>
          <t>OVANÅKER</t>
        </is>
      </c>
      <c r="H3985" t="inlineStr">
        <is>
          <t>Bergvik skog väst AB</t>
        </is>
      </c>
      <c r="I3985" t="n">
        <v>2.9</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5912-2023</t>
        </is>
      </c>
      <c r="B3986" t="inlineStr">
        <is>
          <t>avverkningsanmälan</t>
        </is>
      </c>
      <c r="C3986" t="inlineStr">
        <is>
          <t>Föryngringsavverkning</t>
        </is>
      </c>
      <c r="D3986" s="1" t="n">
        <v>44963</v>
      </c>
      <c r="E3986" s="1" t="n">
        <v>46326</v>
      </c>
      <c r="F3986" t="inlineStr">
        <is>
          <t>GÄVLEBORGS LÄN</t>
        </is>
      </c>
      <c r="G3986" t="inlineStr">
        <is>
          <t>LJUSDAL</t>
        </is>
      </c>
      <c r="I3986" t="n">
        <v>2.4</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38252-2025</t>
        </is>
      </c>
      <c r="B3987" t="inlineStr">
        <is>
          <t>avverkningsanmälan</t>
        </is>
      </c>
      <c r="C3987" t="inlineStr">
        <is>
          <t>Föryngringsavverkning</t>
        </is>
      </c>
      <c r="D3987" s="1" t="n">
        <v>45883</v>
      </c>
      <c r="E3987" s="1" t="n">
        <v>46326</v>
      </c>
      <c r="F3987" t="inlineStr">
        <is>
          <t>GÄVLEBORGS LÄN</t>
        </is>
      </c>
      <c r="G3987" t="inlineStr">
        <is>
          <t>BOLLNÄS</t>
        </is>
      </c>
      <c r="I3987" t="n">
        <v>1.2</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34440-2023</t>
        </is>
      </c>
      <c r="B3988" t="inlineStr">
        <is>
          <t>avverkningsanmälan</t>
        </is>
      </c>
      <c r="C3988" t="inlineStr">
        <is>
          <t>Föryngringsavverkning</t>
        </is>
      </c>
      <c r="D3988" s="1" t="n">
        <v>45139</v>
      </c>
      <c r="E3988" s="1" t="n">
        <v>46326</v>
      </c>
      <c r="F3988" t="inlineStr">
        <is>
          <t>GÄVLEBORGS LÄN</t>
        </is>
      </c>
      <c r="G3988" t="inlineStr">
        <is>
          <t>OCKELBO</t>
        </is>
      </c>
      <c r="I3988" t="n">
        <v>2.4</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50842-2025</t>
        </is>
      </c>
      <c r="B3989" t="inlineStr">
        <is>
          <t>avverkningsanmälan</t>
        </is>
      </c>
      <c r="C3989" t="inlineStr">
        <is>
          <t>Föryngringsavverkning</t>
        </is>
      </c>
      <c r="D3989" s="1" t="n">
        <v>45946</v>
      </c>
      <c r="E3989" s="1" t="n">
        <v>46326</v>
      </c>
      <c r="F3989" t="inlineStr">
        <is>
          <t>GÄVLEBORGS LÄN</t>
        </is>
      </c>
      <c r="G3989" t="inlineStr">
        <is>
          <t>NORDANSTIG</t>
        </is>
      </c>
      <c r="I3989" t="n">
        <v>1.1</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61694-2021</t>
        </is>
      </c>
      <c r="B3990" t="inlineStr">
        <is>
          <t>avverkningsanmälan</t>
        </is>
      </c>
      <c r="C3990" t="inlineStr">
        <is>
          <t>Föryngringsavverkning</t>
        </is>
      </c>
      <c r="D3990" s="1" t="n">
        <v>44501</v>
      </c>
      <c r="E3990" s="1" t="n">
        <v>46326</v>
      </c>
      <c r="F3990" t="inlineStr">
        <is>
          <t>GÄVLEBORGS LÄN</t>
        </is>
      </c>
      <c r="G3990" t="inlineStr">
        <is>
          <t>SANDVIKEN</t>
        </is>
      </c>
      <c r="I3990" t="n">
        <v>1</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50854-2025</t>
        </is>
      </c>
      <c r="B3991" t="inlineStr">
        <is>
          <t>avverkningsanmälan</t>
        </is>
      </c>
      <c r="C3991" t="inlineStr">
        <is>
          <t>Avverkning för annat ändamål</t>
        </is>
      </c>
      <c r="D3991" s="1" t="n">
        <v>45946</v>
      </c>
      <c r="E3991" s="1" t="n">
        <v>46326</v>
      </c>
      <c r="F3991" t="inlineStr">
        <is>
          <t>GÄVLEBORGS LÄN</t>
        </is>
      </c>
      <c r="G3991" t="inlineStr">
        <is>
          <t>OVANÅKER</t>
        </is>
      </c>
      <c r="H3991" t="inlineStr">
        <is>
          <t>Bergvik skog väst AB</t>
        </is>
      </c>
      <c r="I3991" t="n">
        <v>3</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7137-2026</t>
        </is>
      </c>
      <c r="B3992" t="inlineStr">
        <is>
          <t>avverkningsanmälan</t>
        </is>
      </c>
      <c r="C3992" t="inlineStr">
        <is>
          <t>Föryngringsavverkning</t>
        </is>
      </c>
      <c r="D3992" s="1" t="n">
        <v>46058</v>
      </c>
      <c r="E3992" s="1" t="n">
        <v>46326</v>
      </c>
      <c r="F3992" t="inlineStr">
        <is>
          <t>GÄVLEBORGS LÄN</t>
        </is>
      </c>
      <c r="G3992" t="inlineStr">
        <is>
          <t>HUDIKSVALL</t>
        </is>
      </c>
      <c r="I3992" t="n">
        <v>2.3</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7141-2026</t>
        </is>
      </c>
      <c r="B3993" t="inlineStr">
        <is>
          <t>avverkningsanmälan</t>
        </is>
      </c>
      <c r="C3993" t="inlineStr">
        <is>
          <t>Föryngringsavverkning</t>
        </is>
      </c>
      <c r="D3993" s="1" t="n">
        <v>46058</v>
      </c>
      <c r="E3993" s="1" t="n">
        <v>46326</v>
      </c>
      <c r="F3993" t="inlineStr">
        <is>
          <t>GÄVLEBORGS LÄN</t>
        </is>
      </c>
      <c r="G3993" t="inlineStr">
        <is>
          <t>HUDIKSVALL</t>
        </is>
      </c>
      <c r="I3993" t="n">
        <v>1.3</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50557-2025</t>
        </is>
      </c>
      <c r="B3994" t="inlineStr">
        <is>
          <t>avverkningsanmälan</t>
        </is>
      </c>
      <c r="C3994" t="inlineStr">
        <is>
          <t>Föryngringsavverkning</t>
        </is>
      </c>
      <c r="D3994" s="1" t="n">
        <v>45944</v>
      </c>
      <c r="E3994" s="1" t="n">
        <v>46326</v>
      </c>
      <c r="F3994" t="inlineStr">
        <is>
          <t>GÄVLEBORGS LÄN</t>
        </is>
      </c>
      <c r="G3994" t="inlineStr">
        <is>
          <t>HUDIKSVALL</t>
        </is>
      </c>
      <c r="I3994" t="n">
        <v>3.6</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51115-2025</t>
        </is>
      </c>
      <c r="B3995" t="inlineStr">
        <is>
          <t>avverkningsanmälan</t>
        </is>
      </c>
      <c r="C3995" t="inlineStr">
        <is>
          <t>Föryngringsavverkning</t>
        </is>
      </c>
      <c r="D3995" s="1" t="n">
        <v>45947</v>
      </c>
      <c r="E3995" s="1" t="n">
        <v>46326</v>
      </c>
      <c r="F3995" t="inlineStr">
        <is>
          <t>GÄVLEBORGS LÄN</t>
        </is>
      </c>
      <c r="G3995" t="inlineStr">
        <is>
          <t>NORDANSTIG</t>
        </is>
      </c>
      <c r="H3995" t="inlineStr">
        <is>
          <t>Holmen skog AB</t>
        </is>
      </c>
      <c r="I3995" t="n">
        <v>3</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51014-2025</t>
        </is>
      </c>
      <c r="B3996" t="inlineStr">
        <is>
          <t>avverkningsanmälan</t>
        </is>
      </c>
      <c r="C3996" t="inlineStr">
        <is>
          <t>Föryngringsavverkning</t>
        </is>
      </c>
      <c r="D3996" s="1" t="n">
        <v>45947</v>
      </c>
      <c r="E3996" s="1" t="n">
        <v>46326</v>
      </c>
      <c r="F3996" t="inlineStr">
        <is>
          <t>GÄVLEBORGS LÄN</t>
        </is>
      </c>
      <c r="G3996" t="inlineStr">
        <is>
          <t>NORDANSTIG</t>
        </is>
      </c>
      <c r="I3996" t="n">
        <v>3.5</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472-2024</t>
        </is>
      </c>
      <c r="B3997" t="inlineStr">
        <is>
          <t>avverkningsanmälan</t>
        </is>
      </c>
      <c r="C3997" t="inlineStr">
        <is>
          <t>Föryngringsavverkning</t>
        </is>
      </c>
      <c r="D3997" s="1" t="n">
        <v>45297</v>
      </c>
      <c r="E3997" s="1" t="n">
        <v>46326</v>
      </c>
      <c r="F3997" t="inlineStr">
        <is>
          <t>GÄVLEBORGS LÄN</t>
        </is>
      </c>
      <c r="G3997" t="inlineStr">
        <is>
          <t>NORDANSTIG</t>
        </is>
      </c>
      <c r="H3997" t="inlineStr">
        <is>
          <t>Holmen skog AB</t>
        </is>
      </c>
      <c r="I3997" t="n">
        <v>1.4</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7176-2026</t>
        </is>
      </c>
      <c r="B3998" t="inlineStr">
        <is>
          <t>avverkningsanmälan</t>
        </is>
      </c>
      <c r="C3998" t="inlineStr">
        <is>
          <t>Föryngringsavverkning</t>
        </is>
      </c>
      <c r="D3998" s="1" t="n">
        <v>46058</v>
      </c>
      <c r="E3998" s="1" t="n">
        <v>46326</v>
      </c>
      <c r="F3998" t="inlineStr">
        <is>
          <t>GÄVLEBORGS LÄN</t>
        </is>
      </c>
      <c r="G3998" t="inlineStr">
        <is>
          <t>OVANÅKER</t>
        </is>
      </c>
      <c r="I3998" t="n">
        <v>1.6</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38142-2024</t>
        </is>
      </c>
      <c r="B3999" t="inlineStr">
        <is>
          <t>avverkningsanmälan</t>
        </is>
      </c>
      <c r="C3999" t="inlineStr">
        <is>
          <t>Föryngringsavverkning</t>
        </is>
      </c>
      <c r="D3999" s="1" t="n">
        <v>45545</v>
      </c>
      <c r="E3999" s="1" t="n">
        <v>46326</v>
      </c>
      <c r="F3999" t="inlineStr">
        <is>
          <t>GÄVLEBORGS LÄN</t>
        </is>
      </c>
      <c r="G3999" t="inlineStr">
        <is>
          <t>HUDIKSVALL</t>
        </is>
      </c>
      <c r="H3999" t="inlineStr">
        <is>
          <t>Holmen skog AB</t>
        </is>
      </c>
      <c r="I3999" t="n">
        <v>5</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12224-2025</t>
        </is>
      </c>
      <c r="B4000" t="inlineStr">
        <is>
          <t>avverkningsanmälan</t>
        </is>
      </c>
      <c r="C4000" t="inlineStr">
        <is>
          <t>Föryngringsavverkning</t>
        </is>
      </c>
      <c r="D4000" s="1" t="n">
        <v>45729</v>
      </c>
      <c r="E4000" s="1" t="n">
        <v>46326</v>
      </c>
      <c r="F4000" t="inlineStr">
        <is>
          <t>GÄVLEBORGS LÄN</t>
        </is>
      </c>
      <c r="G4000" t="inlineStr">
        <is>
          <t>LJUSDAL</t>
        </is>
      </c>
      <c r="I4000" t="n">
        <v>2</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7217-2026</t>
        </is>
      </c>
      <c r="B4001" t="inlineStr">
        <is>
          <t>avverkningsanmälan</t>
        </is>
      </c>
      <c r="C4001" t="inlineStr">
        <is>
          <t>Föryngringsavverkning</t>
        </is>
      </c>
      <c r="D4001" s="1" t="n">
        <v>46058</v>
      </c>
      <c r="E4001" s="1" t="n">
        <v>46326</v>
      </c>
      <c r="F4001" t="inlineStr">
        <is>
          <t>GÄVLEBORGS LÄN</t>
        </is>
      </c>
      <c r="G4001" t="inlineStr">
        <is>
          <t>BOLLNÄS</t>
        </is>
      </c>
      <c r="H4001" t="inlineStr">
        <is>
          <t>Bergvik skog väst AB</t>
        </is>
      </c>
      <c r="I4001" t="n">
        <v>1.6</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7225-2026</t>
        </is>
      </c>
      <c r="B4002" t="inlineStr">
        <is>
          <t>avverkningsanmälan</t>
        </is>
      </c>
      <c r="C4002" t="inlineStr">
        <is>
          <t>Föryngringsavverkning</t>
        </is>
      </c>
      <c r="D4002" s="1" t="n">
        <v>46058</v>
      </c>
      <c r="E4002" s="1" t="n">
        <v>46326</v>
      </c>
      <c r="F4002" t="inlineStr">
        <is>
          <t>GÄVLEBORGS LÄN</t>
        </is>
      </c>
      <c r="G4002" t="inlineStr">
        <is>
          <t>OVANÅKER</t>
        </is>
      </c>
      <c r="I4002" t="n">
        <v>1.4</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7484-2026</t>
        </is>
      </c>
      <c r="B4003" t="inlineStr">
        <is>
          <t>avverkningsanmälan</t>
        </is>
      </c>
      <c r="C4003" t="inlineStr">
        <is>
          <t>Föryngringsavverkning</t>
        </is>
      </c>
      <c r="D4003" s="1" t="n">
        <v>46059</v>
      </c>
      <c r="E4003" s="1" t="n">
        <v>46326</v>
      </c>
      <c r="F4003" t="inlineStr">
        <is>
          <t>GÄVLEBORGS LÄN</t>
        </is>
      </c>
      <c r="G4003" t="inlineStr">
        <is>
          <t>HUDIKSVALL</t>
        </is>
      </c>
      <c r="I4003" t="n">
        <v>2.8</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50970-2025</t>
        </is>
      </c>
      <c r="B4004" t="inlineStr">
        <is>
          <t>avverkningsanmälan</t>
        </is>
      </c>
      <c r="C4004" t="inlineStr">
        <is>
          <t>Föryngringsavverkning</t>
        </is>
      </c>
      <c r="D4004" s="1" t="n">
        <v>45947</v>
      </c>
      <c r="E4004" s="1" t="n">
        <v>46326</v>
      </c>
      <c r="F4004" t="inlineStr">
        <is>
          <t>GÄVLEBORGS LÄN</t>
        </is>
      </c>
      <c r="G4004" t="inlineStr">
        <is>
          <t>OVANÅKER</t>
        </is>
      </c>
      <c r="I4004" t="n">
        <v>1.6</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50972-2025</t>
        </is>
      </c>
      <c r="B4005" t="inlineStr">
        <is>
          <t>avverkningsanmälan</t>
        </is>
      </c>
      <c r="C4005" t="inlineStr">
        <is>
          <t>Föryngringsavverkning</t>
        </is>
      </c>
      <c r="D4005" s="1" t="n">
        <v>45947</v>
      </c>
      <c r="E4005" s="1" t="n">
        <v>46326</v>
      </c>
      <c r="F4005" t="inlineStr">
        <is>
          <t>GÄVLEBORGS LÄN</t>
        </is>
      </c>
      <c r="G4005" t="inlineStr">
        <is>
          <t>LJUSDAL</t>
        </is>
      </c>
      <c r="I4005" t="n">
        <v>2.5</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2612-2025</t>
        </is>
      </c>
      <c r="B4006" t="inlineStr">
        <is>
          <t>avverkningsanmälan</t>
        </is>
      </c>
      <c r="C4006" t="inlineStr">
        <is>
          <t>Avverkning för annat ändamål</t>
        </is>
      </c>
      <c r="D4006" s="1" t="n">
        <v>45674</v>
      </c>
      <c r="E4006" s="1" t="n">
        <v>46326</v>
      </c>
      <c r="F4006" t="inlineStr">
        <is>
          <t>GÄVLEBORGS LÄN</t>
        </is>
      </c>
      <c r="G4006" t="inlineStr">
        <is>
          <t>HOFORS</t>
        </is>
      </c>
      <c r="I4006" t="n">
        <v>3.8</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49284-2025</t>
        </is>
      </c>
      <c r="B4007" t="inlineStr">
        <is>
          <t>avverkningsanmälan</t>
        </is>
      </c>
      <c r="C4007" t="inlineStr">
        <is>
          <t>Föryngringsavverkning</t>
        </is>
      </c>
      <c r="D4007" s="1" t="n">
        <v>45938</v>
      </c>
      <c r="E4007" s="1" t="n">
        <v>46326</v>
      </c>
      <c r="F4007" t="inlineStr">
        <is>
          <t>GÄVLEBORGS LÄN</t>
        </is>
      </c>
      <c r="G4007" t="inlineStr">
        <is>
          <t>NORDANSTIG</t>
        </is>
      </c>
      <c r="I4007" t="n">
        <v>1</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18933-2023</t>
        </is>
      </c>
      <c r="B4008" t="inlineStr">
        <is>
          <t>avverkningsanmälan</t>
        </is>
      </c>
      <c r="C4008" t="inlineStr">
        <is>
          <t>Föryngringsavverkning</t>
        </is>
      </c>
      <c r="D4008" s="1" t="n">
        <v>45044</v>
      </c>
      <c r="E4008" s="1" t="n">
        <v>46326</v>
      </c>
      <c r="F4008" t="inlineStr">
        <is>
          <t>GÄVLEBORGS LÄN</t>
        </is>
      </c>
      <c r="G4008" t="inlineStr">
        <is>
          <t>NORDANSTIG</t>
        </is>
      </c>
      <c r="I4008" t="n">
        <v>26.6</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7164-2026</t>
        </is>
      </c>
      <c r="B4009" t="inlineStr">
        <is>
          <t>avverkningsanmälan</t>
        </is>
      </c>
      <c r="C4009" t="inlineStr">
        <is>
          <t>Föryngringsavverkning</t>
        </is>
      </c>
      <c r="D4009" s="1" t="n">
        <v>46058</v>
      </c>
      <c r="E4009" s="1" t="n">
        <v>46326</v>
      </c>
      <c r="F4009" t="inlineStr">
        <is>
          <t>GÄVLEBORGS LÄN</t>
        </is>
      </c>
      <c r="G4009" t="inlineStr">
        <is>
          <t>LJUSDAL</t>
        </is>
      </c>
      <c r="I4009" t="n">
        <v>2</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7239-2026</t>
        </is>
      </c>
      <c r="B4010" t="inlineStr">
        <is>
          <t>avverkningsanmälan</t>
        </is>
      </c>
      <c r="C4010" t="inlineStr">
        <is>
          <t>Föryngringsavverkning</t>
        </is>
      </c>
      <c r="D4010" s="1" t="n">
        <v>46058</v>
      </c>
      <c r="E4010" s="1" t="n">
        <v>46326</v>
      </c>
      <c r="F4010" t="inlineStr">
        <is>
          <t>GÄVLEBORGS LÄN</t>
        </is>
      </c>
      <c r="G4010" t="inlineStr">
        <is>
          <t>GÄVLE</t>
        </is>
      </c>
      <c r="I4010" t="n">
        <v>2.5</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51534-2025</t>
        </is>
      </c>
      <c r="B4011" t="inlineStr">
        <is>
          <t>avverkningsanmälan</t>
        </is>
      </c>
      <c r="C4011" t="inlineStr">
        <is>
          <t>Föryngringsavverkning</t>
        </is>
      </c>
      <c r="D4011" s="1" t="n">
        <v>45950</v>
      </c>
      <c r="E4011" s="1" t="n">
        <v>46326</v>
      </c>
      <c r="F4011" t="inlineStr">
        <is>
          <t>GÄVLEBORGS LÄN</t>
        </is>
      </c>
      <c r="G4011" t="inlineStr">
        <is>
          <t>HUDIKSVALL</t>
        </is>
      </c>
      <c r="I4011" t="n">
        <v>15.2</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51563-2025</t>
        </is>
      </c>
      <c r="B4012" t="inlineStr">
        <is>
          <t>avverkningsanmälan</t>
        </is>
      </c>
      <c r="C4012" t="inlineStr">
        <is>
          <t>Föryngringsavverkning</t>
        </is>
      </c>
      <c r="D4012" s="1" t="n">
        <v>45951</v>
      </c>
      <c r="E4012" s="1" t="n">
        <v>46326</v>
      </c>
      <c r="F4012" t="inlineStr">
        <is>
          <t>GÄVLEBORGS LÄN</t>
        </is>
      </c>
      <c r="G4012" t="inlineStr">
        <is>
          <t>BOLLNÄS</t>
        </is>
      </c>
      <c r="I4012" t="n">
        <v>3.5</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51618-2025</t>
        </is>
      </c>
      <c r="B4013" t="inlineStr">
        <is>
          <t>avverkningsanmälan</t>
        </is>
      </c>
      <c r="C4013" t="inlineStr">
        <is>
          <t>Föryngringsavverkning</t>
        </is>
      </c>
      <c r="D4013" s="1" t="n">
        <v>45951</v>
      </c>
      <c r="E4013" s="1" t="n">
        <v>46326</v>
      </c>
      <c r="F4013" t="inlineStr">
        <is>
          <t>GÄVLEBORGS LÄN</t>
        </is>
      </c>
      <c r="G4013" t="inlineStr">
        <is>
          <t>HUDIKSVALL</t>
        </is>
      </c>
      <c r="H4013" t="inlineStr">
        <is>
          <t>Holmen skog AB</t>
        </is>
      </c>
      <c r="I4013" t="n">
        <v>5.7</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7282-2026</t>
        </is>
      </c>
      <c r="B4014" t="inlineStr">
        <is>
          <t>avverkningsanmälan</t>
        </is>
      </c>
      <c r="C4014" t="inlineStr">
        <is>
          <t>Föryngringsavverkning</t>
        </is>
      </c>
      <c r="D4014" s="1" t="n">
        <v>46058</v>
      </c>
      <c r="E4014" s="1" t="n">
        <v>46326</v>
      </c>
      <c r="F4014" t="inlineStr">
        <is>
          <t>GÄVLEBORGS LÄN</t>
        </is>
      </c>
      <c r="G4014" t="inlineStr">
        <is>
          <t>LJUSDAL</t>
        </is>
      </c>
      <c r="H4014" t="inlineStr">
        <is>
          <t>SCA</t>
        </is>
      </c>
      <c r="I4014" t="n">
        <v>7.7</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7336-2026</t>
        </is>
      </c>
      <c r="B4015" t="inlineStr">
        <is>
          <t>avverkningsanmälan</t>
        </is>
      </c>
      <c r="C4015" t="inlineStr">
        <is>
          <t>Föryngringsavverkning</t>
        </is>
      </c>
      <c r="D4015" s="1" t="n">
        <v>46058</v>
      </c>
      <c r="E4015" s="1" t="n">
        <v>46326</v>
      </c>
      <c r="F4015" t="inlineStr">
        <is>
          <t>GÄVLEBORGS LÄN</t>
        </is>
      </c>
      <c r="G4015" t="inlineStr">
        <is>
          <t>BOLLNÄS</t>
        </is>
      </c>
      <c r="I4015" t="n">
        <v>1.1</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7343-2026</t>
        </is>
      </c>
      <c r="B4016" t="inlineStr">
        <is>
          <t>avverkningsanmälan</t>
        </is>
      </c>
      <c r="C4016" t="inlineStr">
        <is>
          <t>Föryngringsavverkning</t>
        </is>
      </c>
      <c r="D4016" s="1" t="n">
        <v>46058</v>
      </c>
      <c r="E4016" s="1" t="n">
        <v>46326</v>
      </c>
      <c r="F4016" t="inlineStr">
        <is>
          <t>GÄVLEBORGS LÄN</t>
        </is>
      </c>
      <c r="G4016" t="inlineStr">
        <is>
          <t>SANDVIKEN</t>
        </is>
      </c>
      <c r="I4016" t="n">
        <v>1.3</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9135-2023</t>
        </is>
      </c>
      <c r="B4017" t="inlineStr">
        <is>
          <t>avverkningsanmälan</t>
        </is>
      </c>
      <c r="C4017" t="inlineStr">
        <is>
          <t>Föryngringsavverkning</t>
        </is>
      </c>
      <c r="D4017" s="1" t="n">
        <v>44980</v>
      </c>
      <c r="E4017" s="1" t="n">
        <v>46326</v>
      </c>
      <c r="F4017" t="inlineStr">
        <is>
          <t>GÄVLEBORGS LÄN</t>
        </is>
      </c>
      <c r="G4017" t="inlineStr">
        <is>
          <t>HUDIKSVALL</t>
        </is>
      </c>
      <c r="H4017" t="inlineStr">
        <is>
          <t>Holmen skog AB</t>
        </is>
      </c>
      <c r="I4017" t="n">
        <v>1</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48102-2022</t>
        </is>
      </c>
      <c r="B4018" t="inlineStr">
        <is>
          <t>avverkningsanmälan</t>
        </is>
      </c>
      <c r="C4018" t="inlineStr">
        <is>
          <t>Föryngringsavverkning</t>
        </is>
      </c>
      <c r="D4018" s="1" t="n">
        <v>44856</v>
      </c>
      <c r="E4018" s="1" t="n">
        <v>46326</v>
      </c>
      <c r="F4018" t="inlineStr">
        <is>
          <t>GÄVLEBORGS LÄN</t>
        </is>
      </c>
      <c r="G4018" t="inlineStr">
        <is>
          <t>SÖDERHAMN</t>
        </is>
      </c>
      <c r="I4018" t="n">
        <v>2.3</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7544-2026</t>
        </is>
      </c>
      <c r="B4019" t="inlineStr">
        <is>
          <t>avverkningsanmälan</t>
        </is>
      </c>
      <c r="C4019" t="inlineStr">
        <is>
          <t>Föryngringsavverkning</t>
        </is>
      </c>
      <c r="D4019" s="1" t="n">
        <v>46059</v>
      </c>
      <c r="E4019" s="1" t="n">
        <v>46326</v>
      </c>
      <c r="F4019" t="inlineStr">
        <is>
          <t>GÄVLEBORGS LÄN</t>
        </is>
      </c>
      <c r="G4019" t="inlineStr">
        <is>
          <t>OCKELBO</t>
        </is>
      </c>
      <c r="I4019" t="n">
        <v>3.1</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38610-2025</t>
        </is>
      </c>
      <c r="B4020" t="inlineStr">
        <is>
          <t>avverkningsanmälan</t>
        </is>
      </c>
      <c r="C4020" t="inlineStr">
        <is>
          <t>Avverkning för annat ändamål</t>
        </is>
      </c>
      <c r="D4020" s="1" t="n">
        <v>45884</v>
      </c>
      <c r="E4020" s="1" t="n">
        <v>46326</v>
      </c>
      <c r="F4020" t="inlineStr">
        <is>
          <t>GÄVLEBORGS LÄN</t>
        </is>
      </c>
      <c r="G4020" t="inlineStr">
        <is>
          <t>NORDANSTIG</t>
        </is>
      </c>
      <c r="I4020" t="n">
        <v>1.2</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38627-2025</t>
        </is>
      </c>
      <c r="B4021" t="inlineStr">
        <is>
          <t>avverkningsanmälan</t>
        </is>
      </c>
      <c r="C4021" t="inlineStr">
        <is>
          <t>Föryngringsavverkning</t>
        </is>
      </c>
      <c r="D4021" s="1" t="n">
        <v>45884</v>
      </c>
      <c r="E4021" s="1" t="n">
        <v>46326</v>
      </c>
      <c r="F4021" t="inlineStr">
        <is>
          <t>GÄVLEBORGS LÄN</t>
        </is>
      </c>
      <c r="G4021" t="inlineStr">
        <is>
          <t>GÄVLE</t>
        </is>
      </c>
      <c r="H4021" t="inlineStr">
        <is>
          <t>Bergvik skog väst AB</t>
        </is>
      </c>
      <c r="I4021" t="n">
        <v>0.7</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7252-2026</t>
        </is>
      </c>
      <c r="B4022" t="inlineStr">
        <is>
          <t>avverkningsanmälan</t>
        </is>
      </c>
      <c r="C4022" t="inlineStr">
        <is>
          <t>Föryngringsavverkning</t>
        </is>
      </c>
      <c r="D4022" s="1" t="n">
        <v>46058</v>
      </c>
      <c r="E4022" s="1" t="n">
        <v>46326</v>
      </c>
      <c r="F4022" t="inlineStr">
        <is>
          <t>GÄVLEBORGS LÄN</t>
        </is>
      </c>
      <c r="G4022" t="inlineStr">
        <is>
          <t>GÄVLE</t>
        </is>
      </c>
      <c r="I4022" t="n">
        <v>1.7</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7301-2026</t>
        </is>
      </c>
      <c r="B4023" t="inlineStr">
        <is>
          <t>avverkningsanmälan</t>
        </is>
      </c>
      <c r="C4023" t="inlineStr">
        <is>
          <t>Föryngringsavverkning</t>
        </is>
      </c>
      <c r="D4023" s="1" t="n">
        <v>46058</v>
      </c>
      <c r="E4023" s="1" t="n">
        <v>46326</v>
      </c>
      <c r="F4023" t="inlineStr">
        <is>
          <t>GÄVLEBORGS LÄN</t>
        </is>
      </c>
      <c r="G4023" t="inlineStr">
        <is>
          <t>HUDIKSVALL</t>
        </is>
      </c>
      <c r="I4023" t="n">
        <v>1</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7360-2026</t>
        </is>
      </c>
      <c r="B4024" t="inlineStr">
        <is>
          <t>avverkningsanmälan</t>
        </is>
      </c>
      <c r="C4024" t="inlineStr">
        <is>
          <t>Föryngringsavverkning</t>
        </is>
      </c>
      <c r="D4024" s="1" t="n">
        <v>46058</v>
      </c>
      <c r="E4024" s="1" t="n">
        <v>46326</v>
      </c>
      <c r="F4024" t="inlineStr">
        <is>
          <t>GÄVLEBORGS LÄN</t>
        </is>
      </c>
      <c r="G4024" t="inlineStr">
        <is>
          <t>SANDVIKEN</t>
        </is>
      </c>
      <c r="I4024" t="n">
        <v>1</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7411-2026</t>
        </is>
      </c>
      <c r="B4025" t="inlineStr">
        <is>
          <t>avverkningsanmälan</t>
        </is>
      </c>
      <c r="C4025" t="inlineStr">
        <is>
          <t>Föryngringsavverkning</t>
        </is>
      </c>
      <c r="D4025" s="1" t="n">
        <v>46059</v>
      </c>
      <c r="E4025" s="1" t="n">
        <v>46326</v>
      </c>
      <c r="F4025" t="inlineStr">
        <is>
          <t>GÄVLEBORGS LÄN</t>
        </is>
      </c>
      <c r="G4025" t="inlineStr">
        <is>
          <t>BOLLNÄS</t>
        </is>
      </c>
      <c r="I4025" t="n">
        <v>3.8</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7445-2026</t>
        </is>
      </c>
      <c r="B4026" t="inlineStr">
        <is>
          <t>avverkningsanmälan</t>
        </is>
      </c>
      <c r="C4026" t="inlineStr">
        <is>
          <t>Föryngringsavverkning</t>
        </is>
      </c>
      <c r="D4026" s="1" t="n">
        <v>46059</v>
      </c>
      <c r="E4026" s="1" t="n">
        <v>46326</v>
      </c>
      <c r="F4026" t="inlineStr">
        <is>
          <t>GÄVLEBORGS LÄN</t>
        </is>
      </c>
      <c r="G4026" t="inlineStr">
        <is>
          <t>LJUSDAL</t>
        </is>
      </c>
      <c r="I4026" t="n">
        <v>3.5</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8105-2026</t>
        </is>
      </c>
      <c r="B4027" t="inlineStr">
        <is>
          <t>avverkningsanmälan</t>
        </is>
      </c>
      <c r="C4027" t="inlineStr">
        <is>
          <t>Föryngringsavverkning</t>
        </is>
      </c>
      <c r="D4027" s="1" t="n">
        <v>46059</v>
      </c>
      <c r="E4027" s="1" t="n">
        <v>46326</v>
      </c>
      <c r="F4027" t="inlineStr">
        <is>
          <t>GÄVLEBORGS LÄN</t>
        </is>
      </c>
      <c r="G4027" t="inlineStr">
        <is>
          <t>OVANÅKER</t>
        </is>
      </c>
      <c r="I4027" t="n">
        <v>0.9</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7203-2026</t>
        </is>
      </c>
      <c r="B4028" t="inlineStr">
        <is>
          <t>avverkningsanmälan</t>
        </is>
      </c>
      <c r="C4028" t="inlineStr">
        <is>
          <t>Föryngringsavverkning</t>
        </is>
      </c>
      <c r="D4028" s="1" t="n">
        <v>46058</v>
      </c>
      <c r="E4028" s="1" t="n">
        <v>46326</v>
      </c>
      <c r="F4028" t="inlineStr">
        <is>
          <t>GÄVLEBORGS LÄN</t>
        </is>
      </c>
      <c r="G4028" t="inlineStr">
        <is>
          <t>BOLLNÄS</t>
        </is>
      </c>
      <c r="I4028" t="n">
        <v>4.3</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7261-2026</t>
        </is>
      </c>
      <c r="B4029" t="inlineStr">
        <is>
          <t>avverkningsanmälan</t>
        </is>
      </c>
      <c r="C4029" t="inlineStr">
        <is>
          <t>Föryngringsavverkning</t>
        </is>
      </c>
      <c r="D4029" s="1" t="n">
        <v>46058</v>
      </c>
      <c r="E4029" s="1" t="n">
        <v>46326</v>
      </c>
      <c r="F4029" t="inlineStr">
        <is>
          <t>GÄVLEBORGS LÄN</t>
        </is>
      </c>
      <c r="G4029" t="inlineStr">
        <is>
          <t>BOLLNÄS</t>
        </is>
      </c>
      <c r="H4029" t="inlineStr">
        <is>
          <t>Bergvik skog väst AB</t>
        </is>
      </c>
      <c r="I4029" t="n">
        <v>3</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72997-2021</t>
        </is>
      </c>
      <c r="B4030" t="inlineStr">
        <is>
          <t>avverkningsanmälan</t>
        </is>
      </c>
      <c r="C4030" t="inlineStr">
        <is>
          <t>Föryngringsavverkning</t>
        </is>
      </c>
      <c r="D4030" s="1" t="n">
        <v>44549</v>
      </c>
      <c r="E4030" s="1" t="n">
        <v>46326</v>
      </c>
      <c r="F4030" t="inlineStr">
        <is>
          <t>GÄVLEBORGS LÄN</t>
        </is>
      </c>
      <c r="G4030" t="inlineStr">
        <is>
          <t>SANDVIKEN</t>
        </is>
      </c>
      <c r="I4030" t="n">
        <v>2.1</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7012-2025</t>
        </is>
      </c>
      <c r="B4031" t="inlineStr">
        <is>
          <t>avverkningsanmälan</t>
        </is>
      </c>
      <c r="C4031" t="inlineStr">
        <is>
          <t>Föryngringsavverkning</t>
        </is>
      </c>
      <c r="D4031" s="1" t="n">
        <v>45701</v>
      </c>
      <c r="E4031" s="1" t="n">
        <v>46326</v>
      </c>
      <c r="F4031" t="inlineStr">
        <is>
          <t>GÄVLEBORGS LÄN</t>
        </is>
      </c>
      <c r="G4031" t="inlineStr">
        <is>
          <t>NORDANSTIG</t>
        </is>
      </c>
      <c r="H4031" t="inlineStr">
        <is>
          <t>Holmen skog AB</t>
        </is>
      </c>
      <c r="I4031" t="n">
        <v>6.9</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7015-2025</t>
        </is>
      </c>
      <c r="B4032" t="inlineStr">
        <is>
          <t>avverkningsanmälan</t>
        </is>
      </c>
      <c r="C4032" t="inlineStr">
        <is>
          <t>Föryngringsavverkning</t>
        </is>
      </c>
      <c r="D4032" s="1" t="n">
        <v>45701</v>
      </c>
      <c r="E4032" s="1" t="n">
        <v>46326</v>
      </c>
      <c r="F4032" t="inlineStr">
        <is>
          <t>GÄVLEBORGS LÄN</t>
        </is>
      </c>
      <c r="G4032" t="inlineStr">
        <is>
          <t>BOLLNÄS</t>
        </is>
      </c>
      <c r="I4032" t="n">
        <v>3.2</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51267-2025</t>
        </is>
      </c>
      <c r="B4033" t="inlineStr">
        <is>
          <t>avverkningsanmälan</t>
        </is>
      </c>
      <c r="C4033" t="inlineStr">
        <is>
          <t>Föryngringsavverkning</t>
        </is>
      </c>
      <c r="D4033" s="1" t="n">
        <v>45949</v>
      </c>
      <c r="E4033" s="1" t="n">
        <v>46326</v>
      </c>
      <c r="F4033" t="inlineStr">
        <is>
          <t>GÄVLEBORGS LÄN</t>
        </is>
      </c>
      <c r="G4033" t="inlineStr">
        <is>
          <t>LJUSDAL</t>
        </is>
      </c>
      <c r="I4033" t="n">
        <v>12.2</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51314-2025</t>
        </is>
      </c>
      <c r="B4034" t="inlineStr">
        <is>
          <t>avverkningsanmälan</t>
        </is>
      </c>
      <c r="C4034" t="inlineStr">
        <is>
          <t>Föryngringsavverkning</t>
        </is>
      </c>
      <c r="D4034" s="1" t="n">
        <v>45950</v>
      </c>
      <c r="E4034" s="1" t="n">
        <v>46326</v>
      </c>
      <c r="F4034" t="inlineStr">
        <is>
          <t>GÄVLEBORGS LÄN</t>
        </is>
      </c>
      <c r="G4034" t="inlineStr">
        <is>
          <t>OVANÅKER</t>
        </is>
      </c>
      <c r="I4034" t="n">
        <v>1.5</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7032-2025</t>
        </is>
      </c>
      <c r="B4035" t="inlineStr">
        <is>
          <t>avverkningsanmälan</t>
        </is>
      </c>
      <c r="C4035" t="inlineStr">
        <is>
          <t>Föryngringsavverkning</t>
        </is>
      </c>
      <c r="D4035" s="1" t="n">
        <v>45701</v>
      </c>
      <c r="E4035" s="1" t="n">
        <v>46326</v>
      </c>
      <c r="F4035" t="inlineStr">
        <is>
          <t>GÄVLEBORGS LÄN</t>
        </is>
      </c>
      <c r="G4035" t="inlineStr">
        <is>
          <t>SANDVIKEN</t>
        </is>
      </c>
      <c r="I4035" t="n">
        <v>0.6</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7478-2025</t>
        </is>
      </c>
      <c r="B4036" t="inlineStr">
        <is>
          <t>avverkningsanmälan</t>
        </is>
      </c>
      <c r="C4036" t="inlineStr">
        <is>
          <t>Föryngringsavverkning</t>
        </is>
      </c>
      <c r="D4036" s="1" t="n">
        <v>45705</v>
      </c>
      <c r="E4036" s="1" t="n">
        <v>46326</v>
      </c>
      <c r="F4036" t="inlineStr">
        <is>
          <t>GÄVLEBORGS LÄN</t>
        </is>
      </c>
      <c r="G4036" t="inlineStr">
        <is>
          <t>OCKELBO</t>
        </is>
      </c>
      <c r="I4036" t="n">
        <v>0.9</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7559-2025</t>
        </is>
      </c>
      <c r="B4037" t="inlineStr">
        <is>
          <t>avverkningsanmälan</t>
        </is>
      </c>
      <c r="C4037" t="inlineStr">
        <is>
          <t>Föryngringsavverkning</t>
        </is>
      </c>
      <c r="D4037" s="1" t="n">
        <v>45705</v>
      </c>
      <c r="E4037" s="1" t="n">
        <v>46326</v>
      </c>
      <c r="F4037" t="inlineStr">
        <is>
          <t>GÄVLEBORGS LÄN</t>
        </is>
      </c>
      <c r="G4037" t="inlineStr">
        <is>
          <t>SÖDERHAMN</t>
        </is>
      </c>
      <c r="I4037" t="n">
        <v>1.5</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51466-2025</t>
        </is>
      </c>
      <c r="B4038" t="inlineStr">
        <is>
          <t>avverkningsanmälan</t>
        </is>
      </c>
      <c r="C4038" t="inlineStr">
        <is>
          <t>Föryngringsavverkning</t>
        </is>
      </c>
      <c r="D4038" s="1" t="n">
        <v>45950</v>
      </c>
      <c r="E4038" s="1" t="n">
        <v>46326</v>
      </c>
      <c r="F4038" t="inlineStr">
        <is>
          <t>GÄVLEBORGS LÄN</t>
        </is>
      </c>
      <c r="G4038" t="inlineStr">
        <is>
          <t>NORDANSTIG</t>
        </is>
      </c>
      <c r="I4038" t="n">
        <v>30.9</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7058-2026</t>
        </is>
      </c>
      <c r="B4039" t="inlineStr">
        <is>
          <t>avverkningsanmälan</t>
        </is>
      </c>
      <c r="C4039" t="inlineStr">
        <is>
          <t>Föryngringsavverkning</t>
        </is>
      </c>
      <c r="D4039" s="1" t="n">
        <v>46057</v>
      </c>
      <c r="E4039" s="1" t="n">
        <v>46326</v>
      </c>
      <c r="F4039" t="inlineStr">
        <is>
          <t>GÄVLEBORGS LÄN</t>
        </is>
      </c>
      <c r="G4039" t="inlineStr">
        <is>
          <t>HUDIKSVALL</t>
        </is>
      </c>
      <c r="I4039" t="n">
        <v>0.5</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7065-2026</t>
        </is>
      </c>
      <c r="B4040" t="inlineStr">
        <is>
          <t>avverkningsanmälan</t>
        </is>
      </c>
      <c r="C4040" t="inlineStr">
        <is>
          <t>Föryngringsavverkning</t>
        </is>
      </c>
      <c r="D4040" s="1" t="n">
        <v>46058</v>
      </c>
      <c r="E4040" s="1" t="n">
        <v>46326</v>
      </c>
      <c r="F4040" t="inlineStr">
        <is>
          <t>GÄVLEBORGS LÄN</t>
        </is>
      </c>
      <c r="G4040" t="inlineStr">
        <is>
          <t>OVANÅKER</t>
        </is>
      </c>
      <c r="I4040" t="n">
        <v>0.9</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43929-2023</t>
        </is>
      </c>
      <c r="B4041" t="inlineStr">
        <is>
          <t>avverkningsanmälan</t>
        </is>
      </c>
      <c r="C4041" t="inlineStr">
        <is>
          <t>Föryngringsavverkning</t>
        </is>
      </c>
      <c r="D4041" s="1" t="n">
        <v>45187</v>
      </c>
      <c r="E4041" s="1" t="n">
        <v>46326</v>
      </c>
      <c r="F4041" t="inlineStr">
        <is>
          <t>GÄVLEBORGS LÄN</t>
        </is>
      </c>
      <c r="G4041" t="inlineStr">
        <is>
          <t>HUDIKSVALL</t>
        </is>
      </c>
      <c r="I4041" t="n">
        <v>0.8</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38215-2023</t>
        </is>
      </c>
      <c r="B4042" t="inlineStr">
        <is>
          <t>avverkningsanmälan</t>
        </is>
      </c>
      <c r="C4042" t="inlineStr">
        <is>
          <t>Föryngringsavverkning</t>
        </is>
      </c>
      <c r="D4042" s="1" t="n">
        <v>45161</v>
      </c>
      <c r="E4042" s="1" t="n">
        <v>46326</v>
      </c>
      <c r="F4042" t="inlineStr">
        <is>
          <t>GÄVLEBORGS LÄN</t>
        </is>
      </c>
      <c r="G4042" t="inlineStr">
        <is>
          <t>SANDVIKEN</t>
        </is>
      </c>
      <c r="I4042" t="n">
        <v>1.6</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38255-2023</t>
        </is>
      </c>
      <c r="B4043" t="inlineStr">
        <is>
          <t>avverkningsanmälan</t>
        </is>
      </c>
      <c r="C4043" t="inlineStr">
        <is>
          <t>Föryngringsavverkning</t>
        </is>
      </c>
      <c r="D4043" s="1" t="n">
        <v>45161</v>
      </c>
      <c r="E4043" s="1" t="n">
        <v>46326</v>
      </c>
      <c r="F4043" t="inlineStr">
        <is>
          <t>GÄVLEBORGS LÄN</t>
        </is>
      </c>
      <c r="G4043" t="inlineStr">
        <is>
          <t>GÄVLE</t>
        </is>
      </c>
      <c r="H4043" t="inlineStr">
        <is>
          <t>Bergvik skog väst AB</t>
        </is>
      </c>
      <c r="I4043" t="n">
        <v>1.5</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31011-2024</t>
        </is>
      </c>
      <c r="B4044" t="inlineStr">
        <is>
          <t>avverkningsanmälan</t>
        </is>
      </c>
      <c r="C4044" t="inlineStr">
        <is>
          <t>Föryngringsavverkning</t>
        </is>
      </c>
      <c r="D4044" s="1" t="n">
        <v>45499</v>
      </c>
      <c r="E4044" s="1" t="n">
        <v>46326</v>
      </c>
      <c r="F4044" t="inlineStr">
        <is>
          <t>GÄVLEBORGS LÄN</t>
        </is>
      </c>
      <c r="G4044" t="inlineStr">
        <is>
          <t>LJUSDAL</t>
        </is>
      </c>
      <c r="I4044" t="n">
        <v>1.5</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7379-2026</t>
        </is>
      </c>
      <c r="B4045" t="inlineStr">
        <is>
          <t>avverkningsanmälan</t>
        </is>
      </c>
      <c r="C4045" t="inlineStr">
        <is>
          <t>Föryngringsavverkning</t>
        </is>
      </c>
      <c r="D4045" s="1" t="n">
        <v>46059</v>
      </c>
      <c r="E4045" s="1" t="n">
        <v>46326</v>
      </c>
      <c r="F4045" t="inlineStr">
        <is>
          <t>GÄVLEBORGS LÄN</t>
        </is>
      </c>
      <c r="G4045" t="inlineStr">
        <is>
          <t>HUDIKSVALL</t>
        </is>
      </c>
      <c r="I4045" t="n">
        <v>1.6</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51570-2025</t>
        </is>
      </c>
      <c r="B4046" t="inlineStr">
        <is>
          <t>avverkningsanmälan</t>
        </is>
      </c>
      <c r="C4046" t="inlineStr">
        <is>
          <t>Föryngringsavverkning</t>
        </is>
      </c>
      <c r="D4046" s="1" t="n">
        <v>45951</v>
      </c>
      <c r="E4046" s="1" t="n">
        <v>46326</v>
      </c>
      <c r="F4046" t="inlineStr">
        <is>
          <t>GÄVLEBORGS LÄN</t>
        </is>
      </c>
      <c r="G4046" t="inlineStr">
        <is>
          <t>OVANÅKER</t>
        </is>
      </c>
      <c r="I4046" t="n">
        <v>1.9</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32609-2023</t>
        </is>
      </c>
      <c r="B4047" t="inlineStr">
        <is>
          <t>avverkningsanmälan</t>
        </is>
      </c>
      <c r="C4047" t="inlineStr">
        <is>
          <t>Föryngringsavverkning</t>
        </is>
      </c>
      <c r="D4047" s="1" t="n">
        <v>45121</v>
      </c>
      <c r="E4047" s="1" t="n">
        <v>46326</v>
      </c>
      <c r="F4047" t="inlineStr">
        <is>
          <t>GÄVLEBORGS LÄN</t>
        </is>
      </c>
      <c r="G4047" t="inlineStr">
        <is>
          <t>SANDVIKEN</t>
        </is>
      </c>
      <c r="I4047" t="n">
        <v>3.7</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7085-2026</t>
        </is>
      </c>
      <c r="B4048" t="inlineStr">
        <is>
          <t>avverkningsanmälan</t>
        </is>
      </c>
      <c r="C4048" t="inlineStr">
        <is>
          <t>Föryngringsavverkning</t>
        </is>
      </c>
      <c r="D4048" s="1" t="n">
        <v>46058</v>
      </c>
      <c r="E4048" s="1" t="n">
        <v>46326</v>
      </c>
      <c r="F4048" t="inlineStr">
        <is>
          <t>GÄVLEBORGS LÄN</t>
        </is>
      </c>
      <c r="G4048" t="inlineStr">
        <is>
          <t>HUDIKSVALL</t>
        </is>
      </c>
      <c r="I4048" t="n">
        <v>41.1</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7139-2026</t>
        </is>
      </c>
      <c r="B4049" t="inlineStr">
        <is>
          <t>avverkningsanmälan</t>
        </is>
      </c>
      <c r="C4049" t="inlineStr">
        <is>
          <t>Föryngringsavverkning</t>
        </is>
      </c>
      <c r="D4049" s="1" t="n">
        <v>46058</v>
      </c>
      <c r="E4049" s="1" t="n">
        <v>46326</v>
      </c>
      <c r="F4049" t="inlineStr">
        <is>
          <t>GÄVLEBORGS LÄN</t>
        </is>
      </c>
      <c r="G4049" t="inlineStr">
        <is>
          <t>BOLLNÄS</t>
        </is>
      </c>
      <c r="I4049" t="n">
        <v>0.6</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7526-2026</t>
        </is>
      </c>
      <c r="B4050" t="inlineStr">
        <is>
          <t>avverkningsanmälan</t>
        </is>
      </c>
      <c r="C4050" t="inlineStr">
        <is>
          <t>Föryngringsavverkning</t>
        </is>
      </c>
      <c r="D4050" s="1" t="n">
        <v>46059</v>
      </c>
      <c r="E4050" s="1" t="n">
        <v>46326</v>
      </c>
      <c r="F4050" t="inlineStr">
        <is>
          <t>GÄVLEBORGS LÄN</t>
        </is>
      </c>
      <c r="G4050" t="inlineStr">
        <is>
          <t>LJUSDAL</t>
        </is>
      </c>
      <c r="H4050" t="inlineStr">
        <is>
          <t>Holmen skog AB</t>
        </is>
      </c>
      <c r="I4050" t="n">
        <v>0.5</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7092-2026</t>
        </is>
      </c>
      <c r="B4051" t="inlineStr">
        <is>
          <t>avverkningsanmälan</t>
        </is>
      </c>
      <c r="C4051" t="inlineStr">
        <is>
          <t>Föryngringsavverkning</t>
        </is>
      </c>
      <c r="D4051" s="1" t="n">
        <v>46058</v>
      </c>
      <c r="E4051" s="1" t="n">
        <v>46326</v>
      </c>
      <c r="F4051" t="inlineStr">
        <is>
          <t>GÄVLEBORGS LÄN</t>
        </is>
      </c>
      <c r="G4051" t="inlineStr">
        <is>
          <t>HUDIKSVALL</t>
        </is>
      </c>
      <c r="I4051" t="n">
        <v>1.9</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7094-2026</t>
        </is>
      </c>
      <c r="B4052" t="inlineStr">
        <is>
          <t>avverkningsanmälan</t>
        </is>
      </c>
      <c r="C4052" t="inlineStr">
        <is>
          <t>Föryngringsavverkning</t>
        </is>
      </c>
      <c r="D4052" s="1" t="n">
        <v>46058</v>
      </c>
      <c r="E4052" s="1" t="n">
        <v>46326</v>
      </c>
      <c r="F4052" t="inlineStr">
        <is>
          <t>GÄVLEBORGS LÄN</t>
        </is>
      </c>
      <c r="G4052" t="inlineStr">
        <is>
          <t>BOLLNÄS</t>
        </is>
      </c>
      <c r="I4052" t="n">
        <v>0.7</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7451-2026</t>
        </is>
      </c>
      <c r="B4053" t="inlineStr">
        <is>
          <t>avverkningsanmälan</t>
        </is>
      </c>
      <c r="C4053" t="inlineStr">
        <is>
          <t>Föryngringsavverkning</t>
        </is>
      </c>
      <c r="D4053" s="1" t="n">
        <v>46059</v>
      </c>
      <c r="E4053" s="1" t="n">
        <v>46326</v>
      </c>
      <c r="F4053" t="inlineStr">
        <is>
          <t>GÄVLEBORGS LÄN</t>
        </is>
      </c>
      <c r="G4053" t="inlineStr">
        <is>
          <t>LJUSDAL</t>
        </is>
      </c>
      <c r="I4053" t="n">
        <v>3.5</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5808-2026</t>
        </is>
      </c>
      <c r="B4054" t="inlineStr">
        <is>
          <t>avverkningsanmälan</t>
        </is>
      </c>
      <c r="C4054" t="inlineStr">
        <is>
          <t>Föryngringsavverkning</t>
        </is>
      </c>
      <c r="D4054" s="1" t="n">
        <v>46051</v>
      </c>
      <c r="E4054" s="1" t="n">
        <v>46326</v>
      </c>
      <c r="F4054" t="inlineStr">
        <is>
          <t>GÄVLEBORGS LÄN</t>
        </is>
      </c>
      <c r="G4054" t="inlineStr">
        <is>
          <t>BOLLNÄS</t>
        </is>
      </c>
      <c r="H4054" t="inlineStr">
        <is>
          <t>Kommuner</t>
        </is>
      </c>
      <c r="I4054" t="n">
        <v>8.9</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51649-2025</t>
        </is>
      </c>
      <c r="B4055" t="inlineStr">
        <is>
          <t>avverkningsanmälan</t>
        </is>
      </c>
      <c r="C4055" t="inlineStr">
        <is>
          <t>Föryngringsavverkning</t>
        </is>
      </c>
      <c r="D4055" s="1" t="n">
        <v>45951</v>
      </c>
      <c r="E4055" s="1" t="n">
        <v>46326</v>
      </c>
      <c r="F4055" t="inlineStr">
        <is>
          <t>GÄVLEBORGS LÄN</t>
        </is>
      </c>
      <c r="G4055" t="inlineStr">
        <is>
          <t>HUDIKSVALL</t>
        </is>
      </c>
      <c r="H4055" t="inlineStr">
        <is>
          <t>Holmen skog AB</t>
        </is>
      </c>
      <c r="I4055" t="n">
        <v>2.4</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7890-2026</t>
        </is>
      </c>
      <c r="B4056" t="inlineStr">
        <is>
          <t>avverkningsanmälan</t>
        </is>
      </c>
      <c r="C4056" t="inlineStr">
        <is>
          <t>Föryngringsavverkning</t>
        </is>
      </c>
      <c r="D4056" s="1" t="n">
        <v>46063</v>
      </c>
      <c r="E4056" s="1" t="n">
        <v>46326</v>
      </c>
      <c r="F4056" t="inlineStr">
        <is>
          <t>GÄVLEBORGS LÄN</t>
        </is>
      </c>
      <c r="G4056" t="inlineStr">
        <is>
          <t>SANDVIKEN</t>
        </is>
      </c>
      <c r="I4056" t="n">
        <v>1.3</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7891-2026</t>
        </is>
      </c>
      <c r="B4057" t="inlineStr">
        <is>
          <t>avverkningsanmälan</t>
        </is>
      </c>
      <c r="C4057" t="inlineStr">
        <is>
          <t>Föryngringsavverkning</t>
        </is>
      </c>
      <c r="D4057" s="1" t="n">
        <v>46063</v>
      </c>
      <c r="E4057" s="1" t="n">
        <v>46326</v>
      </c>
      <c r="F4057" t="inlineStr">
        <is>
          <t>GÄVLEBORGS LÄN</t>
        </is>
      </c>
      <c r="G4057" t="inlineStr">
        <is>
          <t>SÖDERHAMN</t>
        </is>
      </c>
      <c r="I4057" t="n">
        <v>0.6</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51464-2025</t>
        </is>
      </c>
      <c r="B4058" t="inlineStr">
        <is>
          <t>avverkningsanmälan</t>
        </is>
      </c>
      <c r="C4058" t="inlineStr">
        <is>
          <t>Avverkning för annat ändamål</t>
        </is>
      </c>
      <c r="D4058" s="1" t="n">
        <v>45950</v>
      </c>
      <c r="E4058" s="1" t="n">
        <v>46326</v>
      </c>
      <c r="F4058" t="inlineStr">
        <is>
          <t>GÄVLEBORGS LÄN</t>
        </is>
      </c>
      <c r="G4058" t="inlineStr">
        <is>
          <t>NORDANSTIG</t>
        </is>
      </c>
      <c r="I4058" t="n">
        <v>0.5</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58791-2023</t>
        </is>
      </c>
      <c r="B4059" t="inlineStr">
        <is>
          <t>avverkningsanmälan</t>
        </is>
      </c>
      <c r="C4059" t="inlineStr">
        <is>
          <t>Föryngringsavverkning</t>
        </is>
      </c>
      <c r="D4059" s="1" t="n">
        <v>45252</v>
      </c>
      <c r="E4059" s="1" t="n">
        <v>46326</v>
      </c>
      <c r="F4059" t="inlineStr">
        <is>
          <t>GÄVLEBORGS LÄN</t>
        </is>
      </c>
      <c r="G4059" t="inlineStr">
        <is>
          <t>OVANÅKER</t>
        </is>
      </c>
      <c r="I4059" t="n">
        <v>0.5</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8010-2026</t>
        </is>
      </c>
      <c r="B4060" t="inlineStr">
        <is>
          <t>avverkningsanmälan</t>
        </is>
      </c>
      <c r="C4060" t="inlineStr">
        <is>
          <t>Föryngringsavverkning</t>
        </is>
      </c>
      <c r="D4060" s="1" t="n">
        <v>46063</v>
      </c>
      <c r="E4060" s="1" t="n">
        <v>46326</v>
      </c>
      <c r="F4060" t="inlineStr">
        <is>
          <t>GÄVLEBORGS LÄN</t>
        </is>
      </c>
      <c r="G4060" t="inlineStr">
        <is>
          <t>BOLLNÄS</t>
        </is>
      </c>
      <c r="I4060" t="n">
        <v>4.2</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7717-2026</t>
        </is>
      </c>
      <c r="B4061" t="inlineStr">
        <is>
          <t>avverkningsanmälan</t>
        </is>
      </c>
      <c r="C4061" t="inlineStr">
        <is>
          <t>Föryngringsavverkning</t>
        </is>
      </c>
      <c r="D4061" s="1" t="n">
        <v>46062</v>
      </c>
      <c r="E4061" s="1" t="n">
        <v>46326</v>
      </c>
      <c r="F4061" t="inlineStr">
        <is>
          <t>GÄVLEBORGS LÄN</t>
        </is>
      </c>
      <c r="G4061" t="inlineStr">
        <is>
          <t>LJUSDAL</t>
        </is>
      </c>
      <c r="H4061" t="inlineStr">
        <is>
          <t>Sveaskog</t>
        </is>
      </c>
      <c r="I4061" t="n">
        <v>3.7</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7885-2026</t>
        </is>
      </c>
      <c r="B4062" t="inlineStr">
        <is>
          <t>avverkningsanmälan</t>
        </is>
      </c>
      <c r="C4062" t="inlineStr">
        <is>
          <t>Föryngringsavverkning</t>
        </is>
      </c>
      <c r="D4062" s="1" t="n">
        <v>46063</v>
      </c>
      <c r="E4062" s="1" t="n">
        <v>46326</v>
      </c>
      <c r="F4062" t="inlineStr">
        <is>
          <t>GÄVLEBORGS LÄN</t>
        </is>
      </c>
      <c r="G4062" t="inlineStr">
        <is>
          <t>SANDVIKEN</t>
        </is>
      </c>
      <c r="I4062" t="n">
        <v>0.9</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29439-2023</t>
        </is>
      </c>
      <c r="B4063" t="inlineStr">
        <is>
          <t>avverkningsanmälan</t>
        </is>
      </c>
      <c r="C4063" t="inlineStr">
        <is>
          <t>Avverkning för annat ändamål</t>
        </is>
      </c>
      <c r="D4063" s="1" t="n">
        <v>45106</v>
      </c>
      <c r="E4063" s="1" t="n">
        <v>46326</v>
      </c>
      <c r="F4063" t="inlineStr">
        <is>
          <t>GÄVLEBORGS LÄN</t>
        </is>
      </c>
      <c r="G4063" t="inlineStr">
        <is>
          <t>LJUSDAL</t>
        </is>
      </c>
      <c r="I4063" t="n">
        <v>2.8</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7660-2026</t>
        </is>
      </c>
      <c r="B4064" t="inlineStr">
        <is>
          <t>avverkningsanmälan</t>
        </is>
      </c>
      <c r="C4064" t="inlineStr">
        <is>
          <t>Föryngringsavverkning</t>
        </is>
      </c>
      <c r="D4064" s="1" t="n">
        <v>46062</v>
      </c>
      <c r="E4064" s="1" t="n">
        <v>46326</v>
      </c>
      <c r="F4064" t="inlineStr">
        <is>
          <t>GÄVLEBORGS LÄN</t>
        </is>
      </c>
      <c r="G4064" t="inlineStr">
        <is>
          <t>BOLLNÄS</t>
        </is>
      </c>
      <c r="I4064" t="n">
        <v>0.7</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7685-2026</t>
        </is>
      </c>
      <c r="B4065" t="inlineStr">
        <is>
          <t>avverkningsanmälan</t>
        </is>
      </c>
      <c r="C4065" t="inlineStr">
        <is>
          <t>Föryngringsavverkning</t>
        </is>
      </c>
      <c r="D4065" s="1" t="n">
        <v>46062</v>
      </c>
      <c r="E4065" s="1" t="n">
        <v>46326</v>
      </c>
      <c r="F4065" t="inlineStr">
        <is>
          <t>GÄVLEBORGS LÄN</t>
        </is>
      </c>
      <c r="G4065" t="inlineStr">
        <is>
          <t>NORDANSTIG</t>
        </is>
      </c>
      <c r="I4065" t="n">
        <v>7.3</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7690-2026</t>
        </is>
      </c>
      <c r="B4066" t="inlineStr">
        <is>
          <t>avverkningsanmälan</t>
        </is>
      </c>
      <c r="C4066" t="inlineStr">
        <is>
          <t>Föryngringsavverkning</t>
        </is>
      </c>
      <c r="D4066" s="1" t="n">
        <v>46062</v>
      </c>
      <c r="E4066" s="1" t="n">
        <v>46326</v>
      </c>
      <c r="F4066" t="inlineStr">
        <is>
          <t>GÄVLEBORGS LÄN</t>
        </is>
      </c>
      <c r="G4066" t="inlineStr">
        <is>
          <t>LJUSDAL</t>
        </is>
      </c>
      <c r="H4066" t="inlineStr">
        <is>
          <t>Holmen skog AB</t>
        </is>
      </c>
      <c r="I4066" t="n">
        <v>0.7</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7642-2026</t>
        </is>
      </c>
      <c r="B4067" t="inlineStr">
        <is>
          <t>avverkningsanmälan</t>
        </is>
      </c>
      <c r="C4067" t="inlineStr">
        <is>
          <t>Föryngringsavverkning</t>
        </is>
      </c>
      <c r="D4067" s="1" t="n">
        <v>46062</v>
      </c>
      <c r="E4067" s="1" t="n">
        <v>46326</v>
      </c>
      <c r="F4067" t="inlineStr">
        <is>
          <t>GÄVLEBORGS LÄN</t>
        </is>
      </c>
      <c r="G4067" t="inlineStr">
        <is>
          <t>BOLLNÄS</t>
        </is>
      </c>
      <c r="I4067" t="n">
        <v>3.2</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19421-2025</t>
        </is>
      </c>
      <c r="B4068" t="inlineStr">
        <is>
          <t>avverkningsanmälan</t>
        </is>
      </c>
      <c r="C4068" t="inlineStr">
        <is>
          <t>Föryngringsavverkning</t>
        </is>
      </c>
      <c r="D4068" s="1" t="n">
        <v>45769</v>
      </c>
      <c r="E4068" s="1" t="n">
        <v>46326</v>
      </c>
      <c r="F4068" t="inlineStr">
        <is>
          <t>GÄVLEBORGS LÄN</t>
        </is>
      </c>
      <c r="G4068" t="inlineStr">
        <is>
          <t>SANDVIKEN</t>
        </is>
      </c>
      <c r="I4068" t="n">
        <v>1.5</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51765-2025</t>
        </is>
      </c>
      <c r="B4069" t="inlineStr">
        <is>
          <t>avverkningsanmälan</t>
        </is>
      </c>
      <c r="C4069" t="inlineStr">
        <is>
          <t>Föryngringsavverkning</t>
        </is>
      </c>
      <c r="D4069" s="1" t="n">
        <v>45951</v>
      </c>
      <c r="E4069" s="1" t="n">
        <v>46326</v>
      </c>
      <c r="F4069" t="inlineStr">
        <is>
          <t>GÄVLEBORGS LÄN</t>
        </is>
      </c>
      <c r="G4069" t="inlineStr">
        <is>
          <t>HUDIKSVALL</t>
        </is>
      </c>
      <c r="I4069" t="n">
        <v>2.7</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51766-2025</t>
        </is>
      </c>
      <c r="B4070" t="inlineStr">
        <is>
          <t>avverkningsanmälan</t>
        </is>
      </c>
      <c r="C4070" t="inlineStr">
        <is>
          <t>Föryngringsavverkning</t>
        </is>
      </c>
      <c r="D4070" s="1" t="n">
        <v>45951</v>
      </c>
      <c r="E4070" s="1" t="n">
        <v>46326</v>
      </c>
      <c r="F4070" t="inlineStr">
        <is>
          <t>GÄVLEBORGS LÄN</t>
        </is>
      </c>
      <c r="G4070" t="inlineStr">
        <is>
          <t>HUDIKSVALL</t>
        </is>
      </c>
      <c r="I4070" t="n">
        <v>2.3</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42233-2023</t>
        </is>
      </c>
      <c r="B4071" t="inlineStr">
        <is>
          <t>avverkningsanmälan</t>
        </is>
      </c>
      <c r="C4071" t="inlineStr">
        <is>
          <t>Föryngringsavverkning</t>
        </is>
      </c>
      <c r="D4071" s="1" t="n">
        <v>45180</v>
      </c>
      <c r="E4071" s="1" t="n">
        <v>46326</v>
      </c>
      <c r="F4071" t="inlineStr">
        <is>
          <t>GÄVLEBORGS LÄN</t>
        </is>
      </c>
      <c r="G4071" t="inlineStr">
        <is>
          <t>BOLLNÄS</t>
        </is>
      </c>
      <c r="I4071" t="n">
        <v>2.1</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36378-2023</t>
        </is>
      </c>
      <c r="B4072" t="inlineStr">
        <is>
          <t>avverkningsanmälan</t>
        </is>
      </c>
      <c r="C4072" t="inlineStr">
        <is>
          <t>Föryngringsavverkning</t>
        </is>
      </c>
      <c r="D4072" s="1" t="n">
        <v>45152</v>
      </c>
      <c r="E4072" s="1" t="n">
        <v>46326</v>
      </c>
      <c r="F4072" t="inlineStr">
        <is>
          <t>GÄVLEBORGS LÄN</t>
        </is>
      </c>
      <c r="G4072" t="inlineStr">
        <is>
          <t>LJUSDAL</t>
        </is>
      </c>
      <c r="I4072" t="n">
        <v>1.4</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8303-2026</t>
        </is>
      </c>
      <c r="B4073" t="inlineStr">
        <is>
          <t>avverkningsanmälan</t>
        </is>
      </c>
      <c r="C4073" t="inlineStr">
        <is>
          <t>Föryngringsavverkning</t>
        </is>
      </c>
      <c r="D4073" s="1" t="n">
        <v>46063</v>
      </c>
      <c r="E4073" s="1" t="n">
        <v>46326</v>
      </c>
      <c r="F4073" t="inlineStr">
        <is>
          <t>GÄVLEBORGS LÄN</t>
        </is>
      </c>
      <c r="G4073" t="inlineStr">
        <is>
          <t>GÄVLE</t>
        </is>
      </c>
      <c r="H4073" t="inlineStr">
        <is>
          <t>Bergvik skog väst AB</t>
        </is>
      </c>
      <c r="I4073" t="n">
        <v>4.7</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7783-2026</t>
        </is>
      </c>
      <c r="B4074" t="inlineStr">
        <is>
          <t>avverkningsanmälan</t>
        </is>
      </c>
      <c r="C4074" t="inlineStr">
        <is>
          <t>Föryngringsavverkning</t>
        </is>
      </c>
      <c r="D4074" s="1" t="n">
        <v>46062</v>
      </c>
      <c r="E4074" s="1" t="n">
        <v>46326</v>
      </c>
      <c r="F4074" t="inlineStr">
        <is>
          <t>GÄVLEBORGS LÄN</t>
        </is>
      </c>
      <c r="G4074" t="inlineStr">
        <is>
          <t>NORDANSTIG</t>
        </is>
      </c>
      <c r="I4074" t="n">
        <v>1</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7831-2026</t>
        </is>
      </c>
      <c r="B4075" t="inlineStr">
        <is>
          <t>avverkningsanmälan</t>
        </is>
      </c>
      <c r="C4075" t="inlineStr">
        <is>
          <t>Föryngringsavverkning</t>
        </is>
      </c>
      <c r="D4075" s="1" t="n">
        <v>46062</v>
      </c>
      <c r="E4075" s="1" t="n">
        <v>46326</v>
      </c>
      <c r="F4075" t="inlineStr">
        <is>
          <t>GÄVLEBORGS LÄN</t>
        </is>
      </c>
      <c r="G4075" t="inlineStr">
        <is>
          <t>NORDANSTIG</t>
        </is>
      </c>
      <c r="I4075" t="n">
        <v>1.6</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7837-2026</t>
        </is>
      </c>
      <c r="B4076" t="inlineStr">
        <is>
          <t>avverkningsanmälan</t>
        </is>
      </c>
      <c r="C4076" t="inlineStr">
        <is>
          <t>Föryngringsavverkning</t>
        </is>
      </c>
      <c r="D4076" s="1" t="n">
        <v>46062</v>
      </c>
      <c r="E4076" s="1" t="n">
        <v>46326</v>
      </c>
      <c r="F4076" t="inlineStr">
        <is>
          <t>GÄVLEBORGS LÄN</t>
        </is>
      </c>
      <c r="G4076" t="inlineStr">
        <is>
          <t>SÖDERHAMN</t>
        </is>
      </c>
      <c r="I4076" t="n">
        <v>2.4</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7725-2026</t>
        </is>
      </c>
      <c r="B4077" t="inlineStr">
        <is>
          <t>avverkningsanmälan</t>
        </is>
      </c>
      <c r="C4077" t="inlineStr">
        <is>
          <t>Föryngringsavverkning</t>
        </is>
      </c>
      <c r="D4077" s="1" t="n">
        <v>46062</v>
      </c>
      <c r="E4077" s="1" t="n">
        <v>46326</v>
      </c>
      <c r="F4077" t="inlineStr">
        <is>
          <t>GÄVLEBORGS LÄN</t>
        </is>
      </c>
      <c r="G4077" t="inlineStr">
        <is>
          <t>SANDVIKEN</t>
        </is>
      </c>
      <c r="I4077" t="n">
        <v>1.6</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7781-2026</t>
        </is>
      </c>
      <c r="B4078" t="inlineStr">
        <is>
          <t>avverkningsanmälan</t>
        </is>
      </c>
      <c r="C4078" t="inlineStr">
        <is>
          <t>Föryngringsavverkning</t>
        </is>
      </c>
      <c r="D4078" s="1" t="n">
        <v>46062</v>
      </c>
      <c r="E4078" s="1" t="n">
        <v>46326</v>
      </c>
      <c r="F4078" t="inlineStr">
        <is>
          <t>GÄVLEBORGS LÄN</t>
        </is>
      </c>
      <c r="G4078" t="inlineStr">
        <is>
          <t>HUDIKSVALL</t>
        </is>
      </c>
      <c r="I4078" t="n">
        <v>10.9</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51503-2025</t>
        </is>
      </c>
      <c r="B4079" t="inlineStr">
        <is>
          <t>avverkningsanmälan</t>
        </is>
      </c>
      <c r="C4079" t="inlineStr">
        <is>
          <t>Föryngringsavverkning</t>
        </is>
      </c>
      <c r="D4079" s="1" t="n">
        <v>45950</v>
      </c>
      <c r="E4079" s="1" t="n">
        <v>46326</v>
      </c>
      <c r="F4079" t="inlineStr">
        <is>
          <t>GÄVLEBORGS LÄN</t>
        </is>
      </c>
      <c r="G4079" t="inlineStr">
        <is>
          <t>NORDANSTIG</t>
        </is>
      </c>
      <c r="I4079" t="n">
        <v>1</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3630-2025</t>
        </is>
      </c>
      <c r="B4080" t="inlineStr">
        <is>
          <t>avverkningsanmälan</t>
        </is>
      </c>
      <c r="C4080" t="inlineStr">
        <is>
          <t>Föryngringsavverkning</t>
        </is>
      </c>
      <c r="D4080" s="1" t="n">
        <v>45681</v>
      </c>
      <c r="E4080" s="1" t="n">
        <v>46326</v>
      </c>
      <c r="F4080" t="inlineStr">
        <is>
          <t>GÄVLEBORGS LÄN</t>
        </is>
      </c>
      <c r="G4080" t="inlineStr">
        <is>
          <t>BOLLNÄS</t>
        </is>
      </c>
      <c r="I4080" t="n">
        <v>1.1</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7863-2026</t>
        </is>
      </c>
      <c r="B4081" t="inlineStr">
        <is>
          <t>avverkningsanmälan</t>
        </is>
      </c>
      <c r="C4081" t="inlineStr">
        <is>
          <t>Föryngringsavverkning</t>
        </is>
      </c>
      <c r="D4081" s="1" t="n">
        <v>46062</v>
      </c>
      <c r="E4081" s="1" t="n">
        <v>46326</v>
      </c>
      <c r="F4081" t="inlineStr">
        <is>
          <t>GÄVLEBORGS LÄN</t>
        </is>
      </c>
      <c r="G4081" t="inlineStr">
        <is>
          <t>NORDANSTIG</t>
        </is>
      </c>
      <c r="I4081" t="n">
        <v>2.3</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38563-2025</t>
        </is>
      </c>
      <c r="B4082" t="inlineStr">
        <is>
          <t>avverkningsanmälan</t>
        </is>
      </c>
      <c r="C4082" t="inlineStr">
        <is>
          <t>Föryngringsavverkning</t>
        </is>
      </c>
      <c r="D4082" s="1" t="n">
        <v>45884</v>
      </c>
      <c r="E4082" s="1" t="n">
        <v>46326</v>
      </c>
      <c r="F4082" t="inlineStr">
        <is>
          <t>GÄVLEBORGS LÄN</t>
        </is>
      </c>
      <c r="G4082" t="inlineStr">
        <is>
          <t>BOLLNÄS</t>
        </is>
      </c>
      <c r="H4082" t="inlineStr">
        <is>
          <t>Kyrkan</t>
        </is>
      </c>
      <c r="I4082" t="n">
        <v>8.6</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51548-2025</t>
        </is>
      </c>
      <c r="B4083" t="inlineStr">
        <is>
          <t>avverkningsanmälan</t>
        </is>
      </c>
      <c r="C4083" t="inlineStr">
        <is>
          <t>Föryngringsavverkning</t>
        </is>
      </c>
      <c r="D4083" s="1" t="n">
        <v>45950</v>
      </c>
      <c r="E4083" s="1" t="n">
        <v>46326</v>
      </c>
      <c r="F4083" t="inlineStr">
        <is>
          <t>GÄVLEBORGS LÄN</t>
        </is>
      </c>
      <c r="G4083" t="inlineStr">
        <is>
          <t>HUDIKSVALL</t>
        </is>
      </c>
      <c r="H4083" t="inlineStr">
        <is>
          <t>Holmen skog AB</t>
        </is>
      </c>
      <c r="I4083" t="n">
        <v>5.7</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51329-2025</t>
        </is>
      </c>
      <c r="B4084" t="inlineStr">
        <is>
          <t>avverkningsanmälan</t>
        </is>
      </c>
      <c r="C4084" t="inlineStr">
        <is>
          <t>Föryngringsavverkning</t>
        </is>
      </c>
      <c r="D4084" s="1" t="n">
        <v>45950</v>
      </c>
      <c r="E4084" s="1" t="n">
        <v>46326</v>
      </c>
      <c r="F4084" t="inlineStr">
        <is>
          <t>GÄVLEBORGS LÄN</t>
        </is>
      </c>
      <c r="G4084" t="inlineStr">
        <is>
          <t>HUDIKSVALL</t>
        </is>
      </c>
      <c r="I4084" t="n">
        <v>1.1</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584-2026</t>
        </is>
      </c>
      <c r="B4085" t="inlineStr">
        <is>
          <t>avverkningsanmälan</t>
        </is>
      </c>
      <c r="C4085" t="inlineStr">
        <is>
          <t>Föryngringsavverkning</t>
        </is>
      </c>
      <c r="D4085" s="1" t="n">
        <v>46029</v>
      </c>
      <c r="E4085" s="1" t="n">
        <v>46326</v>
      </c>
      <c r="F4085" t="inlineStr">
        <is>
          <t>GÄVLEBORGS LÄN</t>
        </is>
      </c>
      <c r="G4085" t="inlineStr">
        <is>
          <t>BOLLNÄS</t>
        </is>
      </c>
      <c r="I4085" t="n">
        <v>4.7</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7640-2026</t>
        </is>
      </c>
      <c r="B4086" t="inlineStr">
        <is>
          <t>avverkningsanmälan</t>
        </is>
      </c>
      <c r="C4086" t="inlineStr">
        <is>
          <t>Föryngringsavverkning</t>
        </is>
      </c>
      <c r="D4086" s="1" t="n">
        <v>46062</v>
      </c>
      <c r="E4086" s="1" t="n">
        <v>46326</v>
      </c>
      <c r="F4086" t="inlineStr">
        <is>
          <t>GÄVLEBORGS LÄN</t>
        </is>
      </c>
      <c r="G4086" t="inlineStr">
        <is>
          <t>NORDANSTIG</t>
        </is>
      </c>
      <c r="H4086" t="inlineStr">
        <is>
          <t>Holmen skog AB</t>
        </is>
      </c>
      <c r="I4086" t="n">
        <v>35.4</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7662-2026</t>
        </is>
      </c>
      <c r="B4087" t="inlineStr">
        <is>
          <t>avverkningsanmälan</t>
        </is>
      </c>
      <c r="C4087" t="inlineStr">
        <is>
          <t>Föryngringsavverkning</t>
        </is>
      </c>
      <c r="D4087" s="1" t="n">
        <v>46062</v>
      </c>
      <c r="E4087" s="1" t="n">
        <v>46326</v>
      </c>
      <c r="F4087" t="inlineStr">
        <is>
          <t>GÄVLEBORGS LÄN</t>
        </is>
      </c>
      <c r="G4087" t="inlineStr">
        <is>
          <t>OVANÅKER</t>
        </is>
      </c>
      <c r="I4087" t="n">
        <v>2.8</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7910-2026</t>
        </is>
      </c>
      <c r="B4088" t="inlineStr">
        <is>
          <t>avverkningsanmälan</t>
        </is>
      </c>
      <c r="C4088" t="inlineStr">
        <is>
          <t>Föryngringsavverkning</t>
        </is>
      </c>
      <c r="D4088" s="1" t="n">
        <v>46063</v>
      </c>
      <c r="E4088" s="1" t="n">
        <v>46326</v>
      </c>
      <c r="F4088" t="inlineStr">
        <is>
          <t>GÄVLEBORGS LÄN</t>
        </is>
      </c>
      <c r="G4088" t="inlineStr">
        <is>
          <t>SANDVIKEN</t>
        </is>
      </c>
      <c r="I4088" t="n">
        <v>1.9</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8012-2026</t>
        </is>
      </c>
      <c r="B4089" t="inlineStr">
        <is>
          <t>avverkningsanmälan</t>
        </is>
      </c>
      <c r="C4089" t="inlineStr">
        <is>
          <t>Föryngringsavverkning</t>
        </is>
      </c>
      <c r="D4089" s="1" t="n">
        <v>46063</v>
      </c>
      <c r="E4089" s="1" t="n">
        <v>46326</v>
      </c>
      <c r="F4089" t="inlineStr">
        <is>
          <t>GÄVLEBORGS LÄN</t>
        </is>
      </c>
      <c r="G4089" t="inlineStr">
        <is>
          <t>BOLLNÄS</t>
        </is>
      </c>
      <c r="I4089" t="n">
        <v>2.1</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51680-2025</t>
        </is>
      </c>
      <c r="B4090" t="inlineStr">
        <is>
          <t>avverkningsanmälan</t>
        </is>
      </c>
      <c r="C4090" t="inlineStr">
        <is>
          <t>Föryngringsavverkning</t>
        </is>
      </c>
      <c r="D4090" s="1" t="n">
        <v>45951</v>
      </c>
      <c r="E4090" s="1" t="n">
        <v>46326</v>
      </c>
      <c r="F4090" t="inlineStr">
        <is>
          <t>GÄVLEBORGS LÄN</t>
        </is>
      </c>
      <c r="G4090" t="inlineStr">
        <is>
          <t>NORDANSTIG</t>
        </is>
      </c>
      <c r="I4090" t="n">
        <v>1.1</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7605-2026</t>
        </is>
      </c>
      <c r="B4091" t="inlineStr">
        <is>
          <t>avverkningsanmälan</t>
        </is>
      </c>
      <c r="C4091" t="inlineStr">
        <is>
          <t>Föryngringsavverkning</t>
        </is>
      </c>
      <c r="D4091" s="1" t="n">
        <v>46062</v>
      </c>
      <c r="E4091" s="1" t="n">
        <v>46326</v>
      </c>
      <c r="F4091" t="inlineStr">
        <is>
          <t>GÄVLEBORGS LÄN</t>
        </is>
      </c>
      <c r="G4091" t="inlineStr">
        <is>
          <t>SÖDERHAMN</t>
        </is>
      </c>
      <c r="I4091" t="n">
        <v>2.1</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7665-2026</t>
        </is>
      </c>
      <c r="B4092" t="inlineStr">
        <is>
          <t>avverkningsanmälan</t>
        </is>
      </c>
      <c r="C4092" t="inlineStr">
        <is>
          <t>Föryngringsavverkning</t>
        </is>
      </c>
      <c r="D4092" s="1" t="n">
        <v>46062</v>
      </c>
      <c r="E4092" s="1" t="n">
        <v>46326</v>
      </c>
      <c r="F4092" t="inlineStr">
        <is>
          <t>GÄVLEBORGS LÄN</t>
        </is>
      </c>
      <c r="G4092" t="inlineStr">
        <is>
          <t>GÄVLE</t>
        </is>
      </c>
      <c r="H4092" t="inlineStr">
        <is>
          <t>Kyrkan</t>
        </is>
      </c>
      <c r="I4092" t="n">
        <v>2.1</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7673-2026</t>
        </is>
      </c>
      <c r="B4093" t="inlineStr">
        <is>
          <t>avverkningsanmälan</t>
        </is>
      </c>
      <c r="C4093" t="inlineStr">
        <is>
          <t>Föryngringsavverkning</t>
        </is>
      </c>
      <c r="D4093" s="1" t="n">
        <v>46062</v>
      </c>
      <c r="E4093" s="1" t="n">
        <v>46326</v>
      </c>
      <c r="F4093" t="inlineStr">
        <is>
          <t>GÄVLEBORGS LÄN</t>
        </is>
      </c>
      <c r="G4093" t="inlineStr">
        <is>
          <t>GÄVLE</t>
        </is>
      </c>
      <c r="I4093" t="n">
        <v>0.5</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8001-2026</t>
        </is>
      </c>
      <c r="B4094" t="inlineStr">
        <is>
          <t>avverkningsanmälan</t>
        </is>
      </c>
      <c r="C4094" t="inlineStr">
        <is>
          <t>Föryngringsavverkning</t>
        </is>
      </c>
      <c r="D4094" s="1" t="n">
        <v>46063</v>
      </c>
      <c r="E4094" s="1" t="n">
        <v>46326</v>
      </c>
      <c r="F4094" t="inlineStr">
        <is>
          <t>GÄVLEBORGS LÄN</t>
        </is>
      </c>
      <c r="G4094" t="inlineStr">
        <is>
          <t>HUDIKSVALL</t>
        </is>
      </c>
      <c r="I4094" t="n">
        <v>5.6</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52100-2025</t>
        </is>
      </c>
      <c r="B4095" t="inlineStr">
        <is>
          <t>avverkningsanmälan</t>
        </is>
      </c>
      <c r="C4095" t="inlineStr">
        <is>
          <t>Föryngringsavverkning</t>
        </is>
      </c>
      <c r="D4095" s="1" t="n">
        <v>45952</v>
      </c>
      <c r="E4095" s="1" t="n">
        <v>46326</v>
      </c>
      <c r="F4095" t="inlineStr">
        <is>
          <t>GÄVLEBORGS LÄN</t>
        </is>
      </c>
      <c r="G4095" t="inlineStr">
        <is>
          <t>OVANÅKER</t>
        </is>
      </c>
      <c r="I4095" t="n">
        <v>0.8</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7618-2026</t>
        </is>
      </c>
      <c r="B4096" t="inlineStr">
        <is>
          <t>avverkningsanmälan</t>
        </is>
      </c>
      <c r="C4096" t="inlineStr">
        <is>
          <t>Föryngringsavverkning</t>
        </is>
      </c>
      <c r="D4096" s="1" t="n">
        <v>46062</v>
      </c>
      <c r="E4096" s="1" t="n">
        <v>46326</v>
      </c>
      <c r="F4096" t="inlineStr">
        <is>
          <t>GÄVLEBORGS LÄN</t>
        </is>
      </c>
      <c r="G4096" t="inlineStr">
        <is>
          <t>BOLLNÄS</t>
        </is>
      </c>
      <c r="I4096" t="n">
        <v>0.5</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7621-2026</t>
        </is>
      </c>
      <c r="B4097" t="inlineStr">
        <is>
          <t>avverkningsanmälan</t>
        </is>
      </c>
      <c r="C4097" t="inlineStr">
        <is>
          <t>Föryngringsavverkning</t>
        </is>
      </c>
      <c r="D4097" s="1" t="n">
        <v>46062</v>
      </c>
      <c r="E4097" s="1" t="n">
        <v>46326</v>
      </c>
      <c r="F4097" t="inlineStr">
        <is>
          <t>GÄVLEBORGS LÄN</t>
        </is>
      </c>
      <c r="G4097" t="inlineStr">
        <is>
          <t>BOLLNÄS</t>
        </is>
      </c>
      <c r="I4097" t="n">
        <v>0.6</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7798-2026</t>
        </is>
      </c>
      <c r="B4098" t="inlineStr">
        <is>
          <t>avverkningsanmälan</t>
        </is>
      </c>
      <c r="C4098" t="inlineStr">
        <is>
          <t>Föryngringsavverkning</t>
        </is>
      </c>
      <c r="D4098" s="1" t="n">
        <v>46062</v>
      </c>
      <c r="E4098" s="1" t="n">
        <v>46326</v>
      </c>
      <c r="F4098" t="inlineStr">
        <is>
          <t>GÄVLEBORGS LÄN</t>
        </is>
      </c>
      <c r="G4098" t="inlineStr">
        <is>
          <t>BOLLNÄS</t>
        </is>
      </c>
      <c r="I4098" t="n">
        <v>4</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9010-2023</t>
        </is>
      </c>
      <c r="B4099" t="inlineStr">
        <is>
          <t>avverkningsanmälan</t>
        </is>
      </c>
      <c r="C4099" t="inlineStr">
        <is>
          <t>Föryngringsavverkning</t>
        </is>
      </c>
      <c r="D4099" s="1" t="n">
        <v>44979</v>
      </c>
      <c r="E4099" s="1" t="n">
        <v>46326</v>
      </c>
      <c r="F4099" t="inlineStr">
        <is>
          <t>GÄVLEBORGS LÄN</t>
        </is>
      </c>
      <c r="G4099" t="inlineStr">
        <is>
          <t>OVANÅKER</t>
        </is>
      </c>
      <c r="I4099" t="n">
        <v>0.8</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26076-2023</t>
        </is>
      </c>
      <c r="B4100" t="inlineStr">
        <is>
          <t>avverkningsanmälan</t>
        </is>
      </c>
      <c r="C4100" t="inlineStr">
        <is>
          <t>Föryngringsavverkning</t>
        </is>
      </c>
      <c r="D4100" s="1" t="n">
        <v>45091</v>
      </c>
      <c r="E4100" s="1" t="n">
        <v>46326</v>
      </c>
      <c r="F4100" t="inlineStr">
        <is>
          <t>GÄVLEBORGS LÄN</t>
        </is>
      </c>
      <c r="G4100" t="inlineStr">
        <is>
          <t>OVANÅKER</t>
        </is>
      </c>
      <c r="I4100" t="n">
        <v>1.3</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51860-2025</t>
        </is>
      </c>
      <c r="B4101" t="inlineStr">
        <is>
          <t>avverkningsanmälan</t>
        </is>
      </c>
      <c r="C4101" t="inlineStr">
        <is>
          <t>Föryngringsavverkning</t>
        </is>
      </c>
      <c r="D4101" s="1" t="n">
        <v>45952</v>
      </c>
      <c r="E4101" s="1" t="n">
        <v>46326</v>
      </c>
      <c r="F4101" t="inlineStr">
        <is>
          <t>GÄVLEBORGS LÄN</t>
        </is>
      </c>
      <c r="G4101" t="inlineStr">
        <is>
          <t>HUDIKSVALL</t>
        </is>
      </c>
      <c r="H4101" t="inlineStr">
        <is>
          <t>Holmen skog AB</t>
        </is>
      </c>
      <c r="I4101" t="n">
        <v>3.8</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31062-2023</t>
        </is>
      </c>
      <c r="B4102" t="inlineStr">
        <is>
          <t>avverkningsanmälan</t>
        </is>
      </c>
      <c r="C4102" t="inlineStr">
        <is>
          <t>Avverkning för annat ändamål</t>
        </is>
      </c>
      <c r="D4102" s="1" t="n">
        <v>45113</v>
      </c>
      <c r="E4102" s="1" t="n">
        <v>46326</v>
      </c>
      <c r="F4102" t="inlineStr">
        <is>
          <t>GÄVLEBORGS LÄN</t>
        </is>
      </c>
      <c r="G4102" t="inlineStr">
        <is>
          <t>GÄVLE</t>
        </is>
      </c>
      <c r="H4102" t="inlineStr">
        <is>
          <t>Kommuner</t>
        </is>
      </c>
      <c r="I4102" t="n">
        <v>3.2</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6175-2025</t>
        </is>
      </c>
      <c r="B4103" t="inlineStr">
        <is>
          <t>avverkningsanmälan</t>
        </is>
      </c>
      <c r="C4103" t="inlineStr">
        <is>
          <t>Föryngringsavverkning</t>
        </is>
      </c>
      <c r="D4103" s="1" t="n">
        <v>45698</v>
      </c>
      <c r="E4103" s="1" t="n">
        <v>46326</v>
      </c>
      <c r="F4103" t="inlineStr">
        <is>
          <t>GÄVLEBORGS LÄN</t>
        </is>
      </c>
      <c r="G4103" t="inlineStr">
        <is>
          <t>SÖDERHAMN</t>
        </is>
      </c>
      <c r="I4103" t="n">
        <v>1.5</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2999-2025</t>
        </is>
      </c>
      <c r="B4104" t="inlineStr">
        <is>
          <t>avverkningsanmälan</t>
        </is>
      </c>
      <c r="C4104" t="inlineStr">
        <is>
          <t>Föryngringsavverkning</t>
        </is>
      </c>
      <c r="D4104" s="1" t="n">
        <v>45678</v>
      </c>
      <c r="E4104" s="1" t="n">
        <v>46326</v>
      </c>
      <c r="F4104" t="inlineStr">
        <is>
          <t>GÄVLEBORGS LÄN</t>
        </is>
      </c>
      <c r="G4104" t="inlineStr">
        <is>
          <t>HUDIKSVALL</t>
        </is>
      </c>
      <c r="I4104" t="n">
        <v>1.5</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7750-2026</t>
        </is>
      </c>
      <c r="B4105" t="inlineStr">
        <is>
          <t>avverkningsanmälan</t>
        </is>
      </c>
      <c r="C4105" t="inlineStr">
        <is>
          <t>Föryngringsavverkning</t>
        </is>
      </c>
      <c r="D4105" s="1" t="n">
        <v>46062</v>
      </c>
      <c r="E4105" s="1" t="n">
        <v>46326</v>
      </c>
      <c r="F4105" t="inlineStr">
        <is>
          <t>GÄVLEBORGS LÄN</t>
        </is>
      </c>
      <c r="G4105" t="inlineStr">
        <is>
          <t>OVANÅKER</t>
        </is>
      </c>
      <c r="H4105" t="inlineStr">
        <is>
          <t>Sveaskog</t>
        </is>
      </c>
      <c r="I4105" t="n">
        <v>3.1</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7765-2026</t>
        </is>
      </c>
      <c r="B4106" t="inlineStr">
        <is>
          <t>avverkningsanmälan</t>
        </is>
      </c>
      <c r="C4106" t="inlineStr">
        <is>
          <t>Föryngringsavverkning</t>
        </is>
      </c>
      <c r="D4106" s="1" t="n">
        <v>46062</v>
      </c>
      <c r="E4106" s="1" t="n">
        <v>46326</v>
      </c>
      <c r="F4106" t="inlineStr">
        <is>
          <t>GÄVLEBORGS LÄN</t>
        </is>
      </c>
      <c r="G4106" t="inlineStr">
        <is>
          <t>OCKELBO</t>
        </is>
      </c>
      <c r="I4106" t="n">
        <v>3.4</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7904-2026</t>
        </is>
      </c>
      <c r="B4107" t="inlineStr">
        <is>
          <t>avverkningsanmälan</t>
        </is>
      </c>
      <c r="C4107" t="inlineStr">
        <is>
          <t>Föryngringsavverkning</t>
        </is>
      </c>
      <c r="D4107" s="1" t="n">
        <v>46063</v>
      </c>
      <c r="E4107" s="1" t="n">
        <v>46326</v>
      </c>
      <c r="F4107" t="inlineStr">
        <is>
          <t>GÄVLEBORGS LÄN</t>
        </is>
      </c>
      <c r="G4107" t="inlineStr">
        <is>
          <t>OVANÅKER</t>
        </is>
      </c>
      <c r="I4107" t="n">
        <v>0.7</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7914-2026</t>
        </is>
      </c>
      <c r="B4108" t="inlineStr">
        <is>
          <t>avverkningsanmälan</t>
        </is>
      </c>
      <c r="C4108" t="inlineStr">
        <is>
          <t>Föryngringsavverkning</t>
        </is>
      </c>
      <c r="D4108" s="1" t="n">
        <v>46063</v>
      </c>
      <c r="E4108" s="1" t="n">
        <v>46326</v>
      </c>
      <c r="F4108" t="inlineStr">
        <is>
          <t>GÄVLEBORGS LÄN</t>
        </is>
      </c>
      <c r="G4108" t="inlineStr">
        <is>
          <t>SANDVIKEN</t>
        </is>
      </c>
      <c r="I4108" t="n">
        <v>1.8</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60491-2023</t>
        </is>
      </c>
      <c r="B4109" t="inlineStr">
        <is>
          <t>avverkningsanmälan</t>
        </is>
      </c>
      <c r="C4109" t="inlineStr">
        <is>
          <t>Föryngringsavverkning</t>
        </is>
      </c>
      <c r="D4109" s="1" t="n">
        <v>45258</v>
      </c>
      <c r="E4109" s="1" t="n">
        <v>46326</v>
      </c>
      <c r="F4109" t="inlineStr">
        <is>
          <t>GÄVLEBORGS LÄN</t>
        </is>
      </c>
      <c r="G4109" t="inlineStr">
        <is>
          <t>BOLLNÄS</t>
        </is>
      </c>
      <c r="I4109" t="n">
        <v>3.5</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8070-2026</t>
        </is>
      </c>
      <c r="B4110" t="inlineStr">
        <is>
          <t>avverkningsanmälan</t>
        </is>
      </c>
      <c r="C4110" t="inlineStr">
        <is>
          <t>Föryngringsavverkning</t>
        </is>
      </c>
      <c r="D4110" s="1" t="n">
        <v>46063</v>
      </c>
      <c r="E4110" s="1" t="n">
        <v>46326</v>
      </c>
      <c r="F4110" t="inlineStr">
        <is>
          <t>GÄVLEBORGS LÄN</t>
        </is>
      </c>
      <c r="G4110" t="inlineStr">
        <is>
          <t>BOLLNÄS</t>
        </is>
      </c>
      <c r="I4110" t="n">
        <v>1.6</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7747-2026</t>
        </is>
      </c>
      <c r="B4111" t="inlineStr">
        <is>
          <t>avverkningsanmälan</t>
        </is>
      </c>
      <c r="C4111" t="inlineStr">
        <is>
          <t>Föryngringsavverkning</t>
        </is>
      </c>
      <c r="D4111" s="1" t="n">
        <v>46062</v>
      </c>
      <c r="E4111" s="1" t="n">
        <v>46326</v>
      </c>
      <c r="F4111" t="inlineStr">
        <is>
          <t>GÄVLEBORGS LÄN</t>
        </is>
      </c>
      <c r="G4111" t="inlineStr">
        <is>
          <t>OVANÅKER</t>
        </is>
      </c>
      <c r="H4111" t="inlineStr">
        <is>
          <t>Sveaskog</t>
        </is>
      </c>
      <c r="I4111" t="n">
        <v>2.3</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7691-2026</t>
        </is>
      </c>
      <c r="B4112" t="inlineStr">
        <is>
          <t>avverkningsanmälan</t>
        </is>
      </c>
      <c r="C4112" t="inlineStr">
        <is>
          <t>Föryngringsavverkning</t>
        </is>
      </c>
      <c r="D4112" s="1" t="n">
        <v>46062</v>
      </c>
      <c r="E4112" s="1" t="n">
        <v>46326</v>
      </c>
      <c r="F4112" t="inlineStr">
        <is>
          <t>GÄVLEBORGS LÄN</t>
        </is>
      </c>
      <c r="G4112" t="inlineStr">
        <is>
          <t>NORDANSTIG</t>
        </is>
      </c>
      <c r="I4112" t="n">
        <v>5.7</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7724-2026</t>
        </is>
      </c>
      <c r="B4113" t="inlineStr">
        <is>
          <t>avverkningsanmälan</t>
        </is>
      </c>
      <c r="C4113" t="inlineStr">
        <is>
          <t>Föryngringsavverkning</t>
        </is>
      </c>
      <c r="D4113" s="1" t="n">
        <v>46062</v>
      </c>
      <c r="E4113" s="1" t="n">
        <v>46326</v>
      </c>
      <c r="F4113" t="inlineStr">
        <is>
          <t>GÄVLEBORGS LÄN</t>
        </is>
      </c>
      <c r="G4113" t="inlineStr">
        <is>
          <t>LJUSDAL</t>
        </is>
      </c>
      <c r="H4113" t="inlineStr">
        <is>
          <t>Sveaskog</t>
        </is>
      </c>
      <c r="I4113" t="n">
        <v>8.800000000000001</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52303-2025</t>
        </is>
      </c>
      <c r="B4114" t="inlineStr">
        <is>
          <t>avverkningsanmälan</t>
        </is>
      </c>
      <c r="C4114" t="inlineStr">
        <is>
          <t>Föryngringsavverkning</t>
        </is>
      </c>
      <c r="D4114" s="1" t="n">
        <v>45953</v>
      </c>
      <c r="E4114" s="1" t="n">
        <v>46326</v>
      </c>
      <c r="F4114" t="inlineStr">
        <is>
          <t>GÄVLEBORGS LÄN</t>
        </is>
      </c>
      <c r="G4114" t="inlineStr">
        <is>
          <t>BOLLNÄS</t>
        </is>
      </c>
      <c r="I4114" t="n">
        <v>1</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7569-2026</t>
        </is>
      </c>
      <c r="B4115" t="inlineStr">
        <is>
          <t>avverkningsanmälan</t>
        </is>
      </c>
      <c r="C4115" t="inlineStr">
        <is>
          <t>Föryngringsavverkning</t>
        </is>
      </c>
      <c r="D4115" s="1" t="n">
        <v>46060</v>
      </c>
      <c r="E4115" s="1" t="n">
        <v>46326</v>
      </c>
      <c r="F4115" t="inlineStr">
        <is>
          <t>GÄVLEBORGS LÄN</t>
        </is>
      </c>
      <c r="G4115" t="inlineStr">
        <is>
          <t>BOLLNÄS</t>
        </is>
      </c>
      <c r="I4115" t="n">
        <v>0.5</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52259-2025</t>
        </is>
      </c>
      <c r="B4116" t="inlineStr">
        <is>
          <t>avverkningsanmälan</t>
        </is>
      </c>
      <c r="C4116" t="inlineStr">
        <is>
          <t>Föryngringsavverkning</t>
        </is>
      </c>
      <c r="D4116" s="1" t="n">
        <v>45953</v>
      </c>
      <c r="E4116" s="1" t="n">
        <v>46326</v>
      </c>
      <c r="F4116" t="inlineStr">
        <is>
          <t>GÄVLEBORGS LÄN</t>
        </is>
      </c>
      <c r="G4116" t="inlineStr">
        <is>
          <t>OCKELBO</t>
        </is>
      </c>
      <c r="I4116" t="n">
        <v>3.3</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7877-2026</t>
        </is>
      </c>
      <c r="B4117" t="inlineStr">
        <is>
          <t>avverkningsanmälan</t>
        </is>
      </c>
      <c r="C4117" t="inlineStr">
        <is>
          <t>Föryngringsavverkning</t>
        </is>
      </c>
      <c r="D4117" s="1" t="n">
        <v>46063</v>
      </c>
      <c r="E4117" s="1" t="n">
        <v>46326</v>
      </c>
      <c r="F4117" t="inlineStr">
        <is>
          <t>GÄVLEBORGS LÄN</t>
        </is>
      </c>
      <c r="G4117" t="inlineStr">
        <is>
          <t>SANDVIKEN</t>
        </is>
      </c>
      <c r="I4117" t="n">
        <v>0.5</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7882-2026</t>
        </is>
      </c>
      <c r="B4118" t="inlineStr">
        <is>
          <t>avverkningsanmälan</t>
        </is>
      </c>
      <c r="C4118" t="inlineStr">
        <is>
          <t>Föryngringsavverkning</t>
        </is>
      </c>
      <c r="D4118" s="1" t="n">
        <v>46063</v>
      </c>
      <c r="E4118" s="1" t="n">
        <v>46326</v>
      </c>
      <c r="F4118" t="inlineStr">
        <is>
          <t>GÄVLEBORGS LÄN</t>
        </is>
      </c>
      <c r="G4118" t="inlineStr">
        <is>
          <t>SÖDERHAMN</t>
        </is>
      </c>
      <c r="I4118" t="n">
        <v>1.1</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7889-2026</t>
        </is>
      </c>
      <c r="B4119" t="inlineStr">
        <is>
          <t>avverkningsanmälan</t>
        </is>
      </c>
      <c r="C4119" t="inlineStr">
        <is>
          <t>Föryngringsavverkning</t>
        </is>
      </c>
      <c r="D4119" s="1" t="n">
        <v>46063</v>
      </c>
      <c r="E4119" s="1" t="n">
        <v>46326</v>
      </c>
      <c r="F4119" t="inlineStr">
        <is>
          <t>GÄVLEBORGS LÄN</t>
        </is>
      </c>
      <c r="G4119" t="inlineStr">
        <is>
          <t>SÖDERHAMN</t>
        </is>
      </c>
      <c r="I4119" t="n">
        <v>1.2</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42585-2023</t>
        </is>
      </c>
      <c r="B4120" t="inlineStr">
        <is>
          <t>avverkningsanmälan</t>
        </is>
      </c>
      <c r="C4120" t="inlineStr">
        <is>
          <t>Föryngringsavverkning</t>
        </is>
      </c>
      <c r="D4120" s="1" t="n">
        <v>45181</v>
      </c>
      <c r="E4120" s="1" t="n">
        <v>46326</v>
      </c>
      <c r="F4120" t="inlineStr">
        <is>
          <t>GÄVLEBORGS LÄN</t>
        </is>
      </c>
      <c r="G4120" t="inlineStr">
        <is>
          <t>OCKELBO</t>
        </is>
      </c>
      <c r="I4120" t="n">
        <v>0.7</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51877-2025</t>
        </is>
      </c>
      <c r="B4121" t="inlineStr">
        <is>
          <t>avverkningsanmälan</t>
        </is>
      </c>
      <c r="C4121" t="inlineStr">
        <is>
          <t>Föryngringsavverkning</t>
        </is>
      </c>
      <c r="D4121" s="1" t="n">
        <v>45952</v>
      </c>
      <c r="E4121" s="1" t="n">
        <v>46326</v>
      </c>
      <c r="F4121" t="inlineStr">
        <is>
          <t>GÄVLEBORGS LÄN</t>
        </is>
      </c>
      <c r="G4121" t="inlineStr">
        <is>
          <t>HUDIKSVALL</t>
        </is>
      </c>
      <c r="H4121" t="inlineStr">
        <is>
          <t>Naturvårdsverket</t>
        </is>
      </c>
      <c r="I4121" t="n">
        <v>1.4</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51878-2025</t>
        </is>
      </c>
      <c r="B4122" t="inlineStr">
        <is>
          <t>avverkningsanmälan</t>
        </is>
      </c>
      <c r="C4122" t="inlineStr">
        <is>
          <t>Föryngringsavverkning</t>
        </is>
      </c>
      <c r="D4122" s="1" t="n">
        <v>45952</v>
      </c>
      <c r="E4122" s="1" t="n">
        <v>46326</v>
      </c>
      <c r="F4122" t="inlineStr">
        <is>
          <t>GÄVLEBORGS LÄN</t>
        </is>
      </c>
      <c r="G4122" t="inlineStr">
        <is>
          <t>BOLLNÄS</t>
        </is>
      </c>
      <c r="I4122" t="n">
        <v>1.5</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51884-2025</t>
        </is>
      </c>
      <c r="B4123" t="inlineStr">
        <is>
          <t>avverkningsanmälan</t>
        </is>
      </c>
      <c r="C4123" t="inlineStr">
        <is>
          <t>Föryngringsavverkning</t>
        </is>
      </c>
      <c r="D4123" s="1" t="n">
        <v>45952</v>
      </c>
      <c r="E4123" s="1" t="n">
        <v>46326</v>
      </c>
      <c r="F4123" t="inlineStr">
        <is>
          <t>GÄVLEBORGS LÄN</t>
        </is>
      </c>
      <c r="G4123" t="inlineStr">
        <is>
          <t>BOLLNÄS</t>
        </is>
      </c>
      <c r="I4123" t="n">
        <v>2.2</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51893-2025</t>
        </is>
      </c>
      <c r="B4124" t="inlineStr">
        <is>
          <t>avverkningsanmälan</t>
        </is>
      </c>
      <c r="C4124" t="inlineStr">
        <is>
          <t>Föryngringsavverkning</t>
        </is>
      </c>
      <c r="D4124" s="1" t="n">
        <v>45952</v>
      </c>
      <c r="E4124" s="1" t="n">
        <v>46326</v>
      </c>
      <c r="F4124" t="inlineStr">
        <is>
          <t>GÄVLEBORGS LÄN</t>
        </is>
      </c>
      <c r="G4124" t="inlineStr">
        <is>
          <t>GÄVLE</t>
        </is>
      </c>
      <c r="I4124" t="n">
        <v>0.6</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51853-2025</t>
        </is>
      </c>
      <c r="B4125" t="inlineStr">
        <is>
          <t>avverkningsanmälan</t>
        </is>
      </c>
      <c r="C4125" t="inlineStr">
        <is>
          <t>Föryngringsavverkning</t>
        </is>
      </c>
      <c r="D4125" s="1" t="n">
        <v>45952</v>
      </c>
      <c r="E4125" s="1" t="n">
        <v>46326</v>
      </c>
      <c r="F4125" t="inlineStr">
        <is>
          <t>GÄVLEBORGS LÄN</t>
        </is>
      </c>
      <c r="G4125" t="inlineStr">
        <is>
          <t>BOLLNÄS</t>
        </is>
      </c>
      <c r="I4125" t="n">
        <v>1</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7944-2026</t>
        </is>
      </c>
      <c r="B4126" t="inlineStr">
        <is>
          <t>avverkningsanmälan</t>
        </is>
      </c>
      <c r="C4126" t="inlineStr">
        <is>
          <t>Avverkning för annat ändamål</t>
        </is>
      </c>
      <c r="D4126" s="1" t="n">
        <v>46063</v>
      </c>
      <c r="E4126" s="1" t="n">
        <v>46326</v>
      </c>
      <c r="F4126" t="inlineStr">
        <is>
          <t>GÄVLEBORGS LÄN</t>
        </is>
      </c>
      <c r="G4126" t="inlineStr">
        <is>
          <t>NORDANSTIG</t>
        </is>
      </c>
      <c r="I4126" t="n">
        <v>0.5</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51913-2025</t>
        </is>
      </c>
      <c r="B4127" t="inlineStr">
        <is>
          <t>avverkningsanmälan</t>
        </is>
      </c>
      <c r="C4127" t="inlineStr">
        <is>
          <t>Föryngringsavverkning</t>
        </is>
      </c>
      <c r="D4127" s="1" t="n">
        <v>45952</v>
      </c>
      <c r="E4127" s="1" t="n">
        <v>46326</v>
      </c>
      <c r="F4127" t="inlineStr">
        <is>
          <t>GÄVLEBORGS LÄN</t>
        </is>
      </c>
      <c r="G4127" t="inlineStr">
        <is>
          <t>LJUSDAL</t>
        </is>
      </c>
      <c r="H4127" t="inlineStr">
        <is>
          <t>Holmen skog AB</t>
        </is>
      </c>
      <c r="I4127" t="n">
        <v>10.8</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7702-2026</t>
        </is>
      </c>
      <c r="B4128" t="inlineStr">
        <is>
          <t>avverkningsanmälan</t>
        </is>
      </c>
      <c r="C4128" t="inlineStr">
        <is>
          <t>Föryngringsavverkning</t>
        </is>
      </c>
      <c r="D4128" s="1" t="n">
        <v>46062</v>
      </c>
      <c r="E4128" s="1" t="n">
        <v>46326</v>
      </c>
      <c r="F4128" t="inlineStr">
        <is>
          <t>GÄVLEBORGS LÄN</t>
        </is>
      </c>
      <c r="G4128" t="inlineStr">
        <is>
          <t>HUDIKSVALL</t>
        </is>
      </c>
      <c r="I4128" t="n">
        <v>1.6</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7742-2026</t>
        </is>
      </c>
      <c r="B4129" t="inlineStr">
        <is>
          <t>avverkningsanmälan</t>
        </is>
      </c>
      <c r="C4129" t="inlineStr">
        <is>
          <t>Föryngringsavverkning</t>
        </is>
      </c>
      <c r="D4129" s="1" t="n">
        <v>46062</v>
      </c>
      <c r="E4129" s="1" t="n">
        <v>46326</v>
      </c>
      <c r="F4129" t="inlineStr">
        <is>
          <t>GÄVLEBORGS LÄN</t>
        </is>
      </c>
      <c r="G4129" t="inlineStr">
        <is>
          <t>SÖDERHAMN</t>
        </is>
      </c>
      <c r="I4129" t="n">
        <v>0.9</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7769-2026</t>
        </is>
      </c>
      <c r="B4130" t="inlineStr">
        <is>
          <t>avverkningsanmälan</t>
        </is>
      </c>
      <c r="C4130" t="inlineStr">
        <is>
          <t>Föryngringsavverkning</t>
        </is>
      </c>
      <c r="D4130" s="1" t="n">
        <v>46062</v>
      </c>
      <c r="E4130" s="1" t="n">
        <v>46326</v>
      </c>
      <c r="F4130" t="inlineStr">
        <is>
          <t>GÄVLEBORGS LÄN</t>
        </is>
      </c>
      <c r="G4130" t="inlineStr">
        <is>
          <t>OCKELBO</t>
        </is>
      </c>
      <c r="I4130" t="n">
        <v>7</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26849-2024</t>
        </is>
      </c>
      <c r="B4131" t="inlineStr">
        <is>
          <t>avverkningsanmälan</t>
        </is>
      </c>
      <c r="C4131" t="inlineStr">
        <is>
          <t>Avverkning för annat ändamål</t>
        </is>
      </c>
      <c r="D4131" s="1" t="n">
        <v>45470</v>
      </c>
      <c r="E4131" s="1" t="n">
        <v>46326</v>
      </c>
      <c r="F4131" t="inlineStr">
        <is>
          <t>GÄVLEBORGS LÄN</t>
        </is>
      </c>
      <c r="G4131" t="inlineStr">
        <is>
          <t>LJUSDAL</t>
        </is>
      </c>
      <c r="I4131" t="n">
        <v>1.5</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7772-2026</t>
        </is>
      </c>
      <c r="B4132" t="inlineStr">
        <is>
          <t>avverkningsanmälan</t>
        </is>
      </c>
      <c r="C4132" t="inlineStr">
        <is>
          <t>Föryngringsavverkning</t>
        </is>
      </c>
      <c r="D4132" s="1" t="n">
        <v>46062</v>
      </c>
      <c r="E4132" s="1" t="n">
        <v>46326</v>
      </c>
      <c r="F4132" t="inlineStr">
        <is>
          <t>GÄVLEBORGS LÄN</t>
        </is>
      </c>
      <c r="G4132" t="inlineStr">
        <is>
          <t>NORDANSTIG</t>
        </is>
      </c>
      <c r="I4132" t="n">
        <v>2.3</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7893-2026</t>
        </is>
      </c>
      <c r="B4133" t="inlineStr">
        <is>
          <t>avverkningsanmälan</t>
        </is>
      </c>
      <c r="C4133" t="inlineStr">
        <is>
          <t>Föryngringsavverkning</t>
        </is>
      </c>
      <c r="D4133" s="1" t="n">
        <v>46063</v>
      </c>
      <c r="E4133" s="1" t="n">
        <v>46326</v>
      </c>
      <c r="F4133" t="inlineStr">
        <is>
          <t>GÄVLEBORGS LÄN</t>
        </is>
      </c>
      <c r="G4133" t="inlineStr">
        <is>
          <t>SÖDERHAMN</t>
        </is>
      </c>
      <c r="I4133" t="n">
        <v>2.9</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7919-2026</t>
        </is>
      </c>
      <c r="B4134" t="inlineStr">
        <is>
          <t>avverkningsanmälan</t>
        </is>
      </c>
      <c r="C4134" t="inlineStr">
        <is>
          <t>Föryngringsavverkning</t>
        </is>
      </c>
      <c r="D4134" s="1" t="n">
        <v>46063</v>
      </c>
      <c r="E4134" s="1" t="n">
        <v>46326</v>
      </c>
      <c r="F4134" t="inlineStr">
        <is>
          <t>GÄVLEBORGS LÄN</t>
        </is>
      </c>
      <c r="G4134" t="inlineStr">
        <is>
          <t>BOLLNÄS</t>
        </is>
      </c>
      <c r="I4134" t="n">
        <v>1.5</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7639-2026</t>
        </is>
      </c>
      <c r="B4135" t="inlineStr">
        <is>
          <t>avverkningsanmälan</t>
        </is>
      </c>
      <c r="C4135" t="inlineStr">
        <is>
          <t>Föryngringsavverkning</t>
        </is>
      </c>
      <c r="D4135" s="1" t="n">
        <v>46062</v>
      </c>
      <c r="E4135" s="1" t="n">
        <v>46326</v>
      </c>
      <c r="F4135" t="inlineStr">
        <is>
          <t>GÄVLEBORGS LÄN</t>
        </is>
      </c>
      <c r="G4135" t="inlineStr">
        <is>
          <t>OCKELBO</t>
        </is>
      </c>
      <c r="I4135" t="n">
        <v>4.3</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7928-2026</t>
        </is>
      </c>
      <c r="B4136" t="inlineStr">
        <is>
          <t>avverkningsanmälan</t>
        </is>
      </c>
      <c r="C4136" t="inlineStr">
        <is>
          <t>Föryngringsavverkning</t>
        </is>
      </c>
      <c r="D4136" s="1" t="n">
        <v>46063</v>
      </c>
      <c r="E4136" s="1" t="n">
        <v>46326</v>
      </c>
      <c r="F4136" t="inlineStr">
        <is>
          <t>GÄVLEBORGS LÄN</t>
        </is>
      </c>
      <c r="G4136" t="inlineStr">
        <is>
          <t>NORDANSTIG</t>
        </is>
      </c>
      <c r="I4136" t="n">
        <v>13</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7580-2026</t>
        </is>
      </c>
      <c r="B4137" t="inlineStr">
        <is>
          <t>avverkningsanmälan</t>
        </is>
      </c>
      <c r="C4137" t="inlineStr">
        <is>
          <t>Föryngringsavverkning</t>
        </is>
      </c>
      <c r="D4137" s="1" t="n">
        <v>46061</v>
      </c>
      <c r="E4137" s="1" t="n">
        <v>46326</v>
      </c>
      <c r="F4137" t="inlineStr">
        <is>
          <t>GÄVLEBORGS LÄN</t>
        </is>
      </c>
      <c r="G4137" t="inlineStr">
        <is>
          <t>HOFORS</t>
        </is>
      </c>
      <c r="I4137" t="n">
        <v>1.5</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7616-2026</t>
        </is>
      </c>
      <c r="B4138" t="inlineStr">
        <is>
          <t>avverkningsanmälan</t>
        </is>
      </c>
      <c r="C4138" t="inlineStr">
        <is>
          <t>Föryngringsavverkning</t>
        </is>
      </c>
      <c r="D4138" s="1" t="n">
        <v>46062</v>
      </c>
      <c r="E4138" s="1" t="n">
        <v>46326</v>
      </c>
      <c r="F4138" t="inlineStr">
        <is>
          <t>GÄVLEBORGS LÄN</t>
        </is>
      </c>
      <c r="G4138" t="inlineStr">
        <is>
          <t>BOLLNÄS</t>
        </is>
      </c>
      <c r="I4138" t="n">
        <v>2.2</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13632-2024</t>
        </is>
      </c>
      <c r="B4139" t="inlineStr">
        <is>
          <t>avverkningsanmälan</t>
        </is>
      </c>
      <c r="C4139" t="inlineStr">
        <is>
          <t>Föryngringsavverkning</t>
        </is>
      </c>
      <c r="D4139" s="1" t="n">
        <v>45390</v>
      </c>
      <c r="E4139" s="1" t="n">
        <v>46326</v>
      </c>
      <c r="F4139" t="inlineStr">
        <is>
          <t>GÄVLEBORGS LÄN</t>
        </is>
      </c>
      <c r="G4139" t="inlineStr">
        <is>
          <t>SANDVIKEN</t>
        </is>
      </c>
      <c r="H4139" t="inlineStr">
        <is>
          <t>Kyrkan</t>
        </is>
      </c>
      <c r="I4139" t="n">
        <v>2.6</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52156-2025</t>
        </is>
      </c>
      <c r="B4140" t="inlineStr">
        <is>
          <t>avverkningsanmälan</t>
        </is>
      </c>
      <c r="C4140" t="inlineStr">
        <is>
          <t>Föryngringsavverkning</t>
        </is>
      </c>
      <c r="D4140" s="1" t="n">
        <v>45953</v>
      </c>
      <c r="E4140" s="1" t="n">
        <v>46326</v>
      </c>
      <c r="F4140" t="inlineStr">
        <is>
          <t>GÄVLEBORGS LÄN</t>
        </is>
      </c>
      <c r="G4140" t="inlineStr">
        <is>
          <t>GÄVLE</t>
        </is>
      </c>
      <c r="I4140" t="n">
        <v>2.2</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7681-2026</t>
        </is>
      </c>
      <c r="B4141" t="inlineStr">
        <is>
          <t>avverkningsanmälan</t>
        </is>
      </c>
      <c r="C4141" t="inlineStr">
        <is>
          <t>Föryngringsavverkning</t>
        </is>
      </c>
      <c r="D4141" s="1" t="n">
        <v>46062</v>
      </c>
      <c r="E4141" s="1" t="n">
        <v>46326</v>
      </c>
      <c r="F4141" t="inlineStr">
        <is>
          <t>GÄVLEBORGS LÄN</t>
        </is>
      </c>
      <c r="G4141" t="inlineStr">
        <is>
          <t>OCKELBO</t>
        </is>
      </c>
      <c r="H4141" t="inlineStr">
        <is>
          <t>Kyrkan</t>
        </is>
      </c>
      <c r="I4141" t="n">
        <v>1.2</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7694-2026</t>
        </is>
      </c>
      <c r="B4142" t="inlineStr">
        <is>
          <t>avverkningsanmälan</t>
        </is>
      </c>
      <c r="C4142" t="inlineStr">
        <is>
          <t>Föryngringsavverkning</t>
        </is>
      </c>
      <c r="D4142" s="1" t="n">
        <v>46062</v>
      </c>
      <c r="E4142" s="1" t="n">
        <v>46326</v>
      </c>
      <c r="F4142" t="inlineStr">
        <is>
          <t>GÄVLEBORGS LÄN</t>
        </is>
      </c>
      <c r="G4142" t="inlineStr">
        <is>
          <t>SANDVIKEN</t>
        </is>
      </c>
      <c r="I4142" t="n">
        <v>0.6</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8295-2026</t>
        </is>
      </c>
      <c r="B4143" t="inlineStr">
        <is>
          <t>avverkningsanmälan</t>
        </is>
      </c>
      <c r="C4143" t="inlineStr">
        <is>
          <t>Föryngringsavverkning</t>
        </is>
      </c>
      <c r="D4143" s="1" t="n">
        <v>46063</v>
      </c>
      <c r="E4143" s="1" t="n">
        <v>46326</v>
      </c>
      <c r="F4143" t="inlineStr">
        <is>
          <t>GÄVLEBORGS LÄN</t>
        </is>
      </c>
      <c r="G4143" t="inlineStr">
        <is>
          <t>SANDVIKEN</t>
        </is>
      </c>
      <c r="H4143" t="inlineStr">
        <is>
          <t>Bergvik skog väst AB</t>
        </is>
      </c>
      <c r="I4143" t="n">
        <v>1.7</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8402-2026</t>
        </is>
      </c>
      <c r="B4144" t="inlineStr">
        <is>
          <t>avverkningsanmälan</t>
        </is>
      </c>
      <c r="C4144" t="inlineStr">
        <is>
          <t>Föryngringsavverkning</t>
        </is>
      </c>
      <c r="D4144" s="1" t="n">
        <v>46065</v>
      </c>
      <c r="E4144" s="1" t="n">
        <v>46326</v>
      </c>
      <c r="F4144" t="inlineStr">
        <is>
          <t>GÄVLEBORGS LÄN</t>
        </is>
      </c>
      <c r="G4144" t="inlineStr">
        <is>
          <t>OCKELBO</t>
        </is>
      </c>
      <c r="H4144" t="inlineStr">
        <is>
          <t>Bergvik skog väst AB</t>
        </is>
      </c>
      <c r="I4144" t="n">
        <v>1.6</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54595-2023</t>
        </is>
      </c>
      <c r="B4145" t="inlineStr">
        <is>
          <t>avverkningsanmälan</t>
        </is>
      </c>
      <c r="C4145" t="inlineStr">
        <is>
          <t>Föryngringsavverkning</t>
        </is>
      </c>
      <c r="D4145" s="1" t="n">
        <v>45233</v>
      </c>
      <c r="E4145" s="1" t="n">
        <v>46326</v>
      </c>
      <c r="F4145" t="inlineStr">
        <is>
          <t>GÄVLEBORGS LÄN</t>
        </is>
      </c>
      <c r="G4145" t="inlineStr">
        <is>
          <t>LJUSDAL</t>
        </is>
      </c>
      <c r="I4145" t="n">
        <v>2.4</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8440-2026</t>
        </is>
      </c>
      <c r="B4146" t="inlineStr">
        <is>
          <t>avverkningsanmälan</t>
        </is>
      </c>
      <c r="C4146" t="inlineStr">
        <is>
          <t>Föryngringsavverkning</t>
        </is>
      </c>
      <c r="D4146" s="1" t="n">
        <v>46065</v>
      </c>
      <c r="E4146" s="1" t="n">
        <v>46326</v>
      </c>
      <c r="F4146" t="inlineStr">
        <is>
          <t>GÄVLEBORGS LÄN</t>
        </is>
      </c>
      <c r="G4146" t="inlineStr">
        <is>
          <t>HUDIKSVALL</t>
        </is>
      </c>
      <c r="I4146" t="n">
        <v>2.4</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8480-2026</t>
        </is>
      </c>
      <c r="B4147" t="inlineStr">
        <is>
          <t>avverkningsanmälan</t>
        </is>
      </c>
      <c r="C4147" t="inlineStr">
        <is>
          <t>Föryngringsavverkning</t>
        </is>
      </c>
      <c r="D4147" s="1" t="n">
        <v>46065</v>
      </c>
      <c r="E4147" s="1" t="n">
        <v>46326</v>
      </c>
      <c r="F4147" t="inlineStr">
        <is>
          <t>GÄVLEBORGS LÄN</t>
        </is>
      </c>
      <c r="G4147" t="inlineStr">
        <is>
          <t>HUDIKSVALL</t>
        </is>
      </c>
      <c r="I4147" t="n">
        <v>2.9</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8318-2026</t>
        </is>
      </c>
      <c r="B4148" t="inlineStr">
        <is>
          <t>avverkningsanmälan</t>
        </is>
      </c>
      <c r="C4148" t="inlineStr">
        <is>
          <t>Föryngringsavverkning</t>
        </is>
      </c>
      <c r="D4148" s="1" t="n">
        <v>46064</v>
      </c>
      <c r="E4148" s="1" t="n">
        <v>46326</v>
      </c>
      <c r="F4148" t="inlineStr">
        <is>
          <t>GÄVLEBORGS LÄN</t>
        </is>
      </c>
      <c r="G4148" t="inlineStr">
        <is>
          <t>NORDANSTIG</t>
        </is>
      </c>
      <c r="I4148" t="n">
        <v>10.5</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8331-2026</t>
        </is>
      </c>
      <c r="B4149" t="inlineStr">
        <is>
          <t>avverkningsanmälan</t>
        </is>
      </c>
      <c r="C4149" t="inlineStr">
        <is>
          <t>Föryngringsavverkning</t>
        </is>
      </c>
      <c r="D4149" s="1" t="n">
        <v>46064</v>
      </c>
      <c r="E4149" s="1" t="n">
        <v>46326</v>
      </c>
      <c r="F4149" t="inlineStr">
        <is>
          <t>GÄVLEBORGS LÄN</t>
        </is>
      </c>
      <c r="G4149" t="inlineStr">
        <is>
          <t>OVANÅKER</t>
        </is>
      </c>
      <c r="I4149" t="n">
        <v>1.5</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8267-2026</t>
        </is>
      </c>
      <c r="B4150" t="inlineStr">
        <is>
          <t>avverkningsanmälan</t>
        </is>
      </c>
      <c r="C4150" t="inlineStr">
        <is>
          <t>Föryngringsavverkning</t>
        </is>
      </c>
      <c r="D4150" s="1" t="n">
        <v>46064</v>
      </c>
      <c r="E4150" s="1" t="n">
        <v>46326</v>
      </c>
      <c r="F4150" t="inlineStr">
        <is>
          <t>GÄVLEBORGS LÄN</t>
        </is>
      </c>
      <c r="G4150" t="inlineStr">
        <is>
          <t>OVANÅKER</t>
        </is>
      </c>
      <c r="I4150" t="n">
        <v>0.5</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52241-2024</t>
        </is>
      </c>
      <c r="B4151" t="inlineStr">
        <is>
          <t>avverkningsanmälan</t>
        </is>
      </c>
      <c r="C4151" t="inlineStr">
        <is>
          <t>Föryngringsavverkning</t>
        </is>
      </c>
      <c r="D4151" s="1" t="n">
        <v>45608</v>
      </c>
      <c r="E4151" s="1" t="n">
        <v>46326</v>
      </c>
      <c r="F4151" t="inlineStr">
        <is>
          <t>GÄVLEBORGS LÄN</t>
        </is>
      </c>
      <c r="G4151" t="inlineStr">
        <is>
          <t>OCKELBO</t>
        </is>
      </c>
      <c r="H4151" t="inlineStr">
        <is>
          <t>Bergvik skog väst AB</t>
        </is>
      </c>
      <c r="I4151" t="n">
        <v>7.7</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52243-2024</t>
        </is>
      </c>
      <c r="B4152" t="inlineStr">
        <is>
          <t>avverkningsanmälan</t>
        </is>
      </c>
      <c r="C4152" t="inlineStr">
        <is>
          <t>Föryngringsavverkning</t>
        </is>
      </c>
      <c r="D4152" s="1" t="n">
        <v>45608</v>
      </c>
      <c r="E4152" s="1" t="n">
        <v>46326</v>
      </c>
      <c r="F4152" t="inlineStr">
        <is>
          <t>GÄVLEBORGS LÄN</t>
        </is>
      </c>
      <c r="G4152" t="inlineStr">
        <is>
          <t>OCKELBO</t>
        </is>
      </c>
      <c r="H4152" t="inlineStr">
        <is>
          <t>Bergvik skog väst AB</t>
        </is>
      </c>
      <c r="I4152" t="n">
        <v>1.9</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26249-2022</t>
        </is>
      </c>
      <c r="B4153" t="inlineStr">
        <is>
          <t>avverkningsanmälan</t>
        </is>
      </c>
      <c r="C4153" t="inlineStr">
        <is>
          <t>Föryngringsavverkning</t>
        </is>
      </c>
      <c r="D4153" s="1" t="n">
        <v>44735</v>
      </c>
      <c r="E4153" s="1" t="n">
        <v>46326</v>
      </c>
      <c r="F4153" t="inlineStr">
        <is>
          <t>GÄVLEBORGS LÄN</t>
        </is>
      </c>
      <c r="G4153" t="inlineStr">
        <is>
          <t>GÄVLE</t>
        </is>
      </c>
      <c r="I4153" t="n">
        <v>1.2</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51897-2025</t>
        </is>
      </c>
      <c r="B4154" t="inlineStr">
        <is>
          <t>avverkningsanmälan</t>
        </is>
      </c>
      <c r="C4154" t="inlineStr">
        <is>
          <t>Föryngringsavverkning</t>
        </is>
      </c>
      <c r="D4154" s="1" t="n">
        <v>45952</v>
      </c>
      <c r="E4154" s="1" t="n">
        <v>46326</v>
      </c>
      <c r="F4154" t="inlineStr">
        <is>
          <t>GÄVLEBORGS LÄN</t>
        </is>
      </c>
      <c r="G4154" t="inlineStr">
        <is>
          <t>HUDIKSVALL</t>
        </is>
      </c>
      <c r="H4154" t="inlineStr">
        <is>
          <t>Naturvårdsverket</t>
        </is>
      </c>
      <c r="I4154" t="n">
        <v>3.2</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8274-2026</t>
        </is>
      </c>
      <c r="B4155" t="inlineStr">
        <is>
          <t>avverkningsanmälan</t>
        </is>
      </c>
      <c r="C4155" t="inlineStr">
        <is>
          <t>Föryngringsavverkning</t>
        </is>
      </c>
      <c r="D4155" s="1" t="n">
        <v>46064</v>
      </c>
      <c r="E4155" s="1" t="n">
        <v>46326</v>
      </c>
      <c r="F4155" t="inlineStr">
        <is>
          <t>GÄVLEBORGS LÄN</t>
        </is>
      </c>
      <c r="G4155" t="inlineStr">
        <is>
          <t>OCKELBO</t>
        </is>
      </c>
      <c r="I4155" t="n">
        <v>4.1</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8281-2026</t>
        </is>
      </c>
      <c r="B4156" t="inlineStr">
        <is>
          <t>avverkningsanmälan</t>
        </is>
      </c>
      <c r="C4156" t="inlineStr">
        <is>
          <t>Föryngringsavverkning</t>
        </is>
      </c>
      <c r="D4156" s="1" t="n">
        <v>46064</v>
      </c>
      <c r="E4156" s="1" t="n">
        <v>46326</v>
      </c>
      <c r="F4156" t="inlineStr">
        <is>
          <t>GÄVLEBORGS LÄN</t>
        </is>
      </c>
      <c r="G4156" t="inlineStr">
        <is>
          <t>NORDANSTIG</t>
        </is>
      </c>
      <c r="I4156" t="n">
        <v>38.1</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13683-2024</t>
        </is>
      </c>
      <c r="B4157" t="inlineStr">
        <is>
          <t>avverkningsanmälan</t>
        </is>
      </c>
      <c r="C4157" t="inlineStr">
        <is>
          <t>Föryngringsavverkning</t>
        </is>
      </c>
      <c r="D4157" s="1" t="n">
        <v>45390</v>
      </c>
      <c r="E4157" s="1" t="n">
        <v>46326</v>
      </c>
      <c r="F4157" t="inlineStr">
        <is>
          <t>GÄVLEBORGS LÄN</t>
        </is>
      </c>
      <c r="G4157" t="inlineStr">
        <is>
          <t>OVANÅKER</t>
        </is>
      </c>
      <c r="I4157" t="n">
        <v>3.7</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8166-2026</t>
        </is>
      </c>
      <c r="B4158" t="inlineStr">
        <is>
          <t>avverkningsanmälan</t>
        </is>
      </c>
      <c r="C4158" t="inlineStr">
        <is>
          <t>Föryngringsavverkning</t>
        </is>
      </c>
      <c r="D4158" s="1" t="n">
        <v>46064</v>
      </c>
      <c r="E4158" s="1" t="n">
        <v>46326</v>
      </c>
      <c r="F4158" t="inlineStr">
        <is>
          <t>GÄVLEBORGS LÄN</t>
        </is>
      </c>
      <c r="G4158" t="inlineStr">
        <is>
          <t>BOLLNÄS</t>
        </is>
      </c>
      <c r="I4158" t="n">
        <v>1</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8407-2026</t>
        </is>
      </c>
      <c r="B4159" t="inlineStr">
        <is>
          <t>avverkningsanmälan</t>
        </is>
      </c>
      <c r="C4159" t="inlineStr">
        <is>
          <t>Föryngringsavverkning</t>
        </is>
      </c>
      <c r="D4159" s="1" t="n">
        <v>46065</v>
      </c>
      <c r="E4159" s="1" t="n">
        <v>46326</v>
      </c>
      <c r="F4159" t="inlineStr">
        <is>
          <t>GÄVLEBORGS LÄN</t>
        </is>
      </c>
      <c r="G4159" t="inlineStr">
        <is>
          <t>NORDANSTIG</t>
        </is>
      </c>
      <c r="I4159" t="n">
        <v>1.8</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1259-2023</t>
        </is>
      </c>
      <c r="B4160" t="inlineStr">
        <is>
          <t>avverkningsanmälan</t>
        </is>
      </c>
      <c r="C4160" t="inlineStr">
        <is>
          <t>Föryngringsavverkning</t>
        </is>
      </c>
      <c r="D4160" s="1" t="n">
        <v>44936</v>
      </c>
      <c r="E4160" s="1" t="n">
        <v>46326</v>
      </c>
      <c r="F4160" t="inlineStr">
        <is>
          <t>GÄVLEBORGS LÄN</t>
        </is>
      </c>
      <c r="G4160" t="inlineStr">
        <is>
          <t>LJUSDAL</t>
        </is>
      </c>
      <c r="I4160" t="n">
        <v>1.7</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8346-2026</t>
        </is>
      </c>
      <c r="B4161" t="inlineStr">
        <is>
          <t>avverkningsanmälan</t>
        </is>
      </c>
      <c r="C4161" t="inlineStr">
        <is>
          <t>Föryngringsavverkning</t>
        </is>
      </c>
      <c r="D4161" s="1" t="n">
        <v>46064</v>
      </c>
      <c r="E4161" s="1" t="n">
        <v>46326</v>
      </c>
      <c r="F4161" t="inlineStr">
        <is>
          <t>GÄVLEBORGS LÄN</t>
        </is>
      </c>
      <c r="G4161" t="inlineStr">
        <is>
          <t>LJUSDAL</t>
        </is>
      </c>
      <c r="H4161" t="inlineStr">
        <is>
          <t>Bergvik skog väst AB</t>
        </is>
      </c>
      <c r="I4161" t="n">
        <v>1.9</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8370-2026</t>
        </is>
      </c>
      <c r="B4162" t="inlineStr">
        <is>
          <t>avverkningsanmälan</t>
        </is>
      </c>
      <c r="C4162" t="inlineStr">
        <is>
          <t>Föryngringsavverkning</t>
        </is>
      </c>
      <c r="D4162" s="1" t="n">
        <v>46064</v>
      </c>
      <c r="E4162" s="1" t="n">
        <v>46326</v>
      </c>
      <c r="F4162" t="inlineStr">
        <is>
          <t>GÄVLEBORGS LÄN</t>
        </is>
      </c>
      <c r="G4162" t="inlineStr">
        <is>
          <t>HUDIKSVALL</t>
        </is>
      </c>
      <c r="I4162" t="n">
        <v>2.8</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51862-2025</t>
        </is>
      </c>
      <c r="B4163" t="inlineStr">
        <is>
          <t>avverkningsanmälan</t>
        </is>
      </c>
      <c r="C4163" t="inlineStr">
        <is>
          <t>Föryngringsavverkning</t>
        </is>
      </c>
      <c r="D4163" s="1" t="n">
        <v>45952</v>
      </c>
      <c r="E4163" s="1" t="n">
        <v>46326</v>
      </c>
      <c r="F4163" t="inlineStr">
        <is>
          <t>GÄVLEBORGS LÄN</t>
        </is>
      </c>
      <c r="G4163" t="inlineStr">
        <is>
          <t>BOLLNÄS</t>
        </is>
      </c>
      <c r="I4163" t="n">
        <v>0.7</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51876-2023</t>
        </is>
      </c>
      <c r="B4164" t="inlineStr">
        <is>
          <t>avverkningsanmälan</t>
        </is>
      </c>
      <c r="C4164" t="inlineStr">
        <is>
          <t>Föryngringsavverkning</t>
        </is>
      </c>
      <c r="D4164" s="1" t="n">
        <v>45223</v>
      </c>
      <c r="E4164" s="1" t="n">
        <v>46326</v>
      </c>
      <c r="F4164" t="inlineStr">
        <is>
          <t>GÄVLEBORGS LÄN</t>
        </is>
      </c>
      <c r="G4164" t="inlineStr">
        <is>
          <t>GÄVLE</t>
        </is>
      </c>
      <c r="I4164" t="n">
        <v>3.7</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51122-2022</t>
        </is>
      </c>
      <c r="B4165" t="inlineStr">
        <is>
          <t>avverkningsanmälan</t>
        </is>
      </c>
      <c r="C4165" t="inlineStr">
        <is>
          <t>Föryngringsavverkning</t>
        </is>
      </c>
      <c r="D4165" s="1" t="n">
        <v>44868</v>
      </c>
      <c r="E4165" s="1" t="n">
        <v>46326</v>
      </c>
      <c r="F4165" t="inlineStr">
        <is>
          <t>GÄVLEBORGS LÄN</t>
        </is>
      </c>
      <c r="G4165" t="inlineStr">
        <is>
          <t>OVANÅKER</t>
        </is>
      </c>
      <c r="I4165" t="n">
        <v>1.4</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23376-2024</t>
        </is>
      </c>
      <c r="B4166" t="inlineStr">
        <is>
          <t>avverkningsanmälan</t>
        </is>
      </c>
      <c r="C4166" t="inlineStr">
        <is>
          <t>Föryngringsavverkning</t>
        </is>
      </c>
      <c r="D4166" s="1" t="n">
        <v>45453</v>
      </c>
      <c r="E4166" s="1" t="n">
        <v>46326</v>
      </c>
      <c r="F4166" t="inlineStr">
        <is>
          <t>GÄVLEBORGS LÄN</t>
        </is>
      </c>
      <c r="G4166" t="inlineStr">
        <is>
          <t>HOFORS</t>
        </is>
      </c>
      <c r="H4166" t="inlineStr">
        <is>
          <t>Sveaskog</t>
        </is>
      </c>
      <c r="I4166" t="n">
        <v>10.8</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20017-2022</t>
        </is>
      </c>
      <c r="B4167" t="inlineStr">
        <is>
          <t>avverkningsanmälan</t>
        </is>
      </c>
      <c r="C4167" t="inlineStr">
        <is>
          <t>Föryngringsavverkning</t>
        </is>
      </c>
      <c r="D4167" s="1" t="n">
        <v>44697</v>
      </c>
      <c r="E4167" s="1" t="n">
        <v>46326</v>
      </c>
      <c r="F4167" t="inlineStr">
        <is>
          <t>GÄVLEBORGS LÄN</t>
        </is>
      </c>
      <c r="G4167" t="inlineStr">
        <is>
          <t>HUDIKSVALL</t>
        </is>
      </c>
      <c r="I4167" t="n">
        <v>5.5</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20660-2022</t>
        </is>
      </c>
      <c r="B4168" t="inlineStr">
        <is>
          <t>avverkningsanmälan</t>
        </is>
      </c>
      <c r="C4168" t="inlineStr">
        <is>
          <t>Föryngringsavverkning</t>
        </is>
      </c>
      <c r="D4168" s="1" t="n">
        <v>44700</v>
      </c>
      <c r="E4168" s="1" t="n">
        <v>46326</v>
      </c>
      <c r="F4168" t="inlineStr">
        <is>
          <t>GÄVLEBORGS LÄN</t>
        </is>
      </c>
      <c r="G4168" t="inlineStr">
        <is>
          <t>OCKELBO</t>
        </is>
      </c>
      <c r="H4168" t="inlineStr">
        <is>
          <t>Bergvik skog väst AB</t>
        </is>
      </c>
      <c r="I4168" t="n">
        <v>0.9</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51892-2025</t>
        </is>
      </c>
      <c r="B4169" t="inlineStr">
        <is>
          <t>avverkningsanmälan</t>
        </is>
      </c>
      <c r="C4169" t="inlineStr">
        <is>
          <t>Föryngringsavverkning</t>
        </is>
      </c>
      <c r="D4169" s="1" t="n">
        <v>45952</v>
      </c>
      <c r="E4169" s="1" t="n">
        <v>46326</v>
      </c>
      <c r="F4169" t="inlineStr">
        <is>
          <t>GÄVLEBORGS LÄN</t>
        </is>
      </c>
      <c r="G4169" t="inlineStr">
        <is>
          <t>OCKELBO</t>
        </is>
      </c>
      <c r="H4169" t="inlineStr">
        <is>
          <t>Bergvik skog väst AB</t>
        </is>
      </c>
      <c r="I4169" t="n">
        <v>7.5</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52241-2025</t>
        </is>
      </c>
      <c r="B4170" t="inlineStr">
        <is>
          <t>avverkningsanmälan</t>
        </is>
      </c>
      <c r="C4170" t="inlineStr">
        <is>
          <t>Föryngringsavverkning</t>
        </is>
      </c>
      <c r="D4170" s="1" t="n">
        <v>45953</v>
      </c>
      <c r="E4170" s="1" t="n">
        <v>46326</v>
      </c>
      <c r="F4170" t="inlineStr">
        <is>
          <t>GÄVLEBORGS LÄN</t>
        </is>
      </c>
      <c r="G4170" t="inlineStr">
        <is>
          <t>OCKELBO</t>
        </is>
      </c>
      <c r="I4170" t="n">
        <v>1.4</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10026-2023</t>
        </is>
      </c>
      <c r="B4171" t="inlineStr">
        <is>
          <t>avverkningsanmälan</t>
        </is>
      </c>
      <c r="C4171" t="inlineStr">
        <is>
          <t>Föryngringsavverkning</t>
        </is>
      </c>
      <c r="D4171" s="1" t="n">
        <v>44985</v>
      </c>
      <c r="E4171" s="1" t="n">
        <v>46326</v>
      </c>
      <c r="F4171" t="inlineStr">
        <is>
          <t>GÄVLEBORGS LÄN</t>
        </is>
      </c>
      <c r="G4171" t="inlineStr">
        <is>
          <t>LJUSDAL</t>
        </is>
      </c>
      <c r="H4171" t="inlineStr">
        <is>
          <t>Holmen skog AB</t>
        </is>
      </c>
      <c r="I4171" t="n">
        <v>6.8</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8612-2026</t>
        </is>
      </c>
      <c r="B4172" t="inlineStr">
        <is>
          <t>avverkningsanmälan</t>
        </is>
      </c>
      <c r="C4172" t="inlineStr">
        <is>
          <t>Föryngringsavverkning</t>
        </is>
      </c>
      <c r="D4172" s="1" t="n">
        <v>46065</v>
      </c>
      <c r="E4172" s="1" t="n">
        <v>46326</v>
      </c>
      <c r="F4172" t="inlineStr">
        <is>
          <t>GÄVLEBORGS LÄN</t>
        </is>
      </c>
      <c r="G4172" t="inlineStr">
        <is>
          <t>SANDVIKEN</t>
        </is>
      </c>
      <c r="I4172" t="n">
        <v>1.3</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8608-2026</t>
        </is>
      </c>
      <c r="B4173" t="inlineStr">
        <is>
          <t>avverkningsanmälan</t>
        </is>
      </c>
      <c r="C4173" t="inlineStr">
        <is>
          <t>Föryngringsavverkning</t>
        </is>
      </c>
      <c r="D4173" s="1" t="n">
        <v>46065</v>
      </c>
      <c r="E4173" s="1" t="n">
        <v>46326</v>
      </c>
      <c r="F4173" t="inlineStr">
        <is>
          <t>GÄVLEBORGS LÄN</t>
        </is>
      </c>
      <c r="G4173" t="inlineStr">
        <is>
          <t>SANDVIKEN</t>
        </is>
      </c>
      <c r="I4173" t="n">
        <v>0.7</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58916-2023</t>
        </is>
      </c>
      <c r="B4174" t="inlineStr">
        <is>
          <t>avverkningsanmälan</t>
        </is>
      </c>
      <c r="C4174" t="inlineStr">
        <is>
          <t>Föryngringsavverkning</t>
        </is>
      </c>
      <c r="D4174" s="1" t="n">
        <v>45252</v>
      </c>
      <c r="E4174" s="1" t="n">
        <v>46326</v>
      </c>
      <c r="F4174" t="inlineStr">
        <is>
          <t>GÄVLEBORGS LÄN</t>
        </is>
      </c>
      <c r="G4174" t="inlineStr">
        <is>
          <t>SANDVIKEN</t>
        </is>
      </c>
      <c r="H4174" t="inlineStr">
        <is>
          <t>Bergvik skog öst AB</t>
        </is>
      </c>
      <c r="I4174" t="n">
        <v>0.4</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8243-2026</t>
        </is>
      </c>
      <c r="B4175" t="inlineStr">
        <is>
          <t>avverkningsanmälan</t>
        </is>
      </c>
      <c r="C4175" t="inlineStr">
        <is>
          <t>Föryngringsavverkning</t>
        </is>
      </c>
      <c r="D4175" s="1" t="n">
        <v>46064</v>
      </c>
      <c r="E4175" s="1" t="n">
        <v>46326</v>
      </c>
      <c r="F4175" t="inlineStr">
        <is>
          <t>GÄVLEBORGS LÄN</t>
        </is>
      </c>
      <c r="G4175" t="inlineStr">
        <is>
          <t>OVANÅKER</t>
        </is>
      </c>
      <c r="I4175" t="n">
        <v>0.5</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8307-2026</t>
        </is>
      </c>
      <c r="B4176" t="inlineStr">
        <is>
          <t>avverkningsanmälan</t>
        </is>
      </c>
      <c r="C4176" t="inlineStr">
        <is>
          <t>Föryngringsavverkning</t>
        </is>
      </c>
      <c r="D4176" s="1" t="n">
        <v>46064</v>
      </c>
      <c r="E4176" s="1" t="n">
        <v>46326</v>
      </c>
      <c r="F4176" t="inlineStr">
        <is>
          <t>GÄVLEBORGS LÄN</t>
        </is>
      </c>
      <c r="G4176" t="inlineStr">
        <is>
          <t>HUDIKSVALL</t>
        </is>
      </c>
      <c r="I4176" t="n">
        <v>5.6</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23284-2024</t>
        </is>
      </c>
      <c r="B4177" t="inlineStr">
        <is>
          <t>avverkningsanmälan</t>
        </is>
      </c>
      <c r="C4177" t="inlineStr">
        <is>
          <t>Föryngringsavverkning</t>
        </is>
      </c>
      <c r="D4177" s="1" t="n">
        <v>45453</v>
      </c>
      <c r="E4177" s="1" t="n">
        <v>46326</v>
      </c>
      <c r="F4177" t="inlineStr">
        <is>
          <t>GÄVLEBORGS LÄN</t>
        </is>
      </c>
      <c r="G4177" t="inlineStr">
        <is>
          <t>LJUSDAL</t>
        </is>
      </c>
      <c r="I4177" t="n">
        <v>2.5</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7679-2025</t>
        </is>
      </c>
      <c r="B4178" t="inlineStr">
        <is>
          <t>avverkningsanmälan</t>
        </is>
      </c>
      <c r="C4178" t="inlineStr">
        <is>
          <t>Föryngringsavverkning</t>
        </is>
      </c>
      <c r="D4178" s="1" t="n">
        <v>45706</v>
      </c>
      <c r="E4178" s="1" t="n">
        <v>46326</v>
      </c>
      <c r="F4178" t="inlineStr">
        <is>
          <t>GÄVLEBORGS LÄN</t>
        </is>
      </c>
      <c r="G4178" t="inlineStr">
        <is>
          <t>SANDVIKEN</t>
        </is>
      </c>
      <c r="I4178" t="n">
        <v>1</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3297-2024</t>
        </is>
      </c>
      <c r="B4179" t="inlineStr">
        <is>
          <t>avverkningsanmälan</t>
        </is>
      </c>
      <c r="C4179" t="inlineStr">
        <is>
          <t>Föryngringsavverkning</t>
        </is>
      </c>
      <c r="D4179" s="1" t="n">
        <v>45317</v>
      </c>
      <c r="E4179" s="1" t="n">
        <v>46326</v>
      </c>
      <c r="F4179" t="inlineStr">
        <is>
          <t>GÄVLEBORGS LÄN</t>
        </is>
      </c>
      <c r="G4179" t="inlineStr">
        <is>
          <t>HUDIKSVALL</t>
        </is>
      </c>
      <c r="I4179" t="n">
        <v>3</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52482-2025</t>
        </is>
      </c>
      <c r="B4180" t="inlineStr">
        <is>
          <t>avverkningsanmälan</t>
        </is>
      </c>
      <c r="C4180" t="inlineStr">
        <is>
          <t>Föryngringsavverkning</t>
        </is>
      </c>
      <c r="D4180" s="1" t="n">
        <v>45954</v>
      </c>
      <c r="E4180" s="1" t="n">
        <v>46326</v>
      </c>
      <c r="F4180" t="inlineStr">
        <is>
          <t>GÄVLEBORGS LÄN</t>
        </is>
      </c>
      <c r="G4180" t="inlineStr">
        <is>
          <t>LJUSDAL</t>
        </is>
      </c>
      <c r="I4180" t="n">
        <v>1.3</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52494-2025</t>
        </is>
      </c>
      <c r="B4181" t="inlineStr">
        <is>
          <t>avverkningsanmälan</t>
        </is>
      </c>
      <c r="C4181" t="inlineStr">
        <is>
          <t>Föryngringsavverkning</t>
        </is>
      </c>
      <c r="D4181" s="1" t="n">
        <v>45954</v>
      </c>
      <c r="E4181" s="1" t="n">
        <v>46326</v>
      </c>
      <c r="F4181" t="inlineStr">
        <is>
          <t>GÄVLEBORGS LÄN</t>
        </is>
      </c>
      <c r="G4181" t="inlineStr">
        <is>
          <t>SÖDERHAMN</t>
        </is>
      </c>
      <c r="I4181" t="n">
        <v>2.6</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9419-2025</t>
        </is>
      </c>
      <c r="B4182" t="inlineStr">
        <is>
          <t>avverkningsanmälan</t>
        </is>
      </c>
      <c r="C4182" t="inlineStr">
        <is>
          <t>Föryngringsavverkning</t>
        </is>
      </c>
      <c r="D4182" s="1" t="n">
        <v>45715</v>
      </c>
      <c r="E4182" s="1" t="n">
        <v>46326</v>
      </c>
      <c r="F4182" t="inlineStr">
        <is>
          <t>GÄVLEBORGS LÄN</t>
        </is>
      </c>
      <c r="G4182" t="inlineStr">
        <is>
          <t>GÄVLE</t>
        </is>
      </c>
      <c r="I4182" t="n">
        <v>2.2</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245-2025</t>
        </is>
      </c>
      <c r="B4183" t="inlineStr">
        <is>
          <t>avverkningsanmälan</t>
        </is>
      </c>
      <c r="C4183" t="inlineStr">
        <is>
          <t>Föryngringsavverkning</t>
        </is>
      </c>
      <c r="D4183" s="1" t="n">
        <v>45660</v>
      </c>
      <c r="E4183" s="1" t="n">
        <v>46326</v>
      </c>
      <c r="F4183" t="inlineStr">
        <is>
          <t>GÄVLEBORGS LÄN</t>
        </is>
      </c>
      <c r="G4183" t="inlineStr">
        <is>
          <t>SANDVIKEN</t>
        </is>
      </c>
      <c r="I4183" t="n">
        <v>2.9</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52970-2025</t>
        </is>
      </c>
      <c r="B4184" t="inlineStr">
        <is>
          <t>avverkningsanmälan</t>
        </is>
      </c>
      <c r="C4184" t="inlineStr">
        <is>
          <t>Avverkning för att bevara och utveckla /försöksver</t>
        </is>
      </c>
      <c r="D4184" s="1" t="n">
        <v>45957</v>
      </c>
      <c r="E4184" s="1" t="n">
        <v>46326</v>
      </c>
      <c r="F4184" t="inlineStr">
        <is>
          <t>GÄVLEBORGS LÄN</t>
        </is>
      </c>
      <c r="G4184" t="inlineStr">
        <is>
          <t>GÄVLE</t>
        </is>
      </c>
      <c r="H4184" t="inlineStr">
        <is>
          <t>Bergvik skog väst AB</t>
        </is>
      </c>
      <c r="I4184" t="n">
        <v>6.5</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8308-2026</t>
        </is>
      </c>
      <c r="B4185" t="inlineStr">
        <is>
          <t>avverkningsanmälan</t>
        </is>
      </c>
      <c r="C4185" t="inlineStr">
        <is>
          <t>Föryngringsavverkning</t>
        </is>
      </c>
      <c r="D4185" s="1" t="n">
        <v>46064</v>
      </c>
      <c r="E4185" s="1" t="n">
        <v>46326</v>
      </c>
      <c r="F4185" t="inlineStr">
        <is>
          <t>GÄVLEBORGS LÄN</t>
        </is>
      </c>
      <c r="G4185" t="inlineStr">
        <is>
          <t>OVANÅKER</t>
        </is>
      </c>
      <c r="I4185" t="n">
        <v>0.9</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8363-2026</t>
        </is>
      </c>
      <c r="B4186" t="inlineStr">
        <is>
          <t>avverkningsanmälan</t>
        </is>
      </c>
      <c r="C4186" t="inlineStr">
        <is>
          <t>Föryngringsavverkning</t>
        </is>
      </c>
      <c r="D4186" s="1" t="n">
        <v>46064</v>
      </c>
      <c r="E4186" s="1" t="n">
        <v>46326</v>
      </c>
      <c r="F4186" t="inlineStr">
        <is>
          <t>GÄVLEBORGS LÄN</t>
        </is>
      </c>
      <c r="G4186" t="inlineStr">
        <is>
          <t>SANDVIKEN</t>
        </is>
      </c>
      <c r="I4186" t="n">
        <v>3.9</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8397-2026</t>
        </is>
      </c>
      <c r="B4187" t="inlineStr">
        <is>
          <t>avverkningsanmälan</t>
        </is>
      </c>
      <c r="C4187" t="inlineStr">
        <is>
          <t>Föryngringsavverkning</t>
        </is>
      </c>
      <c r="D4187" s="1" t="n">
        <v>46065</v>
      </c>
      <c r="E4187" s="1" t="n">
        <v>46326</v>
      </c>
      <c r="F4187" t="inlineStr">
        <is>
          <t>GÄVLEBORGS LÄN</t>
        </is>
      </c>
      <c r="G4187" t="inlineStr">
        <is>
          <t>BOLLNÄS</t>
        </is>
      </c>
      <c r="I4187" t="n">
        <v>0.9</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8411-2026</t>
        </is>
      </c>
      <c r="B4188" t="inlineStr">
        <is>
          <t>avverkningsanmälan</t>
        </is>
      </c>
      <c r="C4188" t="inlineStr">
        <is>
          <t>Föryngringsavverkning</t>
        </is>
      </c>
      <c r="D4188" s="1" t="n">
        <v>46065</v>
      </c>
      <c r="E4188" s="1" t="n">
        <v>46326</v>
      </c>
      <c r="F4188" t="inlineStr">
        <is>
          <t>GÄVLEBORGS LÄN</t>
        </is>
      </c>
      <c r="G4188" t="inlineStr">
        <is>
          <t>OVANÅKER</t>
        </is>
      </c>
      <c r="I4188" t="n">
        <v>1.2</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52693-2025</t>
        </is>
      </c>
      <c r="B4189" t="inlineStr">
        <is>
          <t>avverkningsanmälan</t>
        </is>
      </c>
      <c r="C4189" t="inlineStr">
        <is>
          <t>Föryngringsavverkning</t>
        </is>
      </c>
      <c r="D4189" s="1" t="n">
        <v>45956</v>
      </c>
      <c r="E4189" s="1" t="n">
        <v>46326</v>
      </c>
      <c r="F4189" t="inlineStr">
        <is>
          <t>GÄVLEBORGS LÄN</t>
        </is>
      </c>
      <c r="G4189" t="inlineStr">
        <is>
          <t>HOFORS</t>
        </is>
      </c>
      <c r="I4189" t="n">
        <v>1.4</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8574-2026</t>
        </is>
      </c>
      <c r="B4190" t="inlineStr">
        <is>
          <t>avverkningsanmälan</t>
        </is>
      </c>
      <c r="C4190" t="inlineStr">
        <is>
          <t>Föryngringsavverkning</t>
        </is>
      </c>
      <c r="D4190" s="1" t="n">
        <v>46065</v>
      </c>
      <c r="E4190" s="1" t="n">
        <v>46326</v>
      </c>
      <c r="F4190" t="inlineStr">
        <is>
          <t>GÄVLEBORGS LÄN</t>
        </is>
      </c>
      <c r="G4190" t="inlineStr">
        <is>
          <t>SANDVIKEN</t>
        </is>
      </c>
      <c r="I4190" t="n">
        <v>4.1</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35067-2023</t>
        </is>
      </c>
      <c r="B4191" t="inlineStr">
        <is>
          <t>avverkningsanmälan</t>
        </is>
      </c>
      <c r="C4191" t="inlineStr">
        <is>
          <t>Föryngringsavverkning</t>
        </is>
      </c>
      <c r="D4191" s="1" t="n">
        <v>45145</v>
      </c>
      <c r="E4191" s="1" t="n">
        <v>46326</v>
      </c>
      <c r="F4191" t="inlineStr">
        <is>
          <t>GÄVLEBORGS LÄN</t>
        </is>
      </c>
      <c r="G4191" t="inlineStr">
        <is>
          <t>BOLLNÄS</t>
        </is>
      </c>
      <c r="I4191" t="n">
        <v>3.2</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52400-2025</t>
        </is>
      </c>
      <c r="B4192" t="inlineStr">
        <is>
          <t>avverkningsanmälan</t>
        </is>
      </c>
      <c r="C4192" t="inlineStr">
        <is>
          <t>Föryngringsavverkning</t>
        </is>
      </c>
      <c r="D4192" s="1" t="n">
        <v>45954</v>
      </c>
      <c r="E4192" s="1" t="n">
        <v>46326</v>
      </c>
      <c r="F4192" t="inlineStr">
        <is>
          <t>GÄVLEBORGS LÄN</t>
        </is>
      </c>
      <c r="G4192" t="inlineStr">
        <is>
          <t>OVANÅKER</t>
        </is>
      </c>
      <c r="I4192" t="n">
        <v>1.4</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52447-2025</t>
        </is>
      </c>
      <c r="B4193" t="inlineStr">
        <is>
          <t>avverkningsanmälan</t>
        </is>
      </c>
      <c r="C4193" t="inlineStr">
        <is>
          <t>Föryngringsavverkning</t>
        </is>
      </c>
      <c r="D4193" s="1" t="n">
        <v>45954</v>
      </c>
      <c r="E4193" s="1" t="n">
        <v>46326</v>
      </c>
      <c r="F4193" t="inlineStr">
        <is>
          <t>GÄVLEBORGS LÄN</t>
        </is>
      </c>
      <c r="G4193" t="inlineStr">
        <is>
          <t>BOLLNÄS</t>
        </is>
      </c>
      <c r="I4193" t="n">
        <v>2.7</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28240-2023</t>
        </is>
      </c>
      <c r="B4194" t="inlineStr">
        <is>
          <t>avverkningsanmälan</t>
        </is>
      </c>
      <c r="C4194" t="inlineStr">
        <is>
          <t>Föryngringsavverkning</t>
        </is>
      </c>
      <c r="D4194" s="1" t="n">
        <v>45099</v>
      </c>
      <c r="E4194" s="1" t="n">
        <v>46326</v>
      </c>
      <c r="F4194" t="inlineStr">
        <is>
          <t>GÄVLEBORGS LÄN</t>
        </is>
      </c>
      <c r="G4194" t="inlineStr">
        <is>
          <t>LJUSDAL</t>
        </is>
      </c>
      <c r="H4194" t="inlineStr">
        <is>
          <t>Holmen skog AB</t>
        </is>
      </c>
      <c r="I4194" t="n">
        <v>5.8</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28248-2023</t>
        </is>
      </c>
      <c r="B4195" t="inlineStr">
        <is>
          <t>avverkningsanmälan</t>
        </is>
      </c>
      <c r="C4195" t="inlineStr">
        <is>
          <t>Föryngringsavverkning</t>
        </is>
      </c>
      <c r="D4195" s="1" t="n">
        <v>45099</v>
      </c>
      <c r="E4195" s="1" t="n">
        <v>46326</v>
      </c>
      <c r="F4195" t="inlineStr">
        <is>
          <t>GÄVLEBORGS LÄN</t>
        </is>
      </c>
      <c r="G4195" t="inlineStr">
        <is>
          <t>LJUSDAL</t>
        </is>
      </c>
      <c r="I4195" t="n">
        <v>1.3</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52870-2025</t>
        </is>
      </c>
      <c r="B4196" t="inlineStr">
        <is>
          <t>avverkningsanmälan</t>
        </is>
      </c>
      <c r="C4196" t="inlineStr">
        <is>
          <t>Föryngringsavverkning</t>
        </is>
      </c>
      <c r="D4196" s="1" t="n">
        <v>45957</v>
      </c>
      <c r="E4196" s="1" t="n">
        <v>46326</v>
      </c>
      <c r="F4196" t="inlineStr">
        <is>
          <t>GÄVLEBORGS LÄN</t>
        </is>
      </c>
      <c r="G4196" t="inlineStr">
        <is>
          <t>HUDIKSVALL</t>
        </is>
      </c>
      <c r="I4196" t="n">
        <v>2.2</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8201-2026</t>
        </is>
      </c>
      <c r="B4197" t="inlineStr">
        <is>
          <t>avverkningsanmälan</t>
        </is>
      </c>
      <c r="C4197" t="inlineStr">
        <is>
          <t>Föryngringsavverkning</t>
        </is>
      </c>
      <c r="D4197" s="1" t="n">
        <v>46064</v>
      </c>
      <c r="E4197" s="1" t="n">
        <v>46326</v>
      </c>
      <c r="F4197" t="inlineStr">
        <is>
          <t>GÄVLEBORGS LÄN</t>
        </is>
      </c>
      <c r="G4197" t="inlineStr">
        <is>
          <t>NORDANSTIG</t>
        </is>
      </c>
      <c r="I4197" t="n">
        <v>3.5</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8214-2026</t>
        </is>
      </c>
      <c r="B4198" t="inlineStr">
        <is>
          <t>avverkningsanmälan</t>
        </is>
      </c>
      <c r="C4198" t="inlineStr">
        <is>
          <t>Föryngringsavverkning</t>
        </is>
      </c>
      <c r="D4198" s="1" t="n">
        <v>46064</v>
      </c>
      <c r="E4198" s="1" t="n">
        <v>46326</v>
      </c>
      <c r="F4198" t="inlineStr">
        <is>
          <t>GÄVLEBORGS LÄN</t>
        </is>
      </c>
      <c r="G4198" t="inlineStr">
        <is>
          <t>HUDIKSVALL</t>
        </is>
      </c>
      <c r="I4198" t="n">
        <v>1.1</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8218-2026</t>
        </is>
      </c>
      <c r="B4199" t="inlineStr">
        <is>
          <t>avverkningsanmälan</t>
        </is>
      </c>
      <c r="C4199" t="inlineStr">
        <is>
          <t>Föryngringsavverkning</t>
        </is>
      </c>
      <c r="D4199" s="1" t="n">
        <v>46064</v>
      </c>
      <c r="E4199" s="1" t="n">
        <v>46326</v>
      </c>
      <c r="F4199" t="inlineStr">
        <is>
          <t>GÄVLEBORGS LÄN</t>
        </is>
      </c>
      <c r="G4199" t="inlineStr">
        <is>
          <t>BOLLNÄS</t>
        </is>
      </c>
      <c r="H4199" t="inlineStr">
        <is>
          <t>Bergvik skog väst AB</t>
        </is>
      </c>
      <c r="I4199" t="n">
        <v>1</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8288-2026</t>
        </is>
      </c>
      <c r="B4200" t="inlineStr">
        <is>
          <t>avverkningsanmälan</t>
        </is>
      </c>
      <c r="C4200" t="inlineStr">
        <is>
          <t>Föryngringsavverkning</t>
        </is>
      </c>
      <c r="D4200" s="1" t="n">
        <v>46064</v>
      </c>
      <c r="E4200" s="1" t="n">
        <v>46326</v>
      </c>
      <c r="F4200" t="inlineStr">
        <is>
          <t>GÄVLEBORGS LÄN</t>
        </is>
      </c>
      <c r="G4200" t="inlineStr">
        <is>
          <t>NORDANSTIG</t>
        </is>
      </c>
      <c r="I4200" t="n">
        <v>2.9</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8351-2026</t>
        </is>
      </c>
      <c r="B4201" t="inlineStr">
        <is>
          <t>avverkningsanmälan</t>
        </is>
      </c>
      <c r="C4201" t="inlineStr">
        <is>
          <t>Föryngringsavverkning</t>
        </is>
      </c>
      <c r="D4201" s="1" t="n">
        <v>46064</v>
      </c>
      <c r="E4201" s="1" t="n">
        <v>46326</v>
      </c>
      <c r="F4201" t="inlineStr">
        <is>
          <t>GÄVLEBORGS LÄN</t>
        </is>
      </c>
      <c r="G4201" t="inlineStr">
        <is>
          <t>OCKELBO</t>
        </is>
      </c>
      <c r="I4201" t="n">
        <v>17.4</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8429-2026</t>
        </is>
      </c>
      <c r="B4202" t="inlineStr">
        <is>
          <t>avverkningsanmälan</t>
        </is>
      </c>
      <c r="C4202" t="inlineStr">
        <is>
          <t>Föryngringsavverkning</t>
        </is>
      </c>
      <c r="D4202" s="1" t="n">
        <v>46065</v>
      </c>
      <c r="E4202" s="1" t="n">
        <v>46326</v>
      </c>
      <c r="F4202" t="inlineStr">
        <is>
          <t>GÄVLEBORGS LÄN</t>
        </is>
      </c>
      <c r="G4202" t="inlineStr">
        <is>
          <t>OCKELBO</t>
        </is>
      </c>
      <c r="I4202" t="n">
        <v>1.6</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8471-2026</t>
        </is>
      </c>
      <c r="B4203" t="inlineStr">
        <is>
          <t>avverkningsanmälan</t>
        </is>
      </c>
      <c r="C4203" t="inlineStr">
        <is>
          <t>Föryngringsavverkning</t>
        </is>
      </c>
      <c r="D4203" s="1" t="n">
        <v>46065</v>
      </c>
      <c r="E4203" s="1" t="n">
        <v>46326</v>
      </c>
      <c r="F4203" t="inlineStr">
        <is>
          <t>GÄVLEBORGS LÄN</t>
        </is>
      </c>
      <c r="G4203" t="inlineStr">
        <is>
          <t>HUDIKSVALL</t>
        </is>
      </c>
      <c r="I4203" t="n">
        <v>2</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8406-2026</t>
        </is>
      </c>
      <c r="B4204" t="inlineStr">
        <is>
          <t>avverkningsanmälan</t>
        </is>
      </c>
      <c r="C4204" t="inlineStr">
        <is>
          <t>Föryngringsavverkning</t>
        </is>
      </c>
      <c r="D4204" s="1" t="n">
        <v>46065</v>
      </c>
      <c r="E4204" s="1" t="n">
        <v>46326</v>
      </c>
      <c r="F4204" t="inlineStr">
        <is>
          <t>GÄVLEBORGS LÄN</t>
        </is>
      </c>
      <c r="G4204" t="inlineStr">
        <is>
          <t>BOLLNÄS</t>
        </is>
      </c>
      <c r="I4204" t="n">
        <v>4.7</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8512-2026</t>
        </is>
      </c>
      <c r="B4205" t="inlineStr">
        <is>
          <t>avverkningsanmälan</t>
        </is>
      </c>
      <c r="C4205" t="inlineStr">
        <is>
          <t>Föryngringsavverkning</t>
        </is>
      </c>
      <c r="D4205" s="1" t="n">
        <v>46065</v>
      </c>
      <c r="E4205" s="1" t="n">
        <v>46326</v>
      </c>
      <c r="F4205" t="inlineStr">
        <is>
          <t>GÄVLEBORGS LÄN</t>
        </is>
      </c>
      <c r="G4205" t="inlineStr">
        <is>
          <t>HUDIKSVALL</t>
        </is>
      </c>
      <c r="I4205" t="n">
        <v>1.6</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8541-2026</t>
        </is>
      </c>
      <c r="B4206" t="inlineStr">
        <is>
          <t>avverkningsanmälan</t>
        </is>
      </c>
      <c r="C4206" t="inlineStr">
        <is>
          <t>Föryngringsavverkning</t>
        </is>
      </c>
      <c r="D4206" s="1" t="n">
        <v>46065</v>
      </c>
      <c r="E4206" s="1" t="n">
        <v>46326</v>
      </c>
      <c r="F4206" t="inlineStr">
        <is>
          <t>GÄVLEBORGS LÄN</t>
        </is>
      </c>
      <c r="G4206" t="inlineStr">
        <is>
          <t>NORDANSTIG</t>
        </is>
      </c>
      <c r="H4206" t="inlineStr">
        <is>
          <t>Holmen skog AB</t>
        </is>
      </c>
      <c r="I4206" t="n">
        <v>0.7</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8556-2026</t>
        </is>
      </c>
      <c r="B4207" t="inlineStr">
        <is>
          <t>avverkningsanmälan</t>
        </is>
      </c>
      <c r="C4207" t="inlineStr">
        <is>
          <t>Föryngringsavverkning</t>
        </is>
      </c>
      <c r="D4207" s="1" t="n">
        <v>46065</v>
      </c>
      <c r="E4207" s="1" t="n">
        <v>46326</v>
      </c>
      <c r="F4207" t="inlineStr">
        <is>
          <t>GÄVLEBORGS LÄN</t>
        </is>
      </c>
      <c r="G4207" t="inlineStr">
        <is>
          <t>LJUSDAL</t>
        </is>
      </c>
      <c r="H4207" t="inlineStr">
        <is>
          <t>Holmen skog AB</t>
        </is>
      </c>
      <c r="I4207" t="n">
        <v>2.4</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8558-2026</t>
        </is>
      </c>
      <c r="B4208" t="inlineStr">
        <is>
          <t>avverkningsanmälan</t>
        </is>
      </c>
      <c r="C4208" t="inlineStr">
        <is>
          <t>Föryngringsavverkning</t>
        </is>
      </c>
      <c r="D4208" s="1" t="n">
        <v>46065</v>
      </c>
      <c r="E4208" s="1" t="n">
        <v>46326</v>
      </c>
      <c r="F4208" t="inlineStr">
        <is>
          <t>GÄVLEBORGS LÄN</t>
        </is>
      </c>
      <c r="G4208" t="inlineStr">
        <is>
          <t>GÄVLE</t>
        </is>
      </c>
      <c r="I4208" t="n">
        <v>2.9</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4907-2026</t>
        </is>
      </c>
      <c r="B4209" t="inlineStr">
        <is>
          <t>avverkningsanmälan</t>
        </is>
      </c>
      <c r="C4209" t="inlineStr">
        <is>
          <t>Föryngringsavverkning</t>
        </is>
      </c>
      <c r="D4209" s="1" t="n">
        <v>46048</v>
      </c>
      <c r="E4209" s="1" t="n">
        <v>46326</v>
      </c>
      <c r="F4209" t="inlineStr">
        <is>
          <t>GÄVLEBORGS LÄN</t>
        </is>
      </c>
      <c r="G4209" t="inlineStr">
        <is>
          <t>BOLLNÄS</t>
        </is>
      </c>
      <c r="I4209" t="n">
        <v>0.8</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52478-2025</t>
        </is>
      </c>
      <c r="B4210" t="inlineStr">
        <is>
          <t>avverkningsanmälan</t>
        </is>
      </c>
      <c r="C4210" t="inlineStr">
        <is>
          <t>Föryngringsavverkning</t>
        </is>
      </c>
      <c r="D4210" s="1" t="n">
        <v>45954</v>
      </c>
      <c r="E4210" s="1" t="n">
        <v>46326</v>
      </c>
      <c r="F4210" t="inlineStr">
        <is>
          <t>GÄVLEBORGS LÄN</t>
        </is>
      </c>
      <c r="G4210" t="inlineStr">
        <is>
          <t>HUDIKSVALL</t>
        </is>
      </c>
      <c r="I4210" t="n">
        <v>3</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52543-2025</t>
        </is>
      </c>
      <c r="B4211" t="inlineStr">
        <is>
          <t>avverkningsanmälan</t>
        </is>
      </c>
      <c r="C4211" t="inlineStr">
        <is>
          <t>Föryngringsavverkning</t>
        </is>
      </c>
      <c r="D4211" s="1" t="n">
        <v>45954</v>
      </c>
      <c r="E4211" s="1" t="n">
        <v>46326</v>
      </c>
      <c r="F4211" t="inlineStr">
        <is>
          <t>GÄVLEBORGS LÄN</t>
        </is>
      </c>
      <c r="G4211" t="inlineStr">
        <is>
          <t>OVANÅKER</t>
        </is>
      </c>
      <c r="I4211" t="n">
        <v>0.9</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52880-2025</t>
        </is>
      </c>
      <c r="B4212" t="inlineStr">
        <is>
          <t>avverkningsanmälan</t>
        </is>
      </c>
      <c r="C4212" t="inlineStr">
        <is>
          <t>Föryngringsavverkning</t>
        </is>
      </c>
      <c r="D4212" s="1" t="n">
        <v>45957</v>
      </c>
      <c r="E4212" s="1" t="n">
        <v>46326</v>
      </c>
      <c r="F4212" t="inlineStr">
        <is>
          <t>GÄVLEBORGS LÄN</t>
        </is>
      </c>
      <c r="G4212" t="inlineStr">
        <is>
          <t>OCKELBO</t>
        </is>
      </c>
      <c r="H4212" t="inlineStr">
        <is>
          <t>Bergvik skog väst AB</t>
        </is>
      </c>
      <c r="I4212" t="n">
        <v>1.1</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5244-2024</t>
        </is>
      </c>
      <c r="B4213" t="inlineStr">
        <is>
          <t>avverkningsanmälan</t>
        </is>
      </c>
      <c r="C4213" t="inlineStr">
        <is>
          <t>Föryngringsavverkning</t>
        </is>
      </c>
      <c r="D4213" s="1" t="n">
        <v>45330</v>
      </c>
      <c r="E4213" s="1" t="n">
        <v>46326</v>
      </c>
      <c r="F4213" t="inlineStr">
        <is>
          <t>GÄVLEBORGS LÄN</t>
        </is>
      </c>
      <c r="G4213" t="inlineStr">
        <is>
          <t>SANDVIKEN</t>
        </is>
      </c>
      <c r="I4213" t="n">
        <v>8.5</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1675-2025</t>
        </is>
      </c>
      <c r="B4214" t="inlineStr">
        <is>
          <t>avverkningsanmälan</t>
        </is>
      </c>
      <c r="C4214" t="inlineStr">
        <is>
          <t>Föryngringsavverkning</t>
        </is>
      </c>
      <c r="D4214" s="1" t="n">
        <v>45670</v>
      </c>
      <c r="E4214" s="1" t="n">
        <v>46326</v>
      </c>
      <c r="F4214" t="inlineStr">
        <is>
          <t>GÄVLEBORGS LÄN</t>
        </is>
      </c>
      <c r="G4214" t="inlineStr">
        <is>
          <t>SANDVIKEN</t>
        </is>
      </c>
      <c r="I4214" t="n">
        <v>0.5</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40253-2023</t>
        </is>
      </c>
      <c r="B4215" t="inlineStr">
        <is>
          <t>avverkningsanmälan</t>
        </is>
      </c>
      <c r="C4215" t="inlineStr">
        <is>
          <t>Föryngringsavverkning</t>
        </is>
      </c>
      <c r="D4215" s="1" t="n">
        <v>45169</v>
      </c>
      <c r="E4215" s="1" t="n">
        <v>46326</v>
      </c>
      <c r="F4215" t="inlineStr">
        <is>
          <t>GÄVLEBORGS LÄN</t>
        </is>
      </c>
      <c r="G4215" t="inlineStr">
        <is>
          <t>LJUSDAL</t>
        </is>
      </c>
      <c r="I4215" t="n">
        <v>9.300000000000001</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8182-2026</t>
        </is>
      </c>
      <c r="B4216" t="inlineStr">
        <is>
          <t>avverkningsanmälan</t>
        </is>
      </c>
      <c r="C4216" t="inlineStr">
        <is>
          <t>Föryngringsavverkning</t>
        </is>
      </c>
      <c r="D4216" s="1" t="n">
        <v>46064</v>
      </c>
      <c r="E4216" s="1" t="n">
        <v>46326</v>
      </c>
      <c r="F4216" t="inlineStr">
        <is>
          <t>GÄVLEBORGS LÄN</t>
        </is>
      </c>
      <c r="G4216" t="inlineStr">
        <is>
          <t>NORDANSTIG</t>
        </is>
      </c>
      <c r="I4216" t="n">
        <v>19</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52913-2025</t>
        </is>
      </c>
      <c r="B4217" t="inlineStr">
        <is>
          <t>avverkningsanmälan</t>
        </is>
      </c>
      <c r="C4217" t="inlineStr">
        <is>
          <t>Föryngringsavverkning</t>
        </is>
      </c>
      <c r="D4217" s="1" t="n">
        <v>45957</v>
      </c>
      <c r="E4217" s="1" t="n">
        <v>46326</v>
      </c>
      <c r="F4217" t="inlineStr">
        <is>
          <t>GÄVLEBORGS LÄN</t>
        </is>
      </c>
      <c r="G4217" t="inlineStr">
        <is>
          <t>SÖDERHAMN</t>
        </is>
      </c>
      <c r="I4217" t="n">
        <v>2.4</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50827-2025</t>
        </is>
      </c>
      <c r="B4218" t="inlineStr">
        <is>
          <t>avverkningsanmälan</t>
        </is>
      </c>
      <c r="C4218" t="inlineStr">
        <is>
          <t>Föryngringsavverkning</t>
        </is>
      </c>
      <c r="D4218" s="1" t="n">
        <v>45946</v>
      </c>
      <c r="E4218" s="1" t="n">
        <v>46326</v>
      </c>
      <c r="F4218" t="inlineStr">
        <is>
          <t>GÄVLEBORGS LÄN</t>
        </is>
      </c>
      <c r="G4218" t="inlineStr">
        <is>
          <t>NORDANSTIG</t>
        </is>
      </c>
      <c r="I4218" t="n">
        <v>6.5</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52890-2025</t>
        </is>
      </c>
      <c r="B4219" t="inlineStr">
        <is>
          <t>avverkningsanmälan</t>
        </is>
      </c>
      <c r="C4219" t="inlineStr">
        <is>
          <t>Föryngringsavverkning</t>
        </is>
      </c>
      <c r="D4219" s="1" t="n">
        <v>45957</v>
      </c>
      <c r="E4219" s="1" t="n">
        <v>46326</v>
      </c>
      <c r="F4219" t="inlineStr">
        <is>
          <t>GÄVLEBORGS LÄN</t>
        </is>
      </c>
      <c r="G4219" t="inlineStr">
        <is>
          <t>LJUSDAL</t>
        </is>
      </c>
      <c r="I4219" t="n">
        <v>0.6</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52886-2025</t>
        </is>
      </c>
      <c r="B4220" t="inlineStr">
        <is>
          <t>avverkningsanmälan</t>
        </is>
      </c>
      <c r="C4220" t="inlineStr">
        <is>
          <t>Föryngringsavverkning</t>
        </is>
      </c>
      <c r="D4220" s="1" t="n">
        <v>45957</v>
      </c>
      <c r="E4220" s="1" t="n">
        <v>46326</v>
      </c>
      <c r="F4220" t="inlineStr">
        <is>
          <t>GÄVLEBORGS LÄN</t>
        </is>
      </c>
      <c r="G4220" t="inlineStr">
        <is>
          <t>SÖDERHAMN</t>
        </is>
      </c>
      <c r="I4220" t="n">
        <v>1.7</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58955-2023</t>
        </is>
      </c>
      <c r="B4221" t="inlineStr">
        <is>
          <t>avverkningsanmälan</t>
        </is>
      </c>
      <c r="C4221" t="inlineStr">
        <is>
          <t>Föryngringsavverkning</t>
        </is>
      </c>
      <c r="D4221" s="1" t="n">
        <v>45252</v>
      </c>
      <c r="E4221" s="1" t="n">
        <v>46326</v>
      </c>
      <c r="F4221" t="inlineStr">
        <is>
          <t>GÄVLEBORGS LÄN</t>
        </is>
      </c>
      <c r="G4221" t="inlineStr">
        <is>
          <t>HOFORS</t>
        </is>
      </c>
      <c r="I4221" t="n">
        <v>1.4</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3077-2025</t>
        </is>
      </c>
      <c r="B4222" t="inlineStr">
        <is>
          <t>avverkningsanmälan</t>
        </is>
      </c>
      <c r="C4222" t="inlineStr">
        <is>
          <t>Föryngringsavverkning</t>
        </is>
      </c>
      <c r="D4222" s="1" t="n">
        <v>45678</v>
      </c>
      <c r="E4222" s="1" t="n">
        <v>46326</v>
      </c>
      <c r="F4222" t="inlineStr">
        <is>
          <t>GÄVLEBORGS LÄN</t>
        </is>
      </c>
      <c r="G4222" t="inlineStr">
        <is>
          <t>HUDIKSVALL</t>
        </is>
      </c>
      <c r="I4222" t="n">
        <v>4.9</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11101-2024</t>
        </is>
      </c>
      <c r="B4223" t="inlineStr">
        <is>
          <t>avverkningsanmälan</t>
        </is>
      </c>
      <c r="C4223" t="inlineStr">
        <is>
          <t>Föryngringsavverkning</t>
        </is>
      </c>
      <c r="D4223" s="1" t="n">
        <v>45371</v>
      </c>
      <c r="E4223" s="1" t="n">
        <v>46326</v>
      </c>
      <c r="F4223" t="inlineStr">
        <is>
          <t>GÄVLEBORGS LÄN</t>
        </is>
      </c>
      <c r="G4223" t="inlineStr">
        <is>
          <t>HUDIKSVALL</t>
        </is>
      </c>
      <c r="H4223" t="inlineStr">
        <is>
          <t>Holmen skog AB</t>
        </is>
      </c>
      <c r="I4223" t="n">
        <v>9.800000000000001</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8213-2026</t>
        </is>
      </c>
      <c r="B4224" t="inlineStr">
        <is>
          <t>avverkningsanmälan</t>
        </is>
      </c>
      <c r="C4224" t="inlineStr">
        <is>
          <t>Föryngringsavverkning</t>
        </is>
      </c>
      <c r="D4224" s="1" t="n">
        <v>46064</v>
      </c>
      <c r="E4224" s="1" t="n">
        <v>46326</v>
      </c>
      <c r="F4224" t="inlineStr">
        <is>
          <t>GÄVLEBORGS LÄN</t>
        </is>
      </c>
      <c r="G4224" t="inlineStr">
        <is>
          <t>OVANÅKER</t>
        </is>
      </c>
      <c r="I4224" t="n">
        <v>0.7</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8174-2026</t>
        </is>
      </c>
      <c r="B4225" t="inlineStr">
        <is>
          <t>avverkningsanmälan</t>
        </is>
      </c>
      <c r="C4225" t="inlineStr">
        <is>
          <t>Föryngringsavverkning</t>
        </is>
      </c>
      <c r="D4225" s="1" t="n">
        <v>46064</v>
      </c>
      <c r="E4225" s="1" t="n">
        <v>46326</v>
      </c>
      <c r="F4225" t="inlineStr">
        <is>
          <t>GÄVLEBORGS LÄN</t>
        </is>
      </c>
      <c r="G4225" t="inlineStr">
        <is>
          <t>BOLLNÄS</t>
        </is>
      </c>
      <c r="I4225" t="n">
        <v>1.8</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8181-2026</t>
        </is>
      </c>
      <c r="B4226" t="inlineStr">
        <is>
          <t>avverkningsanmälan</t>
        </is>
      </c>
      <c r="C4226" t="inlineStr">
        <is>
          <t>Föryngringsavverkning</t>
        </is>
      </c>
      <c r="D4226" s="1" t="n">
        <v>46064</v>
      </c>
      <c r="E4226" s="1" t="n">
        <v>46326</v>
      </c>
      <c r="F4226" t="inlineStr">
        <is>
          <t>GÄVLEBORGS LÄN</t>
        </is>
      </c>
      <c r="G4226" t="inlineStr">
        <is>
          <t>BOLLNÄS</t>
        </is>
      </c>
      <c r="I4226" t="n">
        <v>0.9</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8184-2026</t>
        </is>
      </c>
      <c r="B4227" t="inlineStr">
        <is>
          <t>avverkningsanmälan</t>
        </is>
      </c>
      <c r="C4227" t="inlineStr">
        <is>
          <t>Föryngringsavverkning</t>
        </is>
      </c>
      <c r="D4227" s="1" t="n">
        <v>46064</v>
      </c>
      <c r="E4227" s="1" t="n">
        <v>46326</v>
      </c>
      <c r="F4227" t="inlineStr">
        <is>
          <t>GÄVLEBORGS LÄN</t>
        </is>
      </c>
      <c r="G4227" t="inlineStr">
        <is>
          <t>BOLLNÄS</t>
        </is>
      </c>
      <c r="I4227" t="n">
        <v>1</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52635-2025</t>
        </is>
      </c>
      <c r="B4228" t="inlineStr">
        <is>
          <t>avverkningsanmälan</t>
        </is>
      </c>
      <c r="C4228" t="inlineStr">
        <is>
          <t>Föryngringsavverkning</t>
        </is>
      </c>
      <c r="D4228" s="1" t="n">
        <v>45954</v>
      </c>
      <c r="E4228" s="1" t="n">
        <v>46326</v>
      </c>
      <c r="F4228" t="inlineStr">
        <is>
          <t>GÄVLEBORGS LÄN</t>
        </is>
      </c>
      <c r="G4228" t="inlineStr">
        <is>
          <t>OCKELBO</t>
        </is>
      </c>
      <c r="H4228" t="inlineStr">
        <is>
          <t>Bergvik skog väst AB</t>
        </is>
      </c>
      <c r="I4228" t="n">
        <v>5.1</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8354-2026</t>
        </is>
      </c>
      <c r="B4229" t="inlineStr">
        <is>
          <t>avverkningsanmälan</t>
        </is>
      </c>
      <c r="C4229" t="inlineStr">
        <is>
          <t>Föryngringsavverkning</t>
        </is>
      </c>
      <c r="D4229" s="1" t="n">
        <v>46064</v>
      </c>
      <c r="E4229" s="1" t="n">
        <v>46326</v>
      </c>
      <c r="F4229" t="inlineStr">
        <is>
          <t>GÄVLEBORGS LÄN</t>
        </is>
      </c>
      <c r="G4229" t="inlineStr">
        <is>
          <t>OCKELBO</t>
        </is>
      </c>
      <c r="H4229" t="inlineStr">
        <is>
          <t>Bergvik skog väst AB</t>
        </is>
      </c>
      <c r="I4229" t="n">
        <v>3.3</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52839-2025</t>
        </is>
      </c>
      <c r="B4230" t="inlineStr">
        <is>
          <t>avverkningsanmälan</t>
        </is>
      </c>
      <c r="C4230" t="inlineStr">
        <is>
          <t>Föryngringsavverkning</t>
        </is>
      </c>
      <c r="D4230" s="1" t="n">
        <v>45957</v>
      </c>
      <c r="E4230" s="1" t="n">
        <v>46326</v>
      </c>
      <c r="F4230" t="inlineStr">
        <is>
          <t>GÄVLEBORGS LÄN</t>
        </is>
      </c>
      <c r="G4230" t="inlineStr">
        <is>
          <t>HUDIKSVALL</t>
        </is>
      </c>
      <c r="I4230" t="n">
        <v>3.1</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52862-2025</t>
        </is>
      </c>
      <c r="B4231" t="inlineStr">
        <is>
          <t>avverkningsanmälan</t>
        </is>
      </c>
      <c r="C4231" t="inlineStr">
        <is>
          <t>Föryngringsavverkning</t>
        </is>
      </c>
      <c r="D4231" s="1" t="n">
        <v>45957</v>
      </c>
      <c r="E4231" s="1" t="n">
        <v>46326</v>
      </c>
      <c r="F4231" t="inlineStr">
        <is>
          <t>GÄVLEBORGS LÄN</t>
        </is>
      </c>
      <c r="G4231" t="inlineStr">
        <is>
          <t>HUDIKSVALL</t>
        </is>
      </c>
      <c r="I4231" t="n">
        <v>2.2</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52399-2025</t>
        </is>
      </c>
      <c r="B4232" t="inlineStr">
        <is>
          <t>avverkningsanmälan</t>
        </is>
      </c>
      <c r="C4232" t="inlineStr">
        <is>
          <t>Föryngringsavverkning</t>
        </is>
      </c>
      <c r="D4232" s="1" t="n">
        <v>45954</v>
      </c>
      <c r="E4232" s="1" t="n">
        <v>46326</v>
      </c>
      <c r="F4232" t="inlineStr">
        <is>
          <t>GÄVLEBORGS LÄN</t>
        </is>
      </c>
      <c r="G4232" t="inlineStr">
        <is>
          <t>OVANÅKER</t>
        </is>
      </c>
      <c r="I4232" t="n">
        <v>0.9</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8496-2024</t>
        </is>
      </c>
      <c r="B4233" t="inlineStr">
        <is>
          <t>avverkningsanmälan</t>
        </is>
      </c>
      <c r="C4233" t="inlineStr">
        <is>
          <t>Föryngringsavverkning</t>
        </is>
      </c>
      <c r="D4233" s="1" t="n">
        <v>45355</v>
      </c>
      <c r="E4233" s="1" t="n">
        <v>46326</v>
      </c>
      <c r="F4233" t="inlineStr">
        <is>
          <t>GÄVLEBORGS LÄN</t>
        </is>
      </c>
      <c r="G4233" t="inlineStr">
        <is>
          <t>HUDIKSVALL</t>
        </is>
      </c>
      <c r="I4233" t="n">
        <v>1</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19555-2022</t>
        </is>
      </c>
      <c r="B4234" t="inlineStr">
        <is>
          <t>avverkningsanmälan</t>
        </is>
      </c>
      <c r="C4234" t="inlineStr">
        <is>
          <t>Föryngringsavverkning</t>
        </is>
      </c>
      <c r="D4234" s="1" t="n">
        <v>44693</v>
      </c>
      <c r="E4234" s="1" t="n">
        <v>46326</v>
      </c>
      <c r="F4234" t="inlineStr">
        <is>
          <t>GÄVLEBORGS LÄN</t>
        </is>
      </c>
      <c r="G4234" t="inlineStr">
        <is>
          <t>GÄVLE</t>
        </is>
      </c>
      <c r="H4234" t="inlineStr">
        <is>
          <t>Bergvik skog väst AB</t>
        </is>
      </c>
      <c r="I4234" t="n">
        <v>4</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52550-2025</t>
        </is>
      </c>
      <c r="B4235" t="inlineStr">
        <is>
          <t>avverkningsanmälan</t>
        </is>
      </c>
      <c r="C4235" t="inlineStr">
        <is>
          <t>Föryngringsavverkning</t>
        </is>
      </c>
      <c r="D4235" s="1" t="n">
        <v>45954</v>
      </c>
      <c r="E4235" s="1" t="n">
        <v>46326</v>
      </c>
      <c r="F4235" t="inlineStr">
        <is>
          <t>GÄVLEBORGS LÄN</t>
        </is>
      </c>
      <c r="G4235" t="inlineStr">
        <is>
          <t>OVANÅKER</t>
        </is>
      </c>
      <c r="I4235" t="n">
        <v>0.5</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52461-2025</t>
        </is>
      </c>
      <c r="B4236" t="inlineStr">
        <is>
          <t>avverkningsanmälan</t>
        </is>
      </c>
      <c r="C4236" t="inlineStr">
        <is>
          <t>Föryngringsavverkning</t>
        </is>
      </c>
      <c r="D4236" s="1" t="n">
        <v>45954</v>
      </c>
      <c r="E4236" s="1" t="n">
        <v>46326</v>
      </c>
      <c r="F4236" t="inlineStr">
        <is>
          <t>GÄVLEBORGS LÄN</t>
        </is>
      </c>
      <c r="G4236" t="inlineStr">
        <is>
          <t>OCKELBO</t>
        </is>
      </c>
      <c r="H4236" t="inlineStr">
        <is>
          <t>Bergvik skog väst AB</t>
        </is>
      </c>
      <c r="I4236" t="n">
        <v>5.6</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8561-2026</t>
        </is>
      </c>
      <c r="B4237" t="inlineStr">
        <is>
          <t>avverkningsanmälan</t>
        </is>
      </c>
      <c r="C4237" t="inlineStr">
        <is>
          <t>Föryngringsavverkning</t>
        </is>
      </c>
      <c r="D4237" s="1" t="n">
        <v>46065</v>
      </c>
      <c r="E4237" s="1" t="n">
        <v>46326</v>
      </c>
      <c r="F4237" t="inlineStr">
        <is>
          <t>GÄVLEBORGS LÄN</t>
        </is>
      </c>
      <c r="G4237" t="inlineStr">
        <is>
          <t>HUDIKSVALL</t>
        </is>
      </c>
      <c r="I4237" t="n">
        <v>0.8</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52487-2025</t>
        </is>
      </c>
      <c r="B4238" t="inlineStr">
        <is>
          <t>avverkningsanmälan</t>
        </is>
      </c>
      <c r="C4238" t="inlineStr">
        <is>
          <t>Föryngringsavverkning</t>
        </is>
      </c>
      <c r="D4238" s="1" t="n">
        <v>45954</v>
      </c>
      <c r="E4238" s="1" t="n">
        <v>46326</v>
      </c>
      <c r="F4238" t="inlineStr">
        <is>
          <t>GÄVLEBORGS LÄN</t>
        </is>
      </c>
      <c r="G4238" t="inlineStr">
        <is>
          <t>LJUSDAL</t>
        </is>
      </c>
      <c r="I4238" t="n">
        <v>1</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38845-2025</t>
        </is>
      </c>
      <c r="B4239" t="inlineStr">
        <is>
          <t>avverkningsanmälan</t>
        </is>
      </c>
      <c r="C4239" t="inlineStr">
        <is>
          <t>Föryngringsavverkning</t>
        </is>
      </c>
      <c r="D4239" s="1" t="n">
        <v>45887</v>
      </c>
      <c r="E4239" s="1" t="n">
        <v>46326</v>
      </c>
      <c r="F4239" t="inlineStr">
        <is>
          <t>GÄVLEBORGS LÄN</t>
        </is>
      </c>
      <c r="G4239" t="inlineStr">
        <is>
          <t>SANDVIKEN</t>
        </is>
      </c>
      <c r="H4239" t="inlineStr">
        <is>
          <t>Sveaskog</t>
        </is>
      </c>
      <c r="I4239" t="n">
        <v>0.7</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8183-2026</t>
        </is>
      </c>
      <c r="B4240" t="inlineStr">
        <is>
          <t>avverkningsanmälan</t>
        </is>
      </c>
      <c r="C4240" t="inlineStr">
        <is>
          <t>Föryngringsavverkning</t>
        </is>
      </c>
      <c r="D4240" s="1" t="n">
        <v>46064</v>
      </c>
      <c r="E4240" s="1" t="n">
        <v>46326</v>
      </c>
      <c r="F4240" t="inlineStr">
        <is>
          <t>GÄVLEBORGS LÄN</t>
        </is>
      </c>
      <c r="G4240" t="inlineStr">
        <is>
          <t>OVANÅKER</t>
        </is>
      </c>
      <c r="I4240" t="n">
        <v>0.6</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47480-2022</t>
        </is>
      </c>
      <c r="B4241" t="inlineStr">
        <is>
          <t>avverkningsanmälan</t>
        </is>
      </c>
      <c r="C4241" t="inlineStr">
        <is>
          <t>Föryngringsavverkning</t>
        </is>
      </c>
      <c r="D4241" s="1" t="n">
        <v>44853</v>
      </c>
      <c r="E4241" s="1" t="n">
        <v>46326</v>
      </c>
      <c r="F4241" t="inlineStr">
        <is>
          <t>GÄVLEBORGS LÄN</t>
        </is>
      </c>
      <c r="G4241" t="inlineStr">
        <is>
          <t>OVANÅKER</t>
        </is>
      </c>
      <c r="I4241" t="n">
        <v>2.8</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9129-2026</t>
        </is>
      </c>
      <c r="B4242" t="inlineStr">
        <is>
          <t>avverkningsanmälan</t>
        </is>
      </c>
      <c r="C4242" t="inlineStr">
        <is>
          <t>Föryngringsavverkning</t>
        </is>
      </c>
      <c r="D4242" s="1" t="n">
        <v>46069</v>
      </c>
      <c r="E4242" s="1" t="n">
        <v>46326</v>
      </c>
      <c r="F4242" t="inlineStr">
        <is>
          <t>GÄVLEBORGS LÄN</t>
        </is>
      </c>
      <c r="G4242" t="inlineStr">
        <is>
          <t>GÄVLE</t>
        </is>
      </c>
      <c r="I4242" t="n">
        <v>3.8</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50746-2025</t>
        </is>
      </c>
      <c r="B4243" t="inlineStr">
        <is>
          <t>avverkningsanmälan</t>
        </is>
      </c>
      <c r="C4243" t="inlineStr">
        <is>
          <t>Föryngringsavverkning</t>
        </is>
      </c>
      <c r="D4243" s="1" t="n">
        <v>45946</v>
      </c>
      <c r="E4243" s="1" t="n">
        <v>46326</v>
      </c>
      <c r="F4243" t="inlineStr">
        <is>
          <t>GÄVLEBORGS LÄN</t>
        </is>
      </c>
      <c r="G4243" t="inlineStr">
        <is>
          <t>BOLLNÄS</t>
        </is>
      </c>
      <c r="H4243" t="inlineStr">
        <is>
          <t>Bergvik skog väst AB</t>
        </is>
      </c>
      <c r="I4243" t="n">
        <v>2.2</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8670-2026</t>
        </is>
      </c>
      <c r="B4244" t="inlineStr">
        <is>
          <t>avverkningsanmälan</t>
        </is>
      </c>
      <c r="C4244" t="inlineStr">
        <is>
          <t>Föryngringsavverkning</t>
        </is>
      </c>
      <c r="D4244" s="1" t="n">
        <v>46066</v>
      </c>
      <c r="E4244" s="1" t="n">
        <v>46326</v>
      </c>
      <c r="F4244" t="inlineStr">
        <is>
          <t>GÄVLEBORGS LÄN</t>
        </is>
      </c>
      <c r="G4244" t="inlineStr">
        <is>
          <t>BOLLNÄS</t>
        </is>
      </c>
      <c r="I4244" t="n">
        <v>12.2</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8699-2026</t>
        </is>
      </c>
      <c r="B4245" t="inlineStr">
        <is>
          <t>avverkningsanmälan</t>
        </is>
      </c>
      <c r="C4245" t="inlineStr">
        <is>
          <t>Föryngringsavverkning</t>
        </is>
      </c>
      <c r="D4245" s="1" t="n">
        <v>46066</v>
      </c>
      <c r="E4245" s="1" t="n">
        <v>46326</v>
      </c>
      <c r="F4245" t="inlineStr">
        <is>
          <t>GÄVLEBORGS LÄN</t>
        </is>
      </c>
      <c r="G4245" t="inlineStr">
        <is>
          <t>OVANÅKER</t>
        </is>
      </c>
      <c r="I4245" t="n">
        <v>0.6</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8700-2026</t>
        </is>
      </c>
      <c r="B4246" t="inlineStr">
        <is>
          <t>avverkningsanmälan</t>
        </is>
      </c>
      <c r="C4246" t="inlineStr">
        <is>
          <t>Föryngringsavverkning</t>
        </is>
      </c>
      <c r="D4246" s="1" t="n">
        <v>46066</v>
      </c>
      <c r="E4246" s="1" t="n">
        <v>46326</v>
      </c>
      <c r="F4246" t="inlineStr">
        <is>
          <t>GÄVLEBORGS LÄN</t>
        </is>
      </c>
      <c r="G4246" t="inlineStr">
        <is>
          <t>BOLLNÄS</t>
        </is>
      </c>
      <c r="I4246" t="n">
        <v>3</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63643-2023</t>
        </is>
      </c>
      <c r="B4247" t="inlineStr">
        <is>
          <t>avverkningsanmälan</t>
        </is>
      </c>
      <c r="C4247" t="inlineStr">
        <is>
          <t>Föryngringsavverkning</t>
        </is>
      </c>
      <c r="D4247" s="1" t="n">
        <v>45275</v>
      </c>
      <c r="E4247" s="1" t="n">
        <v>46326</v>
      </c>
      <c r="F4247" t="inlineStr">
        <is>
          <t>GÄVLEBORGS LÄN</t>
        </is>
      </c>
      <c r="G4247" t="inlineStr">
        <is>
          <t>HUDIKSVALL</t>
        </is>
      </c>
      <c r="I4247" t="n">
        <v>2.3</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8702-2026</t>
        </is>
      </c>
      <c r="B4248" t="inlineStr">
        <is>
          <t>avverkningsanmälan</t>
        </is>
      </c>
      <c r="C4248" t="inlineStr">
        <is>
          <t>Föryngringsavverkning</t>
        </is>
      </c>
      <c r="D4248" s="1" t="n">
        <v>46066</v>
      </c>
      <c r="E4248" s="1" t="n">
        <v>46326</v>
      </c>
      <c r="F4248" t="inlineStr">
        <is>
          <t>GÄVLEBORGS LÄN</t>
        </is>
      </c>
      <c r="G4248" t="inlineStr">
        <is>
          <t>BOLLNÄS</t>
        </is>
      </c>
      <c r="I4248" t="n">
        <v>3.9</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8931-2026</t>
        </is>
      </c>
      <c r="B4249" t="inlineStr">
        <is>
          <t>avverkningsanmälan</t>
        </is>
      </c>
      <c r="C4249" t="inlineStr">
        <is>
          <t>Föryngringsavverkning</t>
        </is>
      </c>
      <c r="D4249" s="1" t="n">
        <v>46069</v>
      </c>
      <c r="E4249" s="1" t="n">
        <v>46326</v>
      </c>
      <c r="F4249" t="inlineStr">
        <is>
          <t>GÄVLEBORGS LÄN</t>
        </is>
      </c>
      <c r="G4249" t="inlineStr">
        <is>
          <t>LJUSDAL</t>
        </is>
      </c>
      <c r="H4249" t="inlineStr">
        <is>
          <t>Holmen skog AB</t>
        </is>
      </c>
      <c r="I4249" t="n">
        <v>9.699999999999999</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9004-2026</t>
        </is>
      </c>
      <c r="B4250" t="inlineStr">
        <is>
          <t>avverkningsanmälan</t>
        </is>
      </c>
      <c r="C4250" t="inlineStr">
        <is>
          <t>Föryngringsavverkning</t>
        </is>
      </c>
      <c r="D4250" s="1" t="n">
        <v>46069</v>
      </c>
      <c r="E4250" s="1" t="n">
        <v>46326</v>
      </c>
      <c r="F4250" t="inlineStr">
        <is>
          <t>GÄVLEBORGS LÄN</t>
        </is>
      </c>
      <c r="G4250" t="inlineStr">
        <is>
          <t>BOLLNÄS</t>
        </is>
      </c>
      <c r="H4250" t="inlineStr">
        <is>
          <t>Bergvik skog väst AB</t>
        </is>
      </c>
      <c r="I4250" t="n">
        <v>1.2</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52897-2025</t>
        </is>
      </c>
      <c r="B4251" t="inlineStr">
        <is>
          <t>avverkningsanmälan</t>
        </is>
      </c>
      <c r="C4251" t="inlineStr">
        <is>
          <t>Föryngringsavverkning</t>
        </is>
      </c>
      <c r="D4251" s="1" t="n">
        <v>45957</v>
      </c>
      <c r="E4251" s="1" t="n">
        <v>46326</v>
      </c>
      <c r="F4251" t="inlineStr">
        <is>
          <t>GÄVLEBORGS LÄN</t>
        </is>
      </c>
      <c r="G4251" t="inlineStr">
        <is>
          <t>GÄVLE</t>
        </is>
      </c>
      <c r="I4251" t="n">
        <v>3</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9032-2026</t>
        </is>
      </c>
      <c r="B4252" t="inlineStr">
        <is>
          <t>avverkningsanmälan</t>
        </is>
      </c>
      <c r="C4252" t="inlineStr">
        <is>
          <t>Föryngringsavverkning</t>
        </is>
      </c>
      <c r="D4252" s="1" t="n">
        <v>46069</v>
      </c>
      <c r="E4252" s="1" t="n">
        <v>46326</v>
      </c>
      <c r="F4252" t="inlineStr">
        <is>
          <t>GÄVLEBORGS LÄN</t>
        </is>
      </c>
      <c r="G4252" t="inlineStr">
        <is>
          <t>NORDANSTIG</t>
        </is>
      </c>
      <c r="I4252" t="n">
        <v>2.8</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60426-2024</t>
        </is>
      </c>
      <c r="B4253" t="inlineStr">
        <is>
          <t>avverkningsanmälan</t>
        </is>
      </c>
      <c r="C4253" t="inlineStr">
        <is>
          <t>Avverkning för annat ändamål</t>
        </is>
      </c>
      <c r="D4253" s="1" t="n">
        <v>45643</v>
      </c>
      <c r="E4253" s="1" t="n">
        <v>46326</v>
      </c>
      <c r="F4253" t="inlineStr">
        <is>
          <t>GÄVLEBORGS LÄN</t>
        </is>
      </c>
      <c r="G4253" t="inlineStr">
        <is>
          <t>BOLLNÄS</t>
        </is>
      </c>
      <c r="I4253" t="n">
        <v>0.9</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9085-2026</t>
        </is>
      </c>
      <c r="B4254" t="inlineStr">
        <is>
          <t>avverkningsanmälan</t>
        </is>
      </c>
      <c r="C4254" t="inlineStr">
        <is>
          <t>Föryngringsavverkning</t>
        </is>
      </c>
      <c r="D4254" s="1" t="n">
        <v>46069</v>
      </c>
      <c r="E4254" s="1" t="n">
        <v>46326</v>
      </c>
      <c r="F4254" t="inlineStr">
        <is>
          <t>GÄVLEBORGS LÄN</t>
        </is>
      </c>
      <c r="G4254" t="inlineStr">
        <is>
          <t>BOLLNÄS</t>
        </is>
      </c>
      <c r="H4254" t="inlineStr">
        <is>
          <t>Kommuner</t>
        </is>
      </c>
      <c r="I4254" t="n">
        <v>1.4</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9093-2026</t>
        </is>
      </c>
      <c r="B4255" t="inlineStr">
        <is>
          <t>avverkningsanmälan</t>
        </is>
      </c>
      <c r="C4255" t="inlineStr">
        <is>
          <t>Föryngringsavverkning</t>
        </is>
      </c>
      <c r="D4255" s="1" t="n">
        <v>46069</v>
      </c>
      <c r="E4255" s="1" t="n">
        <v>46326</v>
      </c>
      <c r="F4255" t="inlineStr">
        <is>
          <t>GÄVLEBORGS LÄN</t>
        </is>
      </c>
      <c r="G4255" t="inlineStr">
        <is>
          <t>SANDVIKEN</t>
        </is>
      </c>
      <c r="I4255" t="n">
        <v>0.8</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8709-2026</t>
        </is>
      </c>
      <c r="B4256" t="inlineStr">
        <is>
          <t>avverkningsanmälan</t>
        </is>
      </c>
      <c r="C4256" t="inlineStr">
        <is>
          <t>Föryngringsavverkning</t>
        </is>
      </c>
      <c r="D4256" s="1" t="n">
        <v>46066</v>
      </c>
      <c r="E4256" s="1" t="n">
        <v>46326</v>
      </c>
      <c r="F4256" t="inlineStr">
        <is>
          <t>GÄVLEBORGS LÄN</t>
        </is>
      </c>
      <c r="G4256" t="inlineStr">
        <is>
          <t>SÖDERHAMN</t>
        </is>
      </c>
      <c r="I4256" t="n">
        <v>3</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8711-2026</t>
        </is>
      </c>
      <c r="B4257" t="inlineStr">
        <is>
          <t>avverkningsanmälan</t>
        </is>
      </c>
      <c r="C4257" t="inlineStr">
        <is>
          <t>Föryngringsavverkning</t>
        </is>
      </c>
      <c r="D4257" s="1" t="n">
        <v>46066</v>
      </c>
      <c r="E4257" s="1" t="n">
        <v>46326</v>
      </c>
      <c r="F4257" t="inlineStr">
        <is>
          <t>GÄVLEBORGS LÄN</t>
        </is>
      </c>
      <c r="G4257" t="inlineStr">
        <is>
          <t>NORDANSTIG</t>
        </is>
      </c>
      <c r="I4257" t="n">
        <v>1.3</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52786-2025</t>
        </is>
      </c>
      <c r="B4258" t="inlineStr">
        <is>
          <t>avverkningsanmälan</t>
        </is>
      </c>
      <c r="C4258" t="inlineStr">
        <is>
          <t>Föryngringsavverkning</t>
        </is>
      </c>
      <c r="D4258" s="1" t="n">
        <v>45957</v>
      </c>
      <c r="E4258" s="1" t="n">
        <v>46326</v>
      </c>
      <c r="F4258" t="inlineStr">
        <is>
          <t>GÄVLEBORGS LÄN</t>
        </is>
      </c>
      <c r="G4258" t="inlineStr">
        <is>
          <t>SANDVIKEN</t>
        </is>
      </c>
      <c r="H4258" t="inlineStr">
        <is>
          <t>Sveaskog</t>
        </is>
      </c>
      <c r="I4258" t="n">
        <v>1.2</v>
      </c>
      <c r="J4258" t="n">
        <v>0</v>
      </c>
      <c r="K4258" t="n">
        <v>0</v>
      </c>
      <c r="L4258" t="n">
        <v>0</v>
      </c>
      <c r="M4258" t="n">
        <v>0</v>
      </c>
      <c r="N4258" t="n">
        <v>0</v>
      </c>
      <c r="O4258" t="n">
        <v>0</v>
      </c>
      <c r="P4258" t="n">
        <v>0</v>
      </c>
      <c r="Q4258" t="n">
        <v>0</v>
      </c>
      <c r="R4258" t="n">
        <v>0</v>
      </c>
      <c r="S4258" t="n">
        <v>0</v>
      </c>
      <c r="T4258" t="n">
        <v>0</v>
      </c>
      <c r="U4258" t="n">
        <v>0</v>
      </c>
      <c r="V4258" s="2" t="inlineStr"/>
      <c r="Z4258">
        <f>HYPERLINK("https://klasma.github.io/Logging_2181/knärot/A 52786-2025 karta knärot.png", "A 52786-2025")</f>
        <v/>
      </c>
      <c r="AA4258">
        <f>HYPERLINK("https://klasma.github.io/Logging_2181/klagomål/A 52786-2025 FSC-klagomål.docx", "A 52786-2025")</f>
        <v/>
      </c>
      <c r="AB4258">
        <f>HYPERLINK("https://klasma.github.io/Logging_2181/klagomålsmail/A 52786-2025 FSC-klagomål mail.docx", "A 52786-2025")</f>
        <v/>
      </c>
      <c r="AC4258">
        <f>HYPERLINK("https://klasma.github.io/Logging_2181/tillsyn/A 52786-2025 tillsynsbegäran.docx", "A 52786-2025")</f>
        <v/>
      </c>
      <c r="AD4258">
        <f>HYPERLINK("https://klasma.github.io/Logging_2181/tillsynsmail/A 52786-2025 tillsynsbegäran mail.docx", "A 52786-2025")</f>
        <v/>
      </c>
    </row>
    <row r="4259" ht="15" customHeight="1">
      <c r="A4259" t="inlineStr">
        <is>
          <t>A 15444-2024</t>
        </is>
      </c>
      <c r="B4259" t="inlineStr">
        <is>
          <t>avverkningsanmälan</t>
        </is>
      </c>
      <c r="C4259" t="inlineStr">
        <is>
          <t>Föryngringsavverkning</t>
        </is>
      </c>
      <c r="D4259" s="1" t="n">
        <v>45401</v>
      </c>
      <c r="E4259" s="1" t="n">
        <v>46326</v>
      </c>
      <c r="F4259" t="inlineStr">
        <is>
          <t>GÄVLEBORGS LÄN</t>
        </is>
      </c>
      <c r="G4259" t="inlineStr">
        <is>
          <t>GÄVLE</t>
        </is>
      </c>
      <c r="I4259" t="n">
        <v>1.2</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24933-2024</t>
        </is>
      </c>
      <c r="B4260" t="inlineStr">
        <is>
          <t>avverkningsanmälan</t>
        </is>
      </c>
      <c r="C4260" t="inlineStr">
        <is>
          <t>Avverkning för annat ändamål</t>
        </is>
      </c>
      <c r="D4260" s="1" t="n">
        <v>45461</v>
      </c>
      <c r="E4260" s="1" t="n">
        <v>46326</v>
      </c>
      <c r="F4260" t="inlineStr">
        <is>
          <t>GÄVLEBORGS LÄN</t>
        </is>
      </c>
      <c r="G4260" t="inlineStr">
        <is>
          <t>SÖDERHAMN</t>
        </is>
      </c>
      <c r="I4260" t="n">
        <v>1.4</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52850-2025</t>
        </is>
      </c>
      <c r="B4261" t="inlineStr">
        <is>
          <t>avverkningsanmälan</t>
        </is>
      </c>
      <c r="C4261" t="inlineStr">
        <is>
          <t>Föryngringsavverkning</t>
        </is>
      </c>
      <c r="D4261" s="1" t="n">
        <v>45957</v>
      </c>
      <c r="E4261" s="1" t="n">
        <v>46326</v>
      </c>
      <c r="F4261" t="inlineStr">
        <is>
          <t>GÄVLEBORGS LÄN</t>
        </is>
      </c>
      <c r="G4261" t="inlineStr">
        <is>
          <t>HUDIKSVALL</t>
        </is>
      </c>
      <c r="I4261" t="n">
        <v>2.3</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34284-2024</t>
        </is>
      </c>
      <c r="B4262" t="inlineStr">
        <is>
          <t>avverkningsanmälan</t>
        </is>
      </c>
      <c r="C4262" t="inlineStr">
        <is>
          <t>Föryngringsavverkning</t>
        </is>
      </c>
      <c r="D4262" s="1" t="n">
        <v>45524</v>
      </c>
      <c r="E4262" s="1" t="n">
        <v>46326</v>
      </c>
      <c r="F4262" t="inlineStr">
        <is>
          <t>GÄVLEBORGS LÄN</t>
        </is>
      </c>
      <c r="G4262" t="inlineStr">
        <is>
          <t>HUDIKSVALL</t>
        </is>
      </c>
      <c r="H4262" t="inlineStr">
        <is>
          <t>Holmen skog AB</t>
        </is>
      </c>
      <c r="I4262" t="n">
        <v>4.6</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8686-2026</t>
        </is>
      </c>
      <c r="B4263" t="inlineStr">
        <is>
          <t>avverkningsanmälan</t>
        </is>
      </c>
      <c r="C4263" t="inlineStr">
        <is>
          <t>Föryngringsavverkning</t>
        </is>
      </c>
      <c r="D4263" s="1" t="n">
        <v>46066</v>
      </c>
      <c r="E4263" s="1" t="n">
        <v>46326</v>
      </c>
      <c r="F4263" t="inlineStr">
        <is>
          <t>GÄVLEBORGS LÄN</t>
        </is>
      </c>
      <c r="G4263" t="inlineStr">
        <is>
          <t>LJUSDAL</t>
        </is>
      </c>
      <c r="H4263" t="inlineStr">
        <is>
          <t>Holmen skog AB</t>
        </is>
      </c>
      <c r="I4263" t="n">
        <v>1.2</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8719-2026</t>
        </is>
      </c>
      <c r="B4264" t="inlineStr">
        <is>
          <t>avverkningsanmälan</t>
        </is>
      </c>
      <c r="C4264" t="inlineStr">
        <is>
          <t>Föryngringsavverkning</t>
        </is>
      </c>
      <c r="D4264" s="1" t="n">
        <v>46066</v>
      </c>
      <c r="E4264" s="1" t="n">
        <v>46326</v>
      </c>
      <c r="F4264" t="inlineStr">
        <is>
          <t>GÄVLEBORGS LÄN</t>
        </is>
      </c>
      <c r="G4264" t="inlineStr">
        <is>
          <t>SANDVIKEN</t>
        </is>
      </c>
      <c r="I4264" t="n">
        <v>0.6</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43544-2024</t>
        </is>
      </c>
      <c r="B4265" t="inlineStr">
        <is>
          <t>avverkningsanmälan</t>
        </is>
      </c>
      <c r="C4265" t="inlineStr">
        <is>
          <t>Föryngringsavverkning</t>
        </is>
      </c>
      <c r="D4265" s="1" t="n">
        <v>45569</v>
      </c>
      <c r="E4265" s="1" t="n">
        <v>46326</v>
      </c>
      <c r="F4265" t="inlineStr">
        <is>
          <t>GÄVLEBORGS LÄN</t>
        </is>
      </c>
      <c r="G4265" t="inlineStr">
        <is>
          <t>OVANÅKER</t>
        </is>
      </c>
      <c r="I4265" t="n">
        <v>2.6</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59773-2023</t>
        </is>
      </c>
      <c r="B4266" t="inlineStr">
        <is>
          <t>avverkningsanmälan</t>
        </is>
      </c>
      <c r="C4266" t="inlineStr">
        <is>
          <t>Föryngringsavverkning</t>
        </is>
      </c>
      <c r="D4266" s="1" t="n">
        <v>45257</v>
      </c>
      <c r="E4266" s="1" t="n">
        <v>46326</v>
      </c>
      <c r="F4266" t="inlineStr">
        <is>
          <t>GÄVLEBORGS LÄN</t>
        </is>
      </c>
      <c r="G4266" t="inlineStr">
        <is>
          <t>HUDIKSVALL</t>
        </is>
      </c>
      <c r="I4266" t="n">
        <v>1.8</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9142-2026</t>
        </is>
      </c>
      <c r="B4267" t="inlineStr">
        <is>
          <t>avverkningsanmälan</t>
        </is>
      </c>
      <c r="C4267" t="inlineStr">
        <is>
          <t>Föryngringsavverkning</t>
        </is>
      </c>
      <c r="D4267" s="1" t="n">
        <v>46069</v>
      </c>
      <c r="E4267" s="1" t="n">
        <v>46326</v>
      </c>
      <c r="F4267" t="inlineStr">
        <is>
          <t>GÄVLEBORGS LÄN</t>
        </is>
      </c>
      <c r="G4267" t="inlineStr">
        <is>
          <t>SANDVIKEN</t>
        </is>
      </c>
      <c r="I4267" t="n">
        <v>0.6</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8998-2026</t>
        </is>
      </c>
      <c r="B4268" t="inlineStr">
        <is>
          <t>avverkningsanmälan</t>
        </is>
      </c>
      <c r="C4268" t="inlineStr">
        <is>
          <t>Föryngringsavverkning</t>
        </is>
      </c>
      <c r="D4268" s="1" t="n">
        <v>46069</v>
      </c>
      <c r="E4268" s="1" t="n">
        <v>46326</v>
      </c>
      <c r="F4268" t="inlineStr">
        <is>
          <t>GÄVLEBORGS LÄN</t>
        </is>
      </c>
      <c r="G4268" t="inlineStr">
        <is>
          <t>NORDANSTIG</t>
        </is>
      </c>
      <c r="I4268" t="n">
        <v>1.5</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9047-2026</t>
        </is>
      </c>
      <c r="B4269" t="inlineStr">
        <is>
          <t>avverkningsanmälan</t>
        </is>
      </c>
      <c r="C4269" t="inlineStr">
        <is>
          <t>Föryngringsavverkning</t>
        </is>
      </c>
      <c r="D4269" s="1" t="n">
        <v>46069</v>
      </c>
      <c r="E4269" s="1" t="n">
        <v>46326</v>
      </c>
      <c r="F4269" t="inlineStr">
        <is>
          <t>GÄVLEBORGS LÄN</t>
        </is>
      </c>
      <c r="G4269" t="inlineStr">
        <is>
          <t>LJUSDAL</t>
        </is>
      </c>
      <c r="I4269" t="n">
        <v>2.7</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53277-2025</t>
        </is>
      </c>
      <c r="B4270" t="inlineStr">
        <is>
          <t>avverkningsanmälan</t>
        </is>
      </c>
      <c r="C4270" t="inlineStr">
        <is>
          <t>Föryngringsavverkning</t>
        </is>
      </c>
      <c r="D4270" s="1" t="n">
        <v>45958</v>
      </c>
      <c r="E4270" s="1" t="n">
        <v>46326</v>
      </c>
      <c r="F4270" t="inlineStr">
        <is>
          <t>GÄVLEBORGS LÄN</t>
        </is>
      </c>
      <c r="G4270" t="inlineStr">
        <is>
          <t>LJUSDAL</t>
        </is>
      </c>
      <c r="I4270" t="n">
        <v>2.4</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8761-2026</t>
        </is>
      </c>
      <c r="B4271" t="inlineStr">
        <is>
          <t>avverkningsanmälan</t>
        </is>
      </c>
      <c r="C4271" t="inlineStr">
        <is>
          <t>Föryngringsavverkning</t>
        </is>
      </c>
      <c r="D4271" s="1" t="n">
        <v>46066</v>
      </c>
      <c r="E4271" s="1" t="n">
        <v>46326</v>
      </c>
      <c r="F4271" t="inlineStr">
        <is>
          <t>GÄVLEBORGS LÄN</t>
        </is>
      </c>
      <c r="G4271" t="inlineStr">
        <is>
          <t>BOLLNÄS</t>
        </is>
      </c>
      <c r="I4271" t="n">
        <v>6.8</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8943-2026</t>
        </is>
      </c>
      <c r="B4272" t="inlineStr">
        <is>
          <t>avverkningsanmälan</t>
        </is>
      </c>
      <c r="C4272" t="inlineStr">
        <is>
          <t>Föryngringsavverkning</t>
        </is>
      </c>
      <c r="D4272" s="1" t="n">
        <v>46069</v>
      </c>
      <c r="E4272" s="1" t="n">
        <v>46326</v>
      </c>
      <c r="F4272" t="inlineStr">
        <is>
          <t>GÄVLEBORGS LÄN</t>
        </is>
      </c>
      <c r="G4272" t="inlineStr">
        <is>
          <t>SÖDERHAMN</t>
        </is>
      </c>
      <c r="I4272" t="n">
        <v>1.6</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8660-2026</t>
        </is>
      </c>
      <c r="B4273" t="inlineStr">
        <is>
          <t>avverkningsanmälan</t>
        </is>
      </c>
      <c r="C4273" t="inlineStr">
        <is>
          <t>Föryngringsavverkning</t>
        </is>
      </c>
      <c r="D4273" s="1" t="n">
        <v>46066</v>
      </c>
      <c r="E4273" s="1" t="n">
        <v>46326</v>
      </c>
      <c r="F4273" t="inlineStr">
        <is>
          <t>GÄVLEBORGS LÄN</t>
        </is>
      </c>
      <c r="G4273" t="inlineStr">
        <is>
          <t>BOLLNÄS</t>
        </is>
      </c>
      <c r="I4273" t="n">
        <v>13.7</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35268-2022</t>
        </is>
      </c>
      <c r="B4274" t="inlineStr">
        <is>
          <t>avverkningsanmälan</t>
        </is>
      </c>
      <c r="C4274" t="inlineStr">
        <is>
          <t>Föryngringsavverkning</t>
        </is>
      </c>
      <c r="D4274" s="1" t="n">
        <v>44798</v>
      </c>
      <c r="E4274" s="1" t="n">
        <v>46326</v>
      </c>
      <c r="F4274" t="inlineStr">
        <is>
          <t>GÄVLEBORGS LÄN</t>
        </is>
      </c>
      <c r="G4274" t="inlineStr">
        <is>
          <t>HUDIKSVALL</t>
        </is>
      </c>
      <c r="H4274" t="inlineStr">
        <is>
          <t>Holmen skog AB</t>
        </is>
      </c>
      <c r="I4274" t="n">
        <v>1.8</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38524-2025</t>
        </is>
      </c>
      <c r="B4275" t="inlineStr">
        <is>
          <t>avverkningsanmälan</t>
        </is>
      </c>
      <c r="C4275" t="inlineStr">
        <is>
          <t>Föryngringsavverkning</t>
        </is>
      </c>
      <c r="D4275" s="1" t="n">
        <v>45884</v>
      </c>
      <c r="E4275" s="1" t="n">
        <v>46326</v>
      </c>
      <c r="F4275" t="inlineStr">
        <is>
          <t>GÄVLEBORGS LÄN</t>
        </is>
      </c>
      <c r="G4275" t="inlineStr">
        <is>
          <t>SANDVIKEN</t>
        </is>
      </c>
      <c r="I4275" t="n">
        <v>0.8</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53195-2025</t>
        </is>
      </c>
      <c r="B4276" t="inlineStr">
        <is>
          <t>avverkningsanmälan</t>
        </is>
      </c>
      <c r="C4276" t="inlineStr">
        <is>
          <t>Föryngringsavverkning</t>
        </is>
      </c>
      <c r="D4276" s="1" t="n">
        <v>45958</v>
      </c>
      <c r="E4276" s="1" t="n">
        <v>46326</v>
      </c>
      <c r="F4276" t="inlineStr">
        <is>
          <t>GÄVLEBORGS LÄN</t>
        </is>
      </c>
      <c r="G4276" t="inlineStr">
        <is>
          <t>BOLLNÄS</t>
        </is>
      </c>
      <c r="I4276" t="n">
        <v>0.9</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53063-2025</t>
        </is>
      </c>
      <c r="B4277" t="inlineStr">
        <is>
          <t>avverkningsanmälan</t>
        </is>
      </c>
      <c r="C4277" t="inlineStr">
        <is>
          <t>Föryngringsavverkning</t>
        </is>
      </c>
      <c r="D4277" s="1" t="n">
        <v>45958</v>
      </c>
      <c r="E4277" s="1" t="n">
        <v>46326</v>
      </c>
      <c r="F4277" t="inlineStr">
        <is>
          <t>GÄVLEBORGS LÄN</t>
        </is>
      </c>
      <c r="G4277" t="inlineStr">
        <is>
          <t>BOLLNÄS</t>
        </is>
      </c>
      <c r="I4277" t="n">
        <v>1</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8685-2026</t>
        </is>
      </c>
      <c r="B4278" t="inlineStr">
        <is>
          <t>avverkningsanmälan</t>
        </is>
      </c>
      <c r="C4278" t="inlineStr">
        <is>
          <t>Föryngringsavverkning</t>
        </is>
      </c>
      <c r="D4278" s="1" t="n">
        <v>46066</v>
      </c>
      <c r="E4278" s="1" t="n">
        <v>46326</v>
      </c>
      <c r="F4278" t="inlineStr">
        <is>
          <t>GÄVLEBORGS LÄN</t>
        </is>
      </c>
      <c r="G4278" t="inlineStr">
        <is>
          <t>HUDIKSVALL</t>
        </is>
      </c>
      <c r="I4278" t="n">
        <v>2.3</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8708-2026</t>
        </is>
      </c>
      <c r="B4279" t="inlineStr">
        <is>
          <t>avverkningsanmälan</t>
        </is>
      </c>
      <c r="C4279" t="inlineStr">
        <is>
          <t>Föryngringsavverkning</t>
        </is>
      </c>
      <c r="D4279" s="1" t="n">
        <v>46066</v>
      </c>
      <c r="E4279" s="1" t="n">
        <v>46326</v>
      </c>
      <c r="F4279" t="inlineStr">
        <is>
          <t>GÄVLEBORGS LÄN</t>
        </is>
      </c>
      <c r="G4279" t="inlineStr">
        <is>
          <t>LJUSDAL</t>
        </is>
      </c>
      <c r="H4279" t="inlineStr">
        <is>
          <t>Holmen skog AB</t>
        </is>
      </c>
      <c r="I4279" t="n">
        <v>17.9</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9022-2026</t>
        </is>
      </c>
      <c r="B4280" t="inlineStr">
        <is>
          <t>avverkningsanmälan</t>
        </is>
      </c>
      <c r="C4280" t="inlineStr">
        <is>
          <t>Föryngringsavverkning</t>
        </is>
      </c>
      <c r="D4280" s="1" t="n">
        <v>46069</v>
      </c>
      <c r="E4280" s="1" t="n">
        <v>46326</v>
      </c>
      <c r="F4280" t="inlineStr">
        <is>
          <t>GÄVLEBORGS LÄN</t>
        </is>
      </c>
      <c r="G4280" t="inlineStr">
        <is>
          <t>BOLLNÄS</t>
        </is>
      </c>
      <c r="H4280" t="inlineStr">
        <is>
          <t>Bergvik skog väst AB</t>
        </is>
      </c>
      <c r="I4280" t="n">
        <v>1.8</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8715-2026</t>
        </is>
      </c>
      <c r="B4281" t="inlineStr">
        <is>
          <t>avverkningsanmälan</t>
        </is>
      </c>
      <c r="C4281" t="inlineStr">
        <is>
          <t>Föryngringsavverkning</t>
        </is>
      </c>
      <c r="D4281" s="1" t="n">
        <v>46066</v>
      </c>
      <c r="E4281" s="1" t="n">
        <v>46326</v>
      </c>
      <c r="F4281" t="inlineStr">
        <is>
          <t>GÄVLEBORGS LÄN</t>
        </is>
      </c>
      <c r="G4281" t="inlineStr">
        <is>
          <t>SÖDERHAMN</t>
        </is>
      </c>
      <c r="I4281" t="n">
        <v>2.3</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8793-2026</t>
        </is>
      </c>
      <c r="B4282" t="inlineStr">
        <is>
          <t>avverkningsanmälan</t>
        </is>
      </c>
      <c r="C4282" t="inlineStr">
        <is>
          <t>Föryngringsavverkning</t>
        </is>
      </c>
      <c r="D4282" s="1" t="n">
        <v>46066</v>
      </c>
      <c r="E4282" s="1" t="n">
        <v>46326</v>
      </c>
      <c r="F4282" t="inlineStr">
        <is>
          <t>GÄVLEBORGS LÄN</t>
        </is>
      </c>
      <c r="G4282" t="inlineStr">
        <is>
          <t>BOLLNÄS</t>
        </is>
      </c>
      <c r="H4282" t="inlineStr">
        <is>
          <t>Sveaskog</t>
        </is>
      </c>
      <c r="I4282" t="n">
        <v>0.7</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8896-2026</t>
        </is>
      </c>
      <c r="B4283" t="inlineStr">
        <is>
          <t>avverkningsanmälan</t>
        </is>
      </c>
      <c r="C4283" t="inlineStr">
        <is>
          <t>Föryngringsavverkning</t>
        </is>
      </c>
      <c r="D4283" s="1" t="n">
        <v>46068</v>
      </c>
      <c r="E4283" s="1" t="n">
        <v>46326</v>
      </c>
      <c r="F4283" t="inlineStr">
        <is>
          <t>GÄVLEBORGS LÄN</t>
        </is>
      </c>
      <c r="G4283" t="inlineStr">
        <is>
          <t>OVANÅKER</t>
        </is>
      </c>
      <c r="I4283" t="n">
        <v>0.9</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8898-2026</t>
        </is>
      </c>
      <c r="B4284" t="inlineStr">
        <is>
          <t>avverkningsanmälan</t>
        </is>
      </c>
      <c r="C4284" t="inlineStr">
        <is>
          <t>Föryngringsavverkning</t>
        </is>
      </c>
      <c r="D4284" s="1" t="n">
        <v>46068</v>
      </c>
      <c r="E4284" s="1" t="n">
        <v>46326</v>
      </c>
      <c r="F4284" t="inlineStr">
        <is>
          <t>GÄVLEBORGS LÄN</t>
        </is>
      </c>
      <c r="G4284" t="inlineStr">
        <is>
          <t>BOLLNÄS</t>
        </is>
      </c>
      <c r="I4284" t="n">
        <v>1.2</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8827-2026</t>
        </is>
      </c>
      <c r="B4285" t="inlineStr">
        <is>
          <t>avverkningsanmälan</t>
        </is>
      </c>
      <c r="C4285" t="inlineStr">
        <is>
          <t>Föryngringsavverkning</t>
        </is>
      </c>
      <c r="D4285" s="1" t="n">
        <v>46066</v>
      </c>
      <c r="E4285" s="1" t="n">
        <v>46326</v>
      </c>
      <c r="F4285" t="inlineStr">
        <is>
          <t>GÄVLEBORGS LÄN</t>
        </is>
      </c>
      <c r="G4285" t="inlineStr">
        <is>
          <t>OVANÅKER</t>
        </is>
      </c>
      <c r="I4285" t="n">
        <v>3.7</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8891-2026</t>
        </is>
      </c>
      <c r="B4286" t="inlineStr">
        <is>
          <t>avverkningsanmälan</t>
        </is>
      </c>
      <c r="C4286" t="inlineStr">
        <is>
          <t>Föryngringsavverkning</t>
        </is>
      </c>
      <c r="D4286" s="1" t="n">
        <v>46068</v>
      </c>
      <c r="E4286" s="1" t="n">
        <v>46326</v>
      </c>
      <c r="F4286" t="inlineStr">
        <is>
          <t>GÄVLEBORGS LÄN</t>
        </is>
      </c>
      <c r="G4286" t="inlineStr">
        <is>
          <t>OVANÅKER</t>
        </is>
      </c>
      <c r="I4286" t="n">
        <v>1.1</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8763-2026</t>
        </is>
      </c>
      <c r="B4287" t="inlineStr">
        <is>
          <t>avverkningsanmälan</t>
        </is>
      </c>
      <c r="C4287" t="inlineStr">
        <is>
          <t>Föryngringsavverkning</t>
        </is>
      </c>
      <c r="D4287" s="1" t="n">
        <v>46066</v>
      </c>
      <c r="E4287" s="1" t="n">
        <v>46326</v>
      </c>
      <c r="F4287" t="inlineStr">
        <is>
          <t>GÄVLEBORGS LÄN</t>
        </is>
      </c>
      <c r="G4287" t="inlineStr">
        <is>
          <t>HUDIKSVALL</t>
        </is>
      </c>
      <c r="I4287" t="n">
        <v>7.2</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53444-2025</t>
        </is>
      </c>
      <c r="B4288" t="inlineStr">
        <is>
          <t>avverkningsanmälan</t>
        </is>
      </c>
      <c r="C4288" t="inlineStr">
        <is>
          <t>Föryngringsavverkning</t>
        </is>
      </c>
      <c r="D4288" s="1" t="n">
        <v>45959</v>
      </c>
      <c r="E4288" s="1" t="n">
        <v>46326</v>
      </c>
      <c r="F4288" t="inlineStr">
        <is>
          <t>GÄVLEBORGS LÄN</t>
        </is>
      </c>
      <c r="G4288" t="inlineStr">
        <is>
          <t>BOLLNÄS</t>
        </is>
      </c>
      <c r="I4288" t="n">
        <v>1.6</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8799-2026</t>
        </is>
      </c>
      <c r="B4289" t="inlineStr">
        <is>
          <t>avverkningsanmälan</t>
        </is>
      </c>
      <c r="C4289" t="inlineStr">
        <is>
          <t>Föryngringsavverkning</t>
        </is>
      </c>
      <c r="D4289" s="1" t="n">
        <v>46066</v>
      </c>
      <c r="E4289" s="1" t="n">
        <v>46326</v>
      </c>
      <c r="F4289" t="inlineStr">
        <is>
          <t>GÄVLEBORGS LÄN</t>
        </is>
      </c>
      <c r="G4289" t="inlineStr">
        <is>
          <t>BOLLNÄS</t>
        </is>
      </c>
      <c r="H4289" t="inlineStr">
        <is>
          <t>Sveaskog</t>
        </is>
      </c>
      <c r="I4289" t="n">
        <v>3.8</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8910-2026</t>
        </is>
      </c>
      <c r="B4290" t="inlineStr">
        <is>
          <t>avverkningsanmälan</t>
        </is>
      </c>
      <c r="C4290" t="inlineStr">
        <is>
          <t>Föryngringsavverkning</t>
        </is>
      </c>
      <c r="D4290" s="1" t="n">
        <v>46069</v>
      </c>
      <c r="E4290" s="1" t="n">
        <v>46326</v>
      </c>
      <c r="F4290" t="inlineStr">
        <is>
          <t>GÄVLEBORGS LÄN</t>
        </is>
      </c>
      <c r="G4290" t="inlineStr">
        <is>
          <t>OVANÅKER</t>
        </is>
      </c>
      <c r="I4290" t="n">
        <v>2.1</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40476-2024</t>
        </is>
      </c>
      <c r="B4291" t="inlineStr">
        <is>
          <t>avverkningsanmälan</t>
        </is>
      </c>
      <c r="C4291" t="inlineStr">
        <is>
          <t>Föryngringsavverkning</t>
        </is>
      </c>
      <c r="D4291" s="1" t="n">
        <v>45555</v>
      </c>
      <c r="E4291" s="1" t="n">
        <v>46326</v>
      </c>
      <c r="F4291" t="inlineStr">
        <is>
          <t>GÄVLEBORGS LÄN</t>
        </is>
      </c>
      <c r="G4291" t="inlineStr">
        <is>
          <t>OVANÅKER</t>
        </is>
      </c>
      <c r="I4291" t="n">
        <v>0.6</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53198-2025</t>
        </is>
      </c>
      <c r="B4292" t="inlineStr">
        <is>
          <t>avverkningsanmälan</t>
        </is>
      </c>
      <c r="C4292" t="inlineStr">
        <is>
          <t>Föryngringsavverkning</t>
        </is>
      </c>
      <c r="D4292" s="1" t="n">
        <v>45958</v>
      </c>
      <c r="E4292" s="1" t="n">
        <v>46326</v>
      </c>
      <c r="F4292" t="inlineStr">
        <is>
          <t>GÄVLEBORGS LÄN</t>
        </is>
      </c>
      <c r="G4292" t="inlineStr">
        <is>
          <t>BOLLNÄS</t>
        </is>
      </c>
      <c r="I4292" t="n">
        <v>0.5</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53380-2025</t>
        </is>
      </c>
      <c r="B4293" t="inlineStr">
        <is>
          <t>avverkningsanmälan</t>
        </is>
      </c>
      <c r="C4293" t="inlineStr">
        <is>
          <t>Föryngringsavverkning</t>
        </is>
      </c>
      <c r="D4293" s="1" t="n">
        <v>45959</v>
      </c>
      <c r="E4293" s="1" t="n">
        <v>46326</v>
      </c>
      <c r="F4293" t="inlineStr">
        <is>
          <t>GÄVLEBORGS LÄN</t>
        </is>
      </c>
      <c r="G4293" t="inlineStr">
        <is>
          <t>LJUSDAL</t>
        </is>
      </c>
      <c r="I4293" t="n">
        <v>1.2</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8911-2026</t>
        </is>
      </c>
      <c r="B4294" t="inlineStr">
        <is>
          <t>avverkningsanmälan</t>
        </is>
      </c>
      <c r="C4294" t="inlineStr">
        <is>
          <t>Föryngringsavverkning</t>
        </is>
      </c>
      <c r="D4294" s="1" t="n">
        <v>46069</v>
      </c>
      <c r="E4294" s="1" t="n">
        <v>46326</v>
      </c>
      <c r="F4294" t="inlineStr">
        <is>
          <t>GÄVLEBORGS LÄN</t>
        </is>
      </c>
      <c r="G4294" t="inlineStr">
        <is>
          <t>OVANÅKER</t>
        </is>
      </c>
      <c r="I4294" t="n">
        <v>2</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8848-2026</t>
        </is>
      </c>
      <c r="B4295" t="inlineStr">
        <is>
          <t>avverkningsanmälan</t>
        </is>
      </c>
      <c r="C4295" t="inlineStr">
        <is>
          <t>Föryngringsavverkning</t>
        </is>
      </c>
      <c r="D4295" s="1" t="n">
        <v>46066</v>
      </c>
      <c r="E4295" s="1" t="n">
        <v>46326</v>
      </c>
      <c r="F4295" t="inlineStr">
        <is>
          <t>GÄVLEBORGS LÄN</t>
        </is>
      </c>
      <c r="G4295" t="inlineStr">
        <is>
          <t>LJUSDAL</t>
        </is>
      </c>
      <c r="I4295" t="n">
        <v>1.8</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42540-2024</t>
        </is>
      </c>
      <c r="B4296" t="inlineStr">
        <is>
          <t>avverkningsanmälan</t>
        </is>
      </c>
      <c r="C4296" t="inlineStr">
        <is>
          <t>Föryngringsavverkning</t>
        </is>
      </c>
      <c r="D4296" s="1" t="n">
        <v>45565</v>
      </c>
      <c r="E4296" s="1" t="n">
        <v>46326</v>
      </c>
      <c r="F4296" t="inlineStr">
        <is>
          <t>GÄVLEBORGS LÄN</t>
        </is>
      </c>
      <c r="G4296" t="inlineStr">
        <is>
          <t>LJUSDAL</t>
        </is>
      </c>
      <c r="I4296" t="n">
        <v>1.4</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44227-2024</t>
        </is>
      </c>
      <c r="B4297" t="inlineStr">
        <is>
          <t>avverkningsanmälan</t>
        </is>
      </c>
      <c r="C4297" t="inlineStr">
        <is>
          <t>Föryngringsavverkning</t>
        </is>
      </c>
      <c r="D4297" s="1" t="n">
        <v>45573</v>
      </c>
      <c r="E4297" s="1" t="n">
        <v>46326</v>
      </c>
      <c r="F4297" t="inlineStr">
        <is>
          <t>GÄVLEBORGS LÄN</t>
        </is>
      </c>
      <c r="G4297" t="inlineStr">
        <is>
          <t>HUDIKSVALL</t>
        </is>
      </c>
      <c r="I4297" t="n">
        <v>2.7</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64019-2023</t>
        </is>
      </c>
      <c r="B4298" t="inlineStr">
        <is>
          <t>avverkningsanmälan</t>
        </is>
      </c>
      <c r="C4298" t="inlineStr">
        <is>
          <t>Föryngringsavverkning</t>
        </is>
      </c>
      <c r="D4298" s="1" t="n">
        <v>45278</v>
      </c>
      <c r="E4298" s="1" t="n">
        <v>46326</v>
      </c>
      <c r="F4298" t="inlineStr">
        <is>
          <t>GÄVLEBORGS LÄN</t>
        </is>
      </c>
      <c r="G4298" t="inlineStr">
        <is>
          <t>LJUSDAL</t>
        </is>
      </c>
      <c r="I4298" t="n">
        <v>1.6</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35433-2022</t>
        </is>
      </c>
      <c r="B4299" t="inlineStr">
        <is>
          <t>avverkningsanmälan</t>
        </is>
      </c>
      <c r="C4299" t="inlineStr">
        <is>
          <t>Föryngringsavverkning</t>
        </is>
      </c>
      <c r="D4299" s="1" t="n">
        <v>44798</v>
      </c>
      <c r="E4299" s="1" t="n">
        <v>46326</v>
      </c>
      <c r="F4299" t="inlineStr">
        <is>
          <t>GÄVLEBORGS LÄN</t>
        </is>
      </c>
      <c r="G4299" t="inlineStr">
        <is>
          <t>HUDIKSVALL</t>
        </is>
      </c>
      <c r="I4299" t="n">
        <v>2.5</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8913-2026</t>
        </is>
      </c>
      <c r="B4300" t="inlineStr">
        <is>
          <t>avverkningsanmälan</t>
        </is>
      </c>
      <c r="C4300" t="inlineStr">
        <is>
          <t>Föryngringsavverkning</t>
        </is>
      </c>
      <c r="D4300" s="1" t="n">
        <v>46069</v>
      </c>
      <c r="E4300" s="1" t="n">
        <v>46326</v>
      </c>
      <c r="F4300" t="inlineStr">
        <is>
          <t>GÄVLEBORGS LÄN</t>
        </is>
      </c>
      <c r="G4300" t="inlineStr">
        <is>
          <t>OVANÅKER</t>
        </is>
      </c>
      <c r="I4300" t="n">
        <v>1.1</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24445-2023</t>
        </is>
      </c>
      <c r="B4301" t="inlineStr">
        <is>
          <t>avverkningsanmälan</t>
        </is>
      </c>
      <c r="C4301" t="inlineStr">
        <is>
          <t>Föryngringsavverkning</t>
        </is>
      </c>
      <c r="D4301" s="1" t="n">
        <v>45082</v>
      </c>
      <c r="E4301" s="1" t="n">
        <v>46326</v>
      </c>
      <c r="F4301" t="inlineStr">
        <is>
          <t>GÄVLEBORGS LÄN</t>
        </is>
      </c>
      <c r="G4301" t="inlineStr">
        <is>
          <t>HUDIKSVALL</t>
        </is>
      </c>
      <c r="H4301" t="inlineStr">
        <is>
          <t>Holmen skog AB</t>
        </is>
      </c>
      <c r="I4301" t="n">
        <v>1.5</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8651-2026</t>
        </is>
      </c>
      <c r="B4302" t="inlineStr">
        <is>
          <t>avverkningsanmälan</t>
        </is>
      </c>
      <c r="C4302" t="inlineStr">
        <is>
          <t>Föryngringsavverkning</t>
        </is>
      </c>
      <c r="D4302" s="1" t="n">
        <v>46066</v>
      </c>
      <c r="E4302" s="1" t="n">
        <v>46326</v>
      </c>
      <c r="F4302" t="inlineStr">
        <is>
          <t>GÄVLEBORGS LÄN</t>
        </is>
      </c>
      <c r="G4302" t="inlineStr">
        <is>
          <t>SÖDERHAMN</t>
        </is>
      </c>
      <c r="I4302" t="n">
        <v>1.7</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8710-2026</t>
        </is>
      </c>
      <c r="B4303" t="inlineStr">
        <is>
          <t>avverkningsanmälan</t>
        </is>
      </c>
      <c r="C4303" t="inlineStr">
        <is>
          <t>Föryngringsavverkning</t>
        </is>
      </c>
      <c r="D4303" s="1" t="n">
        <v>46066</v>
      </c>
      <c r="E4303" s="1" t="n">
        <v>46326</v>
      </c>
      <c r="F4303" t="inlineStr">
        <is>
          <t>GÄVLEBORGS LÄN</t>
        </is>
      </c>
      <c r="G4303" t="inlineStr">
        <is>
          <t>BOLLNÄS</t>
        </is>
      </c>
      <c r="H4303" t="inlineStr">
        <is>
          <t>Bergvik skog väst AB</t>
        </is>
      </c>
      <c r="I4303" t="n">
        <v>0.5</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8713-2026</t>
        </is>
      </c>
      <c r="B4304" t="inlineStr">
        <is>
          <t>avverkningsanmälan</t>
        </is>
      </c>
      <c r="C4304" t="inlineStr">
        <is>
          <t>Föryngringsavverkning</t>
        </is>
      </c>
      <c r="D4304" s="1" t="n">
        <v>46066</v>
      </c>
      <c r="E4304" s="1" t="n">
        <v>46326</v>
      </c>
      <c r="F4304" t="inlineStr">
        <is>
          <t>GÄVLEBORGS LÄN</t>
        </is>
      </c>
      <c r="G4304" t="inlineStr">
        <is>
          <t>SANDVIKEN</t>
        </is>
      </c>
      <c r="I4304" t="n">
        <v>1.8</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8775-2026</t>
        </is>
      </c>
      <c r="B4305" t="inlineStr">
        <is>
          <t>avverkningsanmälan</t>
        </is>
      </c>
      <c r="C4305" t="inlineStr">
        <is>
          <t>Föryngringsavverkning</t>
        </is>
      </c>
      <c r="D4305" s="1" t="n">
        <v>46066</v>
      </c>
      <c r="E4305" s="1" t="n">
        <v>46326</v>
      </c>
      <c r="F4305" t="inlineStr">
        <is>
          <t>GÄVLEBORGS LÄN</t>
        </is>
      </c>
      <c r="G4305" t="inlineStr">
        <is>
          <t>HUDIKSVALL</t>
        </is>
      </c>
      <c r="I4305" t="n">
        <v>1.2</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47841-2023</t>
        </is>
      </c>
      <c r="B4306" t="inlineStr">
        <is>
          <t>avverkningsanmälan</t>
        </is>
      </c>
      <c r="C4306" t="inlineStr">
        <is>
          <t>Föryngringsavverkning</t>
        </is>
      </c>
      <c r="D4306" s="1" t="n">
        <v>45204</v>
      </c>
      <c r="E4306" s="1" t="n">
        <v>46326</v>
      </c>
      <c r="F4306" t="inlineStr">
        <is>
          <t>GÄVLEBORGS LÄN</t>
        </is>
      </c>
      <c r="G4306" t="inlineStr">
        <is>
          <t>OCKELBO</t>
        </is>
      </c>
      <c r="I4306" t="n">
        <v>0.7</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53037-2025</t>
        </is>
      </c>
      <c r="B4307" t="inlineStr">
        <is>
          <t>avverkningsanmälan</t>
        </is>
      </c>
      <c r="C4307" t="inlineStr">
        <is>
          <t>Föryngringsavverkning</t>
        </is>
      </c>
      <c r="D4307" s="1" t="n">
        <v>45958</v>
      </c>
      <c r="E4307" s="1" t="n">
        <v>46326</v>
      </c>
      <c r="F4307" t="inlineStr">
        <is>
          <t>GÄVLEBORGS LÄN</t>
        </is>
      </c>
      <c r="G4307" t="inlineStr">
        <is>
          <t>BOLLNÄS</t>
        </is>
      </c>
      <c r="I4307" t="n">
        <v>0.5</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53391-2025</t>
        </is>
      </c>
      <c r="B4308" t="inlineStr">
        <is>
          <t>avverkningsanmälan</t>
        </is>
      </c>
      <c r="C4308" t="inlineStr">
        <is>
          <t>Föryngringsavverkning</t>
        </is>
      </c>
      <c r="D4308" s="1" t="n">
        <v>45959</v>
      </c>
      <c r="E4308" s="1" t="n">
        <v>46326</v>
      </c>
      <c r="F4308" t="inlineStr">
        <is>
          <t>GÄVLEBORGS LÄN</t>
        </is>
      </c>
      <c r="G4308" t="inlineStr">
        <is>
          <t>OCKELBO</t>
        </is>
      </c>
      <c r="H4308" t="inlineStr">
        <is>
          <t>Bergvik skog väst AB</t>
        </is>
      </c>
      <c r="I4308" t="n">
        <v>11.3</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8661-2026</t>
        </is>
      </c>
      <c r="B4309" t="inlineStr">
        <is>
          <t>avverkningsanmälan</t>
        </is>
      </c>
      <c r="C4309" t="inlineStr">
        <is>
          <t>Föryngringsavverkning</t>
        </is>
      </c>
      <c r="D4309" s="1" t="n">
        <v>46066</v>
      </c>
      <c r="E4309" s="1" t="n">
        <v>46326</v>
      </c>
      <c r="F4309" t="inlineStr">
        <is>
          <t>GÄVLEBORGS LÄN</t>
        </is>
      </c>
      <c r="G4309" t="inlineStr">
        <is>
          <t>SÖDERHAMN</t>
        </is>
      </c>
      <c r="I4309" t="n">
        <v>0.8</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38652-2025</t>
        </is>
      </c>
      <c r="B4310" t="inlineStr">
        <is>
          <t>avverkningsanmälan</t>
        </is>
      </c>
      <c r="C4310" t="inlineStr">
        <is>
          <t>Föryngringsavverkning</t>
        </is>
      </c>
      <c r="D4310" s="1" t="n">
        <v>45884</v>
      </c>
      <c r="E4310" s="1" t="n">
        <v>46326</v>
      </c>
      <c r="F4310" t="inlineStr">
        <is>
          <t>GÄVLEBORGS LÄN</t>
        </is>
      </c>
      <c r="G4310" t="inlineStr">
        <is>
          <t>OCKELBO</t>
        </is>
      </c>
      <c r="I4310" t="n">
        <v>0.9</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53028-2025</t>
        </is>
      </c>
      <c r="B4311" t="inlineStr">
        <is>
          <t>avverkningsanmälan</t>
        </is>
      </c>
      <c r="C4311" t="inlineStr">
        <is>
          <t>Föryngringsavverkning</t>
        </is>
      </c>
      <c r="D4311" s="1" t="n">
        <v>45958</v>
      </c>
      <c r="E4311" s="1" t="n">
        <v>46326</v>
      </c>
      <c r="F4311" t="inlineStr">
        <is>
          <t>GÄVLEBORGS LÄN</t>
        </is>
      </c>
      <c r="G4311" t="inlineStr">
        <is>
          <t>NORDANSTIG</t>
        </is>
      </c>
      <c r="H4311" t="inlineStr">
        <is>
          <t>Holmen skog AB</t>
        </is>
      </c>
      <c r="I4311" t="n">
        <v>17</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53067-2025</t>
        </is>
      </c>
      <c r="B4312" t="inlineStr">
        <is>
          <t>avverkningsanmälan</t>
        </is>
      </c>
      <c r="C4312" t="inlineStr">
        <is>
          <t>Föryngringsavverkning</t>
        </is>
      </c>
      <c r="D4312" s="1" t="n">
        <v>45958</v>
      </c>
      <c r="E4312" s="1" t="n">
        <v>46326</v>
      </c>
      <c r="F4312" t="inlineStr">
        <is>
          <t>GÄVLEBORGS LÄN</t>
        </is>
      </c>
      <c r="G4312" t="inlineStr">
        <is>
          <t>BOLLNÄS</t>
        </is>
      </c>
      <c r="I4312" t="n">
        <v>0.4</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57609-2023</t>
        </is>
      </c>
      <c r="B4313" t="inlineStr">
        <is>
          <t>avverkningsanmälan</t>
        </is>
      </c>
      <c r="C4313" t="inlineStr">
        <is>
          <t>Föryngringsavverkning</t>
        </is>
      </c>
      <c r="D4313" s="1" t="n">
        <v>45246</v>
      </c>
      <c r="E4313" s="1" t="n">
        <v>46326</v>
      </c>
      <c r="F4313" t="inlineStr">
        <is>
          <t>GÄVLEBORGS LÄN</t>
        </is>
      </c>
      <c r="G4313" t="inlineStr">
        <is>
          <t>SANDVIKEN</t>
        </is>
      </c>
      <c r="I4313" t="n">
        <v>2.6</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8706-2026</t>
        </is>
      </c>
      <c r="B4314" t="inlineStr">
        <is>
          <t>avverkningsanmälan</t>
        </is>
      </c>
      <c r="C4314" t="inlineStr">
        <is>
          <t>Föryngringsavverkning</t>
        </is>
      </c>
      <c r="D4314" s="1" t="n">
        <v>46066</v>
      </c>
      <c r="E4314" s="1" t="n">
        <v>46326</v>
      </c>
      <c r="F4314" t="inlineStr">
        <is>
          <t>GÄVLEBORGS LÄN</t>
        </is>
      </c>
      <c r="G4314" t="inlineStr">
        <is>
          <t>SANDVIKEN</t>
        </is>
      </c>
      <c r="I4314" t="n">
        <v>1</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8893-2026</t>
        </is>
      </c>
      <c r="B4315" t="inlineStr">
        <is>
          <t>avverkningsanmälan</t>
        </is>
      </c>
      <c r="C4315" t="inlineStr">
        <is>
          <t>Föryngringsavverkning</t>
        </is>
      </c>
      <c r="D4315" s="1" t="n">
        <v>46068</v>
      </c>
      <c r="E4315" s="1" t="n">
        <v>46326</v>
      </c>
      <c r="F4315" t="inlineStr">
        <is>
          <t>GÄVLEBORGS LÄN</t>
        </is>
      </c>
      <c r="G4315" t="inlineStr">
        <is>
          <t>OVANÅKER</t>
        </is>
      </c>
      <c r="I4315" t="n">
        <v>0.6</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8837-2026</t>
        </is>
      </c>
      <c r="B4316" t="inlineStr">
        <is>
          <t>avverkningsanmälan</t>
        </is>
      </c>
      <c r="C4316" t="inlineStr">
        <is>
          <t>Föryngringsavverkning</t>
        </is>
      </c>
      <c r="D4316" s="1" t="n">
        <v>46066</v>
      </c>
      <c r="E4316" s="1" t="n">
        <v>46326</v>
      </c>
      <c r="F4316" t="inlineStr">
        <is>
          <t>GÄVLEBORGS LÄN</t>
        </is>
      </c>
      <c r="G4316" t="inlineStr">
        <is>
          <t>NORDANSTIG</t>
        </is>
      </c>
      <c r="H4316" t="inlineStr">
        <is>
          <t>Naturvårdsverket</t>
        </is>
      </c>
      <c r="I4316" t="n">
        <v>3.5</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9122-2026</t>
        </is>
      </c>
      <c r="B4317" t="inlineStr">
        <is>
          <t>avverkningsanmälan</t>
        </is>
      </c>
      <c r="C4317" t="inlineStr">
        <is>
          <t>Föryngringsavverkning</t>
        </is>
      </c>
      <c r="D4317" s="1" t="n">
        <v>46069</v>
      </c>
      <c r="E4317" s="1" t="n">
        <v>46326</v>
      </c>
      <c r="F4317" t="inlineStr">
        <is>
          <t>GÄVLEBORGS LÄN</t>
        </is>
      </c>
      <c r="G4317" t="inlineStr">
        <is>
          <t>NORDANSTIG</t>
        </is>
      </c>
      <c r="I4317" t="n">
        <v>1.6</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9043-2026</t>
        </is>
      </c>
      <c r="B4318" t="inlineStr">
        <is>
          <t>avverkningsanmälan</t>
        </is>
      </c>
      <c r="C4318" t="inlineStr">
        <is>
          <t>Föryngringsavverkning</t>
        </is>
      </c>
      <c r="D4318" s="1" t="n">
        <v>46069</v>
      </c>
      <c r="E4318" s="1" t="n">
        <v>46326</v>
      </c>
      <c r="F4318" t="inlineStr">
        <is>
          <t>GÄVLEBORGS LÄN</t>
        </is>
      </c>
      <c r="G4318" t="inlineStr">
        <is>
          <t>BOLLNÄS</t>
        </is>
      </c>
      <c r="I4318" t="n">
        <v>0.4</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9059-2026</t>
        </is>
      </c>
      <c r="B4319" t="inlineStr">
        <is>
          <t>avverkningsanmälan</t>
        </is>
      </c>
      <c r="C4319" t="inlineStr">
        <is>
          <t>Föryngringsavverkning</t>
        </is>
      </c>
      <c r="D4319" s="1" t="n">
        <v>46069</v>
      </c>
      <c r="E4319" s="1" t="n">
        <v>46326</v>
      </c>
      <c r="F4319" t="inlineStr">
        <is>
          <t>GÄVLEBORGS LÄN</t>
        </is>
      </c>
      <c r="G4319" t="inlineStr">
        <is>
          <t>BOLLNÄS</t>
        </is>
      </c>
      <c r="I4319" t="n">
        <v>2.5</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53592-2025</t>
        </is>
      </c>
      <c r="B4320" t="inlineStr">
        <is>
          <t>avverkningsanmälan</t>
        </is>
      </c>
      <c r="C4320" t="inlineStr">
        <is>
          <t>Föryngringsavverkning</t>
        </is>
      </c>
      <c r="D4320" s="1" t="n">
        <v>45960</v>
      </c>
      <c r="E4320" s="1" t="n">
        <v>46326</v>
      </c>
      <c r="F4320" t="inlineStr">
        <is>
          <t>GÄVLEBORGS LÄN</t>
        </is>
      </c>
      <c r="G4320" t="inlineStr">
        <is>
          <t>OVANÅKER</t>
        </is>
      </c>
      <c r="I4320" t="n">
        <v>5.8</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53599-2025</t>
        </is>
      </c>
      <c r="B4321" t="inlineStr">
        <is>
          <t>avverkningsanmälan</t>
        </is>
      </c>
      <c r="C4321" t="inlineStr">
        <is>
          <t>Föryngringsavverkning</t>
        </is>
      </c>
      <c r="D4321" s="1" t="n">
        <v>45960</v>
      </c>
      <c r="E4321" s="1" t="n">
        <v>46326</v>
      </c>
      <c r="F4321" t="inlineStr">
        <is>
          <t>GÄVLEBORGS LÄN</t>
        </is>
      </c>
      <c r="G4321" t="inlineStr">
        <is>
          <t>BOLLNÄS</t>
        </is>
      </c>
      <c r="H4321" t="inlineStr">
        <is>
          <t>Bergvik skog väst AB</t>
        </is>
      </c>
      <c r="I4321" t="n">
        <v>3.2</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53998-2025</t>
        </is>
      </c>
      <c r="B4322" t="inlineStr">
        <is>
          <t>avverkningsanmälan</t>
        </is>
      </c>
      <c r="C4322" t="inlineStr">
        <is>
          <t>Avverkning för annat ändamål</t>
        </is>
      </c>
      <c r="D4322" s="1" t="n">
        <v>45961</v>
      </c>
      <c r="E4322" s="1" t="n">
        <v>46326</v>
      </c>
      <c r="F4322" t="inlineStr">
        <is>
          <t>GÄVLEBORGS LÄN</t>
        </is>
      </c>
      <c r="G4322" t="inlineStr">
        <is>
          <t>OVANÅKER</t>
        </is>
      </c>
      <c r="I4322" t="n">
        <v>1.9</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6963-2024</t>
        </is>
      </c>
      <c r="B4323" t="inlineStr">
        <is>
          <t>avverkningsanmälan</t>
        </is>
      </c>
      <c r="C4323" t="inlineStr">
        <is>
          <t>Föryngringsavverkning</t>
        </is>
      </c>
      <c r="D4323" s="1" t="n">
        <v>45343</v>
      </c>
      <c r="E4323" s="1" t="n">
        <v>46326</v>
      </c>
      <c r="F4323" t="inlineStr">
        <is>
          <t>GÄVLEBORGS LÄN</t>
        </is>
      </c>
      <c r="G4323" t="inlineStr">
        <is>
          <t>HOFORS</t>
        </is>
      </c>
      <c r="I4323" t="n">
        <v>2.4</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53598-2025</t>
        </is>
      </c>
      <c r="B4324" t="inlineStr">
        <is>
          <t>avverkningsanmälan</t>
        </is>
      </c>
      <c r="C4324" t="inlineStr">
        <is>
          <t>Avverkning för annat ändamål</t>
        </is>
      </c>
      <c r="D4324" s="1" t="n">
        <v>45960</v>
      </c>
      <c r="E4324" s="1" t="n">
        <v>46326</v>
      </c>
      <c r="F4324" t="inlineStr">
        <is>
          <t>GÄVLEBORGS LÄN</t>
        </is>
      </c>
      <c r="G4324" t="inlineStr">
        <is>
          <t>OVANÅKER</t>
        </is>
      </c>
      <c r="H4324" t="inlineStr">
        <is>
          <t>Bergvik skog väst AB</t>
        </is>
      </c>
      <c r="I4324" t="n">
        <v>1.8</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23638-2024</t>
        </is>
      </c>
      <c r="B4325" t="inlineStr">
        <is>
          <t>avverkningsanmälan</t>
        </is>
      </c>
      <c r="C4325" t="inlineStr">
        <is>
          <t>Föryngringsavverkning</t>
        </is>
      </c>
      <c r="D4325" s="1" t="n">
        <v>45454</v>
      </c>
      <c r="E4325" s="1" t="n">
        <v>46326</v>
      </c>
      <c r="F4325" t="inlineStr">
        <is>
          <t>GÄVLEBORGS LÄN</t>
        </is>
      </c>
      <c r="G4325" t="inlineStr">
        <is>
          <t>GÄVLE</t>
        </is>
      </c>
      <c r="I4325" t="n">
        <v>1.7</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54013-2025</t>
        </is>
      </c>
      <c r="B4326" t="inlineStr">
        <is>
          <t>avverkningsanmälan</t>
        </is>
      </c>
      <c r="C4326" t="inlineStr">
        <is>
          <t>Föryngringsavverkning</t>
        </is>
      </c>
      <c r="D4326" s="1" t="n">
        <v>45961</v>
      </c>
      <c r="E4326" s="1" t="n">
        <v>46326</v>
      </c>
      <c r="F4326" t="inlineStr">
        <is>
          <t>GÄVLEBORGS LÄN</t>
        </is>
      </c>
      <c r="G4326" t="inlineStr">
        <is>
          <t>BOLLNÄS</t>
        </is>
      </c>
      <c r="I4326" t="n">
        <v>0.7</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49380-2024</t>
        </is>
      </c>
      <c r="B4327" t="inlineStr">
        <is>
          <t>avverkningsanmälan</t>
        </is>
      </c>
      <c r="C4327" t="inlineStr">
        <is>
          <t>Föryngringsavverkning</t>
        </is>
      </c>
      <c r="D4327" s="1" t="n">
        <v>45595</v>
      </c>
      <c r="E4327" s="1" t="n">
        <v>46326</v>
      </c>
      <c r="F4327" t="inlineStr">
        <is>
          <t>GÄVLEBORGS LÄN</t>
        </is>
      </c>
      <c r="G4327" t="inlineStr">
        <is>
          <t>GÄVLE</t>
        </is>
      </c>
      <c r="I4327" t="n">
        <v>3.3</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26922-2024</t>
        </is>
      </c>
      <c r="B4328" t="inlineStr">
        <is>
          <t>avverkningsanmälan</t>
        </is>
      </c>
      <c r="C4328" t="inlineStr">
        <is>
          <t>Föryngringsavverkning</t>
        </is>
      </c>
      <c r="D4328" s="1" t="n">
        <v>45470</v>
      </c>
      <c r="E4328" s="1" t="n">
        <v>46326</v>
      </c>
      <c r="F4328" t="inlineStr">
        <is>
          <t>GÄVLEBORGS LÄN</t>
        </is>
      </c>
      <c r="G4328" t="inlineStr">
        <is>
          <t>BOLLNÄS</t>
        </is>
      </c>
      <c r="I4328" t="n">
        <v>0.7</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28523-2024</t>
        </is>
      </c>
      <c r="B4329" t="inlineStr">
        <is>
          <t>avverkningsanmälan</t>
        </is>
      </c>
      <c r="C4329" t="inlineStr">
        <is>
          <t>Föryngringsavverkning</t>
        </is>
      </c>
      <c r="D4329" s="1" t="n">
        <v>45478</v>
      </c>
      <c r="E4329" s="1" t="n">
        <v>46326</v>
      </c>
      <c r="F4329" t="inlineStr">
        <is>
          <t>GÄVLEBORGS LÄN</t>
        </is>
      </c>
      <c r="G4329" t="inlineStr">
        <is>
          <t>SANDVIKEN</t>
        </is>
      </c>
      <c r="I4329" t="n">
        <v>0.9</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53517-2025</t>
        </is>
      </c>
      <c r="B4330" t="inlineStr">
        <is>
          <t>avverkningsanmälan</t>
        </is>
      </c>
      <c r="C4330" t="inlineStr">
        <is>
          <t>Föryngringsavverkning</t>
        </is>
      </c>
      <c r="D4330" s="1" t="n">
        <v>45960</v>
      </c>
      <c r="E4330" s="1" t="n">
        <v>46326</v>
      </c>
      <c r="F4330" t="inlineStr">
        <is>
          <t>GÄVLEBORGS LÄN</t>
        </is>
      </c>
      <c r="G4330" t="inlineStr">
        <is>
          <t>LJUSDAL</t>
        </is>
      </c>
      <c r="I4330" t="n">
        <v>0.9</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49527-2025</t>
        </is>
      </c>
      <c r="B4331" t="inlineStr">
        <is>
          <t>avverkningsanmälan</t>
        </is>
      </c>
      <c r="C4331" t="inlineStr">
        <is>
          <t>Föryngringsavverkning</t>
        </is>
      </c>
      <c r="D4331" s="1" t="n">
        <v>45939</v>
      </c>
      <c r="E4331" s="1" t="n">
        <v>46326</v>
      </c>
      <c r="F4331" t="inlineStr">
        <is>
          <t>GÄVLEBORGS LÄN</t>
        </is>
      </c>
      <c r="G4331" t="inlineStr">
        <is>
          <t>LJUSDAL</t>
        </is>
      </c>
      <c r="I4331" t="n">
        <v>2.2</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14606-2025</t>
        </is>
      </c>
      <c r="B4332" t="inlineStr">
        <is>
          <t>avverkningsanmälan</t>
        </is>
      </c>
      <c r="C4332" t="inlineStr">
        <is>
          <t>Föryngringsavverkning</t>
        </is>
      </c>
      <c r="D4332" s="1" t="n">
        <v>45742</v>
      </c>
      <c r="E4332" s="1" t="n">
        <v>46326</v>
      </c>
      <c r="F4332" t="inlineStr">
        <is>
          <t>GÄVLEBORGS LÄN</t>
        </is>
      </c>
      <c r="G4332" t="inlineStr">
        <is>
          <t>GÄVLE</t>
        </is>
      </c>
      <c r="I4332" t="n">
        <v>0.9</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4566-2026</t>
        </is>
      </c>
      <c r="B4333" t="inlineStr">
        <is>
          <t>avverkningsanmälan</t>
        </is>
      </c>
      <c r="C4333" t="inlineStr">
        <is>
          <t>Föryngringsavverkning</t>
        </is>
      </c>
      <c r="D4333" s="1" t="n">
        <v>46047</v>
      </c>
      <c r="E4333" s="1" t="n">
        <v>46326</v>
      </c>
      <c r="F4333" t="inlineStr">
        <is>
          <t>GÄVLEBORGS LÄN</t>
        </is>
      </c>
      <c r="G4333" t="inlineStr">
        <is>
          <t>HOFORS</t>
        </is>
      </c>
      <c r="I4333" t="n">
        <v>1.1</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8944-2026</t>
        </is>
      </c>
      <c r="B4334" t="inlineStr">
        <is>
          <t>avverkningsanmälan</t>
        </is>
      </c>
      <c r="C4334" t="inlineStr">
        <is>
          <t>Föryngringsavverkning</t>
        </is>
      </c>
      <c r="D4334" s="1" t="n">
        <v>46069</v>
      </c>
      <c r="E4334" s="1" t="n">
        <v>46326</v>
      </c>
      <c r="F4334" t="inlineStr">
        <is>
          <t>GÄVLEBORGS LÄN</t>
        </is>
      </c>
      <c r="G4334" t="inlineStr">
        <is>
          <t>SÖDERHAMN</t>
        </is>
      </c>
      <c r="I4334" t="n">
        <v>1.3</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8954-2026</t>
        </is>
      </c>
      <c r="B4335" t="inlineStr">
        <is>
          <t>avverkningsanmälan</t>
        </is>
      </c>
      <c r="C4335" t="inlineStr">
        <is>
          <t>Föryngringsavverkning</t>
        </is>
      </c>
      <c r="D4335" s="1" t="n">
        <v>46069</v>
      </c>
      <c r="E4335" s="1" t="n">
        <v>46326</v>
      </c>
      <c r="F4335" t="inlineStr">
        <is>
          <t>GÄVLEBORGS LÄN</t>
        </is>
      </c>
      <c r="G4335" t="inlineStr">
        <is>
          <t>GÄVLE</t>
        </is>
      </c>
      <c r="H4335" t="inlineStr">
        <is>
          <t>Bergvik skog väst AB</t>
        </is>
      </c>
      <c r="I4335" t="n">
        <v>1.9</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55593-2024</t>
        </is>
      </c>
      <c r="B4336" t="inlineStr">
        <is>
          <t>avverkningsanmälan</t>
        </is>
      </c>
      <c r="C4336" t="inlineStr">
        <is>
          <t>Föryngringsavverkning</t>
        </is>
      </c>
      <c r="D4336" s="1" t="n">
        <v>45622</v>
      </c>
      <c r="E4336" s="1" t="n">
        <v>46326</v>
      </c>
      <c r="F4336" t="inlineStr">
        <is>
          <t>GÄVLEBORGS LÄN</t>
        </is>
      </c>
      <c r="G4336" t="inlineStr">
        <is>
          <t>BOLLNÄS</t>
        </is>
      </c>
      <c r="I4336" t="n">
        <v>0.6</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53492-2025</t>
        </is>
      </c>
      <c r="B4337" t="inlineStr">
        <is>
          <t>avverkningsanmälan</t>
        </is>
      </c>
      <c r="C4337" t="inlineStr">
        <is>
          <t>Föryngringsavverkning</t>
        </is>
      </c>
      <c r="D4337" s="1" t="n">
        <v>45960</v>
      </c>
      <c r="E4337" s="1" t="n">
        <v>46326</v>
      </c>
      <c r="F4337" t="inlineStr">
        <is>
          <t>GÄVLEBORGS LÄN</t>
        </is>
      </c>
      <c r="G4337" t="inlineStr">
        <is>
          <t>OVANÅKER</t>
        </is>
      </c>
      <c r="I4337" t="n">
        <v>1</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53496-2025</t>
        </is>
      </c>
      <c r="B4338" t="inlineStr">
        <is>
          <t>avverkningsanmälan</t>
        </is>
      </c>
      <c r="C4338" t="inlineStr">
        <is>
          <t>Föryngringsavverkning</t>
        </is>
      </c>
      <c r="D4338" s="1" t="n">
        <v>45960</v>
      </c>
      <c r="E4338" s="1" t="n">
        <v>46326</v>
      </c>
      <c r="F4338" t="inlineStr">
        <is>
          <t>GÄVLEBORGS LÄN</t>
        </is>
      </c>
      <c r="G4338" t="inlineStr">
        <is>
          <t>LJUSDAL</t>
        </is>
      </c>
      <c r="I4338" t="n">
        <v>0.6</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50059-2023</t>
        </is>
      </c>
      <c r="B4339" t="inlineStr">
        <is>
          <t>avverkningsanmälan</t>
        </is>
      </c>
      <c r="C4339" t="inlineStr">
        <is>
          <t>Föryngringsavverkning</t>
        </is>
      </c>
      <c r="D4339" s="1" t="n">
        <v>45215</v>
      </c>
      <c r="E4339" s="1" t="n">
        <v>46326</v>
      </c>
      <c r="F4339" t="inlineStr">
        <is>
          <t>GÄVLEBORGS LÄN</t>
        </is>
      </c>
      <c r="G4339" t="inlineStr">
        <is>
          <t>SÖDERHAMN</t>
        </is>
      </c>
      <c r="I4339" t="n">
        <v>11.2</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8895-2026</t>
        </is>
      </c>
      <c r="B4340" t="inlineStr">
        <is>
          <t>avverkningsanmälan</t>
        </is>
      </c>
      <c r="C4340" t="inlineStr">
        <is>
          <t>Föryngringsavverkning</t>
        </is>
      </c>
      <c r="D4340" s="1" t="n">
        <v>46068</v>
      </c>
      <c r="E4340" s="1" t="n">
        <v>46326</v>
      </c>
      <c r="F4340" t="inlineStr">
        <is>
          <t>GÄVLEBORGS LÄN</t>
        </is>
      </c>
      <c r="G4340" t="inlineStr">
        <is>
          <t>OVANÅKER</t>
        </is>
      </c>
      <c r="I4340" t="n">
        <v>2.5</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8925-2026</t>
        </is>
      </c>
      <c r="B4341" t="inlineStr">
        <is>
          <t>avverkningsanmälan</t>
        </is>
      </c>
      <c r="C4341" t="inlineStr">
        <is>
          <t>Föryngringsavverkning</t>
        </is>
      </c>
      <c r="D4341" s="1" t="n">
        <v>46069</v>
      </c>
      <c r="E4341" s="1" t="n">
        <v>46326</v>
      </c>
      <c r="F4341" t="inlineStr">
        <is>
          <t>GÄVLEBORGS LÄN</t>
        </is>
      </c>
      <c r="G4341" t="inlineStr">
        <is>
          <t>LJUSDAL</t>
        </is>
      </c>
      <c r="H4341" t="inlineStr">
        <is>
          <t>Övriga Aktiebolag</t>
        </is>
      </c>
      <c r="I4341" t="n">
        <v>3.6</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53693-2025</t>
        </is>
      </c>
      <c r="B4342" t="inlineStr">
        <is>
          <t>avverkningsanmälan</t>
        </is>
      </c>
      <c r="C4342" t="inlineStr">
        <is>
          <t>Föryngringsavverkning</t>
        </is>
      </c>
      <c r="D4342" s="1" t="n">
        <v>45960</v>
      </c>
      <c r="E4342" s="1" t="n">
        <v>46326</v>
      </c>
      <c r="F4342" t="inlineStr">
        <is>
          <t>GÄVLEBORGS LÄN</t>
        </is>
      </c>
      <c r="G4342" t="inlineStr">
        <is>
          <t>LJUSDAL</t>
        </is>
      </c>
      <c r="H4342" t="inlineStr">
        <is>
          <t>Bergvik skog väst AB</t>
        </is>
      </c>
      <c r="I4342" t="n">
        <v>2</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53360-2025</t>
        </is>
      </c>
      <c r="B4343" t="inlineStr">
        <is>
          <t>avverkningsanmälan</t>
        </is>
      </c>
      <c r="C4343" t="inlineStr">
        <is>
          <t>Föryngringsavverkning</t>
        </is>
      </c>
      <c r="D4343" s="1" t="n">
        <v>45959</v>
      </c>
      <c r="E4343" s="1" t="n">
        <v>46326</v>
      </c>
      <c r="F4343" t="inlineStr">
        <is>
          <t>GÄVLEBORGS LÄN</t>
        </is>
      </c>
      <c r="G4343" t="inlineStr">
        <is>
          <t>NORDANSTIG</t>
        </is>
      </c>
      <c r="H4343" t="inlineStr">
        <is>
          <t>Holmen skog AB</t>
        </is>
      </c>
      <c r="I4343" t="n">
        <v>6.4</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9184-2026</t>
        </is>
      </c>
      <c r="B4344" t="inlineStr">
        <is>
          <t>avverkningsanmälan</t>
        </is>
      </c>
      <c r="C4344" t="inlineStr">
        <is>
          <t>Föryngringsavverkning</t>
        </is>
      </c>
      <c r="D4344" s="1" t="n">
        <v>46070</v>
      </c>
      <c r="E4344" s="1" t="n">
        <v>46326</v>
      </c>
      <c r="F4344" t="inlineStr">
        <is>
          <t>GÄVLEBORGS LÄN</t>
        </is>
      </c>
      <c r="G4344" t="inlineStr">
        <is>
          <t>BOLLNÄS</t>
        </is>
      </c>
      <c r="I4344" t="n">
        <v>1.3</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9188-2026</t>
        </is>
      </c>
      <c r="B4345" t="inlineStr">
        <is>
          <t>avverkningsanmälan</t>
        </is>
      </c>
      <c r="C4345" t="inlineStr">
        <is>
          <t>Föryngringsavverkning</t>
        </is>
      </c>
      <c r="D4345" s="1" t="n">
        <v>46070</v>
      </c>
      <c r="E4345" s="1" t="n">
        <v>46326</v>
      </c>
      <c r="F4345" t="inlineStr">
        <is>
          <t>GÄVLEBORGS LÄN</t>
        </is>
      </c>
      <c r="G4345" t="inlineStr">
        <is>
          <t>BOLLNÄS</t>
        </is>
      </c>
      <c r="I4345" t="n">
        <v>1.1</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9239-2026</t>
        </is>
      </c>
      <c r="B4346" t="inlineStr">
        <is>
          <t>avverkningsanmälan</t>
        </is>
      </c>
      <c r="C4346" t="inlineStr">
        <is>
          <t>Föryngringsavverkning</t>
        </is>
      </c>
      <c r="D4346" s="1" t="n">
        <v>46070</v>
      </c>
      <c r="E4346" s="1" t="n">
        <v>46326</v>
      </c>
      <c r="F4346" t="inlineStr">
        <is>
          <t>GÄVLEBORGS LÄN</t>
        </is>
      </c>
      <c r="G4346" t="inlineStr">
        <is>
          <t>BOLLNÄS</t>
        </is>
      </c>
      <c r="I4346" t="n">
        <v>1.4</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10762-2025</t>
        </is>
      </c>
      <c r="B4347" t="inlineStr">
        <is>
          <t>avverkningsanmälan</t>
        </is>
      </c>
      <c r="C4347" t="inlineStr">
        <is>
          <t>Föryngringsavverkning</t>
        </is>
      </c>
      <c r="D4347" s="1" t="n">
        <v>45722</v>
      </c>
      <c r="E4347" s="1" t="n">
        <v>46326</v>
      </c>
      <c r="F4347" t="inlineStr">
        <is>
          <t>GÄVLEBORGS LÄN</t>
        </is>
      </c>
      <c r="G4347" t="inlineStr">
        <is>
          <t>OVANÅKER</t>
        </is>
      </c>
      <c r="I4347" t="n">
        <v>0.4</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39591-2024</t>
        </is>
      </c>
      <c r="B4348" t="inlineStr">
        <is>
          <t>avverkningsanmälan</t>
        </is>
      </c>
      <c r="C4348" t="inlineStr">
        <is>
          <t>Föryngringsavverkning</t>
        </is>
      </c>
      <c r="D4348" s="1" t="n">
        <v>45552</v>
      </c>
      <c r="E4348" s="1" t="n">
        <v>46326</v>
      </c>
      <c r="F4348" t="inlineStr">
        <is>
          <t>GÄVLEBORGS LÄN</t>
        </is>
      </c>
      <c r="G4348" t="inlineStr">
        <is>
          <t>SANDVIKEN</t>
        </is>
      </c>
      <c r="I4348" t="n">
        <v>3.8</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879-2026</t>
        </is>
      </c>
      <c r="B4349" t="inlineStr">
        <is>
          <t>avverkningsanmälan</t>
        </is>
      </c>
      <c r="C4349" t="inlineStr">
        <is>
          <t>Föryngringsavverkning</t>
        </is>
      </c>
      <c r="D4349" s="1" t="n">
        <v>46030</v>
      </c>
      <c r="E4349" s="1" t="n">
        <v>46326</v>
      </c>
      <c r="F4349" t="inlineStr">
        <is>
          <t>GÄVLEBORGS LÄN</t>
        </is>
      </c>
      <c r="G4349" t="inlineStr">
        <is>
          <t>NORDANSTIG</t>
        </is>
      </c>
      <c r="H4349" t="inlineStr">
        <is>
          <t>Holmen skog AB</t>
        </is>
      </c>
      <c r="I4349" t="n">
        <v>0.6</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53755-2025</t>
        </is>
      </c>
      <c r="B4350" t="inlineStr">
        <is>
          <t>avverkningsanmälan</t>
        </is>
      </c>
      <c r="C4350" t="inlineStr">
        <is>
          <t>Föryngringsavverkning</t>
        </is>
      </c>
      <c r="D4350" s="1" t="n">
        <v>45960</v>
      </c>
      <c r="E4350" s="1" t="n">
        <v>46326</v>
      </c>
      <c r="F4350" t="inlineStr">
        <is>
          <t>GÄVLEBORGS LÄN</t>
        </is>
      </c>
      <c r="G4350" t="inlineStr">
        <is>
          <t>HUDIKSVALL</t>
        </is>
      </c>
      <c r="I4350" t="n">
        <v>1.1</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53758-2025</t>
        </is>
      </c>
      <c r="B4351" t="inlineStr">
        <is>
          <t>avverkningsanmälan</t>
        </is>
      </c>
      <c r="C4351" t="inlineStr">
        <is>
          <t>Föryngringsavverkning</t>
        </is>
      </c>
      <c r="D4351" s="1" t="n">
        <v>45960</v>
      </c>
      <c r="E4351" s="1" t="n">
        <v>46326</v>
      </c>
      <c r="F4351" t="inlineStr">
        <is>
          <t>GÄVLEBORGS LÄN</t>
        </is>
      </c>
      <c r="G4351" t="inlineStr">
        <is>
          <t>OVANÅKER</t>
        </is>
      </c>
      <c r="I4351" t="n">
        <v>2.9</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53760-2025</t>
        </is>
      </c>
      <c r="B4352" t="inlineStr">
        <is>
          <t>avverkningsanmälan</t>
        </is>
      </c>
      <c r="C4352" t="inlineStr">
        <is>
          <t>Föryngringsavverkning</t>
        </is>
      </c>
      <c r="D4352" s="1" t="n">
        <v>45960</v>
      </c>
      <c r="E4352" s="1" t="n">
        <v>46326</v>
      </c>
      <c r="F4352" t="inlineStr">
        <is>
          <t>GÄVLEBORGS LÄN</t>
        </is>
      </c>
      <c r="G4352" t="inlineStr">
        <is>
          <t>OVANÅKER</t>
        </is>
      </c>
      <c r="I4352" t="n">
        <v>1.8</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53781-2025</t>
        </is>
      </c>
      <c r="B4353" t="inlineStr">
        <is>
          <t>avverkningsanmälan</t>
        </is>
      </c>
      <c r="C4353" t="inlineStr">
        <is>
          <t>Föryngringsavverkning</t>
        </is>
      </c>
      <c r="D4353" s="1" t="n">
        <v>45960</v>
      </c>
      <c r="E4353" s="1" t="n">
        <v>46326</v>
      </c>
      <c r="F4353" t="inlineStr">
        <is>
          <t>GÄVLEBORGS LÄN</t>
        </is>
      </c>
      <c r="G4353" t="inlineStr">
        <is>
          <t>SÖDERHAMN</t>
        </is>
      </c>
      <c r="I4353" t="n">
        <v>3.6</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53818-2025</t>
        </is>
      </c>
      <c r="B4354" t="inlineStr">
        <is>
          <t>avverkningsanmälan</t>
        </is>
      </c>
      <c r="C4354" t="inlineStr">
        <is>
          <t>Föryngringsavverkning</t>
        </is>
      </c>
      <c r="D4354" s="1" t="n">
        <v>45961</v>
      </c>
      <c r="E4354" s="1" t="n">
        <v>46326</v>
      </c>
      <c r="F4354" t="inlineStr">
        <is>
          <t>GÄVLEBORGS LÄN</t>
        </is>
      </c>
      <c r="G4354" t="inlineStr">
        <is>
          <t>BOLLNÄS</t>
        </is>
      </c>
      <c r="I4354" t="n">
        <v>1.6</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53526-2025</t>
        </is>
      </c>
      <c r="B4355" t="inlineStr">
        <is>
          <t>avverkningsanmälan</t>
        </is>
      </c>
      <c r="C4355" t="inlineStr">
        <is>
          <t>Föryngringsavverkning</t>
        </is>
      </c>
      <c r="D4355" s="1" t="n">
        <v>45960</v>
      </c>
      <c r="E4355" s="1" t="n">
        <v>46326</v>
      </c>
      <c r="F4355" t="inlineStr">
        <is>
          <t>GÄVLEBORGS LÄN</t>
        </is>
      </c>
      <c r="G4355" t="inlineStr">
        <is>
          <t>OVANÅKER</t>
        </is>
      </c>
      <c r="I4355" t="n">
        <v>1.9</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53628-2025</t>
        </is>
      </c>
      <c r="B4356" t="inlineStr">
        <is>
          <t>avverkningsanmälan</t>
        </is>
      </c>
      <c r="C4356" t="inlineStr">
        <is>
          <t>Föryngringsavverkning</t>
        </is>
      </c>
      <c r="D4356" s="1" t="n">
        <v>45960</v>
      </c>
      <c r="E4356" s="1" t="n">
        <v>46326</v>
      </c>
      <c r="F4356" t="inlineStr">
        <is>
          <t>GÄVLEBORGS LÄN</t>
        </is>
      </c>
      <c r="G4356" t="inlineStr">
        <is>
          <t>SÖDERHAMN</t>
        </is>
      </c>
      <c r="I4356" t="n">
        <v>6.5</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53646-2025</t>
        </is>
      </c>
      <c r="B4357" t="inlineStr">
        <is>
          <t>avverkningsanmälan</t>
        </is>
      </c>
      <c r="C4357" t="inlineStr">
        <is>
          <t>Föryngringsavverkning</t>
        </is>
      </c>
      <c r="D4357" s="1" t="n">
        <v>45960</v>
      </c>
      <c r="E4357" s="1" t="n">
        <v>46326</v>
      </c>
      <c r="F4357" t="inlineStr">
        <is>
          <t>GÄVLEBORGS LÄN</t>
        </is>
      </c>
      <c r="G4357" t="inlineStr">
        <is>
          <t>NORDANSTIG</t>
        </is>
      </c>
      <c r="H4357" t="inlineStr">
        <is>
          <t>Holmen skog AB</t>
        </is>
      </c>
      <c r="I4357" t="n">
        <v>1.6</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9464-2026</t>
        </is>
      </c>
      <c r="B4358" t="inlineStr">
        <is>
          <t>avverkningsanmälan</t>
        </is>
      </c>
      <c r="C4358" t="inlineStr">
        <is>
          <t>Föryngringsavverkning</t>
        </is>
      </c>
      <c r="D4358" s="1" t="n">
        <v>46071</v>
      </c>
      <c r="E4358" s="1" t="n">
        <v>46326</v>
      </c>
      <c r="F4358" t="inlineStr">
        <is>
          <t>GÄVLEBORGS LÄN</t>
        </is>
      </c>
      <c r="G4358" t="inlineStr">
        <is>
          <t>OCKELBO</t>
        </is>
      </c>
      <c r="H4358" t="inlineStr">
        <is>
          <t>Bergvik skog väst AB</t>
        </is>
      </c>
      <c r="I4358" t="n">
        <v>1.2</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58099-2024</t>
        </is>
      </c>
      <c r="B4359" t="inlineStr">
        <is>
          <t>avverkningsanmälan</t>
        </is>
      </c>
      <c r="C4359" t="inlineStr">
        <is>
          <t>Föryngringsavverkning</t>
        </is>
      </c>
      <c r="D4359" s="1" t="n">
        <v>45632</v>
      </c>
      <c r="E4359" s="1" t="n">
        <v>46326</v>
      </c>
      <c r="F4359" t="inlineStr">
        <is>
          <t>GÄVLEBORGS LÄN</t>
        </is>
      </c>
      <c r="G4359" t="inlineStr">
        <is>
          <t>SÖDERHAMN</t>
        </is>
      </c>
      <c r="H4359" t="inlineStr">
        <is>
          <t>Bergvik skog väst AB</t>
        </is>
      </c>
      <c r="I4359" t="n">
        <v>1.5</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53541-2025</t>
        </is>
      </c>
      <c r="B4360" t="inlineStr">
        <is>
          <t>avverkningsanmälan</t>
        </is>
      </c>
      <c r="C4360" t="inlineStr">
        <is>
          <t>Föryngringsavverkning</t>
        </is>
      </c>
      <c r="D4360" s="1" t="n">
        <v>45960</v>
      </c>
      <c r="E4360" s="1" t="n">
        <v>46326</v>
      </c>
      <c r="F4360" t="inlineStr">
        <is>
          <t>GÄVLEBORGS LÄN</t>
        </is>
      </c>
      <c r="G4360" t="inlineStr">
        <is>
          <t>GÄVLE</t>
        </is>
      </c>
      <c r="I4360" t="n">
        <v>3.8</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58142-2024</t>
        </is>
      </c>
      <c r="B4361" t="inlineStr">
        <is>
          <t>avverkningsanmälan</t>
        </is>
      </c>
      <c r="C4361" t="inlineStr">
        <is>
          <t>Föryngringsavverkning</t>
        </is>
      </c>
      <c r="D4361" s="1" t="n">
        <v>45632</v>
      </c>
      <c r="E4361" s="1" t="n">
        <v>46326</v>
      </c>
      <c r="F4361" t="inlineStr">
        <is>
          <t>GÄVLEBORGS LÄN</t>
        </is>
      </c>
      <c r="G4361" t="inlineStr">
        <is>
          <t>SÖDERHAMN</t>
        </is>
      </c>
      <c r="H4361" t="inlineStr">
        <is>
          <t>Bergvik skog väst AB</t>
        </is>
      </c>
      <c r="I4361" t="n">
        <v>1</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58156-2024</t>
        </is>
      </c>
      <c r="B4362" t="inlineStr">
        <is>
          <t>avverkningsanmälan</t>
        </is>
      </c>
      <c r="C4362" t="inlineStr">
        <is>
          <t>Föryngringsavverkning</t>
        </is>
      </c>
      <c r="D4362" s="1" t="n">
        <v>45632</v>
      </c>
      <c r="E4362" s="1" t="n">
        <v>46326</v>
      </c>
      <c r="F4362" t="inlineStr">
        <is>
          <t>GÄVLEBORGS LÄN</t>
        </is>
      </c>
      <c r="G4362" t="inlineStr">
        <is>
          <t>SÖDERHAMN</t>
        </is>
      </c>
      <c r="H4362" t="inlineStr">
        <is>
          <t>Bergvik skog väst AB</t>
        </is>
      </c>
      <c r="I4362" t="n">
        <v>1.1</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9496-2026</t>
        </is>
      </c>
      <c r="B4363" t="inlineStr">
        <is>
          <t>avverkningsanmälan</t>
        </is>
      </c>
      <c r="C4363" t="inlineStr">
        <is>
          <t>Föryngringsavverkning</t>
        </is>
      </c>
      <c r="D4363" s="1" t="n">
        <v>46071</v>
      </c>
      <c r="E4363" s="1" t="n">
        <v>46326</v>
      </c>
      <c r="F4363" t="inlineStr">
        <is>
          <t>GÄVLEBORGS LÄN</t>
        </is>
      </c>
      <c r="G4363" t="inlineStr">
        <is>
          <t>NORDANSTIG</t>
        </is>
      </c>
      <c r="I4363" t="n">
        <v>4.3</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9500-2026</t>
        </is>
      </c>
      <c r="B4364" t="inlineStr">
        <is>
          <t>avverkningsanmälan</t>
        </is>
      </c>
      <c r="C4364" t="inlineStr">
        <is>
          <t>Föryngringsavverkning</t>
        </is>
      </c>
      <c r="D4364" s="1" t="n">
        <v>46071</v>
      </c>
      <c r="E4364" s="1" t="n">
        <v>46326</v>
      </c>
      <c r="F4364" t="inlineStr">
        <is>
          <t>GÄVLEBORGS LÄN</t>
        </is>
      </c>
      <c r="G4364" t="inlineStr">
        <is>
          <t>NORDANSTIG</t>
        </is>
      </c>
      <c r="I4364" t="n">
        <v>3.5</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53729-2025</t>
        </is>
      </c>
      <c r="B4365" t="inlineStr">
        <is>
          <t>avverkningsanmälan</t>
        </is>
      </c>
      <c r="C4365" t="inlineStr">
        <is>
          <t>Föryngringsavverkning</t>
        </is>
      </c>
      <c r="D4365" s="1" t="n">
        <v>45960</v>
      </c>
      <c r="E4365" s="1" t="n">
        <v>46326</v>
      </c>
      <c r="F4365" t="inlineStr">
        <is>
          <t>GÄVLEBORGS LÄN</t>
        </is>
      </c>
      <c r="G4365" t="inlineStr">
        <is>
          <t>SÖDERHAMN</t>
        </is>
      </c>
      <c r="I4365" t="n">
        <v>0.6</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3162-2023</t>
        </is>
      </c>
      <c r="B4366" t="inlineStr">
        <is>
          <t>avverkningsanmälan</t>
        </is>
      </c>
      <c r="C4366" t="inlineStr">
        <is>
          <t>Föryngringsavverkning</t>
        </is>
      </c>
      <c r="D4366" s="1" t="n">
        <v>44946</v>
      </c>
      <c r="E4366" s="1" t="n">
        <v>46326</v>
      </c>
      <c r="F4366" t="inlineStr">
        <is>
          <t>GÄVLEBORGS LÄN</t>
        </is>
      </c>
      <c r="G4366" t="inlineStr">
        <is>
          <t>HUDIKSVALL</t>
        </is>
      </c>
      <c r="I4366" t="n">
        <v>2.9</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41882-2024</t>
        </is>
      </c>
      <c r="B4367" t="inlineStr">
        <is>
          <t>avverkningsanmälan</t>
        </is>
      </c>
      <c r="C4367" t="inlineStr">
        <is>
          <t>Föryngringsavverkning</t>
        </is>
      </c>
      <c r="D4367" s="1" t="n">
        <v>45561</v>
      </c>
      <c r="E4367" s="1" t="n">
        <v>46326</v>
      </c>
      <c r="F4367" t="inlineStr">
        <is>
          <t>GÄVLEBORGS LÄN</t>
        </is>
      </c>
      <c r="G4367" t="inlineStr">
        <is>
          <t>LJUSDAL</t>
        </is>
      </c>
      <c r="I4367" t="n">
        <v>11.9</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8441-2023</t>
        </is>
      </c>
      <c r="B4368" t="inlineStr">
        <is>
          <t>avverkningsanmälan</t>
        </is>
      </c>
      <c r="C4368" t="inlineStr">
        <is>
          <t>Föryngringsavverkning</t>
        </is>
      </c>
      <c r="D4368" s="1" t="n">
        <v>44977</v>
      </c>
      <c r="E4368" s="1" t="n">
        <v>46326</v>
      </c>
      <c r="F4368" t="inlineStr">
        <is>
          <t>GÄVLEBORGS LÄN</t>
        </is>
      </c>
      <c r="G4368" t="inlineStr">
        <is>
          <t>HUDIKSVALL</t>
        </is>
      </c>
      <c r="H4368" t="inlineStr">
        <is>
          <t>Holmen skog AB</t>
        </is>
      </c>
      <c r="I4368" t="n">
        <v>10</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53278-2025</t>
        </is>
      </c>
      <c r="B4369" t="inlineStr">
        <is>
          <t>avverkningsanmälan</t>
        </is>
      </c>
      <c r="C4369" t="inlineStr">
        <is>
          <t>Föryngringsavverkning</t>
        </is>
      </c>
      <c r="D4369" s="1" t="n">
        <v>45958</v>
      </c>
      <c r="E4369" s="1" t="n">
        <v>46326</v>
      </c>
      <c r="F4369" t="inlineStr">
        <is>
          <t>GÄVLEBORGS LÄN</t>
        </is>
      </c>
      <c r="G4369" t="inlineStr">
        <is>
          <t>HUDIKSVALL</t>
        </is>
      </c>
      <c r="I4369" t="n">
        <v>2.5</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32260-2023</t>
        </is>
      </c>
      <c r="B4370" t="inlineStr">
        <is>
          <t>avverkningsanmälan</t>
        </is>
      </c>
      <c r="C4370" t="inlineStr">
        <is>
          <t>Föryngringsavverkning</t>
        </is>
      </c>
      <c r="D4370" s="1" t="n">
        <v>45120</v>
      </c>
      <c r="E4370" s="1" t="n">
        <v>46326</v>
      </c>
      <c r="F4370" t="inlineStr">
        <is>
          <t>GÄVLEBORGS LÄN</t>
        </is>
      </c>
      <c r="G4370" t="inlineStr">
        <is>
          <t>SANDVIKEN</t>
        </is>
      </c>
      <c r="I4370" t="n">
        <v>2.1</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435-2024</t>
        </is>
      </c>
      <c r="B4371" t="inlineStr">
        <is>
          <t>avverkningsanmälan</t>
        </is>
      </c>
      <c r="C4371" t="inlineStr">
        <is>
          <t>Föryngringsavverkning</t>
        </is>
      </c>
      <c r="D4371" s="1" t="n">
        <v>45296</v>
      </c>
      <c r="E4371" s="1" t="n">
        <v>46326</v>
      </c>
      <c r="F4371" t="inlineStr">
        <is>
          <t>GÄVLEBORGS LÄN</t>
        </is>
      </c>
      <c r="G4371" t="inlineStr">
        <is>
          <t>SÖDERHAMN</t>
        </is>
      </c>
      <c r="I4371" t="n">
        <v>1</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9323-2026</t>
        </is>
      </c>
      <c r="B4372" t="inlineStr">
        <is>
          <t>avverkningsanmälan</t>
        </is>
      </c>
      <c r="C4372" t="inlineStr">
        <is>
          <t>Föryngringsavverkning</t>
        </is>
      </c>
      <c r="D4372" s="1" t="n">
        <v>46070</v>
      </c>
      <c r="E4372" s="1" t="n">
        <v>46326</v>
      </c>
      <c r="F4372" t="inlineStr">
        <is>
          <t>GÄVLEBORGS LÄN</t>
        </is>
      </c>
      <c r="G4372" t="inlineStr">
        <is>
          <t>BOLLNÄS</t>
        </is>
      </c>
      <c r="I4372" t="n">
        <v>0.9</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9470-2026</t>
        </is>
      </c>
      <c r="B4373" t="inlineStr">
        <is>
          <t>avverkningsanmälan</t>
        </is>
      </c>
      <c r="C4373" t="inlineStr">
        <is>
          <t>Föryngringsavverkning</t>
        </is>
      </c>
      <c r="D4373" s="1" t="n">
        <v>46071</v>
      </c>
      <c r="E4373" s="1" t="n">
        <v>46326</v>
      </c>
      <c r="F4373" t="inlineStr">
        <is>
          <t>GÄVLEBORGS LÄN</t>
        </is>
      </c>
      <c r="G4373" t="inlineStr">
        <is>
          <t>OCKELBO</t>
        </is>
      </c>
      <c r="H4373" t="inlineStr">
        <is>
          <t>Bergvik skog väst AB</t>
        </is>
      </c>
      <c r="I4373" t="n">
        <v>5.1</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5571-2024</t>
        </is>
      </c>
      <c r="B4374" t="inlineStr">
        <is>
          <t>avverkningsanmälan</t>
        </is>
      </c>
      <c r="C4374" t="inlineStr">
        <is>
          <t>Avverkning för annat ändamål</t>
        </is>
      </c>
      <c r="D4374" s="1" t="n">
        <v>45334</v>
      </c>
      <c r="E4374" s="1" t="n">
        <v>46326</v>
      </c>
      <c r="F4374" t="inlineStr">
        <is>
          <t>GÄVLEBORGS LÄN</t>
        </is>
      </c>
      <c r="G4374" t="inlineStr">
        <is>
          <t>OCKELBO</t>
        </is>
      </c>
      <c r="I4374" t="n">
        <v>0.3</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9507-2026</t>
        </is>
      </c>
      <c r="B4375" t="inlineStr">
        <is>
          <t>avverkningsanmälan</t>
        </is>
      </c>
      <c r="C4375" t="inlineStr">
        <is>
          <t>Föryngringsavverkning</t>
        </is>
      </c>
      <c r="D4375" s="1" t="n">
        <v>46071</v>
      </c>
      <c r="E4375" s="1" t="n">
        <v>46326</v>
      </c>
      <c r="F4375" t="inlineStr">
        <is>
          <t>GÄVLEBORGS LÄN</t>
        </is>
      </c>
      <c r="G4375" t="inlineStr">
        <is>
          <t>OCKELBO</t>
        </is>
      </c>
      <c r="I4375" t="n">
        <v>1.9</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9523-2026</t>
        </is>
      </c>
      <c r="B4376" t="inlineStr">
        <is>
          <t>avverkningsanmälan</t>
        </is>
      </c>
      <c r="C4376" t="inlineStr">
        <is>
          <t>Föryngringsavverkning</t>
        </is>
      </c>
      <c r="D4376" s="1" t="n">
        <v>46071</v>
      </c>
      <c r="E4376" s="1" t="n">
        <v>46326</v>
      </c>
      <c r="F4376" t="inlineStr">
        <is>
          <t>GÄVLEBORGS LÄN</t>
        </is>
      </c>
      <c r="G4376" t="inlineStr">
        <is>
          <t>BOLLNÄS</t>
        </is>
      </c>
      <c r="I4376" t="n">
        <v>1.4</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9581-2026</t>
        </is>
      </c>
      <c r="B4377" t="inlineStr">
        <is>
          <t>avverkningsanmälan</t>
        </is>
      </c>
      <c r="C4377" t="inlineStr">
        <is>
          <t>Föryngringsavverkning</t>
        </is>
      </c>
      <c r="D4377" s="1" t="n">
        <v>46071</v>
      </c>
      <c r="E4377" s="1" t="n">
        <v>46326</v>
      </c>
      <c r="F4377" t="inlineStr">
        <is>
          <t>GÄVLEBORGS LÄN</t>
        </is>
      </c>
      <c r="G4377" t="inlineStr">
        <is>
          <t>HUDIKSVALL</t>
        </is>
      </c>
      <c r="I4377" t="n">
        <v>1.2</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9583-2026</t>
        </is>
      </c>
      <c r="B4378" t="inlineStr">
        <is>
          <t>avverkningsanmälan</t>
        </is>
      </c>
      <c r="C4378" t="inlineStr">
        <is>
          <t>Föryngringsavverkning</t>
        </is>
      </c>
      <c r="D4378" s="1" t="n">
        <v>46071</v>
      </c>
      <c r="E4378" s="1" t="n">
        <v>46326</v>
      </c>
      <c r="F4378" t="inlineStr">
        <is>
          <t>GÄVLEBORGS LÄN</t>
        </is>
      </c>
      <c r="G4378" t="inlineStr">
        <is>
          <t>HUDIKSVALL</t>
        </is>
      </c>
      <c r="I4378" t="n">
        <v>4.5</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9590-2026</t>
        </is>
      </c>
      <c r="B4379" t="inlineStr">
        <is>
          <t>avverkningsanmälan</t>
        </is>
      </c>
      <c r="C4379" t="inlineStr">
        <is>
          <t>Föryngringsavverkning</t>
        </is>
      </c>
      <c r="D4379" s="1" t="n">
        <v>46071</v>
      </c>
      <c r="E4379" s="1" t="n">
        <v>46326</v>
      </c>
      <c r="F4379" t="inlineStr">
        <is>
          <t>GÄVLEBORGS LÄN</t>
        </is>
      </c>
      <c r="G4379" t="inlineStr">
        <is>
          <t>NORDANSTIG</t>
        </is>
      </c>
      <c r="I4379" t="n">
        <v>1</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24512-2024</t>
        </is>
      </c>
      <c r="B4380" t="inlineStr">
        <is>
          <t>avverkningsanmälan</t>
        </is>
      </c>
      <c r="C4380" t="inlineStr">
        <is>
          <t>Föryngringsavverkning</t>
        </is>
      </c>
      <c r="D4380" s="1" t="n">
        <v>45460</v>
      </c>
      <c r="E4380" s="1" t="n">
        <v>46326</v>
      </c>
      <c r="F4380" t="inlineStr">
        <is>
          <t>GÄVLEBORGS LÄN</t>
        </is>
      </c>
      <c r="G4380" t="inlineStr">
        <is>
          <t>LJUSDAL</t>
        </is>
      </c>
      <c r="I4380" t="n">
        <v>13.7</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53519-2025</t>
        </is>
      </c>
      <c r="B4381" t="inlineStr">
        <is>
          <t>avverkningsanmälan</t>
        </is>
      </c>
      <c r="C4381" t="inlineStr">
        <is>
          <t>Föryngringsavverkning</t>
        </is>
      </c>
      <c r="D4381" s="1" t="n">
        <v>45960</v>
      </c>
      <c r="E4381" s="1" t="n">
        <v>46326</v>
      </c>
      <c r="F4381" t="inlineStr">
        <is>
          <t>GÄVLEBORGS LÄN</t>
        </is>
      </c>
      <c r="G4381" t="inlineStr">
        <is>
          <t>OVANÅKER</t>
        </is>
      </c>
      <c r="I4381" t="n">
        <v>0.5</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58872-2024</t>
        </is>
      </c>
      <c r="B4382" t="inlineStr">
        <is>
          <t>avverkningsanmälan</t>
        </is>
      </c>
      <c r="C4382" t="inlineStr">
        <is>
          <t>Föryngringsavverkning</t>
        </is>
      </c>
      <c r="D4382" s="1" t="n">
        <v>45636</v>
      </c>
      <c r="E4382" s="1" t="n">
        <v>46326</v>
      </c>
      <c r="F4382" t="inlineStr">
        <is>
          <t>GÄVLEBORGS LÄN</t>
        </is>
      </c>
      <c r="G4382" t="inlineStr">
        <is>
          <t>NORDANSTIG</t>
        </is>
      </c>
      <c r="I4382" t="n">
        <v>0.9</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53965-2025</t>
        </is>
      </c>
      <c r="B4383" t="inlineStr">
        <is>
          <t>avverkningsanmälan</t>
        </is>
      </c>
      <c r="C4383" t="inlineStr">
        <is>
          <t>Föryngringsavverkning</t>
        </is>
      </c>
      <c r="D4383" s="1" t="n">
        <v>45961</v>
      </c>
      <c r="E4383" s="1" t="n">
        <v>46326</v>
      </c>
      <c r="F4383" t="inlineStr">
        <is>
          <t>GÄVLEBORGS LÄN</t>
        </is>
      </c>
      <c r="G4383" t="inlineStr">
        <is>
          <t>LJUSDAL</t>
        </is>
      </c>
      <c r="I4383" t="n">
        <v>9.6</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3334-2022</t>
        </is>
      </c>
      <c r="B4384" t="inlineStr">
        <is>
          <t>avverkningsanmälan</t>
        </is>
      </c>
      <c r="C4384" t="inlineStr">
        <is>
          <t>Föryngringsavverkning</t>
        </is>
      </c>
      <c r="D4384" s="1" t="n">
        <v>44585</v>
      </c>
      <c r="E4384" s="1" t="n">
        <v>46326</v>
      </c>
      <c r="F4384" t="inlineStr">
        <is>
          <t>GÄVLEBORGS LÄN</t>
        </is>
      </c>
      <c r="G4384" t="inlineStr">
        <is>
          <t>GÄVLE</t>
        </is>
      </c>
      <c r="I4384" t="n">
        <v>1.9</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54200-2023</t>
        </is>
      </c>
      <c r="B4385" t="inlineStr">
        <is>
          <t>avverkningsanmälan</t>
        </is>
      </c>
      <c r="C4385" t="inlineStr">
        <is>
          <t>Föryngringsavverkning</t>
        </is>
      </c>
      <c r="D4385" s="1" t="n">
        <v>45232</v>
      </c>
      <c r="E4385" s="1" t="n">
        <v>46326</v>
      </c>
      <c r="F4385" t="inlineStr">
        <is>
          <t>GÄVLEBORGS LÄN</t>
        </is>
      </c>
      <c r="G4385" t="inlineStr">
        <is>
          <t>NORDANSTIG</t>
        </is>
      </c>
      <c r="I4385" t="n">
        <v>1.9</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54225-2023</t>
        </is>
      </c>
      <c r="B4386" t="inlineStr">
        <is>
          <t>avverkningsanmälan</t>
        </is>
      </c>
      <c r="C4386" t="inlineStr">
        <is>
          <t>Föryngringsavverkning</t>
        </is>
      </c>
      <c r="D4386" s="1" t="n">
        <v>45232</v>
      </c>
      <c r="E4386" s="1" t="n">
        <v>46326</v>
      </c>
      <c r="F4386" t="inlineStr">
        <is>
          <t>GÄVLEBORGS LÄN</t>
        </is>
      </c>
      <c r="G4386" t="inlineStr">
        <is>
          <t>HUDIKSVALL</t>
        </is>
      </c>
      <c r="I4386" t="n">
        <v>1.7</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9307-2026</t>
        </is>
      </c>
      <c r="B4387" t="inlineStr">
        <is>
          <t>avverkningsanmälan</t>
        </is>
      </c>
      <c r="C4387" t="inlineStr">
        <is>
          <t>Föryngringsavverkning</t>
        </is>
      </c>
      <c r="D4387" s="1" t="n">
        <v>46070</v>
      </c>
      <c r="E4387" s="1" t="n">
        <v>46326</v>
      </c>
      <c r="F4387" t="inlineStr">
        <is>
          <t>GÄVLEBORGS LÄN</t>
        </is>
      </c>
      <c r="G4387" t="inlineStr">
        <is>
          <t>BOLLNÄS</t>
        </is>
      </c>
      <c r="I4387" t="n">
        <v>2.9</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32804-2024</t>
        </is>
      </c>
      <c r="B4388" t="inlineStr">
        <is>
          <t>avverkningsanmälan</t>
        </is>
      </c>
      <c r="C4388" t="inlineStr">
        <is>
          <t>Föryngringsavverkning</t>
        </is>
      </c>
      <c r="D4388" s="1" t="n">
        <v>45516</v>
      </c>
      <c r="E4388" s="1" t="n">
        <v>46326</v>
      </c>
      <c r="F4388" t="inlineStr">
        <is>
          <t>GÄVLEBORGS LÄN</t>
        </is>
      </c>
      <c r="G4388" t="inlineStr">
        <is>
          <t>OVANÅKER</t>
        </is>
      </c>
      <c r="H4388" t="inlineStr">
        <is>
          <t>Bergvik skog öst AB</t>
        </is>
      </c>
      <c r="I4388" t="n">
        <v>1.6</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5296-2022</t>
        </is>
      </c>
      <c r="B4389" t="inlineStr">
        <is>
          <t>avverkningsanmälan</t>
        </is>
      </c>
      <c r="C4389" t="inlineStr">
        <is>
          <t>Föryngringsavverkning</t>
        </is>
      </c>
      <c r="D4389" s="1" t="n">
        <v>44594</v>
      </c>
      <c r="E4389" s="1" t="n">
        <v>46326</v>
      </c>
      <c r="F4389" t="inlineStr">
        <is>
          <t>GÄVLEBORGS LÄN</t>
        </is>
      </c>
      <c r="G4389" t="inlineStr">
        <is>
          <t>BOLLNÄS</t>
        </is>
      </c>
      <c r="I4389" t="n">
        <v>1.6</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9355-2026</t>
        </is>
      </c>
      <c r="B4390" t="inlineStr">
        <is>
          <t>avverkningsanmälan</t>
        </is>
      </c>
      <c r="C4390" t="inlineStr">
        <is>
          <t>Föryngringsavverkning</t>
        </is>
      </c>
      <c r="D4390" s="1" t="n">
        <v>46070</v>
      </c>
      <c r="E4390" s="1" t="n">
        <v>46326</v>
      </c>
      <c r="F4390" t="inlineStr">
        <is>
          <t>GÄVLEBORGS LÄN</t>
        </is>
      </c>
      <c r="G4390" t="inlineStr">
        <is>
          <t>BOLLNÄS</t>
        </is>
      </c>
      <c r="I4390" t="n">
        <v>7.7</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9308-2026</t>
        </is>
      </c>
      <c r="B4391" t="inlineStr">
        <is>
          <t>avverkningsanmälan</t>
        </is>
      </c>
      <c r="C4391" t="inlineStr">
        <is>
          <t>Föryngringsavverkning</t>
        </is>
      </c>
      <c r="D4391" s="1" t="n">
        <v>46070</v>
      </c>
      <c r="E4391" s="1" t="n">
        <v>46326</v>
      </c>
      <c r="F4391" t="inlineStr">
        <is>
          <t>GÄVLEBORGS LÄN</t>
        </is>
      </c>
      <c r="G4391" t="inlineStr">
        <is>
          <t>BOLLNÄS</t>
        </is>
      </c>
      <c r="I4391" t="n">
        <v>0.8</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57164-2024</t>
        </is>
      </c>
      <c r="B4392" t="inlineStr">
        <is>
          <t>avverkningsanmälan</t>
        </is>
      </c>
      <c r="C4392" t="inlineStr">
        <is>
          <t>Föryngringsavverkning</t>
        </is>
      </c>
      <c r="D4392" s="1" t="n">
        <v>45629</v>
      </c>
      <c r="E4392" s="1" t="n">
        <v>46326</v>
      </c>
      <c r="F4392" t="inlineStr">
        <is>
          <t>GÄVLEBORGS LÄN</t>
        </is>
      </c>
      <c r="G4392" t="inlineStr">
        <is>
          <t>LJUSDAL</t>
        </is>
      </c>
      <c r="H4392" t="inlineStr">
        <is>
          <t>Naturvårdsverket</t>
        </is>
      </c>
      <c r="I4392" t="n">
        <v>18.5</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53817-2025</t>
        </is>
      </c>
      <c r="B4393" t="inlineStr">
        <is>
          <t>avverkningsanmälan</t>
        </is>
      </c>
      <c r="C4393" t="inlineStr">
        <is>
          <t>Föryngringsavverkning</t>
        </is>
      </c>
      <c r="D4393" s="1" t="n">
        <v>45961</v>
      </c>
      <c r="E4393" s="1" t="n">
        <v>46326</v>
      </c>
      <c r="F4393" t="inlineStr">
        <is>
          <t>GÄVLEBORGS LÄN</t>
        </is>
      </c>
      <c r="G4393" t="inlineStr">
        <is>
          <t>BOLLNÄS</t>
        </is>
      </c>
      <c r="I4393" t="n">
        <v>0.7</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9416-2026</t>
        </is>
      </c>
      <c r="B4394" t="inlineStr">
        <is>
          <t>avverkningsanmälan</t>
        </is>
      </c>
      <c r="C4394" t="inlineStr">
        <is>
          <t>Föryngringsavverkning</t>
        </is>
      </c>
      <c r="D4394" s="1" t="n">
        <v>46071</v>
      </c>
      <c r="E4394" s="1" t="n">
        <v>46326</v>
      </c>
      <c r="F4394" t="inlineStr">
        <is>
          <t>GÄVLEBORGS LÄN</t>
        </is>
      </c>
      <c r="G4394" t="inlineStr">
        <is>
          <t>OCKELBO</t>
        </is>
      </c>
      <c r="H4394" t="inlineStr">
        <is>
          <t>Bergvik skog väst AB</t>
        </is>
      </c>
      <c r="I4394" t="n">
        <v>0.7</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9177-2026</t>
        </is>
      </c>
      <c r="B4395" t="inlineStr">
        <is>
          <t>avverkningsanmälan</t>
        </is>
      </c>
      <c r="C4395" t="inlineStr">
        <is>
          <t>Föryngringsavverkning</t>
        </is>
      </c>
      <c r="D4395" s="1" t="n">
        <v>46070</v>
      </c>
      <c r="E4395" s="1" t="n">
        <v>46326</v>
      </c>
      <c r="F4395" t="inlineStr">
        <is>
          <t>GÄVLEBORGS LÄN</t>
        </is>
      </c>
      <c r="G4395" t="inlineStr">
        <is>
          <t>BOLLNÄS</t>
        </is>
      </c>
      <c r="I4395" t="n">
        <v>1.3</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9178-2026</t>
        </is>
      </c>
      <c r="B4396" t="inlineStr">
        <is>
          <t>avverkningsanmälan</t>
        </is>
      </c>
      <c r="C4396" t="inlineStr">
        <is>
          <t>Föryngringsavverkning</t>
        </is>
      </c>
      <c r="D4396" s="1" t="n">
        <v>46070</v>
      </c>
      <c r="E4396" s="1" t="n">
        <v>46326</v>
      </c>
      <c r="F4396" t="inlineStr">
        <is>
          <t>GÄVLEBORGS LÄN</t>
        </is>
      </c>
      <c r="G4396" t="inlineStr">
        <is>
          <t>BOLLNÄS</t>
        </is>
      </c>
      <c r="I4396" t="n">
        <v>0.5</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9235-2026</t>
        </is>
      </c>
      <c r="B4397" t="inlineStr">
        <is>
          <t>avverkningsanmälan</t>
        </is>
      </c>
      <c r="C4397" t="inlineStr">
        <is>
          <t>Föryngringsavverkning</t>
        </is>
      </c>
      <c r="D4397" s="1" t="n">
        <v>46070</v>
      </c>
      <c r="E4397" s="1" t="n">
        <v>46326</v>
      </c>
      <c r="F4397" t="inlineStr">
        <is>
          <t>GÄVLEBORGS LÄN</t>
        </is>
      </c>
      <c r="G4397" t="inlineStr">
        <is>
          <t>BOLLNÄS</t>
        </is>
      </c>
      <c r="I4397" t="n">
        <v>3.9</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9237-2026</t>
        </is>
      </c>
      <c r="B4398" t="inlineStr">
        <is>
          <t>avverkningsanmälan</t>
        </is>
      </c>
      <c r="C4398" t="inlineStr">
        <is>
          <t>Föryngringsavverkning</t>
        </is>
      </c>
      <c r="D4398" s="1" t="n">
        <v>46070</v>
      </c>
      <c r="E4398" s="1" t="n">
        <v>46326</v>
      </c>
      <c r="F4398" t="inlineStr">
        <is>
          <t>GÄVLEBORGS LÄN</t>
        </is>
      </c>
      <c r="G4398" t="inlineStr">
        <is>
          <t>BOLLNÄS</t>
        </is>
      </c>
      <c r="I4398" t="n">
        <v>0.4</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9204-2026</t>
        </is>
      </c>
      <c r="B4399" t="inlineStr">
        <is>
          <t>avverkningsanmälan</t>
        </is>
      </c>
      <c r="C4399" t="inlineStr">
        <is>
          <t>Föryngringsavverkning</t>
        </is>
      </c>
      <c r="D4399" s="1" t="n">
        <v>46070</v>
      </c>
      <c r="E4399" s="1" t="n">
        <v>46326</v>
      </c>
      <c r="F4399" t="inlineStr">
        <is>
          <t>GÄVLEBORGS LÄN</t>
        </is>
      </c>
      <c r="G4399" t="inlineStr">
        <is>
          <t>NORDANSTIG</t>
        </is>
      </c>
      <c r="I4399" t="n">
        <v>15.6</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9554-2026</t>
        </is>
      </c>
      <c r="B4400" t="inlineStr">
        <is>
          <t>avverkningsanmälan</t>
        </is>
      </c>
      <c r="C4400" t="inlineStr">
        <is>
          <t>Föryngringsavverkning</t>
        </is>
      </c>
      <c r="D4400" s="1" t="n">
        <v>46071</v>
      </c>
      <c r="E4400" s="1" t="n">
        <v>46326</v>
      </c>
      <c r="F4400" t="inlineStr">
        <is>
          <t>GÄVLEBORGS LÄN</t>
        </is>
      </c>
      <c r="G4400" t="inlineStr">
        <is>
          <t>OCKELBO</t>
        </is>
      </c>
      <c r="I4400" t="n">
        <v>0.7</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450-2025</t>
        </is>
      </c>
      <c r="B4401" t="inlineStr">
        <is>
          <t>avverkningsanmälan</t>
        </is>
      </c>
      <c r="C4401" t="inlineStr">
        <is>
          <t>Föryngringsavverkning</t>
        </is>
      </c>
      <c r="D4401" s="1" t="n">
        <v>45664</v>
      </c>
      <c r="E4401" s="1" t="n">
        <v>46326</v>
      </c>
      <c r="F4401" t="inlineStr">
        <is>
          <t>GÄVLEBORGS LÄN</t>
        </is>
      </c>
      <c r="G4401" t="inlineStr">
        <is>
          <t>HUDIKSVALL</t>
        </is>
      </c>
      <c r="I4401" t="n">
        <v>3.4</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9557-2026</t>
        </is>
      </c>
      <c r="B4402" t="inlineStr">
        <is>
          <t>avverkningsanmälan</t>
        </is>
      </c>
      <c r="C4402" t="inlineStr">
        <is>
          <t>Föryngringsavverkning</t>
        </is>
      </c>
      <c r="D4402" s="1" t="n">
        <v>46071</v>
      </c>
      <c r="E4402" s="1" t="n">
        <v>46326</v>
      </c>
      <c r="F4402" t="inlineStr">
        <is>
          <t>GÄVLEBORGS LÄN</t>
        </is>
      </c>
      <c r="G4402" t="inlineStr">
        <is>
          <t>OCKELBO</t>
        </is>
      </c>
      <c r="I4402" t="n">
        <v>10.4</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9298-2026</t>
        </is>
      </c>
      <c r="B4403" t="inlineStr">
        <is>
          <t>avverkningsanmälan</t>
        </is>
      </c>
      <c r="C4403" t="inlineStr">
        <is>
          <t>Föryngringsavverkning</t>
        </is>
      </c>
      <c r="D4403" s="1" t="n">
        <v>46070</v>
      </c>
      <c r="E4403" s="1" t="n">
        <v>46326</v>
      </c>
      <c r="F4403" t="inlineStr">
        <is>
          <t>GÄVLEBORGS LÄN</t>
        </is>
      </c>
      <c r="G4403" t="inlineStr">
        <is>
          <t>BOLLNÄS</t>
        </is>
      </c>
      <c r="H4403" t="inlineStr">
        <is>
          <t>Bergvik skog väst AB</t>
        </is>
      </c>
      <c r="I4403" t="n">
        <v>1.1</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9414-2026</t>
        </is>
      </c>
      <c r="B4404" t="inlineStr">
        <is>
          <t>avverkningsanmälan</t>
        </is>
      </c>
      <c r="C4404" t="inlineStr">
        <is>
          <t>Föryngringsavverkning</t>
        </is>
      </c>
      <c r="D4404" s="1" t="n">
        <v>46071</v>
      </c>
      <c r="E4404" s="1" t="n">
        <v>46326</v>
      </c>
      <c r="F4404" t="inlineStr">
        <is>
          <t>GÄVLEBORGS LÄN</t>
        </is>
      </c>
      <c r="G4404" t="inlineStr">
        <is>
          <t>OCKELBO</t>
        </is>
      </c>
      <c r="I4404" t="n">
        <v>2.1</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9176-2026</t>
        </is>
      </c>
      <c r="B4405" t="inlineStr">
        <is>
          <t>avverkningsanmälan</t>
        </is>
      </c>
      <c r="C4405" t="inlineStr">
        <is>
          <t>Föryngringsavverkning</t>
        </is>
      </c>
      <c r="D4405" s="1" t="n">
        <v>46070</v>
      </c>
      <c r="E4405" s="1" t="n">
        <v>46326</v>
      </c>
      <c r="F4405" t="inlineStr">
        <is>
          <t>GÄVLEBORGS LÄN</t>
        </is>
      </c>
      <c r="G4405" t="inlineStr">
        <is>
          <t>SÖDERHAMN</t>
        </is>
      </c>
      <c r="I4405" t="n">
        <v>3.4</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9213-2026</t>
        </is>
      </c>
      <c r="B4406" t="inlineStr">
        <is>
          <t>avverkningsanmälan</t>
        </is>
      </c>
      <c r="C4406" t="inlineStr">
        <is>
          <t>Föryngringsavverkning</t>
        </is>
      </c>
      <c r="D4406" s="1" t="n">
        <v>46070</v>
      </c>
      <c r="E4406" s="1" t="n">
        <v>46326</v>
      </c>
      <c r="F4406" t="inlineStr">
        <is>
          <t>GÄVLEBORGS LÄN</t>
        </is>
      </c>
      <c r="G4406" t="inlineStr">
        <is>
          <t>BOLLNÄS</t>
        </is>
      </c>
      <c r="I4406" t="n">
        <v>4.4</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54099-2023</t>
        </is>
      </c>
      <c r="B4407" t="inlineStr">
        <is>
          <t>avverkningsanmälan</t>
        </is>
      </c>
      <c r="C4407" t="inlineStr">
        <is>
          <t>Föryngringsavverkning</t>
        </is>
      </c>
      <c r="D4407" s="1" t="n">
        <v>45225</v>
      </c>
      <c r="E4407" s="1" t="n">
        <v>46326</v>
      </c>
      <c r="F4407" t="inlineStr">
        <is>
          <t>GÄVLEBORGS LÄN</t>
        </is>
      </c>
      <c r="G4407" t="inlineStr">
        <is>
          <t>OVANÅKER</t>
        </is>
      </c>
      <c r="I4407" t="n">
        <v>2.5</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53494-2025</t>
        </is>
      </c>
      <c r="B4408" t="inlineStr">
        <is>
          <t>avverkningsanmälan</t>
        </is>
      </c>
      <c r="C4408" t="inlineStr">
        <is>
          <t>Föryngringsavverkning</t>
        </is>
      </c>
      <c r="D4408" s="1" t="n">
        <v>45960</v>
      </c>
      <c r="E4408" s="1" t="n">
        <v>46326</v>
      </c>
      <c r="F4408" t="inlineStr">
        <is>
          <t>GÄVLEBORGS LÄN</t>
        </is>
      </c>
      <c r="G4408" t="inlineStr">
        <is>
          <t>SÖDERHAMN</t>
        </is>
      </c>
      <c r="I4408" t="n">
        <v>0.7</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53731-2025</t>
        </is>
      </c>
      <c r="B4409" t="inlineStr">
        <is>
          <t>avverkningsanmälan</t>
        </is>
      </c>
      <c r="C4409" t="inlineStr">
        <is>
          <t>Föryngringsavverkning</t>
        </is>
      </c>
      <c r="D4409" s="1" t="n">
        <v>45960</v>
      </c>
      <c r="E4409" s="1" t="n">
        <v>46326</v>
      </c>
      <c r="F4409" t="inlineStr">
        <is>
          <t>GÄVLEBORGS LÄN</t>
        </is>
      </c>
      <c r="G4409" t="inlineStr">
        <is>
          <t>SÖDERHAMN</t>
        </is>
      </c>
      <c r="I4409" t="n">
        <v>2.6</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30562-2023</t>
        </is>
      </c>
      <c r="B4410" t="inlineStr">
        <is>
          <t>avverkningsanmälan</t>
        </is>
      </c>
      <c r="C4410" t="inlineStr">
        <is>
          <t>Föryngringsavverkning</t>
        </is>
      </c>
      <c r="D4410" s="1" t="n">
        <v>45111</v>
      </c>
      <c r="E4410" s="1" t="n">
        <v>46326</v>
      </c>
      <c r="F4410" t="inlineStr">
        <is>
          <t>GÄVLEBORGS LÄN</t>
        </is>
      </c>
      <c r="G4410" t="inlineStr">
        <is>
          <t>HUDIKSVALL</t>
        </is>
      </c>
      <c r="I4410" t="n">
        <v>11.5</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53692-2025</t>
        </is>
      </c>
      <c r="B4411" t="inlineStr">
        <is>
          <t>avverkningsanmälan</t>
        </is>
      </c>
      <c r="C4411" t="inlineStr">
        <is>
          <t>Föryngringsavverkning</t>
        </is>
      </c>
      <c r="D4411" s="1" t="n">
        <v>45960</v>
      </c>
      <c r="E4411" s="1" t="n">
        <v>46326</v>
      </c>
      <c r="F4411" t="inlineStr">
        <is>
          <t>GÄVLEBORGS LÄN</t>
        </is>
      </c>
      <c r="G4411" t="inlineStr">
        <is>
          <t>BOLLNÄS</t>
        </is>
      </c>
      <c r="I4411" t="n">
        <v>3.8</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9480-2026</t>
        </is>
      </c>
      <c r="B4412" t="inlineStr">
        <is>
          <t>avverkningsanmälan</t>
        </is>
      </c>
      <c r="C4412" t="inlineStr">
        <is>
          <t>Föryngringsavverkning</t>
        </is>
      </c>
      <c r="D4412" s="1" t="n">
        <v>46071</v>
      </c>
      <c r="E4412" s="1" t="n">
        <v>46326</v>
      </c>
      <c r="F4412" t="inlineStr">
        <is>
          <t>GÄVLEBORGS LÄN</t>
        </is>
      </c>
      <c r="G4412" t="inlineStr">
        <is>
          <t>SANDVIKEN</t>
        </is>
      </c>
      <c r="H4412" t="inlineStr">
        <is>
          <t>Naturvårdsverket</t>
        </is>
      </c>
      <c r="I4412" t="n">
        <v>3</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9545-2026</t>
        </is>
      </c>
      <c r="B4413" t="inlineStr">
        <is>
          <t>avverkningsanmälan</t>
        </is>
      </c>
      <c r="C4413" t="inlineStr">
        <is>
          <t>Föryngringsavverkning</t>
        </is>
      </c>
      <c r="D4413" s="1" t="n">
        <v>46071</v>
      </c>
      <c r="E4413" s="1" t="n">
        <v>46326</v>
      </c>
      <c r="F4413" t="inlineStr">
        <is>
          <t>GÄVLEBORGS LÄN</t>
        </is>
      </c>
      <c r="G4413" t="inlineStr">
        <is>
          <t>BOLLNÄS</t>
        </is>
      </c>
      <c r="H4413" t="inlineStr">
        <is>
          <t>Sveaskog</t>
        </is>
      </c>
      <c r="I4413" t="n">
        <v>1.6</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9505-2026</t>
        </is>
      </c>
      <c r="B4414" t="inlineStr">
        <is>
          <t>avverkningsanmälan</t>
        </is>
      </c>
      <c r="C4414" t="inlineStr">
        <is>
          <t>Föryngringsavverkning</t>
        </is>
      </c>
      <c r="D4414" s="1" t="n">
        <v>46071</v>
      </c>
      <c r="E4414" s="1" t="n">
        <v>46326</v>
      </c>
      <c r="F4414" t="inlineStr">
        <is>
          <t>GÄVLEBORGS LÄN</t>
        </is>
      </c>
      <c r="G4414" t="inlineStr">
        <is>
          <t>OCKELBO</t>
        </is>
      </c>
      <c r="I4414" t="n">
        <v>8.1</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9241-2026</t>
        </is>
      </c>
      <c r="B4415" t="inlineStr">
        <is>
          <t>avverkningsanmälan</t>
        </is>
      </c>
      <c r="C4415" t="inlineStr">
        <is>
          <t>Föryngringsavverkning</t>
        </is>
      </c>
      <c r="D4415" s="1" t="n">
        <v>46070</v>
      </c>
      <c r="E4415" s="1" t="n">
        <v>46326</v>
      </c>
      <c r="F4415" t="inlineStr">
        <is>
          <t>GÄVLEBORGS LÄN</t>
        </is>
      </c>
      <c r="G4415" t="inlineStr">
        <is>
          <t>BOLLNÄS</t>
        </is>
      </c>
      <c r="I4415" t="n">
        <v>0.9</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9242-2026</t>
        </is>
      </c>
      <c r="B4416" t="inlineStr">
        <is>
          <t>avverkningsanmälan</t>
        </is>
      </c>
      <c r="C4416" t="inlineStr">
        <is>
          <t>Föryngringsavverkning</t>
        </is>
      </c>
      <c r="D4416" s="1" t="n">
        <v>46070</v>
      </c>
      <c r="E4416" s="1" t="n">
        <v>46326</v>
      </c>
      <c r="F4416" t="inlineStr">
        <is>
          <t>GÄVLEBORGS LÄN</t>
        </is>
      </c>
      <c r="G4416" t="inlineStr">
        <is>
          <t>BOLLNÄS</t>
        </is>
      </c>
      <c r="I4416" t="n">
        <v>2.1</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36182-2024</t>
        </is>
      </c>
      <c r="B4417" t="inlineStr">
        <is>
          <t>avverkningsanmälan</t>
        </is>
      </c>
      <c r="C4417" t="inlineStr">
        <is>
          <t>Föryngringsavverkning</t>
        </is>
      </c>
      <c r="D4417" s="1" t="n">
        <v>45534</v>
      </c>
      <c r="E4417" s="1" t="n">
        <v>46326</v>
      </c>
      <c r="F4417" t="inlineStr">
        <is>
          <t>GÄVLEBORGS LÄN</t>
        </is>
      </c>
      <c r="G4417" t="inlineStr">
        <is>
          <t>LJUSDAL</t>
        </is>
      </c>
      <c r="H4417" t="inlineStr">
        <is>
          <t>Holmen skog AB</t>
        </is>
      </c>
      <c r="I4417" t="n">
        <v>6.1</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60904-2024</t>
        </is>
      </c>
      <c r="B4418" t="inlineStr">
        <is>
          <t>avverkningsanmälan</t>
        </is>
      </c>
      <c r="C4418" t="inlineStr">
        <is>
          <t>Föryngringsavverkning</t>
        </is>
      </c>
      <c r="D4418" s="1" t="n">
        <v>45645</v>
      </c>
      <c r="E4418" s="1" t="n">
        <v>46326</v>
      </c>
      <c r="F4418" t="inlineStr">
        <is>
          <t>GÄVLEBORGS LÄN</t>
        </is>
      </c>
      <c r="G4418" t="inlineStr">
        <is>
          <t>HUDIKSVALL</t>
        </is>
      </c>
      <c r="I4418" t="n">
        <v>1.5</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60915-2024</t>
        </is>
      </c>
      <c r="B4419" t="inlineStr">
        <is>
          <t>avverkningsanmälan</t>
        </is>
      </c>
      <c r="C4419" t="inlineStr">
        <is>
          <t>Föryngringsavverkning</t>
        </is>
      </c>
      <c r="D4419" s="1" t="n">
        <v>45645</v>
      </c>
      <c r="E4419" s="1" t="n">
        <v>46326</v>
      </c>
      <c r="F4419" t="inlineStr">
        <is>
          <t>GÄVLEBORGS LÄN</t>
        </is>
      </c>
      <c r="G4419" t="inlineStr">
        <is>
          <t>OCKELBO</t>
        </is>
      </c>
      <c r="H4419" t="inlineStr">
        <is>
          <t>Kyrkan</t>
        </is>
      </c>
      <c r="I4419" t="n">
        <v>2.6</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9340-2026</t>
        </is>
      </c>
      <c r="B4420" t="inlineStr">
        <is>
          <t>avverkningsanmälan</t>
        </is>
      </c>
      <c r="C4420" t="inlineStr">
        <is>
          <t>Föryngringsavverkning</t>
        </is>
      </c>
      <c r="D4420" s="1" t="n">
        <v>46070</v>
      </c>
      <c r="E4420" s="1" t="n">
        <v>46326</v>
      </c>
      <c r="F4420" t="inlineStr">
        <is>
          <t>GÄVLEBORGS LÄN</t>
        </is>
      </c>
      <c r="G4420" t="inlineStr">
        <is>
          <t>NORDANSTIG</t>
        </is>
      </c>
      <c r="I4420" t="n">
        <v>3.7</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9396-2026</t>
        </is>
      </c>
      <c r="B4421" t="inlineStr">
        <is>
          <t>avverkningsanmälan</t>
        </is>
      </c>
      <c r="C4421" t="inlineStr">
        <is>
          <t>Föryngringsavverkning</t>
        </is>
      </c>
      <c r="D4421" s="1" t="n">
        <v>46071</v>
      </c>
      <c r="E4421" s="1" t="n">
        <v>46326</v>
      </c>
      <c r="F4421" t="inlineStr">
        <is>
          <t>GÄVLEBORGS LÄN</t>
        </is>
      </c>
      <c r="G4421" t="inlineStr">
        <is>
          <t>HUDIKSVALL</t>
        </is>
      </c>
      <c r="I4421" t="n">
        <v>2</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9435-2026</t>
        </is>
      </c>
      <c r="B4422" t="inlineStr">
        <is>
          <t>avverkningsanmälan</t>
        </is>
      </c>
      <c r="C4422" t="inlineStr">
        <is>
          <t>Föryngringsavverkning</t>
        </is>
      </c>
      <c r="D4422" s="1" t="n">
        <v>46071</v>
      </c>
      <c r="E4422" s="1" t="n">
        <v>46326</v>
      </c>
      <c r="F4422" t="inlineStr">
        <is>
          <t>GÄVLEBORGS LÄN</t>
        </is>
      </c>
      <c r="G4422" t="inlineStr">
        <is>
          <t>OVANÅKER</t>
        </is>
      </c>
      <c r="H4422" t="inlineStr">
        <is>
          <t>Kyrkan</t>
        </is>
      </c>
      <c r="I4422" t="n">
        <v>0.6</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9385-2026</t>
        </is>
      </c>
      <c r="B4423" t="inlineStr">
        <is>
          <t>avverkningsanmälan</t>
        </is>
      </c>
      <c r="C4423" t="inlineStr">
        <is>
          <t>Föryngringsavverkning</t>
        </is>
      </c>
      <c r="D4423" s="1" t="n">
        <v>46071</v>
      </c>
      <c r="E4423" s="1" t="n">
        <v>46326</v>
      </c>
      <c r="F4423" t="inlineStr">
        <is>
          <t>GÄVLEBORGS LÄN</t>
        </is>
      </c>
      <c r="G4423" t="inlineStr">
        <is>
          <t>BOLLNÄS</t>
        </is>
      </c>
      <c r="H4423" t="inlineStr">
        <is>
          <t>Kyrkan</t>
        </is>
      </c>
      <c r="I4423" t="n">
        <v>4.5</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54135-2025</t>
        </is>
      </c>
      <c r="B4424" t="inlineStr">
        <is>
          <t>avverkningsanmälan</t>
        </is>
      </c>
      <c r="C4424" t="inlineStr">
        <is>
          <t>Föryngringsavverkning</t>
        </is>
      </c>
      <c r="D4424" s="1" t="n">
        <v>45964</v>
      </c>
      <c r="E4424" s="1" t="n">
        <v>46326</v>
      </c>
      <c r="F4424" t="inlineStr">
        <is>
          <t>GÄVLEBORGS LÄN</t>
        </is>
      </c>
      <c r="G4424" t="inlineStr">
        <is>
          <t>GÄVLE</t>
        </is>
      </c>
      <c r="H4424" t="inlineStr">
        <is>
          <t>Bergvik skog öst AB</t>
        </is>
      </c>
      <c r="I4424" t="n">
        <v>1.7</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8522-2024</t>
        </is>
      </c>
      <c r="B4425" t="inlineStr">
        <is>
          <t>avverkningsanmälan</t>
        </is>
      </c>
      <c r="C4425" t="inlineStr">
        <is>
          <t>Föryngringsavverkning</t>
        </is>
      </c>
      <c r="D4425" s="1" t="n">
        <v>45355</v>
      </c>
      <c r="E4425" s="1" t="n">
        <v>46326</v>
      </c>
      <c r="F4425" t="inlineStr">
        <is>
          <t>GÄVLEBORGS LÄN</t>
        </is>
      </c>
      <c r="G4425" t="inlineStr">
        <is>
          <t>HUDIKSVALL</t>
        </is>
      </c>
      <c r="I4425" t="n">
        <v>2.3</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9386-2026</t>
        </is>
      </c>
      <c r="B4426" t="inlineStr">
        <is>
          <t>avverkningsanmälan</t>
        </is>
      </c>
      <c r="C4426" t="inlineStr">
        <is>
          <t>Föryngringsavverkning</t>
        </is>
      </c>
      <c r="D4426" s="1" t="n">
        <v>46071</v>
      </c>
      <c r="E4426" s="1" t="n">
        <v>46326</v>
      </c>
      <c r="F4426" t="inlineStr">
        <is>
          <t>GÄVLEBORGS LÄN</t>
        </is>
      </c>
      <c r="G4426" t="inlineStr">
        <is>
          <t>BOLLNÄS</t>
        </is>
      </c>
      <c r="H4426" t="inlineStr">
        <is>
          <t>Kyrkan</t>
        </is>
      </c>
      <c r="I4426" t="n">
        <v>0.9</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9230-2026</t>
        </is>
      </c>
      <c r="B4427" t="inlineStr">
        <is>
          <t>avverkningsanmälan</t>
        </is>
      </c>
      <c r="C4427" t="inlineStr">
        <is>
          <t>Föryngringsavverkning</t>
        </is>
      </c>
      <c r="D4427" s="1" t="n">
        <v>46070</v>
      </c>
      <c r="E4427" s="1" t="n">
        <v>46326</v>
      </c>
      <c r="F4427" t="inlineStr">
        <is>
          <t>GÄVLEBORGS LÄN</t>
        </is>
      </c>
      <c r="G4427" t="inlineStr">
        <is>
          <t>BOLLNÄS</t>
        </is>
      </c>
      <c r="I4427" t="n">
        <v>1.7</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54402-2025</t>
        </is>
      </c>
      <c r="B4428" t="inlineStr">
        <is>
          <t>avverkningsanmälan</t>
        </is>
      </c>
      <c r="C4428" t="inlineStr">
        <is>
          <t>Föryngringsavverkning</t>
        </is>
      </c>
      <c r="D4428" s="1" t="n">
        <v>45965</v>
      </c>
      <c r="E4428" s="1" t="n">
        <v>46326</v>
      </c>
      <c r="F4428" t="inlineStr">
        <is>
          <t>GÄVLEBORGS LÄN</t>
        </is>
      </c>
      <c r="G4428" t="inlineStr">
        <is>
          <t>LJUSDAL</t>
        </is>
      </c>
      <c r="I4428" t="n">
        <v>6.3</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54266-2025</t>
        </is>
      </c>
      <c r="B4429" t="inlineStr">
        <is>
          <t>avverkningsanmälan</t>
        </is>
      </c>
      <c r="C4429" t="inlineStr">
        <is>
          <t>Föryngringsavverkning</t>
        </is>
      </c>
      <c r="D4429" s="1" t="n">
        <v>45964</v>
      </c>
      <c r="E4429" s="1" t="n">
        <v>46326</v>
      </c>
      <c r="F4429" t="inlineStr">
        <is>
          <t>GÄVLEBORGS LÄN</t>
        </is>
      </c>
      <c r="G4429" t="inlineStr">
        <is>
          <t>SÖDERHAMN</t>
        </is>
      </c>
      <c r="I4429" t="n">
        <v>1.2</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54149-2025</t>
        </is>
      </c>
      <c r="B4430" t="inlineStr">
        <is>
          <t>avverkningsanmälan</t>
        </is>
      </c>
      <c r="C4430" t="inlineStr">
        <is>
          <t>Föryngringsavverkning</t>
        </is>
      </c>
      <c r="D4430" s="1" t="n">
        <v>45964</v>
      </c>
      <c r="E4430" s="1" t="n">
        <v>46326</v>
      </c>
      <c r="F4430" t="inlineStr">
        <is>
          <t>GÄVLEBORGS LÄN</t>
        </is>
      </c>
      <c r="G4430" t="inlineStr">
        <is>
          <t>BOLLNÄS</t>
        </is>
      </c>
      <c r="I4430" t="n">
        <v>2.3</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33819-2023</t>
        </is>
      </c>
      <c r="B4431" t="inlineStr">
        <is>
          <t>avverkningsanmälan</t>
        </is>
      </c>
      <c r="C4431" t="inlineStr">
        <is>
          <t>Föryngringsavverkning</t>
        </is>
      </c>
      <c r="D4431" s="1" t="n">
        <v>45133</v>
      </c>
      <c r="E4431" s="1" t="n">
        <v>46326</v>
      </c>
      <c r="F4431" t="inlineStr">
        <is>
          <t>GÄVLEBORGS LÄN</t>
        </is>
      </c>
      <c r="G4431" t="inlineStr">
        <is>
          <t>LJUSDAL</t>
        </is>
      </c>
      <c r="H4431" t="inlineStr">
        <is>
          <t>Holmen skog AB</t>
        </is>
      </c>
      <c r="I4431" t="n">
        <v>8</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2935-2023</t>
        </is>
      </c>
      <c r="B4432" t="inlineStr">
        <is>
          <t>avverkningsanmälan</t>
        </is>
      </c>
      <c r="C4432" t="inlineStr">
        <is>
          <t>Föryngringsavverkning</t>
        </is>
      </c>
      <c r="D4432" s="1" t="n">
        <v>44944</v>
      </c>
      <c r="E4432" s="1" t="n">
        <v>46326</v>
      </c>
      <c r="F4432" t="inlineStr">
        <is>
          <t>GÄVLEBORGS LÄN</t>
        </is>
      </c>
      <c r="G4432" t="inlineStr">
        <is>
          <t>BOLLNÄS</t>
        </is>
      </c>
      <c r="I4432" t="n">
        <v>1.9</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9585-2026</t>
        </is>
      </c>
      <c r="B4433" t="inlineStr">
        <is>
          <t>avverkningsanmälan</t>
        </is>
      </c>
      <c r="C4433" t="inlineStr">
        <is>
          <t>Föryngringsavverkning</t>
        </is>
      </c>
      <c r="D4433" s="1" t="n">
        <v>46071</v>
      </c>
      <c r="E4433" s="1" t="n">
        <v>46326</v>
      </c>
      <c r="F4433" t="inlineStr">
        <is>
          <t>GÄVLEBORGS LÄN</t>
        </is>
      </c>
      <c r="G4433" t="inlineStr">
        <is>
          <t>HUDIKSVALL</t>
        </is>
      </c>
      <c r="I4433" t="n">
        <v>5.7</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54423-2025</t>
        </is>
      </c>
      <c r="B4434" t="inlineStr">
        <is>
          <t>avverkningsanmälan</t>
        </is>
      </c>
      <c r="C4434" t="inlineStr">
        <is>
          <t>Föryngringsavverkning</t>
        </is>
      </c>
      <c r="D4434" s="1" t="n">
        <v>45965</v>
      </c>
      <c r="E4434" s="1" t="n">
        <v>46326</v>
      </c>
      <c r="F4434" t="inlineStr">
        <is>
          <t>GÄVLEBORGS LÄN</t>
        </is>
      </c>
      <c r="G4434" t="inlineStr">
        <is>
          <t>BOLLNÄS</t>
        </is>
      </c>
      <c r="H4434" t="inlineStr">
        <is>
          <t>Bergvik skog väst AB</t>
        </is>
      </c>
      <c r="I4434" t="n">
        <v>5.3</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9526-2026</t>
        </is>
      </c>
      <c r="B4435" t="inlineStr">
        <is>
          <t>avverkningsanmälan</t>
        </is>
      </c>
      <c r="C4435" t="inlineStr">
        <is>
          <t>Föryngringsavverkning</t>
        </is>
      </c>
      <c r="D4435" s="1" t="n">
        <v>46071</v>
      </c>
      <c r="E4435" s="1" t="n">
        <v>46326</v>
      </c>
      <c r="F4435" t="inlineStr">
        <is>
          <t>GÄVLEBORGS LÄN</t>
        </is>
      </c>
      <c r="G4435" t="inlineStr">
        <is>
          <t>BOLLNÄS</t>
        </is>
      </c>
      <c r="I4435" t="n">
        <v>0.6</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558-2026</t>
        </is>
      </c>
      <c r="B4436" t="inlineStr">
        <is>
          <t>avverkningsanmälan</t>
        </is>
      </c>
      <c r="C4436" t="inlineStr">
        <is>
          <t>Föryngringsavverkning</t>
        </is>
      </c>
      <c r="D4436" s="1" t="n">
        <v>46029</v>
      </c>
      <c r="E4436" s="1" t="n">
        <v>46326</v>
      </c>
      <c r="F4436" t="inlineStr">
        <is>
          <t>GÄVLEBORGS LÄN</t>
        </is>
      </c>
      <c r="G4436" t="inlineStr">
        <is>
          <t>BOLLNÄS</t>
        </is>
      </c>
      <c r="I4436" t="n">
        <v>1.7</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9516-2026</t>
        </is>
      </c>
      <c r="B4437" t="inlineStr">
        <is>
          <t>avverkningsanmälan</t>
        </is>
      </c>
      <c r="C4437" t="inlineStr">
        <is>
          <t>Föryngringsavverkning</t>
        </is>
      </c>
      <c r="D4437" s="1" t="n">
        <v>46071</v>
      </c>
      <c r="E4437" s="1" t="n">
        <v>46326</v>
      </c>
      <c r="F4437" t="inlineStr">
        <is>
          <t>GÄVLEBORGS LÄN</t>
        </is>
      </c>
      <c r="G4437" t="inlineStr">
        <is>
          <t>NORDANSTIG</t>
        </is>
      </c>
      <c r="I4437" t="n">
        <v>12.2</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9529-2026</t>
        </is>
      </c>
      <c r="B4438" t="inlineStr">
        <is>
          <t>avverkningsanmälan</t>
        </is>
      </c>
      <c r="C4438" t="inlineStr">
        <is>
          <t>Föryngringsavverkning</t>
        </is>
      </c>
      <c r="D4438" s="1" t="n">
        <v>46071</v>
      </c>
      <c r="E4438" s="1" t="n">
        <v>46326</v>
      </c>
      <c r="F4438" t="inlineStr">
        <is>
          <t>GÄVLEBORGS LÄN</t>
        </is>
      </c>
      <c r="G4438" t="inlineStr">
        <is>
          <t>BOLLNÄS</t>
        </is>
      </c>
      <c r="I4438" t="n">
        <v>0.9</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9533-2026</t>
        </is>
      </c>
      <c r="B4439" t="inlineStr">
        <is>
          <t>avverkningsanmälan</t>
        </is>
      </c>
      <c r="C4439" t="inlineStr">
        <is>
          <t>Föryngringsavverkning</t>
        </is>
      </c>
      <c r="D4439" s="1" t="n">
        <v>46071</v>
      </c>
      <c r="E4439" s="1" t="n">
        <v>46326</v>
      </c>
      <c r="F4439" t="inlineStr">
        <is>
          <t>GÄVLEBORGS LÄN</t>
        </is>
      </c>
      <c r="G4439" t="inlineStr">
        <is>
          <t>BOLLNÄS</t>
        </is>
      </c>
      <c r="I4439" t="n">
        <v>0.7</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9534-2026</t>
        </is>
      </c>
      <c r="B4440" t="inlineStr">
        <is>
          <t>avverkningsanmälan</t>
        </is>
      </c>
      <c r="C4440" t="inlineStr">
        <is>
          <t>Föryngringsavverkning</t>
        </is>
      </c>
      <c r="D4440" s="1" t="n">
        <v>46071</v>
      </c>
      <c r="E4440" s="1" t="n">
        <v>46326</v>
      </c>
      <c r="F4440" t="inlineStr">
        <is>
          <t>GÄVLEBORGS LÄN</t>
        </is>
      </c>
      <c r="G4440" t="inlineStr">
        <is>
          <t>GÄVLE</t>
        </is>
      </c>
      <c r="H4440" t="inlineStr">
        <is>
          <t>Bergvik skog väst AB</t>
        </is>
      </c>
      <c r="I4440" t="n">
        <v>0.5</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28586-2024</t>
        </is>
      </c>
      <c r="B4441" t="inlineStr">
        <is>
          <t>avverkningsanmälan</t>
        </is>
      </c>
      <c r="C4441" t="inlineStr">
        <is>
          <t>Föryngringsavverkning</t>
        </is>
      </c>
      <c r="D4441" s="1" t="n">
        <v>45478</v>
      </c>
      <c r="E4441" s="1" t="n">
        <v>46326</v>
      </c>
      <c r="F4441" t="inlineStr">
        <is>
          <t>GÄVLEBORGS LÄN</t>
        </is>
      </c>
      <c r="G4441" t="inlineStr">
        <is>
          <t>OCKELBO</t>
        </is>
      </c>
      <c r="H4441" t="inlineStr">
        <is>
          <t>Bergvik skog väst AB</t>
        </is>
      </c>
      <c r="I4441" t="n">
        <v>0.3</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9591-2026</t>
        </is>
      </c>
      <c r="B4442" t="inlineStr">
        <is>
          <t>avverkningsanmälan</t>
        </is>
      </c>
      <c r="C4442" t="inlineStr">
        <is>
          <t>Föryngringsavverkning</t>
        </is>
      </c>
      <c r="D4442" s="1" t="n">
        <v>46071</v>
      </c>
      <c r="E4442" s="1" t="n">
        <v>46326</v>
      </c>
      <c r="F4442" t="inlineStr">
        <is>
          <t>GÄVLEBORGS LÄN</t>
        </is>
      </c>
      <c r="G4442" t="inlineStr">
        <is>
          <t>NORDANSTIG</t>
        </is>
      </c>
      <c r="I4442" t="n">
        <v>0.8</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9560-2026</t>
        </is>
      </c>
      <c r="B4443" t="inlineStr">
        <is>
          <t>avverkningsanmälan</t>
        </is>
      </c>
      <c r="C4443" t="inlineStr">
        <is>
          <t>Föryngringsavverkning</t>
        </is>
      </c>
      <c r="D4443" s="1" t="n">
        <v>46071</v>
      </c>
      <c r="E4443" s="1" t="n">
        <v>46326</v>
      </c>
      <c r="F4443" t="inlineStr">
        <is>
          <t>GÄVLEBORGS LÄN</t>
        </is>
      </c>
      <c r="G4443" t="inlineStr">
        <is>
          <t>HUDIKSVALL</t>
        </is>
      </c>
      <c r="I4443" t="n">
        <v>2.1</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54097-2025</t>
        </is>
      </c>
      <c r="B4444" t="inlineStr">
        <is>
          <t>avverkningsanmälan</t>
        </is>
      </c>
      <c r="C4444" t="inlineStr">
        <is>
          <t>Föryngringsavverkning</t>
        </is>
      </c>
      <c r="D4444" s="1" t="n">
        <v>45964</v>
      </c>
      <c r="E4444" s="1" t="n">
        <v>46326</v>
      </c>
      <c r="F4444" t="inlineStr">
        <is>
          <t>GÄVLEBORGS LÄN</t>
        </is>
      </c>
      <c r="G4444" t="inlineStr">
        <is>
          <t>BOLLNÄS</t>
        </is>
      </c>
      <c r="I4444" t="n">
        <v>2</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6764-2026</t>
        </is>
      </c>
      <c r="B4445" t="inlineStr">
        <is>
          <t>avverkningsanmälan</t>
        </is>
      </c>
      <c r="C4445" t="inlineStr">
        <is>
          <t>Föryngringsavverkning</t>
        </is>
      </c>
      <c r="D4445" s="1" t="n">
        <v>46056</v>
      </c>
      <c r="E4445" s="1" t="n">
        <v>46326</v>
      </c>
      <c r="F4445" t="inlineStr">
        <is>
          <t>GÄVLEBORGS LÄN</t>
        </is>
      </c>
      <c r="G4445" t="inlineStr">
        <is>
          <t>OCKELBO</t>
        </is>
      </c>
      <c r="H4445" t="inlineStr">
        <is>
          <t>Bergvik skog väst AB</t>
        </is>
      </c>
      <c r="I4445" t="n">
        <v>13.1</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58103-2023</t>
        </is>
      </c>
      <c r="B4446" t="inlineStr">
        <is>
          <t>avverkningsanmälan</t>
        </is>
      </c>
      <c r="C4446" t="inlineStr">
        <is>
          <t>Föryngringsavverkning</t>
        </is>
      </c>
      <c r="D4446" s="1" t="n">
        <v>45249</v>
      </c>
      <c r="E4446" s="1" t="n">
        <v>46326</v>
      </c>
      <c r="F4446" t="inlineStr">
        <is>
          <t>GÄVLEBORGS LÄN</t>
        </is>
      </c>
      <c r="G4446" t="inlineStr">
        <is>
          <t>LJUSDAL</t>
        </is>
      </c>
      <c r="I4446" t="n">
        <v>1.4</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54480-2025</t>
        </is>
      </c>
      <c r="B4447" t="inlineStr">
        <is>
          <t>avverkningsanmälan</t>
        </is>
      </c>
      <c r="C4447" t="inlineStr">
        <is>
          <t>Föryngringsavverkning</t>
        </is>
      </c>
      <c r="D4447" s="1" t="n">
        <v>45965</v>
      </c>
      <c r="E4447" s="1" t="n">
        <v>46326</v>
      </c>
      <c r="F4447" t="inlineStr">
        <is>
          <t>GÄVLEBORGS LÄN</t>
        </is>
      </c>
      <c r="G4447" t="inlineStr">
        <is>
          <t>GÄVLE</t>
        </is>
      </c>
      <c r="H4447" t="inlineStr">
        <is>
          <t>Bergvik skog väst AB</t>
        </is>
      </c>
      <c r="I4447" t="n">
        <v>3.9</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54299-2025</t>
        </is>
      </c>
      <c r="B4448" t="inlineStr">
        <is>
          <t>avverkningsanmälan</t>
        </is>
      </c>
      <c r="C4448" t="inlineStr">
        <is>
          <t>Föryngringsavverkning</t>
        </is>
      </c>
      <c r="D4448" s="1" t="n">
        <v>45965</v>
      </c>
      <c r="E4448" s="1" t="n">
        <v>46326</v>
      </c>
      <c r="F4448" t="inlineStr">
        <is>
          <t>GÄVLEBORGS LÄN</t>
        </is>
      </c>
      <c r="G4448" t="inlineStr">
        <is>
          <t>LJUSDAL</t>
        </is>
      </c>
      <c r="I4448" t="n">
        <v>6</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21582-2024</t>
        </is>
      </c>
      <c r="B4449" t="inlineStr">
        <is>
          <t>avverkningsanmälan</t>
        </is>
      </c>
      <c r="C4449" t="inlineStr">
        <is>
          <t>Föryngringsavverkning</t>
        </is>
      </c>
      <c r="D4449" s="1" t="n">
        <v>45441</v>
      </c>
      <c r="E4449" s="1" t="n">
        <v>46326</v>
      </c>
      <c r="F4449" t="inlineStr">
        <is>
          <t>GÄVLEBORGS LÄN</t>
        </is>
      </c>
      <c r="G4449" t="inlineStr">
        <is>
          <t>OCKELBO</t>
        </is>
      </c>
      <c r="I4449" t="n">
        <v>1.9</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54582-2025</t>
        </is>
      </c>
      <c r="B4450" t="inlineStr">
        <is>
          <t>avverkningsanmälan</t>
        </is>
      </c>
      <c r="C4450" t="inlineStr">
        <is>
          <t>Föryngringsavverkning</t>
        </is>
      </c>
      <c r="D4450" s="1" t="n">
        <v>45965</v>
      </c>
      <c r="E4450" s="1" t="n">
        <v>46326</v>
      </c>
      <c r="F4450" t="inlineStr">
        <is>
          <t>GÄVLEBORGS LÄN</t>
        </is>
      </c>
      <c r="G4450" t="inlineStr">
        <is>
          <t>OVANÅKER</t>
        </is>
      </c>
      <c r="H4450" t="inlineStr">
        <is>
          <t>Bergvik skog väst AB</t>
        </is>
      </c>
      <c r="I4450" t="n">
        <v>0.9</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54373-2025</t>
        </is>
      </c>
      <c r="B4451" t="inlineStr">
        <is>
          <t>avverkningsanmälan</t>
        </is>
      </c>
      <c r="C4451" t="inlineStr">
        <is>
          <t>Föryngringsavverkning</t>
        </is>
      </c>
      <c r="D4451" s="1" t="n">
        <v>45965</v>
      </c>
      <c r="E4451" s="1" t="n">
        <v>46326</v>
      </c>
      <c r="F4451" t="inlineStr">
        <is>
          <t>GÄVLEBORGS LÄN</t>
        </is>
      </c>
      <c r="G4451" t="inlineStr">
        <is>
          <t>NORDANSTIG</t>
        </is>
      </c>
      <c r="H4451" t="inlineStr">
        <is>
          <t>Holmen skog AB</t>
        </is>
      </c>
      <c r="I4451" t="n">
        <v>2.5</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9361-2026</t>
        </is>
      </c>
      <c r="B4452" t="inlineStr">
        <is>
          <t>avverkningsanmälan</t>
        </is>
      </c>
      <c r="C4452" t="inlineStr">
        <is>
          <t>Föryngringsavverkning</t>
        </is>
      </c>
      <c r="D4452" s="1" t="n">
        <v>46070</v>
      </c>
      <c r="E4452" s="1" t="n">
        <v>46326</v>
      </c>
      <c r="F4452" t="inlineStr">
        <is>
          <t>GÄVLEBORGS LÄN</t>
        </is>
      </c>
      <c r="G4452" t="inlineStr">
        <is>
          <t>NORDANSTIG</t>
        </is>
      </c>
      <c r="I4452" t="n">
        <v>0.8</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9608-2026</t>
        </is>
      </c>
      <c r="B4453" t="inlineStr">
        <is>
          <t>avverkningsanmälan</t>
        </is>
      </c>
      <c r="C4453" t="inlineStr">
        <is>
          <t>Föryngringsavverkning</t>
        </is>
      </c>
      <c r="D4453" s="1" t="n">
        <v>46071</v>
      </c>
      <c r="E4453" s="1" t="n">
        <v>46326</v>
      </c>
      <c r="F4453" t="inlineStr">
        <is>
          <t>GÄVLEBORGS LÄN</t>
        </is>
      </c>
      <c r="G4453" t="inlineStr">
        <is>
          <t>BOLLNÄS</t>
        </is>
      </c>
      <c r="I4453" t="n">
        <v>1.7</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9652-2026</t>
        </is>
      </c>
      <c r="B4454" t="inlineStr">
        <is>
          <t>avverkningsanmälan</t>
        </is>
      </c>
      <c r="C4454" t="inlineStr">
        <is>
          <t>Föryngringsavverkning</t>
        </is>
      </c>
      <c r="D4454" s="1" t="n">
        <v>46071</v>
      </c>
      <c r="E4454" s="1" t="n">
        <v>46326</v>
      </c>
      <c r="F4454" t="inlineStr">
        <is>
          <t>GÄVLEBORGS LÄN</t>
        </is>
      </c>
      <c r="G4454" t="inlineStr">
        <is>
          <t>BOLLNÄS</t>
        </is>
      </c>
      <c r="H4454" t="inlineStr">
        <is>
          <t>Kommuner</t>
        </is>
      </c>
      <c r="I4454" t="n">
        <v>1.6</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10022-2026</t>
        </is>
      </c>
      <c r="B4455" t="inlineStr">
        <is>
          <t>avverkningsanmälan</t>
        </is>
      </c>
      <c r="C4455" t="inlineStr">
        <is>
          <t>Föryngringsavverkning</t>
        </is>
      </c>
      <c r="D4455" s="1" t="n">
        <v>46073</v>
      </c>
      <c r="E4455" s="1" t="n">
        <v>46326</v>
      </c>
      <c r="F4455" t="inlineStr">
        <is>
          <t>GÄVLEBORGS LÄN</t>
        </is>
      </c>
      <c r="G4455" t="inlineStr">
        <is>
          <t>SANDVIKEN</t>
        </is>
      </c>
      <c r="H4455" t="inlineStr">
        <is>
          <t>Sveaskog</t>
        </is>
      </c>
      <c r="I4455" t="n">
        <v>0.5</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9779-2026</t>
        </is>
      </c>
      <c r="B4456" t="inlineStr">
        <is>
          <t>avverkningsanmälan</t>
        </is>
      </c>
      <c r="C4456" t="inlineStr">
        <is>
          <t>Föryngringsavverkning</t>
        </is>
      </c>
      <c r="D4456" s="1" t="n">
        <v>46072</v>
      </c>
      <c r="E4456" s="1" t="n">
        <v>46326</v>
      </c>
      <c r="F4456" t="inlineStr">
        <is>
          <t>GÄVLEBORGS LÄN</t>
        </is>
      </c>
      <c r="G4456" t="inlineStr">
        <is>
          <t>GÄVLE</t>
        </is>
      </c>
      <c r="H4456" t="inlineStr">
        <is>
          <t>Bergvik skog öst AB</t>
        </is>
      </c>
      <c r="I4456" t="n">
        <v>0.7</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54519-2025</t>
        </is>
      </c>
      <c r="B4457" t="inlineStr">
        <is>
          <t>avverkningsanmälan</t>
        </is>
      </c>
      <c r="C4457" t="inlineStr">
        <is>
          <t>Föryngringsavverkning</t>
        </is>
      </c>
      <c r="D4457" s="1" t="n">
        <v>45965</v>
      </c>
      <c r="E4457" s="1" t="n">
        <v>46326</v>
      </c>
      <c r="F4457" t="inlineStr">
        <is>
          <t>GÄVLEBORGS LÄN</t>
        </is>
      </c>
      <c r="G4457" t="inlineStr">
        <is>
          <t>OVANÅKER</t>
        </is>
      </c>
      <c r="I4457" t="n">
        <v>2</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9827-2026</t>
        </is>
      </c>
      <c r="B4458" t="inlineStr">
        <is>
          <t>avverkningsanmälan</t>
        </is>
      </c>
      <c r="C4458" t="inlineStr">
        <is>
          <t>Föryngringsavverkning</t>
        </is>
      </c>
      <c r="D4458" s="1" t="n">
        <v>46072</v>
      </c>
      <c r="E4458" s="1" t="n">
        <v>46326</v>
      </c>
      <c r="F4458" t="inlineStr">
        <is>
          <t>GÄVLEBORGS LÄN</t>
        </is>
      </c>
      <c r="G4458" t="inlineStr">
        <is>
          <t>BOLLNÄS</t>
        </is>
      </c>
      <c r="H4458" t="inlineStr">
        <is>
          <t>Sveaskog</t>
        </is>
      </c>
      <c r="I4458" t="n">
        <v>1.9</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9916-2026</t>
        </is>
      </c>
      <c r="B4459" t="inlineStr">
        <is>
          <t>avverkningsanmälan</t>
        </is>
      </c>
      <c r="C4459" t="inlineStr">
        <is>
          <t>Föryngringsavverkning</t>
        </is>
      </c>
      <c r="D4459" s="1" t="n">
        <v>46073</v>
      </c>
      <c r="E4459" s="1" t="n">
        <v>46326</v>
      </c>
      <c r="F4459" t="inlineStr">
        <is>
          <t>GÄVLEBORGS LÄN</t>
        </is>
      </c>
      <c r="G4459" t="inlineStr">
        <is>
          <t>HUDIKSVALL</t>
        </is>
      </c>
      <c r="I4459" t="n">
        <v>5.3</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58281-2024</t>
        </is>
      </c>
      <c r="B4460" t="inlineStr">
        <is>
          <t>avverkningsanmälan</t>
        </is>
      </c>
      <c r="C4460" t="inlineStr">
        <is>
          <t>Föryngringsavverkning</t>
        </is>
      </c>
      <c r="D4460" s="1" t="n">
        <v>45632</v>
      </c>
      <c r="E4460" s="1" t="n">
        <v>46326</v>
      </c>
      <c r="F4460" t="inlineStr">
        <is>
          <t>GÄVLEBORGS LÄN</t>
        </is>
      </c>
      <c r="G4460" t="inlineStr">
        <is>
          <t>SÖDERHAMN</t>
        </is>
      </c>
      <c r="H4460" t="inlineStr">
        <is>
          <t>Bergvik skog väst AB</t>
        </is>
      </c>
      <c r="I4460" t="n">
        <v>3.4</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59978-2023</t>
        </is>
      </c>
      <c r="B4461" t="inlineStr">
        <is>
          <t>avverkningsanmälan</t>
        </is>
      </c>
      <c r="C4461" t="inlineStr">
        <is>
          <t>Föryngringsavverkning</t>
        </is>
      </c>
      <c r="D4461" s="1" t="n">
        <v>45254</v>
      </c>
      <c r="E4461" s="1" t="n">
        <v>46326</v>
      </c>
      <c r="F4461" t="inlineStr">
        <is>
          <t>GÄVLEBORGS LÄN</t>
        </is>
      </c>
      <c r="G4461" t="inlineStr">
        <is>
          <t>OCKELBO</t>
        </is>
      </c>
      <c r="I4461" t="n">
        <v>1.1</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59798-2022</t>
        </is>
      </c>
      <c r="B4462" t="inlineStr">
        <is>
          <t>avverkningsanmälan</t>
        </is>
      </c>
      <c r="C4462" t="inlineStr">
        <is>
          <t>Föryngringsavverkning</t>
        </is>
      </c>
      <c r="D4462" s="1" t="n">
        <v>44908</v>
      </c>
      <c r="E4462" s="1" t="n">
        <v>46326</v>
      </c>
      <c r="F4462" t="inlineStr">
        <is>
          <t>GÄVLEBORGS LÄN</t>
        </is>
      </c>
      <c r="G4462" t="inlineStr">
        <is>
          <t>HUDIKSVALL</t>
        </is>
      </c>
      <c r="I4462" t="n">
        <v>0.4</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54512-2025</t>
        </is>
      </c>
      <c r="B4463" t="inlineStr">
        <is>
          <t>avverkningsanmälan</t>
        </is>
      </c>
      <c r="C4463" t="inlineStr">
        <is>
          <t>Föryngringsavverkning</t>
        </is>
      </c>
      <c r="D4463" s="1" t="n">
        <v>45965</v>
      </c>
      <c r="E4463" s="1" t="n">
        <v>46326</v>
      </c>
      <c r="F4463" t="inlineStr">
        <is>
          <t>GÄVLEBORGS LÄN</t>
        </is>
      </c>
      <c r="G4463" t="inlineStr">
        <is>
          <t>OVANÅKER</t>
        </is>
      </c>
      <c r="I4463" t="n">
        <v>3.8</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54253-2025</t>
        </is>
      </c>
      <c r="B4464" t="inlineStr">
        <is>
          <t>avverkningsanmälan</t>
        </is>
      </c>
      <c r="C4464" t="inlineStr">
        <is>
          <t>Föryngringsavverkning</t>
        </is>
      </c>
      <c r="D4464" s="1" t="n">
        <v>45964</v>
      </c>
      <c r="E4464" s="1" t="n">
        <v>46326</v>
      </c>
      <c r="F4464" t="inlineStr">
        <is>
          <t>GÄVLEBORGS LÄN</t>
        </is>
      </c>
      <c r="G4464" t="inlineStr">
        <is>
          <t>BOLLNÄS</t>
        </is>
      </c>
      <c r="I4464" t="n">
        <v>0.7</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54515-2025</t>
        </is>
      </c>
      <c r="B4465" t="inlineStr">
        <is>
          <t>avverkningsanmälan</t>
        </is>
      </c>
      <c r="C4465" t="inlineStr">
        <is>
          <t>Föryngringsavverkning</t>
        </is>
      </c>
      <c r="D4465" s="1" t="n">
        <v>45965</v>
      </c>
      <c r="E4465" s="1" t="n">
        <v>46326</v>
      </c>
      <c r="F4465" t="inlineStr">
        <is>
          <t>GÄVLEBORGS LÄN</t>
        </is>
      </c>
      <c r="G4465" t="inlineStr">
        <is>
          <t>HUDIKSVALL</t>
        </is>
      </c>
      <c r="I4465" t="n">
        <v>1.4</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54289-2025</t>
        </is>
      </c>
      <c r="B4466" t="inlineStr">
        <is>
          <t>avverkningsanmälan</t>
        </is>
      </c>
      <c r="C4466" t="inlineStr">
        <is>
          <t>Föryngringsavverkning</t>
        </is>
      </c>
      <c r="D4466" s="1" t="n">
        <v>45964</v>
      </c>
      <c r="E4466" s="1" t="n">
        <v>46326</v>
      </c>
      <c r="F4466" t="inlineStr">
        <is>
          <t>GÄVLEBORGS LÄN</t>
        </is>
      </c>
      <c r="G4466" t="inlineStr">
        <is>
          <t>LJUSDAL</t>
        </is>
      </c>
      <c r="I4466" t="n">
        <v>2.9</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1288-2026</t>
        </is>
      </c>
      <c r="B4467" t="inlineStr">
        <is>
          <t>avverkningsanmälan</t>
        </is>
      </c>
      <c r="C4467" t="inlineStr">
        <is>
          <t>Föryngringsavverkning</t>
        </is>
      </c>
      <c r="D4467" s="1" t="n">
        <v>46031</v>
      </c>
      <c r="E4467" s="1" t="n">
        <v>46326</v>
      </c>
      <c r="F4467" t="inlineStr">
        <is>
          <t>GÄVLEBORGS LÄN</t>
        </is>
      </c>
      <c r="G4467" t="inlineStr">
        <is>
          <t>OCKELBO</t>
        </is>
      </c>
      <c r="I4467" t="n">
        <v>0.9</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9965-2026</t>
        </is>
      </c>
      <c r="B4468" t="inlineStr">
        <is>
          <t>avverkningsanmälan</t>
        </is>
      </c>
      <c r="C4468" t="inlineStr">
        <is>
          <t>Föryngringsavverkning</t>
        </is>
      </c>
      <c r="D4468" s="1" t="n">
        <v>46073</v>
      </c>
      <c r="E4468" s="1" t="n">
        <v>46326</v>
      </c>
      <c r="F4468" t="inlineStr">
        <is>
          <t>GÄVLEBORGS LÄN</t>
        </is>
      </c>
      <c r="G4468" t="inlineStr">
        <is>
          <t>BOLLNÄS</t>
        </is>
      </c>
      <c r="I4468" t="n">
        <v>17.2</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9969-2026</t>
        </is>
      </c>
      <c r="B4469" t="inlineStr">
        <is>
          <t>avverkningsanmälan</t>
        </is>
      </c>
      <c r="C4469" t="inlineStr">
        <is>
          <t>Föryngringsavverkning</t>
        </is>
      </c>
      <c r="D4469" s="1" t="n">
        <v>46073</v>
      </c>
      <c r="E4469" s="1" t="n">
        <v>46326</v>
      </c>
      <c r="F4469" t="inlineStr">
        <is>
          <t>GÄVLEBORGS LÄN</t>
        </is>
      </c>
      <c r="G4469" t="inlineStr">
        <is>
          <t>NORDANSTIG</t>
        </is>
      </c>
      <c r="I4469" t="n">
        <v>4</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44594-2022</t>
        </is>
      </c>
      <c r="B4470" t="inlineStr">
        <is>
          <t>avverkningsanmälan</t>
        </is>
      </c>
      <c r="C4470" t="inlineStr">
        <is>
          <t>Avverkning för annat ändamål</t>
        </is>
      </c>
      <c r="D4470" s="1" t="n">
        <v>44840</v>
      </c>
      <c r="E4470" s="1" t="n">
        <v>46326</v>
      </c>
      <c r="F4470" t="inlineStr">
        <is>
          <t>GÄVLEBORGS LÄN</t>
        </is>
      </c>
      <c r="G4470" t="inlineStr">
        <is>
          <t>OVANÅKER</t>
        </is>
      </c>
      <c r="I4470" t="n">
        <v>5</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10073-2026</t>
        </is>
      </c>
      <c r="B4471" t="inlineStr">
        <is>
          <t>avverkningsanmälan</t>
        </is>
      </c>
      <c r="C4471" t="inlineStr">
        <is>
          <t>Föryngringsavverkning</t>
        </is>
      </c>
      <c r="D4471" s="1" t="n">
        <v>46073</v>
      </c>
      <c r="E4471" s="1" t="n">
        <v>46326</v>
      </c>
      <c r="F4471" t="inlineStr">
        <is>
          <t>GÄVLEBORGS LÄN</t>
        </is>
      </c>
      <c r="G4471" t="inlineStr">
        <is>
          <t>HUDIKSVALL</t>
        </is>
      </c>
      <c r="I4471" t="n">
        <v>1.4</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10076-2026</t>
        </is>
      </c>
      <c r="B4472" t="inlineStr">
        <is>
          <t>avverkningsanmälan</t>
        </is>
      </c>
      <c r="C4472" t="inlineStr">
        <is>
          <t>Föryngringsavverkning</t>
        </is>
      </c>
      <c r="D4472" s="1" t="n">
        <v>46073</v>
      </c>
      <c r="E4472" s="1" t="n">
        <v>46326</v>
      </c>
      <c r="F4472" t="inlineStr">
        <is>
          <t>GÄVLEBORGS LÄN</t>
        </is>
      </c>
      <c r="G4472" t="inlineStr">
        <is>
          <t>LJUSDAL</t>
        </is>
      </c>
      <c r="I4472" t="n">
        <v>0.7</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9763-2026</t>
        </is>
      </c>
      <c r="B4473" t="inlineStr">
        <is>
          <t>avverkningsanmälan</t>
        </is>
      </c>
      <c r="C4473" t="inlineStr">
        <is>
          <t>Föryngringsavverkning</t>
        </is>
      </c>
      <c r="D4473" s="1" t="n">
        <v>46072</v>
      </c>
      <c r="E4473" s="1" t="n">
        <v>46326</v>
      </c>
      <c r="F4473" t="inlineStr">
        <is>
          <t>GÄVLEBORGS LÄN</t>
        </is>
      </c>
      <c r="G4473" t="inlineStr">
        <is>
          <t>HUDIKSVALL</t>
        </is>
      </c>
      <c r="I4473" t="n">
        <v>1.2</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9780-2026</t>
        </is>
      </c>
      <c r="B4474" t="inlineStr">
        <is>
          <t>avverkningsanmälan</t>
        </is>
      </c>
      <c r="C4474" t="inlineStr">
        <is>
          <t>Föryngringsavverkning</t>
        </is>
      </c>
      <c r="D4474" s="1" t="n">
        <v>46072</v>
      </c>
      <c r="E4474" s="1" t="n">
        <v>46326</v>
      </c>
      <c r="F4474" t="inlineStr">
        <is>
          <t>GÄVLEBORGS LÄN</t>
        </is>
      </c>
      <c r="G4474" t="inlineStr">
        <is>
          <t>NORDANSTIG</t>
        </is>
      </c>
      <c r="I4474" t="n">
        <v>2.4</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6425-2024</t>
        </is>
      </c>
      <c r="B4475" t="inlineStr">
        <is>
          <t>avverkningsanmälan</t>
        </is>
      </c>
      <c r="C4475" t="inlineStr">
        <is>
          <t>Föryngringsavverkning</t>
        </is>
      </c>
      <c r="D4475" s="1" t="n">
        <v>45338</v>
      </c>
      <c r="E4475" s="1" t="n">
        <v>46326</v>
      </c>
      <c r="F4475" t="inlineStr">
        <is>
          <t>GÄVLEBORGS LÄN</t>
        </is>
      </c>
      <c r="G4475" t="inlineStr">
        <is>
          <t>HUDIKSVALL</t>
        </is>
      </c>
      <c r="H4475" t="inlineStr">
        <is>
          <t>Holmen skog AB</t>
        </is>
      </c>
      <c r="I4475" t="n">
        <v>2.8</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9685-2026</t>
        </is>
      </c>
      <c r="B4476" t="inlineStr">
        <is>
          <t>avverkningsanmälan</t>
        </is>
      </c>
      <c r="C4476" t="inlineStr">
        <is>
          <t>Föryngringsavverkning</t>
        </is>
      </c>
      <c r="D4476" s="1" t="n">
        <v>46072</v>
      </c>
      <c r="E4476" s="1" t="n">
        <v>46326</v>
      </c>
      <c r="F4476" t="inlineStr">
        <is>
          <t>GÄVLEBORGS LÄN</t>
        </is>
      </c>
      <c r="G4476" t="inlineStr">
        <is>
          <t>NORDANSTIG</t>
        </is>
      </c>
      <c r="I4476" t="n">
        <v>4.5</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9601-2025</t>
        </is>
      </c>
      <c r="B4477" t="inlineStr">
        <is>
          <t>avverkningsanmälan</t>
        </is>
      </c>
      <c r="C4477" t="inlineStr">
        <is>
          <t>Föryngringsavverkning</t>
        </is>
      </c>
      <c r="D4477" s="1" t="n">
        <v>45715</v>
      </c>
      <c r="E4477" s="1" t="n">
        <v>46326</v>
      </c>
      <c r="F4477" t="inlineStr">
        <is>
          <t>GÄVLEBORGS LÄN</t>
        </is>
      </c>
      <c r="G4477" t="inlineStr">
        <is>
          <t>HUDIKSVALL</t>
        </is>
      </c>
      <c r="H4477" t="inlineStr">
        <is>
          <t>Holmen skog AB</t>
        </is>
      </c>
      <c r="I4477" t="n">
        <v>55</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9715-2026</t>
        </is>
      </c>
      <c r="B4478" t="inlineStr">
        <is>
          <t>avverkningsanmälan</t>
        </is>
      </c>
      <c r="C4478" t="inlineStr">
        <is>
          <t>Föryngringsavverkning</t>
        </is>
      </c>
      <c r="D4478" s="1" t="n">
        <v>46072</v>
      </c>
      <c r="E4478" s="1" t="n">
        <v>46326</v>
      </c>
      <c r="F4478" t="inlineStr">
        <is>
          <t>GÄVLEBORGS LÄN</t>
        </is>
      </c>
      <c r="G4478" t="inlineStr">
        <is>
          <t>OVANÅKER</t>
        </is>
      </c>
      <c r="I4478" t="n">
        <v>4.2</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10038-2026</t>
        </is>
      </c>
      <c r="B4479" t="inlineStr">
        <is>
          <t>avverkningsanmälan</t>
        </is>
      </c>
      <c r="C4479" t="inlineStr">
        <is>
          <t>Föryngringsavverkning</t>
        </is>
      </c>
      <c r="D4479" s="1" t="n">
        <v>46073</v>
      </c>
      <c r="E4479" s="1" t="n">
        <v>46326</v>
      </c>
      <c r="F4479" t="inlineStr">
        <is>
          <t>GÄVLEBORGS LÄN</t>
        </is>
      </c>
      <c r="G4479" t="inlineStr">
        <is>
          <t>OVANÅKER</t>
        </is>
      </c>
      <c r="I4479" t="n">
        <v>0.7</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9771-2026</t>
        </is>
      </c>
      <c r="B4480" t="inlineStr">
        <is>
          <t>avverkningsanmälan</t>
        </is>
      </c>
      <c r="C4480" t="inlineStr">
        <is>
          <t>Föryngringsavverkning</t>
        </is>
      </c>
      <c r="D4480" s="1" t="n">
        <v>46072</v>
      </c>
      <c r="E4480" s="1" t="n">
        <v>46326</v>
      </c>
      <c r="F4480" t="inlineStr">
        <is>
          <t>GÄVLEBORGS LÄN</t>
        </is>
      </c>
      <c r="G4480" t="inlineStr">
        <is>
          <t>OVANÅKER</t>
        </is>
      </c>
      <c r="I4480" t="n">
        <v>5.4</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54370-2025</t>
        </is>
      </c>
      <c r="B4481" t="inlineStr">
        <is>
          <t>avverkningsanmälan</t>
        </is>
      </c>
      <c r="C4481" t="inlineStr">
        <is>
          <t>Föryngringsavverkning</t>
        </is>
      </c>
      <c r="D4481" s="1" t="n">
        <v>45965</v>
      </c>
      <c r="E4481" s="1" t="n">
        <v>46326</v>
      </c>
      <c r="F4481" t="inlineStr">
        <is>
          <t>GÄVLEBORGS LÄN</t>
        </is>
      </c>
      <c r="G4481" t="inlineStr">
        <is>
          <t>BOLLNÄS</t>
        </is>
      </c>
      <c r="I4481" t="n">
        <v>1.5</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9651-2026</t>
        </is>
      </c>
      <c r="B4482" t="inlineStr">
        <is>
          <t>avverkningsanmälan</t>
        </is>
      </c>
      <c r="C4482" t="inlineStr">
        <is>
          <t>Föryngringsavverkning</t>
        </is>
      </c>
      <c r="D4482" s="1" t="n">
        <v>46072</v>
      </c>
      <c r="E4482" s="1" t="n">
        <v>46326</v>
      </c>
      <c r="F4482" t="inlineStr">
        <is>
          <t>GÄVLEBORGS LÄN</t>
        </is>
      </c>
      <c r="G4482" t="inlineStr">
        <is>
          <t>SANDVIKEN</t>
        </is>
      </c>
      <c r="I4482" t="n">
        <v>6.1</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9675-2026</t>
        </is>
      </c>
      <c r="B4483" t="inlineStr">
        <is>
          <t>avverkningsanmälan</t>
        </is>
      </c>
      <c r="C4483" t="inlineStr">
        <is>
          <t>Föryngringsavverkning</t>
        </is>
      </c>
      <c r="D4483" s="1" t="n">
        <v>46072</v>
      </c>
      <c r="E4483" s="1" t="n">
        <v>46326</v>
      </c>
      <c r="F4483" t="inlineStr">
        <is>
          <t>GÄVLEBORGS LÄN</t>
        </is>
      </c>
      <c r="G4483" t="inlineStr">
        <is>
          <t>OCKELBO</t>
        </is>
      </c>
      <c r="I4483" t="n">
        <v>1.4</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9681-2026</t>
        </is>
      </c>
      <c r="B4484" t="inlineStr">
        <is>
          <t>avverkningsanmälan</t>
        </is>
      </c>
      <c r="C4484" t="inlineStr">
        <is>
          <t>Föryngringsavverkning</t>
        </is>
      </c>
      <c r="D4484" s="1" t="n">
        <v>46072</v>
      </c>
      <c r="E4484" s="1" t="n">
        <v>46326</v>
      </c>
      <c r="F4484" t="inlineStr">
        <is>
          <t>GÄVLEBORGS LÄN</t>
        </is>
      </c>
      <c r="G4484" t="inlineStr">
        <is>
          <t>OCKELBO</t>
        </is>
      </c>
      <c r="I4484" t="n">
        <v>2.2</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9677-2026</t>
        </is>
      </c>
      <c r="B4485" t="inlineStr">
        <is>
          <t>avverkningsanmälan</t>
        </is>
      </c>
      <c r="C4485" t="inlineStr">
        <is>
          <t>Föryngringsavverkning</t>
        </is>
      </c>
      <c r="D4485" s="1" t="n">
        <v>46072</v>
      </c>
      <c r="E4485" s="1" t="n">
        <v>46326</v>
      </c>
      <c r="F4485" t="inlineStr">
        <is>
          <t>GÄVLEBORGS LÄN</t>
        </is>
      </c>
      <c r="G4485" t="inlineStr">
        <is>
          <t>OVANÅKER</t>
        </is>
      </c>
      <c r="I4485" t="n">
        <v>1</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9727-2026</t>
        </is>
      </c>
      <c r="B4486" t="inlineStr">
        <is>
          <t>avverkningsanmälan</t>
        </is>
      </c>
      <c r="C4486" t="inlineStr">
        <is>
          <t>Föryngringsavverkning</t>
        </is>
      </c>
      <c r="D4486" s="1" t="n">
        <v>46072</v>
      </c>
      <c r="E4486" s="1" t="n">
        <v>46326</v>
      </c>
      <c r="F4486" t="inlineStr">
        <is>
          <t>GÄVLEBORGS LÄN</t>
        </is>
      </c>
      <c r="G4486" t="inlineStr">
        <is>
          <t>OCKELBO</t>
        </is>
      </c>
      <c r="H4486" t="inlineStr">
        <is>
          <t>Bergvik skog väst AB</t>
        </is>
      </c>
      <c r="I4486" t="n">
        <v>3.7</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9732-2026</t>
        </is>
      </c>
      <c r="B4487" t="inlineStr">
        <is>
          <t>avverkningsanmälan</t>
        </is>
      </c>
      <c r="C4487" t="inlineStr">
        <is>
          <t>Föryngringsavverkning</t>
        </is>
      </c>
      <c r="D4487" s="1" t="n">
        <v>46072</v>
      </c>
      <c r="E4487" s="1" t="n">
        <v>46326</v>
      </c>
      <c r="F4487" t="inlineStr">
        <is>
          <t>GÄVLEBORGS LÄN</t>
        </is>
      </c>
      <c r="G4487" t="inlineStr">
        <is>
          <t>OCKELBO</t>
        </is>
      </c>
      <c r="H4487" t="inlineStr">
        <is>
          <t>Bergvik skog väst AB</t>
        </is>
      </c>
      <c r="I4487" t="n">
        <v>1.1</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10010-2026</t>
        </is>
      </c>
      <c r="B4488" t="inlineStr">
        <is>
          <t>avverkningsanmälan</t>
        </is>
      </c>
      <c r="C4488" t="inlineStr">
        <is>
          <t>Föryngringsavverkning</t>
        </is>
      </c>
      <c r="D4488" s="1" t="n">
        <v>46073</v>
      </c>
      <c r="E4488" s="1" t="n">
        <v>46326</v>
      </c>
      <c r="F4488" t="inlineStr">
        <is>
          <t>GÄVLEBORGS LÄN</t>
        </is>
      </c>
      <c r="G4488" t="inlineStr">
        <is>
          <t>HUDIKSVALL</t>
        </is>
      </c>
      <c r="I4488" t="n">
        <v>18.2</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10068-2026</t>
        </is>
      </c>
      <c r="B4489" t="inlineStr">
        <is>
          <t>avverkningsanmälan</t>
        </is>
      </c>
      <c r="C4489" t="inlineStr">
        <is>
          <t>Föryngringsavverkning</t>
        </is>
      </c>
      <c r="D4489" s="1" t="n">
        <v>46073</v>
      </c>
      <c r="E4489" s="1" t="n">
        <v>46326</v>
      </c>
      <c r="F4489" t="inlineStr">
        <is>
          <t>GÄVLEBORGS LÄN</t>
        </is>
      </c>
      <c r="G4489" t="inlineStr">
        <is>
          <t>OVANÅKER</t>
        </is>
      </c>
      <c r="I4489" t="n">
        <v>7.8</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9921-2026</t>
        </is>
      </c>
      <c r="B4490" t="inlineStr">
        <is>
          <t>avverkningsanmälan</t>
        </is>
      </c>
      <c r="C4490" t="inlineStr">
        <is>
          <t>Föryngringsavverkning</t>
        </is>
      </c>
      <c r="D4490" s="1" t="n">
        <v>46073</v>
      </c>
      <c r="E4490" s="1" t="n">
        <v>46326</v>
      </c>
      <c r="F4490" t="inlineStr">
        <is>
          <t>GÄVLEBORGS LÄN</t>
        </is>
      </c>
      <c r="G4490" t="inlineStr">
        <is>
          <t>SÖDERHAMN</t>
        </is>
      </c>
      <c r="H4490" t="inlineStr">
        <is>
          <t>Bergvik skog väst AB</t>
        </is>
      </c>
      <c r="I4490" t="n">
        <v>3.2</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9997-2026</t>
        </is>
      </c>
      <c r="B4491" t="inlineStr">
        <is>
          <t>avverkningsanmälan</t>
        </is>
      </c>
      <c r="C4491" t="inlineStr">
        <is>
          <t>Föryngringsavverkning</t>
        </is>
      </c>
      <c r="D4491" s="1" t="n">
        <v>46073</v>
      </c>
      <c r="E4491" s="1" t="n">
        <v>46326</v>
      </c>
      <c r="F4491" t="inlineStr">
        <is>
          <t>GÄVLEBORGS LÄN</t>
        </is>
      </c>
      <c r="G4491" t="inlineStr">
        <is>
          <t>OCKELBO</t>
        </is>
      </c>
      <c r="I4491" t="n">
        <v>0.6</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9712-2026</t>
        </is>
      </c>
      <c r="B4492" t="inlineStr">
        <is>
          <t>avverkningsanmälan</t>
        </is>
      </c>
      <c r="C4492" t="inlineStr">
        <is>
          <t>Föryngringsavverkning</t>
        </is>
      </c>
      <c r="D4492" s="1" t="n">
        <v>46072</v>
      </c>
      <c r="E4492" s="1" t="n">
        <v>46326</v>
      </c>
      <c r="F4492" t="inlineStr">
        <is>
          <t>GÄVLEBORGS LÄN</t>
        </is>
      </c>
      <c r="G4492" t="inlineStr">
        <is>
          <t>OVANÅKER</t>
        </is>
      </c>
      <c r="I4492" t="n">
        <v>2.6</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10060-2026</t>
        </is>
      </c>
      <c r="B4493" t="inlineStr">
        <is>
          <t>avverkningsanmälan</t>
        </is>
      </c>
      <c r="C4493" t="inlineStr">
        <is>
          <t>Föryngringsavverkning</t>
        </is>
      </c>
      <c r="D4493" s="1" t="n">
        <v>46073</v>
      </c>
      <c r="E4493" s="1" t="n">
        <v>46326</v>
      </c>
      <c r="F4493" t="inlineStr">
        <is>
          <t>GÄVLEBORGS LÄN</t>
        </is>
      </c>
      <c r="G4493" t="inlineStr">
        <is>
          <t>OVANÅKER</t>
        </is>
      </c>
      <c r="I4493" t="n">
        <v>11.8</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40269-2023</t>
        </is>
      </c>
      <c r="B4494" t="inlineStr">
        <is>
          <t>avverkningsanmälan</t>
        </is>
      </c>
      <c r="C4494" t="inlineStr">
        <is>
          <t>Föryngringsavverkning</t>
        </is>
      </c>
      <c r="D4494" s="1" t="n">
        <v>45169</v>
      </c>
      <c r="E4494" s="1" t="n">
        <v>46326</v>
      </c>
      <c r="F4494" t="inlineStr">
        <is>
          <t>GÄVLEBORGS LÄN</t>
        </is>
      </c>
      <c r="G4494" t="inlineStr">
        <is>
          <t>NORDANSTIG</t>
        </is>
      </c>
      <c r="I4494" t="n">
        <v>2.1</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40276-2023</t>
        </is>
      </c>
      <c r="B4495" t="inlineStr">
        <is>
          <t>avverkningsanmälan</t>
        </is>
      </c>
      <c r="C4495" t="inlineStr">
        <is>
          <t>Föryngringsavverkning</t>
        </is>
      </c>
      <c r="D4495" s="1" t="n">
        <v>45169</v>
      </c>
      <c r="E4495" s="1" t="n">
        <v>46326</v>
      </c>
      <c r="F4495" t="inlineStr">
        <is>
          <t>GÄVLEBORGS LÄN</t>
        </is>
      </c>
      <c r="G4495" t="inlineStr">
        <is>
          <t>LJUSDAL</t>
        </is>
      </c>
      <c r="H4495" t="inlineStr">
        <is>
          <t>Sveaskog</t>
        </is>
      </c>
      <c r="I4495" t="n">
        <v>2.6</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45778-2022</t>
        </is>
      </c>
      <c r="B4496" t="inlineStr">
        <is>
          <t>avverkningsanmälan</t>
        </is>
      </c>
      <c r="C4496" t="inlineStr">
        <is>
          <t>Föryngringsavverkning</t>
        </is>
      </c>
      <c r="D4496" s="1" t="n">
        <v>44846</v>
      </c>
      <c r="E4496" s="1" t="n">
        <v>46326</v>
      </c>
      <c r="F4496" t="inlineStr">
        <is>
          <t>GÄVLEBORGS LÄN</t>
        </is>
      </c>
      <c r="G4496" t="inlineStr">
        <is>
          <t>OVANÅKER</t>
        </is>
      </c>
      <c r="I4496" t="n">
        <v>1.7</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55206-2022</t>
        </is>
      </c>
      <c r="B4497" t="inlineStr">
        <is>
          <t>avverkningsanmälan</t>
        </is>
      </c>
      <c r="C4497" t="inlineStr">
        <is>
          <t>Föryngringsavverkning</t>
        </is>
      </c>
      <c r="D4497" s="1" t="n">
        <v>44886</v>
      </c>
      <c r="E4497" s="1" t="n">
        <v>46326</v>
      </c>
      <c r="F4497" t="inlineStr">
        <is>
          <t>GÄVLEBORGS LÄN</t>
        </is>
      </c>
      <c r="G4497" t="inlineStr">
        <is>
          <t>NORDANSTIG</t>
        </is>
      </c>
      <c r="H4497" t="inlineStr">
        <is>
          <t>SCA</t>
        </is>
      </c>
      <c r="I4497" t="n">
        <v>5.3</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49401-2023</t>
        </is>
      </c>
      <c r="B4498" t="inlineStr">
        <is>
          <t>avverkningsanmälan</t>
        </is>
      </c>
      <c r="C4498" t="inlineStr">
        <is>
          <t>Föryngringsavverkning</t>
        </is>
      </c>
      <c r="D4498" s="1" t="n">
        <v>45211</v>
      </c>
      <c r="E4498" s="1" t="n">
        <v>46326</v>
      </c>
      <c r="F4498" t="inlineStr">
        <is>
          <t>GÄVLEBORGS LÄN</t>
        </is>
      </c>
      <c r="G4498" t="inlineStr">
        <is>
          <t>BOLLNÄS</t>
        </is>
      </c>
      <c r="I4498" t="n">
        <v>1.6</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54229-2025</t>
        </is>
      </c>
      <c r="B4499" t="inlineStr">
        <is>
          <t>avverkningsanmälan</t>
        </is>
      </c>
      <c r="C4499" t="inlineStr">
        <is>
          <t>Föryngringsavverkning</t>
        </is>
      </c>
      <c r="D4499" s="1" t="n">
        <v>45964</v>
      </c>
      <c r="E4499" s="1" t="n">
        <v>46326</v>
      </c>
      <c r="F4499" t="inlineStr">
        <is>
          <t>GÄVLEBORGS LÄN</t>
        </is>
      </c>
      <c r="G4499" t="inlineStr">
        <is>
          <t>BOLLNÄS</t>
        </is>
      </c>
      <c r="I4499" t="n">
        <v>6.2</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38581-2024</t>
        </is>
      </c>
      <c r="B4500" t="inlineStr">
        <is>
          <t>avverkningsanmälan</t>
        </is>
      </c>
      <c r="C4500" t="inlineStr">
        <is>
          <t>Föryngringsavverkning</t>
        </is>
      </c>
      <c r="D4500" s="1" t="n">
        <v>45546</v>
      </c>
      <c r="E4500" s="1" t="n">
        <v>46326</v>
      </c>
      <c r="F4500" t="inlineStr">
        <is>
          <t>GÄVLEBORGS LÄN</t>
        </is>
      </c>
      <c r="G4500" t="inlineStr">
        <is>
          <t>NORDANSTIG</t>
        </is>
      </c>
      <c r="I4500" t="n">
        <v>0.9</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26334-2022</t>
        </is>
      </c>
      <c r="B4501" t="inlineStr">
        <is>
          <t>avverkningsanmälan</t>
        </is>
      </c>
      <c r="C4501" t="inlineStr">
        <is>
          <t>Föryngringsavverkning</t>
        </is>
      </c>
      <c r="D4501" s="1" t="n">
        <v>44735</v>
      </c>
      <c r="E4501" s="1" t="n">
        <v>46326</v>
      </c>
      <c r="F4501" t="inlineStr">
        <is>
          <t>GÄVLEBORGS LÄN</t>
        </is>
      </c>
      <c r="G4501" t="inlineStr">
        <is>
          <t>GÄVLE</t>
        </is>
      </c>
      <c r="I4501" t="n">
        <v>1.3</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9673-2026</t>
        </is>
      </c>
      <c r="B4502" t="inlineStr">
        <is>
          <t>avverkningsanmälan</t>
        </is>
      </c>
      <c r="C4502" t="inlineStr">
        <is>
          <t>Föryngringsavverkning</t>
        </is>
      </c>
      <c r="D4502" s="1" t="n">
        <v>46072</v>
      </c>
      <c r="E4502" s="1" t="n">
        <v>46326</v>
      </c>
      <c r="F4502" t="inlineStr">
        <is>
          <t>GÄVLEBORGS LÄN</t>
        </is>
      </c>
      <c r="G4502" t="inlineStr">
        <is>
          <t>GÄVLE</t>
        </is>
      </c>
      <c r="H4502" t="inlineStr">
        <is>
          <t>Bergvik skog öst AB</t>
        </is>
      </c>
      <c r="I4502" t="n">
        <v>2.4</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38589-2024</t>
        </is>
      </c>
      <c r="B4503" t="inlineStr">
        <is>
          <t>avverkningsanmälan</t>
        </is>
      </c>
      <c r="C4503" t="inlineStr">
        <is>
          <t>Föryngringsavverkning</t>
        </is>
      </c>
      <c r="D4503" s="1" t="n">
        <v>45546</v>
      </c>
      <c r="E4503" s="1" t="n">
        <v>46326</v>
      </c>
      <c r="F4503" t="inlineStr">
        <is>
          <t>GÄVLEBORGS LÄN</t>
        </is>
      </c>
      <c r="G4503" t="inlineStr">
        <is>
          <t>NORDANSTIG</t>
        </is>
      </c>
      <c r="I4503" t="n">
        <v>0.4</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9800-2026</t>
        </is>
      </c>
      <c r="B4504" t="inlineStr">
        <is>
          <t>avverkningsanmälan</t>
        </is>
      </c>
      <c r="C4504" t="inlineStr">
        <is>
          <t>Föryngringsavverkning</t>
        </is>
      </c>
      <c r="D4504" s="1" t="n">
        <v>46072</v>
      </c>
      <c r="E4504" s="1" t="n">
        <v>46326</v>
      </c>
      <c r="F4504" t="inlineStr">
        <is>
          <t>GÄVLEBORGS LÄN</t>
        </is>
      </c>
      <c r="G4504" t="inlineStr">
        <is>
          <t>HUDIKSVALL</t>
        </is>
      </c>
      <c r="I4504" t="n">
        <v>1.1</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9809-2026</t>
        </is>
      </c>
      <c r="B4505" t="inlineStr">
        <is>
          <t>avverkningsanmälan</t>
        </is>
      </c>
      <c r="C4505" t="inlineStr">
        <is>
          <t>Föryngringsavverkning</t>
        </is>
      </c>
      <c r="D4505" s="1" t="n">
        <v>46072</v>
      </c>
      <c r="E4505" s="1" t="n">
        <v>46326</v>
      </c>
      <c r="F4505" t="inlineStr">
        <is>
          <t>GÄVLEBORGS LÄN</t>
        </is>
      </c>
      <c r="G4505" t="inlineStr">
        <is>
          <t>OVANÅKER</t>
        </is>
      </c>
      <c r="I4505" t="n">
        <v>3.4</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9812-2026</t>
        </is>
      </c>
      <c r="B4506" t="inlineStr">
        <is>
          <t>avverkningsanmälan</t>
        </is>
      </c>
      <c r="C4506" t="inlineStr">
        <is>
          <t>Föryngringsavverkning</t>
        </is>
      </c>
      <c r="D4506" s="1" t="n">
        <v>46072</v>
      </c>
      <c r="E4506" s="1" t="n">
        <v>46326</v>
      </c>
      <c r="F4506" t="inlineStr">
        <is>
          <t>GÄVLEBORGS LÄN</t>
        </is>
      </c>
      <c r="G4506" t="inlineStr">
        <is>
          <t>BOLLNÄS</t>
        </is>
      </c>
      <c r="I4506" t="n">
        <v>1.1</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9971-2026</t>
        </is>
      </c>
      <c r="B4507" t="inlineStr">
        <is>
          <t>avverkningsanmälan</t>
        </is>
      </c>
      <c r="C4507" t="inlineStr">
        <is>
          <t>Föryngringsavverkning</t>
        </is>
      </c>
      <c r="D4507" s="1" t="n">
        <v>46073</v>
      </c>
      <c r="E4507" s="1" t="n">
        <v>46326</v>
      </c>
      <c r="F4507" t="inlineStr">
        <is>
          <t>GÄVLEBORGS LÄN</t>
        </is>
      </c>
      <c r="G4507" t="inlineStr">
        <is>
          <t>NORDANSTIG</t>
        </is>
      </c>
      <c r="I4507" t="n">
        <v>7.5</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10041-2026</t>
        </is>
      </c>
      <c r="B4508" t="inlineStr">
        <is>
          <t>avverkningsanmälan</t>
        </is>
      </c>
      <c r="C4508" t="inlineStr">
        <is>
          <t>Föryngringsavverkning</t>
        </is>
      </c>
      <c r="D4508" s="1" t="n">
        <v>46073</v>
      </c>
      <c r="E4508" s="1" t="n">
        <v>46326</v>
      </c>
      <c r="F4508" t="inlineStr">
        <is>
          <t>GÄVLEBORGS LÄN</t>
        </is>
      </c>
      <c r="G4508" t="inlineStr">
        <is>
          <t>OVANÅKER</t>
        </is>
      </c>
      <c r="I4508" t="n">
        <v>2</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10055-2026</t>
        </is>
      </c>
      <c r="B4509" t="inlineStr">
        <is>
          <t>avverkningsanmälan</t>
        </is>
      </c>
      <c r="C4509" t="inlineStr">
        <is>
          <t>Föryngringsavverkning</t>
        </is>
      </c>
      <c r="D4509" s="1" t="n">
        <v>46073</v>
      </c>
      <c r="E4509" s="1" t="n">
        <v>46326</v>
      </c>
      <c r="F4509" t="inlineStr">
        <is>
          <t>GÄVLEBORGS LÄN</t>
        </is>
      </c>
      <c r="G4509" t="inlineStr">
        <is>
          <t>BOLLNÄS</t>
        </is>
      </c>
      <c r="I4509" t="n">
        <v>8.699999999999999</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9794-2026</t>
        </is>
      </c>
      <c r="B4510" t="inlineStr">
        <is>
          <t>avverkningsanmälan</t>
        </is>
      </c>
      <c r="C4510" t="inlineStr">
        <is>
          <t>Föryngringsavverkning</t>
        </is>
      </c>
      <c r="D4510" s="1" t="n">
        <v>46072</v>
      </c>
      <c r="E4510" s="1" t="n">
        <v>46326</v>
      </c>
      <c r="F4510" t="inlineStr">
        <is>
          <t>GÄVLEBORGS LÄN</t>
        </is>
      </c>
      <c r="G4510" t="inlineStr">
        <is>
          <t>OVANÅKER</t>
        </is>
      </c>
      <c r="I4510" t="n">
        <v>0.7</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9616-2026</t>
        </is>
      </c>
      <c r="B4511" t="inlineStr">
        <is>
          <t>avverkningsanmälan</t>
        </is>
      </c>
      <c r="C4511" t="inlineStr">
        <is>
          <t>Föryngringsavverkning</t>
        </is>
      </c>
      <c r="D4511" s="1" t="n">
        <v>46072</v>
      </c>
      <c r="E4511" s="1" t="n">
        <v>46326</v>
      </c>
      <c r="F4511" t="inlineStr">
        <is>
          <t>GÄVLEBORGS LÄN</t>
        </is>
      </c>
      <c r="G4511" t="inlineStr">
        <is>
          <t>BOLLNÄS</t>
        </is>
      </c>
      <c r="I4511" t="n">
        <v>0.5</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9653-2026</t>
        </is>
      </c>
      <c r="B4512" t="inlineStr">
        <is>
          <t>avverkningsanmälan</t>
        </is>
      </c>
      <c r="C4512" t="inlineStr">
        <is>
          <t>Föryngringsavverkning</t>
        </is>
      </c>
      <c r="D4512" s="1" t="n">
        <v>46072</v>
      </c>
      <c r="E4512" s="1" t="n">
        <v>46326</v>
      </c>
      <c r="F4512" t="inlineStr">
        <is>
          <t>GÄVLEBORGS LÄN</t>
        </is>
      </c>
      <c r="G4512" t="inlineStr">
        <is>
          <t>SANDVIKEN</t>
        </is>
      </c>
      <c r="I4512" t="n">
        <v>5</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43216-2024</t>
        </is>
      </c>
      <c r="B4513" t="inlineStr">
        <is>
          <t>avverkningsanmälan</t>
        </is>
      </c>
      <c r="C4513" t="inlineStr">
        <is>
          <t>Föryngringsavverkning</t>
        </is>
      </c>
      <c r="D4513" s="1" t="n">
        <v>45567</v>
      </c>
      <c r="E4513" s="1" t="n">
        <v>46326</v>
      </c>
      <c r="F4513" t="inlineStr">
        <is>
          <t>GÄVLEBORGS LÄN</t>
        </is>
      </c>
      <c r="G4513" t="inlineStr">
        <is>
          <t>HUDIKSVALL</t>
        </is>
      </c>
      <c r="H4513" t="inlineStr">
        <is>
          <t>Holmen skog AB</t>
        </is>
      </c>
      <c r="I4513" t="n">
        <v>22.4</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9650-2026</t>
        </is>
      </c>
      <c r="B4514" t="inlineStr">
        <is>
          <t>avverkningsanmälan</t>
        </is>
      </c>
      <c r="C4514" t="inlineStr">
        <is>
          <t>Föryngringsavverkning</t>
        </is>
      </c>
      <c r="D4514" s="1" t="n">
        <v>46072</v>
      </c>
      <c r="E4514" s="1" t="n">
        <v>46326</v>
      </c>
      <c r="F4514" t="inlineStr">
        <is>
          <t>GÄVLEBORGS LÄN</t>
        </is>
      </c>
      <c r="G4514" t="inlineStr">
        <is>
          <t>NORDANSTIG</t>
        </is>
      </c>
      <c r="H4514" t="inlineStr">
        <is>
          <t>Holmen skog AB</t>
        </is>
      </c>
      <c r="I4514" t="n">
        <v>6.5</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9714-2026</t>
        </is>
      </c>
      <c r="B4515" t="inlineStr">
        <is>
          <t>avverkningsanmälan</t>
        </is>
      </c>
      <c r="C4515" t="inlineStr">
        <is>
          <t>Föryngringsavverkning</t>
        </is>
      </c>
      <c r="D4515" s="1" t="n">
        <v>46072</v>
      </c>
      <c r="E4515" s="1" t="n">
        <v>46326</v>
      </c>
      <c r="F4515" t="inlineStr">
        <is>
          <t>GÄVLEBORGS LÄN</t>
        </is>
      </c>
      <c r="G4515" t="inlineStr">
        <is>
          <t>SANDVIKEN</t>
        </is>
      </c>
      <c r="H4515" t="inlineStr">
        <is>
          <t>Naturvårdsverket</t>
        </is>
      </c>
      <c r="I4515" t="n">
        <v>19.5</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54966-2025</t>
        </is>
      </c>
      <c r="B4516" t="inlineStr">
        <is>
          <t>avverkningsanmälan</t>
        </is>
      </c>
      <c r="C4516" t="inlineStr">
        <is>
          <t>Föryngringsavverkning</t>
        </is>
      </c>
      <c r="D4516" s="1" t="n">
        <v>45967</v>
      </c>
      <c r="E4516" s="1" t="n">
        <v>46326</v>
      </c>
      <c r="F4516" t="inlineStr">
        <is>
          <t>GÄVLEBORGS LÄN</t>
        </is>
      </c>
      <c r="G4516" t="inlineStr">
        <is>
          <t>GÄVLE</t>
        </is>
      </c>
      <c r="H4516" t="inlineStr">
        <is>
          <t>Bergvik skog öst AB</t>
        </is>
      </c>
      <c r="I4516" t="n">
        <v>3.2</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55064-2025</t>
        </is>
      </c>
      <c r="B4517" t="inlineStr">
        <is>
          <t>avverkningsanmälan</t>
        </is>
      </c>
      <c r="C4517" t="inlineStr">
        <is>
          <t>Föryngringsavverkning</t>
        </is>
      </c>
      <c r="D4517" s="1" t="n">
        <v>45967</v>
      </c>
      <c r="E4517" s="1" t="n">
        <v>46326</v>
      </c>
      <c r="F4517" t="inlineStr">
        <is>
          <t>GÄVLEBORGS LÄN</t>
        </is>
      </c>
      <c r="G4517" t="inlineStr">
        <is>
          <t>OVANÅKER</t>
        </is>
      </c>
      <c r="I4517" t="n">
        <v>1.2</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54995-2025</t>
        </is>
      </c>
      <c r="B4518" t="inlineStr">
        <is>
          <t>avverkningsanmälan</t>
        </is>
      </c>
      <c r="C4518" t="inlineStr">
        <is>
          <t>Föryngringsavverkning</t>
        </is>
      </c>
      <c r="D4518" s="1" t="n">
        <v>45967</v>
      </c>
      <c r="E4518" s="1" t="n">
        <v>46326</v>
      </c>
      <c r="F4518" t="inlineStr">
        <is>
          <t>GÄVLEBORGS LÄN</t>
        </is>
      </c>
      <c r="G4518" t="inlineStr">
        <is>
          <t>SÖDERHAMN</t>
        </is>
      </c>
      <c r="I4518" t="n">
        <v>2.9</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54788-2025</t>
        </is>
      </c>
      <c r="B4519" t="inlineStr">
        <is>
          <t>avverkningsanmälan</t>
        </is>
      </c>
      <c r="C4519" t="inlineStr">
        <is>
          <t>Föryngringsavverkning</t>
        </is>
      </c>
      <c r="D4519" s="1" t="n">
        <v>45966</v>
      </c>
      <c r="E4519" s="1" t="n">
        <v>46326</v>
      </c>
      <c r="F4519" t="inlineStr">
        <is>
          <t>GÄVLEBORGS LÄN</t>
        </is>
      </c>
      <c r="G4519" t="inlineStr">
        <is>
          <t>OVANÅKER</t>
        </is>
      </c>
      <c r="I4519" t="n">
        <v>0.5</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9609-2026</t>
        </is>
      </c>
      <c r="B4520" t="inlineStr">
        <is>
          <t>avverkningsanmälan</t>
        </is>
      </c>
      <c r="C4520" t="inlineStr">
        <is>
          <t>Föryngringsavverkning</t>
        </is>
      </c>
      <c r="D4520" s="1" t="n">
        <v>46072</v>
      </c>
      <c r="E4520" s="1" t="n">
        <v>46326</v>
      </c>
      <c r="F4520" t="inlineStr">
        <is>
          <t>GÄVLEBORGS LÄN</t>
        </is>
      </c>
      <c r="G4520" t="inlineStr">
        <is>
          <t>BOLLNÄS</t>
        </is>
      </c>
      <c r="I4520" t="n">
        <v>2.8</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9610-2026</t>
        </is>
      </c>
      <c r="B4521" t="inlineStr">
        <is>
          <t>avverkningsanmälan</t>
        </is>
      </c>
      <c r="C4521" t="inlineStr">
        <is>
          <t>Föryngringsavverkning</t>
        </is>
      </c>
      <c r="D4521" s="1" t="n">
        <v>46072</v>
      </c>
      <c r="E4521" s="1" t="n">
        <v>46326</v>
      </c>
      <c r="F4521" t="inlineStr">
        <is>
          <t>GÄVLEBORGS LÄN</t>
        </is>
      </c>
      <c r="G4521" t="inlineStr">
        <is>
          <t>LJUSDAL</t>
        </is>
      </c>
      <c r="I4521" t="n">
        <v>1.1</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10059-2026</t>
        </is>
      </c>
      <c r="B4522" t="inlineStr">
        <is>
          <t>avverkningsanmälan</t>
        </is>
      </c>
      <c r="C4522" t="inlineStr">
        <is>
          <t>Föryngringsavverkning</t>
        </is>
      </c>
      <c r="D4522" s="1" t="n">
        <v>46073</v>
      </c>
      <c r="E4522" s="1" t="n">
        <v>46326</v>
      </c>
      <c r="F4522" t="inlineStr">
        <is>
          <t>GÄVLEBORGS LÄN</t>
        </is>
      </c>
      <c r="G4522" t="inlineStr">
        <is>
          <t>HUDIKSVALL</t>
        </is>
      </c>
      <c r="I4522" t="n">
        <v>1.2</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10062-2026</t>
        </is>
      </c>
      <c r="B4523" t="inlineStr">
        <is>
          <t>avverkningsanmälan</t>
        </is>
      </c>
      <c r="C4523" t="inlineStr">
        <is>
          <t>Föryngringsavverkning</t>
        </is>
      </c>
      <c r="D4523" s="1" t="n">
        <v>46073</v>
      </c>
      <c r="E4523" s="1" t="n">
        <v>46326</v>
      </c>
      <c r="F4523" t="inlineStr">
        <is>
          <t>GÄVLEBORGS LÄN</t>
        </is>
      </c>
      <c r="G4523" t="inlineStr">
        <is>
          <t>BOLLNÄS</t>
        </is>
      </c>
      <c r="I4523" t="n">
        <v>1.1</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10501-2026</t>
        </is>
      </c>
      <c r="B4524" t="inlineStr">
        <is>
          <t>avverkningsanmälan</t>
        </is>
      </c>
      <c r="C4524" t="inlineStr">
        <is>
          <t>Föryngringsavverkning</t>
        </is>
      </c>
      <c r="D4524" s="1" t="n">
        <v>46077</v>
      </c>
      <c r="E4524" s="1" t="n">
        <v>46326</v>
      </c>
      <c r="F4524" t="inlineStr">
        <is>
          <t>GÄVLEBORGS LÄN</t>
        </is>
      </c>
      <c r="G4524" t="inlineStr">
        <is>
          <t>OCKELBO</t>
        </is>
      </c>
      <c r="H4524" t="inlineStr">
        <is>
          <t>Bergvik skog väst AB</t>
        </is>
      </c>
      <c r="I4524" t="n">
        <v>0.8</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10782-2026</t>
        </is>
      </c>
      <c r="B4525" t="inlineStr">
        <is>
          <t>avverkningsanmälan</t>
        </is>
      </c>
      <c r="C4525" t="inlineStr">
        <is>
          <t>Föryngringsavverkning</t>
        </is>
      </c>
      <c r="D4525" s="1" t="n">
        <v>46078</v>
      </c>
      <c r="E4525" s="1" t="n">
        <v>46326</v>
      </c>
      <c r="F4525" t="inlineStr">
        <is>
          <t>GÄVLEBORGS LÄN</t>
        </is>
      </c>
      <c r="G4525" t="inlineStr">
        <is>
          <t>OVANÅKER</t>
        </is>
      </c>
      <c r="I4525" t="n">
        <v>1.4</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10811-2026</t>
        </is>
      </c>
      <c r="B4526" t="inlineStr">
        <is>
          <t>avverkningsanmälan</t>
        </is>
      </c>
      <c r="C4526" t="inlineStr">
        <is>
          <t>Föryngringsavverkning</t>
        </is>
      </c>
      <c r="D4526" s="1" t="n">
        <v>46078</v>
      </c>
      <c r="E4526" s="1" t="n">
        <v>46326</v>
      </c>
      <c r="F4526" t="inlineStr">
        <is>
          <t>GÄVLEBORGS LÄN</t>
        </is>
      </c>
      <c r="G4526" t="inlineStr">
        <is>
          <t>BOLLNÄS</t>
        </is>
      </c>
      <c r="I4526" t="n">
        <v>3.6</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10834-2026</t>
        </is>
      </c>
      <c r="B4527" t="inlineStr">
        <is>
          <t>avverkningsanmälan</t>
        </is>
      </c>
      <c r="C4527" t="inlineStr">
        <is>
          <t>Föryngringsavverkning</t>
        </is>
      </c>
      <c r="D4527" s="1" t="n">
        <v>46078</v>
      </c>
      <c r="E4527" s="1" t="n">
        <v>46326</v>
      </c>
      <c r="F4527" t="inlineStr">
        <is>
          <t>GÄVLEBORGS LÄN</t>
        </is>
      </c>
      <c r="G4527" t="inlineStr">
        <is>
          <t>BOLLNÄS</t>
        </is>
      </c>
      <c r="I4527" t="n">
        <v>4.7</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10124-2026</t>
        </is>
      </c>
      <c r="B4528" t="inlineStr">
        <is>
          <t>avverkningsanmälan</t>
        </is>
      </c>
      <c r="C4528" t="inlineStr">
        <is>
          <t>Föryngringsavverkning</t>
        </is>
      </c>
      <c r="D4528" s="1" t="n">
        <v>46075</v>
      </c>
      <c r="E4528" s="1" t="n">
        <v>46326</v>
      </c>
      <c r="F4528" t="inlineStr">
        <is>
          <t>GÄVLEBORGS LÄN</t>
        </is>
      </c>
      <c r="G4528" t="inlineStr">
        <is>
          <t>BOLLNÄS</t>
        </is>
      </c>
      <c r="I4528" t="n">
        <v>1.1</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54655-2025</t>
        </is>
      </c>
      <c r="B4529" t="inlineStr">
        <is>
          <t>avverkningsanmälan</t>
        </is>
      </c>
      <c r="C4529" t="inlineStr">
        <is>
          <t>Föryngringsavverkning</t>
        </is>
      </c>
      <c r="D4529" s="1" t="n">
        <v>45966</v>
      </c>
      <c r="E4529" s="1" t="n">
        <v>46326</v>
      </c>
      <c r="F4529" t="inlineStr">
        <is>
          <t>GÄVLEBORGS LÄN</t>
        </is>
      </c>
      <c r="G4529" t="inlineStr">
        <is>
          <t>OCKELBO</t>
        </is>
      </c>
      <c r="I4529" t="n">
        <v>0.8</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54656-2025</t>
        </is>
      </c>
      <c r="B4530" t="inlineStr">
        <is>
          <t>avverkningsanmälan</t>
        </is>
      </c>
      <c r="C4530" t="inlineStr">
        <is>
          <t>Föryngringsavverkning</t>
        </is>
      </c>
      <c r="D4530" s="1" t="n">
        <v>45966</v>
      </c>
      <c r="E4530" s="1" t="n">
        <v>46326</v>
      </c>
      <c r="F4530" t="inlineStr">
        <is>
          <t>GÄVLEBORGS LÄN</t>
        </is>
      </c>
      <c r="G4530" t="inlineStr">
        <is>
          <t>SÖDERHAMN</t>
        </is>
      </c>
      <c r="I4530" t="n">
        <v>1.2</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10365-2026</t>
        </is>
      </c>
      <c r="B4531" t="inlineStr">
        <is>
          <t>avverkningsanmälan</t>
        </is>
      </c>
      <c r="C4531" t="inlineStr">
        <is>
          <t>Föryngringsavverkning</t>
        </is>
      </c>
      <c r="D4531" s="1" t="n">
        <v>46076</v>
      </c>
      <c r="E4531" s="1" t="n">
        <v>46326</v>
      </c>
      <c r="F4531" t="inlineStr">
        <is>
          <t>GÄVLEBORGS LÄN</t>
        </is>
      </c>
      <c r="G4531" t="inlineStr">
        <is>
          <t>BOLLNÄS</t>
        </is>
      </c>
      <c r="I4531" t="n">
        <v>2.8</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10367-2026</t>
        </is>
      </c>
      <c r="B4532" t="inlineStr">
        <is>
          <t>avverkningsanmälan</t>
        </is>
      </c>
      <c r="C4532" t="inlineStr">
        <is>
          <t>Föryngringsavverkning</t>
        </is>
      </c>
      <c r="D4532" s="1" t="n">
        <v>46076</v>
      </c>
      <c r="E4532" s="1" t="n">
        <v>46326</v>
      </c>
      <c r="F4532" t="inlineStr">
        <is>
          <t>GÄVLEBORGS LÄN</t>
        </is>
      </c>
      <c r="G4532" t="inlineStr">
        <is>
          <t>BOLLNÄS</t>
        </is>
      </c>
      <c r="I4532" t="n">
        <v>1.6</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10176-2026</t>
        </is>
      </c>
      <c r="B4533" t="inlineStr">
        <is>
          <t>avverkningsanmälan</t>
        </is>
      </c>
      <c r="C4533" t="inlineStr">
        <is>
          <t>Föryngringsavverkning</t>
        </is>
      </c>
      <c r="D4533" s="1" t="n">
        <v>46076</v>
      </c>
      <c r="E4533" s="1" t="n">
        <v>46326</v>
      </c>
      <c r="F4533" t="inlineStr">
        <is>
          <t>GÄVLEBORGS LÄN</t>
        </is>
      </c>
      <c r="G4533" t="inlineStr">
        <is>
          <t>SANDVIKEN</t>
        </is>
      </c>
      <c r="H4533" t="inlineStr">
        <is>
          <t>Kommuner</t>
        </is>
      </c>
      <c r="I4533" t="n">
        <v>1.8</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54879-2025</t>
        </is>
      </c>
      <c r="B4534" t="inlineStr">
        <is>
          <t>avverkningsanmälan</t>
        </is>
      </c>
      <c r="C4534" t="inlineStr">
        <is>
          <t>Föryngringsavverkning</t>
        </is>
      </c>
      <c r="D4534" s="1" t="n">
        <v>45967</v>
      </c>
      <c r="E4534" s="1" t="n">
        <v>46326</v>
      </c>
      <c r="F4534" t="inlineStr">
        <is>
          <t>GÄVLEBORGS LÄN</t>
        </is>
      </c>
      <c r="G4534" t="inlineStr">
        <is>
          <t>OCKELBO</t>
        </is>
      </c>
      <c r="I4534" t="n">
        <v>2.2</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54880-2025</t>
        </is>
      </c>
      <c r="B4535" t="inlineStr">
        <is>
          <t>avverkningsanmälan</t>
        </is>
      </c>
      <c r="C4535" t="inlineStr">
        <is>
          <t>Föryngringsavverkning</t>
        </is>
      </c>
      <c r="D4535" s="1" t="n">
        <v>45967</v>
      </c>
      <c r="E4535" s="1" t="n">
        <v>46326</v>
      </c>
      <c r="F4535" t="inlineStr">
        <is>
          <t>GÄVLEBORGS LÄN</t>
        </is>
      </c>
      <c r="G4535" t="inlineStr">
        <is>
          <t>OCKELBO</t>
        </is>
      </c>
      <c r="I4535" t="n">
        <v>1.7</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54866-2025</t>
        </is>
      </c>
      <c r="B4536" t="inlineStr">
        <is>
          <t>avverkningsanmälan</t>
        </is>
      </c>
      <c r="C4536" t="inlineStr">
        <is>
          <t>Föryngringsavverkning</t>
        </is>
      </c>
      <c r="D4536" s="1" t="n">
        <v>45966</v>
      </c>
      <c r="E4536" s="1" t="n">
        <v>46326</v>
      </c>
      <c r="F4536" t="inlineStr">
        <is>
          <t>GÄVLEBORGS LÄN</t>
        </is>
      </c>
      <c r="G4536" t="inlineStr">
        <is>
          <t>OVANÅKER</t>
        </is>
      </c>
      <c r="I4536" t="n">
        <v>1</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10235-2026</t>
        </is>
      </c>
      <c r="B4537" t="inlineStr">
        <is>
          <t>avverkningsanmälan</t>
        </is>
      </c>
      <c r="C4537" t="inlineStr">
        <is>
          <t>Föryngringsavverkning</t>
        </is>
      </c>
      <c r="D4537" s="1" t="n">
        <v>46076</v>
      </c>
      <c r="E4537" s="1" t="n">
        <v>46326</v>
      </c>
      <c r="F4537" t="inlineStr">
        <is>
          <t>GÄVLEBORGS LÄN</t>
        </is>
      </c>
      <c r="G4537" t="inlineStr">
        <is>
          <t>HUDIKSVALL</t>
        </is>
      </c>
      <c r="I4537" t="n">
        <v>7.7</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10695-2026</t>
        </is>
      </c>
      <c r="B4538" t="inlineStr">
        <is>
          <t>avverkningsanmälan</t>
        </is>
      </c>
      <c r="C4538" t="inlineStr">
        <is>
          <t>Föryngringsavverkning</t>
        </is>
      </c>
      <c r="D4538" s="1" t="n">
        <v>46078</v>
      </c>
      <c r="E4538" s="1" t="n">
        <v>46326</v>
      </c>
      <c r="F4538" t="inlineStr">
        <is>
          <t>GÄVLEBORGS LÄN</t>
        </is>
      </c>
      <c r="G4538" t="inlineStr">
        <is>
          <t>OVANÅKER</t>
        </is>
      </c>
      <c r="H4538" t="inlineStr">
        <is>
          <t>Bergvik skog väst AB</t>
        </is>
      </c>
      <c r="I4538" t="n">
        <v>0.8</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10652-2026</t>
        </is>
      </c>
      <c r="B4539" t="inlineStr">
        <is>
          <t>avverkningsanmälan</t>
        </is>
      </c>
      <c r="C4539" t="inlineStr">
        <is>
          <t>Föryngringsavverkning</t>
        </is>
      </c>
      <c r="D4539" s="1" t="n">
        <v>46078</v>
      </c>
      <c r="E4539" s="1" t="n">
        <v>46326</v>
      </c>
      <c r="F4539" t="inlineStr">
        <is>
          <t>GÄVLEBORGS LÄN</t>
        </is>
      </c>
      <c r="G4539" t="inlineStr">
        <is>
          <t>BOLLNÄS</t>
        </is>
      </c>
      <c r="I4539" t="n">
        <v>11.6</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54790-2025</t>
        </is>
      </c>
      <c r="B4540" t="inlineStr">
        <is>
          <t>avverkningsanmälan</t>
        </is>
      </c>
      <c r="C4540" t="inlineStr">
        <is>
          <t>Föryngringsavverkning</t>
        </is>
      </c>
      <c r="D4540" s="1" t="n">
        <v>45966</v>
      </c>
      <c r="E4540" s="1" t="n">
        <v>46326</v>
      </c>
      <c r="F4540" t="inlineStr">
        <is>
          <t>GÄVLEBORGS LÄN</t>
        </is>
      </c>
      <c r="G4540" t="inlineStr">
        <is>
          <t>OVANÅKER</t>
        </is>
      </c>
      <c r="I4540" t="n">
        <v>6.9</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10663-2026</t>
        </is>
      </c>
      <c r="B4541" t="inlineStr">
        <is>
          <t>avverkningsanmälan</t>
        </is>
      </c>
      <c r="C4541" t="inlineStr">
        <is>
          <t>Föryngringsavverkning</t>
        </is>
      </c>
      <c r="D4541" s="1" t="n">
        <v>46078</v>
      </c>
      <c r="E4541" s="1" t="n">
        <v>46326</v>
      </c>
      <c r="F4541" t="inlineStr">
        <is>
          <t>GÄVLEBORGS LÄN</t>
        </is>
      </c>
      <c r="G4541" t="inlineStr">
        <is>
          <t>LJUSDAL</t>
        </is>
      </c>
      <c r="I4541" t="n">
        <v>0.4</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10378-2026</t>
        </is>
      </c>
      <c r="B4542" t="inlineStr">
        <is>
          <t>avverkningsanmälan</t>
        </is>
      </c>
      <c r="C4542" t="inlineStr">
        <is>
          <t>Föryngringsavverkning</t>
        </is>
      </c>
      <c r="D4542" s="1" t="n">
        <v>46076</v>
      </c>
      <c r="E4542" s="1" t="n">
        <v>46326</v>
      </c>
      <c r="F4542" t="inlineStr">
        <is>
          <t>GÄVLEBORGS LÄN</t>
        </is>
      </c>
      <c r="G4542" t="inlineStr">
        <is>
          <t>HUDIKSVALL</t>
        </is>
      </c>
      <c r="H4542" t="inlineStr">
        <is>
          <t>Holmen skog AB</t>
        </is>
      </c>
      <c r="I4542" t="n">
        <v>1.9</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10372-2026</t>
        </is>
      </c>
      <c r="B4543" t="inlineStr">
        <is>
          <t>avverkningsanmälan</t>
        </is>
      </c>
      <c r="C4543" t="inlineStr">
        <is>
          <t>Föryngringsavverkning</t>
        </is>
      </c>
      <c r="D4543" s="1" t="n">
        <v>46076</v>
      </c>
      <c r="E4543" s="1" t="n">
        <v>46326</v>
      </c>
      <c r="F4543" t="inlineStr">
        <is>
          <t>GÄVLEBORGS LÄN</t>
        </is>
      </c>
      <c r="G4543" t="inlineStr">
        <is>
          <t>HUDIKSVALL</t>
        </is>
      </c>
      <c r="H4543" t="inlineStr">
        <is>
          <t>Holmen skog AB</t>
        </is>
      </c>
      <c r="I4543" t="n">
        <v>0.6</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10683-2026</t>
        </is>
      </c>
      <c r="B4544" t="inlineStr">
        <is>
          <t>avverkningsanmälan</t>
        </is>
      </c>
      <c r="C4544" t="inlineStr">
        <is>
          <t>Föryngringsavverkning</t>
        </is>
      </c>
      <c r="D4544" s="1" t="n">
        <v>46078</v>
      </c>
      <c r="E4544" s="1" t="n">
        <v>46326</v>
      </c>
      <c r="F4544" t="inlineStr">
        <is>
          <t>GÄVLEBORGS LÄN</t>
        </is>
      </c>
      <c r="G4544" t="inlineStr">
        <is>
          <t>BOLLNÄS</t>
        </is>
      </c>
      <c r="I4544" t="n">
        <v>0.6</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10828-2026</t>
        </is>
      </c>
      <c r="B4545" t="inlineStr">
        <is>
          <t>avverkningsanmälan</t>
        </is>
      </c>
      <c r="C4545" t="inlineStr">
        <is>
          <t>Föryngringsavverkning</t>
        </is>
      </c>
      <c r="D4545" s="1" t="n">
        <v>46078</v>
      </c>
      <c r="E4545" s="1" t="n">
        <v>46326</v>
      </c>
      <c r="F4545" t="inlineStr">
        <is>
          <t>GÄVLEBORGS LÄN</t>
        </is>
      </c>
      <c r="G4545" t="inlineStr">
        <is>
          <t>BOLLNÄS</t>
        </is>
      </c>
      <c r="H4545" t="inlineStr">
        <is>
          <t>Bergvik skog väst AB</t>
        </is>
      </c>
      <c r="I4545" t="n">
        <v>2.7</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10287-2026</t>
        </is>
      </c>
      <c r="B4546" t="inlineStr">
        <is>
          <t>avverkningsanmälan</t>
        </is>
      </c>
      <c r="C4546" t="inlineStr">
        <is>
          <t>Föryngringsavverkning</t>
        </is>
      </c>
      <c r="D4546" s="1" t="n">
        <v>46076</v>
      </c>
      <c r="E4546" s="1" t="n">
        <v>46326</v>
      </c>
      <c r="F4546" t="inlineStr">
        <is>
          <t>GÄVLEBORGS LÄN</t>
        </is>
      </c>
      <c r="G4546" t="inlineStr">
        <is>
          <t>OVANÅKER</t>
        </is>
      </c>
      <c r="H4546" t="inlineStr">
        <is>
          <t>Bergvik skog väst AB</t>
        </is>
      </c>
      <c r="I4546" t="n">
        <v>0.5</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10682-2026</t>
        </is>
      </c>
      <c r="B4547" t="inlineStr">
        <is>
          <t>avverkningsanmälan</t>
        </is>
      </c>
      <c r="C4547" t="inlineStr">
        <is>
          <t>Föryngringsavverkning</t>
        </is>
      </c>
      <c r="D4547" s="1" t="n">
        <v>46078</v>
      </c>
      <c r="E4547" s="1" t="n">
        <v>46326</v>
      </c>
      <c r="F4547" t="inlineStr">
        <is>
          <t>GÄVLEBORGS LÄN</t>
        </is>
      </c>
      <c r="G4547" t="inlineStr">
        <is>
          <t>OCKELBO</t>
        </is>
      </c>
      <c r="H4547" t="inlineStr">
        <is>
          <t>Bergvik skog väst AB</t>
        </is>
      </c>
      <c r="I4547" t="n">
        <v>0.4</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55058-2025</t>
        </is>
      </c>
      <c r="B4548" t="inlineStr">
        <is>
          <t>avverkningsanmälan</t>
        </is>
      </c>
      <c r="C4548" t="inlineStr">
        <is>
          <t>Föryngringsavverkning</t>
        </is>
      </c>
      <c r="D4548" s="1" t="n">
        <v>45967</v>
      </c>
      <c r="E4548" s="1" t="n">
        <v>46326</v>
      </c>
      <c r="F4548" t="inlineStr">
        <is>
          <t>GÄVLEBORGS LÄN</t>
        </is>
      </c>
      <c r="G4548" t="inlineStr">
        <is>
          <t>SÖDERHAMN</t>
        </is>
      </c>
      <c r="I4548" t="n">
        <v>1.3</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7227-2023</t>
        </is>
      </c>
      <c r="B4549" t="inlineStr">
        <is>
          <t>avverkningsanmälan</t>
        </is>
      </c>
      <c r="C4549" t="inlineStr">
        <is>
          <t>Föryngringsavverkning</t>
        </is>
      </c>
      <c r="D4549" s="1" t="n">
        <v>44970</v>
      </c>
      <c r="E4549" s="1" t="n">
        <v>46326</v>
      </c>
      <c r="F4549" t="inlineStr">
        <is>
          <t>GÄVLEBORGS LÄN</t>
        </is>
      </c>
      <c r="G4549" t="inlineStr">
        <is>
          <t>OVANÅKER</t>
        </is>
      </c>
      <c r="I4549" t="n">
        <v>14.6</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23072-2024</t>
        </is>
      </c>
      <c r="B4550" t="inlineStr">
        <is>
          <t>avverkningsanmälan</t>
        </is>
      </c>
      <c r="C4550" t="inlineStr">
        <is>
          <t>Föryngringsavverkning</t>
        </is>
      </c>
      <c r="D4550" s="1" t="n">
        <v>45450</v>
      </c>
      <c r="E4550" s="1" t="n">
        <v>46326</v>
      </c>
      <c r="F4550" t="inlineStr">
        <is>
          <t>GÄVLEBORGS LÄN</t>
        </is>
      </c>
      <c r="G4550" t="inlineStr">
        <is>
          <t>OCKELBO</t>
        </is>
      </c>
      <c r="I4550" t="n">
        <v>1</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10483-2026</t>
        </is>
      </c>
      <c r="B4551" t="inlineStr">
        <is>
          <t>avverkningsanmälan</t>
        </is>
      </c>
      <c r="C4551" t="inlineStr">
        <is>
          <t>Föryngringsavverkning</t>
        </is>
      </c>
      <c r="D4551" s="1" t="n">
        <v>46077</v>
      </c>
      <c r="E4551" s="1" t="n">
        <v>46326</v>
      </c>
      <c r="F4551" t="inlineStr">
        <is>
          <t>GÄVLEBORGS LÄN</t>
        </is>
      </c>
      <c r="G4551" t="inlineStr">
        <is>
          <t>SÖDERHAMN</t>
        </is>
      </c>
      <c r="H4551" t="inlineStr">
        <is>
          <t>Kyrkan</t>
        </is>
      </c>
      <c r="I4551" t="n">
        <v>0.9</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10345-2026</t>
        </is>
      </c>
      <c r="B4552" t="inlineStr">
        <is>
          <t>avverkningsanmälan</t>
        </is>
      </c>
      <c r="C4552" t="inlineStr">
        <is>
          <t>Föryngringsavverkning</t>
        </is>
      </c>
      <c r="D4552" s="1" t="n">
        <v>46076</v>
      </c>
      <c r="E4552" s="1" t="n">
        <v>46326</v>
      </c>
      <c r="F4552" t="inlineStr">
        <is>
          <t>GÄVLEBORGS LÄN</t>
        </is>
      </c>
      <c r="G4552" t="inlineStr">
        <is>
          <t>SÖDERHAMN</t>
        </is>
      </c>
      <c r="I4552" t="n">
        <v>5.7</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54827-2025</t>
        </is>
      </c>
      <c r="B4553" t="inlineStr">
        <is>
          <t>avverkningsanmälan</t>
        </is>
      </c>
      <c r="C4553" t="inlineStr">
        <is>
          <t>Föryngringsavverkning</t>
        </is>
      </c>
      <c r="D4553" s="1" t="n">
        <v>45966</v>
      </c>
      <c r="E4553" s="1" t="n">
        <v>46326</v>
      </c>
      <c r="F4553" t="inlineStr">
        <is>
          <t>GÄVLEBORGS LÄN</t>
        </is>
      </c>
      <c r="G4553" t="inlineStr">
        <is>
          <t>HOFORS</t>
        </is>
      </c>
      <c r="I4553" t="n">
        <v>2.3</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54685-2025</t>
        </is>
      </c>
      <c r="B4554" t="inlineStr">
        <is>
          <t>avverkningsanmälan</t>
        </is>
      </c>
      <c r="C4554" t="inlineStr">
        <is>
          <t>Föryngringsavverkning</t>
        </is>
      </c>
      <c r="D4554" s="1" t="n">
        <v>45966</v>
      </c>
      <c r="E4554" s="1" t="n">
        <v>46326</v>
      </c>
      <c r="F4554" t="inlineStr">
        <is>
          <t>GÄVLEBORGS LÄN</t>
        </is>
      </c>
      <c r="G4554" t="inlineStr">
        <is>
          <t>SÖDERHAMN</t>
        </is>
      </c>
      <c r="I4554" t="n">
        <v>0.5</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10687-2026</t>
        </is>
      </c>
      <c r="B4555" t="inlineStr">
        <is>
          <t>avverkningsanmälan</t>
        </is>
      </c>
      <c r="C4555" t="inlineStr">
        <is>
          <t>Föryngringsavverkning</t>
        </is>
      </c>
      <c r="D4555" s="1" t="n">
        <v>46078</v>
      </c>
      <c r="E4555" s="1" t="n">
        <v>46326</v>
      </c>
      <c r="F4555" t="inlineStr">
        <is>
          <t>GÄVLEBORGS LÄN</t>
        </is>
      </c>
      <c r="G4555" t="inlineStr">
        <is>
          <t>BOLLNÄS</t>
        </is>
      </c>
      <c r="I4555" t="n">
        <v>2.8</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51525-2023</t>
        </is>
      </c>
      <c r="B4556" t="inlineStr">
        <is>
          <t>avverkningsanmälan</t>
        </is>
      </c>
      <c r="C4556" t="inlineStr">
        <is>
          <t>Föryngringsavverkning</t>
        </is>
      </c>
      <c r="D4556" s="1" t="n">
        <v>45222</v>
      </c>
      <c r="E4556" s="1" t="n">
        <v>46326</v>
      </c>
      <c r="F4556" t="inlineStr">
        <is>
          <t>GÄVLEBORGS LÄN</t>
        </is>
      </c>
      <c r="G4556" t="inlineStr">
        <is>
          <t>LJUSDAL</t>
        </is>
      </c>
      <c r="I4556" t="n">
        <v>3.7</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17241-2023</t>
        </is>
      </c>
      <c r="B4557" t="inlineStr">
        <is>
          <t>avverkningsanmälan</t>
        </is>
      </c>
      <c r="C4557" t="inlineStr">
        <is>
          <t>Föryngringsavverkning</t>
        </is>
      </c>
      <c r="D4557" s="1" t="n">
        <v>45035</v>
      </c>
      <c r="E4557" s="1" t="n">
        <v>46326</v>
      </c>
      <c r="F4557" t="inlineStr">
        <is>
          <t>GÄVLEBORGS LÄN</t>
        </is>
      </c>
      <c r="G4557" t="inlineStr">
        <is>
          <t>LJUSDAL</t>
        </is>
      </c>
      <c r="I4557" t="n">
        <v>1.3</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20999-2022</t>
        </is>
      </c>
      <c r="B4558" t="inlineStr">
        <is>
          <t>avverkningsanmälan</t>
        </is>
      </c>
      <c r="C4558" t="inlineStr">
        <is>
          <t>Föryngringsavverkning</t>
        </is>
      </c>
      <c r="D4558" s="1" t="n">
        <v>44701</v>
      </c>
      <c r="E4558" s="1" t="n">
        <v>46326</v>
      </c>
      <c r="F4558" t="inlineStr">
        <is>
          <t>GÄVLEBORGS LÄN</t>
        </is>
      </c>
      <c r="G4558" t="inlineStr">
        <is>
          <t>GÄVLE</t>
        </is>
      </c>
      <c r="H4558" t="inlineStr">
        <is>
          <t>Bergvik skog väst AB</t>
        </is>
      </c>
      <c r="I4558" t="n">
        <v>26.3</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54864-2025</t>
        </is>
      </c>
      <c r="B4559" t="inlineStr">
        <is>
          <t>avverkningsanmälan</t>
        </is>
      </c>
      <c r="C4559" t="inlineStr">
        <is>
          <t>Föryngringsavverkning</t>
        </is>
      </c>
      <c r="D4559" s="1" t="n">
        <v>45966</v>
      </c>
      <c r="E4559" s="1" t="n">
        <v>46326</v>
      </c>
      <c r="F4559" t="inlineStr">
        <is>
          <t>GÄVLEBORGS LÄN</t>
        </is>
      </c>
      <c r="G4559" t="inlineStr">
        <is>
          <t>HUDIKSVALL</t>
        </is>
      </c>
      <c r="H4559" t="inlineStr">
        <is>
          <t>Holmen skog AB</t>
        </is>
      </c>
      <c r="I4559" t="n">
        <v>3.9</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54599-2025</t>
        </is>
      </c>
      <c r="B4560" t="inlineStr">
        <is>
          <t>avverkningsanmälan</t>
        </is>
      </c>
      <c r="C4560" t="inlineStr">
        <is>
          <t>Föryngringsavverkning</t>
        </is>
      </c>
      <c r="D4560" s="1" t="n">
        <v>45965</v>
      </c>
      <c r="E4560" s="1" t="n">
        <v>46326</v>
      </c>
      <c r="F4560" t="inlineStr">
        <is>
          <t>GÄVLEBORGS LÄN</t>
        </is>
      </c>
      <c r="G4560" t="inlineStr">
        <is>
          <t>GÄVLE</t>
        </is>
      </c>
      <c r="I4560" t="n">
        <v>4.8</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57781-2024</t>
        </is>
      </c>
      <c r="B4561" t="inlineStr">
        <is>
          <t>avverkningsanmälan</t>
        </is>
      </c>
      <c r="C4561" t="inlineStr">
        <is>
          <t>Föryngringsavverkning</t>
        </is>
      </c>
      <c r="D4561" s="1" t="n">
        <v>45631</v>
      </c>
      <c r="E4561" s="1" t="n">
        <v>46326</v>
      </c>
      <c r="F4561" t="inlineStr">
        <is>
          <t>GÄVLEBORGS LÄN</t>
        </is>
      </c>
      <c r="G4561" t="inlineStr">
        <is>
          <t>BOLLNÄS</t>
        </is>
      </c>
      <c r="I4561" t="n">
        <v>1.4</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10445-2024</t>
        </is>
      </c>
      <c r="B4562" t="inlineStr">
        <is>
          <t>avverkningsanmälan</t>
        </is>
      </c>
      <c r="C4562" t="inlineStr">
        <is>
          <t>Föryngringsavverkning</t>
        </is>
      </c>
      <c r="D4562" s="1" t="n">
        <v>45366</v>
      </c>
      <c r="E4562" s="1" t="n">
        <v>46326</v>
      </c>
      <c r="F4562" t="inlineStr">
        <is>
          <t>GÄVLEBORGS LÄN</t>
        </is>
      </c>
      <c r="G4562" t="inlineStr">
        <is>
          <t>OCKELBO</t>
        </is>
      </c>
      <c r="H4562" t="inlineStr">
        <is>
          <t>Bergvik skog väst AB</t>
        </is>
      </c>
      <c r="I4562" t="n">
        <v>1.9</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58602-2024</t>
        </is>
      </c>
      <c r="B4563" t="inlineStr">
        <is>
          <t>avverkningsanmälan</t>
        </is>
      </c>
      <c r="C4563" t="inlineStr">
        <is>
          <t>Föryngringsavverkning</t>
        </is>
      </c>
      <c r="D4563" s="1" t="n">
        <v>45635</v>
      </c>
      <c r="E4563" s="1" t="n">
        <v>46326</v>
      </c>
      <c r="F4563" t="inlineStr">
        <is>
          <t>GÄVLEBORGS LÄN</t>
        </is>
      </c>
      <c r="G4563" t="inlineStr">
        <is>
          <t>LJUSDAL</t>
        </is>
      </c>
      <c r="H4563" t="inlineStr">
        <is>
          <t>Allmännings- och besparingsskogar</t>
        </is>
      </c>
      <c r="I4563" t="n">
        <v>1.2</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10474-2026</t>
        </is>
      </c>
      <c r="B4564" t="inlineStr">
        <is>
          <t>avverkningsanmälan</t>
        </is>
      </c>
      <c r="C4564" t="inlineStr">
        <is>
          <t>Föryngringsavverkning</t>
        </is>
      </c>
      <c r="D4564" s="1" t="n">
        <v>46077</v>
      </c>
      <c r="E4564" s="1" t="n">
        <v>46326</v>
      </c>
      <c r="F4564" t="inlineStr">
        <is>
          <t>GÄVLEBORGS LÄN</t>
        </is>
      </c>
      <c r="G4564" t="inlineStr">
        <is>
          <t>OVANÅKER</t>
        </is>
      </c>
      <c r="I4564" t="n">
        <v>3.4</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20115-2025</t>
        </is>
      </c>
      <c r="B4565" t="inlineStr">
        <is>
          <t>avverkningsanmälan</t>
        </is>
      </c>
      <c r="C4565" t="inlineStr">
        <is>
          <t>Föryngringsavverkning</t>
        </is>
      </c>
      <c r="D4565" s="1" t="n">
        <v>45772</v>
      </c>
      <c r="E4565" s="1" t="n">
        <v>46326</v>
      </c>
      <c r="F4565" t="inlineStr">
        <is>
          <t>GÄVLEBORGS LÄN</t>
        </is>
      </c>
      <c r="G4565" t="inlineStr">
        <is>
          <t>OVANÅKER</t>
        </is>
      </c>
      <c r="I4565" t="n">
        <v>1.5</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10107-2026</t>
        </is>
      </c>
      <c r="B4566" t="inlineStr">
        <is>
          <t>avverkningsanmälan</t>
        </is>
      </c>
      <c r="C4566" t="inlineStr">
        <is>
          <t>Föryngringsavverkning</t>
        </is>
      </c>
      <c r="D4566" s="1" t="n">
        <v>46074</v>
      </c>
      <c r="E4566" s="1" t="n">
        <v>46326</v>
      </c>
      <c r="F4566" t="inlineStr">
        <is>
          <t>GÄVLEBORGS LÄN</t>
        </is>
      </c>
      <c r="G4566" t="inlineStr">
        <is>
          <t>SANDVIKEN</t>
        </is>
      </c>
      <c r="I4566" t="n">
        <v>7.6</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10534-2026</t>
        </is>
      </c>
      <c r="B4567" t="inlineStr">
        <is>
          <t>avverkningsanmälan</t>
        </is>
      </c>
      <c r="C4567" t="inlineStr">
        <is>
          <t>Föryngringsavverkning</t>
        </is>
      </c>
      <c r="D4567" s="1" t="n">
        <v>46077</v>
      </c>
      <c r="E4567" s="1" t="n">
        <v>46326</v>
      </c>
      <c r="F4567" t="inlineStr">
        <is>
          <t>GÄVLEBORGS LÄN</t>
        </is>
      </c>
      <c r="G4567" t="inlineStr">
        <is>
          <t>HUDIKSVALL</t>
        </is>
      </c>
      <c r="I4567" t="n">
        <v>1.6</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10259-2026</t>
        </is>
      </c>
      <c r="B4568" t="inlineStr">
        <is>
          <t>avverkningsanmälan</t>
        </is>
      </c>
      <c r="C4568" t="inlineStr">
        <is>
          <t>Föryngringsavverkning</t>
        </is>
      </c>
      <c r="D4568" s="1" t="n">
        <v>46076</v>
      </c>
      <c r="E4568" s="1" t="n">
        <v>46326</v>
      </c>
      <c r="F4568" t="inlineStr">
        <is>
          <t>GÄVLEBORGS LÄN</t>
        </is>
      </c>
      <c r="G4568" t="inlineStr">
        <is>
          <t>BOLLNÄS</t>
        </is>
      </c>
      <c r="I4568" t="n">
        <v>5.4</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13498-2024</t>
        </is>
      </c>
      <c r="B4569" t="inlineStr">
        <is>
          <t>avverkningsanmälan</t>
        </is>
      </c>
      <c r="C4569" t="inlineStr">
        <is>
          <t>Föryngringsavverkning</t>
        </is>
      </c>
      <c r="D4569" s="1" t="n">
        <v>45387</v>
      </c>
      <c r="E4569" s="1" t="n">
        <v>46326</v>
      </c>
      <c r="F4569" t="inlineStr">
        <is>
          <t>GÄVLEBORGS LÄN</t>
        </is>
      </c>
      <c r="G4569" t="inlineStr">
        <is>
          <t>LJUSDAL</t>
        </is>
      </c>
      <c r="I4569" t="n">
        <v>1.3</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10257-2026</t>
        </is>
      </c>
      <c r="B4570" t="inlineStr">
        <is>
          <t>avverkningsanmälan</t>
        </is>
      </c>
      <c r="C4570" t="inlineStr">
        <is>
          <t>Föryngringsavverkning</t>
        </is>
      </c>
      <c r="D4570" s="1" t="n">
        <v>46076</v>
      </c>
      <c r="E4570" s="1" t="n">
        <v>46326</v>
      </c>
      <c r="F4570" t="inlineStr">
        <is>
          <t>GÄVLEBORGS LÄN</t>
        </is>
      </c>
      <c r="G4570" t="inlineStr">
        <is>
          <t>GÄVLE</t>
        </is>
      </c>
      <c r="H4570" t="inlineStr">
        <is>
          <t>Bergvik skog öst AB</t>
        </is>
      </c>
      <c r="I4570" t="n">
        <v>2.3</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10308-2026</t>
        </is>
      </c>
      <c r="B4571" t="inlineStr">
        <is>
          <t>avverkningsanmälan</t>
        </is>
      </c>
      <c r="C4571" t="inlineStr">
        <is>
          <t>Föryngringsavverkning</t>
        </is>
      </c>
      <c r="D4571" s="1" t="n">
        <v>46076</v>
      </c>
      <c r="E4571" s="1" t="n">
        <v>46326</v>
      </c>
      <c r="F4571" t="inlineStr">
        <is>
          <t>GÄVLEBORGS LÄN</t>
        </is>
      </c>
      <c r="G4571" t="inlineStr">
        <is>
          <t>HUDIKSVALL</t>
        </is>
      </c>
      <c r="H4571" t="inlineStr">
        <is>
          <t>Sveaskog</t>
        </is>
      </c>
      <c r="I4571" t="n">
        <v>5.4</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10310-2026</t>
        </is>
      </c>
      <c r="B4572" t="inlineStr">
        <is>
          <t>avverkningsanmälan</t>
        </is>
      </c>
      <c r="C4572" t="inlineStr">
        <is>
          <t>Föryngringsavverkning</t>
        </is>
      </c>
      <c r="D4572" s="1" t="n">
        <v>46076</v>
      </c>
      <c r="E4572" s="1" t="n">
        <v>46326</v>
      </c>
      <c r="F4572" t="inlineStr">
        <is>
          <t>GÄVLEBORGS LÄN</t>
        </is>
      </c>
      <c r="G4572" t="inlineStr">
        <is>
          <t>NORDANSTIG</t>
        </is>
      </c>
      <c r="I4572" t="n">
        <v>7.8</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10316-2026</t>
        </is>
      </c>
      <c r="B4573" t="inlineStr">
        <is>
          <t>avverkningsanmälan</t>
        </is>
      </c>
      <c r="C4573" t="inlineStr">
        <is>
          <t>Föryngringsavverkning</t>
        </is>
      </c>
      <c r="D4573" s="1" t="n">
        <v>46076</v>
      </c>
      <c r="E4573" s="1" t="n">
        <v>46326</v>
      </c>
      <c r="F4573" t="inlineStr">
        <is>
          <t>GÄVLEBORGS LÄN</t>
        </is>
      </c>
      <c r="G4573" t="inlineStr">
        <is>
          <t>BOLLNÄS</t>
        </is>
      </c>
      <c r="I4573" t="n">
        <v>2.1</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10528-2026</t>
        </is>
      </c>
      <c r="B4574" t="inlineStr">
        <is>
          <t>avverkningsanmälan</t>
        </is>
      </c>
      <c r="C4574" t="inlineStr">
        <is>
          <t>Föryngringsavverkning</t>
        </is>
      </c>
      <c r="D4574" s="1" t="n">
        <v>46077</v>
      </c>
      <c r="E4574" s="1" t="n">
        <v>46326</v>
      </c>
      <c r="F4574" t="inlineStr">
        <is>
          <t>GÄVLEBORGS LÄN</t>
        </is>
      </c>
      <c r="G4574" t="inlineStr">
        <is>
          <t>BOLLNÄS</t>
        </is>
      </c>
      <c r="H4574" t="inlineStr">
        <is>
          <t>Bergvik skog väst AB</t>
        </is>
      </c>
      <c r="I4574" t="n">
        <v>0.5</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10607-2026</t>
        </is>
      </c>
      <c r="B4575" t="inlineStr">
        <is>
          <t>avverkningsanmälan</t>
        </is>
      </c>
      <c r="C4575" t="inlineStr">
        <is>
          <t>Föryngringsavverkning</t>
        </is>
      </c>
      <c r="D4575" s="1" t="n">
        <v>46077</v>
      </c>
      <c r="E4575" s="1" t="n">
        <v>46326</v>
      </c>
      <c r="F4575" t="inlineStr">
        <is>
          <t>GÄVLEBORGS LÄN</t>
        </is>
      </c>
      <c r="G4575" t="inlineStr">
        <is>
          <t>OVANÅKER</t>
        </is>
      </c>
      <c r="I4575" t="n">
        <v>1.8</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10455-2026</t>
        </is>
      </c>
      <c r="B4576" t="inlineStr">
        <is>
          <t>avverkningsanmälan</t>
        </is>
      </c>
      <c r="C4576" t="inlineStr">
        <is>
          <t>Föryngringsavverkning</t>
        </is>
      </c>
      <c r="D4576" s="1" t="n">
        <v>46077</v>
      </c>
      <c r="E4576" s="1" t="n">
        <v>46326</v>
      </c>
      <c r="F4576" t="inlineStr">
        <is>
          <t>GÄVLEBORGS LÄN</t>
        </is>
      </c>
      <c r="G4576" t="inlineStr">
        <is>
          <t>BOLLNÄS</t>
        </is>
      </c>
      <c r="I4576" t="n">
        <v>3.2</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54650-2025</t>
        </is>
      </c>
      <c r="B4577" t="inlineStr">
        <is>
          <t>avverkningsanmälan</t>
        </is>
      </c>
      <c r="C4577" t="inlineStr">
        <is>
          <t>Föryngringsavverkning</t>
        </is>
      </c>
      <c r="D4577" s="1" t="n">
        <v>45966</v>
      </c>
      <c r="E4577" s="1" t="n">
        <v>46326</v>
      </c>
      <c r="F4577" t="inlineStr">
        <is>
          <t>GÄVLEBORGS LÄN</t>
        </is>
      </c>
      <c r="G4577" t="inlineStr">
        <is>
          <t>SÖDERHAMN</t>
        </is>
      </c>
      <c r="I4577" t="n">
        <v>0.9</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55432-2025</t>
        </is>
      </c>
      <c r="B4578" t="inlineStr">
        <is>
          <t>avverkningsanmälan</t>
        </is>
      </c>
      <c r="C4578" t="inlineStr">
        <is>
          <t>Föryngringsavverkning</t>
        </is>
      </c>
      <c r="D4578" s="1" t="n">
        <v>45971</v>
      </c>
      <c r="E4578" s="1" t="n">
        <v>46326</v>
      </c>
      <c r="F4578" t="inlineStr">
        <is>
          <t>GÄVLEBORGS LÄN</t>
        </is>
      </c>
      <c r="G4578" t="inlineStr">
        <is>
          <t>GÄVLE</t>
        </is>
      </c>
      <c r="I4578" t="n">
        <v>0.5</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10346-2026</t>
        </is>
      </c>
      <c r="B4579" t="inlineStr">
        <is>
          <t>avverkningsanmälan</t>
        </is>
      </c>
      <c r="C4579" t="inlineStr">
        <is>
          <t>Föryngringsavverkning</t>
        </is>
      </c>
      <c r="D4579" s="1" t="n">
        <v>46076</v>
      </c>
      <c r="E4579" s="1" t="n">
        <v>46326</v>
      </c>
      <c r="F4579" t="inlineStr">
        <is>
          <t>GÄVLEBORGS LÄN</t>
        </is>
      </c>
      <c r="G4579" t="inlineStr">
        <is>
          <t>SANDVIKEN</t>
        </is>
      </c>
      <c r="H4579" t="inlineStr">
        <is>
          <t>Kommuner</t>
        </is>
      </c>
      <c r="I4579" t="n">
        <v>5</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10529-2026</t>
        </is>
      </c>
      <c r="B4580" t="inlineStr">
        <is>
          <t>avverkningsanmälan</t>
        </is>
      </c>
      <c r="C4580" t="inlineStr">
        <is>
          <t>Föryngringsavverkning</t>
        </is>
      </c>
      <c r="D4580" s="1" t="n">
        <v>46077</v>
      </c>
      <c r="E4580" s="1" t="n">
        <v>46326</v>
      </c>
      <c r="F4580" t="inlineStr">
        <is>
          <t>GÄVLEBORGS LÄN</t>
        </is>
      </c>
      <c r="G4580" t="inlineStr">
        <is>
          <t>OCKELBO</t>
        </is>
      </c>
      <c r="H4580" t="inlineStr">
        <is>
          <t>Bergvik skog öst AB</t>
        </is>
      </c>
      <c r="I4580" t="n">
        <v>5.9</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55453-2025</t>
        </is>
      </c>
      <c r="B4581" t="inlineStr">
        <is>
          <t>avverkningsanmälan</t>
        </is>
      </c>
      <c r="C4581" t="inlineStr">
        <is>
          <t>Föryngringsavverkning</t>
        </is>
      </c>
      <c r="D4581" s="1" t="n">
        <v>45971</v>
      </c>
      <c r="E4581" s="1" t="n">
        <v>46326</v>
      </c>
      <c r="F4581" t="inlineStr">
        <is>
          <t>GÄVLEBORGS LÄN</t>
        </is>
      </c>
      <c r="G4581" t="inlineStr">
        <is>
          <t>NORDANSTIG</t>
        </is>
      </c>
      <c r="H4581" t="inlineStr">
        <is>
          <t>Holmen skog AB</t>
        </is>
      </c>
      <c r="I4581" t="n">
        <v>5.6</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55460-2025</t>
        </is>
      </c>
      <c r="B4582" t="inlineStr">
        <is>
          <t>avverkningsanmälan</t>
        </is>
      </c>
      <c r="C4582" t="inlineStr">
        <is>
          <t>Föryngringsavverkning</t>
        </is>
      </c>
      <c r="D4582" s="1" t="n">
        <v>45971</v>
      </c>
      <c r="E4582" s="1" t="n">
        <v>46326</v>
      </c>
      <c r="F4582" t="inlineStr">
        <is>
          <t>GÄVLEBORGS LÄN</t>
        </is>
      </c>
      <c r="G4582" t="inlineStr">
        <is>
          <t>NORDANSTIG</t>
        </is>
      </c>
      <c r="H4582" t="inlineStr">
        <is>
          <t>Holmen skog AB</t>
        </is>
      </c>
      <c r="I4582" t="n">
        <v>3.3</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55330-2025</t>
        </is>
      </c>
      <c r="B4583" t="inlineStr">
        <is>
          <t>avverkningsanmälan</t>
        </is>
      </c>
      <c r="C4583" t="inlineStr">
        <is>
          <t>Föryngringsavverkning</t>
        </is>
      </c>
      <c r="D4583" s="1" t="n">
        <v>45971</v>
      </c>
      <c r="E4583" s="1" t="n">
        <v>46326</v>
      </c>
      <c r="F4583" t="inlineStr">
        <is>
          <t>GÄVLEBORGS LÄN</t>
        </is>
      </c>
      <c r="G4583" t="inlineStr">
        <is>
          <t>HUDIKSVALL</t>
        </is>
      </c>
      <c r="H4583" t="inlineStr">
        <is>
          <t>Holmen skog AB</t>
        </is>
      </c>
      <c r="I4583" t="n">
        <v>2.9</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55481-2025</t>
        </is>
      </c>
      <c r="B4584" t="inlineStr">
        <is>
          <t>avverkningsanmälan</t>
        </is>
      </c>
      <c r="C4584" t="inlineStr">
        <is>
          <t>Föryngringsavverkning</t>
        </is>
      </c>
      <c r="D4584" s="1" t="n">
        <v>45971</v>
      </c>
      <c r="E4584" s="1" t="n">
        <v>46326</v>
      </c>
      <c r="F4584" t="inlineStr">
        <is>
          <t>GÄVLEBORGS LÄN</t>
        </is>
      </c>
      <c r="G4584" t="inlineStr">
        <is>
          <t>HUDIKSVALL</t>
        </is>
      </c>
      <c r="H4584" t="inlineStr">
        <is>
          <t>Holmen skog AB</t>
        </is>
      </c>
      <c r="I4584" t="n">
        <v>4</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32062-2023</t>
        </is>
      </c>
      <c r="B4585" t="inlineStr">
        <is>
          <t>avverkningsanmälan</t>
        </is>
      </c>
      <c r="C4585" t="inlineStr">
        <is>
          <t>Föryngringsavverkning</t>
        </is>
      </c>
      <c r="D4585" s="1" t="n">
        <v>45119</v>
      </c>
      <c r="E4585" s="1" t="n">
        <v>46326</v>
      </c>
      <c r="F4585" t="inlineStr">
        <is>
          <t>GÄVLEBORGS LÄN</t>
        </is>
      </c>
      <c r="G4585" t="inlineStr">
        <is>
          <t>BOLLNÄS</t>
        </is>
      </c>
      <c r="I4585" t="n">
        <v>1.5</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55494-2025</t>
        </is>
      </c>
      <c r="B4586" t="inlineStr">
        <is>
          <t>avverkningsanmälan</t>
        </is>
      </c>
      <c r="C4586" t="inlineStr">
        <is>
          <t>Föryngringsavverkning</t>
        </is>
      </c>
      <c r="D4586" s="1" t="n">
        <v>45971</v>
      </c>
      <c r="E4586" s="1" t="n">
        <v>46326</v>
      </c>
      <c r="F4586" t="inlineStr">
        <is>
          <t>GÄVLEBORGS LÄN</t>
        </is>
      </c>
      <c r="G4586" t="inlineStr">
        <is>
          <t>OVANÅKER</t>
        </is>
      </c>
      <c r="I4586" t="n">
        <v>6.4</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55288-2025</t>
        </is>
      </c>
      <c r="B4587" t="inlineStr">
        <is>
          <t>avverkningsanmälan</t>
        </is>
      </c>
      <c r="C4587" t="inlineStr">
        <is>
          <t>Föryngringsavverkning</t>
        </is>
      </c>
      <c r="D4587" s="1" t="n">
        <v>45969</v>
      </c>
      <c r="E4587" s="1" t="n">
        <v>46326</v>
      </c>
      <c r="F4587" t="inlineStr">
        <is>
          <t>GÄVLEBORGS LÄN</t>
        </is>
      </c>
      <c r="G4587" t="inlineStr">
        <is>
          <t>HOFORS</t>
        </is>
      </c>
      <c r="I4587" t="n">
        <v>2.6</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55501-2025</t>
        </is>
      </c>
      <c r="B4588" t="inlineStr">
        <is>
          <t>avverkningsanmälan</t>
        </is>
      </c>
      <c r="C4588" t="inlineStr">
        <is>
          <t>Föryngringsavverkning</t>
        </is>
      </c>
      <c r="D4588" s="1" t="n">
        <v>45971</v>
      </c>
      <c r="E4588" s="1" t="n">
        <v>46326</v>
      </c>
      <c r="F4588" t="inlineStr">
        <is>
          <t>GÄVLEBORGS LÄN</t>
        </is>
      </c>
      <c r="G4588" t="inlineStr">
        <is>
          <t>LJUSDAL</t>
        </is>
      </c>
      <c r="I4588" t="n">
        <v>4.1</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32143-2024</t>
        </is>
      </c>
      <c r="B4589" t="inlineStr">
        <is>
          <t>avverkningsanmälan</t>
        </is>
      </c>
      <c r="C4589" t="inlineStr">
        <is>
          <t>Föryngringsavverkning</t>
        </is>
      </c>
      <c r="D4589" s="1" t="n">
        <v>45511</v>
      </c>
      <c r="E4589" s="1" t="n">
        <v>46326</v>
      </c>
      <c r="F4589" t="inlineStr">
        <is>
          <t>GÄVLEBORGS LÄN</t>
        </is>
      </c>
      <c r="G4589" t="inlineStr">
        <is>
          <t>GÄVLE</t>
        </is>
      </c>
      <c r="H4589" t="inlineStr">
        <is>
          <t>Bergvik skog väst AB</t>
        </is>
      </c>
      <c r="I4589" t="n">
        <v>1.5</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32632-2024</t>
        </is>
      </c>
      <c r="B4590" t="inlineStr">
        <is>
          <t>avverkningsanmälan</t>
        </is>
      </c>
      <c r="C4590" t="inlineStr">
        <is>
          <t>Föryngringsavverkning</t>
        </is>
      </c>
      <c r="D4590" s="1" t="n">
        <v>45513</v>
      </c>
      <c r="E4590" s="1" t="n">
        <v>46326</v>
      </c>
      <c r="F4590" t="inlineStr">
        <is>
          <t>GÄVLEBORGS LÄN</t>
        </is>
      </c>
      <c r="G4590" t="inlineStr">
        <is>
          <t>HUDIKSVALL</t>
        </is>
      </c>
      <c r="H4590" t="inlineStr">
        <is>
          <t>Holmen skog AB</t>
        </is>
      </c>
      <c r="I4590" t="n">
        <v>6.6</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55374-2025</t>
        </is>
      </c>
      <c r="B4591" t="inlineStr">
        <is>
          <t>avverkningsanmälan</t>
        </is>
      </c>
      <c r="C4591" t="inlineStr">
        <is>
          <t>Föryngringsavverkning</t>
        </is>
      </c>
      <c r="D4591" s="1" t="n">
        <v>45971</v>
      </c>
      <c r="E4591" s="1" t="n">
        <v>46326</v>
      </c>
      <c r="F4591" t="inlineStr">
        <is>
          <t>GÄVLEBORGS LÄN</t>
        </is>
      </c>
      <c r="G4591" t="inlineStr">
        <is>
          <t>LJUSDAL</t>
        </is>
      </c>
      <c r="I4591" t="n">
        <v>4.4</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55404-2025</t>
        </is>
      </c>
      <c r="B4592" t="inlineStr">
        <is>
          <t>avverkningsanmälan</t>
        </is>
      </c>
      <c r="C4592" t="inlineStr">
        <is>
          <t>Föryngringsavverkning</t>
        </is>
      </c>
      <c r="D4592" s="1" t="n">
        <v>45971</v>
      </c>
      <c r="E4592" s="1" t="n">
        <v>46326</v>
      </c>
      <c r="F4592" t="inlineStr">
        <is>
          <t>GÄVLEBORGS LÄN</t>
        </is>
      </c>
      <c r="G4592" t="inlineStr">
        <is>
          <t>HUDIKSVALL</t>
        </is>
      </c>
      <c r="H4592" t="inlineStr">
        <is>
          <t>Holmen skog AB</t>
        </is>
      </c>
      <c r="I4592" t="n">
        <v>0.8</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16360-2025</t>
        </is>
      </c>
      <c r="B4593" t="inlineStr">
        <is>
          <t>avverkningsanmälan</t>
        </is>
      </c>
      <c r="C4593" t="inlineStr">
        <is>
          <t>Föryngringsavverkning</t>
        </is>
      </c>
      <c r="D4593" s="1" t="n">
        <v>45751</v>
      </c>
      <c r="E4593" s="1" t="n">
        <v>46326</v>
      </c>
      <c r="F4593" t="inlineStr">
        <is>
          <t>GÄVLEBORGS LÄN</t>
        </is>
      </c>
      <c r="G4593" t="inlineStr">
        <is>
          <t>OVANÅKER</t>
        </is>
      </c>
      <c r="H4593" t="inlineStr">
        <is>
          <t>Bergvik skog öst AB</t>
        </is>
      </c>
      <c r="I4593" t="n">
        <v>0.9</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55470-2025</t>
        </is>
      </c>
      <c r="B4594" t="inlineStr">
        <is>
          <t>avverkningsanmälan</t>
        </is>
      </c>
      <c r="C4594" t="inlineStr">
        <is>
          <t>Föryngringsavverkning</t>
        </is>
      </c>
      <c r="D4594" s="1" t="n">
        <v>45971</v>
      </c>
      <c r="E4594" s="1" t="n">
        <v>46326</v>
      </c>
      <c r="F4594" t="inlineStr">
        <is>
          <t>GÄVLEBORGS LÄN</t>
        </is>
      </c>
      <c r="G4594" t="inlineStr">
        <is>
          <t>OVANÅKER</t>
        </is>
      </c>
      <c r="I4594" t="n">
        <v>2.5</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10374-2026</t>
        </is>
      </c>
      <c r="B4595" t="inlineStr">
        <is>
          <t>avverkningsanmälan</t>
        </is>
      </c>
      <c r="C4595" t="inlineStr">
        <is>
          <t>Föryngringsavverkning</t>
        </is>
      </c>
      <c r="D4595" s="1" t="n">
        <v>46076</v>
      </c>
      <c r="E4595" s="1" t="n">
        <v>46326</v>
      </c>
      <c r="F4595" t="inlineStr">
        <is>
          <t>GÄVLEBORGS LÄN</t>
        </is>
      </c>
      <c r="G4595" t="inlineStr">
        <is>
          <t>HUDIKSVALL</t>
        </is>
      </c>
      <c r="H4595" t="inlineStr">
        <is>
          <t>Holmen skog AB</t>
        </is>
      </c>
      <c r="I4595" t="n">
        <v>1.7</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55373-2025</t>
        </is>
      </c>
      <c r="B4596" t="inlineStr">
        <is>
          <t>avverkningsanmälan</t>
        </is>
      </c>
      <c r="C4596" t="inlineStr">
        <is>
          <t>Föryngringsavverkning</t>
        </is>
      </c>
      <c r="D4596" s="1" t="n">
        <v>45971</v>
      </c>
      <c r="E4596" s="1" t="n">
        <v>46326</v>
      </c>
      <c r="F4596" t="inlineStr">
        <is>
          <t>GÄVLEBORGS LÄN</t>
        </is>
      </c>
      <c r="G4596" t="inlineStr">
        <is>
          <t>LJUSDAL</t>
        </is>
      </c>
      <c r="I4596" t="n">
        <v>1.5</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55375-2025</t>
        </is>
      </c>
      <c r="B4597" t="inlineStr">
        <is>
          <t>avverkningsanmälan</t>
        </is>
      </c>
      <c r="C4597" t="inlineStr">
        <is>
          <t>Föryngringsavverkning</t>
        </is>
      </c>
      <c r="D4597" s="1" t="n">
        <v>45971</v>
      </c>
      <c r="E4597" s="1" t="n">
        <v>46326</v>
      </c>
      <c r="F4597" t="inlineStr">
        <is>
          <t>GÄVLEBORGS LÄN</t>
        </is>
      </c>
      <c r="G4597" t="inlineStr">
        <is>
          <t>HUDIKSVALL</t>
        </is>
      </c>
      <c r="H4597" t="inlineStr">
        <is>
          <t>Holmen skog AB</t>
        </is>
      </c>
      <c r="I4597" t="n">
        <v>2.4</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10454-2026</t>
        </is>
      </c>
      <c r="B4598" t="inlineStr">
        <is>
          <t>avverkningsanmälan</t>
        </is>
      </c>
      <c r="C4598" t="inlineStr">
        <is>
          <t>Föryngringsavverkning</t>
        </is>
      </c>
      <c r="D4598" s="1" t="n">
        <v>46077</v>
      </c>
      <c r="E4598" s="1" t="n">
        <v>46326</v>
      </c>
      <c r="F4598" t="inlineStr">
        <is>
          <t>GÄVLEBORGS LÄN</t>
        </is>
      </c>
      <c r="G4598" t="inlineStr">
        <is>
          <t>OCKELBO</t>
        </is>
      </c>
      <c r="H4598" t="inlineStr">
        <is>
          <t>Bergvik skog väst AB</t>
        </is>
      </c>
      <c r="I4598" t="n">
        <v>10.1</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10456-2026</t>
        </is>
      </c>
      <c r="B4599" t="inlineStr">
        <is>
          <t>avverkningsanmälan</t>
        </is>
      </c>
      <c r="C4599" t="inlineStr">
        <is>
          <t>Föryngringsavverkning</t>
        </is>
      </c>
      <c r="D4599" s="1" t="n">
        <v>46077</v>
      </c>
      <c r="E4599" s="1" t="n">
        <v>46326</v>
      </c>
      <c r="F4599" t="inlineStr">
        <is>
          <t>GÄVLEBORGS LÄN</t>
        </is>
      </c>
      <c r="G4599" t="inlineStr">
        <is>
          <t>OCKELBO</t>
        </is>
      </c>
      <c r="H4599" t="inlineStr">
        <is>
          <t>Bergvik skog öst AB</t>
        </is>
      </c>
      <c r="I4599" t="n">
        <v>45.7</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1293-2026</t>
        </is>
      </c>
      <c r="B4600" t="inlineStr">
        <is>
          <t>avverkningsanmälan</t>
        </is>
      </c>
      <c r="C4600" t="inlineStr">
        <is>
          <t>Föryngringsavverkning</t>
        </is>
      </c>
      <c r="D4600" s="1" t="n">
        <v>46031</v>
      </c>
      <c r="E4600" s="1" t="n">
        <v>46326</v>
      </c>
      <c r="F4600" t="inlineStr">
        <is>
          <t>GÄVLEBORGS LÄN</t>
        </is>
      </c>
      <c r="G4600" t="inlineStr">
        <is>
          <t>OCKELBO</t>
        </is>
      </c>
      <c r="I4600" t="n">
        <v>0.5</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15646-2022</t>
        </is>
      </c>
      <c r="B4601" t="inlineStr">
        <is>
          <t>avverkningsanmälan</t>
        </is>
      </c>
      <c r="C4601" t="inlineStr">
        <is>
          <t>Föryngringsavverkning</t>
        </is>
      </c>
      <c r="D4601" s="1" t="n">
        <v>44662</v>
      </c>
      <c r="E4601" s="1" t="n">
        <v>46326</v>
      </c>
      <c r="F4601" t="inlineStr">
        <is>
          <t>GÄVLEBORGS LÄN</t>
        </is>
      </c>
      <c r="G4601" t="inlineStr">
        <is>
          <t>SÖDERHAMN</t>
        </is>
      </c>
      <c r="I4601" t="n">
        <v>7.6</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55595-2025</t>
        </is>
      </c>
      <c r="B4602" t="inlineStr">
        <is>
          <t>avverkningsanmälan</t>
        </is>
      </c>
      <c r="C4602" t="inlineStr">
        <is>
          <t>Föryngringsavverkning</t>
        </is>
      </c>
      <c r="D4602" s="1" t="n">
        <v>45971</v>
      </c>
      <c r="E4602" s="1" t="n">
        <v>46326</v>
      </c>
      <c r="F4602" t="inlineStr">
        <is>
          <t>GÄVLEBORGS LÄN</t>
        </is>
      </c>
      <c r="G4602" t="inlineStr">
        <is>
          <t>SANDVIKEN</t>
        </is>
      </c>
      <c r="I4602" t="n">
        <v>5</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55355-2025</t>
        </is>
      </c>
      <c r="B4603" t="inlineStr">
        <is>
          <t>avverkningsanmälan</t>
        </is>
      </c>
      <c r="C4603" t="inlineStr">
        <is>
          <t>Föryngringsavverkning</t>
        </is>
      </c>
      <c r="D4603" s="1" t="n">
        <v>45971</v>
      </c>
      <c r="E4603" s="1" t="n">
        <v>46326</v>
      </c>
      <c r="F4603" t="inlineStr">
        <is>
          <t>GÄVLEBORGS LÄN</t>
        </is>
      </c>
      <c r="G4603" t="inlineStr">
        <is>
          <t>SANDVIKEN</t>
        </is>
      </c>
      <c r="H4603" t="inlineStr">
        <is>
          <t>Sveaskog</t>
        </is>
      </c>
      <c r="I4603" t="n">
        <v>2</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55085-2025</t>
        </is>
      </c>
      <c r="B4604" t="inlineStr">
        <is>
          <t>avverkningsanmälan</t>
        </is>
      </c>
      <c r="C4604" t="inlineStr">
        <is>
          <t>Föryngringsavverkning</t>
        </is>
      </c>
      <c r="D4604" s="1" t="n">
        <v>45968</v>
      </c>
      <c r="E4604" s="1" t="n">
        <v>46326</v>
      </c>
      <c r="F4604" t="inlineStr">
        <is>
          <t>GÄVLEBORGS LÄN</t>
        </is>
      </c>
      <c r="G4604" t="inlineStr">
        <is>
          <t>LJUSDAL</t>
        </is>
      </c>
      <c r="I4604" t="n">
        <v>2.7</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55180-2025</t>
        </is>
      </c>
      <c r="B4605" t="inlineStr">
        <is>
          <t>avverkningsanmälan</t>
        </is>
      </c>
      <c r="C4605" t="inlineStr">
        <is>
          <t>Föryngringsavverkning</t>
        </is>
      </c>
      <c r="D4605" s="1" t="n">
        <v>45968</v>
      </c>
      <c r="E4605" s="1" t="n">
        <v>46326</v>
      </c>
      <c r="F4605" t="inlineStr">
        <is>
          <t>GÄVLEBORGS LÄN</t>
        </is>
      </c>
      <c r="G4605" t="inlineStr">
        <is>
          <t>LJUSDAL</t>
        </is>
      </c>
      <c r="H4605" t="inlineStr">
        <is>
          <t>Holmen skog AB</t>
        </is>
      </c>
      <c r="I4605" t="n">
        <v>4.5</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10724-2026</t>
        </is>
      </c>
      <c r="B4606" t="inlineStr">
        <is>
          <t>avverkningsanmälan</t>
        </is>
      </c>
      <c r="C4606" t="inlineStr">
        <is>
          <t>Föryngringsavverkning</t>
        </is>
      </c>
      <c r="D4606" s="1" t="n">
        <v>46078</v>
      </c>
      <c r="E4606" s="1" t="n">
        <v>46326</v>
      </c>
      <c r="F4606" t="inlineStr">
        <is>
          <t>GÄVLEBORGS LÄN</t>
        </is>
      </c>
      <c r="G4606" t="inlineStr">
        <is>
          <t>BOLLNÄS</t>
        </is>
      </c>
      <c r="I4606" t="n">
        <v>2.7</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10810-2026</t>
        </is>
      </c>
      <c r="B4607" t="inlineStr">
        <is>
          <t>avverkningsanmälan</t>
        </is>
      </c>
      <c r="C4607" t="inlineStr">
        <is>
          <t>Föryngringsavverkning</t>
        </is>
      </c>
      <c r="D4607" s="1" t="n">
        <v>46078</v>
      </c>
      <c r="E4607" s="1" t="n">
        <v>46326</v>
      </c>
      <c r="F4607" t="inlineStr">
        <is>
          <t>GÄVLEBORGS LÄN</t>
        </is>
      </c>
      <c r="G4607" t="inlineStr">
        <is>
          <t>BOLLNÄS</t>
        </is>
      </c>
      <c r="I4607" t="n">
        <v>4.9</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15417-2025</t>
        </is>
      </c>
      <c r="B4608" t="inlineStr">
        <is>
          <t>avverkningsanmälan</t>
        </is>
      </c>
      <c r="C4608" t="inlineStr">
        <is>
          <t>Föryngringsavverkning</t>
        </is>
      </c>
      <c r="D4608" s="1" t="n">
        <v>45747</v>
      </c>
      <c r="E4608" s="1" t="n">
        <v>46326</v>
      </c>
      <c r="F4608" t="inlineStr">
        <is>
          <t>GÄVLEBORGS LÄN</t>
        </is>
      </c>
      <c r="G4608" t="inlineStr">
        <is>
          <t>SÖDERHAMN</t>
        </is>
      </c>
      <c r="I4608" t="n">
        <v>11.2</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10830-2026</t>
        </is>
      </c>
      <c r="B4609" t="inlineStr">
        <is>
          <t>avverkningsanmälan</t>
        </is>
      </c>
      <c r="C4609" t="inlineStr">
        <is>
          <t>Föryngringsavverkning</t>
        </is>
      </c>
      <c r="D4609" s="1" t="n">
        <v>46078</v>
      </c>
      <c r="E4609" s="1" t="n">
        <v>46326</v>
      </c>
      <c r="F4609" t="inlineStr">
        <is>
          <t>GÄVLEBORGS LÄN</t>
        </is>
      </c>
      <c r="G4609" t="inlineStr">
        <is>
          <t>BOLLNÄS</t>
        </is>
      </c>
      <c r="I4609" t="n">
        <v>1.9</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57570-2024</t>
        </is>
      </c>
      <c r="B4610" t="inlineStr">
        <is>
          <t>avverkningsanmälan</t>
        </is>
      </c>
      <c r="C4610" t="inlineStr">
        <is>
          <t>Föryngringsavverkning</t>
        </is>
      </c>
      <c r="D4610" s="1" t="n">
        <v>45630</v>
      </c>
      <c r="E4610" s="1" t="n">
        <v>46326</v>
      </c>
      <c r="F4610" t="inlineStr">
        <is>
          <t>GÄVLEBORGS LÄN</t>
        </is>
      </c>
      <c r="G4610" t="inlineStr">
        <is>
          <t>GÄVLE</t>
        </is>
      </c>
      <c r="I4610" t="n">
        <v>0.6</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55232-2025</t>
        </is>
      </c>
      <c r="B4611" t="inlineStr">
        <is>
          <t>avverkningsanmälan</t>
        </is>
      </c>
      <c r="C4611" t="inlineStr">
        <is>
          <t>Föryngringsavverkning</t>
        </is>
      </c>
      <c r="D4611" s="1" t="n">
        <v>45968</v>
      </c>
      <c r="E4611" s="1" t="n">
        <v>46326</v>
      </c>
      <c r="F4611" t="inlineStr">
        <is>
          <t>GÄVLEBORGS LÄN</t>
        </is>
      </c>
      <c r="G4611" t="inlineStr">
        <is>
          <t>OVANÅKER</t>
        </is>
      </c>
      <c r="I4611" t="n">
        <v>2.5</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55245-2025</t>
        </is>
      </c>
      <c r="B4612" t="inlineStr">
        <is>
          <t>avverkningsanmälan</t>
        </is>
      </c>
      <c r="C4612" t="inlineStr">
        <is>
          <t>Föryngringsavverkning</t>
        </is>
      </c>
      <c r="D4612" s="1" t="n">
        <v>45968</v>
      </c>
      <c r="E4612" s="1" t="n">
        <v>46326</v>
      </c>
      <c r="F4612" t="inlineStr">
        <is>
          <t>GÄVLEBORGS LÄN</t>
        </is>
      </c>
      <c r="G4612" t="inlineStr">
        <is>
          <t>OVANÅKER</t>
        </is>
      </c>
      <c r="I4612" t="n">
        <v>2.2</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10839-2026</t>
        </is>
      </c>
      <c r="B4613" t="inlineStr">
        <is>
          <t>avverkningsanmälan</t>
        </is>
      </c>
      <c r="C4613" t="inlineStr">
        <is>
          <t>Föryngringsavverkning</t>
        </is>
      </c>
      <c r="D4613" s="1" t="n">
        <v>46078</v>
      </c>
      <c r="E4613" s="1" t="n">
        <v>46326</v>
      </c>
      <c r="F4613" t="inlineStr">
        <is>
          <t>GÄVLEBORGS LÄN</t>
        </is>
      </c>
      <c r="G4613" t="inlineStr">
        <is>
          <t>HUDIKSVALL</t>
        </is>
      </c>
      <c r="H4613" t="inlineStr">
        <is>
          <t>Holmen skog AB</t>
        </is>
      </c>
      <c r="I4613" t="n">
        <v>5.4</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10159-2026</t>
        </is>
      </c>
      <c r="B4614" t="inlineStr">
        <is>
          <t>avverkningsanmälan</t>
        </is>
      </c>
      <c r="C4614" t="inlineStr">
        <is>
          <t>Föryngringsavverkning</t>
        </is>
      </c>
      <c r="D4614" s="1" t="n">
        <v>46076</v>
      </c>
      <c r="E4614" s="1" t="n">
        <v>46326</v>
      </c>
      <c r="F4614" t="inlineStr">
        <is>
          <t>GÄVLEBORGS LÄN</t>
        </is>
      </c>
      <c r="G4614" t="inlineStr">
        <is>
          <t>OCKELBO</t>
        </is>
      </c>
      <c r="H4614" t="inlineStr">
        <is>
          <t>Bergvik skog väst AB</t>
        </is>
      </c>
      <c r="I4614" t="n">
        <v>12.1</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10167-2026</t>
        </is>
      </c>
      <c r="B4615" t="inlineStr">
        <is>
          <t>avverkningsanmälan</t>
        </is>
      </c>
      <c r="C4615" t="inlineStr">
        <is>
          <t>Föryngringsavverkning</t>
        </is>
      </c>
      <c r="D4615" s="1" t="n">
        <v>46076</v>
      </c>
      <c r="E4615" s="1" t="n">
        <v>46326</v>
      </c>
      <c r="F4615" t="inlineStr">
        <is>
          <t>GÄVLEBORGS LÄN</t>
        </is>
      </c>
      <c r="G4615" t="inlineStr">
        <is>
          <t>SÖDERHAMN</t>
        </is>
      </c>
      <c r="I4615" t="n">
        <v>0.8</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10535-2026</t>
        </is>
      </c>
      <c r="B4616" t="inlineStr">
        <is>
          <t>avverkningsanmälan</t>
        </is>
      </c>
      <c r="C4616" t="inlineStr">
        <is>
          <t>Föryngringsavverkning</t>
        </is>
      </c>
      <c r="D4616" s="1" t="n">
        <v>46077</v>
      </c>
      <c r="E4616" s="1" t="n">
        <v>46326</v>
      </c>
      <c r="F4616" t="inlineStr">
        <is>
          <t>GÄVLEBORGS LÄN</t>
        </is>
      </c>
      <c r="G4616" t="inlineStr">
        <is>
          <t>OCKELBO</t>
        </is>
      </c>
      <c r="H4616" t="inlineStr">
        <is>
          <t>Bergvik skog öst AB</t>
        </is>
      </c>
      <c r="I4616" t="n">
        <v>6.2</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55089-2025</t>
        </is>
      </c>
      <c r="B4617" t="inlineStr">
        <is>
          <t>avverkningsanmälan</t>
        </is>
      </c>
      <c r="C4617" t="inlineStr">
        <is>
          <t>Föryngringsavverkning</t>
        </is>
      </c>
      <c r="D4617" s="1" t="n">
        <v>45968</v>
      </c>
      <c r="E4617" s="1" t="n">
        <v>46326</v>
      </c>
      <c r="F4617" t="inlineStr">
        <is>
          <t>GÄVLEBORGS LÄN</t>
        </is>
      </c>
      <c r="G4617" t="inlineStr">
        <is>
          <t>LJUSDAL</t>
        </is>
      </c>
      <c r="I4617" t="n">
        <v>1.6</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9883-2026</t>
        </is>
      </c>
      <c r="B4618" t="inlineStr">
        <is>
          <t>avverkningsanmälan</t>
        </is>
      </c>
      <c r="C4618" t="inlineStr">
        <is>
          <t>Föryngringsavverkning</t>
        </is>
      </c>
      <c r="D4618" s="1" t="n">
        <v>46073</v>
      </c>
      <c r="E4618" s="1" t="n">
        <v>46326</v>
      </c>
      <c r="F4618" t="inlineStr">
        <is>
          <t>GÄVLEBORGS LÄN</t>
        </is>
      </c>
      <c r="G4618" t="inlineStr">
        <is>
          <t>NORDANSTIG</t>
        </is>
      </c>
      <c r="I4618" t="n">
        <v>1.7</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10664-2026</t>
        </is>
      </c>
      <c r="B4619" t="inlineStr">
        <is>
          <t>avverkningsanmälan</t>
        </is>
      </c>
      <c r="C4619" t="inlineStr">
        <is>
          <t>Föryngringsavverkning</t>
        </is>
      </c>
      <c r="D4619" s="1" t="n">
        <v>46078</v>
      </c>
      <c r="E4619" s="1" t="n">
        <v>46326</v>
      </c>
      <c r="F4619" t="inlineStr">
        <is>
          <t>GÄVLEBORGS LÄN</t>
        </is>
      </c>
      <c r="G4619" t="inlineStr">
        <is>
          <t>LJUSDAL</t>
        </is>
      </c>
      <c r="I4619" t="n">
        <v>0.6</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10171-2026</t>
        </is>
      </c>
      <c r="B4620" t="inlineStr">
        <is>
          <t>avverkningsanmälan</t>
        </is>
      </c>
      <c r="C4620" t="inlineStr">
        <is>
          <t>Föryngringsavverkning</t>
        </is>
      </c>
      <c r="D4620" s="1" t="n">
        <v>46076</v>
      </c>
      <c r="E4620" s="1" t="n">
        <v>46326</v>
      </c>
      <c r="F4620" t="inlineStr">
        <is>
          <t>GÄVLEBORGS LÄN</t>
        </is>
      </c>
      <c r="G4620" t="inlineStr">
        <is>
          <t>OVANÅKER</t>
        </is>
      </c>
      <c r="I4620" t="n">
        <v>7.6</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55287-2025</t>
        </is>
      </c>
      <c r="B4621" t="inlineStr">
        <is>
          <t>avverkningsanmälan</t>
        </is>
      </c>
      <c r="C4621" t="inlineStr">
        <is>
          <t>Föryngringsavverkning</t>
        </is>
      </c>
      <c r="D4621" s="1" t="n">
        <v>45969</v>
      </c>
      <c r="E4621" s="1" t="n">
        <v>46326</v>
      </c>
      <c r="F4621" t="inlineStr">
        <is>
          <t>GÄVLEBORGS LÄN</t>
        </is>
      </c>
      <c r="G4621" t="inlineStr">
        <is>
          <t>HOFORS</t>
        </is>
      </c>
      <c r="I4621" t="n">
        <v>2.7</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3679-2022</t>
        </is>
      </c>
      <c r="B4622" t="inlineStr">
        <is>
          <t>avverkningsanmälan</t>
        </is>
      </c>
      <c r="C4622" t="inlineStr">
        <is>
          <t>Föryngringsavverkning</t>
        </is>
      </c>
      <c r="D4622" s="1" t="n">
        <v>44586</v>
      </c>
      <c r="E4622" s="1" t="n">
        <v>46326</v>
      </c>
      <c r="F4622" t="inlineStr">
        <is>
          <t>GÄVLEBORGS LÄN</t>
        </is>
      </c>
      <c r="G4622" t="inlineStr">
        <is>
          <t>SANDVIKEN</t>
        </is>
      </c>
      <c r="I4622" t="n">
        <v>2.9</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55072-2025</t>
        </is>
      </c>
      <c r="B4623" t="inlineStr">
        <is>
          <t>avverkningsanmälan</t>
        </is>
      </c>
      <c r="C4623" t="inlineStr">
        <is>
          <t>Föryngringsavverkning</t>
        </is>
      </c>
      <c r="D4623" s="1" t="n">
        <v>45967</v>
      </c>
      <c r="E4623" s="1" t="n">
        <v>46326</v>
      </c>
      <c r="F4623" t="inlineStr">
        <is>
          <t>GÄVLEBORGS LÄN</t>
        </is>
      </c>
      <c r="G4623" t="inlineStr">
        <is>
          <t>HUDIKSVALL</t>
        </is>
      </c>
      <c r="I4623" t="n">
        <v>1.4</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55099-2025</t>
        </is>
      </c>
      <c r="B4624" t="inlineStr">
        <is>
          <t>avverkningsanmälan</t>
        </is>
      </c>
      <c r="C4624" t="inlineStr">
        <is>
          <t>Föryngringsavverkning</t>
        </is>
      </c>
      <c r="D4624" s="1" t="n">
        <v>45968</v>
      </c>
      <c r="E4624" s="1" t="n">
        <v>46326</v>
      </c>
      <c r="F4624" t="inlineStr">
        <is>
          <t>GÄVLEBORGS LÄN</t>
        </is>
      </c>
      <c r="G4624" t="inlineStr">
        <is>
          <t>SANDVIKEN</t>
        </is>
      </c>
      <c r="I4624" t="n">
        <v>0.6</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55340-2025</t>
        </is>
      </c>
      <c r="B4625" t="inlineStr">
        <is>
          <t>avverkningsanmälan</t>
        </is>
      </c>
      <c r="C4625" t="inlineStr">
        <is>
          <t>Föryngringsavverkning</t>
        </is>
      </c>
      <c r="D4625" s="1" t="n">
        <v>45971</v>
      </c>
      <c r="E4625" s="1" t="n">
        <v>46326</v>
      </c>
      <c r="F4625" t="inlineStr">
        <is>
          <t>GÄVLEBORGS LÄN</t>
        </is>
      </c>
      <c r="G4625" t="inlineStr">
        <is>
          <t>HUDIKSVALL</t>
        </is>
      </c>
      <c r="H4625" t="inlineStr">
        <is>
          <t>Holmen skog AB</t>
        </is>
      </c>
      <c r="I4625" t="n">
        <v>6.5</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6083-2025</t>
        </is>
      </c>
      <c r="B4626" t="inlineStr">
        <is>
          <t>avverkningsanmälan</t>
        </is>
      </c>
      <c r="C4626" t="inlineStr">
        <is>
          <t>Föryngringsavverkning</t>
        </is>
      </c>
      <c r="D4626" s="1" t="n">
        <v>45697</v>
      </c>
      <c r="E4626" s="1" t="n">
        <v>46326</v>
      </c>
      <c r="F4626" t="inlineStr">
        <is>
          <t>GÄVLEBORGS LÄN</t>
        </is>
      </c>
      <c r="G4626" t="inlineStr">
        <is>
          <t>HUDIKSVALL</t>
        </is>
      </c>
      <c r="I4626" t="n">
        <v>0.9</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55191-2025</t>
        </is>
      </c>
      <c r="B4627" t="inlineStr">
        <is>
          <t>avverkningsanmälan</t>
        </is>
      </c>
      <c r="C4627" t="inlineStr">
        <is>
          <t>Föryngringsavverkning</t>
        </is>
      </c>
      <c r="D4627" s="1" t="n">
        <v>45968</v>
      </c>
      <c r="E4627" s="1" t="n">
        <v>46326</v>
      </c>
      <c r="F4627" t="inlineStr">
        <is>
          <t>GÄVLEBORGS LÄN</t>
        </is>
      </c>
      <c r="G4627" t="inlineStr">
        <is>
          <t>BOLLNÄS</t>
        </is>
      </c>
      <c r="I4627" t="n">
        <v>3</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55221-2025</t>
        </is>
      </c>
      <c r="B4628" t="inlineStr">
        <is>
          <t>avverkningsanmälan</t>
        </is>
      </c>
      <c r="C4628" t="inlineStr">
        <is>
          <t>Föryngringsavverkning</t>
        </is>
      </c>
      <c r="D4628" s="1" t="n">
        <v>45968</v>
      </c>
      <c r="E4628" s="1" t="n">
        <v>46326</v>
      </c>
      <c r="F4628" t="inlineStr">
        <is>
          <t>GÄVLEBORGS LÄN</t>
        </is>
      </c>
      <c r="G4628" t="inlineStr">
        <is>
          <t>GÄVLE</t>
        </is>
      </c>
      <c r="I4628" t="n">
        <v>3.7</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10504-2026</t>
        </is>
      </c>
      <c r="B4629" t="inlineStr">
        <is>
          <t>avverkningsanmälan</t>
        </is>
      </c>
      <c r="C4629" t="inlineStr">
        <is>
          <t>Föryngringsavverkning</t>
        </is>
      </c>
      <c r="D4629" s="1" t="n">
        <v>46077</v>
      </c>
      <c r="E4629" s="1" t="n">
        <v>46326</v>
      </c>
      <c r="F4629" t="inlineStr">
        <is>
          <t>GÄVLEBORGS LÄN</t>
        </is>
      </c>
      <c r="G4629" t="inlineStr">
        <is>
          <t>GÄVLE</t>
        </is>
      </c>
      <c r="H4629" t="inlineStr">
        <is>
          <t>Bergvik skog öst AB</t>
        </is>
      </c>
      <c r="I4629" t="n">
        <v>0.9</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10505-2026</t>
        </is>
      </c>
      <c r="B4630" t="inlineStr">
        <is>
          <t>avverkningsanmälan</t>
        </is>
      </c>
      <c r="C4630" t="inlineStr">
        <is>
          <t>Föryngringsavverkning</t>
        </is>
      </c>
      <c r="D4630" s="1" t="n">
        <v>46077</v>
      </c>
      <c r="E4630" s="1" t="n">
        <v>46326</v>
      </c>
      <c r="F4630" t="inlineStr">
        <is>
          <t>GÄVLEBORGS LÄN</t>
        </is>
      </c>
      <c r="G4630" t="inlineStr">
        <is>
          <t>BOLLNÄS</t>
        </is>
      </c>
      <c r="I4630" t="n">
        <v>2</v>
      </c>
      <c r="J4630" t="n">
        <v>0</v>
      </c>
      <c r="K4630" t="n">
        <v>0</v>
      </c>
      <c r="L4630" t="n">
        <v>0</v>
      </c>
      <c r="M4630" t="n">
        <v>0</v>
      </c>
      <c r="N4630" t="n">
        <v>0</v>
      </c>
      <c r="O4630" t="n">
        <v>0</v>
      </c>
      <c r="P4630" t="n">
        <v>0</v>
      </c>
      <c r="Q4630" t="n">
        <v>0</v>
      </c>
      <c r="R4630" t="n">
        <v>0</v>
      </c>
      <c r="S4630" t="n">
        <v>0</v>
      </c>
      <c r="T4630" t="n">
        <v>0</v>
      </c>
      <c r="U4630" t="n">
        <v>0</v>
      </c>
      <c r="V4630" s="2" t="inlineStr"/>
      <c r="Z4630">
        <f>HYPERLINK("https://klasma.github.io/Logging_2183/knärot/A 10505-2026 karta knärot.png", "A 10505-2026")</f>
        <v/>
      </c>
      <c r="AA4630">
        <f>HYPERLINK("https://klasma.github.io/Logging_2183/klagomål/A 10505-2026 FSC-klagomål.docx", "A 10505-2026")</f>
        <v/>
      </c>
      <c r="AB4630">
        <f>HYPERLINK("https://klasma.github.io/Logging_2183/klagomålsmail/A 10505-2026 FSC-klagomål mail.docx", "A 10505-2026")</f>
        <v/>
      </c>
      <c r="AC4630">
        <f>HYPERLINK("https://klasma.github.io/Logging_2183/tillsyn/A 10505-2026 tillsynsbegäran.docx", "A 10505-2026")</f>
        <v/>
      </c>
      <c r="AD4630">
        <f>HYPERLINK("https://klasma.github.io/Logging_2183/tillsynsmail/A 10505-2026 tillsynsbegäran mail.docx", "A 10505-2026")</f>
        <v/>
      </c>
    </row>
    <row r="4631" ht="15" customHeight="1">
      <c r="A4631" t="inlineStr">
        <is>
          <t>A 10193-2026</t>
        </is>
      </c>
      <c r="B4631" t="inlineStr">
        <is>
          <t>avverkningsanmälan</t>
        </is>
      </c>
      <c r="C4631" t="inlineStr">
        <is>
          <t>Föryngringsavverkning</t>
        </is>
      </c>
      <c r="D4631" s="1" t="n">
        <v>46076</v>
      </c>
      <c r="E4631" s="1" t="n">
        <v>46326</v>
      </c>
      <c r="F4631" t="inlineStr">
        <is>
          <t>GÄVLEBORGS LÄN</t>
        </is>
      </c>
      <c r="G4631" t="inlineStr">
        <is>
          <t>NORDANSTIG</t>
        </is>
      </c>
      <c r="I4631" t="n">
        <v>3.6</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8035-2025</t>
        </is>
      </c>
      <c r="B4632" t="inlineStr">
        <is>
          <t>avverkningsanmälan</t>
        </is>
      </c>
      <c r="C4632" t="inlineStr">
        <is>
          <t>Föryngringsavverkning</t>
        </is>
      </c>
      <c r="D4632" s="1" t="n">
        <v>45707</v>
      </c>
      <c r="E4632" s="1" t="n">
        <v>46326</v>
      </c>
      <c r="F4632" t="inlineStr">
        <is>
          <t>GÄVLEBORGS LÄN</t>
        </is>
      </c>
      <c r="G4632" t="inlineStr">
        <is>
          <t>BOLLNÄS</t>
        </is>
      </c>
      <c r="H4632" t="inlineStr">
        <is>
          <t>Bergvik skog väst AB</t>
        </is>
      </c>
      <c r="I4632" t="n">
        <v>2.1</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43395-2023</t>
        </is>
      </c>
      <c r="B4633" t="inlineStr">
        <is>
          <t>avverkningsanmälan</t>
        </is>
      </c>
      <c r="C4633" t="inlineStr">
        <is>
          <t>Föryngringsavverkning</t>
        </is>
      </c>
      <c r="D4633" s="1" t="n">
        <v>45183</v>
      </c>
      <c r="E4633" s="1" t="n">
        <v>46326</v>
      </c>
      <c r="F4633" t="inlineStr">
        <is>
          <t>GÄVLEBORGS LÄN</t>
        </is>
      </c>
      <c r="G4633" t="inlineStr">
        <is>
          <t>SÖDERHAMN</t>
        </is>
      </c>
      <c r="I4633" t="n">
        <v>0.5</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55590-2025</t>
        </is>
      </c>
      <c r="B4634" t="inlineStr">
        <is>
          <t>avverkningsanmälan</t>
        </is>
      </c>
      <c r="C4634" t="inlineStr">
        <is>
          <t>Föryngringsavverkning</t>
        </is>
      </c>
      <c r="D4634" s="1" t="n">
        <v>45971</v>
      </c>
      <c r="E4634" s="1" t="n">
        <v>46326</v>
      </c>
      <c r="F4634" t="inlineStr">
        <is>
          <t>GÄVLEBORGS LÄN</t>
        </is>
      </c>
      <c r="G4634" t="inlineStr">
        <is>
          <t>NORDANSTIG</t>
        </is>
      </c>
      <c r="H4634" t="inlineStr">
        <is>
          <t>Holmen skog AB</t>
        </is>
      </c>
      <c r="I4634" t="n">
        <v>3.6</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10736-2026</t>
        </is>
      </c>
      <c r="B4635" t="inlineStr">
        <is>
          <t>avverkningsanmälan</t>
        </is>
      </c>
      <c r="C4635" t="inlineStr">
        <is>
          <t>Föryngringsavverkning</t>
        </is>
      </c>
      <c r="D4635" s="1" t="n">
        <v>46078</v>
      </c>
      <c r="E4635" s="1" t="n">
        <v>46326</v>
      </c>
      <c r="F4635" t="inlineStr">
        <is>
          <t>GÄVLEBORGS LÄN</t>
        </is>
      </c>
      <c r="G4635" t="inlineStr">
        <is>
          <t>BOLLNÄS</t>
        </is>
      </c>
      <c r="I4635" t="n">
        <v>3.1</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10748-2026</t>
        </is>
      </c>
      <c r="B4636" t="inlineStr">
        <is>
          <t>avverkningsanmälan</t>
        </is>
      </c>
      <c r="C4636" t="inlineStr">
        <is>
          <t>Föryngringsavverkning</t>
        </is>
      </c>
      <c r="D4636" s="1" t="n">
        <v>46078</v>
      </c>
      <c r="E4636" s="1" t="n">
        <v>46326</v>
      </c>
      <c r="F4636" t="inlineStr">
        <is>
          <t>GÄVLEBORGS LÄN</t>
        </is>
      </c>
      <c r="G4636" t="inlineStr">
        <is>
          <t>BOLLNÄS</t>
        </is>
      </c>
      <c r="I4636" t="n">
        <v>5.8</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67547-2021</t>
        </is>
      </c>
      <c r="B4637" t="inlineStr">
        <is>
          <t>avverkningsanmälan</t>
        </is>
      </c>
      <c r="C4637" t="inlineStr">
        <is>
          <t>Föryngringsavverkning</t>
        </is>
      </c>
      <c r="D4637" s="1" t="n">
        <v>44524</v>
      </c>
      <c r="E4637" s="1" t="n">
        <v>46326</v>
      </c>
      <c r="F4637" t="inlineStr">
        <is>
          <t>GÄVLEBORGS LÄN</t>
        </is>
      </c>
      <c r="G4637" t="inlineStr">
        <is>
          <t>BOLLNÄS</t>
        </is>
      </c>
      <c r="H4637" t="inlineStr">
        <is>
          <t>Övriga statliga verk och myndigheter</t>
        </is>
      </c>
      <c r="I4637" t="n">
        <v>3.7</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55370-2025</t>
        </is>
      </c>
      <c r="B4638" t="inlineStr">
        <is>
          <t>avverkningsanmälan</t>
        </is>
      </c>
      <c r="C4638" t="inlineStr">
        <is>
          <t>Föryngringsavverkning</t>
        </is>
      </c>
      <c r="D4638" s="1" t="n">
        <v>45971</v>
      </c>
      <c r="E4638" s="1" t="n">
        <v>46326</v>
      </c>
      <c r="F4638" t="inlineStr">
        <is>
          <t>GÄVLEBORGS LÄN</t>
        </is>
      </c>
      <c r="G4638" t="inlineStr">
        <is>
          <t>HUDIKSVALL</t>
        </is>
      </c>
      <c r="I4638" t="n">
        <v>4.1</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55401-2025</t>
        </is>
      </c>
      <c r="B4639" t="inlineStr">
        <is>
          <t>avverkningsanmälan</t>
        </is>
      </c>
      <c r="C4639" t="inlineStr">
        <is>
          <t>Föryngringsavverkning</t>
        </is>
      </c>
      <c r="D4639" s="1" t="n">
        <v>45971</v>
      </c>
      <c r="E4639" s="1" t="n">
        <v>46326</v>
      </c>
      <c r="F4639" t="inlineStr">
        <is>
          <t>GÄVLEBORGS LÄN</t>
        </is>
      </c>
      <c r="G4639" t="inlineStr">
        <is>
          <t>SÖDERHAMN</t>
        </is>
      </c>
      <c r="I4639" t="n">
        <v>4.2</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55154-2025</t>
        </is>
      </c>
      <c r="B4640" t="inlineStr">
        <is>
          <t>avverkningsanmälan</t>
        </is>
      </c>
      <c r="C4640" t="inlineStr">
        <is>
          <t>Föryngringsavverkning</t>
        </is>
      </c>
      <c r="D4640" s="1" t="n">
        <v>45968</v>
      </c>
      <c r="E4640" s="1" t="n">
        <v>46326</v>
      </c>
      <c r="F4640" t="inlineStr">
        <is>
          <t>GÄVLEBORGS LÄN</t>
        </is>
      </c>
      <c r="G4640" t="inlineStr">
        <is>
          <t>OVANÅKER</t>
        </is>
      </c>
      <c r="I4640" t="n">
        <v>0.4</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6019-2025</t>
        </is>
      </c>
      <c r="B4641" t="inlineStr">
        <is>
          <t>avverkningsanmälan</t>
        </is>
      </c>
      <c r="C4641" t="inlineStr">
        <is>
          <t>Föryngringsavverkning</t>
        </is>
      </c>
      <c r="D4641" s="1" t="n">
        <v>45695</v>
      </c>
      <c r="E4641" s="1" t="n">
        <v>46326</v>
      </c>
      <c r="F4641" t="inlineStr">
        <is>
          <t>GÄVLEBORGS LÄN</t>
        </is>
      </c>
      <c r="G4641" t="inlineStr">
        <is>
          <t>HUDIKSVALL</t>
        </is>
      </c>
      <c r="I4641" t="n">
        <v>1.4</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55164-2025</t>
        </is>
      </c>
      <c r="B4642" t="inlineStr">
        <is>
          <t>avverkningsanmälan</t>
        </is>
      </c>
      <c r="C4642" t="inlineStr">
        <is>
          <t>Föryngringsavverkning</t>
        </is>
      </c>
      <c r="D4642" s="1" t="n">
        <v>45968</v>
      </c>
      <c r="E4642" s="1" t="n">
        <v>46326</v>
      </c>
      <c r="F4642" t="inlineStr">
        <is>
          <t>GÄVLEBORGS LÄN</t>
        </is>
      </c>
      <c r="G4642" t="inlineStr">
        <is>
          <t>BOLLNÄS</t>
        </is>
      </c>
      <c r="I4642" t="n">
        <v>2.2</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55186-2025</t>
        </is>
      </c>
      <c r="B4643" t="inlineStr">
        <is>
          <t>avverkningsanmälan</t>
        </is>
      </c>
      <c r="C4643" t="inlineStr">
        <is>
          <t>Föryngringsavverkning</t>
        </is>
      </c>
      <c r="D4643" s="1" t="n">
        <v>45968</v>
      </c>
      <c r="E4643" s="1" t="n">
        <v>46326</v>
      </c>
      <c r="F4643" t="inlineStr">
        <is>
          <t>GÄVLEBORGS LÄN</t>
        </is>
      </c>
      <c r="G4643" t="inlineStr">
        <is>
          <t>NORDANSTIG</t>
        </is>
      </c>
      <c r="I4643" t="n">
        <v>3.8</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55513-2025</t>
        </is>
      </c>
      <c r="B4644" t="inlineStr">
        <is>
          <t>avverkningsanmälan</t>
        </is>
      </c>
      <c r="C4644" t="inlineStr">
        <is>
          <t>Föryngringsavverkning</t>
        </is>
      </c>
      <c r="D4644" s="1" t="n">
        <v>45971</v>
      </c>
      <c r="E4644" s="1" t="n">
        <v>46326</v>
      </c>
      <c r="F4644" t="inlineStr">
        <is>
          <t>GÄVLEBORGS LÄN</t>
        </is>
      </c>
      <c r="G4644" t="inlineStr">
        <is>
          <t>NORDANSTIG</t>
        </is>
      </c>
      <c r="H4644" t="inlineStr">
        <is>
          <t>Holmen skog AB</t>
        </is>
      </c>
      <c r="I4644" t="n">
        <v>6</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55495-2025</t>
        </is>
      </c>
      <c r="B4645" t="inlineStr">
        <is>
          <t>avverkningsanmälan</t>
        </is>
      </c>
      <c r="C4645" t="inlineStr">
        <is>
          <t>Föryngringsavverkning</t>
        </is>
      </c>
      <c r="D4645" s="1" t="n">
        <v>45971</v>
      </c>
      <c r="E4645" s="1" t="n">
        <v>46326</v>
      </c>
      <c r="F4645" t="inlineStr">
        <is>
          <t>GÄVLEBORGS LÄN</t>
        </is>
      </c>
      <c r="G4645" t="inlineStr">
        <is>
          <t>OVANÅKER</t>
        </is>
      </c>
      <c r="I4645" t="n">
        <v>5.6</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10760-2026</t>
        </is>
      </c>
      <c r="B4646" t="inlineStr">
        <is>
          <t>avverkningsanmälan</t>
        </is>
      </c>
      <c r="C4646" t="inlineStr">
        <is>
          <t>Föryngringsavverkning</t>
        </is>
      </c>
      <c r="D4646" s="1" t="n">
        <v>46078</v>
      </c>
      <c r="E4646" s="1" t="n">
        <v>46326</v>
      </c>
      <c r="F4646" t="inlineStr">
        <is>
          <t>GÄVLEBORGS LÄN</t>
        </is>
      </c>
      <c r="G4646" t="inlineStr">
        <is>
          <t>OVANÅKER</t>
        </is>
      </c>
      <c r="I4646" t="n">
        <v>10.7</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6853-2024</t>
        </is>
      </c>
      <c r="B4647" t="inlineStr">
        <is>
          <t>avverkningsanmälan</t>
        </is>
      </c>
      <c r="C4647" t="inlineStr">
        <is>
          <t>Föryngringsavverkning</t>
        </is>
      </c>
      <c r="D4647" s="1" t="n">
        <v>45342</v>
      </c>
      <c r="E4647" s="1" t="n">
        <v>46326</v>
      </c>
      <c r="F4647" t="inlineStr">
        <is>
          <t>GÄVLEBORGS LÄN</t>
        </is>
      </c>
      <c r="G4647" t="inlineStr">
        <is>
          <t>SÖDERHAMN</t>
        </is>
      </c>
      <c r="I4647" t="n">
        <v>1.1</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55174-2025</t>
        </is>
      </c>
      <c r="B4648" t="inlineStr">
        <is>
          <t>avverkningsanmälan</t>
        </is>
      </c>
      <c r="C4648" t="inlineStr">
        <is>
          <t>Föryngringsavverkning</t>
        </is>
      </c>
      <c r="D4648" s="1" t="n">
        <v>45968</v>
      </c>
      <c r="E4648" s="1" t="n">
        <v>46326</v>
      </c>
      <c r="F4648" t="inlineStr">
        <is>
          <t>GÄVLEBORGS LÄN</t>
        </is>
      </c>
      <c r="G4648" t="inlineStr">
        <is>
          <t>LJUSDAL</t>
        </is>
      </c>
      <c r="H4648" t="inlineStr">
        <is>
          <t>Holmen skog AB</t>
        </is>
      </c>
      <c r="I4648" t="n">
        <v>5.8</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55395-2025</t>
        </is>
      </c>
      <c r="B4649" t="inlineStr">
        <is>
          <t>avverkningsanmälan</t>
        </is>
      </c>
      <c r="C4649" t="inlineStr">
        <is>
          <t>Föryngringsavverkning</t>
        </is>
      </c>
      <c r="D4649" s="1" t="n">
        <v>45971</v>
      </c>
      <c r="E4649" s="1" t="n">
        <v>46326</v>
      </c>
      <c r="F4649" t="inlineStr">
        <is>
          <t>GÄVLEBORGS LÄN</t>
        </is>
      </c>
      <c r="G4649" t="inlineStr">
        <is>
          <t>HUDIKSVALL</t>
        </is>
      </c>
      <c r="I4649" t="n">
        <v>1.4</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10851-2026</t>
        </is>
      </c>
      <c r="B4650" t="inlineStr">
        <is>
          <t>avverkningsanmälan</t>
        </is>
      </c>
      <c r="C4650" t="inlineStr">
        <is>
          <t>Föryngringsavverkning</t>
        </is>
      </c>
      <c r="D4650" s="1" t="n">
        <v>46078</v>
      </c>
      <c r="E4650" s="1" t="n">
        <v>46326</v>
      </c>
      <c r="F4650" t="inlineStr">
        <is>
          <t>GÄVLEBORGS LÄN</t>
        </is>
      </c>
      <c r="G4650" t="inlineStr">
        <is>
          <t>OVANÅKER</t>
        </is>
      </c>
      <c r="H4650" t="inlineStr">
        <is>
          <t>Bergvik skog öst AB</t>
        </is>
      </c>
      <c r="I4650" t="n">
        <v>0.5</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10880-2026</t>
        </is>
      </c>
      <c r="B4651" t="inlineStr">
        <is>
          <t>avverkningsanmälan</t>
        </is>
      </c>
      <c r="C4651" t="inlineStr">
        <is>
          <t>Föryngringsavverkning</t>
        </is>
      </c>
      <c r="D4651" s="1" t="n">
        <v>46078</v>
      </c>
      <c r="E4651" s="1" t="n">
        <v>46326</v>
      </c>
      <c r="F4651" t="inlineStr">
        <is>
          <t>GÄVLEBORGS LÄN</t>
        </is>
      </c>
      <c r="G4651" t="inlineStr">
        <is>
          <t>BOLLNÄS</t>
        </is>
      </c>
      <c r="I4651" t="n">
        <v>1.7</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10857-2026</t>
        </is>
      </c>
      <c r="B4652" t="inlineStr">
        <is>
          <t>avverkningsanmälan</t>
        </is>
      </c>
      <c r="C4652" t="inlineStr">
        <is>
          <t>Föryngringsavverkning</t>
        </is>
      </c>
      <c r="D4652" s="1" t="n">
        <v>46078</v>
      </c>
      <c r="E4652" s="1" t="n">
        <v>46326</v>
      </c>
      <c r="F4652" t="inlineStr">
        <is>
          <t>GÄVLEBORGS LÄN</t>
        </is>
      </c>
      <c r="G4652" t="inlineStr">
        <is>
          <t>BOLLNÄS</t>
        </is>
      </c>
      <c r="I4652" t="n">
        <v>6.4</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10135-2026</t>
        </is>
      </c>
      <c r="B4653" t="inlineStr">
        <is>
          <t>avverkningsanmälan</t>
        </is>
      </c>
      <c r="C4653" t="inlineStr">
        <is>
          <t>Föryngringsavverkning</t>
        </is>
      </c>
      <c r="D4653" s="1" t="n">
        <v>46076</v>
      </c>
      <c r="E4653" s="1" t="n">
        <v>46326</v>
      </c>
      <c r="F4653" t="inlineStr">
        <is>
          <t>GÄVLEBORGS LÄN</t>
        </is>
      </c>
      <c r="G4653" t="inlineStr">
        <is>
          <t>SÖDERHAMN</t>
        </is>
      </c>
      <c r="I4653" t="n">
        <v>1.4</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10137-2026</t>
        </is>
      </c>
      <c r="B4654" t="inlineStr">
        <is>
          <t>avverkningsanmälan</t>
        </is>
      </c>
      <c r="C4654" t="inlineStr">
        <is>
          <t>Föryngringsavverkning</t>
        </is>
      </c>
      <c r="D4654" s="1" t="n">
        <v>46076</v>
      </c>
      <c r="E4654" s="1" t="n">
        <v>46326</v>
      </c>
      <c r="F4654" t="inlineStr">
        <is>
          <t>GÄVLEBORGS LÄN</t>
        </is>
      </c>
      <c r="G4654" t="inlineStr">
        <is>
          <t>SÖDERHAMN</t>
        </is>
      </c>
      <c r="I4654" t="n">
        <v>2.8</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55840-2025</t>
        </is>
      </c>
      <c r="B4655" t="inlineStr">
        <is>
          <t>avverkningsanmälan</t>
        </is>
      </c>
      <c r="C4655" t="inlineStr">
        <is>
          <t>Föryngringsavverkning</t>
        </is>
      </c>
      <c r="D4655" s="1" t="n">
        <v>45973</v>
      </c>
      <c r="E4655" s="1" t="n">
        <v>46326</v>
      </c>
      <c r="F4655" t="inlineStr">
        <is>
          <t>GÄVLEBORGS LÄN</t>
        </is>
      </c>
      <c r="G4655" t="inlineStr">
        <is>
          <t>OVANÅKER</t>
        </is>
      </c>
      <c r="I4655" t="n">
        <v>0.9</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60398-2023</t>
        </is>
      </c>
      <c r="B4656" t="inlineStr">
        <is>
          <t>avverkningsanmälan</t>
        </is>
      </c>
      <c r="C4656" t="inlineStr">
        <is>
          <t>Föryngringsavverkning</t>
        </is>
      </c>
      <c r="D4656" s="1" t="n">
        <v>45259</v>
      </c>
      <c r="E4656" s="1" t="n">
        <v>46326</v>
      </c>
      <c r="F4656" t="inlineStr">
        <is>
          <t>GÄVLEBORGS LÄN</t>
        </is>
      </c>
      <c r="G4656" t="inlineStr">
        <is>
          <t>NORDANSTIG</t>
        </is>
      </c>
      <c r="I4656" t="n">
        <v>2.4</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60417-2023</t>
        </is>
      </c>
      <c r="B4657" t="inlineStr">
        <is>
          <t>avverkningsanmälan</t>
        </is>
      </c>
      <c r="C4657" t="inlineStr">
        <is>
          <t>Föryngringsavverkning</t>
        </is>
      </c>
      <c r="D4657" s="1" t="n">
        <v>45259</v>
      </c>
      <c r="E4657" s="1" t="n">
        <v>46326</v>
      </c>
      <c r="F4657" t="inlineStr">
        <is>
          <t>GÄVLEBORGS LÄN</t>
        </is>
      </c>
      <c r="G4657" t="inlineStr">
        <is>
          <t>OVANÅKER</t>
        </is>
      </c>
      <c r="I4657" t="n">
        <v>1.2</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10120-2026</t>
        </is>
      </c>
      <c r="B4658" t="inlineStr">
        <is>
          <t>avverkningsanmälan</t>
        </is>
      </c>
      <c r="C4658" t="inlineStr">
        <is>
          <t>Avverkning för annat ändamål</t>
        </is>
      </c>
      <c r="D4658" s="1" t="n">
        <v>46075</v>
      </c>
      <c r="E4658" s="1" t="n">
        <v>46326</v>
      </c>
      <c r="F4658" t="inlineStr">
        <is>
          <t>GÄVLEBORGS LÄN</t>
        </is>
      </c>
      <c r="G4658" t="inlineStr">
        <is>
          <t>BOLLNÄS</t>
        </is>
      </c>
      <c r="I4658" t="n">
        <v>0.5</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10126-2026</t>
        </is>
      </c>
      <c r="B4659" t="inlineStr">
        <is>
          <t>avverkningsanmälan</t>
        </is>
      </c>
      <c r="C4659" t="inlineStr">
        <is>
          <t>Föryngringsavverkning</t>
        </is>
      </c>
      <c r="D4659" s="1" t="n">
        <v>46075</v>
      </c>
      <c r="E4659" s="1" t="n">
        <v>46326</v>
      </c>
      <c r="F4659" t="inlineStr">
        <is>
          <t>GÄVLEBORGS LÄN</t>
        </is>
      </c>
      <c r="G4659" t="inlineStr">
        <is>
          <t>BOLLNÄS</t>
        </is>
      </c>
      <c r="I4659" t="n">
        <v>0.9</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1372-2026</t>
        </is>
      </c>
      <c r="B4660" t="inlineStr">
        <is>
          <t>avverkningsanmälan</t>
        </is>
      </c>
      <c r="C4660" t="inlineStr">
        <is>
          <t>Föryngringsavverkning</t>
        </is>
      </c>
      <c r="D4660" s="1" t="n">
        <v>46031</v>
      </c>
      <c r="E4660" s="1" t="n">
        <v>46326</v>
      </c>
      <c r="F4660" t="inlineStr">
        <is>
          <t>GÄVLEBORGS LÄN</t>
        </is>
      </c>
      <c r="G4660" t="inlineStr">
        <is>
          <t>SANDVIKEN</t>
        </is>
      </c>
      <c r="I4660" t="n">
        <v>1.5</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59251-2024</t>
        </is>
      </c>
      <c r="B4661" t="inlineStr">
        <is>
          <t>avverkningsanmälan</t>
        </is>
      </c>
      <c r="C4661" t="inlineStr">
        <is>
          <t>Föryngringsavverkning</t>
        </is>
      </c>
      <c r="D4661" s="1" t="n">
        <v>45637</v>
      </c>
      <c r="E4661" s="1" t="n">
        <v>46326</v>
      </c>
      <c r="F4661" t="inlineStr">
        <is>
          <t>GÄVLEBORGS LÄN</t>
        </is>
      </c>
      <c r="G4661" t="inlineStr">
        <is>
          <t>LJUSDAL</t>
        </is>
      </c>
      <c r="I4661" t="n">
        <v>0.4</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56121-2025</t>
        </is>
      </c>
      <c r="B4662" t="inlineStr">
        <is>
          <t>avverkningsanmälan</t>
        </is>
      </c>
      <c r="C4662" t="inlineStr">
        <is>
          <t>Föryngringsavverkning</t>
        </is>
      </c>
      <c r="D4662" s="1" t="n">
        <v>45973</v>
      </c>
      <c r="E4662" s="1" t="n">
        <v>46326</v>
      </c>
      <c r="F4662" t="inlineStr">
        <is>
          <t>GÄVLEBORGS LÄN</t>
        </is>
      </c>
      <c r="G4662" t="inlineStr">
        <is>
          <t>GÄVLE</t>
        </is>
      </c>
      <c r="H4662" t="inlineStr">
        <is>
          <t>Bergvik skog väst AB</t>
        </is>
      </c>
      <c r="I4662" t="n">
        <v>2.4</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46960-2022</t>
        </is>
      </c>
      <c r="B4663" t="inlineStr">
        <is>
          <t>avverkningsanmälan</t>
        </is>
      </c>
      <c r="C4663" t="inlineStr">
        <is>
          <t>Föryngringsavverkning</t>
        </is>
      </c>
      <c r="D4663" s="1" t="n">
        <v>44851</v>
      </c>
      <c r="E4663" s="1" t="n">
        <v>46326</v>
      </c>
      <c r="F4663" t="inlineStr">
        <is>
          <t>GÄVLEBORGS LÄN</t>
        </is>
      </c>
      <c r="G4663" t="inlineStr">
        <is>
          <t>OVANÅKER</t>
        </is>
      </c>
      <c r="I4663" t="n">
        <v>2.4</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56021-2025</t>
        </is>
      </c>
      <c r="B4664" t="inlineStr">
        <is>
          <t>avverkningsanmälan</t>
        </is>
      </c>
      <c r="C4664" t="inlineStr">
        <is>
          <t>Föryngringsavverkning</t>
        </is>
      </c>
      <c r="D4664" s="1" t="n">
        <v>45973</v>
      </c>
      <c r="E4664" s="1" t="n">
        <v>46326</v>
      </c>
      <c r="F4664" t="inlineStr">
        <is>
          <t>GÄVLEBORGS LÄN</t>
        </is>
      </c>
      <c r="G4664" t="inlineStr">
        <is>
          <t>HUDIKSVALL</t>
        </is>
      </c>
      <c r="I4664" t="n">
        <v>0.9</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47580-2024</t>
        </is>
      </c>
      <c r="B4665" t="inlineStr">
        <is>
          <t>avverkningsanmälan</t>
        </is>
      </c>
      <c r="C4665" t="inlineStr">
        <is>
          <t>Föryngringsavverkning</t>
        </is>
      </c>
      <c r="D4665" s="1" t="n">
        <v>45587</v>
      </c>
      <c r="E4665" s="1" t="n">
        <v>46326</v>
      </c>
      <c r="F4665" t="inlineStr">
        <is>
          <t>GÄVLEBORGS LÄN</t>
        </is>
      </c>
      <c r="G4665" t="inlineStr">
        <is>
          <t>LJUSDAL</t>
        </is>
      </c>
      <c r="I4665" t="n">
        <v>2</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55711-2025</t>
        </is>
      </c>
      <c r="B4666" t="inlineStr">
        <is>
          <t>avverkningsanmälan</t>
        </is>
      </c>
      <c r="C4666" t="inlineStr">
        <is>
          <t>Avverkning för annat ändamål</t>
        </is>
      </c>
      <c r="D4666" s="1" t="n">
        <v>45972</v>
      </c>
      <c r="E4666" s="1" t="n">
        <v>46326</v>
      </c>
      <c r="F4666" t="inlineStr">
        <is>
          <t>GÄVLEBORGS LÄN</t>
        </is>
      </c>
      <c r="G4666" t="inlineStr">
        <is>
          <t>SÖDERHAMN</t>
        </is>
      </c>
      <c r="H4666" t="inlineStr">
        <is>
          <t>Bergvik skog väst AB</t>
        </is>
      </c>
      <c r="I4666" t="n">
        <v>1.5</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55726-2025</t>
        </is>
      </c>
      <c r="B4667" t="inlineStr">
        <is>
          <t>avverkningsanmälan</t>
        </is>
      </c>
      <c r="C4667" t="inlineStr">
        <is>
          <t>Föryngringsavverkning</t>
        </is>
      </c>
      <c r="D4667" s="1" t="n">
        <v>45972</v>
      </c>
      <c r="E4667" s="1" t="n">
        <v>46326</v>
      </c>
      <c r="F4667" t="inlineStr">
        <is>
          <t>GÄVLEBORGS LÄN</t>
        </is>
      </c>
      <c r="G4667" t="inlineStr">
        <is>
          <t>OCKELBO</t>
        </is>
      </c>
      <c r="I4667" t="n">
        <v>3.5</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55730-2025</t>
        </is>
      </c>
      <c r="B4668" t="inlineStr">
        <is>
          <t>avverkningsanmälan</t>
        </is>
      </c>
      <c r="C4668" t="inlineStr">
        <is>
          <t>Avverkning för annat ändamål</t>
        </is>
      </c>
      <c r="D4668" s="1" t="n">
        <v>45972</v>
      </c>
      <c r="E4668" s="1" t="n">
        <v>46326</v>
      </c>
      <c r="F4668" t="inlineStr">
        <is>
          <t>GÄVLEBORGS LÄN</t>
        </is>
      </c>
      <c r="G4668" t="inlineStr">
        <is>
          <t>SÖDERHAMN</t>
        </is>
      </c>
      <c r="H4668" t="inlineStr">
        <is>
          <t>Bergvik skog väst AB</t>
        </is>
      </c>
      <c r="I4668" t="n">
        <v>0.1</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55607-2025</t>
        </is>
      </c>
      <c r="B4669" t="inlineStr">
        <is>
          <t>avverkningsanmälan</t>
        </is>
      </c>
      <c r="C4669" t="inlineStr">
        <is>
          <t>Föryngringsavverkning</t>
        </is>
      </c>
      <c r="D4669" s="1" t="n">
        <v>45971</v>
      </c>
      <c r="E4669" s="1" t="n">
        <v>46326</v>
      </c>
      <c r="F4669" t="inlineStr">
        <is>
          <t>GÄVLEBORGS LÄN</t>
        </is>
      </c>
      <c r="G4669" t="inlineStr">
        <is>
          <t>SANDVIKEN</t>
        </is>
      </c>
      <c r="I4669" t="n">
        <v>1</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55964-2025</t>
        </is>
      </c>
      <c r="B4670" t="inlineStr">
        <is>
          <t>avverkningsanmälan</t>
        </is>
      </c>
      <c r="C4670" t="inlineStr">
        <is>
          <t>Föryngringsavverkning</t>
        </is>
      </c>
      <c r="D4670" s="1" t="n">
        <v>45973</v>
      </c>
      <c r="E4670" s="1" t="n">
        <v>46326</v>
      </c>
      <c r="F4670" t="inlineStr">
        <is>
          <t>GÄVLEBORGS LÄN</t>
        </is>
      </c>
      <c r="G4670" t="inlineStr">
        <is>
          <t>NORDANSTIG</t>
        </is>
      </c>
      <c r="I4670" t="n">
        <v>2.8</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29963-2024</t>
        </is>
      </c>
      <c r="B4671" t="inlineStr">
        <is>
          <t>avverkningsanmälan</t>
        </is>
      </c>
      <c r="C4671" t="inlineStr">
        <is>
          <t>Föryngringsavverkning</t>
        </is>
      </c>
      <c r="D4671" s="1" t="n">
        <v>45488</v>
      </c>
      <c r="E4671" s="1" t="n">
        <v>46326</v>
      </c>
      <c r="F4671" t="inlineStr">
        <is>
          <t>GÄVLEBORGS LÄN</t>
        </is>
      </c>
      <c r="G4671" t="inlineStr">
        <is>
          <t>OCKELBO</t>
        </is>
      </c>
      <c r="I4671" t="n">
        <v>3</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10418-2026</t>
        </is>
      </c>
      <c r="B4672" t="inlineStr">
        <is>
          <t>avverkningsanmälan</t>
        </is>
      </c>
      <c r="C4672" t="inlineStr">
        <is>
          <t>Föryngringsavverkning</t>
        </is>
      </c>
      <c r="D4672" s="1" t="n">
        <v>46077</v>
      </c>
      <c r="E4672" s="1" t="n">
        <v>46326</v>
      </c>
      <c r="F4672" t="inlineStr">
        <is>
          <t>GÄVLEBORGS LÄN</t>
        </is>
      </c>
      <c r="G4672" t="inlineStr">
        <is>
          <t>OCKELBO</t>
        </is>
      </c>
      <c r="I4672" t="n">
        <v>0.9</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55955-2025</t>
        </is>
      </c>
      <c r="B4673" t="inlineStr">
        <is>
          <t>avverkningsanmälan</t>
        </is>
      </c>
      <c r="C4673" t="inlineStr">
        <is>
          <t>Föryngringsavverkning</t>
        </is>
      </c>
      <c r="D4673" s="1" t="n">
        <v>45973</v>
      </c>
      <c r="E4673" s="1" t="n">
        <v>46326</v>
      </c>
      <c r="F4673" t="inlineStr">
        <is>
          <t>GÄVLEBORGS LÄN</t>
        </is>
      </c>
      <c r="G4673" t="inlineStr">
        <is>
          <t>NORDANSTIG</t>
        </is>
      </c>
      <c r="I4673" t="n">
        <v>1.7</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10655-2026</t>
        </is>
      </c>
      <c r="B4674" t="inlineStr">
        <is>
          <t>avverkningsanmälan</t>
        </is>
      </c>
      <c r="C4674" t="inlineStr">
        <is>
          <t>Föryngringsavverkning</t>
        </is>
      </c>
      <c r="D4674" s="1" t="n">
        <v>46078</v>
      </c>
      <c r="E4674" s="1" t="n">
        <v>46326</v>
      </c>
      <c r="F4674" t="inlineStr">
        <is>
          <t>GÄVLEBORGS LÄN</t>
        </is>
      </c>
      <c r="G4674" t="inlineStr">
        <is>
          <t>NORDANSTIG</t>
        </is>
      </c>
      <c r="I4674" t="n">
        <v>2.2</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10808-2026</t>
        </is>
      </c>
      <c r="B4675" t="inlineStr">
        <is>
          <t>avverkningsanmälan</t>
        </is>
      </c>
      <c r="C4675" t="inlineStr">
        <is>
          <t>Föryngringsavverkning</t>
        </is>
      </c>
      <c r="D4675" s="1" t="n">
        <v>46078</v>
      </c>
      <c r="E4675" s="1" t="n">
        <v>46326</v>
      </c>
      <c r="F4675" t="inlineStr">
        <is>
          <t>GÄVLEBORGS LÄN</t>
        </is>
      </c>
      <c r="G4675" t="inlineStr">
        <is>
          <t>SANDVIKEN</t>
        </is>
      </c>
      <c r="I4675" t="n">
        <v>0.9</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10890-2026</t>
        </is>
      </c>
      <c r="B4676" t="inlineStr">
        <is>
          <t>avverkningsanmälan</t>
        </is>
      </c>
      <c r="C4676" t="inlineStr">
        <is>
          <t>Föryngringsavverkning</t>
        </is>
      </c>
      <c r="D4676" s="1" t="n">
        <v>46078</v>
      </c>
      <c r="E4676" s="1" t="n">
        <v>46326</v>
      </c>
      <c r="F4676" t="inlineStr">
        <is>
          <t>GÄVLEBORGS LÄN</t>
        </is>
      </c>
      <c r="G4676" t="inlineStr">
        <is>
          <t>BOLLNÄS</t>
        </is>
      </c>
      <c r="I4676" t="n">
        <v>0.5</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10938-2026</t>
        </is>
      </c>
      <c r="B4677" t="inlineStr">
        <is>
          <t>avverkningsanmälan</t>
        </is>
      </c>
      <c r="C4677" t="inlineStr">
        <is>
          <t>Föryngringsavverkning</t>
        </is>
      </c>
      <c r="D4677" s="1" t="n">
        <v>46079</v>
      </c>
      <c r="E4677" s="1" t="n">
        <v>46326</v>
      </c>
      <c r="F4677" t="inlineStr">
        <is>
          <t>GÄVLEBORGS LÄN</t>
        </is>
      </c>
      <c r="G4677" t="inlineStr">
        <is>
          <t>OVANÅKER</t>
        </is>
      </c>
      <c r="I4677" t="n">
        <v>1.5</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10956-2026</t>
        </is>
      </c>
      <c r="B4678" t="inlineStr">
        <is>
          <t>avverkningsanmälan</t>
        </is>
      </c>
      <c r="C4678" t="inlineStr">
        <is>
          <t>Föryngringsavverkning</t>
        </is>
      </c>
      <c r="D4678" s="1" t="n">
        <v>46079</v>
      </c>
      <c r="E4678" s="1" t="n">
        <v>46326</v>
      </c>
      <c r="F4678" t="inlineStr">
        <is>
          <t>GÄVLEBORGS LÄN</t>
        </is>
      </c>
      <c r="G4678" t="inlineStr">
        <is>
          <t>BOLLNÄS</t>
        </is>
      </c>
      <c r="H4678" t="inlineStr">
        <is>
          <t>Bergvik skog väst AB</t>
        </is>
      </c>
      <c r="I4678" t="n">
        <v>0.6</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10989-2026</t>
        </is>
      </c>
      <c r="B4679" t="inlineStr">
        <is>
          <t>avverkningsanmälan</t>
        </is>
      </c>
      <c r="C4679" t="inlineStr">
        <is>
          <t>Föryngringsavverkning</t>
        </is>
      </c>
      <c r="D4679" s="1" t="n">
        <v>46079</v>
      </c>
      <c r="E4679" s="1" t="n">
        <v>46326</v>
      </c>
      <c r="F4679" t="inlineStr">
        <is>
          <t>GÄVLEBORGS LÄN</t>
        </is>
      </c>
      <c r="G4679" t="inlineStr">
        <is>
          <t>OVANÅKER</t>
        </is>
      </c>
      <c r="I4679" t="n">
        <v>1.5</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10993-2026</t>
        </is>
      </c>
      <c r="B4680" t="inlineStr">
        <is>
          <t>avverkningsanmälan</t>
        </is>
      </c>
      <c r="C4680" t="inlineStr">
        <is>
          <t>Föryngringsavverkning</t>
        </is>
      </c>
      <c r="D4680" s="1" t="n">
        <v>46079</v>
      </c>
      <c r="E4680" s="1" t="n">
        <v>46326</v>
      </c>
      <c r="F4680" t="inlineStr">
        <is>
          <t>GÄVLEBORGS LÄN</t>
        </is>
      </c>
      <c r="G4680" t="inlineStr">
        <is>
          <t>NORDANSTIG</t>
        </is>
      </c>
      <c r="H4680" t="inlineStr">
        <is>
          <t>Holmen skog AB</t>
        </is>
      </c>
      <c r="I4680" t="n">
        <v>46</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40886-2024</t>
        </is>
      </c>
      <c r="B4681" t="inlineStr">
        <is>
          <t>avverkningsanmälan</t>
        </is>
      </c>
      <c r="C4681" t="inlineStr">
        <is>
          <t>Föryngringsavverkning</t>
        </is>
      </c>
      <c r="D4681" s="1" t="n">
        <v>45558</v>
      </c>
      <c r="E4681" s="1" t="n">
        <v>46326</v>
      </c>
      <c r="F4681" t="inlineStr">
        <is>
          <t>GÄVLEBORGS LÄN</t>
        </is>
      </c>
      <c r="G4681" t="inlineStr">
        <is>
          <t>OVANÅKER</t>
        </is>
      </c>
      <c r="I4681" t="n">
        <v>0.6</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22136-2022</t>
        </is>
      </c>
      <c r="B4682" t="inlineStr">
        <is>
          <t>avverkningsanmälan</t>
        </is>
      </c>
      <c r="C4682" t="inlineStr">
        <is>
          <t>Föryngringsavverkning</t>
        </is>
      </c>
      <c r="D4682" s="1" t="n">
        <v>44712</v>
      </c>
      <c r="E4682" s="1" t="n">
        <v>46326</v>
      </c>
      <c r="F4682" t="inlineStr">
        <is>
          <t>GÄVLEBORGS LÄN</t>
        </is>
      </c>
      <c r="G4682" t="inlineStr">
        <is>
          <t>HUDIKSVALL</t>
        </is>
      </c>
      <c r="H4682" t="inlineStr">
        <is>
          <t>Holmen skog AB</t>
        </is>
      </c>
      <c r="I4682" t="n">
        <v>3.4</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22151-2022</t>
        </is>
      </c>
      <c r="B4683" t="inlineStr">
        <is>
          <t>avverkningsanmälan</t>
        </is>
      </c>
      <c r="C4683" t="inlineStr">
        <is>
          <t>Föryngringsavverkning</t>
        </is>
      </c>
      <c r="D4683" s="1" t="n">
        <v>44712</v>
      </c>
      <c r="E4683" s="1" t="n">
        <v>46326</v>
      </c>
      <c r="F4683" t="inlineStr">
        <is>
          <t>GÄVLEBORGS LÄN</t>
        </is>
      </c>
      <c r="G4683" t="inlineStr">
        <is>
          <t>OCKELBO</t>
        </is>
      </c>
      <c r="I4683" t="n">
        <v>4.4</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1562-2026</t>
        </is>
      </c>
      <c r="B4684" t="inlineStr">
        <is>
          <t>avverkningsanmälan</t>
        </is>
      </c>
      <c r="C4684" t="inlineStr">
        <is>
          <t>Föryngringsavverkning</t>
        </is>
      </c>
      <c r="D4684" s="1" t="n">
        <v>46034</v>
      </c>
      <c r="E4684" s="1" t="n">
        <v>46326</v>
      </c>
      <c r="F4684" t="inlineStr">
        <is>
          <t>GÄVLEBORGS LÄN</t>
        </is>
      </c>
      <c r="G4684" t="inlineStr">
        <is>
          <t>SANDVIKEN</t>
        </is>
      </c>
      <c r="I4684" t="n">
        <v>9.300000000000001</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55859-2025</t>
        </is>
      </c>
      <c r="B4685" t="inlineStr">
        <is>
          <t>avverkningsanmälan</t>
        </is>
      </c>
      <c r="C4685" t="inlineStr">
        <is>
          <t>Föryngringsavverkning</t>
        </is>
      </c>
      <c r="D4685" s="1" t="n">
        <v>45973</v>
      </c>
      <c r="E4685" s="1" t="n">
        <v>46326</v>
      </c>
      <c r="F4685" t="inlineStr">
        <is>
          <t>GÄVLEBORGS LÄN</t>
        </is>
      </c>
      <c r="G4685" t="inlineStr">
        <is>
          <t>OCKELBO</t>
        </is>
      </c>
      <c r="I4685" t="n">
        <v>0.9</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55866-2025</t>
        </is>
      </c>
      <c r="B4686" t="inlineStr">
        <is>
          <t>avverkningsanmälan</t>
        </is>
      </c>
      <c r="C4686" t="inlineStr">
        <is>
          <t>Föryngringsavverkning</t>
        </is>
      </c>
      <c r="D4686" s="1" t="n">
        <v>45973</v>
      </c>
      <c r="E4686" s="1" t="n">
        <v>46326</v>
      </c>
      <c r="F4686" t="inlineStr">
        <is>
          <t>GÄVLEBORGS LÄN</t>
        </is>
      </c>
      <c r="G4686" t="inlineStr">
        <is>
          <t>OCKELBO</t>
        </is>
      </c>
      <c r="I4686" t="n">
        <v>1</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55632-2025</t>
        </is>
      </c>
      <c r="B4687" t="inlineStr">
        <is>
          <t>avverkningsanmälan</t>
        </is>
      </c>
      <c r="C4687" t="inlineStr">
        <is>
          <t>Föryngringsavverkning</t>
        </is>
      </c>
      <c r="D4687" s="1" t="n">
        <v>45972</v>
      </c>
      <c r="E4687" s="1" t="n">
        <v>46326</v>
      </c>
      <c r="F4687" t="inlineStr">
        <is>
          <t>GÄVLEBORGS LÄN</t>
        </is>
      </c>
      <c r="G4687" t="inlineStr">
        <is>
          <t>OCKELBO</t>
        </is>
      </c>
      <c r="I4687" t="n">
        <v>7.8</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57949-2022</t>
        </is>
      </c>
      <c r="B4688" t="inlineStr">
        <is>
          <t>avverkningsanmälan</t>
        </is>
      </c>
      <c r="C4688" t="inlineStr">
        <is>
          <t>Föryngringsavverkning</t>
        </is>
      </c>
      <c r="D4688" s="1" t="n">
        <v>44900</v>
      </c>
      <c r="E4688" s="1" t="n">
        <v>46326</v>
      </c>
      <c r="F4688" t="inlineStr">
        <is>
          <t>GÄVLEBORGS LÄN</t>
        </is>
      </c>
      <c r="G4688" t="inlineStr">
        <is>
          <t>LJUSDAL</t>
        </is>
      </c>
      <c r="H4688" t="inlineStr">
        <is>
          <t>Holmen skog AB</t>
        </is>
      </c>
      <c r="I4688" t="n">
        <v>6.4</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11078-2026</t>
        </is>
      </c>
      <c r="B4689" t="inlineStr">
        <is>
          <t>avverkningsanmälan</t>
        </is>
      </c>
      <c r="C4689" t="inlineStr">
        <is>
          <t>Föryngringsavverkning</t>
        </is>
      </c>
      <c r="D4689" s="1" t="n">
        <v>46079</v>
      </c>
      <c r="E4689" s="1" t="n">
        <v>46326</v>
      </c>
      <c r="F4689" t="inlineStr">
        <is>
          <t>GÄVLEBORGS LÄN</t>
        </is>
      </c>
      <c r="G4689" t="inlineStr">
        <is>
          <t>OCKELBO</t>
        </is>
      </c>
      <c r="I4689" t="n">
        <v>3.4</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55930-2025</t>
        </is>
      </c>
      <c r="B4690" t="inlineStr">
        <is>
          <t>avverkningsanmälan</t>
        </is>
      </c>
      <c r="C4690" t="inlineStr">
        <is>
          <t>Föryngringsavverkning</t>
        </is>
      </c>
      <c r="D4690" s="1" t="n">
        <v>45973</v>
      </c>
      <c r="E4690" s="1" t="n">
        <v>46326</v>
      </c>
      <c r="F4690" t="inlineStr">
        <is>
          <t>GÄVLEBORGS LÄN</t>
        </is>
      </c>
      <c r="G4690" t="inlineStr">
        <is>
          <t>BOLLNÄS</t>
        </is>
      </c>
      <c r="I4690" t="n">
        <v>2.9</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55884-2025</t>
        </is>
      </c>
      <c r="B4691" t="inlineStr">
        <is>
          <t>avverkningsanmälan</t>
        </is>
      </c>
      <c r="C4691" t="inlineStr">
        <is>
          <t>Föryngringsavverkning</t>
        </is>
      </c>
      <c r="D4691" s="1" t="n">
        <v>45973</v>
      </c>
      <c r="E4691" s="1" t="n">
        <v>46326</v>
      </c>
      <c r="F4691" t="inlineStr">
        <is>
          <t>GÄVLEBORGS LÄN</t>
        </is>
      </c>
      <c r="G4691" t="inlineStr">
        <is>
          <t>OCKELBO</t>
        </is>
      </c>
      <c r="I4691" t="n">
        <v>2.1</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36763-2024</t>
        </is>
      </c>
      <c r="B4692" t="inlineStr">
        <is>
          <t>avverkningsanmälan</t>
        </is>
      </c>
      <c r="C4692" t="inlineStr">
        <is>
          <t>Föryngringsavverkning</t>
        </is>
      </c>
      <c r="D4692" s="1" t="n">
        <v>45538</v>
      </c>
      <c r="E4692" s="1" t="n">
        <v>46326</v>
      </c>
      <c r="F4692" t="inlineStr">
        <is>
          <t>GÄVLEBORGS LÄN</t>
        </is>
      </c>
      <c r="G4692" t="inlineStr">
        <is>
          <t>HOFORS</t>
        </is>
      </c>
      <c r="I4692" t="n">
        <v>1.5</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56031-2025</t>
        </is>
      </c>
      <c r="B4693" t="inlineStr">
        <is>
          <t>avverkningsanmälan</t>
        </is>
      </c>
      <c r="C4693" t="inlineStr">
        <is>
          <t>Föryngringsavverkning</t>
        </is>
      </c>
      <c r="D4693" s="1" t="n">
        <v>45973</v>
      </c>
      <c r="E4693" s="1" t="n">
        <v>46326</v>
      </c>
      <c r="F4693" t="inlineStr">
        <is>
          <t>GÄVLEBORGS LÄN</t>
        </is>
      </c>
      <c r="G4693" t="inlineStr">
        <is>
          <t>NORDANSTIG</t>
        </is>
      </c>
      <c r="I4693" t="n">
        <v>1.2</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49512-2023</t>
        </is>
      </c>
      <c r="B4694" t="inlineStr">
        <is>
          <t>avverkningsanmälan</t>
        </is>
      </c>
      <c r="C4694" t="inlineStr">
        <is>
          <t>Föryngringsavverkning</t>
        </is>
      </c>
      <c r="D4694" s="1" t="n">
        <v>45211</v>
      </c>
      <c r="E4694" s="1" t="n">
        <v>46326</v>
      </c>
      <c r="F4694" t="inlineStr">
        <is>
          <t>GÄVLEBORGS LÄN</t>
        </is>
      </c>
      <c r="G4694" t="inlineStr">
        <is>
          <t>SANDVIKEN</t>
        </is>
      </c>
      <c r="I4694" t="n">
        <v>0.7</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55920-2025</t>
        </is>
      </c>
      <c r="B4695" t="inlineStr">
        <is>
          <t>avverkningsanmälan</t>
        </is>
      </c>
      <c r="C4695" t="inlineStr">
        <is>
          <t>Föryngringsavverkning</t>
        </is>
      </c>
      <c r="D4695" s="1" t="n">
        <v>45973</v>
      </c>
      <c r="E4695" s="1" t="n">
        <v>46326</v>
      </c>
      <c r="F4695" t="inlineStr">
        <is>
          <t>GÄVLEBORGS LÄN</t>
        </is>
      </c>
      <c r="G4695" t="inlineStr">
        <is>
          <t>OCKELBO</t>
        </is>
      </c>
      <c r="I4695" t="n">
        <v>1.2</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55926-2025</t>
        </is>
      </c>
      <c r="B4696" t="inlineStr">
        <is>
          <t>avverkningsanmälan</t>
        </is>
      </c>
      <c r="C4696" t="inlineStr">
        <is>
          <t>Föryngringsavverkning</t>
        </is>
      </c>
      <c r="D4696" s="1" t="n">
        <v>45973</v>
      </c>
      <c r="E4696" s="1" t="n">
        <v>46326</v>
      </c>
      <c r="F4696" t="inlineStr">
        <is>
          <t>GÄVLEBORGS LÄN</t>
        </is>
      </c>
      <c r="G4696" t="inlineStr">
        <is>
          <t>OCKELBO</t>
        </is>
      </c>
      <c r="I4696" t="n">
        <v>0.9</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55629-2025</t>
        </is>
      </c>
      <c r="B4697" t="inlineStr">
        <is>
          <t>avverkningsanmälan</t>
        </is>
      </c>
      <c r="C4697" t="inlineStr">
        <is>
          <t>Föryngringsavverkning</t>
        </is>
      </c>
      <c r="D4697" s="1" t="n">
        <v>45972</v>
      </c>
      <c r="E4697" s="1" t="n">
        <v>46326</v>
      </c>
      <c r="F4697" t="inlineStr">
        <is>
          <t>GÄVLEBORGS LÄN</t>
        </is>
      </c>
      <c r="G4697" t="inlineStr">
        <is>
          <t>OCKELBO</t>
        </is>
      </c>
      <c r="I4697" t="n">
        <v>1.3</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104-2023</t>
        </is>
      </c>
      <c r="B4698" t="inlineStr">
        <is>
          <t>avverkningsanmälan</t>
        </is>
      </c>
      <c r="C4698" t="inlineStr">
        <is>
          <t>Föryngringsavverkning</t>
        </is>
      </c>
      <c r="D4698" s="1" t="n">
        <v>44928</v>
      </c>
      <c r="E4698" s="1" t="n">
        <v>46326</v>
      </c>
      <c r="F4698" t="inlineStr">
        <is>
          <t>GÄVLEBORGS LÄN</t>
        </is>
      </c>
      <c r="G4698" t="inlineStr">
        <is>
          <t>HUDIKSVALL</t>
        </is>
      </c>
      <c r="I4698" t="n">
        <v>1</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921-2024</t>
        </is>
      </c>
      <c r="B4699" t="inlineStr">
        <is>
          <t>avverkningsanmälan</t>
        </is>
      </c>
      <c r="C4699" t="inlineStr">
        <is>
          <t>Föryngringsavverkning</t>
        </is>
      </c>
      <c r="D4699" s="1" t="n">
        <v>45301</v>
      </c>
      <c r="E4699" s="1" t="n">
        <v>46326</v>
      </c>
      <c r="F4699" t="inlineStr">
        <is>
          <t>GÄVLEBORGS LÄN</t>
        </is>
      </c>
      <c r="G4699" t="inlineStr">
        <is>
          <t>OCKELBO</t>
        </is>
      </c>
      <c r="I4699" t="n">
        <v>0.6</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8005-2022</t>
        </is>
      </c>
      <c r="B4700" t="inlineStr">
        <is>
          <t>avverkningsanmälan</t>
        </is>
      </c>
      <c r="C4700" t="inlineStr">
        <is>
          <t>Föryngringsavverkning</t>
        </is>
      </c>
      <c r="D4700" s="1" t="n">
        <v>44609</v>
      </c>
      <c r="E4700" s="1" t="n">
        <v>46326</v>
      </c>
      <c r="F4700" t="inlineStr">
        <is>
          <t>GÄVLEBORGS LÄN</t>
        </is>
      </c>
      <c r="G4700" t="inlineStr">
        <is>
          <t>HUDIKSVALL</t>
        </is>
      </c>
      <c r="H4700" t="inlineStr">
        <is>
          <t>Holmen skog AB</t>
        </is>
      </c>
      <c r="I4700" t="n">
        <v>1.2</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52746-2022</t>
        </is>
      </c>
      <c r="B4701" t="inlineStr">
        <is>
          <t>avverkningsanmälan</t>
        </is>
      </c>
      <c r="C4701" t="inlineStr">
        <is>
          <t>Föryngringsavverkning</t>
        </is>
      </c>
      <c r="D4701" s="1" t="n">
        <v>44874</v>
      </c>
      <c r="E4701" s="1" t="n">
        <v>46326</v>
      </c>
      <c r="F4701" t="inlineStr">
        <is>
          <t>GÄVLEBORGS LÄN</t>
        </is>
      </c>
      <c r="G4701" t="inlineStr">
        <is>
          <t>NORDANSTIG</t>
        </is>
      </c>
      <c r="H4701" t="inlineStr">
        <is>
          <t>SCA</t>
        </is>
      </c>
      <c r="I4701" t="n">
        <v>7.1</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61680-2023</t>
        </is>
      </c>
      <c r="B4702" t="inlineStr">
        <is>
          <t>avverkningsanmälan</t>
        </is>
      </c>
      <c r="C4702" t="inlineStr">
        <is>
          <t>Föryngringsavverkning</t>
        </is>
      </c>
      <c r="D4702" s="1" t="n">
        <v>45265</v>
      </c>
      <c r="E4702" s="1" t="n">
        <v>46326</v>
      </c>
      <c r="F4702" t="inlineStr">
        <is>
          <t>GÄVLEBORGS LÄN</t>
        </is>
      </c>
      <c r="G4702" t="inlineStr">
        <is>
          <t>SÖDERHAMN</t>
        </is>
      </c>
      <c r="I4702" t="n">
        <v>0.6</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56039-2025</t>
        </is>
      </c>
      <c r="B4703" t="inlineStr">
        <is>
          <t>avverkningsanmälan</t>
        </is>
      </c>
      <c r="C4703" t="inlineStr">
        <is>
          <t>Föryngringsavverkning</t>
        </is>
      </c>
      <c r="D4703" s="1" t="n">
        <v>45973</v>
      </c>
      <c r="E4703" s="1" t="n">
        <v>46326</v>
      </c>
      <c r="F4703" t="inlineStr">
        <is>
          <t>GÄVLEBORGS LÄN</t>
        </is>
      </c>
      <c r="G4703" t="inlineStr">
        <is>
          <t>NORDANSTIG</t>
        </is>
      </c>
      <c r="I4703" t="n">
        <v>2.2</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11118-2026</t>
        </is>
      </c>
      <c r="B4704" t="inlineStr">
        <is>
          <t>avverkningsanmälan</t>
        </is>
      </c>
      <c r="C4704" t="inlineStr">
        <is>
          <t>Föryngringsavverkning</t>
        </is>
      </c>
      <c r="D4704" s="1" t="n">
        <v>46079</v>
      </c>
      <c r="E4704" s="1" t="n">
        <v>46326</v>
      </c>
      <c r="F4704" t="inlineStr">
        <is>
          <t>GÄVLEBORGS LÄN</t>
        </is>
      </c>
      <c r="G4704" t="inlineStr">
        <is>
          <t>BOLLNÄS</t>
        </is>
      </c>
      <c r="I4704" t="n">
        <v>3.5</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11201-2026</t>
        </is>
      </c>
      <c r="B4705" t="inlineStr">
        <is>
          <t>avverkningsanmälan</t>
        </is>
      </c>
      <c r="C4705" t="inlineStr">
        <is>
          <t>Föryngringsavverkning</t>
        </is>
      </c>
      <c r="D4705" s="1" t="n">
        <v>46080</v>
      </c>
      <c r="E4705" s="1" t="n">
        <v>46326</v>
      </c>
      <c r="F4705" t="inlineStr">
        <is>
          <t>GÄVLEBORGS LÄN</t>
        </is>
      </c>
      <c r="G4705" t="inlineStr">
        <is>
          <t>OVANÅKER</t>
        </is>
      </c>
      <c r="I4705" t="n">
        <v>1</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56056-2025</t>
        </is>
      </c>
      <c r="B4706" t="inlineStr">
        <is>
          <t>avverkningsanmälan</t>
        </is>
      </c>
      <c r="C4706" t="inlineStr">
        <is>
          <t>Föryngringsavverkning</t>
        </is>
      </c>
      <c r="D4706" s="1" t="n">
        <v>45973</v>
      </c>
      <c r="E4706" s="1" t="n">
        <v>46326</v>
      </c>
      <c r="F4706" t="inlineStr">
        <is>
          <t>GÄVLEBORGS LÄN</t>
        </is>
      </c>
      <c r="G4706" t="inlineStr">
        <is>
          <t>NORDANSTIG</t>
        </is>
      </c>
      <c r="I4706" t="n">
        <v>5.9</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11191-2026</t>
        </is>
      </c>
      <c r="B4707" t="inlineStr">
        <is>
          <t>avverkningsanmälan</t>
        </is>
      </c>
      <c r="C4707" t="inlineStr">
        <is>
          <t>Föryngringsavverkning</t>
        </is>
      </c>
      <c r="D4707" s="1" t="n">
        <v>46080</v>
      </c>
      <c r="E4707" s="1" t="n">
        <v>46326</v>
      </c>
      <c r="F4707" t="inlineStr">
        <is>
          <t>GÄVLEBORGS LÄN</t>
        </is>
      </c>
      <c r="G4707" t="inlineStr">
        <is>
          <t>SANDVIKEN</t>
        </is>
      </c>
      <c r="I4707" t="n">
        <v>2.7</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11237-2026</t>
        </is>
      </c>
      <c r="B4708" t="inlineStr">
        <is>
          <t>avverkningsanmälan</t>
        </is>
      </c>
      <c r="C4708" t="inlineStr">
        <is>
          <t>Föryngringsavverkning</t>
        </is>
      </c>
      <c r="D4708" s="1" t="n">
        <v>46080</v>
      </c>
      <c r="E4708" s="1" t="n">
        <v>46326</v>
      </c>
      <c r="F4708" t="inlineStr">
        <is>
          <t>GÄVLEBORGS LÄN</t>
        </is>
      </c>
      <c r="G4708" t="inlineStr">
        <is>
          <t>OCKELBO</t>
        </is>
      </c>
      <c r="I4708" t="n">
        <v>6.2</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11241-2026</t>
        </is>
      </c>
      <c r="B4709" t="inlineStr">
        <is>
          <t>avverkningsanmälan</t>
        </is>
      </c>
      <c r="C4709" t="inlineStr">
        <is>
          <t>Föryngringsavverkning</t>
        </is>
      </c>
      <c r="D4709" s="1" t="n">
        <v>46080</v>
      </c>
      <c r="E4709" s="1" t="n">
        <v>46326</v>
      </c>
      <c r="F4709" t="inlineStr">
        <is>
          <t>GÄVLEBORGS LÄN</t>
        </is>
      </c>
      <c r="G4709" t="inlineStr">
        <is>
          <t>BOLLNÄS</t>
        </is>
      </c>
      <c r="I4709" t="n">
        <v>1.3</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11170-2026</t>
        </is>
      </c>
      <c r="B4710" t="inlineStr">
        <is>
          <t>avverkningsanmälan</t>
        </is>
      </c>
      <c r="C4710" t="inlineStr">
        <is>
          <t>Föryngringsavverkning</t>
        </is>
      </c>
      <c r="D4710" s="1" t="n">
        <v>46080</v>
      </c>
      <c r="E4710" s="1" t="n">
        <v>46326</v>
      </c>
      <c r="F4710" t="inlineStr">
        <is>
          <t>GÄVLEBORGS LÄN</t>
        </is>
      </c>
      <c r="G4710" t="inlineStr">
        <is>
          <t>OVANÅKER</t>
        </is>
      </c>
      <c r="I4710" t="n">
        <v>1.8</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11309-2026</t>
        </is>
      </c>
      <c r="B4711" t="inlineStr">
        <is>
          <t>avverkningsanmälan</t>
        </is>
      </c>
      <c r="C4711" t="inlineStr">
        <is>
          <t>Avverkning för annat ändamål</t>
        </is>
      </c>
      <c r="D4711" s="1" t="n">
        <v>46080</v>
      </c>
      <c r="E4711" s="1" t="n">
        <v>46326</v>
      </c>
      <c r="F4711" t="inlineStr">
        <is>
          <t>GÄVLEBORGS LÄN</t>
        </is>
      </c>
      <c r="G4711" t="inlineStr">
        <is>
          <t>BOLLNÄS</t>
        </is>
      </c>
      <c r="I4711" t="n">
        <v>0.5</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11019-2026</t>
        </is>
      </c>
      <c r="B4712" t="inlineStr">
        <is>
          <t>avverkningsanmälan</t>
        </is>
      </c>
      <c r="C4712" t="inlineStr">
        <is>
          <t>Föryngringsavverkning</t>
        </is>
      </c>
      <c r="D4712" s="1" t="n">
        <v>46079</v>
      </c>
      <c r="E4712" s="1" t="n">
        <v>46326</v>
      </c>
      <c r="F4712" t="inlineStr">
        <is>
          <t>GÄVLEBORGS LÄN</t>
        </is>
      </c>
      <c r="G4712" t="inlineStr">
        <is>
          <t>BOLLNÄS</t>
        </is>
      </c>
      <c r="H4712" t="inlineStr">
        <is>
          <t>Bergvik skog väst AB</t>
        </is>
      </c>
      <c r="I4712" t="n">
        <v>2.4</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10923-2026</t>
        </is>
      </c>
      <c r="B4713" t="inlineStr">
        <is>
          <t>avverkningsanmälan</t>
        </is>
      </c>
      <c r="C4713" t="inlineStr">
        <is>
          <t>Föryngringsavverkning</t>
        </is>
      </c>
      <c r="D4713" s="1" t="n">
        <v>46079</v>
      </c>
      <c r="E4713" s="1" t="n">
        <v>46326</v>
      </c>
      <c r="F4713" t="inlineStr">
        <is>
          <t>GÄVLEBORGS LÄN</t>
        </is>
      </c>
      <c r="G4713" t="inlineStr">
        <is>
          <t>BOLLNÄS</t>
        </is>
      </c>
      <c r="I4713" t="n">
        <v>3.8</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56120-2025</t>
        </is>
      </c>
      <c r="B4714" t="inlineStr">
        <is>
          <t>avverkningsanmälan</t>
        </is>
      </c>
      <c r="C4714" t="inlineStr">
        <is>
          <t>Föryngringsavverkning</t>
        </is>
      </c>
      <c r="D4714" s="1" t="n">
        <v>45973</v>
      </c>
      <c r="E4714" s="1" t="n">
        <v>46326</v>
      </c>
      <c r="F4714" t="inlineStr">
        <is>
          <t>GÄVLEBORGS LÄN</t>
        </is>
      </c>
      <c r="G4714" t="inlineStr">
        <is>
          <t>GÄVLE</t>
        </is>
      </c>
      <c r="H4714" t="inlineStr">
        <is>
          <t>Bergvik skog väst AB</t>
        </is>
      </c>
      <c r="I4714" t="n">
        <v>2.6</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56122-2025</t>
        </is>
      </c>
      <c r="B4715" t="inlineStr">
        <is>
          <t>avverkningsanmälan</t>
        </is>
      </c>
      <c r="C4715" t="inlineStr">
        <is>
          <t>Föryngringsavverkning</t>
        </is>
      </c>
      <c r="D4715" s="1" t="n">
        <v>45973</v>
      </c>
      <c r="E4715" s="1" t="n">
        <v>46326</v>
      </c>
      <c r="F4715" t="inlineStr">
        <is>
          <t>GÄVLEBORGS LÄN</t>
        </is>
      </c>
      <c r="G4715" t="inlineStr">
        <is>
          <t>GÄVLE</t>
        </is>
      </c>
      <c r="H4715" t="inlineStr">
        <is>
          <t>Bergvik skog väst AB</t>
        </is>
      </c>
      <c r="I4715" t="n">
        <v>2.7</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55911-2025</t>
        </is>
      </c>
      <c r="B4716" t="inlineStr">
        <is>
          <t>avverkningsanmälan</t>
        </is>
      </c>
      <c r="C4716" t="inlineStr">
        <is>
          <t>Avverkning för annat ändamål</t>
        </is>
      </c>
      <c r="D4716" s="1" t="n">
        <v>45973</v>
      </c>
      <c r="E4716" s="1" t="n">
        <v>46326</v>
      </c>
      <c r="F4716" t="inlineStr">
        <is>
          <t>GÄVLEBORGS LÄN</t>
        </is>
      </c>
      <c r="G4716" t="inlineStr">
        <is>
          <t>OCKELBO</t>
        </is>
      </c>
      <c r="H4716" t="inlineStr">
        <is>
          <t>Bergvik skog väst AB</t>
        </is>
      </c>
      <c r="I4716" t="n">
        <v>1.6</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55913-2025</t>
        </is>
      </c>
      <c r="B4717" t="inlineStr">
        <is>
          <t>avverkningsanmälan</t>
        </is>
      </c>
      <c r="C4717" t="inlineStr">
        <is>
          <t>Föryngringsavverkning</t>
        </is>
      </c>
      <c r="D4717" s="1" t="n">
        <v>45973</v>
      </c>
      <c r="E4717" s="1" t="n">
        <v>46326</v>
      </c>
      <c r="F4717" t="inlineStr">
        <is>
          <t>GÄVLEBORGS LÄN</t>
        </is>
      </c>
      <c r="G4717" t="inlineStr">
        <is>
          <t>OCKELBO</t>
        </is>
      </c>
      <c r="I4717" t="n">
        <v>1.2</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11114-2026</t>
        </is>
      </c>
      <c r="B4718" t="inlineStr">
        <is>
          <t>avverkningsanmälan</t>
        </is>
      </c>
      <c r="C4718" t="inlineStr">
        <is>
          <t>Föryngringsavverkning</t>
        </is>
      </c>
      <c r="D4718" s="1" t="n">
        <v>46079</v>
      </c>
      <c r="E4718" s="1" t="n">
        <v>46326</v>
      </c>
      <c r="F4718" t="inlineStr">
        <is>
          <t>GÄVLEBORGS LÄN</t>
        </is>
      </c>
      <c r="G4718" t="inlineStr">
        <is>
          <t>GÄVLE</t>
        </is>
      </c>
      <c r="H4718" t="inlineStr">
        <is>
          <t>Kommuner</t>
        </is>
      </c>
      <c r="I4718" t="n">
        <v>3.5</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11234-2026</t>
        </is>
      </c>
      <c r="B4719" t="inlineStr">
        <is>
          <t>avverkningsanmälan</t>
        </is>
      </c>
      <c r="C4719" t="inlineStr">
        <is>
          <t>Föryngringsavverkning</t>
        </is>
      </c>
      <c r="D4719" s="1" t="n">
        <v>46080</v>
      </c>
      <c r="E4719" s="1" t="n">
        <v>46326</v>
      </c>
      <c r="F4719" t="inlineStr">
        <is>
          <t>GÄVLEBORGS LÄN</t>
        </is>
      </c>
      <c r="G4719" t="inlineStr">
        <is>
          <t>OCKELBO</t>
        </is>
      </c>
      <c r="I4719" t="n">
        <v>2.3</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10984-2026</t>
        </is>
      </c>
      <c r="B4720" t="inlineStr">
        <is>
          <t>avverkningsanmälan</t>
        </is>
      </c>
      <c r="C4720" t="inlineStr">
        <is>
          <t>Föryngringsavverkning</t>
        </is>
      </c>
      <c r="D4720" s="1" t="n">
        <v>46079</v>
      </c>
      <c r="E4720" s="1" t="n">
        <v>46326</v>
      </c>
      <c r="F4720" t="inlineStr">
        <is>
          <t>GÄVLEBORGS LÄN</t>
        </is>
      </c>
      <c r="G4720" t="inlineStr">
        <is>
          <t>NORDANSTIG</t>
        </is>
      </c>
      <c r="I4720" t="n">
        <v>7</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11046-2026</t>
        </is>
      </c>
      <c r="B4721" t="inlineStr">
        <is>
          <t>avverkningsanmälan</t>
        </is>
      </c>
      <c r="C4721" t="inlineStr">
        <is>
          <t>Föryngringsavverkning</t>
        </is>
      </c>
      <c r="D4721" s="1" t="n">
        <v>46079</v>
      </c>
      <c r="E4721" s="1" t="n">
        <v>46326</v>
      </c>
      <c r="F4721" t="inlineStr">
        <is>
          <t>GÄVLEBORGS LÄN</t>
        </is>
      </c>
      <c r="G4721" t="inlineStr">
        <is>
          <t>SÖDERHAMN</t>
        </is>
      </c>
      <c r="I4721" t="n">
        <v>1.5</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56587-2025</t>
        </is>
      </c>
      <c r="B4722" t="inlineStr">
        <is>
          <t>avverkningsanmälan</t>
        </is>
      </c>
      <c r="C4722" t="inlineStr">
        <is>
          <t>Föryngringsavverkning</t>
        </is>
      </c>
      <c r="D4722" s="1" t="n">
        <v>45975</v>
      </c>
      <c r="E4722" s="1" t="n">
        <v>46326</v>
      </c>
      <c r="F4722" t="inlineStr">
        <is>
          <t>GÄVLEBORGS LÄN</t>
        </is>
      </c>
      <c r="G4722" t="inlineStr">
        <is>
          <t>SANDVIKEN</t>
        </is>
      </c>
      <c r="I4722" t="n">
        <v>0.6</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56328-2025</t>
        </is>
      </c>
      <c r="B4723" t="inlineStr">
        <is>
          <t>avverkningsanmälan</t>
        </is>
      </c>
      <c r="C4723" t="inlineStr">
        <is>
          <t>Föryngringsavverkning</t>
        </is>
      </c>
      <c r="D4723" s="1" t="n">
        <v>45974</v>
      </c>
      <c r="E4723" s="1" t="n">
        <v>46326</v>
      </c>
      <c r="F4723" t="inlineStr">
        <is>
          <t>GÄVLEBORGS LÄN</t>
        </is>
      </c>
      <c r="G4723" t="inlineStr">
        <is>
          <t>BOLLNÄS</t>
        </is>
      </c>
      <c r="I4723" t="n">
        <v>2.7</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11133-2026</t>
        </is>
      </c>
      <c r="B4724" t="inlineStr">
        <is>
          <t>avverkningsanmälan</t>
        </is>
      </c>
      <c r="C4724" t="inlineStr">
        <is>
          <t>Föryngringsavverkning</t>
        </is>
      </c>
      <c r="D4724" s="1" t="n">
        <v>46079</v>
      </c>
      <c r="E4724" s="1" t="n">
        <v>46326</v>
      </c>
      <c r="F4724" t="inlineStr">
        <is>
          <t>GÄVLEBORGS LÄN</t>
        </is>
      </c>
      <c r="G4724" t="inlineStr">
        <is>
          <t>BOLLNÄS</t>
        </is>
      </c>
      <c r="I4724" t="n">
        <v>0.6</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2257-2026</t>
        </is>
      </c>
      <c r="B4725" t="inlineStr">
        <is>
          <t>avverkningsanmälan</t>
        </is>
      </c>
      <c r="C4725" t="inlineStr">
        <is>
          <t>Föryngringsavverkning</t>
        </is>
      </c>
      <c r="D4725" s="1" t="n">
        <v>46036</v>
      </c>
      <c r="E4725" s="1" t="n">
        <v>46326</v>
      </c>
      <c r="F4725" t="inlineStr">
        <is>
          <t>GÄVLEBORGS LÄN</t>
        </is>
      </c>
      <c r="G4725" t="inlineStr">
        <is>
          <t>SANDVIKEN</t>
        </is>
      </c>
      <c r="I4725" t="n">
        <v>2.3</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56395-2025</t>
        </is>
      </c>
      <c r="B4726" t="inlineStr">
        <is>
          <t>avverkningsanmälan</t>
        </is>
      </c>
      <c r="C4726" t="inlineStr">
        <is>
          <t>Föryngringsavverkning</t>
        </is>
      </c>
      <c r="D4726" s="1" t="n">
        <v>45974</v>
      </c>
      <c r="E4726" s="1" t="n">
        <v>46326</v>
      </c>
      <c r="F4726" t="inlineStr">
        <is>
          <t>GÄVLEBORGS LÄN</t>
        </is>
      </c>
      <c r="G4726" t="inlineStr">
        <is>
          <t>LJUSDAL</t>
        </is>
      </c>
      <c r="I4726" t="n">
        <v>1.4</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56397-2025</t>
        </is>
      </c>
      <c r="B4727" t="inlineStr">
        <is>
          <t>avverkningsanmälan</t>
        </is>
      </c>
      <c r="C4727" t="inlineStr">
        <is>
          <t>Föryngringsavverkning</t>
        </is>
      </c>
      <c r="D4727" s="1" t="n">
        <v>45974</v>
      </c>
      <c r="E4727" s="1" t="n">
        <v>46326</v>
      </c>
      <c r="F4727" t="inlineStr">
        <is>
          <t>GÄVLEBORGS LÄN</t>
        </is>
      </c>
      <c r="G4727" t="inlineStr">
        <is>
          <t>LJUSDAL</t>
        </is>
      </c>
      <c r="I4727" t="n">
        <v>3.8</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48856-2023</t>
        </is>
      </c>
      <c r="B4728" t="inlineStr">
        <is>
          <t>avverkningsanmälan</t>
        </is>
      </c>
      <c r="C4728" t="inlineStr">
        <is>
          <t>Föryngringsavverkning</t>
        </is>
      </c>
      <c r="D4728" s="1" t="n">
        <v>45209</v>
      </c>
      <c r="E4728" s="1" t="n">
        <v>46326</v>
      </c>
      <c r="F4728" t="inlineStr">
        <is>
          <t>GÄVLEBORGS LÄN</t>
        </is>
      </c>
      <c r="G4728" t="inlineStr">
        <is>
          <t>LJUSDAL</t>
        </is>
      </c>
      <c r="H4728" t="inlineStr">
        <is>
          <t>Bergvik skog väst AB</t>
        </is>
      </c>
      <c r="I4728" t="n">
        <v>2.4</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56271-2025</t>
        </is>
      </c>
      <c r="B4729" t="inlineStr">
        <is>
          <t>avverkningsanmälan</t>
        </is>
      </c>
      <c r="C4729" t="inlineStr">
        <is>
          <t>Föryngringsavverkning</t>
        </is>
      </c>
      <c r="D4729" s="1" t="n">
        <v>45974</v>
      </c>
      <c r="E4729" s="1" t="n">
        <v>46326</v>
      </c>
      <c r="F4729" t="inlineStr">
        <is>
          <t>GÄVLEBORGS LÄN</t>
        </is>
      </c>
      <c r="G4729" t="inlineStr">
        <is>
          <t>GÄVLE</t>
        </is>
      </c>
      <c r="H4729" t="inlineStr">
        <is>
          <t>Bergvik skog öst AB</t>
        </is>
      </c>
      <c r="I4729" t="n">
        <v>2.5</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56277-2025</t>
        </is>
      </c>
      <c r="B4730" t="inlineStr">
        <is>
          <t>avverkningsanmälan</t>
        </is>
      </c>
      <c r="C4730" t="inlineStr">
        <is>
          <t>Föryngringsavverkning</t>
        </is>
      </c>
      <c r="D4730" s="1" t="n">
        <v>45974</v>
      </c>
      <c r="E4730" s="1" t="n">
        <v>46326</v>
      </c>
      <c r="F4730" t="inlineStr">
        <is>
          <t>GÄVLEBORGS LÄN</t>
        </is>
      </c>
      <c r="G4730" t="inlineStr">
        <is>
          <t>GÄVLE</t>
        </is>
      </c>
      <c r="H4730" t="inlineStr">
        <is>
          <t>Bergvik skog öst AB</t>
        </is>
      </c>
      <c r="I4730" t="n">
        <v>0.6</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56188-2025</t>
        </is>
      </c>
      <c r="B4731" t="inlineStr">
        <is>
          <t>avverkningsanmälan</t>
        </is>
      </c>
      <c r="C4731" t="inlineStr">
        <is>
          <t>Föryngringsavverkning</t>
        </is>
      </c>
      <c r="D4731" s="1" t="n">
        <v>45974</v>
      </c>
      <c r="E4731" s="1" t="n">
        <v>46326</v>
      </c>
      <c r="F4731" t="inlineStr">
        <is>
          <t>GÄVLEBORGS LÄN</t>
        </is>
      </c>
      <c r="G4731" t="inlineStr">
        <is>
          <t>BOLLNÄS</t>
        </is>
      </c>
      <c r="I4731" t="n">
        <v>1.7</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68516-2021</t>
        </is>
      </c>
      <c r="B4732" t="inlineStr">
        <is>
          <t>avverkningsanmälan</t>
        </is>
      </c>
      <c r="C4732" t="inlineStr">
        <is>
          <t>Föryngringsavverkning</t>
        </is>
      </c>
      <c r="D4732" s="1" t="n">
        <v>44526</v>
      </c>
      <c r="E4732" s="1" t="n">
        <v>46326</v>
      </c>
      <c r="F4732" t="inlineStr">
        <is>
          <t>GÄVLEBORGS LÄN</t>
        </is>
      </c>
      <c r="G4732" t="inlineStr">
        <is>
          <t>BOLLNÄS</t>
        </is>
      </c>
      <c r="I4732" t="n">
        <v>0.5</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11087-2026</t>
        </is>
      </c>
      <c r="B4733" t="inlineStr">
        <is>
          <t>avverkningsanmälan</t>
        </is>
      </c>
      <c r="C4733" t="inlineStr">
        <is>
          <t>Föryngringsavverkning</t>
        </is>
      </c>
      <c r="D4733" s="1" t="n">
        <v>46079</v>
      </c>
      <c r="E4733" s="1" t="n">
        <v>46326</v>
      </c>
      <c r="F4733" t="inlineStr">
        <is>
          <t>GÄVLEBORGS LÄN</t>
        </is>
      </c>
      <c r="G4733" t="inlineStr">
        <is>
          <t>NORDANSTIG</t>
        </is>
      </c>
      <c r="I4733" t="n">
        <v>1.5</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56608-2025</t>
        </is>
      </c>
      <c r="B4734" t="inlineStr">
        <is>
          <t>avverkningsanmälan</t>
        </is>
      </c>
      <c r="C4734" t="inlineStr">
        <is>
          <t>Föryngringsavverkning</t>
        </is>
      </c>
      <c r="D4734" s="1" t="n">
        <v>45975</v>
      </c>
      <c r="E4734" s="1" t="n">
        <v>46326</v>
      </c>
      <c r="F4734" t="inlineStr">
        <is>
          <t>GÄVLEBORGS LÄN</t>
        </is>
      </c>
      <c r="G4734" t="inlineStr">
        <is>
          <t>SÖDERHAMN</t>
        </is>
      </c>
      <c r="I4734" t="n">
        <v>0.7</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56429-2025</t>
        </is>
      </c>
      <c r="B4735" t="inlineStr">
        <is>
          <t>avverkningsanmälan</t>
        </is>
      </c>
      <c r="C4735" t="inlineStr">
        <is>
          <t>Föryngringsavverkning</t>
        </is>
      </c>
      <c r="D4735" s="1" t="n">
        <v>45975</v>
      </c>
      <c r="E4735" s="1" t="n">
        <v>46326</v>
      </c>
      <c r="F4735" t="inlineStr">
        <is>
          <t>GÄVLEBORGS LÄN</t>
        </is>
      </c>
      <c r="G4735" t="inlineStr">
        <is>
          <t>LJUSDAL</t>
        </is>
      </c>
      <c r="H4735" t="inlineStr">
        <is>
          <t>Bergvik skog väst AB</t>
        </is>
      </c>
      <c r="I4735" t="n">
        <v>6.6</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42947-2022</t>
        </is>
      </c>
      <c r="B4736" t="inlineStr">
        <is>
          <t>avverkningsanmälan</t>
        </is>
      </c>
      <c r="C4736" t="inlineStr">
        <is>
          <t>Föryngringsavverkning</t>
        </is>
      </c>
      <c r="D4736" s="1" t="n">
        <v>44833</v>
      </c>
      <c r="E4736" s="1" t="n">
        <v>46326</v>
      </c>
      <c r="F4736" t="inlineStr">
        <is>
          <t>GÄVLEBORGS LÄN</t>
        </is>
      </c>
      <c r="G4736" t="inlineStr">
        <is>
          <t>NORDANSTIG</t>
        </is>
      </c>
      <c r="I4736" t="n">
        <v>1.8</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42964-2022</t>
        </is>
      </c>
      <c r="B4737" t="inlineStr">
        <is>
          <t>avverkningsanmälan</t>
        </is>
      </c>
      <c r="C4737" t="inlineStr">
        <is>
          <t>Föryngringsavverkning</t>
        </is>
      </c>
      <c r="D4737" s="1" t="n">
        <v>44833</v>
      </c>
      <c r="E4737" s="1" t="n">
        <v>46326</v>
      </c>
      <c r="F4737" t="inlineStr">
        <is>
          <t>GÄVLEBORGS LÄN</t>
        </is>
      </c>
      <c r="G4737" t="inlineStr">
        <is>
          <t>LJUSDAL</t>
        </is>
      </c>
      <c r="H4737" t="inlineStr">
        <is>
          <t>Bergvik skog väst AB</t>
        </is>
      </c>
      <c r="I4737" t="n">
        <v>3</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56454-2025</t>
        </is>
      </c>
      <c r="B4738" t="inlineStr">
        <is>
          <t>avverkningsanmälan</t>
        </is>
      </c>
      <c r="C4738" t="inlineStr">
        <is>
          <t>Föryngringsavverkning</t>
        </is>
      </c>
      <c r="D4738" s="1" t="n">
        <v>45975</v>
      </c>
      <c r="E4738" s="1" t="n">
        <v>46326</v>
      </c>
      <c r="F4738" t="inlineStr">
        <is>
          <t>GÄVLEBORGS LÄN</t>
        </is>
      </c>
      <c r="G4738" t="inlineStr">
        <is>
          <t>OCKELBO</t>
        </is>
      </c>
      <c r="I4738" t="n">
        <v>7.7</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56463-2025</t>
        </is>
      </c>
      <c r="B4739" t="inlineStr">
        <is>
          <t>avverkningsanmälan</t>
        </is>
      </c>
      <c r="C4739" t="inlineStr">
        <is>
          <t>Föryngringsavverkning</t>
        </is>
      </c>
      <c r="D4739" s="1" t="n">
        <v>45975</v>
      </c>
      <c r="E4739" s="1" t="n">
        <v>46326</v>
      </c>
      <c r="F4739" t="inlineStr">
        <is>
          <t>GÄVLEBORGS LÄN</t>
        </is>
      </c>
      <c r="G4739" t="inlineStr">
        <is>
          <t>LJUSDAL</t>
        </is>
      </c>
      <c r="H4739" t="inlineStr">
        <is>
          <t>Bergvik skog väst AB</t>
        </is>
      </c>
      <c r="I4739" t="n">
        <v>18.4</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56474-2025</t>
        </is>
      </c>
      <c r="B4740" t="inlineStr">
        <is>
          <t>avverkningsanmälan</t>
        </is>
      </c>
      <c r="C4740" t="inlineStr">
        <is>
          <t>Föryngringsavverkning</t>
        </is>
      </c>
      <c r="D4740" s="1" t="n">
        <v>45975</v>
      </c>
      <c r="E4740" s="1" t="n">
        <v>46326</v>
      </c>
      <c r="F4740" t="inlineStr">
        <is>
          <t>GÄVLEBORGS LÄN</t>
        </is>
      </c>
      <c r="G4740" t="inlineStr">
        <is>
          <t>LJUSDAL</t>
        </is>
      </c>
      <c r="H4740" t="inlineStr">
        <is>
          <t>Bergvik skog väst AB</t>
        </is>
      </c>
      <c r="I4740" t="n">
        <v>0.7</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55112-2023</t>
        </is>
      </c>
      <c r="B4741" t="inlineStr">
        <is>
          <t>avverkningsanmälan</t>
        </is>
      </c>
      <c r="C4741" t="inlineStr">
        <is>
          <t>Föryngringsavverkning</t>
        </is>
      </c>
      <c r="D4741" s="1" t="n">
        <v>45237</v>
      </c>
      <c r="E4741" s="1" t="n">
        <v>46326</v>
      </c>
      <c r="F4741" t="inlineStr">
        <is>
          <t>GÄVLEBORGS LÄN</t>
        </is>
      </c>
      <c r="G4741" t="inlineStr">
        <is>
          <t>OCKELBO</t>
        </is>
      </c>
      <c r="I4741" t="n">
        <v>14.6</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56481-2025</t>
        </is>
      </c>
      <c r="B4742" t="inlineStr">
        <is>
          <t>avverkningsanmälan</t>
        </is>
      </c>
      <c r="C4742" t="inlineStr">
        <is>
          <t>Föryngringsavverkning</t>
        </is>
      </c>
      <c r="D4742" s="1" t="n">
        <v>45975</v>
      </c>
      <c r="E4742" s="1" t="n">
        <v>46326</v>
      </c>
      <c r="F4742" t="inlineStr">
        <is>
          <t>GÄVLEBORGS LÄN</t>
        </is>
      </c>
      <c r="G4742" t="inlineStr">
        <is>
          <t>BOLLNÄS</t>
        </is>
      </c>
      <c r="I4742" t="n">
        <v>2.7</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10906-2026</t>
        </is>
      </c>
      <c r="B4743" t="inlineStr">
        <is>
          <t>avverkningsanmälan</t>
        </is>
      </c>
      <c r="C4743" t="inlineStr">
        <is>
          <t>Föryngringsavverkning</t>
        </is>
      </c>
      <c r="D4743" s="1" t="n">
        <v>46079</v>
      </c>
      <c r="E4743" s="1" t="n">
        <v>46326</v>
      </c>
      <c r="F4743" t="inlineStr">
        <is>
          <t>GÄVLEBORGS LÄN</t>
        </is>
      </c>
      <c r="G4743" t="inlineStr">
        <is>
          <t>OVANÅKER</t>
        </is>
      </c>
      <c r="I4743" t="n">
        <v>1.7</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11128-2026</t>
        </is>
      </c>
      <c r="B4744" t="inlineStr">
        <is>
          <t>avverkningsanmälan</t>
        </is>
      </c>
      <c r="C4744" t="inlineStr">
        <is>
          <t>Föryngringsavverkning</t>
        </is>
      </c>
      <c r="D4744" s="1" t="n">
        <v>46079</v>
      </c>
      <c r="E4744" s="1" t="n">
        <v>46326</v>
      </c>
      <c r="F4744" t="inlineStr">
        <is>
          <t>GÄVLEBORGS LÄN</t>
        </is>
      </c>
      <c r="G4744" t="inlineStr">
        <is>
          <t>BOLLNÄS</t>
        </is>
      </c>
      <c r="I4744" t="n">
        <v>2.9</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11131-2026</t>
        </is>
      </c>
      <c r="B4745" t="inlineStr">
        <is>
          <t>avverkningsanmälan</t>
        </is>
      </c>
      <c r="C4745" t="inlineStr">
        <is>
          <t>Föryngringsavverkning</t>
        </is>
      </c>
      <c r="D4745" s="1" t="n">
        <v>46079</v>
      </c>
      <c r="E4745" s="1" t="n">
        <v>46326</v>
      </c>
      <c r="F4745" t="inlineStr">
        <is>
          <t>GÄVLEBORGS LÄN</t>
        </is>
      </c>
      <c r="G4745" t="inlineStr">
        <is>
          <t>BOLLNÄS</t>
        </is>
      </c>
      <c r="I4745" t="n">
        <v>1.9</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56637-2025</t>
        </is>
      </c>
      <c r="B4746" t="inlineStr">
        <is>
          <t>avverkningsanmälan</t>
        </is>
      </c>
      <c r="C4746" t="inlineStr">
        <is>
          <t>Föryngringsavverkning</t>
        </is>
      </c>
      <c r="D4746" s="1" t="n">
        <v>45975</v>
      </c>
      <c r="E4746" s="1" t="n">
        <v>46326</v>
      </c>
      <c r="F4746" t="inlineStr">
        <is>
          <t>GÄVLEBORGS LÄN</t>
        </is>
      </c>
      <c r="G4746" t="inlineStr">
        <is>
          <t>HUDIKSVALL</t>
        </is>
      </c>
      <c r="I4746" t="n">
        <v>1.9</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7578-2023</t>
        </is>
      </c>
      <c r="B4747" t="inlineStr">
        <is>
          <t>avverkningsanmälan</t>
        </is>
      </c>
      <c r="C4747" t="inlineStr">
        <is>
          <t>Föryngringsavverkning</t>
        </is>
      </c>
      <c r="D4747" s="1" t="n">
        <v>44972</v>
      </c>
      <c r="E4747" s="1" t="n">
        <v>46326</v>
      </c>
      <c r="F4747" t="inlineStr">
        <is>
          <t>GÄVLEBORGS LÄN</t>
        </is>
      </c>
      <c r="G4747" t="inlineStr">
        <is>
          <t>LJUSDAL</t>
        </is>
      </c>
      <c r="H4747" t="inlineStr">
        <is>
          <t>Kommuner</t>
        </is>
      </c>
      <c r="I4747" t="n">
        <v>4.5</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56250-2025</t>
        </is>
      </c>
      <c r="B4748" t="inlineStr">
        <is>
          <t>avverkningsanmälan</t>
        </is>
      </c>
      <c r="C4748" t="inlineStr">
        <is>
          <t>Föryngringsavverkning</t>
        </is>
      </c>
      <c r="D4748" s="1" t="n">
        <v>45974</v>
      </c>
      <c r="E4748" s="1" t="n">
        <v>46326</v>
      </c>
      <c r="F4748" t="inlineStr">
        <is>
          <t>GÄVLEBORGS LÄN</t>
        </is>
      </c>
      <c r="G4748" t="inlineStr">
        <is>
          <t>HUDIKSVALL</t>
        </is>
      </c>
      <c r="H4748" t="inlineStr">
        <is>
          <t>Holmen skog AB</t>
        </is>
      </c>
      <c r="I4748" t="n">
        <v>2.1</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56267-2025</t>
        </is>
      </c>
      <c r="B4749" t="inlineStr">
        <is>
          <t>avverkningsanmälan</t>
        </is>
      </c>
      <c r="C4749" t="inlineStr">
        <is>
          <t>Föryngringsavverkning</t>
        </is>
      </c>
      <c r="D4749" s="1" t="n">
        <v>45974</v>
      </c>
      <c r="E4749" s="1" t="n">
        <v>46326</v>
      </c>
      <c r="F4749" t="inlineStr">
        <is>
          <t>GÄVLEBORGS LÄN</t>
        </is>
      </c>
      <c r="G4749" t="inlineStr">
        <is>
          <t>GÄVLE</t>
        </is>
      </c>
      <c r="H4749" t="inlineStr">
        <is>
          <t>Bergvik skog öst AB</t>
        </is>
      </c>
      <c r="I4749" t="n">
        <v>0.5</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56272-2025</t>
        </is>
      </c>
      <c r="B4750" t="inlineStr">
        <is>
          <t>avverkningsanmälan</t>
        </is>
      </c>
      <c r="C4750" t="inlineStr">
        <is>
          <t>Föryngringsavverkning</t>
        </is>
      </c>
      <c r="D4750" s="1" t="n">
        <v>45974</v>
      </c>
      <c r="E4750" s="1" t="n">
        <v>46326</v>
      </c>
      <c r="F4750" t="inlineStr">
        <is>
          <t>GÄVLEBORGS LÄN</t>
        </is>
      </c>
      <c r="G4750" t="inlineStr">
        <is>
          <t>GÄVLE</t>
        </is>
      </c>
      <c r="H4750" t="inlineStr">
        <is>
          <t>Bergvik skog öst AB</t>
        </is>
      </c>
      <c r="I4750" t="n">
        <v>1.5</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56273-2025</t>
        </is>
      </c>
      <c r="B4751" t="inlineStr">
        <is>
          <t>avverkningsanmälan</t>
        </is>
      </c>
      <c r="C4751" t="inlineStr">
        <is>
          <t>Föryngringsavverkning</t>
        </is>
      </c>
      <c r="D4751" s="1" t="n">
        <v>45974</v>
      </c>
      <c r="E4751" s="1" t="n">
        <v>46326</v>
      </c>
      <c r="F4751" t="inlineStr">
        <is>
          <t>GÄVLEBORGS LÄN</t>
        </is>
      </c>
      <c r="G4751" t="inlineStr">
        <is>
          <t>GÄVLE</t>
        </is>
      </c>
      <c r="H4751" t="inlineStr">
        <is>
          <t>Bergvik skog öst AB</t>
        </is>
      </c>
      <c r="I4751" t="n">
        <v>2.4</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56276-2025</t>
        </is>
      </c>
      <c r="B4752" t="inlineStr">
        <is>
          <t>avverkningsanmälan</t>
        </is>
      </c>
      <c r="C4752" t="inlineStr">
        <is>
          <t>Föryngringsavverkning</t>
        </is>
      </c>
      <c r="D4752" s="1" t="n">
        <v>45974</v>
      </c>
      <c r="E4752" s="1" t="n">
        <v>46326</v>
      </c>
      <c r="F4752" t="inlineStr">
        <is>
          <t>GÄVLEBORGS LÄN</t>
        </is>
      </c>
      <c r="G4752" t="inlineStr">
        <is>
          <t>LJUSDAL</t>
        </is>
      </c>
      <c r="I4752" t="n">
        <v>3.5</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18168-2022</t>
        </is>
      </c>
      <c r="B4753" t="inlineStr">
        <is>
          <t>avverkningsanmälan</t>
        </is>
      </c>
      <c r="C4753" t="inlineStr">
        <is>
          <t>Föryngringsavverkning</t>
        </is>
      </c>
      <c r="D4753" s="1" t="n">
        <v>44684</v>
      </c>
      <c r="E4753" s="1" t="n">
        <v>46326</v>
      </c>
      <c r="F4753" t="inlineStr">
        <is>
          <t>GÄVLEBORGS LÄN</t>
        </is>
      </c>
      <c r="G4753" t="inlineStr">
        <is>
          <t>GÄVLE</t>
        </is>
      </c>
      <c r="H4753" t="inlineStr">
        <is>
          <t>Bergvik skog väst AB</t>
        </is>
      </c>
      <c r="I4753" t="n">
        <v>2</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10905-2026</t>
        </is>
      </c>
      <c r="B4754" t="inlineStr">
        <is>
          <t>avverkningsanmälan</t>
        </is>
      </c>
      <c r="C4754" t="inlineStr">
        <is>
          <t>Föryngringsavverkning</t>
        </is>
      </c>
      <c r="D4754" s="1" t="n">
        <v>46079</v>
      </c>
      <c r="E4754" s="1" t="n">
        <v>46326</v>
      </c>
      <c r="F4754" t="inlineStr">
        <is>
          <t>GÄVLEBORGS LÄN</t>
        </is>
      </c>
      <c r="G4754" t="inlineStr">
        <is>
          <t>OVANÅKER</t>
        </is>
      </c>
      <c r="I4754" t="n">
        <v>3</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11300-2026</t>
        </is>
      </c>
      <c r="B4755" t="inlineStr">
        <is>
          <t>avverkningsanmälan</t>
        </is>
      </c>
      <c r="C4755" t="inlineStr">
        <is>
          <t>Föryngringsavverkning</t>
        </is>
      </c>
      <c r="D4755" s="1" t="n">
        <v>46080</v>
      </c>
      <c r="E4755" s="1" t="n">
        <v>46326</v>
      </c>
      <c r="F4755" t="inlineStr">
        <is>
          <t>GÄVLEBORGS LÄN</t>
        </is>
      </c>
      <c r="G4755" t="inlineStr">
        <is>
          <t>OCKELBO</t>
        </is>
      </c>
      <c r="I4755" t="n">
        <v>1.8</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11307-2026</t>
        </is>
      </c>
      <c r="B4756" t="inlineStr">
        <is>
          <t>avverkningsanmälan</t>
        </is>
      </c>
      <c r="C4756" t="inlineStr">
        <is>
          <t>Föryngringsavverkning</t>
        </is>
      </c>
      <c r="D4756" s="1" t="n">
        <v>46080</v>
      </c>
      <c r="E4756" s="1" t="n">
        <v>46326</v>
      </c>
      <c r="F4756" t="inlineStr">
        <is>
          <t>GÄVLEBORGS LÄN</t>
        </is>
      </c>
      <c r="G4756" t="inlineStr">
        <is>
          <t>NORDANSTIG</t>
        </is>
      </c>
      <c r="H4756" t="inlineStr">
        <is>
          <t>Holmen skog AB</t>
        </is>
      </c>
      <c r="I4756" t="n">
        <v>2.2</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56275-2025</t>
        </is>
      </c>
      <c r="B4757" t="inlineStr">
        <is>
          <t>avverkningsanmälan</t>
        </is>
      </c>
      <c r="C4757" t="inlineStr">
        <is>
          <t>Föryngringsavverkning</t>
        </is>
      </c>
      <c r="D4757" s="1" t="n">
        <v>45974</v>
      </c>
      <c r="E4757" s="1" t="n">
        <v>46326</v>
      </c>
      <c r="F4757" t="inlineStr">
        <is>
          <t>GÄVLEBORGS LÄN</t>
        </is>
      </c>
      <c r="G4757" t="inlineStr">
        <is>
          <t>GÄVLE</t>
        </is>
      </c>
      <c r="H4757" t="inlineStr">
        <is>
          <t>Bergvik skog öst AB</t>
        </is>
      </c>
      <c r="I4757" t="n">
        <v>1.5</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11027-2026</t>
        </is>
      </c>
      <c r="B4758" t="inlineStr">
        <is>
          <t>avverkningsanmälan</t>
        </is>
      </c>
      <c r="C4758" t="inlineStr">
        <is>
          <t>Föryngringsavverkning</t>
        </is>
      </c>
      <c r="D4758" s="1" t="n">
        <v>46079</v>
      </c>
      <c r="E4758" s="1" t="n">
        <v>46326</v>
      </c>
      <c r="F4758" t="inlineStr">
        <is>
          <t>GÄVLEBORGS LÄN</t>
        </is>
      </c>
      <c r="G4758" t="inlineStr">
        <is>
          <t>OCKELBO</t>
        </is>
      </c>
      <c r="I4758" t="n">
        <v>1.4</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64138-2023</t>
        </is>
      </c>
      <c r="B4759" t="inlineStr">
        <is>
          <t>avverkningsanmälan</t>
        </is>
      </c>
      <c r="C4759" t="inlineStr">
        <is>
          <t>Föryngringsavverkning</t>
        </is>
      </c>
      <c r="D4759" s="1" t="n">
        <v>45279</v>
      </c>
      <c r="E4759" s="1" t="n">
        <v>46326</v>
      </c>
      <c r="F4759" t="inlineStr">
        <is>
          <t>GÄVLEBORGS LÄN</t>
        </is>
      </c>
      <c r="G4759" t="inlineStr">
        <is>
          <t>SÖDERHAMN</t>
        </is>
      </c>
      <c r="I4759" t="n">
        <v>2</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48141-2022</t>
        </is>
      </c>
      <c r="B4760" t="inlineStr">
        <is>
          <t>avverkningsanmälan</t>
        </is>
      </c>
      <c r="C4760" t="inlineStr">
        <is>
          <t>Föryngringsavverkning</t>
        </is>
      </c>
      <c r="D4760" s="1" t="n">
        <v>44858</v>
      </c>
      <c r="E4760" s="1" t="n">
        <v>46326</v>
      </c>
      <c r="F4760" t="inlineStr">
        <is>
          <t>GÄVLEBORGS LÄN</t>
        </is>
      </c>
      <c r="G4760" t="inlineStr">
        <is>
          <t>BOLLNÄS</t>
        </is>
      </c>
      <c r="H4760" t="inlineStr">
        <is>
          <t>Bergvik skog väst AB</t>
        </is>
      </c>
      <c r="I4760" t="n">
        <v>1.5</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56663-2025</t>
        </is>
      </c>
      <c r="B4761" t="inlineStr">
        <is>
          <t>avverkningsanmälan</t>
        </is>
      </c>
      <c r="C4761" t="inlineStr">
        <is>
          <t>Föryngringsavverkning</t>
        </is>
      </c>
      <c r="D4761" s="1" t="n">
        <v>45975</v>
      </c>
      <c r="E4761" s="1" t="n">
        <v>46326</v>
      </c>
      <c r="F4761" t="inlineStr">
        <is>
          <t>GÄVLEBORGS LÄN</t>
        </is>
      </c>
      <c r="G4761" t="inlineStr">
        <is>
          <t>HUDIKSVALL</t>
        </is>
      </c>
      <c r="I4761" t="n">
        <v>1.4</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56357-2025</t>
        </is>
      </c>
      <c r="B4762" t="inlineStr">
        <is>
          <t>avverkningsanmälan</t>
        </is>
      </c>
      <c r="C4762" t="inlineStr">
        <is>
          <t>Föryngringsavverkning</t>
        </is>
      </c>
      <c r="D4762" s="1" t="n">
        <v>45974</v>
      </c>
      <c r="E4762" s="1" t="n">
        <v>46326</v>
      </c>
      <c r="F4762" t="inlineStr">
        <is>
          <t>GÄVLEBORGS LÄN</t>
        </is>
      </c>
      <c r="G4762" t="inlineStr">
        <is>
          <t>NORDANSTIG</t>
        </is>
      </c>
      <c r="H4762" t="inlineStr">
        <is>
          <t>Holmen skog AB</t>
        </is>
      </c>
      <c r="I4762" t="n">
        <v>4.9</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11166-2026</t>
        </is>
      </c>
      <c r="B4763" t="inlineStr">
        <is>
          <t>avverkningsanmälan</t>
        </is>
      </c>
      <c r="C4763" t="inlineStr">
        <is>
          <t>Föryngringsavverkning</t>
        </is>
      </c>
      <c r="D4763" s="1" t="n">
        <v>46080</v>
      </c>
      <c r="E4763" s="1" t="n">
        <v>46326</v>
      </c>
      <c r="F4763" t="inlineStr">
        <is>
          <t>GÄVLEBORGS LÄN</t>
        </is>
      </c>
      <c r="G4763" t="inlineStr">
        <is>
          <t>BOLLNÄS</t>
        </is>
      </c>
      <c r="I4763" t="n">
        <v>1.2</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11308-2026</t>
        </is>
      </c>
      <c r="B4764" t="inlineStr">
        <is>
          <t>avverkningsanmälan</t>
        </is>
      </c>
      <c r="C4764" t="inlineStr">
        <is>
          <t>Avverkning för annat ändamål</t>
        </is>
      </c>
      <c r="D4764" s="1" t="n">
        <v>46080</v>
      </c>
      <c r="E4764" s="1" t="n">
        <v>46326</v>
      </c>
      <c r="F4764" t="inlineStr">
        <is>
          <t>GÄVLEBORGS LÄN</t>
        </is>
      </c>
      <c r="G4764" t="inlineStr">
        <is>
          <t>BOLLNÄS</t>
        </is>
      </c>
      <c r="I4764" t="n">
        <v>0.7</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11213-2026</t>
        </is>
      </c>
      <c r="B4765" t="inlineStr">
        <is>
          <t>avverkningsanmälan</t>
        </is>
      </c>
      <c r="C4765" t="inlineStr">
        <is>
          <t>Föryngringsavverkning</t>
        </is>
      </c>
      <c r="D4765" s="1" t="n">
        <v>46080</v>
      </c>
      <c r="E4765" s="1" t="n">
        <v>46326</v>
      </c>
      <c r="F4765" t="inlineStr">
        <is>
          <t>GÄVLEBORGS LÄN</t>
        </is>
      </c>
      <c r="G4765" t="inlineStr">
        <is>
          <t>SANDVIKEN</t>
        </is>
      </c>
      <c r="I4765" t="n">
        <v>14.5</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11294-2026</t>
        </is>
      </c>
      <c r="B4766" t="inlineStr">
        <is>
          <t>avverkningsanmälan</t>
        </is>
      </c>
      <c r="C4766" t="inlineStr">
        <is>
          <t>Föryngringsavverkning</t>
        </is>
      </c>
      <c r="D4766" s="1" t="n">
        <v>46080</v>
      </c>
      <c r="E4766" s="1" t="n">
        <v>46326</v>
      </c>
      <c r="F4766" t="inlineStr">
        <is>
          <t>GÄVLEBORGS LÄN</t>
        </is>
      </c>
      <c r="G4766" t="inlineStr">
        <is>
          <t>BOLLNÄS</t>
        </is>
      </c>
      <c r="I4766" t="n">
        <v>5.7</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21229-2025</t>
        </is>
      </c>
      <c r="B4767" t="inlineStr">
        <is>
          <t>avverkningsanmälan</t>
        </is>
      </c>
      <c r="C4767" t="inlineStr">
        <is>
          <t>Föryngringsavverkning</t>
        </is>
      </c>
      <c r="D4767" s="1" t="n">
        <v>45779</v>
      </c>
      <c r="E4767" s="1" t="n">
        <v>46326</v>
      </c>
      <c r="F4767" t="inlineStr">
        <is>
          <t>GÄVLEBORGS LÄN</t>
        </is>
      </c>
      <c r="G4767" t="inlineStr">
        <is>
          <t>HUDIKSVALL</t>
        </is>
      </c>
      <c r="H4767" t="inlineStr">
        <is>
          <t>Holmen skog AB</t>
        </is>
      </c>
      <c r="I4767" t="n">
        <v>38.1</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56596-2025</t>
        </is>
      </c>
      <c r="B4768" t="inlineStr">
        <is>
          <t>avverkningsanmälan</t>
        </is>
      </c>
      <c r="C4768" t="inlineStr">
        <is>
          <t>Föryngringsavverkning</t>
        </is>
      </c>
      <c r="D4768" s="1" t="n">
        <v>45975</v>
      </c>
      <c r="E4768" s="1" t="n">
        <v>46326</v>
      </c>
      <c r="F4768" t="inlineStr">
        <is>
          <t>GÄVLEBORGS LÄN</t>
        </is>
      </c>
      <c r="G4768" t="inlineStr">
        <is>
          <t>BOLLNÄS</t>
        </is>
      </c>
      <c r="I4768" t="n">
        <v>1.3</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56609-2025</t>
        </is>
      </c>
      <c r="B4769" t="inlineStr">
        <is>
          <t>avverkningsanmälan</t>
        </is>
      </c>
      <c r="C4769" t="inlineStr">
        <is>
          <t>Föryngringsavverkning</t>
        </is>
      </c>
      <c r="D4769" s="1" t="n">
        <v>45975</v>
      </c>
      <c r="E4769" s="1" t="n">
        <v>46326</v>
      </c>
      <c r="F4769" t="inlineStr">
        <is>
          <t>GÄVLEBORGS LÄN</t>
        </is>
      </c>
      <c r="G4769" t="inlineStr">
        <is>
          <t>BOLLNÄS</t>
        </is>
      </c>
      <c r="I4769" t="n">
        <v>0.8</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56143-2025</t>
        </is>
      </c>
      <c r="B4770" t="inlineStr">
        <is>
          <t>avverkningsanmälan</t>
        </is>
      </c>
      <c r="C4770" t="inlineStr">
        <is>
          <t>Föryngringsavverkning</t>
        </is>
      </c>
      <c r="D4770" s="1" t="n">
        <v>45974</v>
      </c>
      <c r="E4770" s="1" t="n">
        <v>46326</v>
      </c>
      <c r="F4770" t="inlineStr">
        <is>
          <t>GÄVLEBORGS LÄN</t>
        </is>
      </c>
      <c r="G4770" t="inlineStr">
        <is>
          <t>LJUSDAL</t>
        </is>
      </c>
      <c r="H4770" t="inlineStr">
        <is>
          <t>SCA</t>
        </is>
      </c>
      <c r="I4770" t="n">
        <v>4.2</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56151-2025</t>
        </is>
      </c>
      <c r="B4771" t="inlineStr">
        <is>
          <t>avverkningsanmälan</t>
        </is>
      </c>
      <c r="C4771" t="inlineStr">
        <is>
          <t>Föryngringsavverkning</t>
        </is>
      </c>
      <c r="D4771" s="1" t="n">
        <v>45974</v>
      </c>
      <c r="E4771" s="1" t="n">
        <v>46326</v>
      </c>
      <c r="F4771" t="inlineStr">
        <is>
          <t>GÄVLEBORGS LÄN</t>
        </is>
      </c>
      <c r="G4771" t="inlineStr">
        <is>
          <t>HUDIKSVALL</t>
        </is>
      </c>
      <c r="I4771" t="n">
        <v>3.9</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56191-2025</t>
        </is>
      </c>
      <c r="B4772" t="inlineStr">
        <is>
          <t>avverkningsanmälan</t>
        </is>
      </c>
      <c r="C4772" t="inlineStr">
        <is>
          <t>Föryngringsavverkning</t>
        </is>
      </c>
      <c r="D4772" s="1" t="n">
        <v>45974</v>
      </c>
      <c r="E4772" s="1" t="n">
        <v>46326</v>
      </c>
      <c r="F4772" t="inlineStr">
        <is>
          <t>GÄVLEBORGS LÄN</t>
        </is>
      </c>
      <c r="G4772" t="inlineStr">
        <is>
          <t>NORDANSTIG</t>
        </is>
      </c>
      <c r="I4772" t="n">
        <v>4.8</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40613-2023</t>
        </is>
      </c>
      <c r="B4773" t="inlineStr">
        <is>
          <t>avverkningsanmälan</t>
        </is>
      </c>
      <c r="C4773" t="inlineStr">
        <is>
          <t>Föryngringsavverkning</t>
        </is>
      </c>
      <c r="D4773" s="1" t="n">
        <v>45170</v>
      </c>
      <c r="E4773" s="1" t="n">
        <v>46326</v>
      </c>
      <c r="F4773" t="inlineStr">
        <is>
          <t>GÄVLEBORGS LÄN</t>
        </is>
      </c>
      <c r="G4773" t="inlineStr">
        <is>
          <t>NORDANSTIG</t>
        </is>
      </c>
      <c r="H4773" t="inlineStr">
        <is>
          <t>Holmen skog AB</t>
        </is>
      </c>
      <c r="I4773" t="n">
        <v>1.4</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56268-2025</t>
        </is>
      </c>
      <c r="B4774" t="inlineStr">
        <is>
          <t>avverkningsanmälan</t>
        </is>
      </c>
      <c r="C4774" t="inlineStr">
        <is>
          <t>Föryngringsavverkning</t>
        </is>
      </c>
      <c r="D4774" s="1" t="n">
        <v>45974</v>
      </c>
      <c r="E4774" s="1" t="n">
        <v>46326</v>
      </c>
      <c r="F4774" t="inlineStr">
        <is>
          <t>GÄVLEBORGS LÄN</t>
        </is>
      </c>
      <c r="G4774" t="inlineStr">
        <is>
          <t>GÄVLE</t>
        </is>
      </c>
      <c r="H4774" t="inlineStr">
        <is>
          <t>Bergvik skog öst AB</t>
        </is>
      </c>
      <c r="I4774" t="n">
        <v>6.8</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56269-2025</t>
        </is>
      </c>
      <c r="B4775" t="inlineStr">
        <is>
          <t>avverkningsanmälan</t>
        </is>
      </c>
      <c r="C4775" t="inlineStr">
        <is>
          <t>Föryngringsavverkning</t>
        </is>
      </c>
      <c r="D4775" s="1" t="n">
        <v>45974</v>
      </c>
      <c r="E4775" s="1" t="n">
        <v>46326</v>
      </c>
      <c r="F4775" t="inlineStr">
        <is>
          <t>GÄVLEBORGS LÄN</t>
        </is>
      </c>
      <c r="G4775" t="inlineStr">
        <is>
          <t>GÄVLE</t>
        </is>
      </c>
      <c r="H4775" t="inlineStr">
        <is>
          <t>Bergvik skog öst AB</t>
        </is>
      </c>
      <c r="I4775" t="n">
        <v>0.4</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56530-2025</t>
        </is>
      </c>
      <c r="B4776" t="inlineStr">
        <is>
          <t>avverkningsanmälan</t>
        </is>
      </c>
      <c r="C4776" t="inlineStr">
        <is>
          <t>Föryngringsavverkning</t>
        </is>
      </c>
      <c r="D4776" s="1" t="n">
        <v>45975</v>
      </c>
      <c r="E4776" s="1" t="n">
        <v>46326</v>
      </c>
      <c r="F4776" t="inlineStr">
        <is>
          <t>GÄVLEBORGS LÄN</t>
        </is>
      </c>
      <c r="G4776" t="inlineStr">
        <is>
          <t>LJUSDAL</t>
        </is>
      </c>
      <c r="H4776" t="inlineStr">
        <is>
          <t>Sveaskog</t>
        </is>
      </c>
      <c r="I4776" t="n">
        <v>3.3</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44687-2024</t>
        </is>
      </c>
      <c r="B4777" t="inlineStr">
        <is>
          <t>avverkningsanmälan</t>
        </is>
      </c>
      <c r="C4777" t="inlineStr">
        <is>
          <t>Föryngringsavverkning</t>
        </is>
      </c>
      <c r="D4777" s="1" t="n">
        <v>45574</v>
      </c>
      <c r="E4777" s="1" t="n">
        <v>46326</v>
      </c>
      <c r="F4777" t="inlineStr">
        <is>
          <t>GÄVLEBORGS LÄN</t>
        </is>
      </c>
      <c r="G4777" t="inlineStr">
        <is>
          <t>HUDIKSVALL</t>
        </is>
      </c>
      <c r="I4777" t="n">
        <v>17.3</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56244-2025</t>
        </is>
      </c>
      <c r="B4778" t="inlineStr">
        <is>
          <t>avverkningsanmälan</t>
        </is>
      </c>
      <c r="C4778" t="inlineStr">
        <is>
          <t>Föryngringsavverkning</t>
        </is>
      </c>
      <c r="D4778" s="1" t="n">
        <v>45974</v>
      </c>
      <c r="E4778" s="1" t="n">
        <v>46326</v>
      </c>
      <c r="F4778" t="inlineStr">
        <is>
          <t>GÄVLEBORGS LÄN</t>
        </is>
      </c>
      <c r="G4778" t="inlineStr">
        <is>
          <t>HUDIKSVALL</t>
        </is>
      </c>
      <c r="H4778" t="inlineStr">
        <is>
          <t>Holmen skog AB</t>
        </is>
      </c>
      <c r="I4778" t="n">
        <v>5.5</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11371-2026</t>
        </is>
      </c>
      <c r="B4779" t="inlineStr">
        <is>
          <t>avverkningsanmälan</t>
        </is>
      </c>
      <c r="C4779" t="inlineStr">
        <is>
          <t>Föryngringsavverkning</t>
        </is>
      </c>
      <c r="D4779" s="1" t="n">
        <v>46083</v>
      </c>
      <c r="E4779" s="1" t="n">
        <v>46326</v>
      </c>
      <c r="F4779" t="inlineStr">
        <is>
          <t>GÄVLEBORGS LÄN</t>
        </is>
      </c>
      <c r="G4779" t="inlineStr">
        <is>
          <t>BOLLNÄS</t>
        </is>
      </c>
      <c r="I4779" t="n">
        <v>0.7</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57887-2025</t>
        </is>
      </c>
      <c r="B4780" t="inlineStr">
        <is>
          <t>avverkningsanmälan</t>
        </is>
      </c>
      <c r="C4780" t="inlineStr">
        <is>
          <t>Avverkning för annat ändamål</t>
        </is>
      </c>
      <c r="D4780" s="1" t="n">
        <v>45981</v>
      </c>
      <c r="E4780" s="1" t="n">
        <v>46326</v>
      </c>
      <c r="F4780" t="inlineStr">
        <is>
          <t>GÄVLEBORGS LÄN</t>
        </is>
      </c>
      <c r="G4780" t="inlineStr">
        <is>
          <t>BOLLNÄS</t>
        </is>
      </c>
      <c r="I4780" t="n">
        <v>2</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56270-2025</t>
        </is>
      </c>
      <c r="B4781" t="inlineStr">
        <is>
          <t>avverkningsanmälan</t>
        </is>
      </c>
      <c r="C4781" t="inlineStr">
        <is>
          <t>Föryngringsavverkning</t>
        </is>
      </c>
      <c r="D4781" s="1" t="n">
        <v>45974</v>
      </c>
      <c r="E4781" s="1" t="n">
        <v>46326</v>
      </c>
      <c r="F4781" t="inlineStr">
        <is>
          <t>GÄVLEBORGS LÄN</t>
        </is>
      </c>
      <c r="G4781" t="inlineStr">
        <is>
          <t>GÄVLE</t>
        </is>
      </c>
      <c r="H4781" t="inlineStr">
        <is>
          <t>Bergvik skog öst AB</t>
        </is>
      </c>
      <c r="I4781" t="n">
        <v>0.7</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56228-2025</t>
        </is>
      </c>
      <c r="B4782" t="inlineStr">
        <is>
          <t>avverkningsanmälan</t>
        </is>
      </c>
      <c r="C4782" t="inlineStr">
        <is>
          <t>Föryngringsavverkning</t>
        </is>
      </c>
      <c r="D4782" s="1" t="n">
        <v>45974</v>
      </c>
      <c r="E4782" s="1" t="n">
        <v>46326</v>
      </c>
      <c r="F4782" t="inlineStr">
        <is>
          <t>GÄVLEBORGS LÄN</t>
        </is>
      </c>
      <c r="G4782" t="inlineStr">
        <is>
          <t>SÖDERHAMN</t>
        </is>
      </c>
      <c r="I4782" t="n">
        <v>9.800000000000001</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56877-2025</t>
        </is>
      </c>
      <c r="B4783" t="inlineStr">
        <is>
          <t>avverkningsanmälan</t>
        </is>
      </c>
      <c r="C4783" t="inlineStr">
        <is>
          <t>Föryngringsavverkning</t>
        </is>
      </c>
      <c r="D4783" s="1" t="n">
        <v>45978</v>
      </c>
      <c r="E4783" s="1" t="n">
        <v>46326</v>
      </c>
      <c r="F4783" t="inlineStr">
        <is>
          <t>GÄVLEBORGS LÄN</t>
        </is>
      </c>
      <c r="G4783" t="inlineStr">
        <is>
          <t>OCKELBO</t>
        </is>
      </c>
      <c r="I4783" t="n">
        <v>1.4</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56698-2025</t>
        </is>
      </c>
      <c r="B4784" t="inlineStr">
        <is>
          <t>avverkningsanmälan</t>
        </is>
      </c>
      <c r="C4784" t="inlineStr">
        <is>
          <t>Föryngringsavverkning</t>
        </is>
      </c>
      <c r="D4784" s="1" t="n">
        <v>45976</v>
      </c>
      <c r="E4784" s="1" t="n">
        <v>46326</v>
      </c>
      <c r="F4784" t="inlineStr">
        <is>
          <t>GÄVLEBORGS LÄN</t>
        </is>
      </c>
      <c r="G4784" t="inlineStr">
        <is>
          <t>HUDIKSVALL</t>
        </is>
      </c>
      <c r="I4784" t="n">
        <v>2.4</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56766-2025</t>
        </is>
      </c>
      <c r="B4785" t="inlineStr">
        <is>
          <t>avverkningsanmälan</t>
        </is>
      </c>
      <c r="C4785" t="inlineStr">
        <is>
          <t>Föryngringsavverkning</t>
        </is>
      </c>
      <c r="D4785" s="1" t="n">
        <v>45978</v>
      </c>
      <c r="E4785" s="1" t="n">
        <v>46326</v>
      </c>
      <c r="F4785" t="inlineStr">
        <is>
          <t>GÄVLEBORGS LÄN</t>
        </is>
      </c>
      <c r="G4785" t="inlineStr">
        <is>
          <t>OVANÅKER</t>
        </is>
      </c>
      <c r="H4785" t="inlineStr">
        <is>
          <t>Bergvik skog väst AB</t>
        </is>
      </c>
      <c r="I4785" t="n">
        <v>0.9</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56774-2025</t>
        </is>
      </c>
      <c r="B4786" t="inlineStr">
        <is>
          <t>avverkningsanmälan</t>
        </is>
      </c>
      <c r="C4786" t="inlineStr">
        <is>
          <t>Föryngringsavverkning</t>
        </is>
      </c>
      <c r="D4786" s="1" t="n">
        <v>45978</v>
      </c>
      <c r="E4786" s="1" t="n">
        <v>46326</v>
      </c>
      <c r="F4786" t="inlineStr">
        <is>
          <t>GÄVLEBORGS LÄN</t>
        </is>
      </c>
      <c r="G4786" t="inlineStr">
        <is>
          <t>GÄVLE</t>
        </is>
      </c>
      <c r="H4786" t="inlineStr">
        <is>
          <t>Bergvik skog väst AB</t>
        </is>
      </c>
      <c r="I4786" t="n">
        <v>3.1</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56776-2025</t>
        </is>
      </c>
      <c r="B4787" t="inlineStr">
        <is>
          <t>avverkningsanmälan</t>
        </is>
      </c>
      <c r="C4787" t="inlineStr">
        <is>
          <t>Föryngringsavverkning</t>
        </is>
      </c>
      <c r="D4787" s="1" t="n">
        <v>45978</v>
      </c>
      <c r="E4787" s="1" t="n">
        <v>46326</v>
      </c>
      <c r="F4787" t="inlineStr">
        <is>
          <t>GÄVLEBORGS LÄN</t>
        </is>
      </c>
      <c r="G4787" t="inlineStr">
        <is>
          <t>GÄVLE</t>
        </is>
      </c>
      <c r="H4787" t="inlineStr">
        <is>
          <t>Bergvik skog väst AB</t>
        </is>
      </c>
      <c r="I4787" t="n">
        <v>2.2</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33959-2023</t>
        </is>
      </c>
      <c r="B4788" t="inlineStr">
        <is>
          <t>avverkningsanmälan</t>
        </is>
      </c>
      <c r="C4788" t="inlineStr">
        <is>
          <t>Föryngringsavverkning</t>
        </is>
      </c>
      <c r="D4788" s="1" t="n">
        <v>45124</v>
      </c>
      <c r="E4788" s="1" t="n">
        <v>46326</v>
      </c>
      <c r="F4788" t="inlineStr">
        <is>
          <t>GÄVLEBORGS LÄN</t>
        </is>
      </c>
      <c r="G4788" t="inlineStr">
        <is>
          <t>HUDIKSVALL</t>
        </is>
      </c>
      <c r="I4788" t="n">
        <v>2</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57284-2025</t>
        </is>
      </c>
      <c r="B4789" t="inlineStr">
        <is>
          <t>avverkningsanmälan</t>
        </is>
      </c>
      <c r="C4789" t="inlineStr">
        <is>
          <t>Föryngringsavverkning</t>
        </is>
      </c>
      <c r="D4789" s="1" t="n">
        <v>45979</v>
      </c>
      <c r="E4789" s="1" t="n">
        <v>46326</v>
      </c>
      <c r="F4789" t="inlineStr">
        <is>
          <t>GÄVLEBORGS LÄN</t>
        </is>
      </c>
      <c r="G4789" t="inlineStr">
        <is>
          <t>NORDANSTIG</t>
        </is>
      </c>
      <c r="H4789" t="inlineStr">
        <is>
          <t>SCA</t>
        </is>
      </c>
      <c r="I4789" t="n">
        <v>0.5</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56694-2025</t>
        </is>
      </c>
      <c r="B4790" t="inlineStr">
        <is>
          <t>avverkningsanmälan</t>
        </is>
      </c>
      <c r="C4790" t="inlineStr">
        <is>
          <t>Föryngringsavverkning</t>
        </is>
      </c>
      <c r="D4790" s="1" t="n">
        <v>45976</v>
      </c>
      <c r="E4790" s="1" t="n">
        <v>46326</v>
      </c>
      <c r="F4790" t="inlineStr">
        <is>
          <t>GÄVLEBORGS LÄN</t>
        </is>
      </c>
      <c r="G4790" t="inlineStr">
        <is>
          <t>HUDIKSVALL</t>
        </is>
      </c>
      <c r="I4790" t="n">
        <v>0.9</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57159-2025</t>
        </is>
      </c>
      <c r="B4791" t="inlineStr">
        <is>
          <t>avverkningsanmälan</t>
        </is>
      </c>
      <c r="C4791" t="inlineStr">
        <is>
          <t>Föryngringsavverkning</t>
        </is>
      </c>
      <c r="D4791" s="1" t="n">
        <v>45979</v>
      </c>
      <c r="E4791" s="1" t="n">
        <v>46326</v>
      </c>
      <c r="F4791" t="inlineStr">
        <is>
          <t>GÄVLEBORGS LÄN</t>
        </is>
      </c>
      <c r="G4791" t="inlineStr">
        <is>
          <t>OVANÅKER</t>
        </is>
      </c>
      <c r="I4791" t="n">
        <v>2.3</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56888-2025</t>
        </is>
      </c>
      <c r="B4792" t="inlineStr">
        <is>
          <t>avverkningsanmälan</t>
        </is>
      </c>
      <c r="C4792" t="inlineStr">
        <is>
          <t>Föryngringsavverkning</t>
        </is>
      </c>
      <c r="D4792" s="1" t="n">
        <v>45978</v>
      </c>
      <c r="E4792" s="1" t="n">
        <v>46326</v>
      </c>
      <c r="F4792" t="inlineStr">
        <is>
          <t>GÄVLEBORGS LÄN</t>
        </is>
      </c>
      <c r="G4792" t="inlineStr">
        <is>
          <t>OCKELBO</t>
        </is>
      </c>
      <c r="I4792" t="n">
        <v>1.8</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11367-2026</t>
        </is>
      </c>
      <c r="B4793" t="inlineStr">
        <is>
          <t>avverkningsanmälan</t>
        </is>
      </c>
      <c r="C4793" t="inlineStr">
        <is>
          <t>Föryngringsavverkning</t>
        </is>
      </c>
      <c r="D4793" s="1" t="n">
        <v>46083</v>
      </c>
      <c r="E4793" s="1" t="n">
        <v>46326</v>
      </c>
      <c r="F4793" t="inlineStr">
        <is>
          <t>GÄVLEBORGS LÄN</t>
        </is>
      </c>
      <c r="G4793" t="inlineStr">
        <is>
          <t>BOLLNÄS</t>
        </is>
      </c>
      <c r="I4793" t="n">
        <v>6.6</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11343-2026</t>
        </is>
      </c>
      <c r="B4794" t="inlineStr">
        <is>
          <t>avverkningsanmälan</t>
        </is>
      </c>
      <c r="C4794" t="inlineStr">
        <is>
          <t>Föryngringsavverkning</t>
        </is>
      </c>
      <c r="D4794" s="1" t="n">
        <v>46082</v>
      </c>
      <c r="E4794" s="1" t="n">
        <v>46326</v>
      </c>
      <c r="F4794" t="inlineStr">
        <is>
          <t>GÄVLEBORGS LÄN</t>
        </is>
      </c>
      <c r="G4794" t="inlineStr">
        <is>
          <t>BOLLNÄS</t>
        </is>
      </c>
      <c r="I4794" t="n">
        <v>3.2</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56919-2025</t>
        </is>
      </c>
      <c r="B4795" t="inlineStr">
        <is>
          <t>avverkningsanmälan</t>
        </is>
      </c>
      <c r="C4795" t="inlineStr">
        <is>
          <t>Föryngringsavverkning</t>
        </is>
      </c>
      <c r="D4795" s="1" t="n">
        <v>45978</v>
      </c>
      <c r="E4795" s="1" t="n">
        <v>46326</v>
      </c>
      <c r="F4795" t="inlineStr">
        <is>
          <t>GÄVLEBORGS LÄN</t>
        </is>
      </c>
      <c r="G4795" t="inlineStr">
        <is>
          <t>OCKELBO</t>
        </is>
      </c>
      <c r="I4795" t="n">
        <v>2</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56921-2025</t>
        </is>
      </c>
      <c r="B4796" t="inlineStr">
        <is>
          <t>avverkningsanmälan</t>
        </is>
      </c>
      <c r="C4796" t="inlineStr">
        <is>
          <t>Föryngringsavverkning</t>
        </is>
      </c>
      <c r="D4796" s="1" t="n">
        <v>45978</v>
      </c>
      <c r="E4796" s="1" t="n">
        <v>46326</v>
      </c>
      <c r="F4796" t="inlineStr">
        <is>
          <t>GÄVLEBORGS LÄN</t>
        </is>
      </c>
      <c r="G4796" t="inlineStr">
        <is>
          <t>OCKELBO</t>
        </is>
      </c>
      <c r="I4796" t="n">
        <v>0.6</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21027-2024</t>
        </is>
      </c>
      <c r="B4797" t="inlineStr">
        <is>
          <t>avverkningsanmälan</t>
        </is>
      </c>
      <c r="C4797" t="inlineStr">
        <is>
          <t>Föryngringsavverkning</t>
        </is>
      </c>
      <c r="D4797" s="1" t="n">
        <v>45439</v>
      </c>
      <c r="E4797" s="1" t="n">
        <v>46326</v>
      </c>
      <c r="F4797" t="inlineStr">
        <is>
          <t>GÄVLEBORGS LÄN</t>
        </is>
      </c>
      <c r="G4797" t="inlineStr">
        <is>
          <t>HOFORS</t>
        </is>
      </c>
      <c r="H4797" t="inlineStr">
        <is>
          <t>Sveaskog</t>
        </is>
      </c>
      <c r="I4797" t="n">
        <v>1.9</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21028-2024</t>
        </is>
      </c>
      <c r="B4798" t="inlineStr">
        <is>
          <t>avverkningsanmälan</t>
        </is>
      </c>
      <c r="C4798" t="inlineStr">
        <is>
          <t>Föryngringsavverkning</t>
        </is>
      </c>
      <c r="D4798" s="1" t="n">
        <v>45439</v>
      </c>
      <c r="E4798" s="1" t="n">
        <v>46326</v>
      </c>
      <c r="F4798" t="inlineStr">
        <is>
          <t>GÄVLEBORGS LÄN</t>
        </is>
      </c>
      <c r="G4798" t="inlineStr">
        <is>
          <t>HOFORS</t>
        </is>
      </c>
      <c r="H4798" t="inlineStr">
        <is>
          <t>Sveaskog</t>
        </is>
      </c>
      <c r="I4798" t="n">
        <v>1.6</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56945-2025</t>
        </is>
      </c>
      <c r="B4799" t="inlineStr">
        <is>
          <t>avverkningsanmälan</t>
        </is>
      </c>
      <c r="C4799" t="inlineStr">
        <is>
          <t>Föryngringsavverkning</t>
        </is>
      </c>
      <c r="D4799" s="1" t="n">
        <v>45978</v>
      </c>
      <c r="E4799" s="1" t="n">
        <v>46326</v>
      </c>
      <c r="F4799" t="inlineStr">
        <is>
          <t>GÄVLEBORGS LÄN</t>
        </is>
      </c>
      <c r="G4799" t="inlineStr">
        <is>
          <t>SÖDERHAMN</t>
        </is>
      </c>
      <c r="I4799" t="n">
        <v>0.8</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56825-2025</t>
        </is>
      </c>
      <c r="B4800" t="inlineStr">
        <is>
          <t>avverkningsanmälan</t>
        </is>
      </c>
      <c r="C4800" t="inlineStr">
        <is>
          <t>Föryngringsavverkning</t>
        </is>
      </c>
      <c r="D4800" s="1" t="n">
        <v>45978</v>
      </c>
      <c r="E4800" s="1" t="n">
        <v>46326</v>
      </c>
      <c r="F4800" t="inlineStr">
        <is>
          <t>GÄVLEBORGS LÄN</t>
        </is>
      </c>
      <c r="G4800" t="inlineStr">
        <is>
          <t>LJUSDAL</t>
        </is>
      </c>
      <c r="H4800" t="inlineStr">
        <is>
          <t>Allmännings- och besparingsskogar</t>
        </is>
      </c>
      <c r="I4800" t="n">
        <v>7.7</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56695-2025</t>
        </is>
      </c>
      <c r="B4801" t="inlineStr">
        <is>
          <t>avverkningsanmälan</t>
        </is>
      </c>
      <c r="C4801" t="inlineStr">
        <is>
          <t>Föryngringsavverkning</t>
        </is>
      </c>
      <c r="D4801" s="1" t="n">
        <v>45976</v>
      </c>
      <c r="E4801" s="1" t="n">
        <v>46326</v>
      </c>
      <c r="F4801" t="inlineStr">
        <is>
          <t>GÄVLEBORGS LÄN</t>
        </is>
      </c>
      <c r="G4801" t="inlineStr">
        <is>
          <t>HUDIKSVALL</t>
        </is>
      </c>
      <c r="I4801" t="n">
        <v>3.3</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56703-2025</t>
        </is>
      </c>
      <c r="B4802" t="inlineStr">
        <is>
          <t>avverkningsanmälan</t>
        </is>
      </c>
      <c r="C4802" t="inlineStr">
        <is>
          <t>Föryngringsavverkning</t>
        </is>
      </c>
      <c r="D4802" s="1" t="n">
        <v>45977</v>
      </c>
      <c r="E4802" s="1" t="n">
        <v>46326</v>
      </c>
      <c r="F4802" t="inlineStr">
        <is>
          <t>GÄVLEBORGS LÄN</t>
        </is>
      </c>
      <c r="G4802" t="inlineStr">
        <is>
          <t>SANDVIKEN</t>
        </is>
      </c>
      <c r="I4802" t="n">
        <v>4.8</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9366-2024</t>
        </is>
      </c>
      <c r="B4803" t="inlineStr">
        <is>
          <t>avverkningsanmälan</t>
        </is>
      </c>
      <c r="C4803" t="inlineStr">
        <is>
          <t>Föryngringsavverkning</t>
        </is>
      </c>
      <c r="D4803" s="1" t="n">
        <v>45359</v>
      </c>
      <c r="E4803" s="1" t="n">
        <v>46326</v>
      </c>
      <c r="F4803" t="inlineStr">
        <is>
          <t>GÄVLEBORGS LÄN</t>
        </is>
      </c>
      <c r="G4803" t="inlineStr">
        <is>
          <t>HUDIKSVALL</t>
        </is>
      </c>
      <c r="H4803" t="inlineStr">
        <is>
          <t>Holmen skog AB</t>
        </is>
      </c>
      <c r="I4803" t="n">
        <v>13.6</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926-2022</t>
        </is>
      </c>
      <c r="B4804" t="inlineStr">
        <is>
          <t>avverkningsanmälan</t>
        </is>
      </c>
      <c r="C4804" t="inlineStr">
        <is>
          <t>Föryngringsavverkning</t>
        </is>
      </c>
      <c r="D4804" s="1" t="n">
        <v>44571</v>
      </c>
      <c r="E4804" s="1" t="n">
        <v>46326</v>
      </c>
      <c r="F4804" t="inlineStr">
        <is>
          <t>GÄVLEBORGS LÄN</t>
        </is>
      </c>
      <c r="G4804" t="inlineStr">
        <is>
          <t>OVANÅKER</t>
        </is>
      </c>
      <c r="I4804" t="n">
        <v>0.5</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57214-2025</t>
        </is>
      </c>
      <c r="B4805" t="inlineStr">
        <is>
          <t>avverkningsanmälan</t>
        </is>
      </c>
      <c r="C4805" t="inlineStr">
        <is>
          <t>Föryngringsavverkning</t>
        </is>
      </c>
      <c r="D4805" s="1" t="n">
        <v>45979</v>
      </c>
      <c r="E4805" s="1" t="n">
        <v>46326</v>
      </c>
      <c r="F4805" t="inlineStr">
        <is>
          <t>GÄVLEBORGS LÄN</t>
        </is>
      </c>
      <c r="G4805" t="inlineStr">
        <is>
          <t>BOLLNÄS</t>
        </is>
      </c>
      <c r="I4805" t="n">
        <v>0.9</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57054-2025</t>
        </is>
      </c>
      <c r="B4806" t="inlineStr">
        <is>
          <t>avverkningsanmälan</t>
        </is>
      </c>
      <c r="C4806" t="inlineStr">
        <is>
          <t>Föryngringsavverkning</t>
        </is>
      </c>
      <c r="D4806" s="1" t="n">
        <v>45979</v>
      </c>
      <c r="E4806" s="1" t="n">
        <v>46326</v>
      </c>
      <c r="F4806" t="inlineStr">
        <is>
          <t>GÄVLEBORGS LÄN</t>
        </is>
      </c>
      <c r="G4806" t="inlineStr">
        <is>
          <t>BOLLNÄS</t>
        </is>
      </c>
      <c r="I4806" t="n">
        <v>1.2</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11680-2026</t>
        </is>
      </c>
      <c r="B4807" t="inlineStr">
        <is>
          <t>avverkningsanmälan</t>
        </is>
      </c>
      <c r="C4807" t="inlineStr">
        <is>
          <t>Föryngringsavverkning</t>
        </is>
      </c>
      <c r="D4807" s="1" t="n">
        <v>46084</v>
      </c>
      <c r="E4807" s="1" t="n">
        <v>46326</v>
      </c>
      <c r="F4807" t="inlineStr">
        <is>
          <t>GÄVLEBORGS LÄN</t>
        </is>
      </c>
      <c r="G4807" t="inlineStr">
        <is>
          <t>BOLLNÄS</t>
        </is>
      </c>
      <c r="I4807" t="n">
        <v>1.4</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11707-2026</t>
        </is>
      </c>
      <c r="B4808" t="inlineStr">
        <is>
          <t>avverkningsanmälan</t>
        </is>
      </c>
      <c r="C4808" t="inlineStr">
        <is>
          <t>Föryngringsavverkning</t>
        </is>
      </c>
      <c r="D4808" s="1" t="n">
        <v>46084</v>
      </c>
      <c r="E4808" s="1" t="n">
        <v>46326</v>
      </c>
      <c r="F4808" t="inlineStr">
        <is>
          <t>GÄVLEBORGS LÄN</t>
        </is>
      </c>
      <c r="G4808" t="inlineStr">
        <is>
          <t>SANDVIKEN</t>
        </is>
      </c>
      <c r="H4808" t="inlineStr">
        <is>
          <t>Bergvik skog öst AB</t>
        </is>
      </c>
      <c r="I4808" t="n">
        <v>1</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11713-2026</t>
        </is>
      </c>
      <c r="B4809" t="inlineStr">
        <is>
          <t>avverkningsanmälan</t>
        </is>
      </c>
      <c r="C4809" t="inlineStr">
        <is>
          <t>Föryngringsavverkning</t>
        </is>
      </c>
      <c r="D4809" s="1" t="n">
        <v>46084</v>
      </c>
      <c r="E4809" s="1" t="n">
        <v>46326</v>
      </c>
      <c r="F4809" t="inlineStr">
        <is>
          <t>GÄVLEBORGS LÄN</t>
        </is>
      </c>
      <c r="G4809" t="inlineStr">
        <is>
          <t>NORDANSTIG</t>
        </is>
      </c>
      <c r="I4809" t="n">
        <v>2.5</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56882-2025</t>
        </is>
      </c>
      <c r="B4810" t="inlineStr">
        <is>
          <t>avverkningsanmälan</t>
        </is>
      </c>
      <c r="C4810" t="inlineStr">
        <is>
          <t>Föryngringsavverkning</t>
        </is>
      </c>
      <c r="D4810" s="1" t="n">
        <v>45978</v>
      </c>
      <c r="E4810" s="1" t="n">
        <v>46326</v>
      </c>
      <c r="F4810" t="inlineStr">
        <is>
          <t>GÄVLEBORGS LÄN</t>
        </is>
      </c>
      <c r="G4810" t="inlineStr">
        <is>
          <t>OCKELBO</t>
        </is>
      </c>
      <c r="I4810" t="n">
        <v>0.8</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3328-2026</t>
        </is>
      </c>
      <c r="B4811" t="inlineStr">
        <is>
          <t>avverkningsanmälan</t>
        </is>
      </c>
      <c r="C4811" t="inlineStr">
        <is>
          <t>Föryngringsavverkning</t>
        </is>
      </c>
      <c r="D4811" s="1" t="n">
        <v>46041</v>
      </c>
      <c r="E4811" s="1" t="n">
        <v>46326</v>
      </c>
      <c r="F4811" t="inlineStr">
        <is>
          <t>GÄVLEBORGS LÄN</t>
        </is>
      </c>
      <c r="G4811" t="inlineStr">
        <is>
          <t>HUDIKSVALL</t>
        </is>
      </c>
      <c r="I4811" t="n">
        <v>3.7</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11345-2026</t>
        </is>
      </c>
      <c r="B4812" t="inlineStr">
        <is>
          <t>avverkningsanmälan</t>
        </is>
      </c>
      <c r="C4812" t="inlineStr">
        <is>
          <t>Föryngringsavverkning</t>
        </is>
      </c>
      <c r="D4812" s="1" t="n">
        <v>46082</v>
      </c>
      <c r="E4812" s="1" t="n">
        <v>46326</v>
      </c>
      <c r="F4812" t="inlineStr">
        <is>
          <t>GÄVLEBORGS LÄN</t>
        </is>
      </c>
      <c r="G4812" t="inlineStr">
        <is>
          <t>BOLLNÄS</t>
        </is>
      </c>
      <c r="I4812" t="n">
        <v>2.4</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11725-2026</t>
        </is>
      </c>
      <c r="B4813" t="inlineStr">
        <is>
          <t>avverkningsanmälan</t>
        </is>
      </c>
      <c r="C4813" t="inlineStr">
        <is>
          <t>Föryngringsavverkning</t>
        </is>
      </c>
      <c r="D4813" s="1" t="n">
        <v>46084</v>
      </c>
      <c r="E4813" s="1" t="n">
        <v>46326</v>
      </c>
      <c r="F4813" t="inlineStr">
        <is>
          <t>GÄVLEBORGS LÄN</t>
        </is>
      </c>
      <c r="G4813" t="inlineStr">
        <is>
          <t>SANDVIKEN</t>
        </is>
      </c>
      <c r="H4813" t="inlineStr">
        <is>
          <t>Bergvik skog öst AB</t>
        </is>
      </c>
      <c r="I4813" t="n">
        <v>10.5</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55860-2025</t>
        </is>
      </c>
      <c r="B4814" t="inlineStr">
        <is>
          <t>avverkningsanmälan</t>
        </is>
      </c>
      <c r="C4814" t="inlineStr">
        <is>
          <t>Föryngringsavverkning</t>
        </is>
      </c>
      <c r="D4814" s="1" t="n">
        <v>45973</v>
      </c>
      <c r="E4814" s="1" t="n">
        <v>46326</v>
      </c>
      <c r="F4814" t="inlineStr">
        <is>
          <t>GÄVLEBORGS LÄN</t>
        </is>
      </c>
      <c r="G4814" t="inlineStr">
        <is>
          <t>BOLLNÄS</t>
        </is>
      </c>
      <c r="I4814" t="n">
        <v>0.7</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57201-2025</t>
        </is>
      </c>
      <c r="B4815" t="inlineStr">
        <is>
          <t>avverkningsanmälan</t>
        </is>
      </c>
      <c r="C4815" t="inlineStr">
        <is>
          <t>Föryngringsavverkning</t>
        </is>
      </c>
      <c r="D4815" s="1" t="n">
        <v>45979</v>
      </c>
      <c r="E4815" s="1" t="n">
        <v>46326</v>
      </c>
      <c r="F4815" t="inlineStr">
        <is>
          <t>GÄVLEBORGS LÄN</t>
        </is>
      </c>
      <c r="G4815" t="inlineStr">
        <is>
          <t>OVANÅKER</t>
        </is>
      </c>
      <c r="I4815" t="n">
        <v>3.4</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53918-2025</t>
        </is>
      </c>
      <c r="B4816" t="inlineStr">
        <is>
          <t>avverkningsanmälan</t>
        </is>
      </c>
      <c r="C4816" t="inlineStr">
        <is>
          <t>Avverkning för annat ändamål</t>
        </is>
      </c>
      <c r="D4816" s="1" t="n">
        <v>45961</v>
      </c>
      <c r="E4816" s="1" t="n">
        <v>46326</v>
      </c>
      <c r="F4816" t="inlineStr">
        <is>
          <t>GÄVLEBORGS LÄN</t>
        </is>
      </c>
      <c r="G4816" t="inlineStr">
        <is>
          <t>SÖDERHAMN</t>
        </is>
      </c>
      <c r="I4816" t="n">
        <v>1.3</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57210-2025</t>
        </is>
      </c>
      <c r="B4817" t="inlineStr">
        <is>
          <t>avverkningsanmälan</t>
        </is>
      </c>
      <c r="C4817" t="inlineStr">
        <is>
          <t>Föryngringsavverkning</t>
        </is>
      </c>
      <c r="D4817" s="1" t="n">
        <v>45979</v>
      </c>
      <c r="E4817" s="1" t="n">
        <v>46326</v>
      </c>
      <c r="F4817" t="inlineStr">
        <is>
          <t>GÄVLEBORGS LÄN</t>
        </is>
      </c>
      <c r="G4817" t="inlineStr">
        <is>
          <t>HUDIKSVALL</t>
        </is>
      </c>
      <c r="I4817" t="n">
        <v>3.1</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57213-2025</t>
        </is>
      </c>
      <c r="B4818" t="inlineStr">
        <is>
          <t>avverkningsanmälan</t>
        </is>
      </c>
      <c r="C4818" t="inlineStr">
        <is>
          <t>Föryngringsavverkning</t>
        </is>
      </c>
      <c r="D4818" s="1" t="n">
        <v>45979</v>
      </c>
      <c r="E4818" s="1" t="n">
        <v>46326</v>
      </c>
      <c r="F4818" t="inlineStr">
        <is>
          <t>GÄVLEBORGS LÄN</t>
        </is>
      </c>
      <c r="G4818" t="inlineStr">
        <is>
          <t>HUDIKSVALL</t>
        </is>
      </c>
      <c r="I4818" t="n">
        <v>2.1</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15325-2025</t>
        </is>
      </c>
      <c r="B4819" t="inlineStr">
        <is>
          <t>avverkningsanmälan</t>
        </is>
      </c>
      <c r="C4819" t="inlineStr">
        <is>
          <t>Föryngringsavverkning</t>
        </is>
      </c>
      <c r="D4819" s="1" t="n">
        <v>45747</v>
      </c>
      <c r="E4819" s="1" t="n">
        <v>46326</v>
      </c>
      <c r="F4819" t="inlineStr">
        <is>
          <t>GÄVLEBORGS LÄN</t>
        </is>
      </c>
      <c r="G4819" t="inlineStr">
        <is>
          <t>OCKELBO</t>
        </is>
      </c>
      <c r="I4819" t="n">
        <v>0.7</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46006-2024</t>
        </is>
      </c>
      <c r="B4820" t="inlineStr">
        <is>
          <t>avverkningsanmälan</t>
        </is>
      </c>
      <c r="C4820" t="inlineStr">
        <is>
          <t>Föryngringsavverkning</t>
        </is>
      </c>
      <c r="D4820" s="1" t="n">
        <v>45580</v>
      </c>
      <c r="E4820" s="1" t="n">
        <v>46326</v>
      </c>
      <c r="F4820" t="inlineStr">
        <is>
          <t>GÄVLEBORGS LÄN</t>
        </is>
      </c>
      <c r="G4820" t="inlineStr">
        <is>
          <t>SÖDERHAMN</t>
        </is>
      </c>
      <c r="I4820" t="n">
        <v>0.4</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57265-2025</t>
        </is>
      </c>
      <c r="B4821" t="inlineStr">
        <is>
          <t>avverkningsanmälan</t>
        </is>
      </c>
      <c r="C4821" t="inlineStr">
        <is>
          <t>Föryngringsavverkning</t>
        </is>
      </c>
      <c r="D4821" s="1" t="n">
        <v>45979</v>
      </c>
      <c r="E4821" s="1" t="n">
        <v>46326</v>
      </c>
      <c r="F4821" t="inlineStr">
        <is>
          <t>GÄVLEBORGS LÄN</t>
        </is>
      </c>
      <c r="G4821" t="inlineStr">
        <is>
          <t>LJUSDAL</t>
        </is>
      </c>
      <c r="I4821" t="n">
        <v>2.9</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57072-2025</t>
        </is>
      </c>
      <c r="B4822" t="inlineStr">
        <is>
          <t>avverkningsanmälan</t>
        </is>
      </c>
      <c r="C4822" t="inlineStr">
        <is>
          <t>Föryngringsavverkning</t>
        </is>
      </c>
      <c r="D4822" s="1" t="n">
        <v>45979</v>
      </c>
      <c r="E4822" s="1" t="n">
        <v>46326</v>
      </c>
      <c r="F4822" t="inlineStr">
        <is>
          <t>GÄVLEBORGS LÄN</t>
        </is>
      </c>
      <c r="G4822" t="inlineStr">
        <is>
          <t>OVANÅKER</t>
        </is>
      </c>
      <c r="I4822" t="n">
        <v>0.7</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57077-2025</t>
        </is>
      </c>
      <c r="B4823" t="inlineStr">
        <is>
          <t>avverkningsanmälan</t>
        </is>
      </c>
      <c r="C4823" t="inlineStr">
        <is>
          <t>Föryngringsavverkning</t>
        </is>
      </c>
      <c r="D4823" s="1" t="n">
        <v>45979</v>
      </c>
      <c r="E4823" s="1" t="n">
        <v>46326</v>
      </c>
      <c r="F4823" t="inlineStr">
        <is>
          <t>GÄVLEBORGS LÄN</t>
        </is>
      </c>
      <c r="G4823" t="inlineStr">
        <is>
          <t>OVANÅKER</t>
        </is>
      </c>
      <c r="I4823" t="n">
        <v>0.9</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8979-2024</t>
        </is>
      </c>
      <c r="B4824" t="inlineStr">
        <is>
          <t>avverkningsanmälan</t>
        </is>
      </c>
      <c r="C4824" t="inlineStr">
        <is>
          <t>Föryngringsavverkning</t>
        </is>
      </c>
      <c r="D4824" s="1" t="n">
        <v>45357</v>
      </c>
      <c r="E4824" s="1" t="n">
        <v>46326</v>
      </c>
      <c r="F4824" t="inlineStr">
        <is>
          <t>GÄVLEBORGS LÄN</t>
        </is>
      </c>
      <c r="G4824" t="inlineStr">
        <is>
          <t>LJUSDAL</t>
        </is>
      </c>
      <c r="I4824" t="n">
        <v>1.2</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57098-2025</t>
        </is>
      </c>
      <c r="B4825" t="inlineStr">
        <is>
          <t>avverkningsanmälan</t>
        </is>
      </c>
      <c r="C4825" t="inlineStr">
        <is>
          <t>Föryngringsavverkning</t>
        </is>
      </c>
      <c r="D4825" s="1" t="n">
        <v>45979</v>
      </c>
      <c r="E4825" s="1" t="n">
        <v>46326</v>
      </c>
      <c r="F4825" t="inlineStr">
        <is>
          <t>GÄVLEBORGS LÄN</t>
        </is>
      </c>
      <c r="G4825" t="inlineStr">
        <is>
          <t>LJUSDAL</t>
        </is>
      </c>
      <c r="I4825" t="n">
        <v>6.4</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7503-2022</t>
        </is>
      </c>
      <c r="B4826" t="inlineStr">
        <is>
          <t>avverkningsanmälan</t>
        </is>
      </c>
      <c r="C4826" t="inlineStr">
        <is>
          <t>Föryngringsavverkning</t>
        </is>
      </c>
      <c r="D4826" s="1" t="n">
        <v>44607</v>
      </c>
      <c r="E4826" s="1" t="n">
        <v>46326</v>
      </c>
      <c r="F4826" t="inlineStr">
        <is>
          <t>GÄVLEBORGS LÄN</t>
        </is>
      </c>
      <c r="G4826" t="inlineStr">
        <is>
          <t>NORDANSTIG</t>
        </is>
      </c>
      <c r="I4826" t="n">
        <v>0.7</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22373-2023</t>
        </is>
      </c>
      <c r="B4827" t="inlineStr">
        <is>
          <t>avverkningsanmälan</t>
        </is>
      </c>
      <c r="C4827" t="inlineStr">
        <is>
          <t>Föryngringsavverkning</t>
        </is>
      </c>
      <c r="D4827" s="1" t="n">
        <v>45070</v>
      </c>
      <c r="E4827" s="1" t="n">
        <v>46326</v>
      </c>
      <c r="F4827" t="inlineStr">
        <is>
          <t>GÄVLEBORGS LÄN</t>
        </is>
      </c>
      <c r="G4827" t="inlineStr">
        <is>
          <t>SANDVIKEN</t>
        </is>
      </c>
      <c r="I4827" t="n">
        <v>2.9</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57085-2025</t>
        </is>
      </c>
      <c r="B4828" t="inlineStr">
        <is>
          <t>avverkningsanmälan</t>
        </is>
      </c>
      <c r="C4828" t="inlineStr">
        <is>
          <t>Föryngringsavverkning</t>
        </is>
      </c>
      <c r="D4828" s="1" t="n">
        <v>45979</v>
      </c>
      <c r="E4828" s="1" t="n">
        <v>46326</v>
      </c>
      <c r="F4828" t="inlineStr">
        <is>
          <t>GÄVLEBORGS LÄN</t>
        </is>
      </c>
      <c r="G4828" t="inlineStr">
        <is>
          <t>SÖDERHAMN</t>
        </is>
      </c>
      <c r="I4828" t="n">
        <v>1.1</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56755-2025</t>
        </is>
      </c>
      <c r="B4829" t="inlineStr">
        <is>
          <t>avverkningsanmälan</t>
        </is>
      </c>
      <c r="C4829" t="inlineStr">
        <is>
          <t>Föryngringsavverkning</t>
        </is>
      </c>
      <c r="D4829" s="1" t="n">
        <v>45978</v>
      </c>
      <c r="E4829" s="1" t="n">
        <v>46326</v>
      </c>
      <c r="F4829" t="inlineStr">
        <is>
          <t>GÄVLEBORGS LÄN</t>
        </is>
      </c>
      <c r="G4829" t="inlineStr">
        <is>
          <t>SANDVIKEN</t>
        </is>
      </c>
      <c r="I4829" t="n">
        <v>10.4</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11547-2026</t>
        </is>
      </c>
      <c r="B4830" t="inlineStr">
        <is>
          <t>avverkningsanmälan</t>
        </is>
      </c>
      <c r="C4830" t="inlineStr">
        <is>
          <t>Föryngringsavverkning</t>
        </is>
      </c>
      <c r="D4830" s="1" t="n">
        <v>46084</v>
      </c>
      <c r="E4830" s="1" t="n">
        <v>46326</v>
      </c>
      <c r="F4830" t="inlineStr">
        <is>
          <t>GÄVLEBORGS LÄN</t>
        </is>
      </c>
      <c r="G4830" t="inlineStr">
        <is>
          <t>BOLLNÄS</t>
        </is>
      </c>
      <c r="I4830" t="n">
        <v>0.5</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11726-2026</t>
        </is>
      </c>
      <c r="B4831" t="inlineStr">
        <is>
          <t>avverkningsanmälan</t>
        </is>
      </c>
      <c r="C4831" t="inlineStr">
        <is>
          <t>Föryngringsavverkning</t>
        </is>
      </c>
      <c r="D4831" s="1" t="n">
        <v>46084</v>
      </c>
      <c r="E4831" s="1" t="n">
        <v>46326</v>
      </c>
      <c r="F4831" t="inlineStr">
        <is>
          <t>GÄVLEBORGS LÄN</t>
        </is>
      </c>
      <c r="G4831" t="inlineStr">
        <is>
          <t>SANDVIKEN</t>
        </is>
      </c>
      <c r="I4831" t="n">
        <v>0.6</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56773-2025</t>
        </is>
      </c>
      <c r="B4832" t="inlineStr">
        <is>
          <t>avverkningsanmälan</t>
        </is>
      </c>
      <c r="C4832" t="inlineStr">
        <is>
          <t>Föryngringsavverkning</t>
        </is>
      </c>
      <c r="D4832" s="1" t="n">
        <v>45978</v>
      </c>
      <c r="E4832" s="1" t="n">
        <v>46326</v>
      </c>
      <c r="F4832" t="inlineStr">
        <is>
          <t>GÄVLEBORGS LÄN</t>
        </is>
      </c>
      <c r="G4832" t="inlineStr">
        <is>
          <t>GÄVLE</t>
        </is>
      </c>
      <c r="H4832" t="inlineStr">
        <is>
          <t>Bergvik skog väst AB</t>
        </is>
      </c>
      <c r="I4832" t="n">
        <v>0.4</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58796-2024</t>
        </is>
      </c>
      <c r="B4833" t="inlineStr">
        <is>
          <t>avverkningsanmälan</t>
        </is>
      </c>
      <c r="C4833" t="inlineStr">
        <is>
          <t>Föryngringsavverkning</t>
        </is>
      </c>
      <c r="D4833" s="1" t="n">
        <v>45636</v>
      </c>
      <c r="E4833" s="1" t="n">
        <v>46326</v>
      </c>
      <c r="F4833" t="inlineStr">
        <is>
          <t>GÄVLEBORGS LÄN</t>
        </is>
      </c>
      <c r="G4833" t="inlineStr">
        <is>
          <t>SANDVIKEN</t>
        </is>
      </c>
      <c r="I4833" t="n">
        <v>1.6</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56958-2025</t>
        </is>
      </c>
      <c r="B4834" t="inlineStr">
        <is>
          <t>avverkningsanmälan</t>
        </is>
      </c>
      <c r="C4834" t="inlineStr">
        <is>
          <t>Föryngringsavverkning</t>
        </is>
      </c>
      <c r="D4834" s="1" t="n">
        <v>45978</v>
      </c>
      <c r="E4834" s="1" t="n">
        <v>46326</v>
      </c>
      <c r="F4834" t="inlineStr">
        <is>
          <t>GÄVLEBORGS LÄN</t>
        </is>
      </c>
      <c r="G4834" t="inlineStr">
        <is>
          <t>BOLLNÄS</t>
        </is>
      </c>
      <c r="I4834" t="n">
        <v>10.8</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40798-2022</t>
        </is>
      </c>
      <c r="B4835" t="inlineStr">
        <is>
          <t>avverkningsanmälan</t>
        </is>
      </c>
      <c r="C4835" t="inlineStr">
        <is>
          <t>Föryngringsavverkning</t>
        </is>
      </c>
      <c r="D4835" s="1" t="n">
        <v>44824</v>
      </c>
      <c r="E4835" s="1" t="n">
        <v>46326</v>
      </c>
      <c r="F4835" t="inlineStr">
        <is>
          <t>GÄVLEBORGS LÄN</t>
        </is>
      </c>
      <c r="G4835" t="inlineStr">
        <is>
          <t>NORDANSTIG</t>
        </is>
      </c>
      <c r="I4835" t="n">
        <v>2.2</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56818-2025</t>
        </is>
      </c>
      <c r="B4836" t="inlineStr">
        <is>
          <t>avverkningsanmälan</t>
        </is>
      </c>
      <c r="C4836" t="inlineStr">
        <is>
          <t>Föryngringsavverkning</t>
        </is>
      </c>
      <c r="D4836" s="1" t="n">
        <v>45978</v>
      </c>
      <c r="E4836" s="1" t="n">
        <v>46326</v>
      </c>
      <c r="F4836" t="inlineStr">
        <is>
          <t>GÄVLEBORGS LÄN</t>
        </is>
      </c>
      <c r="G4836" t="inlineStr">
        <is>
          <t>HUDIKSVALL</t>
        </is>
      </c>
      <c r="I4836" t="n">
        <v>1.9</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57172-2025</t>
        </is>
      </c>
      <c r="B4837" t="inlineStr">
        <is>
          <t>avverkningsanmälan</t>
        </is>
      </c>
      <c r="C4837" t="inlineStr">
        <is>
          <t>Föryngringsavverkning</t>
        </is>
      </c>
      <c r="D4837" s="1" t="n">
        <v>45979</v>
      </c>
      <c r="E4837" s="1" t="n">
        <v>46326</v>
      </c>
      <c r="F4837" t="inlineStr">
        <is>
          <t>GÄVLEBORGS LÄN</t>
        </is>
      </c>
      <c r="G4837" t="inlineStr">
        <is>
          <t>OVANÅKER</t>
        </is>
      </c>
      <c r="I4837" t="n">
        <v>0.5</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56949-2025</t>
        </is>
      </c>
      <c r="B4838" t="inlineStr">
        <is>
          <t>avverkningsanmälan</t>
        </is>
      </c>
      <c r="C4838" t="inlineStr">
        <is>
          <t>Föryngringsavverkning</t>
        </is>
      </c>
      <c r="D4838" s="1" t="n">
        <v>45978</v>
      </c>
      <c r="E4838" s="1" t="n">
        <v>46326</v>
      </c>
      <c r="F4838" t="inlineStr">
        <is>
          <t>GÄVLEBORGS LÄN</t>
        </is>
      </c>
      <c r="G4838" t="inlineStr">
        <is>
          <t>SÖDERHAMN</t>
        </is>
      </c>
      <c r="I4838" t="n">
        <v>1.4</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40876-2022</t>
        </is>
      </c>
      <c r="B4839" t="inlineStr">
        <is>
          <t>avverkningsanmälan</t>
        </is>
      </c>
      <c r="C4839" t="inlineStr">
        <is>
          <t>Föryngringsavverkning</t>
        </is>
      </c>
      <c r="D4839" s="1" t="n">
        <v>44825</v>
      </c>
      <c r="E4839" s="1" t="n">
        <v>46326</v>
      </c>
      <c r="F4839" t="inlineStr">
        <is>
          <t>GÄVLEBORGS LÄN</t>
        </is>
      </c>
      <c r="G4839" t="inlineStr">
        <is>
          <t>HUDIKSVALL</t>
        </is>
      </c>
      <c r="I4839" t="n">
        <v>1.2</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11462-2026</t>
        </is>
      </c>
      <c r="B4840" t="inlineStr">
        <is>
          <t>avverkningsanmälan</t>
        </is>
      </c>
      <c r="C4840" t="inlineStr">
        <is>
          <t>Föryngringsavverkning</t>
        </is>
      </c>
      <c r="D4840" s="1" t="n">
        <v>46083</v>
      </c>
      <c r="E4840" s="1" t="n">
        <v>46326</v>
      </c>
      <c r="F4840" t="inlineStr">
        <is>
          <t>GÄVLEBORGS LÄN</t>
        </is>
      </c>
      <c r="G4840" t="inlineStr">
        <is>
          <t>HOFORS</t>
        </is>
      </c>
      <c r="I4840" t="n">
        <v>0.8</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11496-2026</t>
        </is>
      </c>
      <c r="B4841" t="inlineStr">
        <is>
          <t>avverkningsanmälan</t>
        </is>
      </c>
      <c r="C4841" t="inlineStr">
        <is>
          <t>Föryngringsavverkning</t>
        </is>
      </c>
      <c r="D4841" s="1" t="n">
        <v>46083</v>
      </c>
      <c r="E4841" s="1" t="n">
        <v>46326</v>
      </c>
      <c r="F4841" t="inlineStr">
        <is>
          <t>GÄVLEBORGS LÄN</t>
        </is>
      </c>
      <c r="G4841" t="inlineStr">
        <is>
          <t>OCKELBO</t>
        </is>
      </c>
      <c r="I4841" t="n">
        <v>2.1</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25357-2023</t>
        </is>
      </c>
      <c r="B4842" t="inlineStr">
        <is>
          <t>avverkningsanmälan</t>
        </is>
      </c>
      <c r="C4842" t="inlineStr">
        <is>
          <t>Föryngringsavverkning</t>
        </is>
      </c>
      <c r="D4842" s="1" t="n">
        <v>45087</v>
      </c>
      <c r="E4842" s="1" t="n">
        <v>46326</v>
      </c>
      <c r="F4842" t="inlineStr">
        <is>
          <t>GÄVLEBORGS LÄN</t>
        </is>
      </c>
      <c r="G4842" t="inlineStr">
        <is>
          <t>SANDVIKEN</t>
        </is>
      </c>
      <c r="I4842" t="n">
        <v>1</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49935-2024</t>
        </is>
      </c>
      <c r="B4843" t="inlineStr">
        <is>
          <t>avverkningsanmälan</t>
        </is>
      </c>
      <c r="C4843" t="inlineStr">
        <is>
          <t>Föryngringsavverkning</t>
        </is>
      </c>
      <c r="D4843" s="1" t="n">
        <v>45597</v>
      </c>
      <c r="E4843" s="1" t="n">
        <v>46326</v>
      </c>
      <c r="F4843" t="inlineStr">
        <is>
          <t>GÄVLEBORGS LÄN</t>
        </is>
      </c>
      <c r="G4843" t="inlineStr">
        <is>
          <t>SÖDERHAMN</t>
        </is>
      </c>
      <c r="I4843" t="n">
        <v>0.5</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57175-2025</t>
        </is>
      </c>
      <c r="B4844" t="inlineStr">
        <is>
          <t>avverkningsanmälan</t>
        </is>
      </c>
      <c r="C4844" t="inlineStr">
        <is>
          <t>Föryngringsavverkning</t>
        </is>
      </c>
      <c r="D4844" s="1" t="n">
        <v>45979</v>
      </c>
      <c r="E4844" s="1" t="n">
        <v>46326</v>
      </c>
      <c r="F4844" t="inlineStr">
        <is>
          <t>GÄVLEBORGS LÄN</t>
        </is>
      </c>
      <c r="G4844" t="inlineStr">
        <is>
          <t>SÖDERHAMN</t>
        </is>
      </c>
      <c r="I4844" t="n">
        <v>0.5</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57191-2025</t>
        </is>
      </c>
      <c r="B4845" t="inlineStr">
        <is>
          <t>avverkningsanmälan</t>
        </is>
      </c>
      <c r="C4845" t="inlineStr">
        <is>
          <t>Föryngringsavverkning</t>
        </is>
      </c>
      <c r="D4845" s="1" t="n">
        <v>45979</v>
      </c>
      <c r="E4845" s="1" t="n">
        <v>46326</v>
      </c>
      <c r="F4845" t="inlineStr">
        <is>
          <t>GÄVLEBORGS LÄN</t>
        </is>
      </c>
      <c r="G4845" t="inlineStr">
        <is>
          <t>HUDIKSVALL</t>
        </is>
      </c>
      <c r="I4845" t="n">
        <v>1.5</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13270-2022</t>
        </is>
      </c>
      <c r="B4846" t="inlineStr">
        <is>
          <t>avverkningsanmälan</t>
        </is>
      </c>
      <c r="C4846" t="inlineStr">
        <is>
          <t>Föryngringsavverkning</t>
        </is>
      </c>
      <c r="D4846" s="1" t="n">
        <v>44644</v>
      </c>
      <c r="E4846" s="1" t="n">
        <v>46326</v>
      </c>
      <c r="F4846" t="inlineStr">
        <is>
          <t>GÄVLEBORGS LÄN</t>
        </is>
      </c>
      <c r="G4846" t="inlineStr">
        <is>
          <t>NORDANSTIG</t>
        </is>
      </c>
      <c r="I4846" t="n">
        <v>9</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11605-2026</t>
        </is>
      </c>
      <c r="B4847" t="inlineStr">
        <is>
          <t>avverkningsanmälan</t>
        </is>
      </c>
      <c r="C4847" t="inlineStr">
        <is>
          <t>Föryngringsavverkning</t>
        </is>
      </c>
      <c r="D4847" s="1" t="n">
        <v>46084</v>
      </c>
      <c r="E4847" s="1" t="n">
        <v>46326</v>
      </c>
      <c r="F4847" t="inlineStr">
        <is>
          <t>GÄVLEBORGS LÄN</t>
        </is>
      </c>
      <c r="G4847" t="inlineStr">
        <is>
          <t>HUDIKSVALL</t>
        </is>
      </c>
      <c r="I4847" t="n">
        <v>2.7</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56771-2025</t>
        </is>
      </c>
      <c r="B4848" t="inlineStr">
        <is>
          <t>avverkningsanmälan</t>
        </is>
      </c>
      <c r="C4848" t="inlineStr">
        <is>
          <t>Föryngringsavverkning</t>
        </is>
      </c>
      <c r="D4848" s="1" t="n">
        <v>45978</v>
      </c>
      <c r="E4848" s="1" t="n">
        <v>46326</v>
      </c>
      <c r="F4848" t="inlineStr">
        <is>
          <t>GÄVLEBORGS LÄN</t>
        </is>
      </c>
      <c r="G4848" t="inlineStr">
        <is>
          <t>OVANÅKER</t>
        </is>
      </c>
      <c r="H4848" t="inlineStr">
        <is>
          <t>Bergvik skog väst AB</t>
        </is>
      </c>
      <c r="I4848" t="n">
        <v>0.5</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16371-2022</t>
        </is>
      </c>
      <c r="B4849" t="inlineStr">
        <is>
          <t>avverkningsanmälan</t>
        </is>
      </c>
      <c r="C4849" t="inlineStr">
        <is>
          <t>Föryngringsavverkning</t>
        </is>
      </c>
      <c r="D4849" s="1" t="n">
        <v>44671</v>
      </c>
      <c r="E4849" s="1" t="n">
        <v>46326</v>
      </c>
      <c r="F4849" t="inlineStr">
        <is>
          <t>GÄVLEBORGS LÄN</t>
        </is>
      </c>
      <c r="G4849" t="inlineStr">
        <is>
          <t>HOFORS</t>
        </is>
      </c>
      <c r="I4849" t="n">
        <v>0.8</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19730-2022</t>
        </is>
      </c>
      <c r="B4850" t="inlineStr">
        <is>
          <t>avverkningsanmälan</t>
        </is>
      </c>
      <c r="C4850" t="inlineStr">
        <is>
          <t>Föryngringsavverkning</t>
        </is>
      </c>
      <c r="D4850" s="1" t="n">
        <v>44694</v>
      </c>
      <c r="E4850" s="1" t="n">
        <v>46326</v>
      </c>
      <c r="F4850" t="inlineStr">
        <is>
          <t>GÄVLEBORGS LÄN</t>
        </is>
      </c>
      <c r="G4850" t="inlineStr">
        <is>
          <t>GÄVLE</t>
        </is>
      </c>
      <c r="H4850" t="inlineStr">
        <is>
          <t>Bergvik skog väst AB</t>
        </is>
      </c>
      <c r="I4850" t="n">
        <v>3.5</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56876-2025</t>
        </is>
      </c>
      <c r="B4851" t="inlineStr">
        <is>
          <t>avverkningsanmälan</t>
        </is>
      </c>
      <c r="C4851" t="inlineStr">
        <is>
          <t>Föryngringsavverkning</t>
        </is>
      </c>
      <c r="D4851" s="1" t="n">
        <v>45978</v>
      </c>
      <c r="E4851" s="1" t="n">
        <v>46326</v>
      </c>
      <c r="F4851" t="inlineStr">
        <is>
          <t>GÄVLEBORGS LÄN</t>
        </is>
      </c>
      <c r="G4851" t="inlineStr">
        <is>
          <t>OCKELBO</t>
        </is>
      </c>
      <c r="I4851" t="n">
        <v>3.7</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56834-2025</t>
        </is>
      </c>
      <c r="B4852" t="inlineStr">
        <is>
          <t>avverkningsanmälan</t>
        </is>
      </c>
      <c r="C4852" t="inlineStr">
        <is>
          <t>Föryngringsavverkning</t>
        </is>
      </c>
      <c r="D4852" s="1" t="n">
        <v>45978</v>
      </c>
      <c r="E4852" s="1" t="n">
        <v>46326</v>
      </c>
      <c r="F4852" t="inlineStr">
        <is>
          <t>GÄVLEBORGS LÄN</t>
        </is>
      </c>
      <c r="G4852" t="inlineStr">
        <is>
          <t>HUDIKSVALL</t>
        </is>
      </c>
      <c r="I4852" t="n">
        <v>4</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56803-2025</t>
        </is>
      </c>
      <c r="B4853" t="inlineStr">
        <is>
          <t>avverkningsanmälan</t>
        </is>
      </c>
      <c r="C4853" t="inlineStr">
        <is>
          <t>Föryngringsavverkning</t>
        </is>
      </c>
      <c r="D4853" s="1" t="n">
        <v>45978</v>
      </c>
      <c r="E4853" s="1" t="n">
        <v>46326</v>
      </c>
      <c r="F4853" t="inlineStr">
        <is>
          <t>GÄVLEBORGS LÄN</t>
        </is>
      </c>
      <c r="G4853" t="inlineStr">
        <is>
          <t>OCKELBO</t>
        </is>
      </c>
      <c r="I4853" t="n">
        <v>0.9</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56820-2025</t>
        </is>
      </c>
      <c r="B4854" t="inlineStr">
        <is>
          <t>avverkningsanmälan</t>
        </is>
      </c>
      <c r="C4854" t="inlineStr">
        <is>
          <t>Föryngringsavverkning</t>
        </is>
      </c>
      <c r="D4854" s="1" t="n">
        <v>45978</v>
      </c>
      <c r="E4854" s="1" t="n">
        <v>46326</v>
      </c>
      <c r="F4854" t="inlineStr">
        <is>
          <t>GÄVLEBORGS LÄN</t>
        </is>
      </c>
      <c r="G4854" t="inlineStr">
        <is>
          <t>HUDIKSVALL</t>
        </is>
      </c>
      <c r="I4854" t="n">
        <v>1.9</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57261-2025</t>
        </is>
      </c>
      <c r="B4855" t="inlineStr">
        <is>
          <t>avverkningsanmälan</t>
        </is>
      </c>
      <c r="C4855" t="inlineStr">
        <is>
          <t>Föryngringsavverkning</t>
        </is>
      </c>
      <c r="D4855" s="1" t="n">
        <v>45979</v>
      </c>
      <c r="E4855" s="1" t="n">
        <v>46326</v>
      </c>
      <c r="F4855" t="inlineStr">
        <is>
          <t>GÄVLEBORGS LÄN</t>
        </is>
      </c>
      <c r="G4855" t="inlineStr">
        <is>
          <t>SANDVIKEN</t>
        </is>
      </c>
      <c r="I4855" t="n">
        <v>3.2</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56946-2025</t>
        </is>
      </c>
      <c r="B4856" t="inlineStr">
        <is>
          <t>avverkningsanmälan</t>
        </is>
      </c>
      <c r="C4856" t="inlineStr">
        <is>
          <t>Föryngringsavverkning</t>
        </is>
      </c>
      <c r="D4856" s="1" t="n">
        <v>45978</v>
      </c>
      <c r="E4856" s="1" t="n">
        <v>46326</v>
      </c>
      <c r="F4856" t="inlineStr">
        <is>
          <t>GÄVLEBORGS LÄN</t>
        </is>
      </c>
      <c r="G4856" t="inlineStr">
        <is>
          <t>SÖDERHAMN</t>
        </is>
      </c>
      <c r="I4856" t="n">
        <v>3.5</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35252-2024</t>
        </is>
      </c>
      <c r="B4857" t="inlineStr">
        <is>
          <t>avverkningsanmälan</t>
        </is>
      </c>
      <c r="C4857" t="inlineStr">
        <is>
          <t>Föryngringsavverkning</t>
        </is>
      </c>
      <c r="D4857" s="1" t="n">
        <v>45530</v>
      </c>
      <c r="E4857" s="1" t="n">
        <v>46326</v>
      </c>
      <c r="F4857" t="inlineStr">
        <is>
          <t>GÄVLEBORGS LÄN</t>
        </is>
      </c>
      <c r="G4857" t="inlineStr">
        <is>
          <t>SANDVIKEN</t>
        </is>
      </c>
      <c r="I4857" t="n">
        <v>0.5</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57071-2025</t>
        </is>
      </c>
      <c r="B4858" t="inlineStr">
        <is>
          <t>avverkningsanmälan</t>
        </is>
      </c>
      <c r="C4858" t="inlineStr">
        <is>
          <t>Föryngringsavverkning</t>
        </is>
      </c>
      <c r="D4858" s="1" t="n">
        <v>45979</v>
      </c>
      <c r="E4858" s="1" t="n">
        <v>46326</v>
      </c>
      <c r="F4858" t="inlineStr">
        <is>
          <t>GÄVLEBORGS LÄN</t>
        </is>
      </c>
      <c r="G4858" t="inlineStr">
        <is>
          <t>OVANÅKER</t>
        </is>
      </c>
      <c r="I4858" t="n">
        <v>2.4</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11664-2026</t>
        </is>
      </c>
      <c r="B4859" t="inlineStr">
        <is>
          <t>avverkningsanmälan</t>
        </is>
      </c>
      <c r="C4859" t="inlineStr">
        <is>
          <t>Föryngringsavverkning</t>
        </is>
      </c>
      <c r="D4859" s="1" t="n">
        <v>46084</v>
      </c>
      <c r="E4859" s="1" t="n">
        <v>46326</v>
      </c>
      <c r="F4859" t="inlineStr">
        <is>
          <t>GÄVLEBORGS LÄN</t>
        </is>
      </c>
      <c r="G4859" t="inlineStr">
        <is>
          <t>OVANÅKER</t>
        </is>
      </c>
      <c r="I4859" t="n">
        <v>2.7</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57151-2025</t>
        </is>
      </c>
      <c r="B4860" t="inlineStr">
        <is>
          <t>avverkningsanmälan</t>
        </is>
      </c>
      <c r="C4860" t="inlineStr">
        <is>
          <t>Föryngringsavverkning</t>
        </is>
      </c>
      <c r="D4860" s="1" t="n">
        <v>45979</v>
      </c>
      <c r="E4860" s="1" t="n">
        <v>46326</v>
      </c>
      <c r="F4860" t="inlineStr">
        <is>
          <t>GÄVLEBORGS LÄN</t>
        </is>
      </c>
      <c r="G4860" t="inlineStr">
        <is>
          <t>BOLLNÄS</t>
        </is>
      </c>
      <c r="I4860" t="n">
        <v>1.2</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57596-2025</t>
        </is>
      </c>
      <c r="B4861" t="inlineStr">
        <is>
          <t>avverkningsanmälan</t>
        </is>
      </c>
      <c r="C4861" t="inlineStr">
        <is>
          <t>Föryngringsavverkning</t>
        </is>
      </c>
      <c r="D4861" s="1" t="n">
        <v>45980</v>
      </c>
      <c r="E4861" s="1" t="n">
        <v>46326</v>
      </c>
      <c r="F4861" t="inlineStr">
        <is>
          <t>GÄVLEBORGS LÄN</t>
        </is>
      </c>
      <c r="G4861" t="inlineStr">
        <is>
          <t>HOFORS</t>
        </is>
      </c>
      <c r="I4861" t="n">
        <v>1.9</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11471-2026</t>
        </is>
      </c>
      <c r="B4862" t="inlineStr">
        <is>
          <t>avverkningsanmälan</t>
        </is>
      </c>
      <c r="C4862" t="inlineStr">
        <is>
          <t>Avverkning för annat ändamål</t>
        </is>
      </c>
      <c r="D4862" s="1" t="n">
        <v>46083</v>
      </c>
      <c r="E4862" s="1" t="n">
        <v>46326</v>
      </c>
      <c r="F4862" t="inlineStr">
        <is>
          <t>GÄVLEBORGS LÄN</t>
        </is>
      </c>
      <c r="G4862" t="inlineStr">
        <is>
          <t>OVANÅKER</t>
        </is>
      </c>
      <c r="I4862" t="n">
        <v>0.6</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60098-2023</t>
        </is>
      </c>
      <c r="B4863" t="inlineStr">
        <is>
          <t>avverkningsanmälan</t>
        </is>
      </c>
      <c r="C4863" t="inlineStr">
        <is>
          <t>Föryngringsavverkning</t>
        </is>
      </c>
      <c r="D4863" s="1" t="n">
        <v>45258</v>
      </c>
      <c r="E4863" s="1" t="n">
        <v>46326</v>
      </c>
      <c r="F4863" t="inlineStr">
        <is>
          <t>GÄVLEBORGS LÄN</t>
        </is>
      </c>
      <c r="G4863" t="inlineStr">
        <is>
          <t>LJUSDAL</t>
        </is>
      </c>
      <c r="I4863" t="n">
        <v>0.9</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57593-2025</t>
        </is>
      </c>
      <c r="B4864" t="inlineStr">
        <is>
          <t>avverkningsanmälan</t>
        </is>
      </c>
      <c r="C4864" t="inlineStr">
        <is>
          <t>Föryngringsavverkning</t>
        </is>
      </c>
      <c r="D4864" s="1" t="n">
        <v>45980</v>
      </c>
      <c r="E4864" s="1" t="n">
        <v>46326</v>
      </c>
      <c r="F4864" t="inlineStr">
        <is>
          <t>GÄVLEBORGS LÄN</t>
        </is>
      </c>
      <c r="G4864" t="inlineStr">
        <is>
          <t>HOFORS</t>
        </is>
      </c>
      <c r="I4864" t="n">
        <v>1.8</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57595-2025</t>
        </is>
      </c>
      <c r="B4865" t="inlineStr">
        <is>
          <t>avverkningsanmälan</t>
        </is>
      </c>
      <c r="C4865" t="inlineStr">
        <is>
          <t>Föryngringsavverkning</t>
        </is>
      </c>
      <c r="D4865" s="1" t="n">
        <v>45980</v>
      </c>
      <c r="E4865" s="1" t="n">
        <v>46326</v>
      </c>
      <c r="F4865" t="inlineStr">
        <is>
          <t>GÄVLEBORGS LÄN</t>
        </is>
      </c>
      <c r="G4865" t="inlineStr">
        <is>
          <t>HOFORS</t>
        </is>
      </c>
      <c r="I4865" t="n">
        <v>1.6</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57322-2025</t>
        </is>
      </c>
      <c r="B4866" t="inlineStr">
        <is>
          <t>avverkningsanmälan</t>
        </is>
      </c>
      <c r="C4866" t="inlineStr">
        <is>
          <t>Avverkning för annat ändamål</t>
        </is>
      </c>
      <c r="D4866" s="1" t="n">
        <v>45980</v>
      </c>
      <c r="E4866" s="1" t="n">
        <v>46326</v>
      </c>
      <c r="F4866" t="inlineStr">
        <is>
          <t>GÄVLEBORGS LÄN</t>
        </is>
      </c>
      <c r="G4866" t="inlineStr">
        <is>
          <t>HUDIKSVALL</t>
        </is>
      </c>
      <c r="I4866" t="n">
        <v>0.2</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11432-2026</t>
        </is>
      </c>
      <c r="B4867" t="inlineStr">
        <is>
          <t>avverkningsanmälan</t>
        </is>
      </c>
      <c r="C4867" t="inlineStr">
        <is>
          <t>Föryngringsavverkning</t>
        </is>
      </c>
      <c r="D4867" s="1" t="n">
        <v>46083</v>
      </c>
      <c r="E4867" s="1" t="n">
        <v>46326</v>
      </c>
      <c r="F4867" t="inlineStr">
        <is>
          <t>GÄVLEBORGS LÄN</t>
        </is>
      </c>
      <c r="G4867" t="inlineStr">
        <is>
          <t>OCKELBO</t>
        </is>
      </c>
      <c r="H4867" t="inlineStr">
        <is>
          <t>Bergvik skog väst AB</t>
        </is>
      </c>
      <c r="I4867" t="n">
        <v>7.4</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18140-2023</t>
        </is>
      </c>
      <c r="B4868" t="inlineStr">
        <is>
          <t>avverkningsanmälan</t>
        </is>
      </c>
      <c r="C4868" t="inlineStr">
        <is>
          <t>Föryngringsavverkning</t>
        </is>
      </c>
      <c r="D4868" s="1" t="n">
        <v>45040</v>
      </c>
      <c r="E4868" s="1" t="n">
        <v>46326</v>
      </c>
      <c r="F4868" t="inlineStr">
        <is>
          <t>GÄVLEBORGS LÄN</t>
        </is>
      </c>
      <c r="G4868" t="inlineStr">
        <is>
          <t>SÖDERHAMN</t>
        </is>
      </c>
      <c r="I4868" t="n">
        <v>0.5</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32291-2024</t>
        </is>
      </c>
      <c r="B4869" t="inlineStr">
        <is>
          <t>avverkningsanmälan</t>
        </is>
      </c>
      <c r="C4869" t="inlineStr">
        <is>
          <t>Föryngringsavverkning</t>
        </is>
      </c>
      <c r="D4869" s="1" t="n">
        <v>45512</v>
      </c>
      <c r="E4869" s="1" t="n">
        <v>46326</v>
      </c>
      <c r="F4869" t="inlineStr">
        <is>
          <t>GÄVLEBORGS LÄN</t>
        </is>
      </c>
      <c r="G4869" t="inlineStr">
        <is>
          <t>SANDVIKEN</t>
        </is>
      </c>
      <c r="I4869" t="n">
        <v>0.6</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32308-2024</t>
        </is>
      </c>
      <c r="B4870" t="inlineStr">
        <is>
          <t>avverkningsanmälan</t>
        </is>
      </c>
      <c r="C4870" t="inlineStr">
        <is>
          <t>Föryngringsavverkning</t>
        </is>
      </c>
      <c r="D4870" s="1" t="n">
        <v>45512</v>
      </c>
      <c r="E4870" s="1" t="n">
        <v>46326</v>
      </c>
      <c r="F4870" t="inlineStr">
        <is>
          <t>GÄVLEBORGS LÄN</t>
        </is>
      </c>
      <c r="G4870" t="inlineStr">
        <is>
          <t>HUDIKSVALL</t>
        </is>
      </c>
      <c r="H4870" t="inlineStr">
        <is>
          <t>Holmen skog AB</t>
        </is>
      </c>
      <c r="I4870" t="n">
        <v>6.8</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22251-2023</t>
        </is>
      </c>
      <c r="B4871" t="inlineStr">
        <is>
          <t>avverkningsanmälan</t>
        </is>
      </c>
      <c r="C4871" t="inlineStr">
        <is>
          <t>Föryngringsavverkning</t>
        </is>
      </c>
      <c r="D4871" s="1" t="n">
        <v>45070</v>
      </c>
      <c r="E4871" s="1" t="n">
        <v>46326</v>
      </c>
      <c r="F4871" t="inlineStr">
        <is>
          <t>GÄVLEBORGS LÄN</t>
        </is>
      </c>
      <c r="G4871" t="inlineStr">
        <is>
          <t>LJUSDAL</t>
        </is>
      </c>
      <c r="I4871" t="n">
        <v>1.7</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57875-2025</t>
        </is>
      </c>
      <c r="B4872" t="inlineStr">
        <is>
          <t>avverkningsanmälan</t>
        </is>
      </c>
      <c r="C4872" t="inlineStr">
        <is>
          <t>Föryngringsavverkning</t>
        </is>
      </c>
      <c r="D4872" s="1" t="n">
        <v>45981</v>
      </c>
      <c r="E4872" s="1" t="n">
        <v>46326</v>
      </c>
      <c r="F4872" t="inlineStr">
        <is>
          <t>GÄVLEBORGS LÄN</t>
        </is>
      </c>
      <c r="G4872" t="inlineStr">
        <is>
          <t>NORDANSTIG</t>
        </is>
      </c>
      <c r="I4872" t="n">
        <v>0.7</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57636-2025</t>
        </is>
      </c>
      <c r="B4873" t="inlineStr">
        <is>
          <t>avverkningsanmälan</t>
        </is>
      </c>
      <c r="C4873" t="inlineStr">
        <is>
          <t>Föryngringsavverkning</t>
        </is>
      </c>
      <c r="D4873" s="1" t="n">
        <v>45981</v>
      </c>
      <c r="E4873" s="1" t="n">
        <v>46326</v>
      </c>
      <c r="F4873" t="inlineStr">
        <is>
          <t>GÄVLEBORGS LÄN</t>
        </is>
      </c>
      <c r="G4873" t="inlineStr">
        <is>
          <t>OVANÅKER</t>
        </is>
      </c>
      <c r="I4873" t="n">
        <v>0.5</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34233-2023</t>
        </is>
      </c>
      <c r="B4874" t="inlineStr">
        <is>
          <t>avverkningsanmälan</t>
        </is>
      </c>
      <c r="C4874" t="inlineStr">
        <is>
          <t>Föryngringsavverkning</t>
        </is>
      </c>
      <c r="D4874" s="1" t="n">
        <v>45138</v>
      </c>
      <c r="E4874" s="1" t="n">
        <v>46326</v>
      </c>
      <c r="F4874" t="inlineStr">
        <is>
          <t>GÄVLEBORGS LÄN</t>
        </is>
      </c>
      <c r="G4874" t="inlineStr">
        <is>
          <t>GÄVLE</t>
        </is>
      </c>
      <c r="I4874" t="n">
        <v>0.6</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29968-2024</t>
        </is>
      </c>
      <c r="B4875" t="inlineStr">
        <is>
          <t>avverkningsanmälan</t>
        </is>
      </c>
      <c r="C4875" t="inlineStr">
        <is>
          <t>Föryngringsavverkning</t>
        </is>
      </c>
      <c r="D4875" s="1" t="n">
        <v>45488</v>
      </c>
      <c r="E4875" s="1" t="n">
        <v>46326</v>
      </c>
      <c r="F4875" t="inlineStr">
        <is>
          <t>GÄVLEBORGS LÄN</t>
        </is>
      </c>
      <c r="G4875" t="inlineStr">
        <is>
          <t>OCKELBO</t>
        </is>
      </c>
      <c r="I4875" t="n">
        <v>1.2</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57554-2025</t>
        </is>
      </c>
      <c r="B4876" t="inlineStr">
        <is>
          <t>avverkningsanmälan</t>
        </is>
      </c>
      <c r="C4876" t="inlineStr">
        <is>
          <t>Föryngringsavverkning</t>
        </is>
      </c>
      <c r="D4876" s="1" t="n">
        <v>45980</v>
      </c>
      <c r="E4876" s="1" t="n">
        <v>46326</v>
      </c>
      <c r="F4876" t="inlineStr">
        <is>
          <t>GÄVLEBORGS LÄN</t>
        </is>
      </c>
      <c r="G4876" t="inlineStr">
        <is>
          <t>OVANÅKER</t>
        </is>
      </c>
      <c r="I4876" t="n">
        <v>0.9</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26185-2023</t>
        </is>
      </c>
      <c r="B4877" t="inlineStr">
        <is>
          <t>avverkningsanmälan</t>
        </is>
      </c>
      <c r="C4877" t="inlineStr">
        <is>
          <t>Föryngringsavverkning</t>
        </is>
      </c>
      <c r="D4877" s="1" t="n">
        <v>45091</v>
      </c>
      <c r="E4877" s="1" t="n">
        <v>46326</v>
      </c>
      <c r="F4877" t="inlineStr">
        <is>
          <t>GÄVLEBORGS LÄN</t>
        </is>
      </c>
      <c r="G4877" t="inlineStr">
        <is>
          <t>LJUSDAL</t>
        </is>
      </c>
      <c r="H4877" t="inlineStr">
        <is>
          <t>Sveaskog</t>
        </is>
      </c>
      <c r="I4877" t="n">
        <v>1.9</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26186-2023</t>
        </is>
      </c>
      <c r="B4878" t="inlineStr">
        <is>
          <t>avverkningsanmälan</t>
        </is>
      </c>
      <c r="C4878" t="inlineStr">
        <is>
          <t>Föryngringsavverkning</t>
        </is>
      </c>
      <c r="D4878" s="1" t="n">
        <v>45091</v>
      </c>
      <c r="E4878" s="1" t="n">
        <v>46326</v>
      </c>
      <c r="F4878" t="inlineStr">
        <is>
          <t>GÄVLEBORGS LÄN</t>
        </is>
      </c>
      <c r="G4878" t="inlineStr">
        <is>
          <t>LJUSDAL</t>
        </is>
      </c>
      <c r="H4878" t="inlineStr">
        <is>
          <t>Sveaskog</t>
        </is>
      </c>
      <c r="I4878" t="n">
        <v>2</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11523-2026</t>
        </is>
      </c>
      <c r="B4879" t="inlineStr">
        <is>
          <t>avverkningsanmälan</t>
        </is>
      </c>
      <c r="C4879" t="inlineStr">
        <is>
          <t>Föryngringsavverkning</t>
        </is>
      </c>
      <c r="D4879" s="1" t="n">
        <v>46083</v>
      </c>
      <c r="E4879" s="1" t="n">
        <v>46326</v>
      </c>
      <c r="F4879" t="inlineStr">
        <is>
          <t>GÄVLEBORGS LÄN</t>
        </is>
      </c>
      <c r="G4879" t="inlineStr">
        <is>
          <t>GÄVLE</t>
        </is>
      </c>
      <c r="H4879" t="inlineStr">
        <is>
          <t>Bergvik skog öst AB</t>
        </is>
      </c>
      <c r="I4879" t="n">
        <v>0.5</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11649-2026</t>
        </is>
      </c>
      <c r="B4880" t="inlineStr">
        <is>
          <t>avverkningsanmälan</t>
        </is>
      </c>
      <c r="C4880" t="inlineStr">
        <is>
          <t>Föryngringsavverkning</t>
        </is>
      </c>
      <c r="D4880" s="1" t="n">
        <v>46084</v>
      </c>
      <c r="E4880" s="1" t="n">
        <v>46326</v>
      </c>
      <c r="F4880" t="inlineStr">
        <is>
          <t>GÄVLEBORGS LÄN</t>
        </is>
      </c>
      <c r="G4880" t="inlineStr">
        <is>
          <t>OVANÅKER</t>
        </is>
      </c>
      <c r="H4880" t="inlineStr">
        <is>
          <t>Bergvik skog öst AB</t>
        </is>
      </c>
      <c r="I4880" t="n">
        <v>0.4</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11651-2026</t>
        </is>
      </c>
      <c r="B4881" t="inlineStr">
        <is>
          <t>avverkningsanmälan</t>
        </is>
      </c>
      <c r="C4881" t="inlineStr">
        <is>
          <t>Föryngringsavverkning</t>
        </is>
      </c>
      <c r="D4881" s="1" t="n">
        <v>46084</v>
      </c>
      <c r="E4881" s="1" t="n">
        <v>46326</v>
      </c>
      <c r="F4881" t="inlineStr">
        <is>
          <t>GÄVLEBORGS LÄN</t>
        </is>
      </c>
      <c r="G4881" t="inlineStr">
        <is>
          <t>OVANÅKER</t>
        </is>
      </c>
      <c r="H4881" t="inlineStr">
        <is>
          <t>Bergvik skog öst AB</t>
        </is>
      </c>
      <c r="I4881" t="n">
        <v>8.9</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57751-2024</t>
        </is>
      </c>
      <c r="B4882" t="inlineStr">
        <is>
          <t>avverkningsanmälan</t>
        </is>
      </c>
      <c r="C4882" t="inlineStr">
        <is>
          <t>Föryngringsavverkning</t>
        </is>
      </c>
      <c r="D4882" s="1" t="n">
        <v>45630</v>
      </c>
      <c r="E4882" s="1" t="n">
        <v>46326</v>
      </c>
      <c r="F4882" t="inlineStr">
        <is>
          <t>GÄVLEBORGS LÄN</t>
        </is>
      </c>
      <c r="G4882" t="inlineStr">
        <is>
          <t>HOFORS</t>
        </is>
      </c>
      <c r="I4882" t="n">
        <v>1.8</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57772-2025</t>
        </is>
      </c>
      <c r="B4883" t="inlineStr">
        <is>
          <t>avverkningsanmälan</t>
        </is>
      </c>
      <c r="C4883" t="inlineStr">
        <is>
          <t>Föryngringsavverkning</t>
        </is>
      </c>
      <c r="D4883" s="1" t="n">
        <v>45981</v>
      </c>
      <c r="E4883" s="1" t="n">
        <v>46326</v>
      </c>
      <c r="F4883" t="inlineStr">
        <is>
          <t>GÄVLEBORGS LÄN</t>
        </is>
      </c>
      <c r="G4883" t="inlineStr">
        <is>
          <t>OVANÅKER</t>
        </is>
      </c>
      <c r="I4883" t="n">
        <v>1.4</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57706-2025</t>
        </is>
      </c>
      <c r="B4884" t="inlineStr">
        <is>
          <t>avverkningsanmälan</t>
        </is>
      </c>
      <c r="C4884" t="inlineStr">
        <is>
          <t>Föryngringsavverkning</t>
        </is>
      </c>
      <c r="D4884" s="1" t="n">
        <v>45981</v>
      </c>
      <c r="E4884" s="1" t="n">
        <v>46326</v>
      </c>
      <c r="F4884" t="inlineStr">
        <is>
          <t>GÄVLEBORGS LÄN</t>
        </is>
      </c>
      <c r="G4884" t="inlineStr">
        <is>
          <t>BOLLNÄS</t>
        </is>
      </c>
      <c r="I4884" t="n">
        <v>2.4</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57707-2025</t>
        </is>
      </c>
      <c r="B4885" t="inlineStr">
        <is>
          <t>avverkningsanmälan</t>
        </is>
      </c>
      <c r="C4885" t="inlineStr">
        <is>
          <t>Föryngringsavverkning</t>
        </is>
      </c>
      <c r="D4885" s="1" t="n">
        <v>45981</v>
      </c>
      <c r="E4885" s="1" t="n">
        <v>46326</v>
      </c>
      <c r="F4885" t="inlineStr">
        <is>
          <t>GÄVLEBORGS LÄN</t>
        </is>
      </c>
      <c r="G4885" t="inlineStr">
        <is>
          <t>BOLLNÄS</t>
        </is>
      </c>
      <c r="I4885" t="n">
        <v>3</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17667-2023</t>
        </is>
      </c>
      <c r="B4886" t="inlineStr">
        <is>
          <t>avverkningsanmälan</t>
        </is>
      </c>
      <c r="C4886" t="inlineStr">
        <is>
          <t>Föryngringsavverkning</t>
        </is>
      </c>
      <c r="D4886" s="1" t="n">
        <v>45036</v>
      </c>
      <c r="E4886" s="1" t="n">
        <v>46326</v>
      </c>
      <c r="F4886" t="inlineStr">
        <is>
          <t>GÄVLEBORGS LÄN</t>
        </is>
      </c>
      <c r="G4886" t="inlineStr">
        <is>
          <t>LJUSDAL</t>
        </is>
      </c>
      <c r="H4886" t="inlineStr">
        <is>
          <t>SCA</t>
        </is>
      </c>
      <c r="I4886" t="n">
        <v>5.4</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40091-2023</t>
        </is>
      </c>
      <c r="B4887" t="inlineStr">
        <is>
          <t>avverkningsanmälan</t>
        </is>
      </c>
      <c r="C4887" t="inlineStr">
        <is>
          <t>Föryngringsavverkning</t>
        </is>
      </c>
      <c r="D4887" s="1" t="n">
        <v>45168</v>
      </c>
      <c r="E4887" s="1" t="n">
        <v>46326</v>
      </c>
      <c r="F4887" t="inlineStr">
        <is>
          <t>GÄVLEBORGS LÄN</t>
        </is>
      </c>
      <c r="G4887" t="inlineStr">
        <is>
          <t>GÄVLE</t>
        </is>
      </c>
      <c r="H4887" t="inlineStr">
        <is>
          <t>Bergvik skog väst AB</t>
        </is>
      </c>
      <c r="I4887" t="n">
        <v>1.3</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23374-2024</t>
        </is>
      </c>
      <c r="B4888" t="inlineStr">
        <is>
          <t>avverkningsanmälan</t>
        </is>
      </c>
      <c r="C4888" t="inlineStr">
        <is>
          <t>Föryngringsavverkning</t>
        </is>
      </c>
      <c r="D4888" s="1" t="n">
        <v>45453</v>
      </c>
      <c r="E4888" s="1" t="n">
        <v>46326</v>
      </c>
      <c r="F4888" t="inlineStr">
        <is>
          <t>GÄVLEBORGS LÄN</t>
        </is>
      </c>
      <c r="G4888" t="inlineStr">
        <is>
          <t>LJUSDAL</t>
        </is>
      </c>
      <c r="I4888" t="n">
        <v>1</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23386-2024</t>
        </is>
      </c>
      <c r="B4889" t="inlineStr">
        <is>
          <t>avverkningsanmälan</t>
        </is>
      </c>
      <c r="C4889" t="inlineStr">
        <is>
          <t>Föryngringsavverkning</t>
        </is>
      </c>
      <c r="D4889" s="1" t="n">
        <v>45453</v>
      </c>
      <c r="E4889" s="1" t="n">
        <v>46326</v>
      </c>
      <c r="F4889" t="inlineStr">
        <is>
          <t>GÄVLEBORGS LÄN</t>
        </is>
      </c>
      <c r="G4889" t="inlineStr">
        <is>
          <t>LJUSDAL</t>
        </is>
      </c>
      <c r="I4889" t="n">
        <v>1.2</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57558-2025</t>
        </is>
      </c>
      <c r="B4890" t="inlineStr">
        <is>
          <t>avverkningsanmälan</t>
        </is>
      </c>
      <c r="C4890" t="inlineStr">
        <is>
          <t>Avverkning för att bevara och utveckla /försöksver</t>
        </is>
      </c>
      <c r="D4890" s="1" t="n">
        <v>45980</v>
      </c>
      <c r="E4890" s="1" t="n">
        <v>46326</v>
      </c>
      <c r="F4890" t="inlineStr">
        <is>
          <t>GÄVLEBORGS LÄN</t>
        </is>
      </c>
      <c r="G4890" t="inlineStr">
        <is>
          <t>NORDANSTIG</t>
        </is>
      </c>
      <c r="H4890" t="inlineStr">
        <is>
          <t>SCA</t>
        </is>
      </c>
      <c r="I4890" t="n">
        <v>1.9</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57559-2025</t>
        </is>
      </c>
      <c r="B4891" t="inlineStr">
        <is>
          <t>avverkningsanmälan</t>
        </is>
      </c>
      <c r="C4891" t="inlineStr">
        <is>
          <t>Avverkning för att bevara och utveckla /försöksver</t>
        </is>
      </c>
      <c r="D4891" s="1" t="n">
        <v>45980</v>
      </c>
      <c r="E4891" s="1" t="n">
        <v>46326</v>
      </c>
      <c r="F4891" t="inlineStr">
        <is>
          <t>GÄVLEBORGS LÄN</t>
        </is>
      </c>
      <c r="G4891" t="inlineStr">
        <is>
          <t>NORDANSTIG</t>
        </is>
      </c>
      <c r="H4891" t="inlineStr">
        <is>
          <t>SCA</t>
        </is>
      </c>
      <c r="I4891" t="n">
        <v>0.7</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11423-2026</t>
        </is>
      </c>
      <c r="B4892" t="inlineStr">
        <is>
          <t>avverkningsanmälan</t>
        </is>
      </c>
      <c r="C4892" t="inlineStr">
        <is>
          <t>Föryngringsavverkning</t>
        </is>
      </c>
      <c r="D4892" s="1" t="n">
        <v>46083</v>
      </c>
      <c r="E4892" s="1" t="n">
        <v>46326</v>
      </c>
      <c r="F4892" t="inlineStr">
        <is>
          <t>GÄVLEBORGS LÄN</t>
        </is>
      </c>
      <c r="G4892" t="inlineStr">
        <is>
          <t>OCKELBO</t>
        </is>
      </c>
      <c r="H4892" t="inlineStr">
        <is>
          <t>Bergvik skog öst AB</t>
        </is>
      </c>
      <c r="I4892" t="n">
        <v>0.6</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11431-2026</t>
        </is>
      </c>
      <c r="B4893" t="inlineStr">
        <is>
          <t>avverkningsanmälan</t>
        </is>
      </c>
      <c r="C4893" t="inlineStr">
        <is>
          <t>Föryngringsavverkning</t>
        </is>
      </c>
      <c r="D4893" s="1" t="n">
        <v>46083</v>
      </c>
      <c r="E4893" s="1" t="n">
        <v>46326</v>
      </c>
      <c r="F4893" t="inlineStr">
        <is>
          <t>GÄVLEBORGS LÄN</t>
        </is>
      </c>
      <c r="G4893" t="inlineStr">
        <is>
          <t>OVANÅKER</t>
        </is>
      </c>
      <c r="I4893" t="n">
        <v>1.1</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11550-2026</t>
        </is>
      </c>
      <c r="B4894" t="inlineStr">
        <is>
          <t>avverkningsanmälan</t>
        </is>
      </c>
      <c r="C4894" t="inlineStr">
        <is>
          <t>Föryngringsavverkning</t>
        </is>
      </c>
      <c r="D4894" s="1" t="n">
        <v>46084</v>
      </c>
      <c r="E4894" s="1" t="n">
        <v>46326</v>
      </c>
      <c r="F4894" t="inlineStr">
        <is>
          <t>GÄVLEBORGS LÄN</t>
        </is>
      </c>
      <c r="G4894" t="inlineStr">
        <is>
          <t>BOLLNÄS</t>
        </is>
      </c>
      <c r="I4894" t="n">
        <v>14.1</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50053-2022</t>
        </is>
      </c>
      <c r="B4895" t="inlineStr">
        <is>
          <t>avverkningsanmälan</t>
        </is>
      </c>
      <c r="C4895" t="inlineStr">
        <is>
          <t>Föryngringsavverkning</t>
        </is>
      </c>
      <c r="D4895" s="1" t="n">
        <v>44865</v>
      </c>
      <c r="E4895" s="1" t="n">
        <v>46326</v>
      </c>
      <c r="F4895" t="inlineStr">
        <is>
          <t>GÄVLEBORGS LÄN</t>
        </is>
      </c>
      <c r="G4895" t="inlineStr">
        <is>
          <t>BOLLNÄS</t>
        </is>
      </c>
      <c r="I4895" t="n">
        <v>0.9</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5440-2023</t>
        </is>
      </c>
      <c r="B4896" t="inlineStr">
        <is>
          <t>avverkningsanmälan</t>
        </is>
      </c>
      <c r="C4896" t="inlineStr">
        <is>
          <t>Föryngringsavverkning</t>
        </is>
      </c>
      <c r="D4896" s="1" t="n">
        <v>44959</v>
      </c>
      <c r="E4896" s="1" t="n">
        <v>46326</v>
      </c>
      <c r="F4896" t="inlineStr">
        <is>
          <t>GÄVLEBORGS LÄN</t>
        </is>
      </c>
      <c r="G4896" t="inlineStr">
        <is>
          <t>LJUSDAL</t>
        </is>
      </c>
      <c r="I4896" t="n">
        <v>2.5</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11373-2024</t>
        </is>
      </c>
      <c r="B4897" t="inlineStr">
        <is>
          <t>avverkningsanmälan</t>
        </is>
      </c>
      <c r="C4897" t="inlineStr">
        <is>
          <t>Föryngringsavverkning</t>
        </is>
      </c>
      <c r="D4897" s="1" t="n">
        <v>45372</v>
      </c>
      <c r="E4897" s="1" t="n">
        <v>46326</v>
      </c>
      <c r="F4897" t="inlineStr">
        <is>
          <t>GÄVLEBORGS LÄN</t>
        </is>
      </c>
      <c r="G4897" t="inlineStr">
        <is>
          <t>HUDIKSVALL</t>
        </is>
      </c>
      <c r="H4897" t="inlineStr">
        <is>
          <t>Holmen skog AB</t>
        </is>
      </c>
      <c r="I4897" t="n">
        <v>5.3</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11586-2026</t>
        </is>
      </c>
      <c r="B4898" t="inlineStr">
        <is>
          <t>avverkningsanmälan</t>
        </is>
      </c>
      <c r="C4898" t="inlineStr">
        <is>
          <t>Föryngringsavverkning</t>
        </is>
      </c>
      <c r="D4898" s="1" t="n">
        <v>46084</v>
      </c>
      <c r="E4898" s="1" t="n">
        <v>46326</v>
      </c>
      <c r="F4898" t="inlineStr">
        <is>
          <t>GÄVLEBORGS LÄN</t>
        </is>
      </c>
      <c r="G4898" t="inlineStr">
        <is>
          <t>NORDANSTIG</t>
        </is>
      </c>
      <c r="I4898" t="n">
        <v>10</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11592-2026</t>
        </is>
      </c>
      <c r="B4899" t="inlineStr">
        <is>
          <t>avverkningsanmälan</t>
        </is>
      </c>
      <c r="C4899" t="inlineStr">
        <is>
          <t>Föryngringsavverkning</t>
        </is>
      </c>
      <c r="D4899" s="1" t="n">
        <v>46084</v>
      </c>
      <c r="E4899" s="1" t="n">
        <v>46326</v>
      </c>
      <c r="F4899" t="inlineStr">
        <is>
          <t>GÄVLEBORGS LÄN</t>
        </is>
      </c>
      <c r="G4899" t="inlineStr">
        <is>
          <t>NORDANSTIG</t>
        </is>
      </c>
      <c r="I4899" t="n">
        <v>8.6</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43800-2023</t>
        </is>
      </c>
      <c r="B4900" t="inlineStr">
        <is>
          <t>avverkningsanmälan</t>
        </is>
      </c>
      <c r="C4900" t="inlineStr">
        <is>
          <t>Föryngringsavverkning</t>
        </is>
      </c>
      <c r="D4900" s="1" t="n">
        <v>45187</v>
      </c>
      <c r="E4900" s="1" t="n">
        <v>46326</v>
      </c>
      <c r="F4900" t="inlineStr">
        <is>
          <t>GÄVLEBORGS LÄN</t>
        </is>
      </c>
      <c r="G4900" t="inlineStr">
        <is>
          <t>LJUSDAL</t>
        </is>
      </c>
      <c r="H4900" t="inlineStr">
        <is>
          <t>Bergvik skog väst AB</t>
        </is>
      </c>
      <c r="I4900" t="n">
        <v>6.9</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57708-2025</t>
        </is>
      </c>
      <c r="B4901" t="inlineStr">
        <is>
          <t>avverkningsanmälan</t>
        </is>
      </c>
      <c r="C4901" t="inlineStr">
        <is>
          <t>Föryngringsavverkning</t>
        </is>
      </c>
      <c r="D4901" s="1" t="n">
        <v>45981</v>
      </c>
      <c r="E4901" s="1" t="n">
        <v>46326</v>
      </c>
      <c r="F4901" t="inlineStr">
        <is>
          <t>GÄVLEBORGS LÄN</t>
        </is>
      </c>
      <c r="G4901" t="inlineStr">
        <is>
          <t>BOLLNÄS</t>
        </is>
      </c>
      <c r="I4901" t="n">
        <v>3.4</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4255-2024</t>
        </is>
      </c>
      <c r="B4902" t="inlineStr">
        <is>
          <t>avverkningsanmälan</t>
        </is>
      </c>
      <c r="C4902" t="inlineStr">
        <is>
          <t>Föryngringsavverkning</t>
        </is>
      </c>
      <c r="D4902" s="1" t="n">
        <v>45324</v>
      </c>
      <c r="E4902" s="1" t="n">
        <v>46326</v>
      </c>
      <c r="F4902" t="inlineStr">
        <is>
          <t>GÄVLEBORGS LÄN</t>
        </is>
      </c>
      <c r="G4902" t="inlineStr">
        <is>
          <t>NORDANSTIG</t>
        </is>
      </c>
      <c r="I4902" t="n">
        <v>0.5</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57594-2025</t>
        </is>
      </c>
      <c r="B4903" t="inlineStr">
        <is>
          <t>avverkningsanmälan</t>
        </is>
      </c>
      <c r="C4903" t="inlineStr">
        <is>
          <t>Föryngringsavverkning</t>
        </is>
      </c>
      <c r="D4903" s="1" t="n">
        <v>45980</v>
      </c>
      <c r="E4903" s="1" t="n">
        <v>46326</v>
      </c>
      <c r="F4903" t="inlineStr">
        <is>
          <t>GÄVLEBORGS LÄN</t>
        </is>
      </c>
      <c r="G4903" t="inlineStr">
        <is>
          <t>HOFORS</t>
        </is>
      </c>
      <c r="I4903" t="n">
        <v>0.9</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11366-2026</t>
        </is>
      </c>
      <c r="B4904" t="inlineStr">
        <is>
          <t>avverkningsanmälan</t>
        </is>
      </c>
      <c r="C4904" t="inlineStr">
        <is>
          <t>Föryngringsavverkning</t>
        </is>
      </c>
      <c r="D4904" s="1" t="n">
        <v>46083</v>
      </c>
      <c r="E4904" s="1" t="n">
        <v>46326</v>
      </c>
      <c r="F4904" t="inlineStr">
        <is>
          <t>GÄVLEBORGS LÄN</t>
        </is>
      </c>
      <c r="G4904" t="inlineStr">
        <is>
          <t>BOLLNÄS</t>
        </is>
      </c>
      <c r="I4904" t="n">
        <v>0.8</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2712-2026</t>
        </is>
      </c>
      <c r="B4905" t="inlineStr">
        <is>
          <t>avverkningsanmälan</t>
        </is>
      </c>
      <c r="C4905" t="inlineStr">
        <is>
          <t>Föryngringsavverkning</t>
        </is>
      </c>
      <c r="D4905" s="1" t="n">
        <v>46037</v>
      </c>
      <c r="E4905" s="1" t="n">
        <v>46326</v>
      </c>
      <c r="F4905" t="inlineStr">
        <is>
          <t>GÄVLEBORGS LÄN</t>
        </is>
      </c>
      <c r="G4905" t="inlineStr">
        <is>
          <t>SANDVIKEN</t>
        </is>
      </c>
      <c r="I4905" t="n">
        <v>2.7</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11578-2026</t>
        </is>
      </c>
      <c r="B4906" t="inlineStr">
        <is>
          <t>avverkningsanmälan</t>
        </is>
      </c>
      <c r="C4906" t="inlineStr">
        <is>
          <t>Föryngringsavverkning</t>
        </is>
      </c>
      <c r="D4906" s="1" t="n">
        <v>46084</v>
      </c>
      <c r="E4906" s="1" t="n">
        <v>46326</v>
      </c>
      <c r="F4906" t="inlineStr">
        <is>
          <t>GÄVLEBORGS LÄN</t>
        </is>
      </c>
      <c r="G4906" t="inlineStr">
        <is>
          <t>NORDANSTIG</t>
        </is>
      </c>
      <c r="I4906" t="n">
        <v>1.4</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11614-2026</t>
        </is>
      </c>
      <c r="B4907" t="inlineStr">
        <is>
          <t>avverkningsanmälan</t>
        </is>
      </c>
      <c r="C4907" t="inlineStr">
        <is>
          <t>Föryngringsavverkning</t>
        </is>
      </c>
      <c r="D4907" s="1" t="n">
        <v>46084</v>
      </c>
      <c r="E4907" s="1" t="n">
        <v>46326</v>
      </c>
      <c r="F4907" t="inlineStr">
        <is>
          <t>GÄVLEBORGS LÄN</t>
        </is>
      </c>
      <c r="G4907" t="inlineStr">
        <is>
          <t>NORDANSTIG</t>
        </is>
      </c>
      <c r="I4907" t="n">
        <v>1.7</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11786-2026</t>
        </is>
      </c>
      <c r="B4908" t="inlineStr">
        <is>
          <t>avverkningsanmälan</t>
        </is>
      </c>
      <c r="C4908" t="inlineStr">
        <is>
          <t>Föryngringsavverkning</t>
        </is>
      </c>
      <c r="D4908" s="1" t="n">
        <v>46084</v>
      </c>
      <c r="E4908" s="1" t="n">
        <v>46326</v>
      </c>
      <c r="F4908" t="inlineStr">
        <is>
          <t>GÄVLEBORGS LÄN</t>
        </is>
      </c>
      <c r="G4908" t="inlineStr">
        <is>
          <t>SANDVIKEN</t>
        </is>
      </c>
      <c r="I4908" t="n">
        <v>0.7</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3714-2023</t>
        </is>
      </c>
      <c r="B4909" t="inlineStr">
        <is>
          <t>avverkningsanmälan</t>
        </is>
      </c>
      <c r="C4909" t="inlineStr">
        <is>
          <t>Föryngringsavverkning</t>
        </is>
      </c>
      <c r="D4909" s="1" t="n">
        <v>44951</v>
      </c>
      <c r="E4909" s="1" t="n">
        <v>46326</v>
      </c>
      <c r="F4909" t="inlineStr">
        <is>
          <t>GÄVLEBORGS LÄN</t>
        </is>
      </c>
      <c r="G4909" t="inlineStr">
        <is>
          <t>GÄVLE</t>
        </is>
      </c>
      <c r="H4909" t="inlineStr">
        <is>
          <t>Bergvik skog väst AB</t>
        </is>
      </c>
      <c r="I4909" t="n">
        <v>1.8</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3715-2023</t>
        </is>
      </c>
      <c r="B4910" t="inlineStr">
        <is>
          <t>avverkningsanmälan</t>
        </is>
      </c>
      <c r="C4910" t="inlineStr">
        <is>
          <t>Föryngringsavverkning</t>
        </is>
      </c>
      <c r="D4910" s="1" t="n">
        <v>44951</v>
      </c>
      <c r="E4910" s="1" t="n">
        <v>46326</v>
      </c>
      <c r="F4910" t="inlineStr">
        <is>
          <t>GÄVLEBORGS LÄN</t>
        </is>
      </c>
      <c r="G4910" t="inlineStr">
        <is>
          <t>GÄVLE</t>
        </is>
      </c>
      <c r="H4910" t="inlineStr">
        <is>
          <t>Bergvik skog väst AB</t>
        </is>
      </c>
      <c r="I4910" t="n">
        <v>1.8</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57860-2025</t>
        </is>
      </c>
      <c r="B4911" t="inlineStr">
        <is>
          <t>avverkningsanmälan</t>
        </is>
      </c>
      <c r="C4911" t="inlineStr">
        <is>
          <t>Föryngringsavverkning</t>
        </is>
      </c>
      <c r="D4911" s="1" t="n">
        <v>45981</v>
      </c>
      <c r="E4911" s="1" t="n">
        <v>46326</v>
      </c>
      <c r="F4911" t="inlineStr">
        <is>
          <t>GÄVLEBORGS LÄN</t>
        </is>
      </c>
      <c r="G4911" t="inlineStr">
        <is>
          <t>LJUSDAL</t>
        </is>
      </c>
      <c r="I4911" t="n">
        <v>4.2</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11581-2026</t>
        </is>
      </c>
      <c r="B4912" t="inlineStr">
        <is>
          <t>avverkningsanmälan</t>
        </is>
      </c>
      <c r="C4912" t="inlineStr">
        <is>
          <t>Föryngringsavverkning</t>
        </is>
      </c>
      <c r="D4912" s="1" t="n">
        <v>46084</v>
      </c>
      <c r="E4912" s="1" t="n">
        <v>46326</v>
      </c>
      <c r="F4912" t="inlineStr">
        <is>
          <t>GÄVLEBORGS LÄN</t>
        </is>
      </c>
      <c r="G4912" t="inlineStr">
        <is>
          <t>NORDANSTIG</t>
        </is>
      </c>
      <c r="I4912" t="n">
        <v>1.8</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11673-2026</t>
        </is>
      </c>
      <c r="B4913" t="inlineStr">
        <is>
          <t>avverkningsanmälan</t>
        </is>
      </c>
      <c r="C4913" t="inlineStr">
        <is>
          <t>Föryngringsavverkning</t>
        </is>
      </c>
      <c r="D4913" s="1" t="n">
        <v>46084</v>
      </c>
      <c r="E4913" s="1" t="n">
        <v>46326</v>
      </c>
      <c r="F4913" t="inlineStr">
        <is>
          <t>GÄVLEBORGS LÄN</t>
        </is>
      </c>
      <c r="G4913" t="inlineStr">
        <is>
          <t>OVANÅKER</t>
        </is>
      </c>
      <c r="H4913" t="inlineStr">
        <is>
          <t>Bergvik skog väst AB</t>
        </is>
      </c>
      <c r="I4913" t="n">
        <v>0.5</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12064-2026</t>
        </is>
      </c>
      <c r="B4914" t="inlineStr">
        <is>
          <t>avverkningsanmälan</t>
        </is>
      </c>
      <c r="C4914" t="inlineStr">
        <is>
          <t>Föryngringsavverkning</t>
        </is>
      </c>
      <c r="D4914" s="1" t="n">
        <v>46086</v>
      </c>
      <c r="E4914" s="1" t="n">
        <v>46326</v>
      </c>
      <c r="F4914" t="inlineStr">
        <is>
          <t>GÄVLEBORGS LÄN</t>
        </is>
      </c>
      <c r="G4914" t="inlineStr">
        <is>
          <t>SANDVIKEN</t>
        </is>
      </c>
      <c r="H4914" t="inlineStr">
        <is>
          <t>Bergvik skog öst AB</t>
        </is>
      </c>
      <c r="I4914" t="n">
        <v>0.4</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628-2025</t>
        </is>
      </c>
      <c r="B4915" t="inlineStr">
        <is>
          <t>avverkningsanmälan</t>
        </is>
      </c>
      <c r="C4915" t="inlineStr">
        <is>
          <t>Föryngringsavverkning</t>
        </is>
      </c>
      <c r="D4915" s="1" t="n">
        <v>45664</v>
      </c>
      <c r="E4915" s="1" t="n">
        <v>46326</v>
      </c>
      <c r="F4915" t="inlineStr">
        <is>
          <t>GÄVLEBORGS LÄN</t>
        </is>
      </c>
      <c r="G4915" t="inlineStr">
        <is>
          <t>OVANÅKER</t>
        </is>
      </c>
      <c r="I4915" t="n">
        <v>1.7</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8119-2024</t>
        </is>
      </c>
      <c r="B4916" t="inlineStr">
        <is>
          <t>avverkningsanmälan</t>
        </is>
      </c>
      <c r="C4916" t="inlineStr">
        <is>
          <t>Föryngringsavverkning</t>
        </is>
      </c>
      <c r="D4916" s="1" t="n">
        <v>45351</v>
      </c>
      <c r="E4916" s="1" t="n">
        <v>46326</v>
      </c>
      <c r="F4916" t="inlineStr">
        <is>
          <t>GÄVLEBORGS LÄN</t>
        </is>
      </c>
      <c r="G4916" t="inlineStr">
        <is>
          <t>BOLLNÄS</t>
        </is>
      </c>
      <c r="I4916" t="n">
        <v>1.1</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15486-2024</t>
        </is>
      </c>
      <c r="B4917" t="inlineStr">
        <is>
          <t>avverkningsanmälan</t>
        </is>
      </c>
      <c r="C4917" t="inlineStr">
        <is>
          <t>Föryngringsavverkning</t>
        </is>
      </c>
      <c r="D4917" s="1" t="n">
        <v>45401</v>
      </c>
      <c r="E4917" s="1" t="n">
        <v>46326</v>
      </c>
      <c r="F4917" t="inlineStr">
        <is>
          <t>GÄVLEBORGS LÄN</t>
        </is>
      </c>
      <c r="G4917" t="inlineStr">
        <is>
          <t>HUDIKSVALL</t>
        </is>
      </c>
      <c r="I4917" t="n">
        <v>2.8</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11914-2026</t>
        </is>
      </c>
      <c r="B4918" t="inlineStr">
        <is>
          <t>avverkningsanmälan</t>
        </is>
      </c>
      <c r="C4918" t="inlineStr">
        <is>
          <t>Föryngringsavverkning</t>
        </is>
      </c>
      <c r="D4918" s="1" t="n">
        <v>46085</v>
      </c>
      <c r="E4918" s="1" t="n">
        <v>46326</v>
      </c>
      <c r="F4918" t="inlineStr">
        <is>
          <t>GÄVLEBORGS LÄN</t>
        </is>
      </c>
      <c r="G4918" t="inlineStr">
        <is>
          <t>SANDVIKEN</t>
        </is>
      </c>
      <c r="I4918" t="n">
        <v>0.8</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11931-2026</t>
        </is>
      </c>
      <c r="B4919" t="inlineStr">
        <is>
          <t>avverkningsanmälan</t>
        </is>
      </c>
      <c r="C4919" t="inlineStr">
        <is>
          <t>Föryngringsavverkning</t>
        </is>
      </c>
      <c r="D4919" s="1" t="n">
        <v>46085</v>
      </c>
      <c r="E4919" s="1" t="n">
        <v>46326</v>
      </c>
      <c r="F4919" t="inlineStr">
        <is>
          <t>GÄVLEBORGS LÄN</t>
        </is>
      </c>
      <c r="G4919" t="inlineStr">
        <is>
          <t>BOLLNÄS</t>
        </is>
      </c>
      <c r="I4919" t="n">
        <v>0.4</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12166-2026</t>
        </is>
      </c>
      <c r="B4920" t="inlineStr">
        <is>
          <t>avverkningsanmälan</t>
        </is>
      </c>
      <c r="C4920" t="inlineStr">
        <is>
          <t>Föryngringsavverkning</t>
        </is>
      </c>
      <c r="D4920" s="1" t="n">
        <v>46086</v>
      </c>
      <c r="E4920" s="1" t="n">
        <v>46326</v>
      </c>
      <c r="F4920" t="inlineStr">
        <is>
          <t>GÄVLEBORGS LÄN</t>
        </is>
      </c>
      <c r="G4920" t="inlineStr">
        <is>
          <t>SANDVIKEN</t>
        </is>
      </c>
      <c r="H4920" t="inlineStr">
        <is>
          <t>Bergvik skog öst AB</t>
        </is>
      </c>
      <c r="I4920" t="n">
        <v>0.5</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24764-2024</t>
        </is>
      </c>
      <c r="B4921" t="inlineStr">
        <is>
          <t>avverkningsanmälan</t>
        </is>
      </c>
      <c r="C4921" t="inlineStr">
        <is>
          <t>Föryngringsavverkning</t>
        </is>
      </c>
      <c r="D4921" s="1" t="n">
        <v>45460</v>
      </c>
      <c r="E4921" s="1" t="n">
        <v>46326</v>
      </c>
      <c r="F4921" t="inlineStr">
        <is>
          <t>GÄVLEBORGS LÄN</t>
        </is>
      </c>
      <c r="G4921" t="inlineStr">
        <is>
          <t>SANDVIKEN</t>
        </is>
      </c>
      <c r="I4921" t="n">
        <v>1</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57443-2025</t>
        </is>
      </c>
      <c r="B4922" t="inlineStr">
        <is>
          <t>avverkningsanmälan</t>
        </is>
      </c>
      <c r="C4922" t="inlineStr">
        <is>
          <t>Föryngringsavverkning</t>
        </is>
      </c>
      <c r="D4922" s="1" t="n">
        <v>45980</v>
      </c>
      <c r="E4922" s="1" t="n">
        <v>46326</v>
      </c>
      <c r="F4922" t="inlineStr">
        <is>
          <t>GÄVLEBORGS LÄN</t>
        </is>
      </c>
      <c r="G4922" t="inlineStr">
        <is>
          <t>BOLLNÄS</t>
        </is>
      </c>
      <c r="I4922" t="n">
        <v>2.8</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57472-2025</t>
        </is>
      </c>
      <c r="B4923" t="inlineStr">
        <is>
          <t>avverkningsanmälan</t>
        </is>
      </c>
      <c r="C4923" t="inlineStr">
        <is>
          <t>Föryngringsavverkning</t>
        </is>
      </c>
      <c r="D4923" s="1" t="n">
        <v>45980</v>
      </c>
      <c r="E4923" s="1" t="n">
        <v>46326</v>
      </c>
      <c r="F4923" t="inlineStr">
        <is>
          <t>GÄVLEBORGS LÄN</t>
        </is>
      </c>
      <c r="G4923" t="inlineStr">
        <is>
          <t>LJUSDAL</t>
        </is>
      </c>
      <c r="H4923" t="inlineStr">
        <is>
          <t>Sveaskog</t>
        </is>
      </c>
      <c r="I4923" t="n">
        <v>2.5</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58215-2025</t>
        </is>
      </c>
      <c r="B4924" t="inlineStr">
        <is>
          <t>avverkningsanmälan</t>
        </is>
      </c>
      <c r="C4924" t="inlineStr">
        <is>
          <t>Föryngringsavverkning</t>
        </is>
      </c>
      <c r="D4924" s="1" t="n">
        <v>45985</v>
      </c>
      <c r="E4924" s="1" t="n">
        <v>46326</v>
      </c>
      <c r="F4924" t="inlineStr">
        <is>
          <t>GÄVLEBORGS LÄN</t>
        </is>
      </c>
      <c r="G4924" t="inlineStr">
        <is>
          <t>SÖDERHAMN</t>
        </is>
      </c>
      <c r="I4924" t="n">
        <v>1</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42717-2024</t>
        </is>
      </c>
      <c r="B4925" t="inlineStr">
        <is>
          <t>avverkningsanmälan</t>
        </is>
      </c>
      <c r="C4925" t="inlineStr">
        <is>
          <t>Föryngringsavverkning</t>
        </is>
      </c>
      <c r="D4925" s="1" t="n">
        <v>45566</v>
      </c>
      <c r="E4925" s="1" t="n">
        <v>46326</v>
      </c>
      <c r="F4925" t="inlineStr">
        <is>
          <t>GÄVLEBORGS LÄN</t>
        </is>
      </c>
      <c r="G4925" t="inlineStr">
        <is>
          <t>NORDANSTIG</t>
        </is>
      </c>
      <c r="I4925" t="n">
        <v>0.5</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39927-2024</t>
        </is>
      </c>
      <c r="B4926" t="inlineStr">
        <is>
          <t>avverkningsanmälan</t>
        </is>
      </c>
      <c r="C4926" t="inlineStr">
        <is>
          <t>Föryngringsavverkning</t>
        </is>
      </c>
      <c r="D4926" s="1" t="n">
        <v>45553</v>
      </c>
      <c r="E4926" s="1" t="n">
        <v>46326</v>
      </c>
      <c r="F4926" t="inlineStr">
        <is>
          <t>GÄVLEBORGS LÄN</t>
        </is>
      </c>
      <c r="G4926" t="inlineStr">
        <is>
          <t>LJUSDAL</t>
        </is>
      </c>
      <c r="I4926" t="n">
        <v>0.8</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58184-2025</t>
        </is>
      </c>
      <c r="B4927" t="inlineStr">
        <is>
          <t>avverkningsanmälan</t>
        </is>
      </c>
      <c r="C4927" t="inlineStr">
        <is>
          <t>Föryngringsavverkning</t>
        </is>
      </c>
      <c r="D4927" s="1" t="n">
        <v>45983</v>
      </c>
      <c r="E4927" s="1" t="n">
        <v>46326</v>
      </c>
      <c r="F4927" t="inlineStr">
        <is>
          <t>GÄVLEBORGS LÄN</t>
        </is>
      </c>
      <c r="G4927" t="inlineStr">
        <is>
          <t>SANDVIKEN</t>
        </is>
      </c>
      <c r="I4927" t="n">
        <v>2.4</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58254-2025</t>
        </is>
      </c>
      <c r="B4928" t="inlineStr">
        <is>
          <t>avverkningsanmälan</t>
        </is>
      </c>
      <c r="C4928" t="inlineStr">
        <is>
          <t>Föryngringsavverkning</t>
        </is>
      </c>
      <c r="D4928" s="1" t="n">
        <v>45985</v>
      </c>
      <c r="E4928" s="1" t="n">
        <v>46326</v>
      </c>
      <c r="F4928" t="inlineStr">
        <is>
          <t>GÄVLEBORGS LÄN</t>
        </is>
      </c>
      <c r="G4928" t="inlineStr">
        <is>
          <t>HUDIKSVALL</t>
        </is>
      </c>
      <c r="H4928" t="inlineStr">
        <is>
          <t>Holmen skog AB</t>
        </is>
      </c>
      <c r="I4928" t="n">
        <v>15.5</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11778-2026</t>
        </is>
      </c>
      <c r="B4929" t="inlineStr">
        <is>
          <t>avverkningsanmälan</t>
        </is>
      </c>
      <c r="C4929" t="inlineStr">
        <is>
          <t>Föryngringsavverkning</t>
        </is>
      </c>
      <c r="D4929" s="1" t="n">
        <v>46084</v>
      </c>
      <c r="E4929" s="1" t="n">
        <v>46326</v>
      </c>
      <c r="F4929" t="inlineStr">
        <is>
          <t>GÄVLEBORGS LÄN</t>
        </is>
      </c>
      <c r="G4929" t="inlineStr">
        <is>
          <t>HUDIKSVALL</t>
        </is>
      </c>
      <c r="I4929" t="n">
        <v>1.3</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12132-2026</t>
        </is>
      </c>
      <c r="B4930" t="inlineStr">
        <is>
          <t>avverkningsanmälan</t>
        </is>
      </c>
      <c r="C4930" t="inlineStr">
        <is>
          <t>Föryngringsavverkning</t>
        </is>
      </c>
      <c r="D4930" s="1" t="n">
        <v>46086</v>
      </c>
      <c r="E4930" s="1" t="n">
        <v>46326</v>
      </c>
      <c r="F4930" t="inlineStr">
        <is>
          <t>GÄVLEBORGS LÄN</t>
        </is>
      </c>
      <c r="G4930" t="inlineStr">
        <is>
          <t>SANDVIKEN</t>
        </is>
      </c>
      <c r="H4930" t="inlineStr">
        <is>
          <t>Bergvik skog öst AB</t>
        </is>
      </c>
      <c r="I4930" t="n">
        <v>0.7</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12156-2026</t>
        </is>
      </c>
      <c r="B4931" t="inlineStr">
        <is>
          <t>avverkningsanmälan</t>
        </is>
      </c>
      <c r="C4931" t="inlineStr">
        <is>
          <t>Föryngringsavverkning</t>
        </is>
      </c>
      <c r="D4931" s="1" t="n">
        <v>46086</v>
      </c>
      <c r="E4931" s="1" t="n">
        <v>46326</v>
      </c>
      <c r="F4931" t="inlineStr">
        <is>
          <t>GÄVLEBORGS LÄN</t>
        </is>
      </c>
      <c r="G4931" t="inlineStr">
        <is>
          <t>OVANÅKER</t>
        </is>
      </c>
      <c r="I4931" t="n">
        <v>2.6</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58047-2025</t>
        </is>
      </c>
      <c r="B4932" t="inlineStr">
        <is>
          <t>avverkningsanmälan</t>
        </is>
      </c>
      <c r="C4932" t="inlineStr">
        <is>
          <t>Föryngringsavverkning</t>
        </is>
      </c>
      <c r="D4932" s="1" t="n">
        <v>45982</v>
      </c>
      <c r="E4932" s="1" t="n">
        <v>46326</v>
      </c>
      <c r="F4932" t="inlineStr">
        <is>
          <t>GÄVLEBORGS LÄN</t>
        </is>
      </c>
      <c r="G4932" t="inlineStr">
        <is>
          <t>SÖDERHAMN</t>
        </is>
      </c>
      <c r="I4932" t="n">
        <v>3.9</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39858-2023</t>
        </is>
      </c>
      <c r="B4933" t="inlineStr">
        <is>
          <t>avverkningsanmälan</t>
        </is>
      </c>
      <c r="C4933" t="inlineStr">
        <is>
          <t>Föryngringsavverkning</t>
        </is>
      </c>
      <c r="D4933" s="1" t="n">
        <v>45168</v>
      </c>
      <c r="E4933" s="1" t="n">
        <v>46326</v>
      </c>
      <c r="F4933" t="inlineStr">
        <is>
          <t>GÄVLEBORGS LÄN</t>
        </is>
      </c>
      <c r="G4933" t="inlineStr">
        <is>
          <t>HUDIKSVALL</t>
        </is>
      </c>
      <c r="H4933" t="inlineStr">
        <is>
          <t>Holmen skog AB</t>
        </is>
      </c>
      <c r="I4933" t="n">
        <v>2.1</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58197-2025</t>
        </is>
      </c>
      <c r="B4934" t="inlineStr">
        <is>
          <t>avverkningsanmälan</t>
        </is>
      </c>
      <c r="C4934" t="inlineStr">
        <is>
          <t>Föryngringsavverkning</t>
        </is>
      </c>
      <c r="D4934" s="1" t="n">
        <v>45984</v>
      </c>
      <c r="E4934" s="1" t="n">
        <v>46326</v>
      </c>
      <c r="F4934" t="inlineStr">
        <is>
          <t>GÄVLEBORGS LÄN</t>
        </is>
      </c>
      <c r="G4934" t="inlineStr">
        <is>
          <t>SANDVIKEN</t>
        </is>
      </c>
      <c r="H4934" t="inlineStr">
        <is>
          <t>Bergvik skog öst AB</t>
        </is>
      </c>
      <c r="I4934" t="n">
        <v>1.2</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11940-2026</t>
        </is>
      </c>
      <c r="B4935" t="inlineStr">
        <is>
          <t>avverkningsanmälan</t>
        </is>
      </c>
      <c r="C4935" t="inlineStr">
        <is>
          <t>Föryngringsavverkning</t>
        </is>
      </c>
      <c r="D4935" s="1" t="n">
        <v>46085</v>
      </c>
      <c r="E4935" s="1" t="n">
        <v>46326</v>
      </c>
      <c r="F4935" t="inlineStr">
        <is>
          <t>GÄVLEBORGS LÄN</t>
        </is>
      </c>
      <c r="G4935" t="inlineStr">
        <is>
          <t>SANDVIKEN</t>
        </is>
      </c>
      <c r="H4935" t="inlineStr">
        <is>
          <t>Naturvårdsverket</t>
        </is>
      </c>
      <c r="I4935" t="n">
        <v>2</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58199-2025</t>
        </is>
      </c>
      <c r="B4936" t="inlineStr">
        <is>
          <t>avverkningsanmälan</t>
        </is>
      </c>
      <c r="C4936" t="inlineStr">
        <is>
          <t>Föryngringsavverkning</t>
        </is>
      </c>
      <c r="D4936" s="1" t="n">
        <v>45984</v>
      </c>
      <c r="E4936" s="1" t="n">
        <v>46326</v>
      </c>
      <c r="F4936" t="inlineStr">
        <is>
          <t>GÄVLEBORGS LÄN</t>
        </is>
      </c>
      <c r="G4936" t="inlineStr">
        <is>
          <t>SANDVIKEN</t>
        </is>
      </c>
      <c r="H4936" t="inlineStr">
        <is>
          <t>Bergvik skog öst AB</t>
        </is>
      </c>
      <c r="I4936" t="n">
        <v>1.3</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58201-2025</t>
        </is>
      </c>
      <c r="B4937" t="inlineStr">
        <is>
          <t>avverkningsanmälan</t>
        </is>
      </c>
      <c r="C4937" t="inlineStr">
        <is>
          <t>Föryngringsavverkning</t>
        </is>
      </c>
      <c r="D4937" s="1" t="n">
        <v>45984</v>
      </c>
      <c r="E4937" s="1" t="n">
        <v>46326</v>
      </c>
      <c r="F4937" t="inlineStr">
        <is>
          <t>GÄVLEBORGS LÄN</t>
        </is>
      </c>
      <c r="G4937" t="inlineStr">
        <is>
          <t>SANDVIKEN</t>
        </is>
      </c>
      <c r="H4937" t="inlineStr">
        <is>
          <t>Bergvik skog öst AB</t>
        </is>
      </c>
      <c r="I4937" t="n">
        <v>0.9</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12146-2026</t>
        </is>
      </c>
      <c r="B4938" t="inlineStr">
        <is>
          <t>avverkningsanmälan</t>
        </is>
      </c>
      <c r="C4938" t="inlineStr">
        <is>
          <t>Föryngringsavverkning</t>
        </is>
      </c>
      <c r="D4938" s="1" t="n">
        <v>46086</v>
      </c>
      <c r="E4938" s="1" t="n">
        <v>46326</v>
      </c>
      <c r="F4938" t="inlineStr">
        <is>
          <t>GÄVLEBORGS LÄN</t>
        </is>
      </c>
      <c r="G4938" t="inlineStr">
        <is>
          <t>SANDVIKEN</t>
        </is>
      </c>
      <c r="H4938" t="inlineStr">
        <is>
          <t>Bergvik skog öst AB</t>
        </is>
      </c>
      <c r="I4938" t="n">
        <v>0.3</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11810-2026</t>
        </is>
      </c>
      <c r="B4939" t="inlineStr">
        <is>
          <t>avverkningsanmälan</t>
        </is>
      </c>
      <c r="C4939" t="inlineStr">
        <is>
          <t>Föryngringsavverkning</t>
        </is>
      </c>
      <c r="D4939" s="1" t="n">
        <v>46085</v>
      </c>
      <c r="E4939" s="1" t="n">
        <v>46326</v>
      </c>
      <c r="F4939" t="inlineStr">
        <is>
          <t>GÄVLEBORGS LÄN</t>
        </is>
      </c>
      <c r="G4939" t="inlineStr">
        <is>
          <t>OCKELBO</t>
        </is>
      </c>
      <c r="I4939" t="n">
        <v>2.8</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11926-2026</t>
        </is>
      </c>
      <c r="B4940" t="inlineStr">
        <is>
          <t>avverkningsanmälan</t>
        </is>
      </c>
      <c r="C4940" t="inlineStr">
        <is>
          <t>Föryngringsavverkning</t>
        </is>
      </c>
      <c r="D4940" s="1" t="n">
        <v>46085</v>
      </c>
      <c r="E4940" s="1" t="n">
        <v>46326</v>
      </c>
      <c r="F4940" t="inlineStr">
        <is>
          <t>GÄVLEBORGS LÄN</t>
        </is>
      </c>
      <c r="G4940" t="inlineStr">
        <is>
          <t>GÄVLE</t>
        </is>
      </c>
      <c r="H4940" t="inlineStr">
        <is>
          <t>Bergvik skog öst AB</t>
        </is>
      </c>
      <c r="I4940" t="n">
        <v>0.9</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60759-2024</t>
        </is>
      </c>
      <c r="B4941" t="inlineStr">
        <is>
          <t>avverkningsanmälan</t>
        </is>
      </c>
      <c r="C4941" t="inlineStr">
        <is>
          <t>Föryngringsavverkning</t>
        </is>
      </c>
      <c r="D4941" s="1" t="n">
        <v>45644</v>
      </c>
      <c r="E4941" s="1" t="n">
        <v>46326</v>
      </c>
      <c r="F4941" t="inlineStr">
        <is>
          <t>GÄVLEBORGS LÄN</t>
        </is>
      </c>
      <c r="G4941" t="inlineStr">
        <is>
          <t>BOLLNÄS</t>
        </is>
      </c>
      <c r="I4941" t="n">
        <v>1.9</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11793-2026</t>
        </is>
      </c>
      <c r="B4942" t="inlineStr">
        <is>
          <t>avverkningsanmälan</t>
        </is>
      </c>
      <c r="C4942" t="inlineStr">
        <is>
          <t>Föryngringsavverkning</t>
        </is>
      </c>
      <c r="D4942" s="1" t="n">
        <v>46085</v>
      </c>
      <c r="E4942" s="1" t="n">
        <v>46326</v>
      </c>
      <c r="F4942" t="inlineStr">
        <is>
          <t>GÄVLEBORGS LÄN</t>
        </is>
      </c>
      <c r="G4942" t="inlineStr">
        <is>
          <t>SÖDERHAMN</t>
        </is>
      </c>
      <c r="I4942" t="n">
        <v>0.7</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11795-2026</t>
        </is>
      </c>
      <c r="B4943" t="inlineStr">
        <is>
          <t>avverkningsanmälan</t>
        </is>
      </c>
      <c r="C4943" t="inlineStr">
        <is>
          <t>Föryngringsavverkning</t>
        </is>
      </c>
      <c r="D4943" s="1" t="n">
        <v>46085</v>
      </c>
      <c r="E4943" s="1" t="n">
        <v>46326</v>
      </c>
      <c r="F4943" t="inlineStr">
        <is>
          <t>GÄVLEBORGS LÄN</t>
        </is>
      </c>
      <c r="G4943" t="inlineStr">
        <is>
          <t>SÖDERHAMN</t>
        </is>
      </c>
      <c r="I4943" t="n">
        <v>0.9</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4110-2025</t>
        </is>
      </c>
      <c r="B4944" t="inlineStr">
        <is>
          <t>avverkningsanmälan</t>
        </is>
      </c>
      <c r="C4944" t="inlineStr">
        <is>
          <t>Föryngringsavverkning</t>
        </is>
      </c>
      <c r="D4944" s="1" t="n">
        <v>45684</v>
      </c>
      <c r="E4944" s="1" t="n">
        <v>46326</v>
      </c>
      <c r="F4944" t="inlineStr">
        <is>
          <t>GÄVLEBORGS LÄN</t>
        </is>
      </c>
      <c r="G4944" t="inlineStr">
        <is>
          <t>LJUSDAL</t>
        </is>
      </c>
      <c r="I4944" t="n">
        <v>15</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59912-2023</t>
        </is>
      </c>
      <c r="B4945" t="inlineStr">
        <is>
          <t>avverkningsanmälan</t>
        </is>
      </c>
      <c r="C4945" t="inlineStr">
        <is>
          <t>Föryngringsavverkning</t>
        </is>
      </c>
      <c r="D4945" s="1" t="n">
        <v>45257</v>
      </c>
      <c r="E4945" s="1" t="n">
        <v>46326</v>
      </c>
      <c r="F4945" t="inlineStr">
        <is>
          <t>GÄVLEBORGS LÄN</t>
        </is>
      </c>
      <c r="G4945" t="inlineStr">
        <is>
          <t>OVANÅKER</t>
        </is>
      </c>
      <c r="I4945" t="n">
        <v>0.5</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59922-2023</t>
        </is>
      </c>
      <c r="B4946" t="inlineStr">
        <is>
          <t>avverkningsanmälan</t>
        </is>
      </c>
      <c r="C4946" t="inlineStr">
        <is>
          <t>Föryngringsavverkning</t>
        </is>
      </c>
      <c r="D4946" s="1" t="n">
        <v>45254</v>
      </c>
      <c r="E4946" s="1" t="n">
        <v>46326</v>
      </c>
      <c r="F4946" t="inlineStr">
        <is>
          <t>GÄVLEBORGS LÄN</t>
        </is>
      </c>
      <c r="G4946" t="inlineStr">
        <is>
          <t>SÖDERHAMN</t>
        </is>
      </c>
      <c r="I4946" t="n">
        <v>0.8</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58035-2025</t>
        </is>
      </c>
      <c r="B4947" t="inlineStr">
        <is>
          <t>avverkningsanmälan</t>
        </is>
      </c>
      <c r="C4947" t="inlineStr">
        <is>
          <t>Föryngringsavverkning</t>
        </is>
      </c>
      <c r="D4947" s="1" t="n">
        <v>45982</v>
      </c>
      <c r="E4947" s="1" t="n">
        <v>46326</v>
      </c>
      <c r="F4947" t="inlineStr">
        <is>
          <t>GÄVLEBORGS LÄN</t>
        </is>
      </c>
      <c r="G4947" t="inlineStr">
        <is>
          <t>HUDIKSVALL</t>
        </is>
      </c>
      <c r="I4947" t="n">
        <v>1.5</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58038-2025</t>
        </is>
      </c>
      <c r="B4948" t="inlineStr">
        <is>
          <t>avverkningsanmälan</t>
        </is>
      </c>
      <c r="C4948" t="inlineStr">
        <is>
          <t>Föryngringsavverkning</t>
        </is>
      </c>
      <c r="D4948" s="1" t="n">
        <v>45982</v>
      </c>
      <c r="E4948" s="1" t="n">
        <v>46326</v>
      </c>
      <c r="F4948" t="inlineStr">
        <is>
          <t>GÄVLEBORGS LÄN</t>
        </is>
      </c>
      <c r="G4948" t="inlineStr">
        <is>
          <t>HUDIKSVALL</t>
        </is>
      </c>
      <c r="I4948" t="n">
        <v>0.8</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36671-2023</t>
        </is>
      </c>
      <c r="B4949" t="inlineStr">
        <is>
          <t>avverkningsanmälan</t>
        </is>
      </c>
      <c r="C4949" t="inlineStr">
        <is>
          <t>Föryngringsavverkning</t>
        </is>
      </c>
      <c r="D4949" s="1" t="n">
        <v>45153</v>
      </c>
      <c r="E4949" s="1" t="n">
        <v>46326</v>
      </c>
      <c r="F4949" t="inlineStr">
        <is>
          <t>GÄVLEBORGS LÄN</t>
        </is>
      </c>
      <c r="G4949" t="inlineStr">
        <is>
          <t>SANDVIKEN</t>
        </is>
      </c>
      <c r="I4949" t="n">
        <v>0.6</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58295-2025</t>
        </is>
      </c>
      <c r="B4950" t="inlineStr">
        <is>
          <t>avverkningsanmälan</t>
        </is>
      </c>
      <c r="C4950" t="inlineStr">
        <is>
          <t>Föryngringsavverkning</t>
        </is>
      </c>
      <c r="D4950" s="1" t="n">
        <v>45985</v>
      </c>
      <c r="E4950" s="1" t="n">
        <v>46326</v>
      </c>
      <c r="F4950" t="inlineStr">
        <is>
          <t>GÄVLEBORGS LÄN</t>
        </is>
      </c>
      <c r="G4950" t="inlineStr">
        <is>
          <t>OCKELBO</t>
        </is>
      </c>
      <c r="I4950" t="n">
        <v>1.1</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58522-2025</t>
        </is>
      </c>
      <c r="B4951" t="inlineStr">
        <is>
          <t>avverkningsanmälan</t>
        </is>
      </c>
      <c r="C4951" t="inlineStr">
        <is>
          <t>Föryngringsavverkning</t>
        </is>
      </c>
      <c r="D4951" s="1" t="n">
        <v>45985</v>
      </c>
      <c r="E4951" s="1" t="n">
        <v>46326</v>
      </c>
      <c r="F4951" t="inlineStr">
        <is>
          <t>GÄVLEBORGS LÄN</t>
        </is>
      </c>
      <c r="G4951" t="inlineStr">
        <is>
          <t>NORDANSTIG</t>
        </is>
      </c>
      <c r="I4951" t="n">
        <v>3.6</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15242-2023</t>
        </is>
      </c>
      <c r="B4952" t="inlineStr">
        <is>
          <t>avverkningsanmälan</t>
        </is>
      </c>
      <c r="C4952" t="inlineStr">
        <is>
          <t>Föryngringsavverkning</t>
        </is>
      </c>
      <c r="D4952" s="1" t="n">
        <v>45019</v>
      </c>
      <c r="E4952" s="1" t="n">
        <v>46326</v>
      </c>
      <c r="F4952" t="inlineStr">
        <is>
          <t>GÄVLEBORGS LÄN</t>
        </is>
      </c>
      <c r="G4952" t="inlineStr">
        <is>
          <t>HUDIKSVALL</t>
        </is>
      </c>
      <c r="I4952" t="n">
        <v>2.7</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58069-2025</t>
        </is>
      </c>
      <c r="B4953" t="inlineStr">
        <is>
          <t>avverkningsanmälan</t>
        </is>
      </c>
      <c r="C4953" t="inlineStr">
        <is>
          <t>Föryngringsavverkning</t>
        </is>
      </c>
      <c r="D4953" s="1" t="n">
        <v>45982</v>
      </c>
      <c r="E4953" s="1" t="n">
        <v>46326</v>
      </c>
      <c r="F4953" t="inlineStr">
        <is>
          <t>GÄVLEBORGS LÄN</t>
        </is>
      </c>
      <c r="G4953" t="inlineStr">
        <is>
          <t>SÖDERHAMN</t>
        </is>
      </c>
      <c r="I4953" t="n">
        <v>5.9</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30150-2024</t>
        </is>
      </c>
      <c r="B4954" t="inlineStr">
        <is>
          <t>avverkningsanmälan</t>
        </is>
      </c>
      <c r="C4954" t="inlineStr">
        <is>
          <t>Föryngringsavverkning</t>
        </is>
      </c>
      <c r="D4954" s="1" t="n">
        <v>45489</v>
      </c>
      <c r="E4954" s="1" t="n">
        <v>46326</v>
      </c>
      <c r="F4954" t="inlineStr">
        <is>
          <t>GÄVLEBORGS LÄN</t>
        </is>
      </c>
      <c r="G4954" t="inlineStr">
        <is>
          <t>NORDANSTIG</t>
        </is>
      </c>
      <c r="I4954" t="n">
        <v>1.4</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2022-2025</t>
        </is>
      </c>
      <c r="B4955" t="inlineStr">
        <is>
          <t>avverkningsanmälan</t>
        </is>
      </c>
      <c r="C4955" t="inlineStr">
        <is>
          <t>Föryngringsavverkning</t>
        </is>
      </c>
      <c r="D4955" s="1" t="n">
        <v>45672</v>
      </c>
      <c r="E4955" s="1" t="n">
        <v>46326</v>
      </c>
      <c r="F4955" t="inlineStr">
        <is>
          <t>GÄVLEBORGS LÄN</t>
        </is>
      </c>
      <c r="G4955" t="inlineStr">
        <is>
          <t>BOLLNÄS</t>
        </is>
      </c>
      <c r="I4955" t="n">
        <v>1.8</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57999-2025</t>
        </is>
      </c>
      <c r="B4956" t="inlineStr">
        <is>
          <t>avverkningsanmälan</t>
        </is>
      </c>
      <c r="C4956" t="inlineStr">
        <is>
          <t>Föryngringsavverkning</t>
        </is>
      </c>
      <c r="D4956" s="1" t="n">
        <v>45982</v>
      </c>
      <c r="E4956" s="1" t="n">
        <v>46326</v>
      </c>
      <c r="F4956" t="inlineStr">
        <is>
          <t>GÄVLEBORGS LÄN</t>
        </is>
      </c>
      <c r="G4956" t="inlineStr">
        <is>
          <t>HUDIKSVALL</t>
        </is>
      </c>
      <c r="I4956" t="n">
        <v>0.9</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11932-2026</t>
        </is>
      </c>
      <c r="B4957" t="inlineStr">
        <is>
          <t>avverkningsanmälan</t>
        </is>
      </c>
      <c r="C4957" t="inlineStr">
        <is>
          <t>Föryngringsavverkning</t>
        </is>
      </c>
      <c r="D4957" s="1" t="n">
        <v>46085</v>
      </c>
      <c r="E4957" s="1" t="n">
        <v>46326</v>
      </c>
      <c r="F4957" t="inlineStr">
        <is>
          <t>GÄVLEBORGS LÄN</t>
        </is>
      </c>
      <c r="G4957" t="inlineStr">
        <is>
          <t>HUDIKSVALL</t>
        </is>
      </c>
      <c r="I4957" t="n">
        <v>1.2</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28981-2022</t>
        </is>
      </c>
      <c r="B4958" t="inlineStr">
        <is>
          <t>avverkningsanmälan</t>
        </is>
      </c>
      <c r="C4958" t="inlineStr">
        <is>
          <t>Föryngringsavverkning</t>
        </is>
      </c>
      <c r="D4958" s="1" t="n">
        <v>44749</v>
      </c>
      <c r="E4958" s="1" t="n">
        <v>46326</v>
      </c>
      <c r="F4958" t="inlineStr">
        <is>
          <t>GÄVLEBORGS LÄN</t>
        </is>
      </c>
      <c r="G4958" t="inlineStr">
        <is>
          <t>BOLLNÄS</t>
        </is>
      </c>
      <c r="I4958" t="n">
        <v>0.4</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58119-2025</t>
        </is>
      </c>
      <c r="B4959" t="inlineStr">
        <is>
          <t>avverkningsanmälan</t>
        </is>
      </c>
      <c r="C4959" t="inlineStr">
        <is>
          <t>Föryngringsavverkning</t>
        </is>
      </c>
      <c r="D4959" s="1" t="n">
        <v>45982</v>
      </c>
      <c r="E4959" s="1" t="n">
        <v>46326</v>
      </c>
      <c r="F4959" t="inlineStr">
        <is>
          <t>GÄVLEBORGS LÄN</t>
        </is>
      </c>
      <c r="G4959" t="inlineStr">
        <is>
          <t>BOLLNÄS</t>
        </is>
      </c>
      <c r="I4959" t="n">
        <v>2.2</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58127-2025</t>
        </is>
      </c>
      <c r="B4960" t="inlineStr">
        <is>
          <t>avverkningsanmälan</t>
        </is>
      </c>
      <c r="C4960" t="inlineStr">
        <is>
          <t>Föryngringsavverkning</t>
        </is>
      </c>
      <c r="D4960" s="1" t="n">
        <v>45982</v>
      </c>
      <c r="E4960" s="1" t="n">
        <v>46326</v>
      </c>
      <c r="F4960" t="inlineStr">
        <is>
          <t>GÄVLEBORGS LÄN</t>
        </is>
      </c>
      <c r="G4960" t="inlineStr">
        <is>
          <t>BOLLNÄS</t>
        </is>
      </c>
      <c r="I4960" t="n">
        <v>3.7</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57932-2025</t>
        </is>
      </c>
      <c r="B4961" t="inlineStr">
        <is>
          <t>avverkningsanmälan</t>
        </is>
      </c>
      <c r="C4961" t="inlineStr">
        <is>
          <t>Föryngringsavverkning</t>
        </is>
      </c>
      <c r="D4961" s="1" t="n">
        <v>45981</v>
      </c>
      <c r="E4961" s="1" t="n">
        <v>46326</v>
      </c>
      <c r="F4961" t="inlineStr">
        <is>
          <t>GÄVLEBORGS LÄN</t>
        </is>
      </c>
      <c r="G4961" t="inlineStr">
        <is>
          <t>SANDVIKEN</t>
        </is>
      </c>
      <c r="I4961" t="n">
        <v>1.4</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11948-2026</t>
        </is>
      </c>
      <c r="B4962" t="inlineStr">
        <is>
          <t>avverkningsanmälan</t>
        </is>
      </c>
      <c r="C4962" t="inlineStr">
        <is>
          <t>Föryngringsavverkning</t>
        </is>
      </c>
      <c r="D4962" s="1" t="n">
        <v>46085</v>
      </c>
      <c r="E4962" s="1" t="n">
        <v>46326</v>
      </c>
      <c r="F4962" t="inlineStr">
        <is>
          <t>GÄVLEBORGS LÄN</t>
        </is>
      </c>
      <c r="G4962" t="inlineStr">
        <is>
          <t>BOLLNÄS</t>
        </is>
      </c>
      <c r="I4962" t="n">
        <v>1.8</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11913-2026</t>
        </is>
      </c>
      <c r="B4963" t="inlineStr">
        <is>
          <t>avverkningsanmälan</t>
        </is>
      </c>
      <c r="C4963" t="inlineStr">
        <is>
          <t>Föryngringsavverkning</t>
        </is>
      </c>
      <c r="D4963" s="1" t="n">
        <v>46085</v>
      </c>
      <c r="E4963" s="1" t="n">
        <v>46326</v>
      </c>
      <c r="F4963" t="inlineStr">
        <is>
          <t>GÄVLEBORGS LÄN</t>
        </is>
      </c>
      <c r="G4963" t="inlineStr">
        <is>
          <t>SANDVIKEN</t>
        </is>
      </c>
      <c r="I4963" t="n">
        <v>0.6</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15645-2025</t>
        </is>
      </c>
      <c r="B4964" t="inlineStr">
        <is>
          <t>avverkningsanmälan</t>
        </is>
      </c>
      <c r="C4964" t="inlineStr">
        <is>
          <t>Föryngringsavverkning</t>
        </is>
      </c>
      <c r="D4964" s="1" t="n">
        <v>45748</v>
      </c>
      <c r="E4964" s="1" t="n">
        <v>46326</v>
      </c>
      <c r="F4964" t="inlineStr">
        <is>
          <t>GÄVLEBORGS LÄN</t>
        </is>
      </c>
      <c r="G4964" t="inlineStr">
        <is>
          <t>LJUSDAL</t>
        </is>
      </c>
      <c r="I4964" t="n">
        <v>0.8</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31875-2023</t>
        </is>
      </c>
      <c r="B4965" t="inlineStr">
        <is>
          <t>avverkningsanmälan</t>
        </is>
      </c>
      <c r="C4965" t="inlineStr">
        <is>
          <t>Avverkning för annat ändamål</t>
        </is>
      </c>
      <c r="D4965" s="1" t="n">
        <v>45118</v>
      </c>
      <c r="E4965" s="1" t="n">
        <v>46326</v>
      </c>
      <c r="F4965" t="inlineStr">
        <is>
          <t>GÄVLEBORGS LÄN</t>
        </is>
      </c>
      <c r="G4965" t="inlineStr">
        <is>
          <t>OVANÅKER</t>
        </is>
      </c>
      <c r="I4965" t="n">
        <v>1.3</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12089-2026</t>
        </is>
      </c>
      <c r="B4966" t="inlineStr">
        <is>
          <t>avverkningsanmälan</t>
        </is>
      </c>
      <c r="C4966" t="inlineStr">
        <is>
          <t>Föryngringsavverkning</t>
        </is>
      </c>
      <c r="D4966" s="1" t="n">
        <v>46086</v>
      </c>
      <c r="E4966" s="1" t="n">
        <v>46326</v>
      </c>
      <c r="F4966" t="inlineStr">
        <is>
          <t>GÄVLEBORGS LÄN</t>
        </is>
      </c>
      <c r="G4966" t="inlineStr">
        <is>
          <t>SANDVIKEN</t>
        </is>
      </c>
      <c r="I4966" t="n">
        <v>6.9</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12091-2026</t>
        </is>
      </c>
      <c r="B4967" t="inlineStr">
        <is>
          <t>avverkningsanmälan</t>
        </is>
      </c>
      <c r="C4967" t="inlineStr">
        <is>
          <t>Föryngringsavverkning</t>
        </is>
      </c>
      <c r="D4967" s="1" t="n">
        <v>46086</v>
      </c>
      <c r="E4967" s="1" t="n">
        <v>46326</v>
      </c>
      <c r="F4967" t="inlineStr">
        <is>
          <t>GÄVLEBORGS LÄN</t>
        </is>
      </c>
      <c r="G4967" t="inlineStr">
        <is>
          <t>SANDVIKEN</t>
        </is>
      </c>
      <c r="I4967" t="n">
        <v>1.6</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12099-2026</t>
        </is>
      </c>
      <c r="B4968" t="inlineStr">
        <is>
          <t>avverkningsanmälan</t>
        </is>
      </c>
      <c r="C4968" t="inlineStr">
        <is>
          <t>Föryngringsavverkning</t>
        </is>
      </c>
      <c r="D4968" s="1" t="n">
        <v>46086</v>
      </c>
      <c r="E4968" s="1" t="n">
        <v>46326</v>
      </c>
      <c r="F4968" t="inlineStr">
        <is>
          <t>GÄVLEBORGS LÄN</t>
        </is>
      </c>
      <c r="G4968" t="inlineStr">
        <is>
          <t>SANDVIKEN</t>
        </is>
      </c>
      <c r="H4968" t="inlineStr">
        <is>
          <t>Bergvik skog öst AB</t>
        </is>
      </c>
      <c r="I4968" t="n">
        <v>0.4</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43723-2022</t>
        </is>
      </c>
      <c r="B4969" t="inlineStr">
        <is>
          <t>avverkningsanmälan</t>
        </is>
      </c>
      <c r="C4969" t="inlineStr">
        <is>
          <t>Föryngringsavverkning</t>
        </is>
      </c>
      <c r="D4969" s="1" t="n">
        <v>44837</v>
      </c>
      <c r="E4969" s="1" t="n">
        <v>46326</v>
      </c>
      <c r="F4969" t="inlineStr">
        <is>
          <t>GÄVLEBORGS LÄN</t>
        </is>
      </c>
      <c r="G4969" t="inlineStr">
        <is>
          <t>SÖDERHAMN</t>
        </is>
      </c>
      <c r="I4969" t="n">
        <v>2.3</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25411-2024</t>
        </is>
      </c>
      <c r="B4970" t="inlineStr">
        <is>
          <t>avverkningsanmälan</t>
        </is>
      </c>
      <c r="C4970" t="inlineStr">
        <is>
          <t>Föryngringsavverkning</t>
        </is>
      </c>
      <c r="D4970" s="1" t="n">
        <v>45463</v>
      </c>
      <c r="E4970" s="1" t="n">
        <v>46326</v>
      </c>
      <c r="F4970" t="inlineStr">
        <is>
          <t>GÄVLEBORGS LÄN</t>
        </is>
      </c>
      <c r="G4970" t="inlineStr">
        <is>
          <t>OVANÅKER</t>
        </is>
      </c>
      <c r="H4970" t="inlineStr">
        <is>
          <t>Bergvik skog öst AB</t>
        </is>
      </c>
      <c r="I4970" t="n">
        <v>1.5</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58257-2025</t>
        </is>
      </c>
      <c r="B4971" t="inlineStr">
        <is>
          <t>avverkningsanmälan</t>
        </is>
      </c>
      <c r="C4971" t="inlineStr">
        <is>
          <t>Föryngringsavverkning</t>
        </is>
      </c>
      <c r="D4971" s="1" t="n">
        <v>45985</v>
      </c>
      <c r="E4971" s="1" t="n">
        <v>46326</v>
      </c>
      <c r="F4971" t="inlineStr">
        <is>
          <t>GÄVLEBORGS LÄN</t>
        </is>
      </c>
      <c r="G4971" t="inlineStr">
        <is>
          <t>HUDIKSVALL</t>
        </is>
      </c>
      <c r="H4971" t="inlineStr">
        <is>
          <t>Holmen skog AB</t>
        </is>
      </c>
      <c r="I4971" t="n">
        <v>1.3</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58299-2025</t>
        </is>
      </c>
      <c r="B4972" t="inlineStr">
        <is>
          <t>avverkningsanmälan</t>
        </is>
      </c>
      <c r="C4972" t="inlineStr">
        <is>
          <t>Föryngringsavverkning</t>
        </is>
      </c>
      <c r="D4972" s="1" t="n">
        <v>45985</v>
      </c>
      <c r="E4972" s="1" t="n">
        <v>46326</v>
      </c>
      <c r="F4972" t="inlineStr">
        <is>
          <t>GÄVLEBORGS LÄN</t>
        </is>
      </c>
      <c r="G4972" t="inlineStr">
        <is>
          <t>OCKELBO</t>
        </is>
      </c>
      <c r="I4972" t="n">
        <v>1</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12081-2026</t>
        </is>
      </c>
      <c r="B4973" t="inlineStr">
        <is>
          <t>avverkningsanmälan</t>
        </is>
      </c>
      <c r="C4973" t="inlineStr">
        <is>
          <t>Föryngringsavverkning</t>
        </is>
      </c>
      <c r="D4973" s="1" t="n">
        <v>46086</v>
      </c>
      <c r="E4973" s="1" t="n">
        <v>46326</v>
      </c>
      <c r="F4973" t="inlineStr">
        <is>
          <t>GÄVLEBORGS LÄN</t>
        </is>
      </c>
      <c r="G4973" t="inlineStr">
        <is>
          <t>SANDVIKEN</t>
        </is>
      </c>
      <c r="H4973" t="inlineStr">
        <is>
          <t>Bergvik skog öst AB</t>
        </is>
      </c>
      <c r="I4973" t="n">
        <v>2</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58121-2025</t>
        </is>
      </c>
      <c r="B4974" t="inlineStr">
        <is>
          <t>avverkningsanmälan</t>
        </is>
      </c>
      <c r="C4974" t="inlineStr">
        <is>
          <t>Föryngringsavverkning</t>
        </is>
      </c>
      <c r="D4974" s="1" t="n">
        <v>45982</v>
      </c>
      <c r="E4974" s="1" t="n">
        <v>46326</v>
      </c>
      <c r="F4974" t="inlineStr">
        <is>
          <t>GÄVLEBORGS LÄN</t>
        </is>
      </c>
      <c r="G4974" t="inlineStr">
        <is>
          <t>BOLLNÄS</t>
        </is>
      </c>
      <c r="I4974" t="n">
        <v>0.7</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57936-2025</t>
        </is>
      </c>
      <c r="B4975" t="inlineStr">
        <is>
          <t>avverkningsanmälan</t>
        </is>
      </c>
      <c r="C4975" t="inlineStr">
        <is>
          <t>Föryngringsavverkning</t>
        </is>
      </c>
      <c r="D4975" s="1" t="n">
        <v>45982</v>
      </c>
      <c r="E4975" s="1" t="n">
        <v>46326</v>
      </c>
      <c r="F4975" t="inlineStr">
        <is>
          <t>GÄVLEBORGS LÄN</t>
        </is>
      </c>
      <c r="G4975" t="inlineStr">
        <is>
          <t>OVANÅKER</t>
        </is>
      </c>
      <c r="I4975" t="n">
        <v>1.2</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35348-2022</t>
        </is>
      </c>
      <c r="B4976" t="inlineStr">
        <is>
          <t>avverkningsanmälan</t>
        </is>
      </c>
      <c r="C4976" t="inlineStr">
        <is>
          <t>Föryngringsavverkning</t>
        </is>
      </c>
      <c r="D4976" s="1" t="n">
        <v>44798</v>
      </c>
      <c r="E4976" s="1" t="n">
        <v>46326</v>
      </c>
      <c r="F4976" t="inlineStr">
        <is>
          <t>GÄVLEBORGS LÄN</t>
        </is>
      </c>
      <c r="G4976" t="inlineStr">
        <is>
          <t>OVANÅKER</t>
        </is>
      </c>
      <c r="I4976" t="n">
        <v>0.5</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12015-2026</t>
        </is>
      </c>
      <c r="B4977" t="inlineStr">
        <is>
          <t>avverkningsanmälan</t>
        </is>
      </c>
      <c r="C4977" t="inlineStr">
        <is>
          <t>Föryngringsavverkning</t>
        </is>
      </c>
      <c r="D4977" s="1" t="n">
        <v>46085</v>
      </c>
      <c r="E4977" s="1" t="n">
        <v>46326</v>
      </c>
      <c r="F4977" t="inlineStr">
        <is>
          <t>GÄVLEBORGS LÄN</t>
        </is>
      </c>
      <c r="G4977" t="inlineStr">
        <is>
          <t>GÄVLE</t>
        </is>
      </c>
      <c r="I4977" t="n">
        <v>3.9</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57110-2022</t>
        </is>
      </c>
      <c r="B4978" t="inlineStr">
        <is>
          <t>avverkningsanmälan</t>
        </is>
      </c>
      <c r="C4978" t="inlineStr">
        <is>
          <t>Föryngringsavverkning</t>
        </is>
      </c>
      <c r="D4978" s="1" t="n">
        <v>44895</v>
      </c>
      <c r="E4978" s="1" t="n">
        <v>46326</v>
      </c>
      <c r="F4978" t="inlineStr">
        <is>
          <t>GÄVLEBORGS LÄN</t>
        </is>
      </c>
      <c r="G4978" t="inlineStr">
        <is>
          <t>LJUSDAL</t>
        </is>
      </c>
      <c r="I4978" t="n">
        <v>0.4</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58481-2025</t>
        </is>
      </c>
      <c r="B4979" t="inlineStr">
        <is>
          <t>avverkningsanmälan</t>
        </is>
      </c>
      <c r="C4979" t="inlineStr">
        <is>
          <t>Föryngringsavverkning</t>
        </is>
      </c>
      <c r="D4979" s="1" t="n">
        <v>45985</v>
      </c>
      <c r="E4979" s="1" t="n">
        <v>46326</v>
      </c>
      <c r="F4979" t="inlineStr">
        <is>
          <t>GÄVLEBORGS LÄN</t>
        </is>
      </c>
      <c r="G4979" t="inlineStr">
        <is>
          <t>HUDIKSVALL</t>
        </is>
      </c>
      <c r="I4979" t="n">
        <v>2</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57927-2025</t>
        </is>
      </c>
      <c r="B4980" t="inlineStr">
        <is>
          <t>avverkningsanmälan</t>
        </is>
      </c>
      <c r="C4980" t="inlineStr">
        <is>
          <t>Föryngringsavverkning</t>
        </is>
      </c>
      <c r="D4980" s="1" t="n">
        <v>45981</v>
      </c>
      <c r="E4980" s="1" t="n">
        <v>46326</v>
      </c>
      <c r="F4980" t="inlineStr">
        <is>
          <t>GÄVLEBORGS LÄN</t>
        </is>
      </c>
      <c r="G4980" t="inlineStr">
        <is>
          <t>LJUSDAL</t>
        </is>
      </c>
      <c r="I4980" t="n">
        <v>2.6</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57933-2025</t>
        </is>
      </c>
      <c r="B4981" t="inlineStr">
        <is>
          <t>avverkningsanmälan</t>
        </is>
      </c>
      <c r="C4981" t="inlineStr">
        <is>
          <t>Föryngringsavverkning</t>
        </is>
      </c>
      <c r="D4981" s="1" t="n">
        <v>45981</v>
      </c>
      <c r="E4981" s="1" t="n">
        <v>46326</v>
      </c>
      <c r="F4981" t="inlineStr">
        <is>
          <t>GÄVLEBORGS LÄN</t>
        </is>
      </c>
      <c r="G4981" t="inlineStr">
        <is>
          <t>SANDVIKEN</t>
        </is>
      </c>
      <c r="I4981" t="n">
        <v>2.1</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58492-2025</t>
        </is>
      </c>
      <c r="B4982" t="inlineStr">
        <is>
          <t>avverkningsanmälan</t>
        </is>
      </c>
      <c r="C4982" t="inlineStr">
        <is>
          <t>Föryngringsavverkning</t>
        </is>
      </c>
      <c r="D4982" s="1" t="n">
        <v>45985</v>
      </c>
      <c r="E4982" s="1" t="n">
        <v>46326</v>
      </c>
      <c r="F4982" t="inlineStr">
        <is>
          <t>GÄVLEBORGS LÄN</t>
        </is>
      </c>
      <c r="G4982" t="inlineStr">
        <is>
          <t>OVANÅKER</t>
        </is>
      </c>
      <c r="I4982" t="n">
        <v>4</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58499-2025</t>
        </is>
      </c>
      <c r="B4983" t="inlineStr">
        <is>
          <t>avverkningsanmälan</t>
        </is>
      </c>
      <c r="C4983" t="inlineStr">
        <is>
          <t>Föryngringsavverkning</t>
        </is>
      </c>
      <c r="D4983" s="1" t="n">
        <v>45985</v>
      </c>
      <c r="E4983" s="1" t="n">
        <v>46326</v>
      </c>
      <c r="F4983" t="inlineStr">
        <is>
          <t>GÄVLEBORGS LÄN</t>
        </is>
      </c>
      <c r="G4983" t="inlineStr">
        <is>
          <t>SÖDERHAMN</t>
        </is>
      </c>
      <c r="I4983" t="n">
        <v>0.8</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58502-2025</t>
        </is>
      </c>
      <c r="B4984" t="inlineStr">
        <is>
          <t>avverkningsanmälan</t>
        </is>
      </c>
      <c r="C4984" t="inlineStr">
        <is>
          <t>Föryngringsavverkning</t>
        </is>
      </c>
      <c r="D4984" s="1" t="n">
        <v>45985</v>
      </c>
      <c r="E4984" s="1" t="n">
        <v>46326</v>
      </c>
      <c r="F4984" t="inlineStr">
        <is>
          <t>GÄVLEBORGS LÄN</t>
        </is>
      </c>
      <c r="G4984" t="inlineStr">
        <is>
          <t>SÖDERHAMN</t>
        </is>
      </c>
      <c r="I4984" t="n">
        <v>0.5</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24691-2024</t>
        </is>
      </c>
      <c r="B4985" t="inlineStr">
        <is>
          <t>avverkningsanmälan</t>
        </is>
      </c>
      <c r="C4985" t="inlineStr">
        <is>
          <t>Föryngringsavverkning</t>
        </is>
      </c>
      <c r="D4985" s="1" t="n">
        <v>45460</v>
      </c>
      <c r="E4985" s="1" t="n">
        <v>46326</v>
      </c>
      <c r="F4985" t="inlineStr">
        <is>
          <t>GÄVLEBORGS LÄN</t>
        </is>
      </c>
      <c r="G4985" t="inlineStr">
        <is>
          <t>LJUSDAL</t>
        </is>
      </c>
      <c r="I4985" t="n">
        <v>1.7</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38048-2024</t>
        </is>
      </c>
      <c r="B4986" t="inlineStr">
        <is>
          <t>avverkningsanmälan</t>
        </is>
      </c>
      <c r="C4986" t="inlineStr">
        <is>
          <t>Föryngringsavverkning</t>
        </is>
      </c>
      <c r="D4986" s="1" t="n">
        <v>45544</v>
      </c>
      <c r="E4986" s="1" t="n">
        <v>46326</v>
      </c>
      <c r="F4986" t="inlineStr">
        <is>
          <t>GÄVLEBORGS LÄN</t>
        </is>
      </c>
      <c r="G4986" t="inlineStr">
        <is>
          <t>NORDANSTIG</t>
        </is>
      </c>
      <c r="H4986" t="inlineStr">
        <is>
          <t>Holmen skog AB</t>
        </is>
      </c>
      <c r="I4986" t="n">
        <v>3.3</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58243-2025</t>
        </is>
      </c>
      <c r="B4987" t="inlineStr">
        <is>
          <t>avverkningsanmälan</t>
        </is>
      </c>
      <c r="C4987" t="inlineStr">
        <is>
          <t>Föryngringsavverkning</t>
        </is>
      </c>
      <c r="D4987" s="1" t="n">
        <v>45985</v>
      </c>
      <c r="E4987" s="1" t="n">
        <v>46326</v>
      </c>
      <c r="F4987" t="inlineStr">
        <is>
          <t>GÄVLEBORGS LÄN</t>
        </is>
      </c>
      <c r="G4987" t="inlineStr">
        <is>
          <t>HUDIKSVALL</t>
        </is>
      </c>
      <c r="H4987" t="inlineStr">
        <is>
          <t>Holmen skog AB</t>
        </is>
      </c>
      <c r="I4987" t="n">
        <v>3.9</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42265-2024</t>
        </is>
      </c>
      <c r="B4988" t="inlineStr">
        <is>
          <t>avverkningsanmälan</t>
        </is>
      </c>
      <c r="C4988" t="inlineStr">
        <is>
          <t>Föryngringsavverkning</t>
        </is>
      </c>
      <c r="D4988" s="1" t="n">
        <v>45562</v>
      </c>
      <c r="E4988" s="1" t="n">
        <v>46326</v>
      </c>
      <c r="F4988" t="inlineStr">
        <is>
          <t>GÄVLEBORGS LÄN</t>
        </is>
      </c>
      <c r="G4988" t="inlineStr">
        <is>
          <t>SÖDERHAMN</t>
        </is>
      </c>
      <c r="I4988" t="n">
        <v>0.6</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58207-2025</t>
        </is>
      </c>
      <c r="B4989" t="inlineStr">
        <is>
          <t>avverkningsanmälan</t>
        </is>
      </c>
      <c r="C4989" t="inlineStr">
        <is>
          <t>Föryngringsavverkning</t>
        </is>
      </c>
      <c r="D4989" s="1" t="n">
        <v>45985</v>
      </c>
      <c r="E4989" s="1" t="n">
        <v>46326</v>
      </c>
      <c r="F4989" t="inlineStr">
        <is>
          <t>GÄVLEBORGS LÄN</t>
        </is>
      </c>
      <c r="G4989" t="inlineStr">
        <is>
          <t>SANDVIKEN</t>
        </is>
      </c>
      <c r="I4989" t="n">
        <v>4.1</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43771-2025</t>
        </is>
      </c>
      <c r="B4990" t="inlineStr">
        <is>
          <t>avverkningsanmälan</t>
        </is>
      </c>
      <c r="C4990" t="inlineStr">
        <is>
          <t>Föryngringsavverkning</t>
        </is>
      </c>
      <c r="D4990" s="1" t="n">
        <v>45912</v>
      </c>
      <c r="E4990" s="1" t="n">
        <v>46326</v>
      </c>
      <c r="F4990" t="inlineStr">
        <is>
          <t>GÄVLEBORGS LÄN</t>
        </is>
      </c>
      <c r="G4990" t="inlineStr">
        <is>
          <t>GÄVLE</t>
        </is>
      </c>
      <c r="H4990" t="inlineStr">
        <is>
          <t>Bergvik skog öst AB</t>
        </is>
      </c>
      <c r="I4990" t="n">
        <v>7.3</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43780-2025</t>
        </is>
      </c>
      <c r="B4991" t="inlineStr">
        <is>
          <t>avverkningsanmälan</t>
        </is>
      </c>
      <c r="C4991" t="inlineStr">
        <is>
          <t>Föryngringsavverkning</t>
        </is>
      </c>
      <c r="D4991" s="1" t="n">
        <v>45912</v>
      </c>
      <c r="E4991" s="1" t="n">
        <v>46326</v>
      </c>
      <c r="F4991" t="inlineStr">
        <is>
          <t>GÄVLEBORGS LÄN</t>
        </is>
      </c>
      <c r="G4991" t="inlineStr">
        <is>
          <t>GÄVLE</t>
        </is>
      </c>
      <c r="H4991" t="inlineStr">
        <is>
          <t>Bergvik skog öst AB</t>
        </is>
      </c>
      <c r="I4991" t="n">
        <v>1</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58529-2025</t>
        </is>
      </c>
      <c r="B4992" t="inlineStr">
        <is>
          <t>avverkningsanmälan</t>
        </is>
      </c>
      <c r="C4992" t="inlineStr">
        <is>
          <t>Föryngringsavverkning</t>
        </is>
      </c>
      <c r="D4992" s="1" t="n">
        <v>45985</v>
      </c>
      <c r="E4992" s="1" t="n">
        <v>46326</v>
      </c>
      <c r="F4992" t="inlineStr">
        <is>
          <t>GÄVLEBORGS LÄN</t>
        </is>
      </c>
      <c r="G4992" t="inlineStr">
        <is>
          <t>HUDIKSVALL</t>
        </is>
      </c>
      <c r="H4992" t="inlineStr">
        <is>
          <t>Holmen skog AB</t>
        </is>
      </c>
      <c r="I4992" t="n">
        <v>1.2</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58533-2025</t>
        </is>
      </c>
      <c r="B4993" t="inlineStr">
        <is>
          <t>avverkningsanmälan</t>
        </is>
      </c>
      <c r="C4993" t="inlineStr">
        <is>
          <t>Föryngringsavverkning</t>
        </is>
      </c>
      <c r="D4993" s="1" t="n">
        <v>45985</v>
      </c>
      <c r="E4993" s="1" t="n">
        <v>46326</v>
      </c>
      <c r="F4993" t="inlineStr">
        <is>
          <t>GÄVLEBORGS LÄN</t>
        </is>
      </c>
      <c r="G4993" t="inlineStr">
        <is>
          <t>NORDANSTIG</t>
        </is>
      </c>
      <c r="I4993" t="n">
        <v>0.6</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58561-2025</t>
        </is>
      </c>
      <c r="B4994" t="inlineStr">
        <is>
          <t>avverkningsanmälan</t>
        </is>
      </c>
      <c r="C4994" t="inlineStr">
        <is>
          <t>Föryngringsavverkning</t>
        </is>
      </c>
      <c r="D4994" s="1" t="n">
        <v>45986</v>
      </c>
      <c r="E4994" s="1" t="n">
        <v>46326</v>
      </c>
      <c r="F4994" t="inlineStr">
        <is>
          <t>GÄVLEBORGS LÄN</t>
        </is>
      </c>
      <c r="G4994" t="inlineStr">
        <is>
          <t>HUDIKSVALL</t>
        </is>
      </c>
      <c r="I4994" t="n">
        <v>0.7</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60956-2022</t>
        </is>
      </c>
      <c r="B4995" t="inlineStr">
        <is>
          <t>avverkningsanmälan</t>
        </is>
      </c>
      <c r="C4995" t="inlineStr">
        <is>
          <t>Avverkning för annat ändamål</t>
        </is>
      </c>
      <c r="D4995" s="1" t="n">
        <v>44914</v>
      </c>
      <c r="E4995" s="1" t="n">
        <v>46326</v>
      </c>
      <c r="F4995" t="inlineStr">
        <is>
          <t>GÄVLEBORGS LÄN</t>
        </is>
      </c>
      <c r="G4995" t="inlineStr">
        <is>
          <t>BOLLNÄS</t>
        </is>
      </c>
      <c r="I4995" t="n">
        <v>0.5</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58770-2025</t>
        </is>
      </c>
      <c r="B4996" t="inlineStr">
        <is>
          <t>avverkningsanmälan</t>
        </is>
      </c>
      <c r="C4996" t="inlineStr">
        <is>
          <t>Föryngringsavverkning</t>
        </is>
      </c>
      <c r="D4996" s="1" t="n">
        <v>45986</v>
      </c>
      <c r="E4996" s="1" t="n">
        <v>46326</v>
      </c>
      <c r="F4996" t="inlineStr">
        <is>
          <t>GÄVLEBORGS LÄN</t>
        </is>
      </c>
      <c r="G4996" t="inlineStr">
        <is>
          <t>OCKELBO</t>
        </is>
      </c>
      <c r="H4996" t="inlineStr">
        <is>
          <t>Bergvik skog väst AB</t>
        </is>
      </c>
      <c r="I4996" t="n">
        <v>1.1</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45448-2025</t>
        </is>
      </c>
      <c r="B4997" t="inlineStr">
        <is>
          <t>avverkningsanmälan</t>
        </is>
      </c>
      <c r="C4997" t="inlineStr">
        <is>
          <t>Föryngringsavverkning</t>
        </is>
      </c>
      <c r="D4997" s="1" t="n">
        <v>45922</v>
      </c>
      <c r="E4997" s="1" t="n">
        <v>46326</v>
      </c>
      <c r="F4997" t="inlineStr">
        <is>
          <t>GÄVLEBORGS LÄN</t>
        </is>
      </c>
      <c r="G4997" t="inlineStr">
        <is>
          <t>GÄVLE</t>
        </is>
      </c>
      <c r="H4997" t="inlineStr">
        <is>
          <t>Bergvik skog öst AB</t>
        </is>
      </c>
      <c r="I4997" t="n">
        <v>0.7</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45469-2025</t>
        </is>
      </c>
      <c r="B4998" t="inlineStr">
        <is>
          <t>avverkningsanmälan</t>
        </is>
      </c>
      <c r="C4998" t="inlineStr">
        <is>
          <t>Föryngringsavverkning</t>
        </is>
      </c>
      <c r="D4998" s="1" t="n">
        <v>45922</v>
      </c>
      <c r="E4998" s="1" t="n">
        <v>46326</v>
      </c>
      <c r="F4998" t="inlineStr">
        <is>
          <t>GÄVLEBORGS LÄN</t>
        </is>
      </c>
      <c r="G4998" t="inlineStr">
        <is>
          <t>GÄVLE</t>
        </is>
      </c>
      <c r="H4998" t="inlineStr">
        <is>
          <t>Bergvik skog öst AB</t>
        </is>
      </c>
      <c r="I4998" t="n">
        <v>0.3</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45548-2025</t>
        </is>
      </c>
      <c r="B4999" t="inlineStr">
        <is>
          <t>avverkningsanmälan</t>
        </is>
      </c>
      <c r="C4999" t="inlineStr">
        <is>
          <t>Föryngringsavverkning</t>
        </is>
      </c>
      <c r="D4999" s="1" t="n">
        <v>45922</v>
      </c>
      <c r="E4999" s="1" t="n">
        <v>46326</v>
      </c>
      <c r="F4999" t="inlineStr">
        <is>
          <t>GÄVLEBORGS LÄN</t>
        </is>
      </c>
      <c r="G4999" t="inlineStr">
        <is>
          <t>GÄVLE</t>
        </is>
      </c>
      <c r="H4999" t="inlineStr">
        <is>
          <t>Bergvik skog öst AB</t>
        </is>
      </c>
      <c r="I4999" t="n">
        <v>1.6</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45410-2025</t>
        </is>
      </c>
      <c r="B5000" t="inlineStr">
        <is>
          <t>avverkningsanmälan</t>
        </is>
      </c>
      <c r="C5000" t="inlineStr">
        <is>
          <t>Föryngringsavverkning</t>
        </is>
      </c>
      <c r="D5000" s="1" t="n">
        <v>45922</v>
      </c>
      <c r="E5000" s="1" t="n">
        <v>46326</v>
      </c>
      <c r="F5000" t="inlineStr">
        <is>
          <t>GÄVLEBORGS LÄN</t>
        </is>
      </c>
      <c r="G5000" t="inlineStr">
        <is>
          <t>GÄVLE</t>
        </is>
      </c>
      <c r="H5000" t="inlineStr">
        <is>
          <t>Bergvik skog öst AB</t>
        </is>
      </c>
      <c r="I5000" t="n">
        <v>0.7</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45442-2025</t>
        </is>
      </c>
      <c r="B5001" t="inlineStr">
        <is>
          <t>avverkningsanmälan</t>
        </is>
      </c>
      <c r="C5001" t="inlineStr">
        <is>
          <t>Föryngringsavverkning</t>
        </is>
      </c>
      <c r="D5001" s="1" t="n">
        <v>45922</v>
      </c>
      <c r="E5001" s="1" t="n">
        <v>46326</v>
      </c>
      <c r="F5001" t="inlineStr">
        <is>
          <t>GÄVLEBORGS LÄN</t>
        </is>
      </c>
      <c r="G5001" t="inlineStr">
        <is>
          <t>GÄVLE</t>
        </is>
      </c>
      <c r="H5001" t="inlineStr">
        <is>
          <t>Bergvik skog öst AB</t>
        </is>
      </c>
      <c r="I5001" t="n">
        <v>1.1</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45221-2023</t>
        </is>
      </c>
      <c r="B5002" t="inlineStr">
        <is>
          <t>avverkningsanmälan</t>
        </is>
      </c>
      <c r="C5002" t="inlineStr">
        <is>
          <t>Föryngringsavverkning</t>
        </is>
      </c>
      <c r="D5002" s="1" t="n">
        <v>45191</v>
      </c>
      <c r="E5002" s="1" t="n">
        <v>46326</v>
      </c>
      <c r="F5002" t="inlineStr">
        <is>
          <t>GÄVLEBORGS LÄN</t>
        </is>
      </c>
      <c r="G5002" t="inlineStr">
        <is>
          <t>HUDIKSVALL</t>
        </is>
      </c>
      <c r="H5002" t="inlineStr">
        <is>
          <t>Holmen skog AB</t>
        </is>
      </c>
      <c r="I5002" t="n">
        <v>1.2</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14321-2024</t>
        </is>
      </c>
      <c r="B5003" t="inlineStr">
        <is>
          <t>avverkningsanmälan</t>
        </is>
      </c>
      <c r="C5003" t="inlineStr">
        <is>
          <t>Föryngringsavverkning</t>
        </is>
      </c>
      <c r="D5003" s="1" t="n">
        <v>45393</v>
      </c>
      <c r="E5003" s="1" t="n">
        <v>46326</v>
      </c>
      <c r="F5003" t="inlineStr">
        <is>
          <t>GÄVLEBORGS LÄN</t>
        </is>
      </c>
      <c r="G5003" t="inlineStr">
        <is>
          <t>SÖDERHAMN</t>
        </is>
      </c>
      <c r="I5003" t="n">
        <v>3</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43742-2025</t>
        </is>
      </c>
      <c r="B5004" t="inlineStr">
        <is>
          <t>avverkningsanmälan</t>
        </is>
      </c>
      <c r="C5004" t="inlineStr">
        <is>
          <t>Föryngringsavverkning</t>
        </is>
      </c>
      <c r="D5004" s="1" t="n">
        <v>45912</v>
      </c>
      <c r="E5004" s="1" t="n">
        <v>46326</v>
      </c>
      <c r="F5004" t="inlineStr">
        <is>
          <t>GÄVLEBORGS LÄN</t>
        </is>
      </c>
      <c r="G5004" t="inlineStr">
        <is>
          <t>GÄVLE</t>
        </is>
      </c>
      <c r="H5004" t="inlineStr">
        <is>
          <t>Bergvik skog öst AB</t>
        </is>
      </c>
      <c r="I5004" t="n">
        <v>3.9</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53060-2025</t>
        </is>
      </c>
      <c r="B5005" t="inlineStr">
        <is>
          <t>avverkningsanmälan</t>
        </is>
      </c>
      <c r="C5005" t="inlineStr">
        <is>
          <t>Föryngringsavverkning</t>
        </is>
      </c>
      <c r="D5005" s="1" t="n">
        <v>45958</v>
      </c>
      <c r="E5005" s="1" t="n">
        <v>46326</v>
      </c>
      <c r="F5005" t="inlineStr">
        <is>
          <t>GÄVLEBORGS LÄN</t>
        </is>
      </c>
      <c r="G5005" t="inlineStr">
        <is>
          <t>OVANÅKER</t>
        </is>
      </c>
      <c r="I5005" t="n">
        <v>1.6</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11822-2026</t>
        </is>
      </c>
      <c r="B5006" t="inlineStr">
        <is>
          <t>avverkningsanmälan</t>
        </is>
      </c>
      <c r="C5006" t="inlineStr">
        <is>
          <t>Föryngringsavverkning</t>
        </is>
      </c>
      <c r="D5006" s="1" t="n">
        <v>46085</v>
      </c>
      <c r="E5006" s="1" t="n">
        <v>46326</v>
      </c>
      <c r="F5006" t="inlineStr">
        <is>
          <t>GÄVLEBORGS LÄN</t>
        </is>
      </c>
      <c r="G5006" t="inlineStr">
        <is>
          <t>OVANÅKER</t>
        </is>
      </c>
      <c r="I5006" t="n">
        <v>1.4</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12024-2026</t>
        </is>
      </c>
      <c r="B5007" t="inlineStr">
        <is>
          <t>avverkningsanmälan</t>
        </is>
      </c>
      <c r="C5007" t="inlineStr">
        <is>
          <t>Föryngringsavverkning</t>
        </is>
      </c>
      <c r="D5007" s="1" t="n">
        <v>46085</v>
      </c>
      <c r="E5007" s="1" t="n">
        <v>46326</v>
      </c>
      <c r="F5007" t="inlineStr">
        <is>
          <t>GÄVLEBORGS LÄN</t>
        </is>
      </c>
      <c r="G5007" t="inlineStr">
        <is>
          <t>HUDIKSVALL</t>
        </is>
      </c>
      <c r="I5007" t="n">
        <v>1.1</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12062-2026</t>
        </is>
      </c>
      <c r="B5008" t="inlineStr">
        <is>
          <t>avverkningsanmälan</t>
        </is>
      </c>
      <c r="C5008" t="inlineStr">
        <is>
          <t>Föryngringsavverkning</t>
        </is>
      </c>
      <c r="D5008" s="1" t="n">
        <v>46086</v>
      </c>
      <c r="E5008" s="1" t="n">
        <v>46326</v>
      </c>
      <c r="F5008" t="inlineStr">
        <is>
          <t>GÄVLEBORGS LÄN</t>
        </is>
      </c>
      <c r="G5008" t="inlineStr">
        <is>
          <t>SANDVIKEN</t>
        </is>
      </c>
      <c r="H5008" t="inlineStr">
        <is>
          <t>Bergvik skog öst AB</t>
        </is>
      </c>
      <c r="I5008" t="n">
        <v>0.6</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12001-2026</t>
        </is>
      </c>
      <c r="B5009" t="inlineStr">
        <is>
          <t>avverkningsanmälan</t>
        </is>
      </c>
      <c r="C5009" t="inlineStr">
        <is>
          <t>Föryngringsavverkning</t>
        </is>
      </c>
      <c r="D5009" s="1" t="n">
        <v>46085</v>
      </c>
      <c r="E5009" s="1" t="n">
        <v>46326</v>
      </c>
      <c r="F5009" t="inlineStr">
        <is>
          <t>GÄVLEBORGS LÄN</t>
        </is>
      </c>
      <c r="G5009" t="inlineStr">
        <is>
          <t>BOLLNÄS</t>
        </is>
      </c>
      <c r="I5009" t="n">
        <v>3</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12007-2026</t>
        </is>
      </c>
      <c r="B5010" t="inlineStr">
        <is>
          <t>avverkningsanmälan</t>
        </is>
      </c>
      <c r="C5010" t="inlineStr">
        <is>
          <t>Föryngringsavverkning</t>
        </is>
      </c>
      <c r="D5010" s="1" t="n">
        <v>46085</v>
      </c>
      <c r="E5010" s="1" t="n">
        <v>46326</v>
      </c>
      <c r="F5010" t="inlineStr">
        <is>
          <t>GÄVLEBORGS LÄN</t>
        </is>
      </c>
      <c r="G5010" t="inlineStr">
        <is>
          <t>BOLLNÄS</t>
        </is>
      </c>
      <c r="I5010" t="n">
        <v>1.3</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12017-2026</t>
        </is>
      </c>
      <c r="B5011" t="inlineStr">
        <is>
          <t>avverkningsanmälan</t>
        </is>
      </c>
      <c r="C5011" t="inlineStr">
        <is>
          <t>Föryngringsavverkning</t>
        </is>
      </c>
      <c r="D5011" s="1" t="n">
        <v>46085</v>
      </c>
      <c r="E5011" s="1" t="n">
        <v>46326</v>
      </c>
      <c r="F5011" t="inlineStr">
        <is>
          <t>GÄVLEBORGS LÄN</t>
        </is>
      </c>
      <c r="G5011" t="inlineStr">
        <is>
          <t>OVANÅKER</t>
        </is>
      </c>
      <c r="I5011" t="n">
        <v>3.8</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58535-2025</t>
        </is>
      </c>
      <c r="B5012" t="inlineStr">
        <is>
          <t>avverkningsanmälan</t>
        </is>
      </c>
      <c r="C5012" t="inlineStr">
        <is>
          <t>Föryngringsavverkning</t>
        </is>
      </c>
      <c r="D5012" s="1" t="n">
        <v>45985</v>
      </c>
      <c r="E5012" s="1" t="n">
        <v>46326</v>
      </c>
      <c r="F5012" t="inlineStr">
        <is>
          <t>GÄVLEBORGS LÄN</t>
        </is>
      </c>
      <c r="G5012" t="inlineStr">
        <is>
          <t>NORDANSTIG</t>
        </is>
      </c>
      <c r="I5012" t="n">
        <v>0.8</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58542-2025</t>
        </is>
      </c>
      <c r="B5013" t="inlineStr">
        <is>
          <t>avverkningsanmälan</t>
        </is>
      </c>
      <c r="C5013" t="inlineStr">
        <is>
          <t>Föryngringsavverkning</t>
        </is>
      </c>
      <c r="D5013" s="1" t="n">
        <v>45985</v>
      </c>
      <c r="E5013" s="1" t="n">
        <v>46326</v>
      </c>
      <c r="F5013" t="inlineStr">
        <is>
          <t>GÄVLEBORGS LÄN</t>
        </is>
      </c>
      <c r="G5013" t="inlineStr">
        <is>
          <t>GÄVLE</t>
        </is>
      </c>
      <c r="H5013" t="inlineStr">
        <is>
          <t>Bergvik skog öst AB</t>
        </is>
      </c>
      <c r="I5013" t="n">
        <v>0.4</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58812-2025</t>
        </is>
      </c>
      <c r="B5014" t="inlineStr">
        <is>
          <t>avverkningsanmälan</t>
        </is>
      </c>
      <c r="C5014" t="inlineStr">
        <is>
          <t>Föryngringsavverkning</t>
        </is>
      </c>
      <c r="D5014" s="1" t="n">
        <v>45987</v>
      </c>
      <c r="E5014" s="1" t="n">
        <v>46326</v>
      </c>
      <c r="F5014" t="inlineStr">
        <is>
          <t>GÄVLEBORGS LÄN</t>
        </is>
      </c>
      <c r="G5014" t="inlineStr">
        <is>
          <t>LJUSDAL</t>
        </is>
      </c>
      <c r="I5014" t="n">
        <v>4.9</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28606-2023</t>
        </is>
      </c>
      <c r="B5015" t="inlineStr">
        <is>
          <t>avverkningsanmälan</t>
        </is>
      </c>
      <c r="C5015" t="inlineStr">
        <is>
          <t>Avverkning för annat ändamål</t>
        </is>
      </c>
      <c r="D5015" s="1" t="n">
        <v>45103</v>
      </c>
      <c r="E5015" s="1" t="n">
        <v>46326</v>
      </c>
      <c r="F5015" t="inlineStr">
        <is>
          <t>GÄVLEBORGS LÄN</t>
        </is>
      </c>
      <c r="G5015" t="inlineStr">
        <is>
          <t>OVANÅKER</t>
        </is>
      </c>
      <c r="I5015" t="n">
        <v>0.9</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58855-2025</t>
        </is>
      </c>
      <c r="B5016" t="inlineStr">
        <is>
          <t>avverkningsanmälan</t>
        </is>
      </c>
      <c r="C5016" t="inlineStr">
        <is>
          <t>Föryngringsavverkning</t>
        </is>
      </c>
      <c r="D5016" s="1" t="n">
        <v>45987</v>
      </c>
      <c r="E5016" s="1" t="n">
        <v>46326</v>
      </c>
      <c r="F5016" t="inlineStr">
        <is>
          <t>GÄVLEBORGS LÄN</t>
        </is>
      </c>
      <c r="G5016" t="inlineStr">
        <is>
          <t>LJUSDAL</t>
        </is>
      </c>
      <c r="H5016" t="inlineStr">
        <is>
          <t>SCA</t>
        </is>
      </c>
      <c r="I5016" t="n">
        <v>3.3</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12085-2026</t>
        </is>
      </c>
      <c r="B5017" t="inlineStr">
        <is>
          <t>avverkningsanmälan</t>
        </is>
      </c>
      <c r="C5017" t="inlineStr">
        <is>
          <t>Föryngringsavverkning</t>
        </is>
      </c>
      <c r="D5017" s="1" t="n">
        <v>46086</v>
      </c>
      <c r="E5017" s="1" t="n">
        <v>46326</v>
      </c>
      <c r="F5017" t="inlineStr">
        <is>
          <t>GÄVLEBORGS LÄN</t>
        </is>
      </c>
      <c r="G5017" t="inlineStr">
        <is>
          <t>NORDANSTIG</t>
        </is>
      </c>
      <c r="I5017" t="n">
        <v>1.2</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12098-2026</t>
        </is>
      </c>
      <c r="B5018" t="inlineStr">
        <is>
          <t>avverkningsanmälan</t>
        </is>
      </c>
      <c r="C5018" t="inlineStr">
        <is>
          <t>Föryngringsavverkning</t>
        </is>
      </c>
      <c r="D5018" s="1" t="n">
        <v>46086</v>
      </c>
      <c r="E5018" s="1" t="n">
        <v>46326</v>
      </c>
      <c r="F5018" t="inlineStr">
        <is>
          <t>GÄVLEBORGS LÄN</t>
        </is>
      </c>
      <c r="G5018" t="inlineStr">
        <is>
          <t>SANDVIKEN</t>
        </is>
      </c>
      <c r="H5018" t="inlineStr">
        <is>
          <t>Bergvik skog öst AB</t>
        </is>
      </c>
      <c r="I5018" t="n">
        <v>0.5</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12127-2026</t>
        </is>
      </c>
      <c r="B5019" t="inlineStr">
        <is>
          <t>avverkningsanmälan</t>
        </is>
      </c>
      <c r="C5019" t="inlineStr">
        <is>
          <t>Föryngringsavverkning</t>
        </is>
      </c>
      <c r="D5019" s="1" t="n">
        <v>46086</v>
      </c>
      <c r="E5019" s="1" t="n">
        <v>46326</v>
      </c>
      <c r="F5019" t="inlineStr">
        <is>
          <t>GÄVLEBORGS LÄN</t>
        </is>
      </c>
      <c r="G5019" t="inlineStr">
        <is>
          <t>HUDIKSVALL</t>
        </is>
      </c>
      <c r="I5019" t="n">
        <v>0.6</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58697-2025</t>
        </is>
      </c>
      <c r="B5020" t="inlineStr">
        <is>
          <t>avverkningsanmälan</t>
        </is>
      </c>
      <c r="C5020" t="inlineStr">
        <is>
          <t>Föryngringsavverkning</t>
        </is>
      </c>
      <c r="D5020" s="1" t="n">
        <v>45986</v>
      </c>
      <c r="E5020" s="1" t="n">
        <v>46326</v>
      </c>
      <c r="F5020" t="inlineStr">
        <is>
          <t>GÄVLEBORGS LÄN</t>
        </is>
      </c>
      <c r="G5020" t="inlineStr">
        <is>
          <t>BOLLNÄS</t>
        </is>
      </c>
      <c r="I5020" t="n">
        <v>1.7</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27113-2023</t>
        </is>
      </c>
      <c r="B5021" t="inlineStr">
        <is>
          <t>avverkningsanmälan</t>
        </is>
      </c>
      <c r="C5021" t="inlineStr">
        <is>
          <t>Föryngringsavverkning</t>
        </is>
      </c>
      <c r="D5021" s="1" t="n">
        <v>45096</v>
      </c>
      <c r="E5021" s="1" t="n">
        <v>46326</v>
      </c>
      <c r="F5021" t="inlineStr">
        <is>
          <t>GÄVLEBORGS LÄN</t>
        </is>
      </c>
      <c r="G5021" t="inlineStr">
        <is>
          <t>OVANÅKER</t>
        </is>
      </c>
      <c r="I5021" t="n">
        <v>1.4</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43774-2025</t>
        </is>
      </c>
      <c r="B5022" t="inlineStr">
        <is>
          <t>avverkningsanmälan</t>
        </is>
      </c>
      <c r="C5022" t="inlineStr">
        <is>
          <t>Föryngringsavverkning</t>
        </is>
      </c>
      <c r="D5022" s="1" t="n">
        <v>45912</v>
      </c>
      <c r="E5022" s="1" t="n">
        <v>46326</v>
      </c>
      <c r="F5022" t="inlineStr">
        <is>
          <t>GÄVLEBORGS LÄN</t>
        </is>
      </c>
      <c r="G5022" t="inlineStr">
        <is>
          <t>GÄVLE</t>
        </is>
      </c>
      <c r="H5022" t="inlineStr">
        <is>
          <t>Bergvik skog öst AB</t>
        </is>
      </c>
      <c r="I5022" t="n">
        <v>1.1</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58532-2025</t>
        </is>
      </c>
      <c r="B5023" t="inlineStr">
        <is>
          <t>avverkningsanmälan</t>
        </is>
      </c>
      <c r="C5023" t="inlineStr">
        <is>
          <t>Föryngringsavverkning</t>
        </is>
      </c>
      <c r="D5023" s="1" t="n">
        <v>45985</v>
      </c>
      <c r="E5023" s="1" t="n">
        <v>46326</v>
      </c>
      <c r="F5023" t="inlineStr">
        <is>
          <t>GÄVLEBORGS LÄN</t>
        </is>
      </c>
      <c r="G5023" t="inlineStr">
        <is>
          <t>NORDANSTIG</t>
        </is>
      </c>
      <c r="I5023" t="n">
        <v>0.7</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58592-2025</t>
        </is>
      </c>
      <c r="B5024" t="inlineStr">
        <is>
          <t>avverkningsanmälan</t>
        </is>
      </c>
      <c r="C5024" t="inlineStr">
        <is>
          <t>Föryngringsavverkning</t>
        </is>
      </c>
      <c r="D5024" s="1" t="n">
        <v>45986</v>
      </c>
      <c r="E5024" s="1" t="n">
        <v>46326</v>
      </c>
      <c r="F5024" t="inlineStr">
        <is>
          <t>GÄVLEBORGS LÄN</t>
        </is>
      </c>
      <c r="G5024" t="inlineStr">
        <is>
          <t>SANDVIKEN</t>
        </is>
      </c>
      <c r="I5024" t="n">
        <v>0.6</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58595-2025</t>
        </is>
      </c>
      <c r="B5025" t="inlineStr">
        <is>
          <t>avverkningsanmälan</t>
        </is>
      </c>
      <c r="C5025" t="inlineStr">
        <is>
          <t>Föryngringsavverkning</t>
        </is>
      </c>
      <c r="D5025" s="1" t="n">
        <v>45986</v>
      </c>
      <c r="E5025" s="1" t="n">
        <v>46326</v>
      </c>
      <c r="F5025" t="inlineStr">
        <is>
          <t>GÄVLEBORGS LÄN</t>
        </is>
      </c>
      <c r="G5025" t="inlineStr">
        <is>
          <t>NORDANSTIG</t>
        </is>
      </c>
      <c r="I5025" t="n">
        <v>2</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45426-2025</t>
        </is>
      </c>
      <c r="B5026" t="inlineStr">
        <is>
          <t>avverkningsanmälan</t>
        </is>
      </c>
      <c r="C5026" t="inlineStr">
        <is>
          <t>Föryngringsavverkning</t>
        </is>
      </c>
      <c r="D5026" s="1" t="n">
        <v>45922</v>
      </c>
      <c r="E5026" s="1" t="n">
        <v>46326</v>
      </c>
      <c r="F5026" t="inlineStr">
        <is>
          <t>GÄVLEBORGS LÄN</t>
        </is>
      </c>
      <c r="G5026" t="inlineStr">
        <is>
          <t>GÄVLE</t>
        </is>
      </c>
      <c r="H5026" t="inlineStr">
        <is>
          <t>Bergvik skog öst AB</t>
        </is>
      </c>
      <c r="I5026" t="n">
        <v>8.199999999999999</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58968-2025</t>
        </is>
      </c>
      <c r="B5027" t="inlineStr">
        <is>
          <t>avverkningsanmälan</t>
        </is>
      </c>
      <c r="C5027" t="inlineStr">
        <is>
          <t>Föryngringsavverkning</t>
        </is>
      </c>
      <c r="D5027" s="1" t="n">
        <v>45987</v>
      </c>
      <c r="E5027" s="1" t="n">
        <v>46326</v>
      </c>
      <c r="F5027" t="inlineStr">
        <is>
          <t>GÄVLEBORGS LÄN</t>
        </is>
      </c>
      <c r="G5027" t="inlineStr">
        <is>
          <t>LJUSDAL</t>
        </is>
      </c>
      <c r="I5027" t="n">
        <v>9.1</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43152-2023</t>
        </is>
      </c>
      <c r="B5028" t="inlineStr">
        <is>
          <t>avverkningsanmälan</t>
        </is>
      </c>
      <c r="C5028" t="inlineStr">
        <is>
          <t>Föryngringsavverkning</t>
        </is>
      </c>
      <c r="D5028" s="1" t="n">
        <v>45183</v>
      </c>
      <c r="E5028" s="1" t="n">
        <v>46326</v>
      </c>
      <c r="F5028" t="inlineStr">
        <is>
          <t>GÄVLEBORGS LÄN</t>
        </is>
      </c>
      <c r="G5028" t="inlineStr">
        <is>
          <t>BOLLNÄS</t>
        </is>
      </c>
      <c r="I5028" t="n">
        <v>0.7</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45546-2025</t>
        </is>
      </c>
      <c r="B5029" t="inlineStr">
        <is>
          <t>avverkningsanmälan</t>
        </is>
      </c>
      <c r="C5029" t="inlineStr">
        <is>
          <t>Föryngringsavverkning</t>
        </is>
      </c>
      <c r="D5029" s="1" t="n">
        <v>45922</v>
      </c>
      <c r="E5029" s="1" t="n">
        <v>46326</v>
      </c>
      <c r="F5029" t="inlineStr">
        <is>
          <t>GÄVLEBORGS LÄN</t>
        </is>
      </c>
      <c r="G5029" t="inlineStr">
        <is>
          <t>GÄVLE</t>
        </is>
      </c>
      <c r="H5029" t="inlineStr">
        <is>
          <t>Bergvik skog öst AB</t>
        </is>
      </c>
      <c r="I5029" t="n">
        <v>0.7</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58562-2025</t>
        </is>
      </c>
      <c r="B5030" t="inlineStr">
        <is>
          <t>avverkningsanmälan</t>
        </is>
      </c>
      <c r="C5030" t="inlineStr">
        <is>
          <t>Föryngringsavverkning</t>
        </is>
      </c>
      <c r="D5030" s="1" t="n">
        <v>45986</v>
      </c>
      <c r="E5030" s="1" t="n">
        <v>46326</v>
      </c>
      <c r="F5030" t="inlineStr">
        <is>
          <t>GÄVLEBORGS LÄN</t>
        </is>
      </c>
      <c r="G5030" t="inlineStr">
        <is>
          <t>HUDIKSVALL</t>
        </is>
      </c>
      <c r="I5030" t="n">
        <v>0.7</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45415-2025</t>
        </is>
      </c>
      <c r="B5031" t="inlineStr">
        <is>
          <t>avverkningsanmälan</t>
        </is>
      </c>
      <c r="C5031" t="inlineStr">
        <is>
          <t>Föryngringsavverkning</t>
        </is>
      </c>
      <c r="D5031" s="1" t="n">
        <v>45922</v>
      </c>
      <c r="E5031" s="1" t="n">
        <v>46326</v>
      </c>
      <c r="F5031" t="inlineStr">
        <is>
          <t>GÄVLEBORGS LÄN</t>
        </is>
      </c>
      <c r="G5031" t="inlineStr">
        <is>
          <t>GÄVLE</t>
        </is>
      </c>
      <c r="H5031" t="inlineStr">
        <is>
          <t>Bergvik skog öst AB</t>
        </is>
      </c>
      <c r="I5031" t="n">
        <v>4.6</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60897-2023</t>
        </is>
      </c>
      <c r="B5032" t="inlineStr">
        <is>
          <t>avverkningsanmälan</t>
        </is>
      </c>
      <c r="C5032" t="inlineStr">
        <is>
          <t>Föryngringsavverkning</t>
        </is>
      </c>
      <c r="D5032" s="1" t="n">
        <v>45261</v>
      </c>
      <c r="E5032" s="1" t="n">
        <v>46326</v>
      </c>
      <c r="F5032" t="inlineStr">
        <is>
          <t>GÄVLEBORGS LÄN</t>
        </is>
      </c>
      <c r="G5032" t="inlineStr">
        <is>
          <t>SANDVIKEN</t>
        </is>
      </c>
      <c r="I5032" t="n">
        <v>2.7</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59322-2022</t>
        </is>
      </c>
      <c r="B5033" t="inlineStr">
        <is>
          <t>avverkningsanmälan</t>
        </is>
      </c>
      <c r="C5033" t="inlineStr">
        <is>
          <t>Föryngringsavverkning</t>
        </is>
      </c>
      <c r="D5033" s="1" t="n">
        <v>44904</v>
      </c>
      <c r="E5033" s="1" t="n">
        <v>46326</v>
      </c>
      <c r="F5033" t="inlineStr">
        <is>
          <t>GÄVLEBORGS LÄN</t>
        </is>
      </c>
      <c r="G5033" t="inlineStr">
        <is>
          <t>GÄVLE</t>
        </is>
      </c>
      <c r="H5033" t="inlineStr">
        <is>
          <t>Bergvik skog öst AB</t>
        </is>
      </c>
      <c r="I5033" t="n">
        <v>0.9</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45438-2025</t>
        </is>
      </c>
      <c r="B5034" t="inlineStr">
        <is>
          <t>avverkningsanmälan</t>
        </is>
      </c>
      <c r="C5034" t="inlineStr">
        <is>
          <t>Föryngringsavverkning</t>
        </is>
      </c>
      <c r="D5034" s="1" t="n">
        <v>45922</v>
      </c>
      <c r="E5034" s="1" t="n">
        <v>46326</v>
      </c>
      <c r="F5034" t="inlineStr">
        <is>
          <t>GÄVLEBORGS LÄN</t>
        </is>
      </c>
      <c r="G5034" t="inlineStr">
        <is>
          <t>GÄVLE</t>
        </is>
      </c>
      <c r="H5034" t="inlineStr">
        <is>
          <t>Bergvik skog öst AB</t>
        </is>
      </c>
      <c r="I5034" t="n">
        <v>0.7</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45456-2025</t>
        </is>
      </c>
      <c r="B5035" t="inlineStr">
        <is>
          <t>avverkningsanmälan</t>
        </is>
      </c>
      <c r="C5035" t="inlineStr">
        <is>
          <t>Föryngringsavverkning</t>
        </is>
      </c>
      <c r="D5035" s="1" t="n">
        <v>45922</v>
      </c>
      <c r="E5035" s="1" t="n">
        <v>46326</v>
      </c>
      <c r="F5035" t="inlineStr">
        <is>
          <t>GÄVLEBORGS LÄN</t>
        </is>
      </c>
      <c r="G5035" t="inlineStr">
        <is>
          <t>GÄVLE</t>
        </is>
      </c>
      <c r="H5035" t="inlineStr">
        <is>
          <t>Bergvik skog öst AB</t>
        </is>
      </c>
      <c r="I5035" t="n">
        <v>0.9</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11881-2026</t>
        </is>
      </c>
      <c r="B5036" t="inlineStr">
        <is>
          <t>avverkningsanmälan</t>
        </is>
      </c>
      <c r="C5036" t="inlineStr">
        <is>
          <t>Föryngringsavverkning</t>
        </is>
      </c>
      <c r="D5036" s="1" t="n">
        <v>46085</v>
      </c>
      <c r="E5036" s="1" t="n">
        <v>46326</v>
      </c>
      <c r="F5036" t="inlineStr">
        <is>
          <t>GÄVLEBORGS LÄN</t>
        </is>
      </c>
      <c r="G5036" t="inlineStr">
        <is>
          <t>BOLLNÄS</t>
        </is>
      </c>
      <c r="H5036" t="inlineStr">
        <is>
          <t>Bergvik skog väst AB</t>
        </is>
      </c>
      <c r="I5036" t="n">
        <v>1</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11920-2026</t>
        </is>
      </c>
      <c r="B5037" t="inlineStr">
        <is>
          <t>avverkningsanmälan</t>
        </is>
      </c>
      <c r="C5037" t="inlineStr">
        <is>
          <t>Föryngringsavverkning</t>
        </is>
      </c>
      <c r="D5037" s="1" t="n">
        <v>46085</v>
      </c>
      <c r="E5037" s="1" t="n">
        <v>46326</v>
      </c>
      <c r="F5037" t="inlineStr">
        <is>
          <t>GÄVLEBORGS LÄN</t>
        </is>
      </c>
      <c r="G5037" t="inlineStr">
        <is>
          <t>OVANÅKER</t>
        </is>
      </c>
      <c r="H5037" t="inlineStr">
        <is>
          <t>Bergvik skog öst AB</t>
        </is>
      </c>
      <c r="I5037" t="n">
        <v>19.1</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5728-2023</t>
        </is>
      </c>
      <c r="B5038" t="inlineStr">
        <is>
          <t>avverkningsanmälan</t>
        </is>
      </c>
      <c r="C5038" t="inlineStr">
        <is>
          <t>Föryngringsavverkning</t>
        </is>
      </c>
      <c r="D5038" s="1" t="n">
        <v>44962</v>
      </c>
      <c r="E5038" s="1" t="n">
        <v>46326</v>
      </c>
      <c r="F5038" t="inlineStr">
        <is>
          <t>GÄVLEBORGS LÄN</t>
        </is>
      </c>
      <c r="G5038" t="inlineStr">
        <is>
          <t>GÄVLE</t>
        </is>
      </c>
      <c r="I5038" t="n">
        <v>2.8</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247-2025</t>
        </is>
      </c>
      <c r="B5039" t="inlineStr">
        <is>
          <t>avverkningsanmälan</t>
        </is>
      </c>
      <c r="C5039" t="inlineStr">
        <is>
          <t>Föryngringsavverkning</t>
        </is>
      </c>
      <c r="D5039" s="1" t="n">
        <v>45660</v>
      </c>
      <c r="E5039" s="1" t="n">
        <v>46326</v>
      </c>
      <c r="F5039" t="inlineStr">
        <is>
          <t>GÄVLEBORGS LÄN</t>
        </is>
      </c>
      <c r="G5039" t="inlineStr">
        <is>
          <t>GÄVLE</t>
        </is>
      </c>
      <c r="I5039" t="n">
        <v>1.1</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12006-2026</t>
        </is>
      </c>
      <c r="B5040" t="inlineStr">
        <is>
          <t>avverkningsanmälan</t>
        </is>
      </c>
      <c r="C5040" t="inlineStr">
        <is>
          <t>Föryngringsavverkning</t>
        </is>
      </c>
      <c r="D5040" s="1" t="n">
        <v>46085</v>
      </c>
      <c r="E5040" s="1" t="n">
        <v>46326</v>
      </c>
      <c r="F5040" t="inlineStr">
        <is>
          <t>GÄVLEBORGS LÄN</t>
        </is>
      </c>
      <c r="G5040" t="inlineStr">
        <is>
          <t>BOLLNÄS</t>
        </is>
      </c>
      <c r="I5040" t="n">
        <v>2.1</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9613-2026</t>
        </is>
      </c>
      <c r="B5041" t="inlineStr">
        <is>
          <t>avverkningsanmälan</t>
        </is>
      </c>
      <c r="C5041" t="inlineStr">
        <is>
          <t>Föryngringsavverkning</t>
        </is>
      </c>
      <c r="D5041" s="1" t="n">
        <v>46072</v>
      </c>
      <c r="E5041" s="1" t="n">
        <v>46326</v>
      </c>
      <c r="F5041" t="inlineStr">
        <is>
          <t>GÄVLEBORGS LÄN</t>
        </is>
      </c>
      <c r="G5041" t="inlineStr">
        <is>
          <t>LJUSDAL</t>
        </is>
      </c>
      <c r="I5041" t="n">
        <v>0.6</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18123-2025</t>
        </is>
      </c>
      <c r="B5042" t="inlineStr">
        <is>
          <t>avverkningsanmälan</t>
        </is>
      </c>
      <c r="C5042" t="inlineStr">
        <is>
          <t>Föryngringsavverkning</t>
        </is>
      </c>
      <c r="D5042" s="1" t="n">
        <v>45761</v>
      </c>
      <c r="E5042" s="1" t="n">
        <v>46326</v>
      </c>
      <c r="F5042" t="inlineStr">
        <is>
          <t>GÄVLEBORGS LÄN</t>
        </is>
      </c>
      <c r="G5042" t="inlineStr">
        <is>
          <t>LJUSDAL</t>
        </is>
      </c>
      <c r="I5042" t="n">
        <v>3.2</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58816-2025</t>
        </is>
      </c>
      <c r="B5043" t="inlineStr">
        <is>
          <t>avverkningsanmälan</t>
        </is>
      </c>
      <c r="C5043" t="inlineStr">
        <is>
          <t>Föryngringsavverkning</t>
        </is>
      </c>
      <c r="D5043" s="1" t="n">
        <v>45987</v>
      </c>
      <c r="E5043" s="1" t="n">
        <v>46326</v>
      </c>
      <c r="F5043" t="inlineStr">
        <is>
          <t>GÄVLEBORGS LÄN</t>
        </is>
      </c>
      <c r="G5043" t="inlineStr">
        <is>
          <t>LJUSDAL</t>
        </is>
      </c>
      <c r="I5043" t="n">
        <v>5.7</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58843-2025</t>
        </is>
      </c>
      <c r="B5044" t="inlineStr">
        <is>
          <t>avverkningsanmälan</t>
        </is>
      </c>
      <c r="C5044" t="inlineStr">
        <is>
          <t>Avverkning för annat ändamål</t>
        </is>
      </c>
      <c r="D5044" s="1" t="n">
        <v>45987</v>
      </c>
      <c r="E5044" s="1" t="n">
        <v>46326</v>
      </c>
      <c r="F5044" t="inlineStr">
        <is>
          <t>GÄVLEBORGS LÄN</t>
        </is>
      </c>
      <c r="G5044" t="inlineStr">
        <is>
          <t>HUDIKSVALL</t>
        </is>
      </c>
      <c r="I5044" t="n">
        <v>1.5</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58633-2025</t>
        </is>
      </c>
      <c r="B5045" t="inlineStr">
        <is>
          <t>avverkningsanmälan</t>
        </is>
      </c>
      <c r="C5045" t="inlineStr">
        <is>
          <t>Föryngringsavverkning</t>
        </is>
      </c>
      <c r="D5045" s="1" t="n">
        <v>45986</v>
      </c>
      <c r="E5045" s="1" t="n">
        <v>46326</v>
      </c>
      <c r="F5045" t="inlineStr">
        <is>
          <t>GÄVLEBORGS LÄN</t>
        </is>
      </c>
      <c r="G5045" t="inlineStr">
        <is>
          <t>HOFORS</t>
        </is>
      </c>
      <c r="I5045" t="n">
        <v>1.3</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58808-2025</t>
        </is>
      </c>
      <c r="B5046" t="inlineStr">
        <is>
          <t>avverkningsanmälan</t>
        </is>
      </c>
      <c r="C5046" t="inlineStr">
        <is>
          <t>Föryngringsavverkning</t>
        </is>
      </c>
      <c r="D5046" s="1" t="n">
        <v>45987</v>
      </c>
      <c r="E5046" s="1" t="n">
        <v>46326</v>
      </c>
      <c r="F5046" t="inlineStr">
        <is>
          <t>GÄVLEBORGS LÄN</t>
        </is>
      </c>
      <c r="G5046" t="inlineStr">
        <is>
          <t>BOLLNÄS</t>
        </is>
      </c>
      <c r="I5046" t="n">
        <v>1.1</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12421-2026</t>
        </is>
      </c>
      <c r="B5047" t="inlineStr">
        <is>
          <t>avverkningsanmälan</t>
        </is>
      </c>
      <c r="C5047" t="inlineStr">
        <is>
          <t>Föryngringsavverkning</t>
        </is>
      </c>
      <c r="D5047" s="1" t="n">
        <v>46090</v>
      </c>
      <c r="E5047" s="1" t="n">
        <v>46326</v>
      </c>
      <c r="F5047" t="inlineStr">
        <is>
          <t>GÄVLEBORGS LÄN</t>
        </is>
      </c>
      <c r="G5047" t="inlineStr">
        <is>
          <t>HUDIKSVALL</t>
        </is>
      </c>
      <c r="H5047" t="inlineStr">
        <is>
          <t>Holmen skog AB</t>
        </is>
      </c>
      <c r="I5047" t="n">
        <v>1.6</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56502-2023</t>
        </is>
      </c>
      <c r="B5048" t="inlineStr">
        <is>
          <t>avverkningsanmälan</t>
        </is>
      </c>
      <c r="C5048" t="inlineStr">
        <is>
          <t>Föryngringsavverkning</t>
        </is>
      </c>
      <c r="D5048" s="1" t="n">
        <v>45243</v>
      </c>
      <c r="E5048" s="1" t="n">
        <v>46326</v>
      </c>
      <c r="F5048" t="inlineStr">
        <is>
          <t>GÄVLEBORGS LÄN</t>
        </is>
      </c>
      <c r="G5048" t="inlineStr">
        <is>
          <t>SÖDERHAMN</t>
        </is>
      </c>
      <c r="I5048" t="n">
        <v>3.7</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58898-2025</t>
        </is>
      </c>
      <c r="B5049" t="inlineStr">
        <is>
          <t>avverkningsanmälan</t>
        </is>
      </c>
      <c r="C5049" t="inlineStr">
        <is>
          <t>Föryngringsavverkning</t>
        </is>
      </c>
      <c r="D5049" s="1" t="n">
        <v>45987</v>
      </c>
      <c r="E5049" s="1" t="n">
        <v>46326</v>
      </c>
      <c r="F5049" t="inlineStr">
        <is>
          <t>GÄVLEBORGS LÄN</t>
        </is>
      </c>
      <c r="G5049" t="inlineStr">
        <is>
          <t>LJUSDAL</t>
        </is>
      </c>
      <c r="H5049" t="inlineStr">
        <is>
          <t>Bergvik skog väst AB</t>
        </is>
      </c>
      <c r="I5049" t="n">
        <v>3.8</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12543-2026</t>
        </is>
      </c>
      <c r="B5050" t="inlineStr">
        <is>
          <t>avverkningsanmälan</t>
        </is>
      </c>
      <c r="C5050" t="inlineStr">
        <is>
          <t>Föryngringsavverkning</t>
        </is>
      </c>
      <c r="D5050" s="1" t="n">
        <v>46090</v>
      </c>
      <c r="E5050" s="1" t="n">
        <v>46326</v>
      </c>
      <c r="F5050" t="inlineStr">
        <is>
          <t>GÄVLEBORGS LÄN</t>
        </is>
      </c>
      <c r="G5050" t="inlineStr">
        <is>
          <t>HUDIKSVALL</t>
        </is>
      </c>
      <c r="I5050" t="n">
        <v>0.7</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12556-2026</t>
        </is>
      </c>
      <c r="B5051" t="inlineStr">
        <is>
          <t>avverkningsanmälan</t>
        </is>
      </c>
      <c r="C5051" t="inlineStr">
        <is>
          <t>Föryngringsavverkning</t>
        </is>
      </c>
      <c r="D5051" s="1" t="n">
        <v>46090</v>
      </c>
      <c r="E5051" s="1" t="n">
        <v>46326</v>
      </c>
      <c r="F5051" t="inlineStr">
        <is>
          <t>GÄVLEBORGS LÄN</t>
        </is>
      </c>
      <c r="G5051" t="inlineStr">
        <is>
          <t>HUDIKSVALL</t>
        </is>
      </c>
      <c r="H5051" t="inlineStr">
        <is>
          <t>Kyrkan</t>
        </is>
      </c>
      <c r="I5051" t="n">
        <v>6.2</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58531-2025</t>
        </is>
      </c>
      <c r="B5052" t="inlineStr">
        <is>
          <t>avverkningsanmälan</t>
        </is>
      </c>
      <c r="C5052" t="inlineStr">
        <is>
          <t>Föryngringsavverkning</t>
        </is>
      </c>
      <c r="D5052" s="1" t="n">
        <v>45985</v>
      </c>
      <c r="E5052" s="1" t="n">
        <v>46326</v>
      </c>
      <c r="F5052" t="inlineStr">
        <is>
          <t>GÄVLEBORGS LÄN</t>
        </is>
      </c>
      <c r="G5052" t="inlineStr">
        <is>
          <t>NORDANSTIG</t>
        </is>
      </c>
      <c r="I5052" t="n">
        <v>0.9</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62047-2022</t>
        </is>
      </c>
      <c r="B5053" t="inlineStr">
        <is>
          <t>avverkningsanmälan</t>
        </is>
      </c>
      <c r="C5053" t="inlineStr">
        <is>
          <t>Föryngringsavverkning</t>
        </is>
      </c>
      <c r="D5053" s="1" t="n">
        <v>44918</v>
      </c>
      <c r="E5053" s="1" t="n">
        <v>46326</v>
      </c>
      <c r="F5053" t="inlineStr">
        <is>
          <t>GÄVLEBORGS LÄN</t>
        </is>
      </c>
      <c r="G5053" t="inlineStr">
        <is>
          <t>SANDVIKEN</t>
        </is>
      </c>
      <c r="I5053" t="n">
        <v>0.8</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41730-2024</t>
        </is>
      </c>
      <c r="B5054" t="inlineStr">
        <is>
          <t>avverkningsanmälan</t>
        </is>
      </c>
      <c r="C5054" t="inlineStr">
        <is>
          <t>Föryngringsavverkning</t>
        </is>
      </c>
      <c r="D5054" s="1" t="n">
        <v>45560</v>
      </c>
      <c r="E5054" s="1" t="n">
        <v>46326</v>
      </c>
      <c r="F5054" t="inlineStr">
        <is>
          <t>GÄVLEBORGS LÄN</t>
        </is>
      </c>
      <c r="G5054" t="inlineStr">
        <is>
          <t>LJUSDAL</t>
        </is>
      </c>
      <c r="I5054" t="n">
        <v>0.7</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12207-2026</t>
        </is>
      </c>
      <c r="B5055" t="inlineStr">
        <is>
          <t>avverkningsanmälan</t>
        </is>
      </c>
      <c r="C5055" t="inlineStr">
        <is>
          <t>Föryngringsavverkning</t>
        </is>
      </c>
      <c r="D5055" s="1" t="n">
        <v>46087</v>
      </c>
      <c r="E5055" s="1" t="n">
        <v>46326</v>
      </c>
      <c r="F5055" t="inlineStr">
        <is>
          <t>GÄVLEBORGS LÄN</t>
        </is>
      </c>
      <c r="G5055" t="inlineStr">
        <is>
          <t>BOLLNÄS</t>
        </is>
      </c>
      <c r="I5055" t="n">
        <v>3.2</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12313-2026</t>
        </is>
      </c>
      <c r="B5056" t="inlineStr">
        <is>
          <t>avverkningsanmälan</t>
        </is>
      </c>
      <c r="C5056" t="inlineStr">
        <is>
          <t>Föryngringsavverkning</t>
        </is>
      </c>
      <c r="D5056" s="1" t="n">
        <v>46087</v>
      </c>
      <c r="E5056" s="1" t="n">
        <v>46326</v>
      </c>
      <c r="F5056" t="inlineStr">
        <is>
          <t>GÄVLEBORGS LÄN</t>
        </is>
      </c>
      <c r="G5056" t="inlineStr">
        <is>
          <t>OVANÅKER</t>
        </is>
      </c>
      <c r="I5056" t="n">
        <v>0.7</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58560-2025</t>
        </is>
      </c>
      <c r="B5057" t="inlineStr">
        <is>
          <t>avverkningsanmälan</t>
        </is>
      </c>
      <c r="C5057" t="inlineStr">
        <is>
          <t>Föryngringsavverkning</t>
        </is>
      </c>
      <c r="D5057" s="1" t="n">
        <v>45986</v>
      </c>
      <c r="E5057" s="1" t="n">
        <v>46326</v>
      </c>
      <c r="F5057" t="inlineStr">
        <is>
          <t>GÄVLEBORGS LÄN</t>
        </is>
      </c>
      <c r="G5057" t="inlineStr">
        <is>
          <t>HUDIKSVALL</t>
        </is>
      </c>
      <c r="I5057" t="n">
        <v>2.1</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59008-2025</t>
        </is>
      </c>
      <c r="B5058" t="inlineStr">
        <is>
          <t>avverkningsanmälan</t>
        </is>
      </c>
      <c r="C5058" t="inlineStr">
        <is>
          <t>Avverkning för annat ändamål</t>
        </is>
      </c>
      <c r="D5058" s="1" t="n">
        <v>45987</v>
      </c>
      <c r="E5058" s="1" t="n">
        <v>46326</v>
      </c>
      <c r="F5058" t="inlineStr">
        <is>
          <t>GÄVLEBORGS LÄN</t>
        </is>
      </c>
      <c r="G5058" t="inlineStr">
        <is>
          <t>NORDANSTIG</t>
        </is>
      </c>
      <c r="I5058" t="n">
        <v>1.6</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12549-2026</t>
        </is>
      </c>
      <c r="B5059" t="inlineStr">
        <is>
          <t>avverkningsanmälan</t>
        </is>
      </c>
      <c r="C5059" t="inlineStr">
        <is>
          <t>Föryngringsavverkning</t>
        </is>
      </c>
      <c r="D5059" s="1" t="n">
        <v>46090</v>
      </c>
      <c r="E5059" s="1" t="n">
        <v>46326</v>
      </c>
      <c r="F5059" t="inlineStr">
        <is>
          <t>GÄVLEBORGS LÄN</t>
        </is>
      </c>
      <c r="G5059" t="inlineStr">
        <is>
          <t>BOLLNÄS</t>
        </is>
      </c>
      <c r="I5059" t="n">
        <v>7.5</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12350-2026</t>
        </is>
      </c>
      <c r="B5060" t="inlineStr">
        <is>
          <t>avverkningsanmälan</t>
        </is>
      </c>
      <c r="C5060" t="inlineStr">
        <is>
          <t>Föryngringsavverkning</t>
        </is>
      </c>
      <c r="D5060" s="1" t="n">
        <v>46087</v>
      </c>
      <c r="E5060" s="1" t="n">
        <v>46326</v>
      </c>
      <c r="F5060" t="inlineStr">
        <is>
          <t>GÄVLEBORGS LÄN</t>
        </is>
      </c>
      <c r="G5060" t="inlineStr">
        <is>
          <t>HUDIKSVALL</t>
        </is>
      </c>
      <c r="I5060" t="n">
        <v>1.3</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12360-2026</t>
        </is>
      </c>
      <c r="B5061" t="inlineStr">
        <is>
          <t>avverkningsanmälan</t>
        </is>
      </c>
      <c r="C5061" t="inlineStr">
        <is>
          <t>Föryngringsavverkning</t>
        </is>
      </c>
      <c r="D5061" s="1" t="n">
        <v>46088</v>
      </c>
      <c r="E5061" s="1" t="n">
        <v>46326</v>
      </c>
      <c r="F5061" t="inlineStr">
        <is>
          <t>GÄVLEBORGS LÄN</t>
        </is>
      </c>
      <c r="G5061" t="inlineStr">
        <is>
          <t>BOLLNÄS</t>
        </is>
      </c>
      <c r="I5061" t="n">
        <v>0.9</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12341-2026</t>
        </is>
      </c>
      <c r="B5062" t="inlineStr">
        <is>
          <t>avverkningsanmälan</t>
        </is>
      </c>
      <c r="C5062" t="inlineStr">
        <is>
          <t>Föryngringsavverkning</t>
        </is>
      </c>
      <c r="D5062" s="1" t="n">
        <v>46087</v>
      </c>
      <c r="E5062" s="1" t="n">
        <v>46326</v>
      </c>
      <c r="F5062" t="inlineStr">
        <is>
          <t>GÄVLEBORGS LÄN</t>
        </is>
      </c>
      <c r="G5062" t="inlineStr">
        <is>
          <t>OCKELBO</t>
        </is>
      </c>
      <c r="I5062" t="n">
        <v>0.7</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58819-2025</t>
        </is>
      </c>
      <c r="B5063" t="inlineStr">
        <is>
          <t>avverkningsanmälan</t>
        </is>
      </c>
      <c r="C5063" t="inlineStr">
        <is>
          <t>Föryngringsavverkning</t>
        </is>
      </c>
      <c r="D5063" s="1" t="n">
        <v>45987</v>
      </c>
      <c r="E5063" s="1" t="n">
        <v>46326</v>
      </c>
      <c r="F5063" t="inlineStr">
        <is>
          <t>GÄVLEBORGS LÄN</t>
        </is>
      </c>
      <c r="G5063" t="inlineStr">
        <is>
          <t>BOLLNÄS</t>
        </is>
      </c>
      <c r="I5063" t="n">
        <v>8.699999999999999</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58782-2025</t>
        </is>
      </c>
      <c r="B5064" t="inlineStr">
        <is>
          <t>avverkningsanmälan</t>
        </is>
      </c>
      <c r="C5064" t="inlineStr">
        <is>
          <t>Föryngringsavverkning</t>
        </is>
      </c>
      <c r="D5064" s="1" t="n">
        <v>45986</v>
      </c>
      <c r="E5064" s="1" t="n">
        <v>46326</v>
      </c>
      <c r="F5064" t="inlineStr">
        <is>
          <t>GÄVLEBORGS LÄN</t>
        </is>
      </c>
      <c r="G5064" t="inlineStr">
        <is>
          <t>HUDIKSVALL</t>
        </is>
      </c>
      <c r="I5064" t="n">
        <v>8.9</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58530-2025</t>
        </is>
      </c>
      <c r="B5065" t="inlineStr">
        <is>
          <t>avverkningsanmälan</t>
        </is>
      </c>
      <c r="C5065" t="inlineStr">
        <is>
          <t>Föryngringsavverkning</t>
        </is>
      </c>
      <c r="D5065" s="1" t="n">
        <v>45985</v>
      </c>
      <c r="E5065" s="1" t="n">
        <v>46326</v>
      </c>
      <c r="F5065" t="inlineStr">
        <is>
          <t>GÄVLEBORGS LÄN</t>
        </is>
      </c>
      <c r="G5065" t="inlineStr">
        <is>
          <t>HUDIKSVALL</t>
        </is>
      </c>
      <c r="H5065" t="inlineStr">
        <is>
          <t>Holmen skog AB</t>
        </is>
      </c>
      <c r="I5065" t="n">
        <v>0.5</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59759-2022</t>
        </is>
      </c>
      <c r="B5066" t="inlineStr">
        <is>
          <t>avverkningsanmälan</t>
        </is>
      </c>
      <c r="C5066" t="inlineStr">
        <is>
          <t>Föryngringsavverkning</t>
        </is>
      </c>
      <c r="D5066" s="1" t="n">
        <v>44908</v>
      </c>
      <c r="E5066" s="1" t="n">
        <v>46326</v>
      </c>
      <c r="F5066" t="inlineStr">
        <is>
          <t>GÄVLEBORGS LÄN</t>
        </is>
      </c>
      <c r="G5066" t="inlineStr">
        <is>
          <t>HUDIKSVALL</t>
        </is>
      </c>
      <c r="I5066" t="n">
        <v>1.4</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43764-2025</t>
        </is>
      </c>
      <c r="B5067" t="inlineStr">
        <is>
          <t>avverkningsanmälan</t>
        </is>
      </c>
      <c r="C5067" t="inlineStr">
        <is>
          <t>Föryngringsavverkning</t>
        </is>
      </c>
      <c r="D5067" s="1" t="n">
        <v>45912</v>
      </c>
      <c r="E5067" s="1" t="n">
        <v>46326</v>
      </c>
      <c r="F5067" t="inlineStr">
        <is>
          <t>GÄVLEBORGS LÄN</t>
        </is>
      </c>
      <c r="G5067" t="inlineStr">
        <is>
          <t>GÄVLE</t>
        </is>
      </c>
      <c r="H5067" t="inlineStr">
        <is>
          <t>Bergvik skog öst AB</t>
        </is>
      </c>
      <c r="I5067" t="n">
        <v>1.9</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58805-2025</t>
        </is>
      </c>
      <c r="B5068" t="inlineStr">
        <is>
          <t>avverkningsanmälan</t>
        </is>
      </c>
      <c r="C5068" t="inlineStr">
        <is>
          <t>Föryngringsavverkning</t>
        </is>
      </c>
      <c r="D5068" s="1" t="n">
        <v>45986</v>
      </c>
      <c r="E5068" s="1" t="n">
        <v>46326</v>
      </c>
      <c r="F5068" t="inlineStr">
        <is>
          <t>GÄVLEBORGS LÄN</t>
        </is>
      </c>
      <c r="G5068" t="inlineStr">
        <is>
          <t>HOFORS</t>
        </is>
      </c>
      <c r="I5068" t="n">
        <v>1.3</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38634-2023</t>
        </is>
      </c>
      <c r="B5069" t="inlineStr">
        <is>
          <t>avverkningsanmälan</t>
        </is>
      </c>
      <c r="C5069" t="inlineStr">
        <is>
          <t>Föryngringsavverkning</t>
        </is>
      </c>
      <c r="D5069" s="1" t="n">
        <v>45162</v>
      </c>
      <c r="E5069" s="1" t="n">
        <v>46326</v>
      </c>
      <c r="F5069" t="inlineStr">
        <is>
          <t>GÄVLEBORGS LÄN</t>
        </is>
      </c>
      <c r="G5069" t="inlineStr">
        <is>
          <t>LJUSDAL</t>
        </is>
      </c>
      <c r="I5069" t="n">
        <v>1.2</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59353-2025</t>
        </is>
      </c>
      <c r="B5070" t="inlineStr">
        <is>
          <t>avverkningsanmälan</t>
        </is>
      </c>
      <c r="C5070" t="inlineStr">
        <is>
          <t>Föryngringsavverkning</t>
        </is>
      </c>
      <c r="D5070" s="1" t="n">
        <v>45989</v>
      </c>
      <c r="E5070" s="1" t="n">
        <v>46326</v>
      </c>
      <c r="F5070" t="inlineStr">
        <is>
          <t>GÄVLEBORGS LÄN</t>
        </is>
      </c>
      <c r="G5070" t="inlineStr">
        <is>
          <t>LJUSDAL</t>
        </is>
      </c>
      <c r="I5070" t="n">
        <v>3.6</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59362-2025</t>
        </is>
      </c>
      <c r="B5071" t="inlineStr">
        <is>
          <t>avverkningsanmälan</t>
        </is>
      </c>
      <c r="C5071" t="inlineStr">
        <is>
          <t>Föryngringsavverkning</t>
        </is>
      </c>
      <c r="D5071" s="1" t="n">
        <v>45989</v>
      </c>
      <c r="E5071" s="1" t="n">
        <v>46326</v>
      </c>
      <c r="F5071" t="inlineStr">
        <is>
          <t>GÄVLEBORGS LÄN</t>
        </is>
      </c>
      <c r="G5071" t="inlineStr">
        <is>
          <t>BOLLNÄS</t>
        </is>
      </c>
      <c r="H5071" t="inlineStr">
        <is>
          <t>Sveaskog</t>
        </is>
      </c>
      <c r="I5071" t="n">
        <v>3</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31348-2022</t>
        </is>
      </c>
      <c r="B5072" t="inlineStr">
        <is>
          <t>avverkningsanmälan</t>
        </is>
      </c>
      <c r="C5072" t="inlineStr">
        <is>
          <t>Föryngringsavverkning</t>
        </is>
      </c>
      <c r="D5072" s="1" t="n">
        <v>44774</v>
      </c>
      <c r="E5072" s="1" t="n">
        <v>46326</v>
      </c>
      <c r="F5072" t="inlineStr">
        <is>
          <t>GÄVLEBORGS LÄN</t>
        </is>
      </c>
      <c r="G5072" t="inlineStr">
        <is>
          <t>LJUSDAL</t>
        </is>
      </c>
      <c r="H5072" t="inlineStr">
        <is>
          <t>Holmen skog AB</t>
        </is>
      </c>
      <c r="I5072" t="n">
        <v>2</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45331-2024</t>
        </is>
      </c>
      <c r="B5073" t="inlineStr">
        <is>
          <t>avverkningsanmälan</t>
        </is>
      </c>
      <c r="C5073" t="inlineStr">
        <is>
          <t>Föryngringsavverkning</t>
        </is>
      </c>
      <c r="D5073" s="1" t="n">
        <v>45576</v>
      </c>
      <c r="E5073" s="1" t="n">
        <v>46326</v>
      </c>
      <c r="F5073" t="inlineStr">
        <is>
          <t>GÄVLEBORGS LÄN</t>
        </is>
      </c>
      <c r="G5073" t="inlineStr">
        <is>
          <t>SANDVIKEN</t>
        </is>
      </c>
      <c r="H5073" t="inlineStr">
        <is>
          <t>Bergvik skog öst AB</t>
        </is>
      </c>
      <c r="I5073" t="n">
        <v>0.6</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12208-2026</t>
        </is>
      </c>
      <c r="B5074" t="inlineStr">
        <is>
          <t>avverkningsanmälan</t>
        </is>
      </c>
      <c r="C5074" t="inlineStr">
        <is>
          <t>Föryngringsavverkning</t>
        </is>
      </c>
      <c r="D5074" s="1" t="n">
        <v>46087</v>
      </c>
      <c r="E5074" s="1" t="n">
        <v>46326</v>
      </c>
      <c r="F5074" t="inlineStr">
        <is>
          <t>GÄVLEBORGS LÄN</t>
        </is>
      </c>
      <c r="G5074" t="inlineStr">
        <is>
          <t>SANDVIKEN</t>
        </is>
      </c>
      <c r="I5074" t="n">
        <v>9.4</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12222-2026</t>
        </is>
      </c>
      <c r="B5075" t="inlineStr">
        <is>
          <t>avverkningsanmälan</t>
        </is>
      </c>
      <c r="C5075" t="inlineStr">
        <is>
          <t>Föryngringsavverkning</t>
        </is>
      </c>
      <c r="D5075" s="1" t="n">
        <v>46087</v>
      </c>
      <c r="E5075" s="1" t="n">
        <v>46326</v>
      </c>
      <c r="F5075" t="inlineStr">
        <is>
          <t>GÄVLEBORGS LÄN</t>
        </is>
      </c>
      <c r="G5075" t="inlineStr">
        <is>
          <t>OVANÅKER</t>
        </is>
      </c>
      <c r="I5075" t="n">
        <v>17.2</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12513-2026</t>
        </is>
      </c>
      <c r="B5076" t="inlineStr">
        <is>
          <t>avverkningsanmälan</t>
        </is>
      </c>
      <c r="C5076" t="inlineStr">
        <is>
          <t>Föryngringsavverkning</t>
        </is>
      </c>
      <c r="D5076" s="1" t="n">
        <v>46090</v>
      </c>
      <c r="E5076" s="1" t="n">
        <v>46326</v>
      </c>
      <c r="F5076" t="inlineStr">
        <is>
          <t>GÄVLEBORGS LÄN</t>
        </is>
      </c>
      <c r="G5076" t="inlineStr">
        <is>
          <t>HUDIKSVALL</t>
        </is>
      </c>
      <c r="H5076" t="inlineStr">
        <is>
          <t>Holmen skog AB</t>
        </is>
      </c>
      <c r="I5076" t="n">
        <v>1.1</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6617-2025</t>
        </is>
      </c>
      <c r="B5077" t="inlineStr">
        <is>
          <t>avverkningsanmälan</t>
        </is>
      </c>
      <c r="C5077" t="inlineStr">
        <is>
          <t>Föryngringsavverkning</t>
        </is>
      </c>
      <c r="D5077" s="1" t="n">
        <v>45700</v>
      </c>
      <c r="E5077" s="1" t="n">
        <v>46326</v>
      </c>
      <c r="F5077" t="inlineStr">
        <is>
          <t>GÄVLEBORGS LÄN</t>
        </is>
      </c>
      <c r="G5077" t="inlineStr">
        <is>
          <t>OCKELBO</t>
        </is>
      </c>
      <c r="I5077" t="n">
        <v>1.2</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28272-2023</t>
        </is>
      </c>
      <c r="B5078" t="inlineStr">
        <is>
          <t>avverkningsanmälan</t>
        </is>
      </c>
      <c r="C5078" t="inlineStr">
        <is>
          <t>Föryngringsavverkning</t>
        </is>
      </c>
      <c r="D5078" s="1" t="n">
        <v>45099</v>
      </c>
      <c r="E5078" s="1" t="n">
        <v>46326</v>
      </c>
      <c r="F5078" t="inlineStr">
        <is>
          <t>GÄVLEBORGS LÄN</t>
        </is>
      </c>
      <c r="G5078" t="inlineStr">
        <is>
          <t>LJUSDAL</t>
        </is>
      </c>
      <c r="I5078" t="n">
        <v>1.4</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26936-2023</t>
        </is>
      </c>
      <c r="B5079" t="inlineStr">
        <is>
          <t>avverkningsanmälan</t>
        </is>
      </c>
      <c r="C5079" t="inlineStr">
        <is>
          <t>Föryngringsavverkning</t>
        </is>
      </c>
      <c r="D5079" s="1" t="n">
        <v>45093</v>
      </c>
      <c r="E5079" s="1" t="n">
        <v>46326</v>
      </c>
      <c r="F5079" t="inlineStr">
        <is>
          <t>GÄVLEBORGS LÄN</t>
        </is>
      </c>
      <c r="G5079" t="inlineStr">
        <is>
          <t>SÖDERHAMN</t>
        </is>
      </c>
      <c r="I5079" t="n">
        <v>2.1</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41254-2024</t>
        </is>
      </c>
      <c r="B5080" t="inlineStr">
        <is>
          <t>avverkningsanmälan</t>
        </is>
      </c>
      <c r="C5080" t="inlineStr">
        <is>
          <t>Föryngringsavverkning</t>
        </is>
      </c>
      <c r="D5080" s="1" t="n">
        <v>45559</v>
      </c>
      <c r="E5080" s="1" t="n">
        <v>46326</v>
      </c>
      <c r="F5080" t="inlineStr">
        <is>
          <t>GÄVLEBORGS LÄN</t>
        </is>
      </c>
      <c r="G5080" t="inlineStr">
        <is>
          <t>HUDIKSVALL</t>
        </is>
      </c>
      <c r="H5080" t="inlineStr">
        <is>
          <t>Holmen skog AB</t>
        </is>
      </c>
      <c r="I5080" t="n">
        <v>6.4</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59426-2025</t>
        </is>
      </c>
      <c r="B5081" t="inlineStr">
        <is>
          <t>avverkningsanmälan</t>
        </is>
      </c>
      <c r="C5081" t="inlineStr">
        <is>
          <t>Föryngringsavverkning</t>
        </is>
      </c>
      <c r="D5081" s="1" t="n">
        <v>45989</v>
      </c>
      <c r="E5081" s="1" t="n">
        <v>46326</v>
      </c>
      <c r="F5081" t="inlineStr">
        <is>
          <t>GÄVLEBORGS LÄN</t>
        </is>
      </c>
      <c r="G5081" t="inlineStr">
        <is>
          <t>LJUSDAL</t>
        </is>
      </c>
      <c r="I5081" t="n">
        <v>2.1</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47871-2025</t>
        </is>
      </c>
      <c r="B5082" t="inlineStr">
        <is>
          <t>avverkningsanmälan</t>
        </is>
      </c>
      <c r="C5082" t="inlineStr">
        <is>
          <t>Föryngringsavverkning</t>
        </is>
      </c>
      <c r="D5082" s="1" t="n">
        <v>45932</v>
      </c>
      <c r="E5082" s="1" t="n">
        <v>46326</v>
      </c>
      <c r="F5082" t="inlineStr">
        <is>
          <t>GÄVLEBORGS LÄN</t>
        </is>
      </c>
      <c r="G5082" t="inlineStr">
        <is>
          <t>LJUSDAL</t>
        </is>
      </c>
      <c r="I5082" t="n">
        <v>6.5</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62642-2023</t>
        </is>
      </c>
      <c r="B5083" t="inlineStr">
        <is>
          <t>avverkningsanmälan</t>
        </is>
      </c>
      <c r="C5083" t="inlineStr">
        <is>
          <t>Föryngringsavverkning</t>
        </is>
      </c>
      <c r="D5083" s="1" t="n">
        <v>45271</v>
      </c>
      <c r="E5083" s="1" t="n">
        <v>46326</v>
      </c>
      <c r="F5083" t="inlineStr">
        <is>
          <t>GÄVLEBORGS LÄN</t>
        </is>
      </c>
      <c r="G5083" t="inlineStr">
        <is>
          <t>SANDVIKEN</t>
        </is>
      </c>
      <c r="H5083" t="inlineStr">
        <is>
          <t>Bergvik skog öst AB</t>
        </is>
      </c>
      <c r="I5083" t="n">
        <v>2.9</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62651-2023</t>
        </is>
      </c>
      <c r="B5084" t="inlineStr">
        <is>
          <t>avverkningsanmälan</t>
        </is>
      </c>
      <c r="C5084" t="inlineStr">
        <is>
          <t>Avverkning för annat ändamål</t>
        </is>
      </c>
      <c r="D5084" s="1" t="n">
        <v>45271</v>
      </c>
      <c r="E5084" s="1" t="n">
        <v>46326</v>
      </c>
      <c r="F5084" t="inlineStr">
        <is>
          <t>GÄVLEBORGS LÄN</t>
        </is>
      </c>
      <c r="G5084" t="inlineStr">
        <is>
          <t>OVANÅKER</t>
        </is>
      </c>
      <c r="I5084" t="n">
        <v>0.7</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59086-2025</t>
        </is>
      </c>
      <c r="B5085" t="inlineStr">
        <is>
          <t>avverkningsanmälan</t>
        </is>
      </c>
      <c r="C5085" t="inlineStr">
        <is>
          <t>Föryngringsavverkning</t>
        </is>
      </c>
      <c r="D5085" s="1" t="n">
        <v>45988</v>
      </c>
      <c r="E5085" s="1" t="n">
        <v>46326</v>
      </c>
      <c r="F5085" t="inlineStr">
        <is>
          <t>GÄVLEBORGS LÄN</t>
        </is>
      </c>
      <c r="G5085" t="inlineStr">
        <is>
          <t>OCKELBO</t>
        </is>
      </c>
      <c r="H5085" t="inlineStr">
        <is>
          <t>Bergvik skog väst AB</t>
        </is>
      </c>
      <c r="I5085" t="n">
        <v>2.3</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59441-2025</t>
        </is>
      </c>
      <c r="B5086" t="inlineStr">
        <is>
          <t>avverkningsanmälan</t>
        </is>
      </c>
      <c r="C5086" t="inlineStr">
        <is>
          <t>Föryngringsavverkning</t>
        </is>
      </c>
      <c r="D5086" s="1" t="n">
        <v>45989</v>
      </c>
      <c r="E5086" s="1" t="n">
        <v>46326</v>
      </c>
      <c r="F5086" t="inlineStr">
        <is>
          <t>GÄVLEBORGS LÄN</t>
        </is>
      </c>
      <c r="G5086" t="inlineStr">
        <is>
          <t>BOLLNÄS</t>
        </is>
      </c>
      <c r="I5086" t="n">
        <v>1.2</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3233-2025</t>
        </is>
      </c>
      <c r="B5087" t="inlineStr">
        <is>
          <t>avverkningsanmälan</t>
        </is>
      </c>
      <c r="C5087" t="inlineStr">
        <is>
          <t>Föryngringsavverkning</t>
        </is>
      </c>
      <c r="D5087" s="1" t="n">
        <v>45679</v>
      </c>
      <c r="E5087" s="1" t="n">
        <v>46326</v>
      </c>
      <c r="F5087" t="inlineStr">
        <is>
          <t>GÄVLEBORGS LÄN</t>
        </is>
      </c>
      <c r="G5087" t="inlineStr">
        <is>
          <t>LJUSDAL</t>
        </is>
      </c>
      <c r="I5087" t="n">
        <v>1</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62056-2022</t>
        </is>
      </c>
      <c r="B5088" t="inlineStr">
        <is>
          <t>avverkningsanmälan</t>
        </is>
      </c>
      <c r="C5088" t="inlineStr">
        <is>
          <t>Föryngringsavverkning</t>
        </is>
      </c>
      <c r="D5088" s="1" t="n">
        <v>44918</v>
      </c>
      <c r="E5088" s="1" t="n">
        <v>46326</v>
      </c>
      <c r="F5088" t="inlineStr">
        <is>
          <t>GÄVLEBORGS LÄN</t>
        </is>
      </c>
      <c r="G5088" t="inlineStr">
        <is>
          <t>SANDVIKEN</t>
        </is>
      </c>
      <c r="I5088" t="n">
        <v>1.9</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59856-2022</t>
        </is>
      </c>
      <c r="B5089" t="inlineStr">
        <is>
          <t>avverkningsanmälan</t>
        </is>
      </c>
      <c r="C5089" t="inlineStr">
        <is>
          <t>Föryngringsavverkning</t>
        </is>
      </c>
      <c r="D5089" s="1" t="n">
        <v>44908</v>
      </c>
      <c r="E5089" s="1" t="n">
        <v>46326</v>
      </c>
      <c r="F5089" t="inlineStr">
        <is>
          <t>GÄVLEBORGS LÄN</t>
        </is>
      </c>
      <c r="G5089" t="inlineStr">
        <is>
          <t>HUDIKSVALL</t>
        </is>
      </c>
      <c r="I5089" t="n">
        <v>2.8</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59096-2025</t>
        </is>
      </c>
      <c r="B5090" t="inlineStr">
        <is>
          <t>avverkningsanmälan</t>
        </is>
      </c>
      <c r="C5090" t="inlineStr">
        <is>
          <t>Föryngringsavverkning</t>
        </is>
      </c>
      <c r="D5090" s="1" t="n">
        <v>45988</v>
      </c>
      <c r="E5090" s="1" t="n">
        <v>46326</v>
      </c>
      <c r="F5090" t="inlineStr">
        <is>
          <t>GÄVLEBORGS LÄN</t>
        </is>
      </c>
      <c r="G5090" t="inlineStr">
        <is>
          <t>HUDIKSVALL</t>
        </is>
      </c>
      <c r="I5090" t="n">
        <v>12.9</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2247-2023</t>
        </is>
      </c>
      <c r="B5091" t="inlineStr">
        <is>
          <t>avverkningsanmälan</t>
        </is>
      </c>
      <c r="C5091" t="inlineStr">
        <is>
          <t>Föryngringsavverkning</t>
        </is>
      </c>
      <c r="D5091" s="1" t="n">
        <v>44942</v>
      </c>
      <c r="E5091" s="1" t="n">
        <v>46326</v>
      </c>
      <c r="F5091" t="inlineStr">
        <is>
          <t>GÄVLEBORGS LÄN</t>
        </is>
      </c>
      <c r="G5091" t="inlineStr">
        <is>
          <t>GÄVLE</t>
        </is>
      </c>
      <c r="I5091" t="n">
        <v>1.3</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19490-2025</t>
        </is>
      </c>
      <c r="B5092" t="inlineStr">
        <is>
          <t>avverkningsanmälan</t>
        </is>
      </c>
      <c r="C5092" t="inlineStr">
        <is>
          <t>Föryngringsavverkning</t>
        </is>
      </c>
      <c r="D5092" s="1" t="n">
        <v>45770</v>
      </c>
      <c r="E5092" s="1" t="n">
        <v>46326</v>
      </c>
      <c r="F5092" t="inlineStr">
        <is>
          <t>GÄVLEBORGS LÄN</t>
        </is>
      </c>
      <c r="G5092" t="inlineStr">
        <is>
          <t>LJUSDAL</t>
        </is>
      </c>
      <c r="I5092" t="n">
        <v>4.3</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59427-2025</t>
        </is>
      </c>
      <c r="B5093" t="inlineStr">
        <is>
          <t>avverkningsanmälan</t>
        </is>
      </c>
      <c r="C5093" t="inlineStr">
        <is>
          <t>Föryngringsavverkning</t>
        </is>
      </c>
      <c r="D5093" s="1" t="n">
        <v>45989</v>
      </c>
      <c r="E5093" s="1" t="n">
        <v>46326</v>
      </c>
      <c r="F5093" t="inlineStr">
        <is>
          <t>GÄVLEBORGS LÄN</t>
        </is>
      </c>
      <c r="G5093" t="inlineStr">
        <is>
          <t>BOLLNÄS</t>
        </is>
      </c>
      <c r="I5093" t="n">
        <v>1</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59488-2025</t>
        </is>
      </c>
      <c r="B5094" t="inlineStr">
        <is>
          <t>avverkningsanmälan</t>
        </is>
      </c>
      <c r="C5094" t="inlineStr">
        <is>
          <t>Föryngringsavverkning</t>
        </is>
      </c>
      <c r="D5094" s="1" t="n">
        <v>45989</v>
      </c>
      <c r="E5094" s="1" t="n">
        <v>46326</v>
      </c>
      <c r="F5094" t="inlineStr">
        <is>
          <t>GÄVLEBORGS LÄN</t>
        </is>
      </c>
      <c r="G5094" t="inlineStr">
        <is>
          <t>HUDIKSVALL</t>
        </is>
      </c>
      <c r="H5094" t="inlineStr">
        <is>
          <t>Holmen skog AB</t>
        </is>
      </c>
      <c r="I5094" t="n">
        <v>3.4</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60066-2025</t>
        </is>
      </c>
      <c r="B5095" t="inlineStr">
        <is>
          <t>avverkningsanmälan</t>
        </is>
      </c>
      <c r="C5095" t="inlineStr">
        <is>
          <t>Föryngringsavverkning</t>
        </is>
      </c>
      <c r="D5095" s="1" t="n">
        <v>45993</v>
      </c>
      <c r="E5095" s="1" t="n">
        <v>46326</v>
      </c>
      <c r="F5095" t="inlineStr">
        <is>
          <t>GÄVLEBORGS LÄN</t>
        </is>
      </c>
      <c r="G5095" t="inlineStr">
        <is>
          <t>HUDIKSVALL</t>
        </is>
      </c>
      <c r="I5095" t="n">
        <v>1.2</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60073-2025</t>
        </is>
      </c>
      <c r="B5096" t="inlineStr">
        <is>
          <t>avverkningsanmälan</t>
        </is>
      </c>
      <c r="C5096" t="inlineStr">
        <is>
          <t>Föryngringsavverkning</t>
        </is>
      </c>
      <c r="D5096" s="1" t="n">
        <v>45993</v>
      </c>
      <c r="E5096" s="1" t="n">
        <v>46326</v>
      </c>
      <c r="F5096" t="inlineStr">
        <is>
          <t>GÄVLEBORGS LÄN</t>
        </is>
      </c>
      <c r="G5096" t="inlineStr">
        <is>
          <t>HUDIKSVALL</t>
        </is>
      </c>
      <c r="I5096" t="n">
        <v>3.9</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6331-2025</t>
        </is>
      </c>
      <c r="B5097" t="inlineStr">
        <is>
          <t>avverkningsanmälan</t>
        </is>
      </c>
      <c r="C5097" t="inlineStr">
        <is>
          <t>Föryngringsavverkning</t>
        </is>
      </c>
      <c r="D5097" s="1" t="n">
        <v>45698</v>
      </c>
      <c r="E5097" s="1" t="n">
        <v>46326</v>
      </c>
      <c r="F5097" t="inlineStr">
        <is>
          <t>GÄVLEBORGS LÄN</t>
        </is>
      </c>
      <c r="G5097" t="inlineStr">
        <is>
          <t>HUDIKSVALL</t>
        </is>
      </c>
      <c r="H5097" t="inlineStr">
        <is>
          <t>Holmen skog AB</t>
        </is>
      </c>
      <c r="I5097" t="n">
        <v>21.6</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6339-2025</t>
        </is>
      </c>
      <c r="B5098" t="inlineStr">
        <is>
          <t>avverkningsanmälan</t>
        </is>
      </c>
      <c r="C5098" t="inlineStr">
        <is>
          <t>Föryngringsavverkning</t>
        </is>
      </c>
      <c r="D5098" s="1" t="n">
        <v>45699</v>
      </c>
      <c r="E5098" s="1" t="n">
        <v>46326</v>
      </c>
      <c r="F5098" t="inlineStr">
        <is>
          <t>GÄVLEBORGS LÄN</t>
        </is>
      </c>
      <c r="G5098" t="inlineStr">
        <is>
          <t>LJUSDAL</t>
        </is>
      </c>
      <c r="I5098" t="n">
        <v>3</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59827-2025</t>
        </is>
      </c>
      <c r="B5099" t="inlineStr">
        <is>
          <t>avverkningsanmälan</t>
        </is>
      </c>
      <c r="C5099" t="inlineStr">
        <is>
          <t>Föryngringsavverkning</t>
        </is>
      </c>
      <c r="D5099" s="1" t="n">
        <v>45992</v>
      </c>
      <c r="E5099" s="1" t="n">
        <v>46326</v>
      </c>
      <c r="F5099" t="inlineStr">
        <is>
          <t>GÄVLEBORGS LÄN</t>
        </is>
      </c>
      <c r="G5099" t="inlineStr">
        <is>
          <t>SÖDERHAMN</t>
        </is>
      </c>
      <c r="I5099" t="n">
        <v>8.5</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59836-2025</t>
        </is>
      </c>
      <c r="B5100" t="inlineStr">
        <is>
          <t>avverkningsanmälan</t>
        </is>
      </c>
      <c r="C5100" t="inlineStr">
        <is>
          <t>Föryngringsavverkning</t>
        </is>
      </c>
      <c r="D5100" s="1" t="n">
        <v>45992</v>
      </c>
      <c r="E5100" s="1" t="n">
        <v>46326</v>
      </c>
      <c r="F5100" t="inlineStr">
        <is>
          <t>GÄVLEBORGS LÄN</t>
        </is>
      </c>
      <c r="G5100" t="inlineStr">
        <is>
          <t>LJUSDAL</t>
        </is>
      </c>
      <c r="H5100" t="inlineStr">
        <is>
          <t>Allmännings- och besparingsskogar</t>
        </is>
      </c>
      <c r="I5100" t="n">
        <v>2.1</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14002-2025</t>
        </is>
      </c>
      <c r="B5101" t="inlineStr">
        <is>
          <t>avverkningsanmälan</t>
        </is>
      </c>
      <c r="C5101" t="inlineStr">
        <is>
          <t>Föryngringsavverkning</t>
        </is>
      </c>
      <c r="D5101" s="1" t="n">
        <v>45740</v>
      </c>
      <c r="E5101" s="1" t="n">
        <v>46326</v>
      </c>
      <c r="F5101" t="inlineStr">
        <is>
          <t>GÄVLEBORGS LÄN</t>
        </is>
      </c>
      <c r="G5101" t="inlineStr">
        <is>
          <t>LJUSDAL</t>
        </is>
      </c>
      <c r="I5101" t="n">
        <v>1.7</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6742-2024</t>
        </is>
      </c>
      <c r="B5102" t="inlineStr">
        <is>
          <t>avverkningsanmälan</t>
        </is>
      </c>
      <c r="C5102" t="inlineStr">
        <is>
          <t>Föryngringsavverkning</t>
        </is>
      </c>
      <c r="D5102" s="1" t="n">
        <v>45342</v>
      </c>
      <c r="E5102" s="1" t="n">
        <v>46326</v>
      </c>
      <c r="F5102" t="inlineStr">
        <is>
          <t>GÄVLEBORGS LÄN</t>
        </is>
      </c>
      <c r="G5102" t="inlineStr">
        <is>
          <t>OCKELBO</t>
        </is>
      </c>
      <c r="I5102" t="n">
        <v>2.6</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59750-2025</t>
        </is>
      </c>
      <c r="B5103" t="inlineStr">
        <is>
          <t>avverkningsanmälan</t>
        </is>
      </c>
      <c r="C5103" t="inlineStr">
        <is>
          <t>Föryngringsavverkning</t>
        </is>
      </c>
      <c r="D5103" s="1" t="n">
        <v>45992</v>
      </c>
      <c r="E5103" s="1" t="n">
        <v>46326</v>
      </c>
      <c r="F5103" t="inlineStr">
        <is>
          <t>GÄVLEBORGS LÄN</t>
        </is>
      </c>
      <c r="G5103" t="inlineStr">
        <is>
          <t>SANDVIKEN</t>
        </is>
      </c>
      <c r="I5103" t="n">
        <v>0.4</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47108-2024</t>
        </is>
      </c>
      <c r="B5104" t="inlineStr">
        <is>
          <t>avverkningsanmälan</t>
        </is>
      </c>
      <c r="C5104" t="inlineStr">
        <is>
          <t>Föryngringsavverkning</t>
        </is>
      </c>
      <c r="D5104" s="1" t="n">
        <v>45586</v>
      </c>
      <c r="E5104" s="1" t="n">
        <v>46326</v>
      </c>
      <c r="F5104" t="inlineStr">
        <is>
          <t>GÄVLEBORGS LÄN</t>
        </is>
      </c>
      <c r="G5104" t="inlineStr">
        <is>
          <t>GÄVLE</t>
        </is>
      </c>
      <c r="I5104" t="n">
        <v>1.3</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59755-2025</t>
        </is>
      </c>
      <c r="B5105" t="inlineStr">
        <is>
          <t>avverkningsanmälan</t>
        </is>
      </c>
      <c r="C5105" t="inlineStr">
        <is>
          <t>Föryngringsavverkning</t>
        </is>
      </c>
      <c r="D5105" s="1" t="n">
        <v>45992</v>
      </c>
      <c r="E5105" s="1" t="n">
        <v>46326</v>
      </c>
      <c r="F5105" t="inlineStr">
        <is>
          <t>GÄVLEBORGS LÄN</t>
        </is>
      </c>
      <c r="G5105" t="inlineStr">
        <is>
          <t>SANDVIKEN</t>
        </is>
      </c>
      <c r="I5105" t="n">
        <v>0.4</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2873-2025</t>
        </is>
      </c>
      <c r="B5106" t="inlineStr">
        <is>
          <t>avverkningsanmälan</t>
        </is>
      </c>
      <c r="C5106" t="inlineStr">
        <is>
          <t>Föryngringsavverkning</t>
        </is>
      </c>
      <c r="D5106" s="1" t="n">
        <v>45677</v>
      </c>
      <c r="E5106" s="1" t="n">
        <v>46326</v>
      </c>
      <c r="F5106" t="inlineStr">
        <is>
          <t>GÄVLEBORGS LÄN</t>
        </is>
      </c>
      <c r="G5106" t="inlineStr">
        <is>
          <t>SÖDERHAMN</t>
        </is>
      </c>
      <c r="I5106" t="n">
        <v>2.1</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59781-2025</t>
        </is>
      </c>
      <c r="B5107" t="inlineStr">
        <is>
          <t>avverkningsanmälan</t>
        </is>
      </c>
      <c r="C5107" t="inlineStr">
        <is>
          <t>Föryngringsavverkning</t>
        </is>
      </c>
      <c r="D5107" s="1" t="n">
        <v>45992</v>
      </c>
      <c r="E5107" s="1" t="n">
        <v>46326</v>
      </c>
      <c r="F5107" t="inlineStr">
        <is>
          <t>GÄVLEBORGS LÄN</t>
        </is>
      </c>
      <c r="G5107" t="inlineStr">
        <is>
          <t>HUDIKSVALL</t>
        </is>
      </c>
      <c r="I5107" t="n">
        <v>1.3</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59847-2025</t>
        </is>
      </c>
      <c r="B5108" t="inlineStr">
        <is>
          <t>avverkningsanmälan</t>
        </is>
      </c>
      <c r="C5108" t="inlineStr">
        <is>
          <t>Föryngringsavverkning</t>
        </is>
      </c>
      <c r="D5108" s="1" t="n">
        <v>45992</v>
      </c>
      <c r="E5108" s="1" t="n">
        <v>46326</v>
      </c>
      <c r="F5108" t="inlineStr">
        <is>
          <t>GÄVLEBORGS LÄN</t>
        </is>
      </c>
      <c r="G5108" t="inlineStr">
        <is>
          <t>SÖDERHAMN</t>
        </is>
      </c>
      <c r="I5108" t="n">
        <v>0.9</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59718-2025</t>
        </is>
      </c>
      <c r="B5109" t="inlineStr">
        <is>
          <t>avverkningsanmälan</t>
        </is>
      </c>
      <c r="C5109" t="inlineStr">
        <is>
          <t>Föryngringsavverkning</t>
        </is>
      </c>
      <c r="D5109" s="1" t="n">
        <v>45992</v>
      </c>
      <c r="E5109" s="1" t="n">
        <v>46326</v>
      </c>
      <c r="F5109" t="inlineStr">
        <is>
          <t>GÄVLEBORGS LÄN</t>
        </is>
      </c>
      <c r="G5109" t="inlineStr">
        <is>
          <t>SANDVIKEN</t>
        </is>
      </c>
      <c r="I5109" t="n">
        <v>10.2</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12359-2026</t>
        </is>
      </c>
      <c r="B5110" t="inlineStr">
        <is>
          <t>avverkningsanmälan</t>
        </is>
      </c>
      <c r="C5110" t="inlineStr">
        <is>
          <t>Föryngringsavverkning</t>
        </is>
      </c>
      <c r="D5110" s="1" t="n">
        <v>46088</v>
      </c>
      <c r="E5110" s="1" t="n">
        <v>46326</v>
      </c>
      <c r="F5110" t="inlineStr">
        <is>
          <t>GÄVLEBORGS LÄN</t>
        </is>
      </c>
      <c r="G5110" t="inlineStr">
        <is>
          <t>BOLLNÄS</t>
        </is>
      </c>
      <c r="I5110" t="n">
        <v>2.9</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12433-2026</t>
        </is>
      </c>
      <c r="B5111" t="inlineStr">
        <is>
          <t>avverkningsanmälan</t>
        </is>
      </c>
      <c r="C5111" t="inlineStr">
        <is>
          <t>Föryngringsavverkning</t>
        </is>
      </c>
      <c r="D5111" s="1" t="n">
        <v>46090</v>
      </c>
      <c r="E5111" s="1" t="n">
        <v>46326</v>
      </c>
      <c r="F5111" t="inlineStr">
        <is>
          <t>GÄVLEBORGS LÄN</t>
        </is>
      </c>
      <c r="G5111" t="inlineStr">
        <is>
          <t>SANDVIKEN</t>
        </is>
      </c>
      <c r="H5111" t="inlineStr">
        <is>
          <t>Kommuner</t>
        </is>
      </c>
      <c r="I5111" t="n">
        <v>0.5</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56766-2022</t>
        </is>
      </c>
      <c r="B5112" t="inlineStr">
        <is>
          <t>avverkningsanmälan</t>
        </is>
      </c>
      <c r="C5112" t="inlineStr">
        <is>
          <t>Avverkning för annat ändamål</t>
        </is>
      </c>
      <c r="D5112" s="1" t="n">
        <v>44894</v>
      </c>
      <c r="E5112" s="1" t="n">
        <v>46326</v>
      </c>
      <c r="F5112" t="inlineStr">
        <is>
          <t>GÄVLEBORGS LÄN</t>
        </is>
      </c>
      <c r="G5112" t="inlineStr">
        <is>
          <t>LJUSDAL</t>
        </is>
      </c>
      <c r="H5112" t="inlineStr">
        <is>
          <t>Holmen skog AB</t>
        </is>
      </c>
      <c r="I5112" t="n">
        <v>0.8</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59997-2025</t>
        </is>
      </c>
      <c r="B5113" t="inlineStr">
        <is>
          <t>avverkningsanmälan</t>
        </is>
      </c>
      <c r="C5113" t="inlineStr">
        <is>
          <t>Föryngringsavverkning</t>
        </is>
      </c>
      <c r="D5113" s="1" t="n">
        <v>45993</v>
      </c>
      <c r="E5113" s="1" t="n">
        <v>46326</v>
      </c>
      <c r="F5113" t="inlineStr">
        <is>
          <t>GÄVLEBORGS LÄN</t>
        </is>
      </c>
      <c r="G5113" t="inlineStr">
        <is>
          <t>NORDANSTIG</t>
        </is>
      </c>
      <c r="H5113" t="inlineStr">
        <is>
          <t>Holmen skog AB</t>
        </is>
      </c>
      <c r="I5113" t="n">
        <v>3</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12369-2026</t>
        </is>
      </c>
      <c r="B5114" t="inlineStr">
        <is>
          <t>avverkningsanmälan</t>
        </is>
      </c>
      <c r="C5114" t="inlineStr">
        <is>
          <t>Föryngringsavverkning</t>
        </is>
      </c>
      <c r="D5114" s="1" t="n">
        <v>46089</v>
      </c>
      <c r="E5114" s="1" t="n">
        <v>46326</v>
      </c>
      <c r="F5114" t="inlineStr">
        <is>
          <t>GÄVLEBORGS LÄN</t>
        </is>
      </c>
      <c r="G5114" t="inlineStr">
        <is>
          <t>OVANÅKER</t>
        </is>
      </c>
      <c r="I5114" t="n">
        <v>2.6</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12425-2026</t>
        </is>
      </c>
      <c r="B5115" t="inlineStr">
        <is>
          <t>avverkningsanmälan</t>
        </is>
      </c>
      <c r="C5115" t="inlineStr">
        <is>
          <t>Föryngringsavverkning</t>
        </is>
      </c>
      <c r="D5115" s="1" t="n">
        <v>46090</v>
      </c>
      <c r="E5115" s="1" t="n">
        <v>46326</v>
      </c>
      <c r="F5115" t="inlineStr">
        <is>
          <t>GÄVLEBORGS LÄN</t>
        </is>
      </c>
      <c r="G5115" t="inlineStr">
        <is>
          <t>OVANÅKER</t>
        </is>
      </c>
      <c r="I5115" t="n">
        <v>0.6</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59811-2025</t>
        </is>
      </c>
      <c r="B5116" t="inlineStr">
        <is>
          <t>avverkningsanmälan</t>
        </is>
      </c>
      <c r="C5116" t="inlineStr">
        <is>
          <t>Föryngringsavverkning</t>
        </is>
      </c>
      <c r="D5116" s="1" t="n">
        <v>45992</v>
      </c>
      <c r="E5116" s="1" t="n">
        <v>46326</v>
      </c>
      <c r="F5116" t="inlineStr">
        <is>
          <t>GÄVLEBORGS LÄN</t>
        </is>
      </c>
      <c r="G5116" t="inlineStr">
        <is>
          <t>LJUSDAL</t>
        </is>
      </c>
      <c r="H5116" t="inlineStr">
        <is>
          <t>Allmännings- och besparingsskogar</t>
        </is>
      </c>
      <c r="I5116" t="n">
        <v>9.199999999999999</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59844-2025</t>
        </is>
      </c>
      <c r="B5117" t="inlineStr">
        <is>
          <t>avverkningsanmälan</t>
        </is>
      </c>
      <c r="C5117" t="inlineStr">
        <is>
          <t>Föryngringsavverkning</t>
        </is>
      </c>
      <c r="D5117" s="1" t="n">
        <v>45992</v>
      </c>
      <c r="E5117" s="1" t="n">
        <v>46326</v>
      </c>
      <c r="F5117" t="inlineStr">
        <is>
          <t>GÄVLEBORGS LÄN</t>
        </is>
      </c>
      <c r="G5117" t="inlineStr">
        <is>
          <t>BOLLNÄS</t>
        </is>
      </c>
      <c r="I5117" t="n">
        <v>2</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59623-2025</t>
        </is>
      </c>
      <c r="B5118" t="inlineStr">
        <is>
          <t>avverkningsanmälan</t>
        </is>
      </c>
      <c r="C5118" t="inlineStr">
        <is>
          <t>Föryngringsavverkning</t>
        </is>
      </c>
      <c r="D5118" s="1" t="n">
        <v>45992</v>
      </c>
      <c r="E5118" s="1" t="n">
        <v>46326</v>
      </c>
      <c r="F5118" t="inlineStr">
        <is>
          <t>GÄVLEBORGS LÄN</t>
        </is>
      </c>
      <c r="G5118" t="inlineStr">
        <is>
          <t>SANDVIKEN</t>
        </is>
      </c>
      <c r="I5118" t="n">
        <v>2.3</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59624-2025</t>
        </is>
      </c>
      <c r="B5119" t="inlineStr">
        <is>
          <t>avverkningsanmälan</t>
        </is>
      </c>
      <c r="C5119" t="inlineStr">
        <is>
          <t>Föryngringsavverkning</t>
        </is>
      </c>
      <c r="D5119" s="1" t="n">
        <v>45992</v>
      </c>
      <c r="E5119" s="1" t="n">
        <v>46326</v>
      </c>
      <c r="F5119" t="inlineStr">
        <is>
          <t>GÄVLEBORGS LÄN</t>
        </is>
      </c>
      <c r="G5119" t="inlineStr">
        <is>
          <t>GÄVLE</t>
        </is>
      </c>
      <c r="I5119" t="n">
        <v>2.4</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59643-2025</t>
        </is>
      </c>
      <c r="B5120" t="inlineStr">
        <is>
          <t>avverkningsanmälan</t>
        </is>
      </c>
      <c r="C5120" t="inlineStr">
        <is>
          <t>Föryngringsavverkning</t>
        </is>
      </c>
      <c r="D5120" s="1" t="n">
        <v>45992</v>
      </c>
      <c r="E5120" s="1" t="n">
        <v>46326</v>
      </c>
      <c r="F5120" t="inlineStr">
        <is>
          <t>GÄVLEBORGS LÄN</t>
        </is>
      </c>
      <c r="G5120" t="inlineStr">
        <is>
          <t>OVANÅKER</t>
        </is>
      </c>
      <c r="I5120" t="n">
        <v>2.4</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21300-2024</t>
        </is>
      </c>
      <c r="B5121" t="inlineStr">
        <is>
          <t>avverkningsanmälan</t>
        </is>
      </c>
      <c r="C5121" t="inlineStr">
        <is>
          <t>Föryngringsavverkning</t>
        </is>
      </c>
      <c r="D5121" s="1" t="n">
        <v>45440</v>
      </c>
      <c r="E5121" s="1" t="n">
        <v>46326</v>
      </c>
      <c r="F5121" t="inlineStr">
        <is>
          <t>GÄVLEBORGS LÄN</t>
        </is>
      </c>
      <c r="G5121" t="inlineStr">
        <is>
          <t>GÄVLE</t>
        </is>
      </c>
      <c r="I5121" t="n">
        <v>8.6</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59785-2025</t>
        </is>
      </c>
      <c r="B5122" t="inlineStr">
        <is>
          <t>avverkningsanmälan</t>
        </is>
      </c>
      <c r="C5122" t="inlineStr">
        <is>
          <t>Föryngringsavverkning</t>
        </is>
      </c>
      <c r="D5122" s="1" t="n">
        <v>45992</v>
      </c>
      <c r="E5122" s="1" t="n">
        <v>46326</v>
      </c>
      <c r="F5122" t="inlineStr">
        <is>
          <t>GÄVLEBORGS LÄN</t>
        </is>
      </c>
      <c r="G5122" t="inlineStr">
        <is>
          <t>LJUSDAL</t>
        </is>
      </c>
      <c r="I5122" t="n">
        <v>4.5</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58182-2023</t>
        </is>
      </c>
      <c r="B5123" t="inlineStr">
        <is>
          <t>avverkningsanmälan</t>
        </is>
      </c>
      <c r="C5123" t="inlineStr">
        <is>
          <t>Föryngringsavverkning</t>
        </is>
      </c>
      <c r="D5123" s="1" t="n">
        <v>45245</v>
      </c>
      <c r="E5123" s="1" t="n">
        <v>46326</v>
      </c>
      <c r="F5123" t="inlineStr">
        <is>
          <t>GÄVLEBORGS LÄN</t>
        </is>
      </c>
      <c r="G5123" t="inlineStr">
        <is>
          <t>SANDVIKEN</t>
        </is>
      </c>
      <c r="I5123" t="n">
        <v>8.1</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1776-2026</t>
        </is>
      </c>
      <c r="B5124" t="inlineStr">
        <is>
          <t>avverkningsanmälan</t>
        </is>
      </c>
      <c r="C5124" t="inlineStr">
        <is>
          <t>Föryngringsavverkning</t>
        </is>
      </c>
      <c r="D5124" s="1" t="n">
        <v>46034</v>
      </c>
      <c r="E5124" s="1" t="n">
        <v>46326</v>
      </c>
      <c r="F5124" t="inlineStr">
        <is>
          <t>GÄVLEBORGS LÄN</t>
        </is>
      </c>
      <c r="G5124" t="inlineStr">
        <is>
          <t>HUDIKSVALL</t>
        </is>
      </c>
      <c r="I5124" t="n">
        <v>3.9</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60042-2025</t>
        </is>
      </c>
      <c r="B5125" t="inlineStr">
        <is>
          <t>avverkningsanmälan</t>
        </is>
      </c>
      <c r="C5125" t="inlineStr">
        <is>
          <t>Avverkning för annat ändamål</t>
        </is>
      </c>
      <c r="D5125" s="1" t="n">
        <v>45993</v>
      </c>
      <c r="E5125" s="1" t="n">
        <v>46326</v>
      </c>
      <c r="F5125" t="inlineStr">
        <is>
          <t>GÄVLEBORGS LÄN</t>
        </is>
      </c>
      <c r="G5125" t="inlineStr">
        <is>
          <t>LJUSDAL</t>
        </is>
      </c>
      <c r="I5125" t="n">
        <v>0.6</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59684-2025</t>
        </is>
      </c>
      <c r="B5126" t="inlineStr">
        <is>
          <t>avverkningsanmälan</t>
        </is>
      </c>
      <c r="C5126" t="inlineStr">
        <is>
          <t>Föryngringsavverkning</t>
        </is>
      </c>
      <c r="D5126" s="1" t="n">
        <v>45992</v>
      </c>
      <c r="E5126" s="1" t="n">
        <v>46326</v>
      </c>
      <c r="F5126" t="inlineStr">
        <is>
          <t>GÄVLEBORGS LÄN</t>
        </is>
      </c>
      <c r="G5126" t="inlineStr">
        <is>
          <t>SÖDERHAMN</t>
        </is>
      </c>
      <c r="I5126" t="n">
        <v>6.8</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22641-2024</t>
        </is>
      </c>
      <c r="B5127" t="inlineStr">
        <is>
          <t>avverkningsanmälan</t>
        </is>
      </c>
      <c r="C5127" t="inlineStr">
        <is>
          <t>Föryngringsavverkning</t>
        </is>
      </c>
      <c r="D5127" s="1" t="n">
        <v>45447</v>
      </c>
      <c r="E5127" s="1" t="n">
        <v>46326</v>
      </c>
      <c r="F5127" t="inlineStr">
        <is>
          <t>GÄVLEBORGS LÄN</t>
        </is>
      </c>
      <c r="G5127" t="inlineStr">
        <is>
          <t>HUDIKSVALL</t>
        </is>
      </c>
      <c r="I5127" t="n">
        <v>0.6</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60038-2025</t>
        </is>
      </c>
      <c r="B5128" t="inlineStr">
        <is>
          <t>avverkningsanmälan</t>
        </is>
      </c>
      <c r="C5128" t="inlineStr">
        <is>
          <t>Föryngringsavverkning</t>
        </is>
      </c>
      <c r="D5128" s="1" t="n">
        <v>45993</v>
      </c>
      <c r="E5128" s="1" t="n">
        <v>46326</v>
      </c>
      <c r="F5128" t="inlineStr">
        <is>
          <t>GÄVLEBORGS LÄN</t>
        </is>
      </c>
      <c r="G5128" t="inlineStr">
        <is>
          <t>GÄVLE</t>
        </is>
      </c>
      <c r="I5128" t="n">
        <v>4.2</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1809-2023</t>
        </is>
      </c>
      <c r="B5129" t="inlineStr">
        <is>
          <t>avverkningsanmälan</t>
        </is>
      </c>
      <c r="C5129" t="inlineStr">
        <is>
          <t>Föryngringsavverkning</t>
        </is>
      </c>
      <c r="D5129" s="1" t="n">
        <v>44938</v>
      </c>
      <c r="E5129" s="1" t="n">
        <v>46326</v>
      </c>
      <c r="F5129" t="inlineStr">
        <is>
          <t>GÄVLEBORGS LÄN</t>
        </is>
      </c>
      <c r="G5129" t="inlineStr">
        <is>
          <t>HUDIKSVALL</t>
        </is>
      </c>
      <c r="H5129" t="inlineStr">
        <is>
          <t>Holmen skog AB</t>
        </is>
      </c>
      <c r="I5129" t="n">
        <v>3.3</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59912-2024</t>
        </is>
      </c>
      <c r="B5130" t="inlineStr">
        <is>
          <t>avverkningsanmälan</t>
        </is>
      </c>
      <c r="C5130" t="inlineStr">
        <is>
          <t>Avverkning för annat ändamål</t>
        </is>
      </c>
      <c r="D5130" s="1" t="n">
        <v>45641</v>
      </c>
      <c r="E5130" s="1" t="n">
        <v>46326</v>
      </c>
      <c r="F5130" t="inlineStr">
        <is>
          <t>GÄVLEBORGS LÄN</t>
        </is>
      </c>
      <c r="G5130" t="inlineStr">
        <is>
          <t>NORDANSTIG</t>
        </is>
      </c>
      <c r="I5130" t="n">
        <v>0.8</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47746-2023</t>
        </is>
      </c>
      <c r="B5131" t="inlineStr">
        <is>
          <t>avverkningsanmälan</t>
        </is>
      </c>
      <c r="C5131" t="inlineStr">
        <is>
          <t>Avverkning för annat ändamål</t>
        </is>
      </c>
      <c r="D5131" s="1" t="n">
        <v>45203</v>
      </c>
      <c r="E5131" s="1" t="n">
        <v>46326</v>
      </c>
      <c r="F5131" t="inlineStr">
        <is>
          <t>GÄVLEBORGS LÄN</t>
        </is>
      </c>
      <c r="G5131" t="inlineStr">
        <is>
          <t>GÄVLE</t>
        </is>
      </c>
      <c r="I5131" t="n">
        <v>1.7</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15674-2024</t>
        </is>
      </c>
      <c r="B5132" t="inlineStr">
        <is>
          <t>avverkningsanmälan</t>
        </is>
      </c>
      <c r="C5132" t="inlineStr">
        <is>
          <t>Föryngringsavverkning</t>
        </is>
      </c>
      <c r="D5132" s="1" t="n">
        <v>45404</v>
      </c>
      <c r="E5132" s="1" t="n">
        <v>46326</v>
      </c>
      <c r="F5132" t="inlineStr">
        <is>
          <t>GÄVLEBORGS LÄN</t>
        </is>
      </c>
      <c r="G5132" t="inlineStr">
        <is>
          <t>SANDVIKEN</t>
        </is>
      </c>
      <c r="H5132" t="inlineStr">
        <is>
          <t>Bergvik skog öst AB</t>
        </is>
      </c>
      <c r="I5132" t="n">
        <v>1.3</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59627-2025</t>
        </is>
      </c>
      <c r="B5133" t="inlineStr">
        <is>
          <t>avverkningsanmälan</t>
        </is>
      </c>
      <c r="C5133" t="inlineStr">
        <is>
          <t>Föryngringsavverkning</t>
        </is>
      </c>
      <c r="D5133" s="1" t="n">
        <v>45992</v>
      </c>
      <c r="E5133" s="1" t="n">
        <v>46326</v>
      </c>
      <c r="F5133" t="inlineStr">
        <is>
          <t>GÄVLEBORGS LÄN</t>
        </is>
      </c>
      <c r="G5133" t="inlineStr">
        <is>
          <t>GÄVLE</t>
        </is>
      </c>
      <c r="I5133" t="n">
        <v>2.2</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59331-2022</t>
        </is>
      </c>
      <c r="B5134" t="inlineStr">
        <is>
          <t>avverkningsanmälan</t>
        </is>
      </c>
      <c r="C5134" t="inlineStr">
        <is>
          <t>Föryngringsavverkning</t>
        </is>
      </c>
      <c r="D5134" s="1" t="n">
        <v>44904</v>
      </c>
      <c r="E5134" s="1" t="n">
        <v>46326</v>
      </c>
      <c r="F5134" t="inlineStr">
        <is>
          <t>GÄVLEBORGS LÄN</t>
        </is>
      </c>
      <c r="G5134" t="inlineStr">
        <is>
          <t>BOLLNÄS</t>
        </is>
      </c>
      <c r="I5134" t="n">
        <v>2.3</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12293-2026</t>
        </is>
      </c>
      <c r="B5135" t="inlineStr">
        <is>
          <t>avverkningsanmälan</t>
        </is>
      </c>
      <c r="C5135" t="inlineStr">
        <is>
          <t>Föryngringsavverkning</t>
        </is>
      </c>
      <c r="D5135" s="1" t="n">
        <v>46087</v>
      </c>
      <c r="E5135" s="1" t="n">
        <v>46326</v>
      </c>
      <c r="F5135" t="inlineStr">
        <is>
          <t>GÄVLEBORGS LÄN</t>
        </is>
      </c>
      <c r="G5135" t="inlineStr">
        <is>
          <t>SANDVIKEN</t>
        </is>
      </c>
      <c r="H5135" t="inlineStr">
        <is>
          <t>Kommuner</t>
        </is>
      </c>
      <c r="I5135" t="n">
        <v>2.8</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7276-2023</t>
        </is>
      </c>
      <c r="B5136" t="inlineStr">
        <is>
          <t>avverkningsanmälan</t>
        </is>
      </c>
      <c r="C5136" t="inlineStr">
        <is>
          <t>Föryngringsavverkning</t>
        </is>
      </c>
      <c r="D5136" s="1" t="n">
        <v>44970</v>
      </c>
      <c r="E5136" s="1" t="n">
        <v>46326</v>
      </c>
      <c r="F5136" t="inlineStr">
        <is>
          <t>GÄVLEBORGS LÄN</t>
        </is>
      </c>
      <c r="G5136" t="inlineStr">
        <is>
          <t>OCKELBO</t>
        </is>
      </c>
      <c r="I5136" t="n">
        <v>1.4</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12325-2026</t>
        </is>
      </c>
      <c r="B5137" t="inlineStr">
        <is>
          <t>avverkningsanmälan</t>
        </is>
      </c>
      <c r="C5137" t="inlineStr">
        <is>
          <t>Föryngringsavverkning</t>
        </is>
      </c>
      <c r="D5137" s="1" t="n">
        <v>46087</v>
      </c>
      <c r="E5137" s="1" t="n">
        <v>46326</v>
      </c>
      <c r="F5137" t="inlineStr">
        <is>
          <t>GÄVLEBORGS LÄN</t>
        </is>
      </c>
      <c r="G5137" t="inlineStr">
        <is>
          <t>BOLLNÄS</t>
        </is>
      </c>
      <c r="I5137" t="n">
        <v>0.9</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59595-2025</t>
        </is>
      </c>
      <c r="B5138" t="inlineStr">
        <is>
          <t>avverkningsanmälan</t>
        </is>
      </c>
      <c r="C5138" t="inlineStr">
        <is>
          <t>Avverkning för annat ändamål</t>
        </is>
      </c>
      <c r="D5138" s="1" t="n">
        <v>45992</v>
      </c>
      <c r="E5138" s="1" t="n">
        <v>46326</v>
      </c>
      <c r="F5138" t="inlineStr">
        <is>
          <t>GÄVLEBORGS LÄN</t>
        </is>
      </c>
      <c r="G5138" t="inlineStr">
        <is>
          <t>HUDIKSVALL</t>
        </is>
      </c>
      <c r="I5138" t="n">
        <v>2</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3748-2026</t>
        </is>
      </c>
      <c r="B5139" t="inlineStr">
        <is>
          <t>avverkningsanmälan</t>
        </is>
      </c>
      <c r="C5139" t="inlineStr">
        <is>
          <t>Föryngringsavverkning</t>
        </is>
      </c>
      <c r="D5139" s="1" t="n">
        <v>46043</v>
      </c>
      <c r="E5139" s="1" t="n">
        <v>46326</v>
      </c>
      <c r="F5139" t="inlineStr">
        <is>
          <t>GÄVLEBORGS LÄN</t>
        </is>
      </c>
      <c r="G5139" t="inlineStr">
        <is>
          <t>NORDANSTIG</t>
        </is>
      </c>
      <c r="I5139" t="n">
        <v>7.9</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12328-2026</t>
        </is>
      </c>
      <c r="B5140" t="inlineStr">
        <is>
          <t>avverkningsanmälan</t>
        </is>
      </c>
      <c r="C5140" t="inlineStr">
        <is>
          <t>Föryngringsavverkning</t>
        </is>
      </c>
      <c r="D5140" s="1" t="n">
        <v>46087</v>
      </c>
      <c r="E5140" s="1" t="n">
        <v>46326</v>
      </c>
      <c r="F5140" t="inlineStr">
        <is>
          <t>GÄVLEBORGS LÄN</t>
        </is>
      </c>
      <c r="G5140" t="inlineStr">
        <is>
          <t>NORDANSTIG</t>
        </is>
      </c>
      <c r="I5140" t="n">
        <v>2</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12378-2026</t>
        </is>
      </c>
      <c r="B5141" t="inlineStr">
        <is>
          <t>avverkningsanmälan</t>
        </is>
      </c>
      <c r="C5141" t="inlineStr">
        <is>
          <t>Föryngringsavverkning</t>
        </is>
      </c>
      <c r="D5141" s="1" t="n">
        <v>46090</v>
      </c>
      <c r="E5141" s="1" t="n">
        <v>46326</v>
      </c>
      <c r="F5141" t="inlineStr">
        <is>
          <t>GÄVLEBORGS LÄN</t>
        </is>
      </c>
      <c r="G5141" t="inlineStr">
        <is>
          <t>BOLLNÄS</t>
        </is>
      </c>
      <c r="H5141" t="inlineStr">
        <is>
          <t>Bergvik skog väst AB</t>
        </is>
      </c>
      <c r="I5141" t="n">
        <v>8.6</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59663-2025</t>
        </is>
      </c>
      <c r="B5142" t="inlineStr">
        <is>
          <t>avverkningsanmälan</t>
        </is>
      </c>
      <c r="C5142" t="inlineStr">
        <is>
          <t>Föryngringsavverkning</t>
        </is>
      </c>
      <c r="D5142" s="1" t="n">
        <v>45992</v>
      </c>
      <c r="E5142" s="1" t="n">
        <v>46326</v>
      </c>
      <c r="F5142" t="inlineStr">
        <is>
          <t>GÄVLEBORGS LÄN</t>
        </is>
      </c>
      <c r="G5142" t="inlineStr">
        <is>
          <t>OVANÅKER</t>
        </is>
      </c>
      <c r="I5142" t="n">
        <v>1.7</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12430-2026</t>
        </is>
      </c>
      <c r="B5143" t="inlineStr">
        <is>
          <t>avverkningsanmälan</t>
        </is>
      </c>
      <c r="C5143" t="inlineStr">
        <is>
          <t>Föryngringsavverkning</t>
        </is>
      </c>
      <c r="D5143" s="1" t="n">
        <v>46090</v>
      </c>
      <c r="E5143" s="1" t="n">
        <v>46326</v>
      </c>
      <c r="F5143" t="inlineStr">
        <is>
          <t>GÄVLEBORGS LÄN</t>
        </is>
      </c>
      <c r="G5143" t="inlineStr">
        <is>
          <t>OVANÅKER</t>
        </is>
      </c>
      <c r="I5143" t="n">
        <v>9.6</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12451-2026</t>
        </is>
      </c>
      <c r="B5144" t="inlineStr">
        <is>
          <t>avverkningsanmälan</t>
        </is>
      </c>
      <c r="C5144" t="inlineStr">
        <is>
          <t>Föryngringsavverkning</t>
        </is>
      </c>
      <c r="D5144" s="1" t="n">
        <v>46090</v>
      </c>
      <c r="E5144" s="1" t="n">
        <v>46326</v>
      </c>
      <c r="F5144" t="inlineStr">
        <is>
          <t>GÄVLEBORGS LÄN</t>
        </is>
      </c>
      <c r="G5144" t="inlineStr">
        <is>
          <t>BOLLNÄS</t>
        </is>
      </c>
      <c r="I5144" t="n">
        <v>1</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5779-2023</t>
        </is>
      </c>
      <c r="B5145" t="inlineStr">
        <is>
          <t>avverkningsanmälan</t>
        </is>
      </c>
      <c r="C5145" t="inlineStr">
        <is>
          <t>Föryngringsavverkning</t>
        </is>
      </c>
      <c r="D5145" s="1" t="n">
        <v>44963</v>
      </c>
      <c r="E5145" s="1" t="n">
        <v>46326</v>
      </c>
      <c r="F5145" t="inlineStr">
        <is>
          <t>GÄVLEBORGS LÄN</t>
        </is>
      </c>
      <c r="G5145" t="inlineStr">
        <is>
          <t>LJUSDAL</t>
        </is>
      </c>
      <c r="I5145" t="n">
        <v>1.3</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12480-2026</t>
        </is>
      </c>
      <c r="B5146" t="inlineStr">
        <is>
          <t>avverkningsanmälan</t>
        </is>
      </c>
      <c r="C5146" t="inlineStr">
        <is>
          <t>Föryngringsavverkning</t>
        </is>
      </c>
      <c r="D5146" s="1" t="n">
        <v>46090</v>
      </c>
      <c r="E5146" s="1" t="n">
        <v>46326</v>
      </c>
      <c r="F5146" t="inlineStr">
        <is>
          <t>GÄVLEBORGS LÄN</t>
        </is>
      </c>
      <c r="G5146" t="inlineStr">
        <is>
          <t>HUDIKSVALL</t>
        </is>
      </c>
      <c r="H5146" t="inlineStr">
        <is>
          <t>Holmen skog AB</t>
        </is>
      </c>
      <c r="I5146" t="n">
        <v>16.3</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23964-2025</t>
        </is>
      </c>
      <c r="B5147" t="inlineStr">
        <is>
          <t>avverkningsanmälan</t>
        </is>
      </c>
      <c r="C5147" t="inlineStr">
        <is>
          <t>Föryngringsavverkning</t>
        </is>
      </c>
      <c r="D5147" s="1" t="n">
        <v>45796</v>
      </c>
      <c r="E5147" s="1" t="n">
        <v>46326</v>
      </c>
      <c r="F5147" t="inlineStr">
        <is>
          <t>GÄVLEBORGS LÄN</t>
        </is>
      </c>
      <c r="G5147" t="inlineStr">
        <is>
          <t>HUDIKSVALL</t>
        </is>
      </c>
      <c r="H5147" t="inlineStr">
        <is>
          <t>Holmen skog AB</t>
        </is>
      </c>
      <c r="I5147" t="n">
        <v>9.5</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60105-2025</t>
        </is>
      </c>
      <c r="B5148" t="inlineStr">
        <is>
          <t>avverkningsanmälan</t>
        </is>
      </c>
      <c r="C5148" t="inlineStr">
        <is>
          <t>Föryngringsavverkning</t>
        </is>
      </c>
      <c r="D5148" s="1" t="n">
        <v>45994</v>
      </c>
      <c r="E5148" s="1" t="n">
        <v>46326</v>
      </c>
      <c r="F5148" t="inlineStr">
        <is>
          <t>GÄVLEBORGS LÄN</t>
        </is>
      </c>
      <c r="G5148" t="inlineStr">
        <is>
          <t>GÄVLE</t>
        </is>
      </c>
      <c r="I5148" t="n">
        <v>3</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60107-2025</t>
        </is>
      </c>
      <c r="B5149" t="inlineStr">
        <is>
          <t>avverkningsanmälan</t>
        </is>
      </c>
      <c r="C5149" t="inlineStr">
        <is>
          <t>Föryngringsavverkning</t>
        </is>
      </c>
      <c r="D5149" s="1" t="n">
        <v>45994</v>
      </c>
      <c r="E5149" s="1" t="n">
        <v>46326</v>
      </c>
      <c r="F5149" t="inlineStr">
        <is>
          <t>GÄVLEBORGS LÄN</t>
        </is>
      </c>
      <c r="G5149" t="inlineStr">
        <is>
          <t>OVANÅKER</t>
        </is>
      </c>
      <c r="I5149" t="n">
        <v>0.7</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51725-2024</t>
        </is>
      </c>
      <c r="B5150" t="inlineStr">
        <is>
          <t>avverkningsanmälan</t>
        </is>
      </c>
      <c r="C5150" t="inlineStr">
        <is>
          <t>Föryngringsavverkning</t>
        </is>
      </c>
      <c r="D5150" s="1" t="n">
        <v>45607</v>
      </c>
      <c r="E5150" s="1" t="n">
        <v>46326</v>
      </c>
      <c r="F5150" t="inlineStr">
        <is>
          <t>GÄVLEBORGS LÄN</t>
        </is>
      </c>
      <c r="G5150" t="inlineStr">
        <is>
          <t>LJUSDAL</t>
        </is>
      </c>
      <c r="I5150" t="n">
        <v>0.8</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58192-2024</t>
        </is>
      </c>
      <c r="B5151" t="inlineStr">
        <is>
          <t>avverkningsanmälan</t>
        </is>
      </c>
      <c r="C5151" t="inlineStr">
        <is>
          <t>Föryngringsavverkning</t>
        </is>
      </c>
      <c r="D5151" s="1" t="n">
        <v>45632</v>
      </c>
      <c r="E5151" s="1" t="n">
        <v>46326</v>
      </c>
      <c r="F5151" t="inlineStr">
        <is>
          <t>GÄVLEBORGS LÄN</t>
        </is>
      </c>
      <c r="G5151" t="inlineStr">
        <is>
          <t>GÄVLE</t>
        </is>
      </c>
      <c r="I5151" t="n">
        <v>4.4</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60352-2025</t>
        </is>
      </c>
      <c r="B5152" t="inlineStr">
        <is>
          <t>avverkningsanmälan</t>
        </is>
      </c>
      <c r="C5152" t="inlineStr">
        <is>
          <t>Föryngringsavverkning</t>
        </is>
      </c>
      <c r="D5152" s="1" t="n">
        <v>45995</v>
      </c>
      <c r="E5152" s="1" t="n">
        <v>46326</v>
      </c>
      <c r="F5152" t="inlineStr">
        <is>
          <t>GÄVLEBORGS LÄN</t>
        </is>
      </c>
      <c r="G5152" t="inlineStr">
        <is>
          <t>LJUSDAL</t>
        </is>
      </c>
      <c r="I5152" t="n">
        <v>2</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60319-2025</t>
        </is>
      </c>
      <c r="B5153" t="inlineStr">
        <is>
          <t>avverkningsanmälan</t>
        </is>
      </c>
      <c r="C5153" t="inlineStr">
        <is>
          <t>Föryngringsavverkning</t>
        </is>
      </c>
      <c r="D5153" s="1" t="n">
        <v>45994</v>
      </c>
      <c r="E5153" s="1" t="n">
        <v>46326</v>
      </c>
      <c r="F5153" t="inlineStr">
        <is>
          <t>GÄVLEBORGS LÄN</t>
        </is>
      </c>
      <c r="G5153" t="inlineStr">
        <is>
          <t>HUDIKSVALL</t>
        </is>
      </c>
      <c r="I5153" t="n">
        <v>1.1</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60364-2025</t>
        </is>
      </c>
      <c r="B5154" t="inlineStr">
        <is>
          <t>avverkningsanmälan</t>
        </is>
      </c>
      <c r="C5154" t="inlineStr">
        <is>
          <t>Föryngringsavverkning</t>
        </is>
      </c>
      <c r="D5154" s="1" t="n">
        <v>45995</v>
      </c>
      <c r="E5154" s="1" t="n">
        <v>46326</v>
      </c>
      <c r="F5154" t="inlineStr">
        <is>
          <t>GÄVLEBORGS LÄN</t>
        </is>
      </c>
      <c r="G5154" t="inlineStr">
        <is>
          <t>GÄVLE</t>
        </is>
      </c>
      <c r="H5154" t="inlineStr">
        <is>
          <t>Bergvik skog öst AB</t>
        </is>
      </c>
      <c r="I5154" t="n">
        <v>0.2</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60106-2025</t>
        </is>
      </c>
      <c r="B5155" t="inlineStr">
        <is>
          <t>avverkningsanmälan</t>
        </is>
      </c>
      <c r="C5155" t="inlineStr">
        <is>
          <t>Föryngringsavverkning</t>
        </is>
      </c>
      <c r="D5155" s="1" t="n">
        <v>45994</v>
      </c>
      <c r="E5155" s="1" t="n">
        <v>46326</v>
      </c>
      <c r="F5155" t="inlineStr">
        <is>
          <t>GÄVLEBORGS LÄN</t>
        </is>
      </c>
      <c r="G5155" t="inlineStr">
        <is>
          <t>OVANÅKER</t>
        </is>
      </c>
      <c r="I5155" t="n">
        <v>3.6</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2915-2025</t>
        </is>
      </c>
      <c r="B5156" t="inlineStr">
        <is>
          <t>avverkningsanmälan</t>
        </is>
      </c>
      <c r="C5156" t="inlineStr">
        <is>
          <t>Föryngringsavverkning</t>
        </is>
      </c>
      <c r="D5156" s="1" t="n">
        <v>45677</v>
      </c>
      <c r="E5156" s="1" t="n">
        <v>46326</v>
      </c>
      <c r="F5156" t="inlineStr">
        <is>
          <t>GÄVLEBORGS LÄN</t>
        </is>
      </c>
      <c r="G5156" t="inlineStr">
        <is>
          <t>HOFORS</t>
        </is>
      </c>
      <c r="I5156" t="n">
        <v>1.9</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60108-2025</t>
        </is>
      </c>
      <c r="B5157" t="inlineStr">
        <is>
          <t>avverkningsanmälan</t>
        </is>
      </c>
      <c r="C5157" t="inlineStr">
        <is>
          <t>Föryngringsavverkning</t>
        </is>
      </c>
      <c r="D5157" s="1" t="n">
        <v>45994</v>
      </c>
      <c r="E5157" s="1" t="n">
        <v>46326</v>
      </c>
      <c r="F5157" t="inlineStr">
        <is>
          <t>GÄVLEBORGS LÄN</t>
        </is>
      </c>
      <c r="G5157" t="inlineStr">
        <is>
          <t>OVANÅKER</t>
        </is>
      </c>
      <c r="I5157" t="n">
        <v>0.6</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12317-2026</t>
        </is>
      </c>
      <c r="B5158" t="inlineStr">
        <is>
          <t>avverkningsanmälan</t>
        </is>
      </c>
      <c r="C5158" t="inlineStr">
        <is>
          <t>Föryngringsavverkning</t>
        </is>
      </c>
      <c r="D5158" s="1" t="n">
        <v>46087</v>
      </c>
      <c r="E5158" s="1" t="n">
        <v>46326</v>
      </c>
      <c r="F5158" t="inlineStr">
        <is>
          <t>GÄVLEBORGS LÄN</t>
        </is>
      </c>
      <c r="G5158" t="inlineStr">
        <is>
          <t>SANDVIKEN</t>
        </is>
      </c>
      <c r="H5158" t="inlineStr">
        <is>
          <t>Bergvik skog öst AB</t>
        </is>
      </c>
      <c r="I5158" t="n">
        <v>27.2</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12426-2026</t>
        </is>
      </c>
      <c r="B5159" t="inlineStr">
        <is>
          <t>avverkningsanmälan</t>
        </is>
      </c>
      <c r="C5159" t="inlineStr">
        <is>
          <t>Föryngringsavverkning</t>
        </is>
      </c>
      <c r="D5159" s="1" t="n">
        <v>46090</v>
      </c>
      <c r="E5159" s="1" t="n">
        <v>46326</v>
      </c>
      <c r="F5159" t="inlineStr">
        <is>
          <t>GÄVLEBORGS LÄN</t>
        </is>
      </c>
      <c r="G5159" t="inlineStr">
        <is>
          <t>SANDVIKEN</t>
        </is>
      </c>
      <c r="I5159" t="n">
        <v>3.1</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60415-2025</t>
        </is>
      </c>
      <c r="B5160" t="inlineStr">
        <is>
          <t>avverkningsanmälan</t>
        </is>
      </c>
      <c r="C5160" t="inlineStr">
        <is>
          <t>Föryngringsavverkning</t>
        </is>
      </c>
      <c r="D5160" s="1" t="n">
        <v>45995</v>
      </c>
      <c r="E5160" s="1" t="n">
        <v>46326</v>
      </c>
      <c r="F5160" t="inlineStr">
        <is>
          <t>GÄVLEBORGS LÄN</t>
        </is>
      </c>
      <c r="G5160" t="inlineStr">
        <is>
          <t>LJUSDAL</t>
        </is>
      </c>
      <c r="H5160" t="inlineStr">
        <is>
          <t>Övriga Aktiebolag</t>
        </is>
      </c>
      <c r="I5160" t="n">
        <v>13</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38079-2024</t>
        </is>
      </c>
      <c r="B5161" t="inlineStr">
        <is>
          <t>avverkningsanmälan</t>
        </is>
      </c>
      <c r="C5161" t="inlineStr">
        <is>
          <t>Föryngringsavverkning</t>
        </is>
      </c>
      <c r="D5161" s="1" t="n">
        <v>45545</v>
      </c>
      <c r="E5161" s="1" t="n">
        <v>46326</v>
      </c>
      <c r="F5161" t="inlineStr">
        <is>
          <t>GÄVLEBORGS LÄN</t>
        </is>
      </c>
      <c r="G5161" t="inlineStr">
        <is>
          <t>SÖDERHAMN</t>
        </is>
      </c>
      <c r="I5161" t="n">
        <v>3.4</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60476-2025</t>
        </is>
      </c>
      <c r="B5162" t="inlineStr">
        <is>
          <t>avverkningsanmälan</t>
        </is>
      </c>
      <c r="C5162" t="inlineStr">
        <is>
          <t>Föryngringsavverkning</t>
        </is>
      </c>
      <c r="D5162" s="1" t="n">
        <v>45995</v>
      </c>
      <c r="E5162" s="1" t="n">
        <v>46326</v>
      </c>
      <c r="F5162" t="inlineStr">
        <is>
          <t>GÄVLEBORGS LÄN</t>
        </is>
      </c>
      <c r="G5162" t="inlineStr">
        <is>
          <t>OVANÅKER</t>
        </is>
      </c>
      <c r="I5162" t="n">
        <v>1</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60527-2025</t>
        </is>
      </c>
      <c r="B5163" t="inlineStr">
        <is>
          <t>avverkningsanmälan</t>
        </is>
      </c>
      <c r="C5163" t="inlineStr">
        <is>
          <t>Föryngringsavverkning</t>
        </is>
      </c>
      <c r="D5163" s="1" t="n">
        <v>45995</v>
      </c>
      <c r="E5163" s="1" t="n">
        <v>46326</v>
      </c>
      <c r="F5163" t="inlineStr">
        <is>
          <t>GÄVLEBORGS LÄN</t>
        </is>
      </c>
      <c r="G5163" t="inlineStr">
        <is>
          <t>OCKELBO</t>
        </is>
      </c>
      <c r="H5163" t="inlineStr">
        <is>
          <t>Bergvik skog väst AB</t>
        </is>
      </c>
      <c r="I5163" t="n">
        <v>4.5</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35164-2023</t>
        </is>
      </c>
      <c r="B5164" t="inlineStr">
        <is>
          <t>avverkningsanmälan</t>
        </is>
      </c>
      <c r="C5164" t="inlineStr">
        <is>
          <t>Föryngringsavverkning</t>
        </is>
      </c>
      <c r="D5164" s="1" t="n">
        <v>45145</v>
      </c>
      <c r="E5164" s="1" t="n">
        <v>46326</v>
      </c>
      <c r="F5164" t="inlineStr">
        <is>
          <t>GÄVLEBORGS LÄN</t>
        </is>
      </c>
      <c r="G5164" t="inlineStr">
        <is>
          <t>HUDIKSVALL</t>
        </is>
      </c>
      <c r="H5164" t="inlineStr">
        <is>
          <t>Holmen skog AB</t>
        </is>
      </c>
      <c r="I5164" t="n">
        <v>8.800000000000001</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60427-2025</t>
        </is>
      </c>
      <c r="B5165" t="inlineStr">
        <is>
          <t>avverkningsanmälan</t>
        </is>
      </c>
      <c r="C5165" t="inlineStr">
        <is>
          <t>Föryngringsavverkning</t>
        </is>
      </c>
      <c r="D5165" s="1" t="n">
        <v>45995</v>
      </c>
      <c r="E5165" s="1" t="n">
        <v>46326</v>
      </c>
      <c r="F5165" t="inlineStr">
        <is>
          <t>GÄVLEBORGS LÄN</t>
        </is>
      </c>
      <c r="G5165" t="inlineStr">
        <is>
          <t>HUDIKSVALL</t>
        </is>
      </c>
      <c r="I5165" t="n">
        <v>11.5</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60379-2025</t>
        </is>
      </c>
      <c r="B5166" t="inlineStr">
        <is>
          <t>avverkningsanmälan</t>
        </is>
      </c>
      <c r="C5166" t="inlineStr">
        <is>
          <t>Föryngringsavverkning</t>
        </is>
      </c>
      <c r="D5166" s="1" t="n">
        <v>45995</v>
      </c>
      <c r="E5166" s="1" t="n">
        <v>46326</v>
      </c>
      <c r="F5166" t="inlineStr">
        <is>
          <t>GÄVLEBORGS LÄN</t>
        </is>
      </c>
      <c r="G5166" t="inlineStr">
        <is>
          <t>OVANÅKER</t>
        </is>
      </c>
      <c r="I5166" t="n">
        <v>0.9</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8486-2024</t>
        </is>
      </c>
      <c r="B5167" t="inlineStr">
        <is>
          <t>avverkningsanmälan</t>
        </is>
      </c>
      <c r="C5167" t="inlineStr">
        <is>
          <t>Föryngringsavverkning</t>
        </is>
      </c>
      <c r="D5167" s="1" t="n">
        <v>45355</v>
      </c>
      <c r="E5167" s="1" t="n">
        <v>46326</v>
      </c>
      <c r="F5167" t="inlineStr">
        <is>
          <t>GÄVLEBORGS LÄN</t>
        </is>
      </c>
      <c r="G5167" t="inlineStr">
        <is>
          <t>HUDIKSVALL</t>
        </is>
      </c>
      <c r="I5167" t="n">
        <v>4.7</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31916-2024</t>
        </is>
      </c>
      <c r="B5168" t="inlineStr">
        <is>
          <t>avverkningsanmälan</t>
        </is>
      </c>
      <c r="C5168" t="inlineStr">
        <is>
          <t>Föryngringsavverkning</t>
        </is>
      </c>
      <c r="D5168" s="1" t="n">
        <v>45510</v>
      </c>
      <c r="E5168" s="1" t="n">
        <v>46326</v>
      </c>
      <c r="F5168" t="inlineStr">
        <is>
          <t>GÄVLEBORGS LÄN</t>
        </is>
      </c>
      <c r="G5168" t="inlineStr">
        <is>
          <t>SÖDERHAMN</t>
        </is>
      </c>
      <c r="H5168" t="inlineStr">
        <is>
          <t>Bergvik skog väst AB</t>
        </is>
      </c>
      <c r="I5168" t="n">
        <v>1.7</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12334-2026</t>
        </is>
      </c>
      <c r="B5169" t="inlineStr">
        <is>
          <t>avverkningsanmälan</t>
        </is>
      </c>
      <c r="C5169" t="inlineStr">
        <is>
          <t>Föryngringsavverkning</t>
        </is>
      </c>
      <c r="D5169" s="1" t="n">
        <v>46087</v>
      </c>
      <c r="E5169" s="1" t="n">
        <v>46326</v>
      </c>
      <c r="F5169" t="inlineStr">
        <is>
          <t>GÄVLEBORGS LÄN</t>
        </is>
      </c>
      <c r="G5169" t="inlineStr">
        <is>
          <t>NORDANSTIG</t>
        </is>
      </c>
      <c r="I5169" t="n">
        <v>1</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23663-2025</t>
        </is>
      </c>
      <c r="B5170" t="inlineStr">
        <is>
          <t>avverkningsanmälan</t>
        </is>
      </c>
      <c r="C5170" t="inlineStr">
        <is>
          <t>Föryngringsavverkning</t>
        </is>
      </c>
      <c r="D5170" s="1" t="n">
        <v>45792</v>
      </c>
      <c r="E5170" s="1" t="n">
        <v>46326</v>
      </c>
      <c r="F5170" t="inlineStr">
        <is>
          <t>GÄVLEBORGS LÄN</t>
        </is>
      </c>
      <c r="G5170" t="inlineStr">
        <is>
          <t>HUDIKSVALL</t>
        </is>
      </c>
      <c r="H5170" t="inlineStr">
        <is>
          <t>Holmen skog AB</t>
        </is>
      </c>
      <c r="I5170" t="n">
        <v>24.7</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60372-2025</t>
        </is>
      </c>
      <c r="B5171" t="inlineStr">
        <is>
          <t>avverkningsanmälan</t>
        </is>
      </c>
      <c r="C5171" t="inlineStr">
        <is>
          <t>Föryngringsavverkning</t>
        </is>
      </c>
      <c r="D5171" s="1" t="n">
        <v>45995</v>
      </c>
      <c r="E5171" s="1" t="n">
        <v>46326</v>
      </c>
      <c r="F5171" t="inlineStr">
        <is>
          <t>GÄVLEBORGS LÄN</t>
        </is>
      </c>
      <c r="G5171" t="inlineStr">
        <is>
          <t>NORDANSTIG</t>
        </is>
      </c>
      <c r="I5171" t="n">
        <v>0.8</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60487-2025</t>
        </is>
      </c>
      <c r="B5172" t="inlineStr">
        <is>
          <t>avverkningsanmälan</t>
        </is>
      </c>
      <c r="C5172" t="inlineStr">
        <is>
          <t>Föryngringsavverkning</t>
        </is>
      </c>
      <c r="D5172" s="1" t="n">
        <v>45995</v>
      </c>
      <c r="E5172" s="1" t="n">
        <v>46326</v>
      </c>
      <c r="F5172" t="inlineStr">
        <is>
          <t>GÄVLEBORGS LÄN</t>
        </is>
      </c>
      <c r="G5172" t="inlineStr">
        <is>
          <t>OCKELBO</t>
        </is>
      </c>
      <c r="H5172" t="inlineStr">
        <is>
          <t>Bergvik skog väst AB</t>
        </is>
      </c>
      <c r="I5172" t="n">
        <v>1.4</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4154-2026</t>
        </is>
      </c>
      <c r="B5173" t="inlineStr">
        <is>
          <t>avverkningsanmälan</t>
        </is>
      </c>
      <c r="C5173" t="inlineStr">
        <is>
          <t>Föryngringsavverkning</t>
        </is>
      </c>
      <c r="D5173" s="1" t="n">
        <v>46044</v>
      </c>
      <c r="E5173" s="1" t="n">
        <v>46326</v>
      </c>
      <c r="F5173" t="inlineStr">
        <is>
          <t>GÄVLEBORGS LÄN</t>
        </is>
      </c>
      <c r="G5173" t="inlineStr">
        <is>
          <t>HUDIKSVALL</t>
        </is>
      </c>
      <c r="I5173" t="n">
        <v>2.2</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12370-2026</t>
        </is>
      </c>
      <c r="B5174" t="inlineStr">
        <is>
          <t>avverkningsanmälan</t>
        </is>
      </c>
      <c r="C5174" t="inlineStr">
        <is>
          <t>Föryngringsavverkning</t>
        </is>
      </c>
      <c r="D5174" s="1" t="n">
        <v>46089</v>
      </c>
      <c r="E5174" s="1" t="n">
        <v>46326</v>
      </c>
      <c r="F5174" t="inlineStr">
        <is>
          <t>GÄVLEBORGS LÄN</t>
        </is>
      </c>
      <c r="G5174" t="inlineStr">
        <is>
          <t>OCKELBO</t>
        </is>
      </c>
      <c r="H5174" t="inlineStr">
        <is>
          <t>Bergvik skog väst AB</t>
        </is>
      </c>
      <c r="I5174" t="n">
        <v>29.9</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22042-2023</t>
        </is>
      </c>
      <c r="B5175" t="inlineStr">
        <is>
          <t>avverkningsanmälan</t>
        </is>
      </c>
      <c r="C5175" t="inlineStr">
        <is>
          <t>Föryngringsavverkning</t>
        </is>
      </c>
      <c r="D5175" s="1" t="n">
        <v>45069</v>
      </c>
      <c r="E5175" s="1" t="n">
        <v>46326</v>
      </c>
      <c r="F5175" t="inlineStr">
        <is>
          <t>GÄVLEBORGS LÄN</t>
        </is>
      </c>
      <c r="G5175" t="inlineStr">
        <is>
          <t>SANDVIKEN</t>
        </is>
      </c>
      <c r="I5175" t="n">
        <v>0.6</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34668-2024</t>
        </is>
      </c>
      <c r="B5176" t="inlineStr">
        <is>
          <t>avverkningsanmälan</t>
        </is>
      </c>
      <c r="C5176" t="inlineStr">
        <is>
          <t>Föryngringsavverkning</t>
        </is>
      </c>
      <c r="D5176" s="1" t="n">
        <v>45526</v>
      </c>
      <c r="E5176" s="1" t="n">
        <v>46326</v>
      </c>
      <c r="F5176" t="inlineStr">
        <is>
          <t>GÄVLEBORGS LÄN</t>
        </is>
      </c>
      <c r="G5176" t="inlineStr">
        <is>
          <t>GÄVLE</t>
        </is>
      </c>
      <c r="H5176" t="inlineStr">
        <is>
          <t>Bergvik skog väst AB</t>
        </is>
      </c>
      <c r="I5176" t="n">
        <v>0.4</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55217-2025</t>
        </is>
      </c>
      <c r="B5177" t="inlineStr">
        <is>
          <t>avverkningsanmälan</t>
        </is>
      </c>
      <c r="C5177" t="inlineStr">
        <is>
          <t>Föryngringsavverkning</t>
        </is>
      </c>
      <c r="D5177" s="1" t="n">
        <v>45968</v>
      </c>
      <c r="E5177" s="1" t="n">
        <v>46326</v>
      </c>
      <c r="F5177" t="inlineStr">
        <is>
          <t>GÄVLEBORGS LÄN</t>
        </is>
      </c>
      <c r="G5177" t="inlineStr">
        <is>
          <t>GÄVLE</t>
        </is>
      </c>
      <c r="I5177" t="n">
        <v>2.4</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16750-2025</t>
        </is>
      </c>
      <c r="B5178" t="inlineStr">
        <is>
          <t>avverkningsanmälan</t>
        </is>
      </c>
      <c r="C5178" t="inlineStr">
        <is>
          <t>Föryngringsavverkning</t>
        </is>
      </c>
      <c r="D5178" s="1" t="n">
        <v>45754</v>
      </c>
      <c r="E5178" s="1" t="n">
        <v>46326</v>
      </c>
      <c r="F5178" t="inlineStr">
        <is>
          <t>GÄVLEBORGS LÄN</t>
        </is>
      </c>
      <c r="G5178" t="inlineStr">
        <is>
          <t>SÖDERHAMN</t>
        </is>
      </c>
      <c r="I5178" t="n">
        <v>1.3</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60183-2025</t>
        </is>
      </c>
      <c r="B5179" t="inlineStr">
        <is>
          <t>avverkningsanmälan</t>
        </is>
      </c>
      <c r="C5179" t="inlineStr">
        <is>
          <t>Avverkning för annat ändamål</t>
        </is>
      </c>
      <c r="D5179" s="1" t="n">
        <v>45994</v>
      </c>
      <c r="E5179" s="1" t="n">
        <v>46326</v>
      </c>
      <c r="F5179" t="inlineStr">
        <is>
          <t>GÄVLEBORGS LÄN</t>
        </is>
      </c>
      <c r="G5179" t="inlineStr">
        <is>
          <t>OCKELBO</t>
        </is>
      </c>
      <c r="H5179" t="inlineStr">
        <is>
          <t>Bergvik skog väst AB</t>
        </is>
      </c>
      <c r="I5179" t="n">
        <v>2.5</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32980-2023</t>
        </is>
      </c>
      <c r="B5180" t="inlineStr">
        <is>
          <t>avverkningsanmälan</t>
        </is>
      </c>
      <c r="C5180" t="inlineStr">
        <is>
          <t>Föryngringsavverkning</t>
        </is>
      </c>
      <c r="D5180" s="1" t="n">
        <v>45125</v>
      </c>
      <c r="E5180" s="1" t="n">
        <v>46326</v>
      </c>
      <c r="F5180" t="inlineStr">
        <is>
          <t>GÄVLEBORGS LÄN</t>
        </is>
      </c>
      <c r="G5180" t="inlineStr">
        <is>
          <t>HOFORS</t>
        </is>
      </c>
      <c r="I5180" t="n">
        <v>0.7</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60419-2025</t>
        </is>
      </c>
      <c r="B5181" t="inlineStr">
        <is>
          <t>avverkningsanmälan</t>
        </is>
      </c>
      <c r="C5181" t="inlineStr">
        <is>
          <t>Föryngringsavverkning</t>
        </is>
      </c>
      <c r="D5181" s="1" t="n">
        <v>45995</v>
      </c>
      <c r="E5181" s="1" t="n">
        <v>46326</v>
      </c>
      <c r="F5181" t="inlineStr">
        <is>
          <t>GÄVLEBORGS LÄN</t>
        </is>
      </c>
      <c r="G5181" t="inlineStr">
        <is>
          <t>LJUSDAL</t>
        </is>
      </c>
      <c r="I5181" t="n">
        <v>0.7</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1037-2025</t>
        </is>
      </c>
      <c r="B5182" t="inlineStr">
        <is>
          <t>avverkningsanmälan</t>
        </is>
      </c>
      <c r="C5182" t="inlineStr">
        <is>
          <t>Föryngringsavverkning</t>
        </is>
      </c>
      <c r="D5182" s="1" t="n">
        <v>45666</v>
      </c>
      <c r="E5182" s="1" t="n">
        <v>46326</v>
      </c>
      <c r="F5182" t="inlineStr">
        <is>
          <t>GÄVLEBORGS LÄN</t>
        </is>
      </c>
      <c r="G5182" t="inlineStr">
        <is>
          <t>SANDVIKEN</t>
        </is>
      </c>
      <c r="I5182" t="n">
        <v>6</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1062-2025</t>
        </is>
      </c>
      <c r="B5183" t="inlineStr">
        <is>
          <t>avverkningsanmälan</t>
        </is>
      </c>
      <c r="C5183" t="inlineStr">
        <is>
          <t>Föryngringsavverkning</t>
        </is>
      </c>
      <c r="D5183" s="1" t="n">
        <v>45666</v>
      </c>
      <c r="E5183" s="1" t="n">
        <v>46326</v>
      </c>
      <c r="F5183" t="inlineStr">
        <is>
          <t>GÄVLEBORGS LÄN</t>
        </is>
      </c>
      <c r="G5183" t="inlineStr">
        <is>
          <t>GÄVLE</t>
        </is>
      </c>
      <c r="I5183" t="n">
        <v>0.5</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12458-2026</t>
        </is>
      </c>
      <c r="B5184" t="inlineStr">
        <is>
          <t>avverkningsanmälan</t>
        </is>
      </c>
      <c r="C5184" t="inlineStr">
        <is>
          <t>Föryngringsavverkning</t>
        </is>
      </c>
      <c r="D5184" s="1" t="n">
        <v>46090</v>
      </c>
      <c r="E5184" s="1" t="n">
        <v>46326</v>
      </c>
      <c r="F5184" t="inlineStr">
        <is>
          <t>GÄVLEBORGS LÄN</t>
        </is>
      </c>
      <c r="G5184" t="inlineStr">
        <is>
          <t>NORDANSTIG</t>
        </is>
      </c>
      <c r="I5184" t="n">
        <v>2.4</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21263-2024</t>
        </is>
      </c>
      <c r="B5185" t="inlineStr">
        <is>
          <t>avverkningsanmälan</t>
        </is>
      </c>
      <c r="C5185" t="inlineStr">
        <is>
          <t>Föryngringsavverkning</t>
        </is>
      </c>
      <c r="D5185" s="1" t="n">
        <v>45440</v>
      </c>
      <c r="E5185" s="1" t="n">
        <v>46326</v>
      </c>
      <c r="F5185" t="inlineStr">
        <is>
          <t>GÄVLEBORGS LÄN</t>
        </is>
      </c>
      <c r="G5185" t="inlineStr">
        <is>
          <t>OVANÅKER</t>
        </is>
      </c>
      <c r="I5185" t="n">
        <v>2.9</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6099-2023</t>
        </is>
      </c>
      <c r="B5186" t="inlineStr">
        <is>
          <t>avverkningsanmälan</t>
        </is>
      </c>
      <c r="C5186" t="inlineStr">
        <is>
          <t>Föryngringsavverkning</t>
        </is>
      </c>
      <c r="D5186" s="1" t="n">
        <v>44964</v>
      </c>
      <c r="E5186" s="1" t="n">
        <v>46326</v>
      </c>
      <c r="F5186" t="inlineStr">
        <is>
          <t>GÄVLEBORGS LÄN</t>
        </is>
      </c>
      <c r="G5186" t="inlineStr">
        <is>
          <t>NORDANSTIG</t>
        </is>
      </c>
      <c r="H5186" t="inlineStr">
        <is>
          <t>Holmen skog AB</t>
        </is>
      </c>
      <c r="I5186" t="n">
        <v>8.199999999999999</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60431-2025</t>
        </is>
      </c>
      <c r="B5187" t="inlineStr">
        <is>
          <t>avverkningsanmälan</t>
        </is>
      </c>
      <c r="C5187" t="inlineStr">
        <is>
          <t>Föryngringsavverkning</t>
        </is>
      </c>
      <c r="D5187" s="1" t="n">
        <v>45995</v>
      </c>
      <c r="E5187" s="1" t="n">
        <v>46326</v>
      </c>
      <c r="F5187" t="inlineStr">
        <is>
          <t>GÄVLEBORGS LÄN</t>
        </is>
      </c>
      <c r="G5187" t="inlineStr">
        <is>
          <t>HUDIKSVALL</t>
        </is>
      </c>
      <c r="I5187" t="n">
        <v>6</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12538-2026</t>
        </is>
      </c>
      <c r="B5188" t="inlineStr">
        <is>
          <t>avverkningsanmälan</t>
        </is>
      </c>
      <c r="C5188" t="inlineStr">
        <is>
          <t>Föryngringsavverkning</t>
        </is>
      </c>
      <c r="D5188" s="1" t="n">
        <v>46090</v>
      </c>
      <c r="E5188" s="1" t="n">
        <v>46326</v>
      </c>
      <c r="F5188" t="inlineStr">
        <is>
          <t>GÄVLEBORGS LÄN</t>
        </is>
      </c>
      <c r="G5188" t="inlineStr">
        <is>
          <t>HUDIKSVALL</t>
        </is>
      </c>
      <c r="H5188" t="inlineStr">
        <is>
          <t>Holmen skog AB</t>
        </is>
      </c>
      <c r="I5188" t="n">
        <v>0.8</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12552-2026</t>
        </is>
      </c>
      <c r="B5189" t="inlineStr">
        <is>
          <t>avverkningsanmälan</t>
        </is>
      </c>
      <c r="C5189" t="inlineStr">
        <is>
          <t>Föryngringsavverkning</t>
        </is>
      </c>
      <c r="D5189" s="1" t="n">
        <v>46090</v>
      </c>
      <c r="E5189" s="1" t="n">
        <v>46326</v>
      </c>
      <c r="F5189" t="inlineStr">
        <is>
          <t>GÄVLEBORGS LÄN</t>
        </is>
      </c>
      <c r="G5189" t="inlineStr">
        <is>
          <t>NORDANSTIG</t>
        </is>
      </c>
      <c r="I5189" t="n">
        <v>2.3</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12252-2026</t>
        </is>
      </c>
      <c r="B5190" t="inlineStr">
        <is>
          <t>avverkningsanmälan</t>
        </is>
      </c>
      <c r="C5190" t="inlineStr">
        <is>
          <t>Föryngringsavverkning</t>
        </is>
      </c>
      <c r="D5190" s="1" t="n">
        <v>46087</v>
      </c>
      <c r="E5190" s="1" t="n">
        <v>46326</v>
      </c>
      <c r="F5190" t="inlineStr">
        <is>
          <t>GÄVLEBORGS LÄN</t>
        </is>
      </c>
      <c r="G5190" t="inlineStr">
        <is>
          <t>HUDIKSVALL</t>
        </is>
      </c>
      <c r="I5190" t="n">
        <v>0.7</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12454-2026</t>
        </is>
      </c>
      <c r="B5191" t="inlineStr">
        <is>
          <t>avverkningsanmälan</t>
        </is>
      </c>
      <c r="C5191" t="inlineStr">
        <is>
          <t>Föryngringsavverkning</t>
        </is>
      </c>
      <c r="D5191" s="1" t="n">
        <v>46090</v>
      </c>
      <c r="E5191" s="1" t="n">
        <v>46326</v>
      </c>
      <c r="F5191" t="inlineStr">
        <is>
          <t>GÄVLEBORGS LÄN</t>
        </is>
      </c>
      <c r="G5191" t="inlineStr">
        <is>
          <t>BOLLNÄS</t>
        </is>
      </c>
      <c r="H5191" t="inlineStr">
        <is>
          <t>Bergvik skog väst AB</t>
        </is>
      </c>
      <c r="I5191" t="n">
        <v>0.6</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17322-2022</t>
        </is>
      </c>
      <c r="B5192" t="inlineStr">
        <is>
          <t>avverkningsanmälan</t>
        </is>
      </c>
      <c r="C5192" t="inlineStr">
        <is>
          <t>Föryngringsavverkning</t>
        </is>
      </c>
      <c r="D5192" s="1" t="n">
        <v>44678</v>
      </c>
      <c r="E5192" s="1" t="n">
        <v>46326</v>
      </c>
      <c r="F5192" t="inlineStr">
        <is>
          <t>GÄVLEBORGS LÄN</t>
        </is>
      </c>
      <c r="G5192" t="inlineStr">
        <is>
          <t>HUDIKSVALL</t>
        </is>
      </c>
      <c r="H5192" t="inlineStr">
        <is>
          <t>Holmen skog AB</t>
        </is>
      </c>
      <c r="I5192" t="n">
        <v>5.3</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60121-2025</t>
        </is>
      </c>
      <c r="B5193" t="inlineStr">
        <is>
          <t>avverkningsanmälan</t>
        </is>
      </c>
      <c r="C5193" t="inlineStr">
        <is>
          <t>Föryngringsavverkning</t>
        </is>
      </c>
      <c r="D5193" s="1" t="n">
        <v>45994</v>
      </c>
      <c r="E5193" s="1" t="n">
        <v>46326</v>
      </c>
      <c r="F5193" t="inlineStr">
        <is>
          <t>GÄVLEBORGS LÄN</t>
        </is>
      </c>
      <c r="G5193" t="inlineStr">
        <is>
          <t>OVANÅKER</t>
        </is>
      </c>
      <c r="I5193" t="n">
        <v>0.9</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14850-2024</t>
        </is>
      </c>
      <c r="B5194" t="inlineStr">
        <is>
          <t>avverkningsanmälan</t>
        </is>
      </c>
      <c r="C5194" t="inlineStr">
        <is>
          <t>Föryngringsavverkning</t>
        </is>
      </c>
      <c r="D5194" s="1" t="n">
        <v>45398</v>
      </c>
      <c r="E5194" s="1" t="n">
        <v>46326</v>
      </c>
      <c r="F5194" t="inlineStr">
        <is>
          <t>GÄVLEBORGS LÄN</t>
        </is>
      </c>
      <c r="G5194" t="inlineStr">
        <is>
          <t>SÖDERHAMN</t>
        </is>
      </c>
      <c r="I5194" t="n">
        <v>1.1</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14863-2024</t>
        </is>
      </c>
      <c r="B5195" t="inlineStr">
        <is>
          <t>avverkningsanmälan</t>
        </is>
      </c>
      <c r="C5195" t="inlineStr">
        <is>
          <t>Föryngringsavverkning</t>
        </is>
      </c>
      <c r="D5195" s="1" t="n">
        <v>45398</v>
      </c>
      <c r="E5195" s="1" t="n">
        <v>46326</v>
      </c>
      <c r="F5195" t="inlineStr">
        <is>
          <t>GÄVLEBORGS LÄN</t>
        </is>
      </c>
      <c r="G5195" t="inlineStr">
        <is>
          <t>HUDIKSVALL</t>
        </is>
      </c>
      <c r="H5195" t="inlineStr">
        <is>
          <t>Holmen skog AB</t>
        </is>
      </c>
      <c r="I5195" t="n">
        <v>2.9</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45551-2024</t>
        </is>
      </c>
      <c r="B5196" t="inlineStr">
        <is>
          <t>avverkningsanmälan</t>
        </is>
      </c>
      <c r="C5196" t="inlineStr">
        <is>
          <t>Föryngringsavverkning</t>
        </is>
      </c>
      <c r="D5196" s="1" t="n">
        <v>45579</v>
      </c>
      <c r="E5196" s="1" t="n">
        <v>46326</v>
      </c>
      <c r="F5196" t="inlineStr">
        <is>
          <t>GÄVLEBORGS LÄN</t>
        </is>
      </c>
      <c r="G5196" t="inlineStr">
        <is>
          <t>NORDANSTIG</t>
        </is>
      </c>
      <c r="I5196" t="n">
        <v>1.4</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60299-2025</t>
        </is>
      </c>
      <c r="B5197" t="inlineStr">
        <is>
          <t>avverkningsanmälan</t>
        </is>
      </c>
      <c r="C5197" t="inlineStr">
        <is>
          <t>Föryngringsavverkning</t>
        </is>
      </c>
      <c r="D5197" s="1" t="n">
        <v>45994</v>
      </c>
      <c r="E5197" s="1" t="n">
        <v>46326</v>
      </c>
      <c r="F5197" t="inlineStr">
        <is>
          <t>GÄVLEBORGS LÄN</t>
        </is>
      </c>
      <c r="G5197" t="inlineStr">
        <is>
          <t>NORDANSTIG</t>
        </is>
      </c>
      <c r="I5197" t="n">
        <v>2.6</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60536-2025</t>
        </is>
      </c>
      <c r="B5198" t="inlineStr">
        <is>
          <t>avverkningsanmälan</t>
        </is>
      </c>
      <c r="C5198" t="inlineStr">
        <is>
          <t>Föryngringsavverkning</t>
        </is>
      </c>
      <c r="D5198" s="1" t="n">
        <v>45995</v>
      </c>
      <c r="E5198" s="1" t="n">
        <v>46326</v>
      </c>
      <c r="F5198" t="inlineStr">
        <is>
          <t>GÄVLEBORGS LÄN</t>
        </is>
      </c>
      <c r="G5198" t="inlineStr">
        <is>
          <t>GÄVLE</t>
        </is>
      </c>
      <c r="I5198" t="n">
        <v>3.6</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16980-2025</t>
        </is>
      </c>
      <c r="B5199" t="inlineStr">
        <is>
          <t>avverkningsanmälan</t>
        </is>
      </c>
      <c r="C5199" t="inlineStr">
        <is>
          <t>Föryngringsavverkning</t>
        </is>
      </c>
      <c r="D5199" s="1" t="n">
        <v>45755</v>
      </c>
      <c r="E5199" s="1" t="n">
        <v>46326</v>
      </c>
      <c r="F5199" t="inlineStr">
        <is>
          <t>GÄVLEBORGS LÄN</t>
        </is>
      </c>
      <c r="G5199" t="inlineStr">
        <is>
          <t>SANDVIKEN</t>
        </is>
      </c>
      <c r="I5199" t="n">
        <v>0.7</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12541-2026</t>
        </is>
      </c>
      <c r="B5200" t="inlineStr">
        <is>
          <t>avverkningsanmälan</t>
        </is>
      </c>
      <c r="C5200" t="inlineStr">
        <is>
          <t>Föryngringsavverkning</t>
        </is>
      </c>
      <c r="D5200" s="1" t="n">
        <v>46090</v>
      </c>
      <c r="E5200" s="1" t="n">
        <v>46326</v>
      </c>
      <c r="F5200" t="inlineStr">
        <is>
          <t>GÄVLEBORGS LÄN</t>
        </is>
      </c>
      <c r="G5200" t="inlineStr">
        <is>
          <t>HUDIKSVALL</t>
        </is>
      </c>
      <c r="H5200" t="inlineStr">
        <is>
          <t>Kyrkan</t>
        </is>
      </c>
      <c r="I5200" t="n">
        <v>6</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60453-2025</t>
        </is>
      </c>
      <c r="B5201" t="inlineStr">
        <is>
          <t>avverkningsanmälan</t>
        </is>
      </c>
      <c r="C5201" t="inlineStr">
        <is>
          <t>Föryngringsavverkning</t>
        </is>
      </c>
      <c r="D5201" s="1" t="n">
        <v>45995</v>
      </c>
      <c r="E5201" s="1" t="n">
        <v>46326</v>
      </c>
      <c r="F5201" t="inlineStr">
        <is>
          <t>GÄVLEBORGS LÄN</t>
        </is>
      </c>
      <c r="G5201" t="inlineStr">
        <is>
          <t>SÖDERHAMN</t>
        </is>
      </c>
      <c r="I5201" t="n">
        <v>14.1</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18486-2022</t>
        </is>
      </c>
      <c r="B5202" t="inlineStr">
        <is>
          <t>avverkningsanmälan</t>
        </is>
      </c>
      <c r="C5202" t="inlineStr">
        <is>
          <t>Föryngringsavverkning</t>
        </is>
      </c>
      <c r="D5202" s="1" t="n">
        <v>44686</v>
      </c>
      <c r="E5202" s="1" t="n">
        <v>46326</v>
      </c>
      <c r="F5202" t="inlineStr">
        <is>
          <t>GÄVLEBORGS LÄN</t>
        </is>
      </c>
      <c r="G5202" t="inlineStr">
        <is>
          <t>BOLLNÄS</t>
        </is>
      </c>
      <c r="I5202" t="n">
        <v>1.2</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60366-2025</t>
        </is>
      </c>
      <c r="B5203" t="inlineStr">
        <is>
          <t>avverkningsanmälan</t>
        </is>
      </c>
      <c r="C5203" t="inlineStr">
        <is>
          <t>Föryngringsavverkning</t>
        </is>
      </c>
      <c r="D5203" s="1" t="n">
        <v>45995</v>
      </c>
      <c r="E5203" s="1" t="n">
        <v>46326</v>
      </c>
      <c r="F5203" t="inlineStr">
        <is>
          <t>GÄVLEBORGS LÄN</t>
        </is>
      </c>
      <c r="G5203" t="inlineStr">
        <is>
          <t>HUDIKSVALL</t>
        </is>
      </c>
      <c r="I5203" t="n">
        <v>4.2</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12768-2025</t>
        </is>
      </c>
      <c r="B5204" t="inlineStr">
        <is>
          <t>avverkningsanmälan</t>
        </is>
      </c>
      <c r="C5204" t="inlineStr">
        <is>
          <t>Föryngringsavverkning</t>
        </is>
      </c>
      <c r="D5204" s="1" t="n">
        <v>45733</v>
      </c>
      <c r="E5204" s="1" t="n">
        <v>46326</v>
      </c>
      <c r="F5204" t="inlineStr">
        <is>
          <t>GÄVLEBORGS LÄN</t>
        </is>
      </c>
      <c r="G5204" t="inlineStr">
        <is>
          <t>LJUSDAL</t>
        </is>
      </c>
      <c r="I5204" t="n">
        <v>5.4</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60679-2025</t>
        </is>
      </c>
      <c r="B5205" t="inlineStr">
        <is>
          <t>avverkningsanmälan</t>
        </is>
      </c>
      <c r="C5205" t="inlineStr">
        <is>
          <t>Avverkning för annat ändamål</t>
        </is>
      </c>
      <c r="D5205" s="1" t="n">
        <v>45996</v>
      </c>
      <c r="E5205" s="1" t="n">
        <v>46326</v>
      </c>
      <c r="F5205" t="inlineStr">
        <is>
          <t>GÄVLEBORGS LÄN</t>
        </is>
      </c>
      <c r="G5205" t="inlineStr">
        <is>
          <t>LJUSDAL</t>
        </is>
      </c>
      <c r="H5205" t="inlineStr">
        <is>
          <t>Bergvik skog väst AB</t>
        </is>
      </c>
      <c r="I5205" t="n">
        <v>2.5</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60757-2025</t>
        </is>
      </c>
      <c r="B5206" t="inlineStr">
        <is>
          <t>avverkningsanmälan</t>
        </is>
      </c>
      <c r="C5206" t="inlineStr">
        <is>
          <t>Avverkning för annat ändamål</t>
        </is>
      </c>
      <c r="D5206" s="1" t="n">
        <v>45999</v>
      </c>
      <c r="E5206" s="1" t="n">
        <v>46326</v>
      </c>
      <c r="F5206" t="inlineStr">
        <is>
          <t>GÄVLEBORGS LÄN</t>
        </is>
      </c>
      <c r="G5206" t="inlineStr">
        <is>
          <t>BOLLNÄS</t>
        </is>
      </c>
      <c r="H5206" t="inlineStr">
        <is>
          <t>Bergvik skog väst AB</t>
        </is>
      </c>
      <c r="I5206" t="n">
        <v>1.3</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12204-2026</t>
        </is>
      </c>
      <c r="B5207" t="inlineStr">
        <is>
          <t>avverkningsanmälan</t>
        </is>
      </c>
      <c r="C5207" t="inlineStr">
        <is>
          <t>Föryngringsavverkning</t>
        </is>
      </c>
      <c r="D5207" s="1" t="n">
        <v>46087</v>
      </c>
      <c r="E5207" s="1" t="n">
        <v>46326</v>
      </c>
      <c r="F5207" t="inlineStr">
        <is>
          <t>GÄVLEBORGS LÄN</t>
        </is>
      </c>
      <c r="G5207" t="inlineStr">
        <is>
          <t>SÖDERHAMN</t>
        </is>
      </c>
      <c r="I5207" t="n">
        <v>2.6</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12449-2026</t>
        </is>
      </c>
      <c r="B5208" t="inlineStr">
        <is>
          <t>avverkningsanmälan</t>
        </is>
      </c>
      <c r="C5208" t="inlineStr">
        <is>
          <t>Föryngringsavverkning</t>
        </is>
      </c>
      <c r="D5208" s="1" t="n">
        <v>46090</v>
      </c>
      <c r="E5208" s="1" t="n">
        <v>46326</v>
      </c>
      <c r="F5208" t="inlineStr">
        <is>
          <t>GÄVLEBORGS LÄN</t>
        </is>
      </c>
      <c r="G5208" t="inlineStr">
        <is>
          <t>BOLLNÄS</t>
        </is>
      </c>
      <c r="I5208" t="n">
        <v>1.1</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12220-2026</t>
        </is>
      </c>
      <c r="B5209" t="inlineStr">
        <is>
          <t>avverkningsanmälan</t>
        </is>
      </c>
      <c r="C5209" t="inlineStr">
        <is>
          <t>Föryngringsavverkning</t>
        </is>
      </c>
      <c r="D5209" s="1" t="n">
        <v>46087</v>
      </c>
      <c r="E5209" s="1" t="n">
        <v>46326</v>
      </c>
      <c r="F5209" t="inlineStr">
        <is>
          <t>GÄVLEBORGS LÄN</t>
        </is>
      </c>
      <c r="G5209" t="inlineStr">
        <is>
          <t>BOLLNÄS</t>
        </is>
      </c>
      <c r="I5209" t="n">
        <v>3.3</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12856-2026</t>
        </is>
      </c>
      <c r="B5210" t="inlineStr">
        <is>
          <t>avverkningsanmälan</t>
        </is>
      </c>
      <c r="C5210" t="inlineStr">
        <is>
          <t>Föryngringsavverkning</t>
        </is>
      </c>
      <c r="D5210" s="1" t="n">
        <v>46092</v>
      </c>
      <c r="E5210" s="1" t="n">
        <v>46326</v>
      </c>
      <c r="F5210" t="inlineStr">
        <is>
          <t>GÄVLEBORGS LÄN</t>
        </is>
      </c>
      <c r="G5210" t="inlineStr">
        <is>
          <t>LJUSDAL</t>
        </is>
      </c>
      <c r="H5210" t="inlineStr">
        <is>
          <t>Holmen skog AB</t>
        </is>
      </c>
      <c r="I5210" t="n">
        <v>16.3</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12864-2026</t>
        </is>
      </c>
      <c r="B5211" t="inlineStr">
        <is>
          <t>avverkningsanmälan</t>
        </is>
      </c>
      <c r="C5211" t="inlineStr">
        <is>
          <t>Föryngringsavverkning</t>
        </is>
      </c>
      <c r="D5211" s="1" t="n">
        <v>46092</v>
      </c>
      <c r="E5211" s="1" t="n">
        <v>46326</v>
      </c>
      <c r="F5211" t="inlineStr">
        <is>
          <t>GÄVLEBORGS LÄN</t>
        </is>
      </c>
      <c r="G5211" t="inlineStr">
        <is>
          <t>LJUSDAL</t>
        </is>
      </c>
      <c r="H5211" t="inlineStr">
        <is>
          <t>Holmen skog AB</t>
        </is>
      </c>
      <c r="I5211" t="n">
        <v>8.800000000000001</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20689-2024</t>
        </is>
      </c>
      <c r="B5212" t="inlineStr">
        <is>
          <t>avverkningsanmälan</t>
        </is>
      </c>
      <c r="C5212" t="inlineStr">
        <is>
          <t>Avverkning för annat ändamål</t>
        </is>
      </c>
      <c r="D5212" s="1" t="n">
        <v>45436</v>
      </c>
      <c r="E5212" s="1" t="n">
        <v>46326</v>
      </c>
      <c r="F5212" t="inlineStr">
        <is>
          <t>GÄVLEBORGS LÄN</t>
        </is>
      </c>
      <c r="G5212" t="inlineStr">
        <is>
          <t>GÄVLE</t>
        </is>
      </c>
      <c r="I5212" t="n">
        <v>0.2</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12891-2026</t>
        </is>
      </c>
      <c r="B5213" t="inlineStr">
        <is>
          <t>avverkningsanmälan</t>
        </is>
      </c>
      <c r="C5213" t="inlineStr">
        <is>
          <t>Föryngringsavverkning</t>
        </is>
      </c>
      <c r="D5213" s="1" t="n">
        <v>46092</v>
      </c>
      <c r="E5213" s="1" t="n">
        <v>46326</v>
      </c>
      <c r="F5213" t="inlineStr">
        <is>
          <t>GÄVLEBORGS LÄN</t>
        </is>
      </c>
      <c r="G5213" t="inlineStr">
        <is>
          <t>SANDVIKEN</t>
        </is>
      </c>
      <c r="H5213" t="inlineStr">
        <is>
          <t>Naturvårdsverket</t>
        </is>
      </c>
      <c r="I5213" t="n">
        <v>0.8</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12894-2026</t>
        </is>
      </c>
      <c r="B5214" t="inlineStr">
        <is>
          <t>avverkningsanmälan</t>
        </is>
      </c>
      <c r="C5214" t="inlineStr">
        <is>
          <t>Föryngringsavverkning</t>
        </is>
      </c>
      <c r="D5214" s="1" t="n">
        <v>46092</v>
      </c>
      <c r="E5214" s="1" t="n">
        <v>46326</v>
      </c>
      <c r="F5214" t="inlineStr">
        <is>
          <t>GÄVLEBORGS LÄN</t>
        </is>
      </c>
      <c r="G5214" t="inlineStr">
        <is>
          <t>HUDIKSVALL</t>
        </is>
      </c>
      <c r="I5214" t="n">
        <v>0.5</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16629-2025</t>
        </is>
      </c>
      <c r="B5215" t="inlineStr">
        <is>
          <t>avverkningsanmälan</t>
        </is>
      </c>
      <c r="C5215" t="inlineStr">
        <is>
          <t>Föryngringsavverkning</t>
        </is>
      </c>
      <c r="D5215" s="1" t="n">
        <v>45754</v>
      </c>
      <c r="E5215" s="1" t="n">
        <v>46326</v>
      </c>
      <c r="F5215" t="inlineStr">
        <is>
          <t>GÄVLEBORGS LÄN</t>
        </is>
      </c>
      <c r="G5215" t="inlineStr">
        <is>
          <t>OCKELBO</t>
        </is>
      </c>
      <c r="I5215" t="n">
        <v>0.5</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60939-2025</t>
        </is>
      </c>
      <c r="B5216" t="inlineStr">
        <is>
          <t>avverkningsanmälan</t>
        </is>
      </c>
      <c r="C5216" t="inlineStr">
        <is>
          <t>Föryngringsavverkning</t>
        </is>
      </c>
      <c r="D5216" s="1" t="n">
        <v>45999</v>
      </c>
      <c r="E5216" s="1" t="n">
        <v>46326</v>
      </c>
      <c r="F5216" t="inlineStr">
        <is>
          <t>GÄVLEBORGS LÄN</t>
        </is>
      </c>
      <c r="G5216" t="inlineStr">
        <is>
          <t>SÖDERHAMN</t>
        </is>
      </c>
      <c r="I5216" t="n">
        <v>2.4</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12803-2026</t>
        </is>
      </c>
      <c r="B5217" t="inlineStr">
        <is>
          <t>avverkningsanmälan</t>
        </is>
      </c>
      <c r="C5217" t="inlineStr">
        <is>
          <t>Föryngringsavverkning</t>
        </is>
      </c>
      <c r="D5217" s="1" t="n">
        <v>46092</v>
      </c>
      <c r="E5217" s="1" t="n">
        <v>46326</v>
      </c>
      <c r="F5217" t="inlineStr">
        <is>
          <t>GÄVLEBORGS LÄN</t>
        </is>
      </c>
      <c r="G5217" t="inlineStr">
        <is>
          <t>HOFORS</t>
        </is>
      </c>
      <c r="H5217" t="inlineStr">
        <is>
          <t>Bergvik skog öst AB</t>
        </is>
      </c>
      <c r="I5217" t="n">
        <v>7.4</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12807-2026</t>
        </is>
      </c>
      <c r="B5218" t="inlineStr">
        <is>
          <t>avverkningsanmälan</t>
        </is>
      </c>
      <c r="C5218" t="inlineStr">
        <is>
          <t>Föryngringsavverkning</t>
        </is>
      </c>
      <c r="D5218" s="1" t="n">
        <v>46092</v>
      </c>
      <c r="E5218" s="1" t="n">
        <v>46326</v>
      </c>
      <c r="F5218" t="inlineStr">
        <is>
          <t>GÄVLEBORGS LÄN</t>
        </is>
      </c>
      <c r="G5218" t="inlineStr">
        <is>
          <t>OCKELBO</t>
        </is>
      </c>
      <c r="I5218" t="n">
        <v>3.1</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12826-2026</t>
        </is>
      </c>
      <c r="B5219" t="inlineStr">
        <is>
          <t>avverkningsanmälan</t>
        </is>
      </c>
      <c r="C5219" t="inlineStr">
        <is>
          <t>Föryngringsavverkning</t>
        </is>
      </c>
      <c r="D5219" s="1" t="n">
        <v>46092</v>
      </c>
      <c r="E5219" s="1" t="n">
        <v>46326</v>
      </c>
      <c r="F5219" t="inlineStr">
        <is>
          <t>GÄVLEBORGS LÄN</t>
        </is>
      </c>
      <c r="G5219" t="inlineStr">
        <is>
          <t>SANDVIKEN</t>
        </is>
      </c>
      <c r="H5219" t="inlineStr">
        <is>
          <t>Naturvårdsverket</t>
        </is>
      </c>
      <c r="I5219" t="n">
        <v>1.2</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60952-2025</t>
        </is>
      </c>
      <c r="B5220" t="inlineStr">
        <is>
          <t>avverkningsanmälan</t>
        </is>
      </c>
      <c r="C5220" t="inlineStr">
        <is>
          <t>Föryngringsavverkning</t>
        </is>
      </c>
      <c r="D5220" s="1" t="n">
        <v>45999</v>
      </c>
      <c r="E5220" s="1" t="n">
        <v>46326</v>
      </c>
      <c r="F5220" t="inlineStr">
        <is>
          <t>GÄVLEBORGS LÄN</t>
        </is>
      </c>
      <c r="G5220" t="inlineStr">
        <is>
          <t>SANDVIKEN</t>
        </is>
      </c>
      <c r="I5220" t="n">
        <v>9.6</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60194-2023</t>
        </is>
      </c>
      <c r="B5221" t="inlineStr">
        <is>
          <t>avverkningsanmälan</t>
        </is>
      </c>
      <c r="C5221" t="inlineStr">
        <is>
          <t>Föryngringsavverkning</t>
        </is>
      </c>
      <c r="D5221" s="1" t="n">
        <v>45258</v>
      </c>
      <c r="E5221" s="1" t="n">
        <v>46326</v>
      </c>
      <c r="F5221" t="inlineStr">
        <is>
          <t>GÄVLEBORGS LÄN</t>
        </is>
      </c>
      <c r="G5221" t="inlineStr">
        <is>
          <t>HUDIKSVALL</t>
        </is>
      </c>
      <c r="H5221" t="inlineStr">
        <is>
          <t>Holmen skog AB</t>
        </is>
      </c>
      <c r="I5221" t="n">
        <v>5.8</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60218-2023</t>
        </is>
      </c>
      <c r="B5222" t="inlineStr">
        <is>
          <t>avverkningsanmälan</t>
        </is>
      </c>
      <c r="C5222" t="inlineStr">
        <is>
          <t>Föryngringsavverkning</t>
        </is>
      </c>
      <c r="D5222" s="1" t="n">
        <v>45258</v>
      </c>
      <c r="E5222" s="1" t="n">
        <v>46326</v>
      </c>
      <c r="F5222" t="inlineStr">
        <is>
          <t>GÄVLEBORGS LÄN</t>
        </is>
      </c>
      <c r="G5222" t="inlineStr">
        <is>
          <t>OVANÅKER</t>
        </is>
      </c>
      <c r="I5222" t="n">
        <v>1.3</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60779-2025</t>
        </is>
      </c>
      <c r="B5223" t="inlineStr">
        <is>
          <t>avverkningsanmälan</t>
        </is>
      </c>
      <c r="C5223" t="inlineStr">
        <is>
          <t>Föryngringsavverkning</t>
        </is>
      </c>
      <c r="D5223" s="1" t="n">
        <v>45999</v>
      </c>
      <c r="E5223" s="1" t="n">
        <v>46326</v>
      </c>
      <c r="F5223" t="inlineStr">
        <is>
          <t>GÄVLEBORGS LÄN</t>
        </is>
      </c>
      <c r="G5223" t="inlineStr">
        <is>
          <t>BOLLNÄS</t>
        </is>
      </c>
      <c r="I5223" t="n">
        <v>0.5</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12948-2026</t>
        </is>
      </c>
      <c r="B5224" t="inlineStr">
        <is>
          <t>avverkningsanmälan</t>
        </is>
      </c>
      <c r="C5224" t="inlineStr">
        <is>
          <t>Föryngringsavverkning</t>
        </is>
      </c>
      <c r="D5224" s="1" t="n">
        <v>46092</v>
      </c>
      <c r="E5224" s="1" t="n">
        <v>46326</v>
      </c>
      <c r="F5224" t="inlineStr">
        <is>
          <t>GÄVLEBORGS LÄN</t>
        </is>
      </c>
      <c r="G5224" t="inlineStr">
        <is>
          <t>GÄVLE</t>
        </is>
      </c>
      <c r="H5224" t="inlineStr">
        <is>
          <t>Bergvik skog öst AB</t>
        </is>
      </c>
      <c r="I5224" t="n">
        <v>3.8</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58212-2025</t>
        </is>
      </c>
      <c r="B5225" t="inlineStr">
        <is>
          <t>avverkningsanmälan</t>
        </is>
      </c>
      <c r="C5225" t="inlineStr">
        <is>
          <t>Föryngringsavverkning</t>
        </is>
      </c>
      <c r="D5225" s="1" t="n">
        <v>45985</v>
      </c>
      <c r="E5225" s="1" t="n">
        <v>46326</v>
      </c>
      <c r="F5225" t="inlineStr">
        <is>
          <t>GÄVLEBORGS LÄN</t>
        </is>
      </c>
      <c r="G5225" t="inlineStr">
        <is>
          <t>SÖDERHAMN</t>
        </is>
      </c>
      <c r="I5225" t="n">
        <v>0.5</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12641-2026</t>
        </is>
      </c>
      <c r="B5226" t="inlineStr">
        <is>
          <t>avverkningsanmälan</t>
        </is>
      </c>
      <c r="C5226" t="inlineStr">
        <is>
          <t>Föryngringsavverkning</t>
        </is>
      </c>
      <c r="D5226" s="1" t="n">
        <v>46091</v>
      </c>
      <c r="E5226" s="1" t="n">
        <v>46326</v>
      </c>
      <c r="F5226" t="inlineStr">
        <is>
          <t>GÄVLEBORGS LÄN</t>
        </is>
      </c>
      <c r="G5226" t="inlineStr">
        <is>
          <t>SANDVIKEN</t>
        </is>
      </c>
      <c r="H5226" t="inlineStr">
        <is>
          <t>Bergvik skog öst AB</t>
        </is>
      </c>
      <c r="I5226" t="n">
        <v>1.6</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12716-2026</t>
        </is>
      </c>
      <c r="B5227" t="inlineStr">
        <is>
          <t>avverkningsanmälan</t>
        </is>
      </c>
      <c r="C5227" t="inlineStr">
        <is>
          <t>Föryngringsavverkning</t>
        </is>
      </c>
      <c r="D5227" s="1" t="n">
        <v>46091</v>
      </c>
      <c r="E5227" s="1" t="n">
        <v>46326</v>
      </c>
      <c r="F5227" t="inlineStr">
        <is>
          <t>GÄVLEBORGS LÄN</t>
        </is>
      </c>
      <c r="G5227" t="inlineStr">
        <is>
          <t>OCKELBO</t>
        </is>
      </c>
      <c r="I5227" t="n">
        <v>3.7</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12728-2026</t>
        </is>
      </c>
      <c r="B5228" t="inlineStr">
        <is>
          <t>avverkningsanmälan</t>
        </is>
      </c>
      <c r="C5228" t="inlineStr">
        <is>
          <t>Föryngringsavverkning</t>
        </is>
      </c>
      <c r="D5228" s="1" t="n">
        <v>46091</v>
      </c>
      <c r="E5228" s="1" t="n">
        <v>46326</v>
      </c>
      <c r="F5228" t="inlineStr">
        <is>
          <t>GÄVLEBORGS LÄN</t>
        </is>
      </c>
      <c r="G5228" t="inlineStr">
        <is>
          <t>BOLLNÄS</t>
        </is>
      </c>
      <c r="I5228" t="n">
        <v>5.9</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12596-2026</t>
        </is>
      </c>
      <c r="B5229" t="inlineStr">
        <is>
          <t>avverkningsanmälan</t>
        </is>
      </c>
      <c r="C5229" t="inlineStr">
        <is>
          <t>Föryngringsavverkning</t>
        </is>
      </c>
      <c r="D5229" s="1" t="n">
        <v>46091</v>
      </c>
      <c r="E5229" s="1" t="n">
        <v>46326</v>
      </c>
      <c r="F5229" t="inlineStr">
        <is>
          <t>GÄVLEBORGS LÄN</t>
        </is>
      </c>
      <c r="G5229" t="inlineStr">
        <is>
          <t>OVANÅKER</t>
        </is>
      </c>
      <c r="I5229" t="n">
        <v>4.9</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17498-2024</t>
        </is>
      </c>
      <c r="B5230" t="inlineStr">
        <is>
          <t>avverkningsanmälan</t>
        </is>
      </c>
      <c r="C5230" t="inlineStr">
        <is>
          <t>Föryngringsavverkning</t>
        </is>
      </c>
      <c r="D5230" s="1" t="n">
        <v>45415</v>
      </c>
      <c r="E5230" s="1" t="n">
        <v>46326</v>
      </c>
      <c r="F5230" t="inlineStr">
        <is>
          <t>GÄVLEBORGS LÄN</t>
        </is>
      </c>
      <c r="G5230" t="inlineStr">
        <is>
          <t>SANDVIKEN</t>
        </is>
      </c>
      <c r="H5230" t="inlineStr">
        <is>
          <t>Kommuner</t>
        </is>
      </c>
      <c r="I5230" t="n">
        <v>2.3</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60787-2025</t>
        </is>
      </c>
      <c r="B5231" t="inlineStr">
        <is>
          <t>avverkningsanmälan</t>
        </is>
      </c>
      <c r="C5231" t="inlineStr">
        <is>
          <t>Föryngringsavverkning</t>
        </is>
      </c>
      <c r="D5231" s="1" t="n">
        <v>45999</v>
      </c>
      <c r="E5231" s="1" t="n">
        <v>46326</v>
      </c>
      <c r="F5231" t="inlineStr">
        <is>
          <t>GÄVLEBORGS LÄN</t>
        </is>
      </c>
      <c r="G5231" t="inlineStr">
        <is>
          <t>NORDANSTIG</t>
        </is>
      </c>
      <c r="I5231" t="n">
        <v>0.9</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19568-2024</t>
        </is>
      </c>
      <c r="B5232" t="inlineStr">
        <is>
          <t>avverkningsanmälan</t>
        </is>
      </c>
      <c r="C5232" t="inlineStr">
        <is>
          <t>Föryngringsavverkning</t>
        </is>
      </c>
      <c r="D5232" s="1" t="n">
        <v>45429</v>
      </c>
      <c r="E5232" s="1" t="n">
        <v>46326</v>
      </c>
      <c r="F5232" t="inlineStr">
        <is>
          <t>GÄVLEBORGS LÄN</t>
        </is>
      </c>
      <c r="G5232" t="inlineStr">
        <is>
          <t>NORDANSTIG</t>
        </is>
      </c>
      <c r="I5232" t="n">
        <v>1</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19569-2024</t>
        </is>
      </c>
      <c r="B5233" t="inlineStr">
        <is>
          <t>avverkningsanmälan</t>
        </is>
      </c>
      <c r="C5233" t="inlineStr">
        <is>
          <t>Föryngringsavverkning</t>
        </is>
      </c>
      <c r="D5233" s="1" t="n">
        <v>45429</v>
      </c>
      <c r="E5233" s="1" t="n">
        <v>46326</v>
      </c>
      <c r="F5233" t="inlineStr">
        <is>
          <t>GÄVLEBORGS LÄN</t>
        </is>
      </c>
      <c r="G5233" t="inlineStr">
        <is>
          <t>NORDANSTIG</t>
        </is>
      </c>
      <c r="I5233" t="n">
        <v>1.9</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62596-2023</t>
        </is>
      </c>
      <c r="B5234" t="inlineStr">
        <is>
          <t>avverkningsanmälan</t>
        </is>
      </c>
      <c r="C5234" t="inlineStr">
        <is>
          <t>Föryngringsavverkning</t>
        </is>
      </c>
      <c r="D5234" s="1" t="n">
        <v>45271</v>
      </c>
      <c r="E5234" s="1" t="n">
        <v>46326</v>
      </c>
      <c r="F5234" t="inlineStr">
        <is>
          <t>GÄVLEBORGS LÄN</t>
        </is>
      </c>
      <c r="G5234" t="inlineStr">
        <is>
          <t>HOFORS</t>
        </is>
      </c>
      <c r="I5234" t="n">
        <v>3.6</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60707-2025</t>
        </is>
      </c>
      <c r="B5235" t="inlineStr">
        <is>
          <t>avverkningsanmälan</t>
        </is>
      </c>
      <c r="C5235" t="inlineStr">
        <is>
          <t>Föryngringsavverkning</t>
        </is>
      </c>
      <c r="D5235" s="1" t="n">
        <v>45996</v>
      </c>
      <c r="E5235" s="1" t="n">
        <v>46326</v>
      </c>
      <c r="F5235" t="inlineStr">
        <is>
          <t>GÄVLEBORGS LÄN</t>
        </is>
      </c>
      <c r="G5235" t="inlineStr">
        <is>
          <t>BOLLNÄS</t>
        </is>
      </c>
      <c r="I5235" t="n">
        <v>1.7</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12850-2026</t>
        </is>
      </c>
      <c r="B5236" t="inlineStr">
        <is>
          <t>avverkningsanmälan</t>
        </is>
      </c>
      <c r="C5236" t="inlineStr">
        <is>
          <t>Föryngringsavverkning</t>
        </is>
      </c>
      <c r="D5236" s="1" t="n">
        <v>46092</v>
      </c>
      <c r="E5236" s="1" t="n">
        <v>46326</v>
      </c>
      <c r="F5236" t="inlineStr">
        <is>
          <t>GÄVLEBORGS LÄN</t>
        </is>
      </c>
      <c r="G5236" t="inlineStr">
        <is>
          <t>OVANÅKER</t>
        </is>
      </c>
      <c r="I5236" t="n">
        <v>5.9</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12956-2026</t>
        </is>
      </c>
      <c r="B5237" t="inlineStr">
        <is>
          <t>avverkningsanmälan</t>
        </is>
      </c>
      <c r="C5237" t="inlineStr">
        <is>
          <t>Föryngringsavverkning</t>
        </is>
      </c>
      <c r="D5237" s="1" t="n">
        <v>46092</v>
      </c>
      <c r="E5237" s="1" t="n">
        <v>46326</v>
      </c>
      <c r="F5237" t="inlineStr">
        <is>
          <t>GÄVLEBORGS LÄN</t>
        </is>
      </c>
      <c r="G5237" t="inlineStr">
        <is>
          <t>NORDANSTIG</t>
        </is>
      </c>
      <c r="H5237" t="inlineStr">
        <is>
          <t>Holmen skog AB</t>
        </is>
      </c>
      <c r="I5237" t="n">
        <v>0.8</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60937-2025</t>
        </is>
      </c>
      <c r="B5238" t="inlineStr">
        <is>
          <t>avverkningsanmälan</t>
        </is>
      </c>
      <c r="C5238" t="inlineStr">
        <is>
          <t>Föryngringsavverkning</t>
        </is>
      </c>
      <c r="D5238" s="1" t="n">
        <v>45999</v>
      </c>
      <c r="E5238" s="1" t="n">
        <v>46326</v>
      </c>
      <c r="F5238" t="inlineStr">
        <is>
          <t>GÄVLEBORGS LÄN</t>
        </is>
      </c>
      <c r="G5238" t="inlineStr">
        <is>
          <t>SÖDERHAMN</t>
        </is>
      </c>
      <c r="I5238" t="n">
        <v>2.4</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12847-2026</t>
        </is>
      </c>
      <c r="B5239" t="inlineStr">
        <is>
          <t>avverkningsanmälan</t>
        </is>
      </c>
      <c r="C5239" t="inlineStr">
        <is>
          <t>Föryngringsavverkning</t>
        </is>
      </c>
      <c r="D5239" s="1" t="n">
        <v>46092</v>
      </c>
      <c r="E5239" s="1" t="n">
        <v>46326</v>
      </c>
      <c r="F5239" t="inlineStr">
        <is>
          <t>GÄVLEBORGS LÄN</t>
        </is>
      </c>
      <c r="G5239" t="inlineStr">
        <is>
          <t>SANDVIKEN</t>
        </is>
      </c>
      <c r="H5239" t="inlineStr">
        <is>
          <t>Bergvik skog öst AB</t>
        </is>
      </c>
      <c r="I5239" t="n">
        <v>1.5</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5131-2024</t>
        </is>
      </c>
      <c r="B5240" t="inlineStr">
        <is>
          <t>avverkningsanmälan</t>
        </is>
      </c>
      <c r="C5240" t="inlineStr">
        <is>
          <t>Föryngringsavverkning</t>
        </is>
      </c>
      <c r="D5240" s="1" t="n">
        <v>45330</v>
      </c>
      <c r="E5240" s="1" t="n">
        <v>46326</v>
      </c>
      <c r="F5240" t="inlineStr">
        <is>
          <t>GÄVLEBORGS LÄN</t>
        </is>
      </c>
      <c r="G5240" t="inlineStr">
        <is>
          <t>OCKELBO</t>
        </is>
      </c>
      <c r="H5240" t="inlineStr">
        <is>
          <t>Bergvik skog väst AB</t>
        </is>
      </c>
      <c r="I5240" t="n">
        <v>1.3</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60919-2025</t>
        </is>
      </c>
      <c r="B5241" t="inlineStr">
        <is>
          <t>avverkningsanmälan</t>
        </is>
      </c>
      <c r="C5241" t="inlineStr">
        <is>
          <t>Föryngringsavverkning</t>
        </is>
      </c>
      <c r="D5241" s="1" t="n">
        <v>45999</v>
      </c>
      <c r="E5241" s="1" t="n">
        <v>46326</v>
      </c>
      <c r="F5241" t="inlineStr">
        <is>
          <t>GÄVLEBORGS LÄN</t>
        </is>
      </c>
      <c r="G5241" t="inlineStr">
        <is>
          <t>LJUSDAL</t>
        </is>
      </c>
      <c r="I5241" t="n">
        <v>2.8</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60810-2025</t>
        </is>
      </c>
      <c r="B5242" t="inlineStr">
        <is>
          <t>avverkningsanmälan</t>
        </is>
      </c>
      <c r="C5242" t="inlineStr">
        <is>
          <t>Föryngringsavverkning</t>
        </is>
      </c>
      <c r="D5242" s="1" t="n">
        <v>45999</v>
      </c>
      <c r="E5242" s="1" t="n">
        <v>46326</v>
      </c>
      <c r="F5242" t="inlineStr">
        <is>
          <t>GÄVLEBORGS LÄN</t>
        </is>
      </c>
      <c r="G5242" t="inlineStr">
        <is>
          <t>BOLLNÄS</t>
        </is>
      </c>
      <c r="I5242" t="n">
        <v>3.2</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11756-2023</t>
        </is>
      </c>
      <c r="B5243" t="inlineStr">
        <is>
          <t>avverkningsanmälan</t>
        </is>
      </c>
      <c r="C5243" t="inlineStr">
        <is>
          <t>Föryngringsavverkning</t>
        </is>
      </c>
      <c r="D5243" s="1" t="n">
        <v>44994</v>
      </c>
      <c r="E5243" s="1" t="n">
        <v>46326</v>
      </c>
      <c r="F5243" t="inlineStr">
        <is>
          <t>GÄVLEBORGS LÄN</t>
        </is>
      </c>
      <c r="G5243" t="inlineStr">
        <is>
          <t>SANDVIKEN</t>
        </is>
      </c>
      <c r="I5243" t="n">
        <v>1.4</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11764-2023</t>
        </is>
      </c>
      <c r="B5244" t="inlineStr">
        <is>
          <t>avverkningsanmälan</t>
        </is>
      </c>
      <c r="C5244" t="inlineStr">
        <is>
          <t>Föryngringsavverkning</t>
        </is>
      </c>
      <c r="D5244" s="1" t="n">
        <v>44994</v>
      </c>
      <c r="E5244" s="1" t="n">
        <v>46326</v>
      </c>
      <c r="F5244" t="inlineStr">
        <is>
          <t>GÄVLEBORGS LÄN</t>
        </is>
      </c>
      <c r="G5244" t="inlineStr">
        <is>
          <t>SANDVIKEN</t>
        </is>
      </c>
      <c r="I5244" t="n">
        <v>2.6</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60573-2025</t>
        </is>
      </c>
      <c r="B5245" t="inlineStr">
        <is>
          <t>avverkningsanmälan</t>
        </is>
      </c>
      <c r="C5245" t="inlineStr">
        <is>
          <t>Avverkning för att bevara och utveckla /försöksver</t>
        </is>
      </c>
      <c r="D5245" s="1" t="n">
        <v>45996</v>
      </c>
      <c r="E5245" s="1" t="n">
        <v>46326</v>
      </c>
      <c r="F5245" t="inlineStr">
        <is>
          <t>GÄVLEBORGS LÄN</t>
        </is>
      </c>
      <c r="G5245" t="inlineStr">
        <is>
          <t>BOLLNÄS</t>
        </is>
      </c>
      <c r="I5245" t="n">
        <v>2.2</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60885-2025</t>
        </is>
      </c>
      <c r="B5246" t="inlineStr">
        <is>
          <t>avverkningsanmälan</t>
        </is>
      </c>
      <c r="C5246" t="inlineStr">
        <is>
          <t>Föryngringsavverkning</t>
        </is>
      </c>
      <c r="D5246" s="1" t="n">
        <v>45999</v>
      </c>
      <c r="E5246" s="1" t="n">
        <v>46326</v>
      </c>
      <c r="F5246" t="inlineStr">
        <is>
          <t>GÄVLEBORGS LÄN</t>
        </is>
      </c>
      <c r="G5246" t="inlineStr">
        <is>
          <t>LJUSDAL</t>
        </is>
      </c>
      <c r="I5246" t="n">
        <v>1.4</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60935-2025</t>
        </is>
      </c>
      <c r="B5247" t="inlineStr">
        <is>
          <t>avverkningsanmälan</t>
        </is>
      </c>
      <c r="C5247" t="inlineStr">
        <is>
          <t>Föryngringsavverkning</t>
        </is>
      </c>
      <c r="D5247" s="1" t="n">
        <v>45999</v>
      </c>
      <c r="E5247" s="1" t="n">
        <v>46326</v>
      </c>
      <c r="F5247" t="inlineStr">
        <is>
          <t>GÄVLEBORGS LÄN</t>
        </is>
      </c>
      <c r="G5247" t="inlineStr">
        <is>
          <t>SÖDERHAMN</t>
        </is>
      </c>
      <c r="I5247" t="n">
        <v>1.6</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8081-2024</t>
        </is>
      </c>
      <c r="B5248" t="inlineStr">
        <is>
          <t>avverkningsanmälan</t>
        </is>
      </c>
      <c r="C5248" t="inlineStr">
        <is>
          <t>Föryngringsavverkning</t>
        </is>
      </c>
      <c r="D5248" s="1" t="n">
        <v>45351</v>
      </c>
      <c r="E5248" s="1" t="n">
        <v>46326</v>
      </c>
      <c r="F5248" t="inlineStr">
        <is>
          <t>GÄVLEBORGS LÄN</t>
        </is>
      </c>
      <c r="G5248" t="inlineStr">
        <is>
          <t>LJUSDAL</t>
        </is>
      </c>
      <c r="I5248" t="n">
        <v>1.4</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3788-2026</t>
        </is>
      </c>
      <c r="B5249" t="inlineStr">
        <is>
          <t>avverkningsanmälan</t>
        </is>
      </c>
      <c r="C5249" t="inlineStr">
        <is>
          <t>Föryngringsavverkning</t>
        </is>
      </c>
      <c r="D5249" s="1" t="n">
        <v>46043</v>
      </c>
      <c r="E5249" s="1" t="n">
        <v>46326</v>
      </c>
      <c r="F5249" t="inlineStr">
        <is>
          <t>GÄVLEBORGS LÄN</t>
        </is>
      </c>
      <c r="G5249" t="inlineStr">
        <is>
          <t>SANDVIKEN</t>
        </is>
      </c>
      <c r="I5249" t="n">
        <v>6.3</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23195-2022</t>
        </is>
      </c>
      <c r="B5250" t="inlineStr">
        <is>
          <t>avverkningsanmälan</t>
        </is>
      </c>
      <c r="C5250" t="inlineStr">
        <is>
          <t>Föryngringsavverkning</t>
        </is>
      </c>
      <c r="D5250" s="1" t="n">
        <v>44719</v>
      </c>
      <c r="E5250" s="1" t="n">
        <v>46326</v>
      </c>
      <c r="F5250" t="inlineStr">
        <is>
          <t>GÄVLEBORGS LÄN</t>
        </is>
      </c>
      <c r="G5250" t="inlineStr">
        <is>
          <t>LJUSDAL</t>
        </is>
      </c>
      <c r="I5250" t="n">
        <v>4.2</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60616-2025</t>
        </is>
      </c>
      <c r="B5251" t="inlineStr">
        <is>
          <t>avverkningsanmälan</t>
        </is>
      </c>
      <c r="C5251" t="inlineStr">
        <is>
          <t>Föryngringsavverkning</t>
        </is>
      </c>
      <c r="D5251" s="1" t="n">
        <v>45996</v>
      </c>
      <c r="E5251" s="1" t="n">
        <v>46326</v>
      </c>
      <c r="F5251" t="inlineStr">
        <is>
          <t>GÄVLEBORGS LÄN</t>
        </is>
      </c>
      <c r="G5251" t="inlineStr">
        <is>
          <t>OCKELBO</t>
        </is>
      </c>
      <c r="H5251" t="inlineStr">
        <is>
          <t>Bergvik skog väst AB</t>
        </is>
      </c>
      <c r="I5251" t="n">
        <v>2.4</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60874-2025</t>
        </is>
      </c>
      <c r="B5252" t="inlineStr">
        <is>
          <t>avverkningsanmälan</t>
        </is>
      </c>
      <c r="C5252" t="inlineStr">
        <is>
          <t>Föryngringsavverkning</t>
        </is>
      </c>
      <c r="D5252" s="1" t="n">
        <v>45999</v>
      </c>
      <c r="E5252" s="1" t="n">
        <v>46326</v>
      </c>
      <c r="F5252" t="inlineStr">
        <is>
          <t>GÄVLEBORGS LÄN</t>
        </is>
      </c>
      <c r="G5252" t="inlineStr">
        <is>
          <t>LJUSDAL</t>
        </is>
      </c>
      <c r="I5252" t="n">
        <v>1.2</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60912-2025</t>
        </is>
      </c>
      <c r="B5253" t="inlineStr">
        <is>
          <t>avverkningsanmälan</t>
        </is>
      </c>
      <c r="C5253" t="inlineStr">
        <is>
          <t>Föryngringsavverkning</t>
        </is>
      </c>
      <c r="D5253" s="1" t="n">
        <v>45999</v>
      </c>
      <c r="E5253" s="1" t="n">
        <v>46326</v>
      </c>
      <c r="F5253" t="inlineStr">
        <is>
          <t>GÄVLEBORGS LÄN</t>
        </is>
      </c>
      <c r="G5253" t="inlineStr">
        <is>
          <t>OVANÅKER</t>
        </is>
      </c>
      <c r="I5253" t="n">
        <v>2.5</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12634-2026</t>
        </is>
      </c>
      <c r="B5254" t="inlineStr">
        <is>
          <t>avverkningsanmälan</t>
        </is>
      </c>
      <c r="C5254" t="inlineStr">
        <is>
          <t>Föryngringsavverkning</t>
        </is>
      </c>
      <c r="D5254" s="1" t="n">
        <v>46091</v>
      </c>
      <c r="E5254" s="1" t="n">
        <v>46326</v>
      </c>
      <c r="F5254" t="inlineStr">
        <is>
          <t>GÄVLEBORGS LÄN</t>
        </is>
      </c>
      <c r="G5254" t="inlineStr">
        <is>
          <t>HUDIKSVALL</t>
        </is>
      </c>
      <c r="I5254" t="n">
        <v>1.3</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32353-2023</t>
        </is>
      </c>
      <c r="B5255" t="inlineStr">
        <is>
          <t>avverkningsanmälan</t>
        </is>
      </c>
      <c r="C5255" t="inlineStr">
        <is>
          <t>Föryngringsavverkning</t>
        </is>
      </c>
      <c r="D5255" s="1" t="n">
        <v>45120</v>
      </c>
      <c r="E5255" s="1" t="n">
        <v>46326</v>
      </c>
      <c r="F5255" t="inlineStr">
        <is>
          <t>GÄVLEBORGS LÄN</t>
        </is>
      </c>
      <c r="G5255" t="inlineStr">
        <is>
          <t>GÄVLE</t>
        </is>
      </c>
      <c r="I5255" t="n">
        <v>3.7</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42136-2024</t>
        </is>
      </c>
      <c r="B5256" t="inlineStr">
        <is>
          <t>avverkningsanmälan</t>
        </is>
      </c>
      <c r="C5256" t="inlineStr">
        <is>
          <t>Föryngringsavverkning</t>
        </is>
      </c>
      <c r="D5256" s="1" t="n">
        <v>45562</v>
      </c>
      <c r="E5256" s="1" t="n">
        <v>46326</v>
      </c>
      <c r="F5256" t="inlineStr">
        <is>
          <t>GÄVLEBORGS LÄN</t>
        </is>
      </c>
      <c r="G5256" t="inlineStr">
        <is>
          <t>HUDIKSVALL</t>
        </is>
      </c>
      <c r="H5256" t="inlineStr">
        <is>
          <t>Holmen skog AB</t>
        </is>
      </c>
      <c r="I5256" t="n">
        <v>0.7</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12952-2026</t>
        </is>
      </c>
      <c r="B5257" t="inlineStr">
        <is>
          <t>avverkningsanmälan</t>
        </is>
      </c>
      <c r="C5257" t="inlineStr">
        <is>
          <t>Föryngringsavverkning</t>
        </is>
      </c>
      <c r="D5257" s="1" t="n">
        <v>46092</v>
      </c>
      <c r="E5257" s="1" t="n">
        <v>46326</v>
      </c>
      <c r="F5257" t="inlineStr">
        <is>
          <t>GÄVLEBORGS LÄN</t>
        </is>
      </c>
      <c r="G5257" t="inlineStr">
        <is>
          <t>GÄVLE</t>
        </is>
      </c>
      <c r="H5257" t="inlineStr">
        <is>
          <t>Bergvik skog öst AB</t>
        </is>
      </c>
      <c r="I5257" t="n">
        <v>0.9</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12995-2026</t>
        </is>
      </c>
      <c r="B5258" t="inlineStr">
        <is>
          <t>avverkningsanmälan</t>
        </is>
      </c>
      <c r="C5258" t="inlineStr">
        <is>
          <t>Föryngringsavverkning</t>
        </is>
      </c>
      <c r="D5258" s="1" t="n">
        <v>46092</v>
      </c>
      <c r="E5258" s="1" t="n">
        <v>46326</v>
      </c>
      <c r="F5258" t="inlineStr">
        <is>
          <t>GÄVLEBORGS LÄN</t>
        </is>
      </c>
      <c r="G5258" t="inlineStr">
        <is>
          <t>BOLLNÄS</t>
        </is>
      </c>
      <c r="I5258" t="n">
        <v>5.5</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12649-2026</t>
        </is>
      </c>
      <c r="B5259" t="inlineStr">
        <is>
          <t>avverkningsanmälan</t>
        </is>
      </c>
      <c r="C5259" t="inlineStr">
        <is>
          <t>Föryngringsavverkning</t>
        </is>
      </c>
      <c r="D5259" s="1" t="n">
        <v>46091</v>
      </c>
      <c r="E5259" s="1" t="n">
        <v>46326</v>
      </c>
      <c r="F5259" t="inlineStr">
        <is>
          <t>GÄVLEBORGS LÄN</t>
        </is>
      </c>
      <c r="G5259" t="inlineStr">
        <is>
          <t>BOLLNÄS</t>
        </is>
      </c>
      <c r="I5259" t="n">
        <v>2.6</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12990-2026</t>
        </is>
      </c>
      <c r="B5260" t="inlineStr">
        <is>
          <t>avverkningsanmälan</t>
        </is>
      </c>
      <c r="C5260" t="inlineStr">
        <is>
          <t>Föryngringsavverkning</t>
        </is>
      </c>
      <c r="D5260" s="1" t="n">
        <v>46092</v>
      </c>
      <c r="E5260" s="1" t="n">
        <v>46326</v>
      </c>
      <c r="F5260" t="inlineStr">
        <is>
          <t>GÄVLEBORGS LÄN</t>
        </is>
      </c>
      <c r="G5260" t="inlineStr">
        <is>
          <t>GÄVLE</t>
        </is>
      </c>
      <c r="H5260" t="inlineStr">
        <is>
          <t>Bergvik skog öst AB</t>
        </is>
      </c>
      <c r="I5260" t="n">
        <v>1.1</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12838-2026</t>
        </is>
      </c>
      <c r="B5261" t="inlineStr">
        <is>
          <t>avverkningsanmälan</t>
        </is>
      </c>
      <c r="C5261" t="inlineStr">
        <is>
          <t>Föryngringsavverkning</t>
        </is>
      </c>
      <c r="D5261" s="1" t="n">
        <v>46092</v>
      </c>
      <c r="E5261" s="1" t="n">
        <v>46326</v>
      </c>
      <c r="F5261" t="inlineStr">
        <is>
          <t>GÄVLEBORGS LÄN</t>
        </is>
      </c>
      <c r="G5261" t="inlineStr">
        <is>
          <t>OVANÅKER</t>
        </is>
      </c>
      <c r="I5261" t="n">
        <v>1.2</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12959-2026</t>
        </is>
      </c>
      <c r="B5262" t="inlineStr">
        <is>
          <t>avverkningsanmälan</t>
        </is>
      </c>
      <c r="C5262" t="inlineStr">
        <is>
          <t>Föryngringsavverkning</t>
        </is>
      </c>
      <c r="D5262" s="1" t="n">
        <v>46092</v>
      </c>
      <c r="E5262" s="1" t="n">
        <v>46326</v>
      </c>
      <c r="F5262" t="inlineStr">
        <is>
          <t>GÄVLEBORGS LÄN</t>
        </is>
      </c>
      <c r="G5262" t="inlineStr">
        <is>
          <t>BOLLNÄS</t>
        </is>
      </c>
      <c r="H5262" t="inlineStr">
        <is>
          <t>Sveaskog</t>
        </is>
      </c>
      <c r="I5262" t="n">
        <v>2.5</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38241-2024</t>
        </is>
      </c>
      <c r="B5263" t="inlineStr">
        <is>
          <t>avverkningsanmälan</t>
        </is>
      </c>
      <c r="C5263" t="inlineStr">
        <is>
          <t>Föryngringsavverkning</t>
        </is>
      </c>
      <c r="D5263" s="1" t="n">
        <v>45545</v>
      </c>
      <c r="E5263" s="1" t="n">
        <v>46326</v>
      </c>
      <c r="F5263" t="inlineStr">
        <is>
          <t>GÄVLEBORGS LÄN</t>
        </is>
      </c>
      <c r="G5263" t="inlineStr">
        <is>
          <t>NORDANSTIG</t>
        </is>
      </c>
      <c r="H5263" t="inlineStr">
        <is>
          <t>Holmen skog AB</t>
        </is>
      </c>
      <c r="I5263" t="n">
        <v>3</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12893-2026</t>
        </is>
      </c>
      <c r="B5264" t="inlineStr">
        <is>
          <t>avverkningsanmälan</t>
        </is>
      </c>
      <c r="C5264" t="inlineStr">
        <is>
          <t>Föryngringsavverkning</t>
        </is>
      </c>
      <c r="D5264" s="1" t="n">
        <v>46092</v>
      </c>
      <c r="E5264" s="1" t="n">
        <v>46326</v>
      </c>
      <c r="F5264" t="inlineStr">
        <is>
          <t>GÄVLEBORGS LÄN</t>
        </is>
      </c>
      <c r="G5264" t="inlineStr">
        <is>
          <t>SANDVIKEN</t>
        </is>
      </c>
      <c r="H5264" t="inlineStr">
        <is>
          <t>Bergvik skog öst AB</t>
        </is>
      </c>
      <c r="I5264" t="n">
        <v>6.2</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12895-2026</t>
        </is>
      </c>
      <c r="B5265" t="inlineStr">
        <is>
          <t>avverkningsanmälan</t>
        </is>
      </c>
      <c r="C5265" t="inlineStr">
        <is>
          <t>Föryngringsavverkning</t>
        </is>
      </c>
      <c r="D5265" s="1" t="n">
        <v>46092</v>
      </c>
      <c r="E5265" s="1" t="n">
        <v>46326</v>
      </c>
      <c r="F5265" t="inlineStr">
        <is>
          <t>GÄVLEBORGS LÄN</t>
        </is>
      </c>
      <c r="G5265" t="inlineStr">
        <is>
          <t>BOLLNÄS</t>
        </is>
      </c>
      <c r="H5265" t="inlineStr">
        <is>
          <t>Bergvik skog väst AB</t>
        </is>
      </c>
      <c r="I5265" t="n">
        <v>6.6</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60872-2024</t>
        </is>
      </c>
      <c r="B5266" t="inlineStr">
        <is>
          <t>avverkningsanmälan</t>
        </is>
      </c>
      <c r="C5266" t="inlineStr">
        <is>
          <t>Föryngringsavverkning</t>
        </is>
      </c>
      <c r="D5266" s="1" t="n">
        <v>45644</v>
      </c>
      <c r="E5266" s="1" t="n">
        <v>46326</v>
      </c>
      <c r="F5266" t="inlineStr">
        <is>
          <t>GÄVLEBORGS LÄN</t>
        </is>
      </c>
      <c r="G5266" t="inlineStr">
        <is>
          <t>HUDIKSVALL</t>
        </is>
      </c>
      <c r="I5266" t="n">
        <v>0.9</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12729-2026</t>
        </is>
      </c>
      <c r="B5267" t="inlineStr">
        <is>
          <t>avverkningsanmälan</t>
        </is>
      </c>
      <c r="C5267" t="inlineStr">
        <is>
          <t>Föryngringsavverkning</t>
        </is>
      </c>
      <c r="D5267" s="1" t="n">
        <v>46091</v>
      </c>
      <c r="E5267" s="1" t="n">
        <v>46326</v>
      </c>
      <c r="F5267" t="inlineStr">
        <is>
          <t>GÄVLEBORGS LÄN</t>
        </is>
      </c>
      <c r="G5267" t="inlineStr">
        <is>
          <t>HUDIKSVALL</t>
        </is>
      </c>
      <c r="I5267" t="n">
        <v>2.1</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12704-2026</t>
        </is>
      </c>
      <c r="B5268" t="inlineStr">
        <is>
          <t>avverkningsanmälan</t>
        </is>
      </c>
      <c r="C5268" t="inlineStr">
        <is>
          <t>Föryngringsavverkning</t>
        </is>
      </c>
      <c r="D5268" s="1" t="n">
        <v>46091</v>
      </c>
      <c r="E5268" s="1" t="n">
        <v>46326</v>
      </c>
      <c r="F5268" t="inlineStr">
        <is>
          <t>GÄVLEBORGS LÄN</t>
        </is>
      </c>
      <c r="G5268" t="inlineStr">
        <is>
          <t>SANDVIKEN</t>
        </is>
      </c>
      <c r="H5268" t="inlineStr">
        <is>
          <t>Sveaskog</t>
        </is>
      </c>
      <c r="I5268" t="n">
        <v>0.8</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58655-2025</t>
        </is>
      </c>
      <c r="B5269" t="inlineStr">
        <is>
          <t>avverkningsanmälan</t>
        </is>
      </c>
      <c r="C5269" t="inlineStr">
        <is>
          <t>Föryngringsavverkning</t>
        </is>
      </c>
      <c r="D5269" s="1" t="n">
        <v>45986</v>
      </c>
      <c r="E5269" s="1" t="n">
        <v>46326</v>
      </c>
      <c r="F5269" t="inlineStr">
        <is>
          <t>GÄVLEBORGS LÄN</t>
        </is>
      </c>
      <c r="G5269" t="inlineStr">
        <is>
          <t>OVANÅKER</t>
        </is>
      </c>
      <c r="I5269" t="n">
        <v>19.4</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27418-2024</t>
        </is>
      </c>
      <c r="B5270" t="inlineStr">
        <is>
          <t>avverkningsanmälan</t>
        </is>
      </c>
      <c r="C5270" t="inlineStr">
        <is>
          <t>Föryngringsavverkning</t>
        </is>
      </c>
      <c r="D5270" s="1" t="n">
        <v>45474</v>
      </c>
      <c r="E5270" s="1" t="n">
        <v>46326</v>
      </c>
      <c r="F5270" t="inlineStr">
        <is>
          <t>GÄVLEBORGS LÄN</t>
        </is>
      </c>
      <c r="G5270" t="inlineStr">
        <is>
          <t>HUDIKSVALL</t>
        </is>
      </c>
      <c r="I5270" t="n">
        <v>1.7</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13138-2026</t>
        </is>
      </c>
      <c r="B5271" t="inlineStr">
        <is>
          <t>avverkningsanmälan</t>
        </is>
      </c>
      <c r="C5271" t="inlineStr">
        <is>
          <t>Föryngringsavverkning</t>
        </is>
      </c>
      <c r="D5271" s="1" t="n">
        <v>46093</v>
      </c>
      <c r="E5271" s="1" t="n">
        <v>46326</v>
      </c>
      <c r="F5271" t="inlineStr">
        <is>
          <t>GÄVLEBORGS LÄN</t>
        </is>
      </c>
      <c r="G5271" t="inlineStr">
        <is>
          <t>SANDVIKEN</t>
        </is>
      </c>
      <c r="I5271" t="n">
        <v>2.1</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13287-2026</t>
        </is>
      </c>
      <c r="B5272" t="inlineStr">
        <is>
          <t>avverkningsanmälan</t>
        </is>
      </c>
      <c r="C5272" t="inlineStr">
        <is>
          <t>Föryngringsavverkning</t>
        </is>
      </c>
      <c r="D5272" s="1" t="n">
        <v>46093</v>
      </c>
      <c r="E5272" s="1" t="n">
        <v>46326</v>
      </c>
      <c r="F5272" t="inlineStr">
        <is>
          <t>GÄVLEBORGS LÄN</t>
        </is>
      </c>
      <c r="G5272" t="inlineStr">
        <is>
          <t>SÖDERHAMN</t>
        </is>
      </c>
      <c r="I5272" t="n">
        <v>1.3</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13341-2026</t>
        </is>
      </c>
      <c r="B5273" t="inlineStr">
        <is>
          <t>avverkningsanmälan</t>
        </is>
      </c>
      <c r="C5273" t="inlineStr">
        <is>
          <t>Föryngringsavverkning</t>
        </is>
      </c>
      <c r="D5273" s="1" t="n">
        <v>46094</v>
      </c>
      <c r="E5273" s="1" t="n">
        <v>46326</v>
      </c>
      <c r="F5273" t="inlineStr">
        <is>
          <t>GÄVLEBORGS LÄN</t>
        </is>
      </c>
      <c r="G5273" t="inlineStr">
        <is>
          <t>BOLLNÄS</t>
        </is>
      </c>
      <c r="I5273" t="n">
        <v>11.7</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27422-2024</t>
        </is>
      </c>
      <c r="B5274" t="inlineStr">
        <is>
          <t>avverkningsanmälan</t>
        </is>
      </c>
      <c r="C5274" t="inlineStr">
        <is>
          <t>Föryngringsavverkning</t>
        </is>
      </c>
      <c r="D5274" s="1" t="n">
        <v>45474</v>
      </c>
      <c r="E5274" s="1" t="n">
        <v>46326</v>
      </c>
      <c r="F5274" t="inlineStr">
        <is>
          <t>GÄVLEBORGS LÄN</t>
        </is>
      </c>
      <c r="G5274" t="inlineStr">
        <is>
          <t>OVANÅKER</t>
        </is>
      </c>
      <c r="I5274" t="n">
        <v>0.6</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17256-2024</t>
        </is>
      </c>
      <c r="B5275" t="inlineStr">
        <is>
          <t>avverkningsanmälan</t>
        </is>
      </c>
      <c r="C5275" t="inlineStr">
        <is>
          <t>Föryngringsavverkning</t>
        </is>
      </c>
      <c r="D5275" s="1" t="n">
        <v>45414</v>
      </c>
      <c r="E5275" s="1" t="n">
        <v>46326</v>
      </c>
      <c r="F5275" t="inlineStr">
        <is>
          <t>GÄVLEBORGS LÄN</t>
        </is>
      </c>
      <c r="G5275" t="inlineStr">
        <is>
          <t>SANDVIKEN</t>
        </is>
      </c>
      <c r="I5275" t="n">
        <v>0.7</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13311-2026</t>
        </is>
      </c>
      <c r="B5276" t="inlineStr">
        <is>
          <t>avverkningsanmälan</t>
        </is>
      </c>
      <c r="C5276" t="inlineStr">
        <is>
          <t>Föryngringsavverkning</t>
        </is>
      </c>
      <c r="D5276" s="1" t="n">
        <v>46094</v>
      </c>
      <c r="E5276" s="1" t="n">
        <v>46326</v>
      </c>
      <c r="F5276" t="inlineStr">
        <is>
          <t>GÄVLEBORGS LÄN</t>
        </is>
      </c>
      <c r="G5276" t="inlineStr">
        <is>
          <t>BOLLNÄS</t>
        </is>
      </c>
      <c r="I5276" t="n">
        <v>3.3</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13126-2026</t>
        </is>
      </c>
      <c r="B5277" t="inlineStr">
        <is>
          <t>avverkningsanmälan</t>
        </is>
      </c>
      <c r="C5277" t="inlineStr">
        <is>
          <t>Föryngringsavverkning</t>
        </is>
      </c>
      <c r="D5277" s="1" t="n">
        <v>46093</v>
      </c>
      <c r="E5277" s="1" t="n">
        <v>46326</v>
      </c>
      <c r="F5277" t="inlineStr">
        <is>
          <t>GÄVLEBORGS LÄN</t>
        </is>
      </c>
      <c r="G5277" t="inlineStr">
        <is>
          <t>SÖDERHAMN</t>
        </is>
      </c>
      <c r="I5277" t="n">
        <v>2.1</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13271-2026</t>
        </is>
      </c>
      <c r="B5278" t="inlineStr">
        <is>
          <t>avverkningsanmälan</t>
        </is>
      </c>
      <c r="C5278" t="inlineStr">
        <is>
          <t>Föryngringsavverkning</t>
        </is>
      </c>
      <c r="D5278" s="1" t="n">
        <v>46093</v>
      </c>
      <c r="E5278" s="1" t="n">
        <v>46326</v>
      </c>
      <c r="F5278" t="inlineStr">
        <is>
          <t>GÄVLEBORGS LÄN</t>
        </is>
      </c>
      <c r="G5278" t="inlineStr">
        <is>
          <t>OCKELBO</t>
        </is>
      </c>
      <c r="I5278" t="n">
        <v>6.4</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61858-2024</t>
        </is>
      </c>
      <c r="B5279" t="inlineStr">
        <is>
          <t>avverkningsanmälan</t>
        </is>
      </c>
      <c r="C5279" t="inlineStr">
        <is>
          <t>Föryngringsavverkning</t>
        </is>
      </c>
      <c r="D5279" s="1" t="n">
        <v>45649</v>
      </c>
      <c r="E5279" s="1" t="n">
        <v>46326</v>
      </c>
      <c r="F5279" t="inlineStr">
        <is>
          <t>GÄVLEBORGS LÄN</t>
        </is>
      </c>
      <c r="G5279" t="inlineStr">
        <is>
          <t>SANDVIKEN</t>
        </is>
      </c>
      <c r="I5279" t="n">
        <v>0.5</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13407-2026</t>
        </is>
      </c>
      <c r="B5280" t="inlineStr">
        <is>
          <t>avverkningsanmälan</t>
        </is>
      </c>
      <c r="C5280" t="inlineStr">
        <is>
          <t>Föryngringsavverkning</t>
        </is>
      </c>
      <c r="D5280" s="1" t="n">
        <v>46094</v>
      </c>
      <c r="E5280" s="1" t="n">
        <v>46326</v>
      </c>
      <c r="F5280" t="inlineStr">
        <is>
          <t>GÄVLEBORGS LÄN</t>
        </is>
      </c>
      <c r="G5280" t="inlineStr">
        <is>
          <t>BOLLNÄS</t>
        </is>
      </c>
      <c r="H5280" t="inlineStr">
        <is>
          <t>Bergvik skog väst AB</t>
        </is>
      </c>
      <c r="I5280" t="n">
        <v>5.6</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61141-2022</t>
        </is>
      </c>
      <c r="B5281" t="inlineStr">
        <is>
          <t>avverkningsanmälan</t>
        </is>
      </c>
      <c r="C5281" t="inlineStr">
        <is>
          <t>Föryngringsavverkning</t>
        </is>
      </c>
      <c r="D5281" s="1" t="n">
        <v>44915</v>
      </c>
      <c r="E5281" s="1" t="n">
        <v>46326</v>
      </c>
      <c r="F5281" t="inlineStr">
        <is>
          <t>GÄVLEBORGS LÄN</t>
        </is>
      </c>
      <c r="G5281" t="inlineStr">
        <is>
          <t>NORDANSTIG</t>
        </is>
      </c>
      <c r="I5281" t="n">
        <v>0.4</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13481-2026</t>
        </is>
      </c>
      <c r="B5282" t="inlineStr">
        <is>
          <t>avverkningsanmälan</t>
        </is>
      </c>
      <c r="C5282" t="inlineStr">
        <is>
          <t>Föryngringsavverkning</t>
        </is>
      </c>
      <c r="D5282" s="1" t="n">
        <v>46094</v>
      </c>
      <c r="E5282" s="1" t="n">
        <v>46326</v>
      </c>
      <c r="F5282" t="inlineStr">
        <is>
          <t>GÄVLEBORGS LÄN</t>
        </is>
      </c>
      <c r="G5282" t="inlineStr">
        <is>
          <t>OCKELBO</t>
        </is>
      </c>
      <c r="H5282" t="inlineStr">
        <is>
          <t>Naturvårdsverket</t>
        </is>
      </c>
      <c r="I5282" t="n">
        <v>0.4</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13498-2026</t>
        </is>
      </c>
      <c r="B5283" t="inlineStr">
        <is>
          <t>avverkningsanmälan</t>
        </is>
      </c>
      <c r="C5283" t="inlineStr">
        <is>
          <t>Föryngringsavverkning</t>
        </is>
      </c>
      <c r="D5283" s="1" t="n">
        <v>46094</v>
      </c>
      <c r="E5283" s="1" t="n">
        <v>46326</v>
      </c>
      <c r="F5283" t="inlineStr">
        <is>
          <t>GÄVLEBORGS LÄN</t>
        </is>
      </c>
      <c r="G5283" t="inlineStr">
        <is>
          <t>GÄVLE</t>
        </is>
      </c>
      <c r="H5283" t="inlineStr">
        <is>
          <t>Bergvik skog öst AB</t>
        </is>
      </c>
      <c r="I5283" t="n">
        <v>0.5</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13315-2026</t>
        </is>
      </c>
      <c r="B5284" t="inlineStr">
        <is>
          <t>avverkningsanmälan</t>
        </is>
      </c>
      <c r="C5284" t="inlineStr">
        <is>
          <t>Föryngringsavverkning</t>
        </is>
      </c>
      <c r="D5284" s="1" t="n">
        <v>46094</v>
      </c>
      <c r="E5284" s="1" t="n">
        <v>46326</v>
      </c>
      <c r="F5284" t="inlineStr">
        <is>
          <t>GÄVLEBORGS LÄN</t>
        </is>
      </c>
      <c r="G5284" t="inlineStr">
        <is>
          <t>HUDIKSVALL</t>
        </is>
      </c>
      <c r="I5284" t="n">
        <v>2.1</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33354-2024</t>
        </is>
      </c>
      <c r="B5285" t="inlineStr">
        <is>
          <t>avverkningsanmälan</t>
        </is>
      </c>
      <c r="C5285" t="inlineStr">
        <is>
          <t>Föryngringsavverkning</t>
        </is>
      </c>
      <c r="D5285" s="1" t="n">
        <v>45519</v>
      </c>
      <c r="E5285" s="1" t="n">
        <v>46326</v>
      </c>
      <c r="F5285" t="inlineStr">
        <is>
          <t>GÄVLEBORGS LÄN</t>
        </is>
      </c>
      <c r="G5285" t="inlineStr">
        <is>
          <t>LJUSDAL</t>
        </is>
      </c>
      <c r="I5285" t="n">
        <v>1.5</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38167-2024</t>
        </is>
      </c>
      <c r="B5286" t="inlineStr">
        <is>
          <t>avverkningsanmälan</t>
        </is>
      </c>
      <c r="C5286" t="inlineStr">
        <is>
          <t>Föryngringsavverkning</t>
        </is>
      </c>
      <c r="D5286" s="1" t="n">
        <v>45545</v>
      </c>
      <c r="E5286" s="1" t="n">
        <v>46326</v>
      </c>
      <c r="F5286" t="inlineStr">
        <is>
          <t>GÄVLEBORGS LÄN</t>
        </is>
      </c>
      <c r="G5286" t="inlineStr">
        <is>
          <t>HUDIKSVALL</t>
        </is>
      </c>
      <c r="H5286" t="inlineStr">
        <is>
          <t>Holmen skog AB</t>
        </is>
      </c>
      <c r="I5286" t="n">
        <v>3.8</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13358-2026</t>
        </is>
      </c>
      <c r="B5287" t="inlineStr">
        <is>
          <t>avverkningsanmälan</t>
        </is>
      </c>
      <c r="C5287" t="inlineStr">
        <is>
          <t>Föryngringsavverkning</t>
        </is>
      </c>
      <c r="D5287" s="1" t="n">
        <v>46094</v>
      </c>
      <c r="E5287" s="1" t="n">
        <v>46326</v>
      </c>
      <c r="F5287" t="inlineStr">
        <is>
          <t>GÄVLEBORGS LÄN</t>
        </is>
      </c>
      <c r="G5287" t="inlineStr">
        <is>
          <t>BOLLNÄS</t>
        </is>
      </c>
      <c r="I5287" t="n">
        <v>7.4</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13378-2026</t>
        </is>
      </c>
      <c r="B5288" t="inlineStr">
        <is>
          <t>avverkningsanmälan</t>
        </is>
      </c>
      <c r="C5288" t="inlineStr">
        <is>
          <t>Föryngringsavverkning</t>
        </is>
      </c>
      <c r="D5288" s="1" t="n">
        <v>46094</v>
      </c>
      <c r="E5288" s="1" t="n">
        <v>46326</v>
      </c>
      <c r="F5288" t="inlineStr">
        <is>
          <t>GÄVLEBORGS LÄN</t>
        </is>
      </c>
      <c r="G5288" t="inlineStr">
        <is>
          <t>BOLLNÄS</t>
        </is>
      </c>
      <c r="I5288" t="n">
        <v>5</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13088-2026</t>
        </is>
      </c>
      <c r="B5289" t="inlineStr">
        <is>
          <t>avverkningsanmälan</t>
        </is>
      </c>
      <c r="C5289" t="inlineStr">
        <is>
          <t>Föryngringsavverkning</t>
        </is>
      </c>
      <c r="D5289" s="1" t="n">
        <v>46093</v>
      </c>
      <c r="E5289" s="1" t="n">
        <v>46326</v>
      </c>
      <c r="F5289" t="inlineStr">
        <is>
          <t>GÄVLEBORGS LÄN</t>
        </is>
      </c>
      <c r="G5289" t="inlineStr">
        <is>
          <t>BOLLNÄS</t>
        </is>
      </c>
      <c r="H5289" t="inlineStr">
        <is>
          <t>Bergvik skog väst AB</t>
        </is>
      </c>
      <c r="I5289" t="n">
        <v>32.8</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13363-2026</t>
        </is>
      </c>
      <c r="B5290" t="inlineStr">
        <is>
          <t>avverkningsanmälan</t>
        </is>
      </c>
      <c r="C5290" t="inlineStr">
        <is>
          <t>Föryngringsavverkning</t>
        </is>
      </c>
      <c r="D5290" s="1" t="n">
        <v>46094</v>
      </c>
      <c r="E5290" s="1" t="n">
        <v>46326</v>
      </c>
      <c r="F5290" t="inlineStr">
        <is>
          <t>GÄVLEBORGS LÄN</t>
        </is>
      </c>
      <c r="G5290" t="inlineStr">
        <is>
          <t>BOLLNÄS</t>
        </is>
      </c>
      <c r="I5290" t="n">
        <v>9.199999999999999</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13409-2026</t>
        </is>
      </c>
      <c r="B5291" t="inlineStr">
        <is>
          <t>avverkningsanmälan</t>
        </is>
      </c>
      <c r="C5291" t="inlineStr">
        <is>
          <t>Föryngringsavverkning</t>
        </is>
      </c>
      <c r="D5291" s="1" t="n">
        <v>46094</v>
      </c>
      <c r="E5291" s="1" t="n">
        <v>46326</v>
      </c>
      <c r="F5291" t="inlineStr">
        <is>
          <t>GÄVLEBORGS LÄN</t>
        </is>
      </c>
      <c r="G5291" t="inlineStr">
        <is>
          <t>SANDVIKEN</t>
        </is>
      </c>
      <c r="I5291" t="n">
        <v>2</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13207-2026</t>
        </is>
      </c>
      <c r="B5292" t="inlineStr">
        <is>
          <t>avverkningsanmälan</t>
        </is>
      </c>
      <c r="C5292" t="inlineStr">
        <is>
          <t>Föryngringsavverkning</t>
        </is>
      </c>
      <c r="D5292" s="1" t="n">
        <v>46093</v>
      </c>
      <c r="E5292" s="1" t="n">
        <v>46326</v>
      </c>
      <c r="F5292" t="inlineStr">
        <is>
          <t>GÄVLEBORGS LÄN</t>
        </is>
      </c>
      <c r="G5292" t="inlineStr">
        <is>
          <t>BOLLNÄS</t>
        </is>
      </c>
      <c r="H5292" t="inlineStr">
        <is>
          <t>Bergvik skog väst AB</t>
        </is>
      </c>
      <c r="I5292" t="n">
        <v>1.3</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14296-2024</t>
        </is>
      </c>
      <c r="B5293" t="inlineStr">
        <is>
          <t>avverkningsanmälan</t>
        </is>
      </c>
      <c r="C5293" t="inlineStr">
        <is>
          <t>Avverkning för annat ändamål</t>
        </is>
      </c>
      <c r="D5293" s="1" t="n">
        <v>45393</v>
      </c>
      <c r="E5293" s="1" t="n">
        <v>46326</v>
      </c>
      <c r="F5293" t="inlineStr">
        <is>
          <t>GÄVLEBORGS LÄN</t>
        </is>
      </c>
      <c r="G5293" t="inlineStr">
        <is>
          <t>LJUSDAL</t>
        </is>
      </c>
      <c r="H5293" t="inlineStr">
        <is>
          <t>Bergvik skog väst AB</t>
        </is>
      </c>
      <c r="I5293" t="n">
        <v>0.4</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18401-2023</t>
        </is>
      </c>
      <c r="B5294" t="inlineStr">
        <is>
          <t>avverkningsanmälan</t>
        </is>
      </c>
      <c r="C5294" t="inlineStr">
        <is>
          <t>Föryngringsavverkning</t>
        </is>
      </c>
      <c r="D5294" s="1" t="n">
        <v>45042</v>
      </c>
      <c r="E5294" s="1" t="n">
        <v>46326</v>
      </c>
      <c r="F5294" t="inlineStr">
        <is>
          <t>GÄVLEBORGS LÄN</t>
        </is>
      </c>
      <c r="G5294" t="inlineStr">
        <is>
          <t>NORDANSTIG</t>
        </is>
      </c>
      <c r="I5294" t="n">
        <v>1</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6951-2024</t>
        </is>
      </c>
      <c r="B5295" t="inlineStr">
        <is>
          <t>avverkningsanmälan</t>
        </is>
      </c>
      <c r="C5295" t="inlineStr">
        <is>
          <t>Föryngringsavverkning</t>
        </is>
      </c>
      <c r="D5295" s="1" t="n">
        <v>45343</v>
      </c>
      <c r="E5295" s="1" t="n">
        <v>46326</v>
      </c>
      <c r="F5295" t="inlineStr">
        <is>
          <t>GÄVLEBORGS LÄN</t>
        </is>
      </c>
      <c r="G5295" t="inlineStr">
        <is>
          <t>SANDVIKEN</t>
        </is>
      </c>
      <c r="I5295" t="n">
        <v>2.1</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13451-2026</t>
        </is>
      </c>
      <c r="B5296" t="inlineStr">
        <is>
          <t>avverkningsanmälan</t>
        </is>
      </c>
      <c r="C5296" t="inlineStr">
        <is>
          <t>Föryngringsavverkning</t>
        </is>
      </c>
      <c r="D5296" s="1" t="n">
        <v>46094</v>
      </c>
      <c r="E5296" s="1" t="n">
        <v>46326</v>
      </c>
      <c r="F5296" t="inlineStr">
        <is>
          <t>GÄVLEBORGS LÄN</t>
        </is>
      </c>
      <c r="G5296" t="inlineStr">
        <is>
          <t>HUDIKSVALL</t>
        </is>
      </c>
      <c r="I5296" t="n">
        <v>0.4</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13453-2026</t>
        </is>
      </c>
      <c r="B5297" t="inlineStr">
        <is>
          <t>avverkningsanmälan</t>
        </is>
      </c>
      <c r="C5297" t="inlineStr">
        <is>
          <t>Föryngringsavverkning</t>
        </is>
      </c>
      <c r="D5297" s="1" t="n">
        <v>46094</v>
      </c>
      <c r="E5297" s="1" t="n">
        <v>46326</v>
      </c>
      <c r="F5297" t="inlineStr">
        <is>
          <t>GÄVLEBORGS LÄN</t>
        </is>
      </c>
      <c r="G5297" t="inlineStr">
        <is>
          <t>HUDIKSVALL</t>
        </is>
      </c>
      <c r="I5297" t="n">
        <v>0.3</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13317-2026</t>
        </is>
      </c>
      <c r="B5298" t="inlineStr">
        <is>
          <t>avverkningsanmälan</t>
        </is>
      </c>
      <c r="C5298" t="inlineStr">
        <is>
          <t>Föryngringsavverkning</t>
        </is>
      </c>
      <c r="D5298" s="1" t="n">
        <v>46094</v>
      </c>
      <c r="E5298" s="1" t="n">
        <v>46326</v>
      </c>
      <c r="F5298" t="inlineStr">
        <is>
          <t>GÄVLEBORGS LÄN</t>
        </is>
      </c>
      <c r="G5298" t="inlineStr">
        <is>
          <t>GÄVLE</t>
        </is>
      </c>
      <c r="H5298" t="inlineStr">
        <is>
          <t>Bergvik skog öst AB</t>
        </is>
      </c>
      <c r="I5298" t="n">
        <v>1.1</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13132-2026</t>
        </is>
      </c>
      <c r="B5299" t="inlineStr">
        <is>
          <t>avverkningsanmälan</t>
        </is>
      </c>
      <c r="C5299" t="inlineStr">
        <is>
          <t>Föryngringsavverkning</t>
        </is>
      </c>
      <c r="D5299" s="1" t="n">
        <v>46093</v>
      </c>
      <c r="E5299" s="1" t="n">
        <v>46326</v>
      </c>
      <c r="F5299" t="inlineStr">
        <is>
          <t>GÄVLEBORGS LÄN</t>
        </is>
      </c>
      <c r="G5299" t="inlineStr">
        <is>
          <t>BOLLNÄS</t>
        </is>
      </c>
      <c r="I5299" t="n">
        <v>1.1</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13168-2026</t>
        </is>
      </c>
      <c r="B5300" t="inlineStr">
        <is>
          <t>avverkningsanmälan</t>
        </is>
      </c>
      <c r="C5300" t="inlineStr">
        <is>
          <t>Föryngringsavverkning</t>
        </is>
      </c>
      <c r="D5300" s="1" t="n">
        <v>46093</v>
      </c>
      <c r="E5300" s="1" t="n">
        <v>46326</v>
      </c>
      <c r="F5300" t="inlineStr">
        <is>
          <t>GÄVLEBORGS LÄN</t>
        </is>
      </c>
      <c r="G5300" t="inlineStr">
        <is>
          <t>HUDIKSVALL</t>
        </is>
      </c>
      <c r="H5300" t="inlineStr">
        <is>
          <t>Sveaskog</t>
        </is>
      </c>
      <c r="I5300" t="n">
        <v>1.9</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13170-2026</t>
        </is>
      </c>
      <c r="B5301" t="inlineStr">
        <is>
          <t>avverkningsanmälan</t>
        </is>
      </c>
      <c r="C5301" t="inlineStr">
        <is>
          <t>Föryngringsavverkning</t>
        </is>
      </c>
      <c r="D5301" s="1" t="n">
        <v>46093</v>
      </c>
      <c r="E5301" s="1" t="n">
        <v>46326</v>
      </c>
      <c r="F5301" t="inlineStr">
        <is>
          <t>GÄVLEBORGS LÄN</t>
        </is>
      </c>
      <c r="G5301" t="inlineStr">
        <is>
          <t>HUDIKSVALL</t>
        </is>
      </c>
      <c r="H5301" t="inlineStr">
        <is>
          <t>Sveaskog</t>
        </is>
      </c>
      <c r="I5301" t="n">
        <v>0.8</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13173-2026</t>
        </is>
      </c>
      <c r="B5302" t="inlineStr">
        <is>
          <t>avverkningsanmälan</t>
        </is>
      </c>
      <c r="C5302" t="inlineStr">
        <is>
          <t>Föryngringsavverkning</t>
        </is>
      </c>
      <c r="D5302" s="1" t="n">
        <v>46093</v>
      </c>
      <c r="E5302" s="1" t="n">
        <v>46326</v>
      </c>
      <c r="F5302" t="inlineStr">
        <is>
          <t>GÄVLEBORGS LÄN</t>
        </is>
      </c>
      <c r="G5302" t="inlineStr">
        <is>
          <t>BOLLNÄS</t>
        </is>
      </c>
      <c r="I5302" t="n">
        <v>6</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13201-2026</t>
        </is>
      </c>
      <c r="B5303" t="inlineStr">
        <is>
          <t>avverkningsanmälan</t>
        </is>
      </c>
      <c r="C5303" t="inlineStr">
        <is>
          <t>Föryngringsavverkning</t>
        </is>
      </c>
      <c r="D5303" s="1" t="n">
        <v>46093</v>
      </c>
      <c r="E5303" s="1" t="n">
        <v>46326</v>
      </c>
      <c r="F5303" t="inlineStr">
        <is>
          <t>GÄVLEBORGS LÄN</t>
        </is>
      </c>
      <c r="G5303" t="inlineStr">
        <is>
          <t>BOLLNÄS</t>
        </is>
      </c>
      <c r="H5303" t="inlineStr">
        <is>
          <t>Bergvik skog väst AB</t>
        </is>
      </c>
      <c r="I5303" t="n">
        <v>17.4</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13218-2026</t>
        </is>
      </c>
      <c r="B5304" t="inlineStr">
        <is>
          <t>avverkningsanmälan</t>
        </is>
      </c>
      <c r="C5304" t="inlineStr">
        <is>
          <t>Föryngringsavverkning</t>
        </is>
      </c>
      <c r="D5304" s="1" t="n">
        <v>46093</v>
      </c>
      <c r="E5304" s="1" t="n">
        <v>46326</v>
      </c>
      <c r="F5304" t="inlineStr">
        <is>
          <t>GÄVLEBORGS LÄN</t>
        </is>
      </c>
      <c r="G5304" t="inlineStr">
        <is>
          <t>NORDANSTIG</t>
        </is>
      </c>
      <c r="I5304" t="n">
        <v>6.2</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13458-2026</t>
        </is>
      </c>
      <c r="B5305" t="inlineStr">
        <is>
          <t>avverkningsanmälan</t>
        </is>
      </c>
      <c r="C5305" t="inlineStr">
        <is>
          <t>Föryngringsavverkning</t>
        </is>
      </c>
      <c r="D5305" s="1" t="n">
        <v>46094</v>
      </c>
      <c r="E5305" s="1" t="n">
        <v>46326</v>
      </c>
      <c r="F5305" t="inlineStr">
        <is>
          <t>GÄVLEBORGS LÄN</t>
        </is>
      </c>
      <c r="G5305" t="inlineStr">
        <is>
          <t>HUDIKSVALL</t>
        </is>
      </c>
      <c r="H5305" t="inlineStr">
        <is>
          <t>Holmen skog AB</t>
        </is>
      </c>
      <c r="I5305" t="n">
        <v>7.9</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13460-2026</t>
        </is>
      </c>
      <c r="B5306" t="inlineStr">
        <is>
          <t>avverkningsanmälan</t>
        </is>
      </c>
      <c r="C5306" t="inlineStr">
        <is>
          <t>Föryngringsavverkning</t>
        </is>
      </c>
      <c r="D5306" s="1" t="n">
        <v>46093</v>
      </c>
      <c r="E5306" s="1" t="n">
        <v>46326</v>
      </c>
      <c r="F5306" t="inlineStr">
        <is>
          <t>GÄVLEBORGS LÄN</t>
        </is>
      </c>
      <c r="G5306" t="inlineStr">
        <is>
          <t>BOLLNÄS</t>
        </is>
      </c>
      <c r="I5306" t="n">
        <v>0.7</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13489-2026</t>
        </is>
      </c>
      <c r="B5307" t="inlineStr">
        <is>
          <t>avverkningsanmälan</t>
        </is>
      </c>
      <c r="C5307" t="inlineStr">
        <is>
          <t>Föryngringsavverkning</t>
        </is>
      </c>
      <c r="D5307" s="1" t="n">
        <v>46094</v>
      </c>
      <c r="E5307" s="1" t="n">
        <v>46326</v>
      </c>
      <c r="F5307" t="inlineStr">
        <is>
          <t>GÄVLEBORGS LÄN</t>
        </is>
      </c>
      <c r="G5307" t="inlineStr">
        <is>
          <t>GÄVLE</t>
        </is>
      </c>
      <c r="H5307" t="inlineStr">
        <is>
          <t>Bergvik skog öst AB</t>
        </is>
      </c>
      <c r="I5307" t="n">
        <v>0.4</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36525-2024</t>
        </is>
      </c>
      <c r="B5308" t="inlineStr">
        <is>
          <t>avverkningsanmälan</t>
        </is>
      </c>
      <c r="C5308" t="inlineStr">
        <is>
          <t>Föryngringsavverkning</t>
        </is>
      </c>
      <c r="D5308" s="1" t="n">
        <v>45537</v>
      </c>
      <c r="E5308" s="1" t="n">
        <v>46326</v>
      </c>
      <c r="F5308" t="inlineStr">
        <is>
          <t>GÄVLEBORGS LÄN</t>
        </is>
      </c>
      <c r="G5308" t="inlineStr">
        <is>
          <t>NORDANSTIG</t>
        </is>
      </c>
      <c r="H5308" t="inlineStr">
        <is>
          <t>Holmen skog AB</t>
        </is>
      </c>
      <c r="I5308" t="n">
        <v>2.6</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13521-2026</t>
        </is>
      </c>
      <c r="B5309" t="inlineStr">
        <is>
          <t>avverkningsanmälan</t>
        </is>
      </c>
      <c r="C5309" t="inlineStr">
        <is>
          <t>Föryngringsavverkning</t>
        </is>
      </c>
      <c r="D5309" s="1" t="n">
        <v>46094</v>
      </c>
      <c r="E5309" s="1" t="n">
        <v>46326</v>
      </c>
      <c r="F5309" t="inlineStr">
        <is>
          <t>GÄVLEBORGS LÄN</t>
        </is>
      </c>
      <c r="G5309" t="inlineStr">
        <is>
          <t>GÄVLE</t>
        </is>
      </c>
      <c r="H5309" t="inlineStr">
        <is>
          <t>Bergvik skog öst AB</t>
        </is>
      </c>
      <c r="I5309" t="n">
        <v>1.8</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13445-2026</t>
        </is>
      </c>
      <c r="B5310" t="inlineStr">
        <is>
          <t>avverkningsanmälan</t>
        </is>
      </c>
      <c r="C5310" t="inlineStr">
        <is>
          <t>Föryngringsavverkning</t>
        </is>
      </c>
      <c r="D5310" s="1" t="n">
        <v>46094</v>
      </c>
      <c r="E5310" s="1" t="n">
        <v>46326</v>
      </c>
      <c r="F5310" t="inlineStr">
        <is>
          <t>GÄVLEBORGS LÄN</t>
        </is>
      </c>
      <c r="G5310" t="inlineStr">
        <is>
          <t>HUDIKSVALL</t>
        </is>
      </c>
      <c r="H5310" t="inlineStr">
        <is>
          <t>Holmen skog AB</t>
        </is>
      </c>
      <c r="I5310" t="n">
        <v>1.2</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13421-2026</t>
        </is>
      </c>
      <c r="B5311" t="inlineStr">
        <is>
          <t>avverkningsanmälan</t>
        </is>
      </c>
      <c r="C5311" t="inlineStr">
        <is>
          <t>Föryngringsavverkning</t>
        </is>
      </c>
      <c r="D5311" s="1" t="n">
        <v>46094</v>
      </c>
      <c r="E5311" s="1" t="n">
        <v>46326</v>
      </c>
      <c r="F5311" t="inlineStr">
        <is>
          <t>GÄVLEBORGS LÄN</t>
        </is>
      </c>
      <c r="G5311" t="inlineStr">
        <is>
          <t>BOLLNÄS</t>
        </is>
      </c>
      <c r="I5311" t="n">
        <v>0.8</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60682-2025</t>
        </is>
      </c>
      <c r="B5312" t="inlineStr">
        <is>
          <t>avverkningsanmälan</t>
        </is>
      </c>
      <c r="C5312" t="inlineStr">
        <is>
          <t>Föryngringsavverkning</t>
        </is>
      </c>
      <c r="D5312" s="1" t="n">
        <v>45996</v>
      </c>
      <c r="E5312" s="1" t="n">
        <v>46326</v>
      </c>
      <c r="F5312" t="inlineStr">
        <is>
          <t>GÄVLEBORGS LÄN</t>
        </is>
      </c>
      <c r="G5312" t="inlineStr">
        <is>
          <t>LJUSDAL</t>
        </is>
      </c>
      <c r="I5312" t="n">
        <v>7.2</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13441-2026</t>
        </is>
      </c>
      <c r="B5313" t="inlineStr">
        <is>
          <t>avverkningsanmälan</t>
        </is>
      </c>
      <c r="C5313" t="inlineStr">
        <is>
          <t>Föryngringsavverkning</t>
        </is>
      </c>
      <c r="D5313" s="1" t="n">
        <v>46094</v>
      </c>
      <c r="E5313" s="1" t="n">
        <v>46326</v>
      </c>
      <c r="F5313" t="inlineStr">
        <is>
          <t>GÄVLEBORGS LÄN</t>
        </is>
      </c>
      <c r="G5313" t="inlineStr">
        <is>
          <t>OCKELBO</t>
        </is>
      </c>
      <c r="I5313" t="n">
        <v>0.6</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13216-2026</t>
        </is>
      </c>
      <c r="B5314" t="inlineStr">
        <is>
          <t>avverkningsanmälan</t>
        </is>
      </c>
      <c r="C5314" t="inlineStr">
        <is>
          <t>Föryngringsavverkning</t>
        </is>
      </c>
      <c r="D5314" s="1" t="n">
        <v>46093</v>
      </c>
      <c r="E5314" s="1" t="n">
        <v>46326</v>
      </c>
      <c r="F5314" t="inlineStr">
        <is>
          <t>GÄVLEBORGS LÄN</t>
        </is>
      </c>
      <c r="G5314" t="inlineStr">
        <is>
          <t>OCKELBO</t>
        </is>
      </c>
      <c r="I5314" t="n">
        <v>1.7</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13321-2026</t>
        </is>
      </c>
      <c r="B5315" t="inlineStr">
        <is>
          <t>avverkningsanmälan</t>
        </is>
      </c>
      <c r="C5315" t="inlineStr">
        <is>
          <t>Föryngringsavverkning</t>
        </is>
      </c>
      <c r="D5315" s="1" t="n">
        <v>46094</v>
      </c>
      <c r="E5315" s="1" t="n">
        <v>46326</v>
      </c>
      <c r="F5315" t="inlineStr">
        <is>
          <t>GÄVLEBORGS LÄN</t>
        </is>
      </c>
      <c r="G5315" t="inlineStr">
        <is>
          <t>OCKELBO</t>
        </is>
      </c>
      <c r="I5315" t="n">
        <v>0.5</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13329-2026</t>
        </is>
      </c>
      <c r="B5316" t="inlineStr">
        <is>
          <t>avverkningsanmälan</t>
        </is>
      </c>
      <c r="C5316" t="inlineStr">
        <is>
          <t>Föryngringsavverkning</t>
        </is>
      </c>
      <c r="D5316" s="1" t="n">
        <v>46094</v>
      </c>
      <c r="E5316" s="1" t="n">
        <v>46326</v>
      </c>
      <c r="F5316" t="inlineStr">
        <is>
          <t>GÄVLEBORGS LÄN</t>
        </is>
      </c>
      <c r="G5316" t="inlineStr">
        <is>
          <t>GÄVLE</t>
        </is>
      </c>
      <c r="H5316" t="inlineStr">
        <is>
          <t>Bergvik skog öst AB</t>
        </is>
      </c>
      <c r="I5316" t="n">
        <v>1.1</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13231-2026</t>
        </is>
      </c>
      <c r="B5317" t="inlineStr">
        <is>
          <t>avverkningsanmälan</t>
        </is>
      </c>
      <c r="C5317" t="inlineStr">
        <is>
          <t>Föryngringsavverkning</t>
        </is>
      </c>
      <c r="D5317" s="1" t="n">
        <v>46093</v>
      </c>
      <c r="E5317" s="1" t="n">
        <v>46326</v>
      </c>
      <c r="F5317" t="inlineStr">
        <is>
          <t>GÄVLEBORGS LÄN</t>
        </is>
      </c>
      <c r="G5317" t="inlineStr">
        <is>
          <t>BOLLNÄS</t>
        </is>
      </c>
      <c r="I5317" t="n">
        <v>2.3</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13432-2026</t>
        </is>
      </c>
      <c r="B5318" t="inlineStr">
        <is>
          <t>avverkningsanmälan</t>
        </is>
      </c>
      <c r="C5318" t="inlineStr">
        <is>
          <t>Föryngringsavverkning</t>
        </is>
      </c>
      <c r="D5318" s="1" t="n">
        <v>46094</v>
      </c>
      <c r="E5318" s="1" t="n">
        <v>46326</v>
      </c>
      <c r="F5318" t="inlineStr">
        <is>
          <t>GÄVLEBORGS LÄN</t>
        </is>
      </c>
      <c r="G5318" t="inlineStr">
        <is>
          <t>GÄVLE</t>
        </is>
      </c>
      <c r="H5318" t="inlineStr">
        <is>
          <t>Bergvik skog öst AB</t>
        </is>
      </c>
      <c r="I5318" t="n">
        <v>10.2</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13389-2026</t>
        </is>
      </c>
      <c r="B5319" t="inlineStr">
        <is>
          <t>avverkningsanmälan</t>
        </is>
      </c>
      <c r="C5319" t="inlineStr">
        <is>
          <t>Föryngringsavverkning</t>
        </is>
      </c>
      <c r="D5319" s="1" t="n">
        <v>46094</v>
      </c>
      <c r="E5319" s="1" t="n">
        <v>46326</v>
      </c>
      <c r="F5319" t="inlineStr">
        <is>
          <t>GÄVLEBORGS LÄN</t>
        </is>
      </c>
      <c r="G5319" t="inlineStr">
        <is>
          <t>GÄVLE</t>
        </is>
      </c>
      <c r="H5319" t="inlineStr">
        <is>
          <t>Bergvik skog öst AB</t>
        </is>
      </c>
      <c r="I5319" t="n">
        <v>1.1</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13401-2026</t>
        </is>
      </c>
      <c r="B5320" t="inlineStr">
        <is>
          <t>avverkningsanmälan</t>
        </is>
      </c>
      <c r="C5320" t="inlineStr">
        <is>
          <t>Föryngringsavverkning</t>
        </is>
      </c>
      <c r="D5320" s="1" t="n">
        <v>46094</v>
      </c>
      <c r="E5320" s="1" t="n">
        <v>46326</v>
      </c>
      <c r="F5320" t="inlineStr">
        <is>
          <t>GÄVLEBORGS LÄN</t>
        </is>
      </c>
      <c r="G5320" t="inlineStr">
        <is>
          <t>LJUSDAL</t>
        </is>
      </c>
      <c r="I5320" t="n">
        <v>5.7</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13503-2026</t>
        </is>
      </c>
      <c r="B5321" t="inlineStr">
        <is>
          <t>avverkningsanmälan</t>
        </is>
      </c>
      <c r="C5321" t="inlineStr">
        <is>
          <t>Föryngringsavverkning</t>
        </is>
      </c>
      <c r="D5321" s="1" t="n">
        <v>46094</v>
      </c>
      <c r="E5321" s="1" t="n">
        <v>46326</v>
      </c>
      <c r="F5321" t="inlineStr">
        <is>
          <t>GÄVLEBORGS LÄN</t>
        </is>
      </c>
      <c r="G5321" t="inlineStr">
        <is>
          <t>GÄVLE</t>
        </is>
      </c>
      <c r="H5321" t="inlineStr">
        <is>
          <t>Bergvik skog öst AB</t>
        </is>
      </c>
      <c r="I5321" t="n">
        <v>2.3</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13052-2026</t>
        </is>
      </c>
      <c r="B5322" t="inlineStr">
        <is>
          <t>avverkningsanmälan</t>
        </is>
      </c>
      <c r="C5322" t="inlineStr">
        <is>
          <t>Föryngringsavverkning</t>
        </is>
      </c>
      <c r="D5322" s="1" t="n">
        <v>46093</v>
      </c>
      <c r="E5322" s="1" t="n">
        <v>46326</v>
      </c>
      <c r="F5322" t="inlineStr">
        <is>
          <t>GÄVLEBORGS LÄN</t>
        </is>
      </c>
      <c r="G5322" t="inlineStr">
        <is>
          <t>BOLLNÄS</t>
        </is>
      </c>
      <c r="H5322" t="inlineStr">
        <is>
          <t>Bergvik skog väst AB</t>
        </is>
      </c>
      <c r="I5322" t="n">
        <v>28.3</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13083-2026</t>
        </is>
      </c>
      <c r="B5323" t="inlineStr">
        <is>
          <t>avverkningsanmälan</t>
        </is>
      </c>
      <c r="C5323" t="inlineStr">
        <is>
          <t>Föryngringsavverkning</t>
        </is>
      </c>
      <c r="D5323" s="1" t="n">
        <v>46093</v>
      </c>
      <c r="E5323" s="1" t="n">
        <v>46326</v>
      </c>
      <c r="F5323" t="inlineStr">
        <is>
          <t>GÄVLEBORGS LÄN</t>
        </is>
      </c>
      <c r="G5323" t="inlineStr">
        <is>
          <t>BOLLNÄS</t>
        </is>
      </c>
      <c r="H5323" t="inlineStr">
        <is>
          <t>Bergvik skog väst AB</t>
        </is>
      </c>
      <c r="I5323" t="n">
        <v>4.2</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13156-2026</t>
        </is>
      </c>
      <c r="B5324" t="inlineStr">
        <is>
          <t>avverkningsanmälan</t>
        </is>
      </c>
      <c r="C5324" t="inlineStr">
        <is>
          <t>Föryngringsavverkning</t>
        </is>
      </c>
      <c r="D5324" s="1" t="n">
        <v>46093</v>
      </c>
      <c r="E5324" s="1" t="n">
        <v>46326</v>
      </c>
      <c r="F5324" t="inlineStr">
        <is>
          <t>GÄVLEBORGS LÄN</t>
        </is>
      </c>
      <c r="G5324" t="inlineStr">
        <is>
          <t>HUDIKSVALL</t>
        </is>
      </c>
      <c r="I5324" t="n">
        <v>5.4</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61093-2025</t>
        </is>
      </c>
      <c r="B5325" t="inlineStr">
        <is>
          <t>avverkningsanmälan</t>
        </is>
      </c>
      <c r="C5325" t="inlineStr">
        <is>
          <t>Föryngringsavverkning</t>
        </is>
      </c>
      <c r="D5325" s="1" t="n">
        <v>46000</v>
      </c>
      <c r="E5325" s="1" t="n">
        <v>46326</v>
      </c>
      <c r="F5325" t="inlineStr">
        <is>
          <t>GÄVLEBORGS LÄN</t>
        </is>
      </c>
      <c r="G5325" t="inlineStr">
        <is>
          <t>GÄVLE</t>
        </is>
      </c>
      <c r="I5325" t="n">
        <v>5.7</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21616-2022</t>
        </is>
      </c>
      <c r="B5326" t="inlineStr">
        <is>
          <t>avverkningsanmälan</t>
        </is>
      </c>
      <c r="C5326" t="inlineStr">
        <is>
          <t>Avverkning för annat ändamål</t>
        </is>
      </c>
      <c r="D5326" s="1" t="n">
        <v>44706</v>
      </c>
      <c r="E5326" s="1" t="n">
        <v>46326</v>
      </c>
      <c r="F5326" t="inlineStr">
        <is>
          <t>GÄVLEBORGS LÄN</t>
        </is>
      </c>
      <c r="G5326" t="inlineStr">
        <is>
          <t>BOLLNÄS</t>
        </is>
      </c>
      <c r="I5326" t="n">
        <v>0.7</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8448-2025</t>
        </is>
      </c>
      <c r="B5327" t="inlineStr">
        <is>
          <t>avverkningsanmälan</t>
        </is>
      </c>
      <c r="C5327" t="inlineStr">
        <is>
          <t>Föryngringsavverkning</t>
        </is>
      </c>
      <c r="D5327" s="1" t="n">
        <v>45709</v>
      </c>
      <c r="E5327" s="1" t="n">
        <v>46326</v>
      </c>
      <c r="F5327" t="inlineStr">
        <is>
          <t>GÄVLEBORGS LÄN</t>
        </is>
      </c>
      <c r="G5327" t="inlineStr">
        <is>
          <t>HOFORS</t>
        </is>
      </c>
      <c r="I5327" t="n">
        <v>1.7</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61234-2025</t>
        </is>
      </c>
      <c r="B5328" t="inlineStr">
        <is>
          <t>avverkningsanmälan</t>
        </is>
      </c>
      <c r="C5328" t="inlineStr">
        <is>
          <t>Föryngringsavverkning</t>
        </is>
      </c>
      <c r="D5328" s="1" t="n">
        <v>46000</v>
      </c>
      <c r="E5328" s="1" t="n">
        <v>46326</v>
      </c>
      <c r="F5328" t="inlineStr">
        <is>
          <t>GÄVLEBORGS LÄN</t>
        </is>
      </c>
      <c r="G5328" t="inlineStr">
        <is>
          <t>LJUSDAL</t>
        </is>
      </c>
      <c r="I5328" t="n">
        <v>1.1</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13289-2026</t>
        </is>
      </c>
      <c r="B5329" t="inlineStr">
        <is>
          <t>avverkningsanmälan</t>
        </is>
      </c>
      <c r="C5329" t="inlineStr">
        <is>
          <t>Föryngringsavverkning</t>
        </is>
      </c>
      <c r="D5329" s="1" t="n">
        <v>46094</v>
      </c>
      <c r="E5329" s="1" t="n">
        <v>46326</v>
      </c>
      <c r="F5329" t="inlineStr">
        <is>
          <t>GÄVLEBORGS LÄN</t>
        </is>
      </c>
      <c r="G5329" t="inlineStr">
        <is>
          <t>SÖDERHAMN</t>
        </is>
      </c>
      <c r="I5329" t="n">
        <v>4.1</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61042-2025</t>
        </is>
      </c>
      <c r="B5330" t="inlineStr">
        <is>
          <t>avverkningsanmälan</t>
        </is>
      </c>
      <c r="C5330" t="inlineStr">
        <is>
          <t>Föryngringsavverkning</t>
        </is>
      </c>
      <c r="D5330" s="1" t="n">
        <v>46000</v>
      </c>
      <c r="E5330" s="1" t="n">
        <v>46326</v>
      </c>
      <c r="F5330" t="inlineStr">
        <is>
          <t>GÄVLEBORGS LÄN</t>
        </is>
      </c>
      <c r="G5330" t="inlineStr">
        <is>
          <t>SÖDERHAMN</t>
        </is>
      </c>
      <c r="I5330" t="n">
        <v>1.7</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48149-2024</t>
        </is>
      </c>
      <c r="B5331" t="inlineStr">
        <is>
          <t>avverkningsanmälan</t>
        </is>
      </c>
      <c r="C5331" t="inlineStr">
        <is>
          <t>Föryngringsavverkning</t>
        </is>
      </c>
      <c r="D5331" s="1" t="n">
        <v>45589</v>
      </c>
      <c r="E5331" s="1" t="n">
        <v>46326</v>
      </c>
      <c r="F5331" t="inlineStr">
        <is>
          <t>GÄVLEBORGS LÄN</t>
        </is>
      </c>
      <c r="G5331" t="inlineStr">
        <is>
          <t>LJUSDAL</t>
        </is>
      </c>
      <c r="I5331" t="n">
        <v>2.3</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13108-2026</t>
        </is>
      </c>
      <c r="B5332" t="inlineStr">
        <is>
          <t>avverkningsanmälan</t>
        </is>
      </c>
      <c r="C5332" t="inlineStr">
        <is>
          <t>Föryngringsavverkning</t>
        </is>
      </c>
      <c r="D5332" s="1" t="n">
        <v>46093</v>
      </c>
      <c r="E5332" s="1" t="n">
        <v>46326</v>
      </c>
      <c r="F5332" t="inlineStr">
        <is>
          <t>GÄVLEBORGS LÄN</t>
        </is>
      </c>
      <c r="G5332" t="inlineStr">
        <is>
          <t>SANDVIKEN</t>
        </is>
      </c>
      <c r="I5332" t="n">
        <v>22.5</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39417-2024</t>
        </is>
      </c>
      <c r="B5333" t="inlineStr">
        <is>
          <t>avverkningsanmälan</t>
        </is>
      </c>
      <c r="C5333" t="inlineStr">
        <is>
          <t>Avverkning för annat ändamål</t>
        </is>
      </c>
      <c r="D5333" s="1" t="n">
        <v>45551</v>
      </c>
      <c r="E5333" s="1" t="n">
        <v>46326</v>
      </c>
      <c r="F5333" t="inlineStr">
        <is>
          <t>GÄVLEBORGS LÄN</t>
        </is>
      </c>
      <c r="G5333" t="inlineStr">
        <is>
          <t>LJUSDAL</t>
        </is>
      </c>
      <c r="I5333" t="n">
        <v>0.1</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61546-2025</t>
        </is>
      </c>
      <c r="B5334" t="inlineStr">
        <is>
          <t>avverkningsanmälan</t>
        </is>
      </c>
      <c r="C5334" t="inlineStr">
        <is>
          <t>Föryngringsavverkning</t>
        </is>
      </c>
      <c r="D5334" s="1" t="n">
        <v>46001</v>
      </c>
      <c r="E5334" s="1" t="n">
        <v>46326</v>
      </c>
      <c r="F5334" t="inlineStr">
        <is>
          <t>GÄVLEBORGS LÄN</t>
        </is>
      </c>
      <c r="G5334" t="inlineStr">
        <is>
          <t>HUDIKSVALL</t>
        </is>
      </c>
      <c r="I5334" t="n">
        <v>1.4</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13131-2026</t>
        </is>
      </c>
      <c r="B5335" t="inlineStr">
        <is>
          <t>avverkningsanmälan</t>
        </is>
      </c>
      <c r="C5335" t="inlineStr">
        <is>
          <t>Föryngringsavverkning</t>
        </is>
      </c>
      <c r="D5335" s="1" t="n">
        <v>46093</v>
      </c>
      <c r="E5335" s="1" t="n">
        <v>46326</v>
      </c>
      <c r="F5335" t="inlineStr">
        <is>
          <t>GÄVLEBORGS LÄN</t>
        </is>
      </c>
      <c r="G5335" t="inlineStr">
        <is>
          <t>BOLLNÄS</t>
        </is>
      </c>
      <c r="I5335" t="n">
        <v>4</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13162-2026</t>
        </is>
      </c>
      <c r="B5336" t="inlineStr">
        <is>
          <t>avverkningsanmälan</t>
        </is>
      </c>
      <c r="C5336" t="inlineStr">
        <is>
          <t>Föryngringsavverkning</t>
        </is>
      </c>
      <c r="D5336" s="1" t="n">
        <v>46093</v>
      </c>
      <c r="E5336" s="1" t="n">
        <v>46326</v>
      </c>
      <c r="F5336" t="inlineStr">
        <is>
          <t>GÄVLEBORGS LÄN</t>
        </is>
      </c>
      <c r="G5336" t="inlineStr">
        <is>
          <t>OCKELBO</t>
        </is>
      </c>
      <c r="H5336" t="inlineStr">
        <is>
          <t>Bergvik skog väst AB</t>
        </is>
      </c>
      <c r="I5336" t="n">
        <v>12.1</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18488-2024</t>
        </is>
      </c>
      <c r="B5337" t="inlineStr">
        <is>
          <t>avverkningsanmälan</t>
        </is>
      </c>
      <c r="C5337" t="inlineStr">
        <is>
          <t>Föryngringsavverkning</t>
        </is>
      </c>
      <c r="D5337" s="1" t="n">
        <v>45425</v>
      </c>
      <c r="E5337" s="1" t="n">
        <v>46326</v>
      </c>
      <c r="F5337" t="inlineStr">
        <is>
          <t>GÄVLEBORGS LÄN</t>
        </is>
      </c>
      <c r="G5337" t="inlineStr">
        <is>
          <t>LJUSDAL</t>
        </is>
      </c>
      <c r="I5337" t="n">
        <v>2.7</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61043-2025</t>
        </is>
      </c>
      <c r="B5338" t="inlineStr">
        <is>
          <t>avverkningsanmälan</t>
        </is>
      </c>
      <c r="C5338" t="inlineStr">
        <is>
          <t>Föryngringsavverkning</t>
        </is>
      </c>
      <c r="D5338" s="1" t="n">
        <v>46000</v>
      </c>
      <c r="E5338" s="1" t="n">
        <v>46326</v>
      </c>
      <c r="F5338" t="inlineStr">
        <is>
          <t>GÄVLEBORGS LÄN</t>
        </is>
      </c>
      <c r="G5338" t="inlineStr">
        <is>
          <t>BOLLNÄS</t>
        </is>
      </c>
      <c r="I5338" t="n">
        <v>1.5</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61299-2025</t>
        </is>
      </c>
      <c r="B5339" t="inlineStr">
        <is>
          <t>avverkningsanmälan</t>
        </is>
      </c>
      <c r="C5339" t="inlineStr">
        <is>
          <t>Föryngringsavverkning</t>
        </is>
      </c>
      <c r="D5339" s="1" t="n">
        <v>46000</v>
      </c>
      <c r="E5339" s="1" t="n">
        <v>46326</v>
      </c>
      <c r="F5339" t="inlineStr">
        <is>
          <t>GÄVLEBORGS LÄN</t>
        </is>
      </c>
      <c r="G5339" t="inlineStr">
        <is>
          <t>SANDVIKEN</t>
        </is>
      </c>
      <c r="I5339" t="n">
        <v>0.9</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61303-2025</t>
        </is>
      </c>
      <c r="B5340" t="inlineStr">
        <is>
          <t>avverkningsanmälan</t>
        </is>
      </c>
      <c r="C5340" t="inlineStr">
        <is>
          <t>Föryngringsavverkning</t>
        </is>
      </c>
      <c r="D5340" s="1" t="n">
        <v>46000</v>
      </c>
      <c r="E5340" s="1" t="n">
        <v>46326</v>
      </c>
      <c r="F5340" t="inlineStr">
        <is>
          <t>GÄVLEBORGS LÄN</t>
        </is>
      </c>
      <c r="G5340" t="inlineStr">
        <is>
          <t>SANDVIKEN</t>
        </is>
      </c>
      <c r="I5340" t="n">
        <v>0.4</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61046-2025</t>
        </is>
      </c>
      <c r="B5341" t="inlineStr">
        <is>
          <t>avverkningsanmälan</t>
        </is>
      </c>
      <c r="C5341" t="inlineStr">
        <is>
          <t>Föryngringsavverkning</t>
        </is>
      </c>
      <c r="D5341" s="1" t="n">
        <v>46000</v>
      </c>
      <c r="E5341" s="1" t="n">
        <v>46326</v>
      </c>
      <c r="F5341" t="inlineStr">
        <is>
          <t>GÄVLEBORGS LÄN</t>
        </is>
      </c>
      <c r="G5341" t="inlineStr">
        <is>
          <t>NORDANSTIG</t>
        </is>
      </c>
      <c r="I5341" t="n">
        <v>2.4</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61184-2025</t>
        </is>
      </c>
      <c r="B5342" t="inlineStr">
        <is>
          <t>avverkningsanmälan</t>
        </is>
      </c>
      <c r="C5342" t="inlineStr">
        <is>
          <t>Föryngringsavverkning</t>
        </is>
      </c>
      <c r="D5342" s="1" t="n">
        <v>46000</v>
      </c>
      <c r="E5342" s="1" t="n">
        <v>46326</v>
      </c>
      <c r="F5342" t="inlineStr">
        <is>
          <t>GÄVLEBORGS LÄN</t>
        </is>
      </c>
      <c r="G5342" t="inlineStr">
        <is>
          <t>LJUSDAL</t>
        </is>
      </c>
      <c r="H5342" t="inlineStr">
        <is>
          <t>Allmännings- och besparingsskogar</t>
        </is>
      </c>
      <c r="I5342" t="n">
        <v>1.2</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13026-2026</t>
        </is>
      </c>
      <c r="B5343" t="inlineStr">
        <is>
          <t>avverkningsanmälan</t>
        </is>
      </c>
      <c r="C5343" t="inlineStr">
        <is>
          <t>Föryngringsavverkning</t>
        </is>
      </c>
      <c r="D5343" s="1" t="n">
        <v>46092</v>
      </c>
      <c r="E5343" s="1" t="n">
        <v>46326</v>
      </c>
      <c r="F5343" t="inlineStr">
        <is>
          <t>GÄVLEBORGS LÄN</t>
        </is>
      </c>
      <c r="G5343" t="inlineStr">
        <is>
          <t>BOLLNÄS</t>
        </is>
      </c>
      <c r="I5343" t="n">
        <v>0.7</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13104-2026</t>
        </is>
      </c>
      <c r="B5344" t="inlineStr">
        <is>
          <t>avverkningsanmälan</t>
        </is>
      </c>
      <c r="C5344" t="inlineStr">
        <is>
          <t>Föryngringsavverkning</t>
        </is>
      </c>
      <c r="D5344" s="1" t="n">
        <v>46093</v>
      </c>
      <c r="E5344" s="1" t="n">
        <v>46326</v>
      </c>
      <c r="F5344" t="inlineStr">
        <is>
          <t>GÄVLEBORGS LÄN</t>
        </is>
      </c>
      <c r="G5344" t="inlineStr">
        <is>
          <t>GÄVLE</t>
        </is>
      </c>
      <c r="H5344" t="inlineStr">
        <is>
          <t>Bergvik skog öst AB</t>
        </is>
      </c>
      <c r="I5344" t="n">
        <v>4.1</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2251-2026</t>
        </is>
      </c>
      <c r="B5345" t="inlineStr">
        <is>
          <t>avverkningsanmälan</t>
        </is>
      </c>
      <c r="C5345" t="inlineStr">
        <is>
          <t>Föryngringsavverkning</t>
        </is>
      </c>
      <c r="D5345" s="1" t="n">
        <v>46036</v>
      </c>
      <c r="E5345" s="1" t="n">
        <v>46326</v>
      </c>
      <c r="F5345" t="inlineStr">
        <is>
          <t>GÄVLEBORGS LÄN</t>
        </is>
      </c>
      <c r="G5345" t="inlineStr">
        <is>
          <t>SANDVIKEN</t>
        </is>
      </c>
      <c r="I5345" t="n">
        <v>6.7</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61416-2025</t>
        </is>
      </c>
      <c r="B5346" t="inlineStr">
        <is>
          <t>avverkningsanmälan</t>
        </is>
      </c>
      <c r="C5346" t="inlineStr">
        <is>
          <t>Avverkning för att bevara och utveckla /försöksver</t>
        </is>
      </c>
      <c r="D5346" s="1" t="n">
        <v>46001</v>
      </c>
      <c r="E5346" s="1" t="n">
        <v>46326</v>
      </c>
      <c r="F5346" t="inlineStr">
        <is>
          <t>GÄVLEBORGS LÄN</t>
        </is>
      </c>
      <c r="G5346" t="inlineStr">
        <is>
          <t>SÖDERHAMN</t>
        </is>
      </c>
      <c r="I5346" t="n">
        <v>2</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29534-2023</t>
        </is>
      </c>
      <c r="B5347" t="inlineStr">
        <is>
          <t>avverkningsanmälan</t>
        </is>
      </c>
      <c r="C5347" t="inlineStr">
        <is>
          <t>Föryngringsavverkning</t>
        </is>
      </c>
      <c r="D5347" s="1" t="n">
        <v>45106</v>
      </c>
      <c r="E5347" s="1" t="n">
        <v>46326</v>
      </c>
      <c r="F5347" t="inlineStr">
        <is>
          <t>GÄVLEBORGS LÄN</t>
        </is>
      </c>
      <c r="G5347" t="inlineStr">
        <is>
          <t>OCKELBO</t>
        </is>
      </c>
      <c r="H5347" t="inlineStr">
        <is>
          <t>Bergvik skog väst AB</t>
        </is>
      </c>
      <c r="I5347" t="n">
        <v>1</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13527-2026</t>
        </is>
      </c>
      <c r="B5348" t="inlineStr">
        <is>
          <t>avverkningsanmälan</t>
        </is>
      </c>
      <c r="C5348" t="inlineStr">
        <is>
          <t>Föryngringsavverkning</t>
        </is>
      </c>
      <c r="D5348" s="1" t="n">
        <v>46094</v>
      </c>
      <c r="E5348" s="1" t="n">
        <v>46326</v>
      </c>
      <c r="F5348" t="inlineStr">
        <is>
          <t>GÄVLEBORGS LÄN</t>
        </is>
      </c>
      <c r="G5348" t="inlineStr">
        <is>
          <t>GÄVLE</t>
        </is>
      </c>
      <c r="H5348" t="inlineStr">
        <is>
          <t>Bergvik skog öst AB</t>
        </is>
      </c>
      <c r="I5348" t="n">
        <v>7.5</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13548-2026</t>
        </is>
      </c>
      <c r="B5349" t="inlineStr">
        <is>
          <t>avverkningsanmälan</t>
        </is>
      </c>
      <c r="C5349" t="inlineStr">
        <is>
          <t>Föryngringsavverkning</t>
        </is>
      </c>
      <c r="D5349" s="1" t="n">
        <v>46094</v>
      </c>
      <c r="E5349" s="1" t="n">
        <v>46326</v>
      </c>
      <c r="F5349" t="inlineStr">
        <is>
          <t>GÄVLEBORGS LÄN</t>
        </is>
      </c>
      <c r="G5349" t="inlineStr">
        <is>
          <t>BOLLNÄS</t>
        </is>
      </c>
      <c r="I5349" t="n">
        <v>4.1</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13552-2026</t>
        </is>
      </c>
      <c r="B5350" t="inlineStr">
        <is>
          <t>avverkningsanmälan</t>
        </is>
      </c>
      <c r="C5350" t="inlineStr">
        <is>
          <t>Föryngringsavverkning</t>
        </is>
      </c>
      <c r="D5350" s="1" t="n">
        <v>46094</v>
      </c>
      <c r="E5350" s="1" t="n">
        <v>46326</v>
      </c>
      <c r="F5350" t="inlineStr">
        <is>
          <t>GÄVLEBORGS LÄN</t>
        </is>
      </c>
      <c r="G5350" t="inlineStr">
        <is>
          <t>SANDVIKEN</t>
        </is>
      </c>
      <c r="I5350" t="n">
        <v>1.2</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13556-2026</t>
        </is>
      </c>
      <c r="B5351" t="inlineStr">
        <is>
          <t>avverkningsanmälan</t>
        </is>
      </c>
      <c r="C5351" t="inlineStr">
        <is>
          <t>Föryngringsavverkning</t>
        </is>
      </c>
      <c r="D5351" s="1" t="n">
        <v>46094</v>
      </c>
      <c r="E5351" s="1" t="n">
        <v>46326</v>
      </c>
      <c r="F5351" t="inlineStr">
        <is>
          <t>GÄVLEBORGS LÄN</t>
        </is>
      </c>
      <c r="G5351" t="inlineStr">
        <is>
          <t>BOLLNÄS</t>
        </is>
      </c>
      <c r="I5351" t="n">
        <v>9.6</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13682-2026</t>
        </is>
      </c>
      <c r="B5352" t="inlineStr">
        <is>
          <t>avverkningsanmälan</t>
        </is>
      </c>
      <c r="C5352" t="inlineStr">
        <is>
          <t>Föryngringsavverkning</t>
        </is>
      </c>
      <c r="D5352" s="1" t="n">
        <v>46097</v>
      </c>
      <c r="E5352" s="1" t="n">
        <v>46326</v>
      </c>
      <c r="F5352" t="inlineStr">
        <is>
          <t>GÄVLEBORGS LÄN</t>
        </is>
      </c>
      <c r="G5352" t="inlineStr">
        <is>
          <t>OVANÅKER</t>
        </is>
      </c>
      <c r="I5352" t="n">
        <v>3.1</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13732-2026</t>
        </is>
      </c>
      <c r="B5353" t="inlineStr">
        <is>
          <t>avverkningsanmälan</t>
        </is>
      </c>
      <c r="C5353" t="inlineStr">
        <is>
          <t>Föryngringsavverkning</t>
        </is>
      </c>
      <c r="D5353" s="1" t="n">
        <v>46097</v>
      </c>
      <c r="E5353" s="1" t="n">
        <v>46326</v>
      </c>
      <c r="F5353" t="inlineStr">
        <is>
          <t>GÄVLEBORGS LÄN</t>
        </is>
      </c>
      <c r="G5353" t="inlineStr">
        <is>
          <t>BOLLNÄS</t>
        </is>
      </c>
      <c r="I5353" t="n">
        <v>2.4</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13882-2026</t>
        </is>
      </c>
      <c r="B5354" t="inlineStr">
        <is>
          <t>avverkningsanmälan</t>
        </is>
      </c>
      <c r="C5354" t="inlineStr">
        <is>
          <t>Föryngringsavverkning</t>
        </is>
      </c>
      <c r="D5354" s="1" t="n">
        <v>46098</v>
      </c>
      <c r="E5354" s="1" t="n">
        <v>46326</v>
      </c>
      <c r="F5354" t="inlineStr">
        <is>
          <t>GÄVLEBORGS LÄN</t>
        </is>
      </c>
      <c r="G5354" t="inlineStr">
        <is>
          <t>OCKELBO</t>
        </is>
      </c>
      <c r="H5354" t="inlineStr">
        <is>
          <t>Bergvik skog väst AB</t>
        </is>
      </c>
      <c r="I5354" t="n">
        <v>1.5</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61148-2025</t>
        </is>
      </c>
      <c r="B5355" t="inlineStr">
        <is>
          <t>avverkningsanmälan</t>
        </is>
      </c>
      <c r="C5355" t="inlineStr">
        <is>
          <t>Föryngringsavverkning</t>
        </is>
      </c>
      <c r="D5355" s="1" t="n">
        <v>46000</v>
      </c>
      <c r="E5355" s="1" t="n">
        <v>46326</v>
      </c>
      <c r="F5355" t="inlineStr">
        <is>
          <t>GÄVLEBORGS LÄN</t>
        </is>
      </c>
      <c r="G5355" t="inlineStr">
        <is>
          <t>OCKELBO</t>
        </is>
      </c>
      <c r="H5355" t="inlineStr">
        <is>
          <t>Bergvik skog väst AB</t>
        </is>
      </c>
      <c r="I5355" t="n">
        <v>6.2</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11645-2022</t>
        </is>
      </c>
      <c r="B5356" t="inlineStr">
        <is>
          <t>avverkningsanmälan</t>
        </is>
      </c>
      <c r="C5356" t="inlineStr">
        <is>
          <t>Föryngringsavverkning</t>
        </is>
      </c>
      <c r="D5356" s="1" t="n">
        <v>44631</v>
      </c>
      <c r="E5356" s="1" t="n">
        <v>46326</v>
      </c>
      <c r="F5356" t="inlineStr">
        <is>
          <t>GÄVLEBORGS LÄN</t>
        </is>
      </c>
      <c r="G5356" t="inlineStr">
        <is>
          <t>BOLLNÄS</t>
        </is>
      </c>
      <c r="I5356" t="n">
        <v>1.7</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61186-2025</t>
        </is>
      </c>
      <c r="B5357" t="inlineStr">
        <is>
          <t>avverkningsanmälan</t>
        </is>
      </c>
      <c r="C5357" t="inlineStr">
        <is>
          <t>Föryngringsavverkning</t>
        </is>
      </c>
      <c r="D5357" s="1" t="n">
        <v>46000</v>
      </c>
      <c r="E5357" s="1" t="n">
        <v>46326</v>
      </c>
      <c r="F5357" t="inlineStr">
        <is>
          <t>GÄVLEBORGS LÄN</t>
        </is>
      </c>
      <c r="G5357" t="inlineStr">
        <is>
          <t>HOFORS</t>
        </is>
      </c>
      <c r="I5357" t="n">
        <v>4.2</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61211-2025</t>
        </is>
      </c>
      <c r="B5358" t="inlineStr">
        <is>
          <t>avverkningsanmälan</t>
        </is>
      </c>
      <c r="C5358" t="inlineStr">
        <is>
          <t>Föryngringsavverkning</t>
        </is>
      </c>
      <c r="D5358" s="1" t="n">
        <v>46000</v>
      </c>
      <c r="E5358" s="1" t="n">
        <v>46326</v>
      </c>
      <c r="F5358" t="inlineStr">
        <is>
          <t>GÄVLEBORGS LÄN</t>
        </is>
      </c>
      <c r="G5358" t="inlineStr">
        <is>
          <t>LJUSDAL</t>
        </is>
      </c>
      <c r="I5358" t="n">
        <v>2.8</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13959-2026</t>
        </is>
      </c>
      <c r="B5359" t="inlineStr">
        <is>
          <t>avverkningsanmälan</t>
        </is>
      </c>
      <c r="C5359" t="inlineStr">
        <is>
          <t>Föryngringsavverkning</t>
        </is>
      </c>
      <c r="D5359" s="1" t="n">
        <v>46098</v>
      </c>
      <c r="E5359" s="1" t="n">
        <v>46326</v>
      </c>
      <c r="F5359" t="inlineStr">
        <is>
          <t>GÄVLEBORGS LÄN</t>
        </is>
      </c>
      <c r="G5359" t="inlineStr">
        <is>
          <t>HUDIKSVALL</t>
        </is>
      </c>
      <c r="H5359" t="inlineStr">
        <is>
          <t>Holmen skog AB</t>
        </is>
      </c>
      <c r="I5359" t="n">
        <v>3</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13642-2026</t>
        </is>
      </c>
      <c r="B5360" t="inlineStr">
        <is>
          <t>avverkningsanmälan</t>
        </is>
      </c>
      <c r="C5360" t="inlineStr">
        <is>
          <t>Föryngringsavverkning</t>
        </is>
      </c>
      <c r="D5360" s="1" t="n">
        <v>46097</v>
      </c>
      <c r="E5360" s="1" t="n">
        <v>46326</v>
      </c>
      <c r="F5360" t="inlineStr">
        <is>
          <t>GÄVLEBORGS LÄN</t>
        </is>
      </c>
      <c r="G5360" t="inlineStr">
        <is>
          <t>SANDVIKEN</t>
        </is>
      </c>
      <c r="H5360" t="inlineStr">
        <is>
          <t>Kommuner</t>
        </is>
      </c>
      <c r="I5360" t="n">
        <v>2.4</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13646-2026</t>
        </is>
      </c>
      <c r="B5361" t="inlineStr">
        <is>
          <t>avverkningsanmälan</t>
        </is>
      </c>
      <c r="C5361" t="inlineStr">
        <is>
          <t>Föryngringsavverkning</t>
        </is>
      </c>
      <c r="D5361" s="1" t="n">
        <v>46097</v>
      </c>
      <c r="E5361" s="1" t="n">
        <v>46326</v>
      </c>
      <c r="F5361" t="inlineStr">
        <is>
          <t>GÄVLEBORGS LÄN</t>
        </is>
      </c>
      <c r="G5361" t="inlineStr">
        <is>
          <t>BOLLNÄS</t>
        </is>
      </c>
      <c r="I5361" t="n">
        <v>0.9</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13653-2026</t>
        </is>
      </c>
      <c r="B5362" t="inlineStr">
        <is>
          <t>avverkningsanmälan</t>
        </is>
      </c>
      <c r="C5362" t="inlineStr">
        <is>
          <t>Föryngringsavverkning</t>
        </is>
      </c>
      <c r="D5362" s="1" t="n">
        <v>46097</v>
      </c>
      <c r="E5362" s="1" t="n">
        <v>46326</v>
      </c>
      <c r="F5362" t="inlineStr">
        <is>
          <t>GÄVLEBORGS LÄN</t>
        </is>
      </c>
      <c r="G5362" t="inlineStr">
        <is>
          <t>BOLLNÄS</t>
        </is>
      </c>
      <c r="I5362" t="n">
        <v>1.2</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58804-2025</t>
        </is>
      </c>
      <c r="B5363" t="inlineStr">
        <is>
          <t>avverkningsanmälan</t>
        </is>
      </c>
      <c r="C5363" t="inlineStr">
        <is>
          <t>Föryngringsavverkning</t>
        </is>
      </c>
      <c r="D5363" s="1" t="n">
        <v>45986</v>
      </c>
      <c r="E5363" s="1" t="n">
        <v>46326</v>
      </c>
      <c r="F5363" t="inlineStr">
        <is>
          <t>GÄVLEBORGS LÄN</t>
        </is>
      </c>
      <c r="G5363" t="inlineStr">
        <is>
          <t>SANDVIKEN</t>
        </is>
      </c>
      <c r="I5363" t="n">
        <v>1.5</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59244-2025</t>
        </is>
      </c>
      <c r="B5364" t="inlineStr">
        <is>
          <t>avverkningsanmälan</t>
        </is>
      </c>
      <c r="C5364" t="inlineStr">
        <is>
          <t>Föryngringsavverkning</t>
        </is>
      </c>
      <c r="D5364" s="1" t="n">
        <v>45988</v>
      </c>
      <c r="E5364" s="1" t="n">
        <v>46326</v>
      </c>
      <c r="F5364" t="inlineStr">
        <is>
          <t>GÄVLEBORGS LÄN</t>
        </is>
      </c>
      <c r="G5364" t="inlineStr">
        <is>
          <t>HUDIKSVALL</t>
        </is>
      </c>
      <c r="H5364" t="inlineStr">
        <is>
          <t>Kommuner</t>
        </is>
      </c>
      <c r="I5364" t="n">
        <v>1.4</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13678-2026</t>
        </is>
      </c>
      <c r="B5365" t="inlineStr">
        <is>
          <t>avverkningsanmälan</t>
        </is>
      </c>
      <c r="C5365" t="inlineStr">
        <is>
          <t>Föryngringsavverkning</t>
        </is>
      </c>
      <c r="D5365" s="1" t="n">
        <v>46097</v>
      </c>
      <c r="E5365" s="1" t="n">
        <v>46326</v>
      </c>
      <c r="F5365" t="inlineStr">
        <is>
          <t>GÄVLEBORGS LÄN</t>
        </is>
      </c>
      <c r="G5365" t="inlineStr">
        <is>
          <t>OVANÅKER</t>
        </is>
      </c>
      <c r="I5365" t="n">
        <v>2.4</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365-2024</t>
        </is>
      </c>
      <c r="B5366" t="inlineStr">
        <is>
          <t>avverkningsanmälan</t>
        </is>
      </c>
      <c r="C5366" t="inlineStr">
        <is>
          <t>Föryngringsavverkning</t>
        </is>
      </c>
      <c r="D5366" s="1" t="n">
        <v>45295</v>
      </c>
      <c r="E5366" s="1" t="n">
        <v>46326</v>
      </c>
      <c r="F5366" t="inlineStr">
        <is>
          <t>GÄVLEBORGS LÄN</t>
        </is>
      </c>
      <c r="G5366" t="inlineStr">
        <is>
          <t>HUDIKSVALL</t>
        </is>
      </c>
      <c r="I5366" t="n">
        <v>1.5</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47493-2024</t>
        </is>
      </c>
      <c r="B5367" t="inlineStr">
        <is>
          <t>avverkningsanmälan</t>
        </is>
      </c>
      <c r="C5367" t="inlineStr">
        <is>
          <t>Föryngringsavverkning</t>
        </is>
      </c>
      <c r="D5367" s="1" t="n">
        <v>45587</v>
      </c>
      <c r="E5367" s="1" t="n">
        <v>46326</v>
      </c>
      <c r="F5367" t="inlineStr">
        <is>
          <t>GÄVLEBORGS LÄN</t>
        </is>
      </c>
      <c r="G5367" t="inlineStr">
        <is>
          <t>HOFORS</t>
        </is>
      </c>
      <c r="H5367" t="inlineStr">
        <is>
          <t>Sveaskog</t>
        </is>
      </c>
      <c r="I5367" t="n">
        <v>3.9</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61072-2025</t>
        </is>
      </c>
      <c r="B5368" t="inlineStr">
        <is>
          <t>avverkningsanmälan</t>
        </is>
      </c>
      <c r="C5368" t="inlineStr">
        <is>
          <t>Föryngringsavverkning</t>
        </is>
      </c>
      <c r="D5368" s="1" t="n">
        <v>46000</v>
      </c>
      <c r="E5368" s="1" t="n">
        <v>46326</v>
      </c>
      <c r="F5368" t="inlineStr">
        <is>
          <t>GÄVLEBORGS LÄN</t>
        </is>
      </c>
      <c r="G5368" t="inlineStr">
        <is>
          <t>NORDANSTIG</t>
        </is>
      </c>
      <c r="I5368" t="n">
        <v>1.7</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30398-2023</t>
        </is>
      </c>
      <c r="B5369" t="inlineStr">
        <is>
          <t>avverkningsanmälan</t>
        </is>
      </c>
      <c r="C5369" t="inlineStr">
        <is>
          <t>Föryngringsavverkning</t>
        </is>
      </c>
      <c r="D5369" s="1" t="n">
        <v>45111</v>
      </c>
      <c r="E5369" s="1" t="n">
        <v>46326</v>
      </c>
      <c r="F5369" t="inlineStr">
        <is>
          <t>GÄVLEBORGS LÄN</t>
        </is>
      </c>
      <c r="G5369" t="inlineStr">
        <is>
          <t>HUDIKSVALL</t>
        </is>
      </c>
      <c r="I5369" t="n">
        <v>2.5</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61396-2025</t>
        </is>
      </c>
      <c r="B5370" t="inlineStr">
        <is>
          <t>avverkningsanmälan</t>
        </is>
      </c>
      <c r="C5370" t="inlineStr">
        <is>
          <t>Föryngringsavverkning</t>
        </is>
      </c>
      <c r="D5370" s="1" t="n">
        <v>46001</v>
      </c>
      <c r="E5370" s="1" t="n">
        <v>46326</v>
      </c>
      <c r="F5370" t="inlineStr">
        <is>
          <t>GÄVLEBORGS LÄN</t>
        </is>
      </c>
      <c r="G5370" t="inlineStr">
        <is>
          <t>SÖDERHAMN</t>
        </is>
      </c>
      <c r="I5370" t="n">
        <v>1.3</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13822-2026</t>
        </is>
      </c>
      <c r="B5371" t="inlineStr">
        <is>
          <t>avverkningsanmälan</t>
        </is>
      </c>
      <c r="C5371" t="inlineStr">
        <is>
          <t>Föryngringsavverkning</t>
        </is>
      </c>
      <c r="D5371" s="1" t="n">
        <v>46098</v>
      </c>
      <c r="E5371" s="1" t="n">
        <v>46326</v>
      </c>
      <c r="F5371" t="inlineStr">
        <is>
          <t>GÄVLEBORGS LÄN</t>
        </is>
      </c>
      <c r="G5371" t="inlineStr">
        <is>
          <t>NORDANSTIG</t>
        </is>
      </c>
      <c r="I5371" t="n">
        <v>2.8</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13665-2026</t>
        </is>
      </c>
      <c r="B5372" t="inlineStr">
        <is>
          <t>avverkningsanmälan</t>
        </is>
      </c>
      <c r="C5372" t="inlineStr">
        <is>
          <t>Föryngringsavverkning</t>
        </is>
      </c>
      <c r="D5372" s="1" t="n">
        <v>46097</v>
      </c>
      <c r="E5372" s="1" t="n">
        <v>46326</v>
      </c>
      <c r="F5372" t="inlineStr">
        <is>
          <t>GÄVLEBORGS LÄN</t>
        </is>
      </c>
      <c r="G5372" t="inlineStr">
        <is>
          <t>BOLLNÄS</t>
        </is>
      </c>
      <c r="H5372" t="inlineStr">
        <is>
          <t>Bergvik skog väst AB</t>
        </is>
      </c>
      <c r="I5372" t="n">
        <v>7.6</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61301-2024</t>
        </is>
      </c>
      <c r="B5373" t="inlineStr">
        <is>
          <t>avverkningsanmälan</t>
        </is>
      </c>
      <c r="C5373" t="inlineStr">
        <is>
          <t>Föryngringsavverkning</t>
        </is>
      </c>
      <c r="D5373" s="1" t="n">
        <v>45645</v>
      </c>
      <c r="E5373" s="1" t="n">
        <v>46326</v>
      </c>
      <c r="F5373" t="inlineStr">
        <is>
          <t>GÄVLEBORGS LÄN</t>
        </is>
      </c>
      <c r="G5373" t="inlineStr">
        <is>
          <t>GÄVLE</t>
        </is>
      </c>
      <c r="I5373" t="n">
        <v>1.8</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58248-2025</t>
        </is>
      </c>
      <c r="B5374" t="inlineStr">
        <is>
          <t>avverkningsanmälan</t>
        </is>
      </c>
      <c r="C5374" t="inlineStr">
        <is>
          <t>Föryngringsavverkning</t>
        </is>
      </c>
      <c r="D5374" s="1" t="n">
        <v>45985</v>
      </c>
      <c r="E5374" s="1" t="n">
        <v>46326</v>
      </c>
      <c r="F5374" t="inlineStr">
        <is>
          <t>GÄVLEBORGS LÄN</t>
        </is>
      </c>
      <c r="G5374" t="inlineStr">
        <is>
          <t>HUDIKSVALL</t>
        </is>
      </c>
      <c r="H5374" t="inlineStr">
        <is>
          <t>Holmen skog AB</t>
        </is>
      </c>
      <c r="I5374" t="n">
        <v>13.3</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13727-2026</t>
        </is>
      </c>
      <c r="B5375" t="inlineStr">
        <is>
          <t>avverkningsanmälan</t>
        </is>
      </c>
      <c r="C5375" t="inlineStr">
        <is>
          <t>Föryngringsavverkning</t>
        </is>
      </c>
      <c r="D5375" s="1" t="n">
        <v>46097</v>
      </c>
      <c r="E5375" s="1" t="n">
        <v>46326</v>
      </c>
      <c r="F5375" t="inlineStr">
        <is>
          <t>GÄVLEBORGS LÄN</t>
        </is>
      </c>
      <c r="G5375" t="inlineStr">
        <is>
          <t>SANDVIKEN</t>
        </is>
      </c>
      <c r="H5375" t="inlineStr">
        <is>
          <t>Kommuner</t>
        </is>
      </c>
      <c r="I5375" t="n">
        <v>3.5</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54676-2024</t>
        </is>
      </c>
      <c r="B5376" t="inlineStr">
        <is>
          <t>avverkningsanmälan</t>
        </is>
      </c>
      <c r="C5376" t="inlineStr">
        <is>
          <t>Föryngringsavverkning</t>
        </is>
      </c>
      <c r="D5376" s="1" t="n">
        <v>45618</v>
      </c>
      <c r="E5376" s="1" t="n">
        <v>46326</v>
      </c>
      <c r="F5376" t="inlineStr">
        <is>
          <t>GÄVLEBORGS LÄN</t>
        </is>
      </c>
      <c r="G5376" t="inlineStr">
        <is>
          <t>HUDIKSVALL</t>
        </is>
      </c>
      <c r="H5376" t="inlineStr">
        <is>
          <t>Holmen skog AB</t>
        </is>
      </c>
      <c r="I5376" t="n">
        <v>1.3</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61359-2025</t>
        </is>
      </c>
      <c r="B5377" t="inlineStr">
        <is>
          <t>avverkningsanmälan</t>
        </is>
      </c>
      <c r="C5377" t="inlineStr">
        <is>
          <t>Föryngringsavverkning</t>
        </is>
      </c>
      <c r="D5377" s="1" t="n">
        <v>46001</v>
      </c>
      <c r="E5377" s="1" t="n">
        <v>46326</v>
      </c>
      <c r="F5377" t="inlineStr">
        <is>
          <t>GÄVLEBORGS LÄN</t>
        </is>
      </c>
      <c r="G5377" t="inlineStr">
        <is>
          <t>LJUSDAL</t>
        </is>
      </c>
      <c r="I5377" t="n">
        <v>0.6</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54705-2024</t>
        </is>
      </c>
      <c r="B5378" t="inlineStr">
        <is>
          <t>avverkningsanmälan</t>
        </is>
      </c>
      <c r="C5378" t="inlineStr">
        <is>
          <t>Föryngringsavverkning</t>
        </is>
      </c>
      <c r="D5378" s="1" t="n">
        <v>45618</v>
      </c>
      <c r="E5378" s="1" t="n">
        <v>46326</v>
      </c>
      <c r="F5378" t="inlineStr">
        <is>
          <t>GÄVLEBORGS LÄN</t>
        </is>
      </c>
      <c r="G5378" t="inlineStr">
        <is>
          <t>NORDANSTIG</t>
        </is>
      </c>
      <c r="I5378" t="n">
        <v>2.7</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13823-2026</t>
        </is>
      </c>
      <c r="B5379" t="inlineStr">
        <is>
          <t>avverkningsanmälan</t>
        </is>
      </c>
      <c r="C5379" t="inlineStr">
        <is>
          <t>Föryngringsavverkning</t>
        </is>
      </c>
      <c r="D5379" s="1" t="n">
        <v>46098</v>
      </c>
      <c r="E5379" s="1" t="n">
        <v>46326</v>
      </c>
      <c r="F5379" t="inlineStr">
        <is>
          <t>GÄVLEBORGS LÄN</t>
        </is>
      </c>
      <c r="G5379" t="inlineStr">
        <is>
          <t>NORDANSTIG</t>
        </is>
      </c>
      <c r="I5379" t="n">
        <v>1.5</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61343-2025</t>
        </is>
      </c>
      <c r="B5380" t="inlineStr">
        <is>
          <t>avverkningsanmälan</t>
        </is>
      </c>
      <c r="C5380" t="inlineStr">
        <is>
          <t>Föryngringsavverkning</t>
        </is>
      </c>
      <c r="D5380" s="1" t="n">
        <v>46001</v>
      </c>
      <c r="E5380" s="1" t="n">
        <v>46326</v>
      </c>
      <c r="F5380" t="inlineStr">
        <is>
          <t>GÄVLEBORGS LÄN</t>
        </is>
      </c>
      <c r="G5380" t="inlineStr">
        <is>
          <t>HUDIKSVALL</t>
        </is>
      </c>
      <c r="I5380" t="n">
        <v>2.5</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61020-2025</t>
        </is>
      </c>
      <c r="B5381" t="inlineStr">
        <is>
          <t>avverkningsanmälan</t>
        </is>
      </c>
      <c r="C5381" t="inlineStr">
        <is>
          <t>Föryngringsavverkning</t>
        </is>
      </c>
      <c r="D5381" s="1" t="n">
        <v>45999</v>
      </c>
      <c r="E5381" s="1" t="n">
        <v>46326</v>
      </c>
      <c r="F5381" t="inlineStr">
        <is>
          <t>GÄVLEBORGS LÄN</t>
        </is>
      </c>
      <c r="G5381" t="inlineStr">
        <is>
          <t>SANDVIKEN</t>
        </is>
      </c>
      <c r="I5381" t="n">
        <v>1</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61022-2025</t>
        </is>
      </c>
      <c r="B5382" t="inlineStr">
        <is>
          <t>avverkningsanmälan</t>
        </is>
      </c>
      <c r="C5382" t="inlineStr">
        <is>
          <t>Föryngringsavverkning</t>
        </is>
      </c>
      <c r="D5382" s="1" t="n">
        <v>45999</v>
      </c>
      <c r="E5382" s="1" t="n">
        <v>46326</v>
      </c>
      <c r="F5382" t="inlineStr">
        <is>
          <t>GÄVLEBORGS LÄN</t>
        </is>
      </c>
      <c r="G5382" t="inlineStr">
        <is>
          <t>SANDVIKEN</t>
        </is>
      </c>
      <c r="I5382" t="n">
        <v>0.6</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24205-2022</t>
        </is>
      </c>
      <c r="B5383" t="inlineStr">
        <is>
          <t>avverkningsanmälan</t>
        </is>
      </c>
      <c r="C5383" t="inlineStr">
        <is>
          <t>Föryngringsavverkning</t>
        </is>
      </c>
      <c r="D5383" s="1" t="n">
        <v>44725</v>
      </c>
      <c r="E5383" s="1" t="n">
        <v>46326</v>
      </c>
      <c r="F5383" t="inlineStr">
        <is>
          <t>GÄVLEBORGS LÄN</t>
        </is>
      </c>
      <c r="G5383" t="inlineStr">
        <is>
          <t>LJUSDAL</t>
        </is>
      </c>
      <c r="I5383" t="n">
        <v>2.7</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61077-2025</t>
        </is>
      </c>
      <c r="B5384" t="inlineStr">
        <is>
          <t>avverkningsanmälan</t>
        </is>
      </c>
      <c r="C5384" t="inlineStr">
        <is>
          <t>Föryngringsavverkning</t>
        </is>
      </c>
      <c r="D5384" s="1" t="n">
        <v>46000</v>
      </c>
      <c r="E5384" s="1" t="n">
        <v>46326</v>
      </c>
      <c r="F5384" t="inlineStr">
        <is>
          <t>GÄVLEBORGS LÄN</t>
        </is>
      </c>
      <c r="G5384" t="inlineStr">
        <is>
          <t>LJUSDAL</t>
        </is>
      </c>
      <c r="I5384" t="n">
        <v>7.5</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13980-2026</t>
        </is>
      </c>
      <c r="B5385" t="inlineStr">
        <is>
          <t>avverkningsanmälan</t>
        </is>
      </c>
      <c r="C5385" t="inlineStr">
        <is>
          <t>Föryngringsavverkning</t>
        </is>
      </c>
      <c r="D5385" s="1" t="n">
        <v>46098</v>
      </c>
      <c r="E5385" s="1" t="n">
        <v>46326</v>
      </c>
      <c r="F5385" t="inlineStr">
        <is>
          <t>GÄVLEBORGS LÄN</t>
        </is>
      </c>
      <c r="G5385" t="inlineStr">
        <is>
          <t>HUDIKSVALL</t>
        </is>
      </c>
      <c r="I5385" t="n">
        <v>1.1</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45696-2024</t>
        </is>
      </c>
      <c r="B5386" t="inlineStr">
        <is>
          <t>avverkningsanmälan</t>
        </is>
      </c>
      <c r="C5386" t="inlineStr">
        <is>
          <t>Föryngringsavverkning</t>
        </is>
      </c>
      <c r="D5386" s="1" t="n">
        <v>45579</v>
      </c>
      <c r="E5386" s="1" t="n">
        <v>46326</v>
      </c>
      <c r="F5386" t="inlineStr">
        <is>
          <t>GÄVLEBORGS LÄN</t>
        </is>
      </c>
      <c r="G5386" t="inlineStr">
        <is>
          <t>LJUSDAL</t>
        </is>
      </c>
      <c r="I5386" t="n">
        <v>3.3</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13825-2026</t>
        </is>
      </c>
      <c r="B5387" t="inlineStr">
        <is>
          <t>avverkningsanmälan</t>
        </is>
      </c>
      <c r="C5387" t="inlineStr">
        <is>
          <t>Föryngringsavverkning</t>
        </is>
      </c>
      <c r="D5387" s="1" t="n">
        <v>46098</v>
      </c>
      <c r="E5387" s="1" t="n">
        <v>46326</v>
      </c>
      <c r="F5387" t="inlineStr">
        <is>
          <t>GÄVLEBORGS LÄN</t>
        </is>
      </c>
      <c r="G5387" t="inlineStr">
        <is>
          <t>OCKELBO</t>
        </is>
      </c>
      <c r="H5387" t="inlineStr">
        <is>
          <t>Bergvik skog väst AB</t>
        </is>
      </c>
      <c r="I5387" t="n">
        <v>36.6</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13972-2026</t>
        </is>
      </c>
      <c r="B5388" t="inlineStr">
        <is>
          <t>avverkningsanmälan</t>
        </is>
      </c>
      <c r="C5388" t="inlineStr">
        <is>
          <t>Föryngringsavverkning</t>
        </is>
      </c>
      <c r="D5388" s="1" t="n">
        <v>46098</v>
      </c>
      <c r="E5388" s="1" t="n">
        <v>46326</v>
      </c>
      <c r="F5388" t="inlineStr">
        <is>
          <t>GÄVLEBORGS LÄN</t>
        </is>
      </c>
      <c r="G5388" t="inlineStr">
        <is>
          <t>OCKELBO</t>
        </is>
      </c>
      <c r="I5388" t="n">
        <v>3.2</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13918-2026</t>
        </is>
      </c>
      <c r="B5389" t="inlineStr">
        <is>
          <t>avverkningsanmälan</t>
        </is>
      </c>
      <c r="C5389" t="inlineStr">
        <is>
          <t>Föryngringsavverkning</t>
        </is>
      </c>
      <c r="D5389" s="1" t="n">
        <v>46098</v>
      </c>
      <c r="E5389" s="1" t="n">
        <v>46326</v>
      </c>
      <c r="F5389" t="inlineStr">
        <is>
          <t>GÄVLEBORGS LÄN</t>
        </is>
      </c>
      <c r="G5389" t="inlineStr">
        <is>
          <t>BOLLNÄS</t>
        </is>
      </c>
      <c r="I5389" t="n">
        <v>0.7</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13925-2026</t>
        </is>
      </c>
      <c r="B5390" t="inlineStr">
        <is>
          <t>avverkningsanmälan</t>
        </is>
      </c>
      <c r="C5390" t="inlineStr">
        <is>
          <t>Föryngringsavverkning</t>
        </is>
      </c>
      <c r="D5390" s="1" t="n">
        <v>46098</v>
      </c>
      <c r="E5390" s="1" t="n">
        <v>46326</v>
      </c>
      <c r="F5390" t="inlineStr">
        <is>
          <t>GÄVLEBORGS LÄN</t>
        </is>
      </c>
      <c r="G5390" t="inlineStr">
        <is>
          <t>BOLLNÄS</t>
        </is>
      </c>
      <c r="I5390" t="n">
        <v>1.2</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13574-2026</t>
        </is>
      </c>
      <c r="B5391" t="inlineStr">
        <is>
          <t>avverkningsanmälan</t>
        </is>
      </c>
      <c r="C5391" t="inlineStr">
        <is>
          <t>Föryngringsavverkning</t>
        </is>
      </c>
      <c r="D5391" s="1" t="n">
        <v>46095</v>
      </c>
      <c r="E5391" s="1" t="n">
        <v>46326</v>
      </c>
      <c r="F5391" t="inlineStr">
        <is>
          <t>GÄVLEBORGS LÄN</t>
        </is>
      </c>
      <c r="G5391" t="inlineStr">
        <is>
          <t>GÄVLE</t>
        </is>
      </c>
      <c r="I5391" t="n">
        <v>2</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13582-2026</t>
        </is>
      </c>
      <c r="B5392" t="inlineStr">
        <is>
          <t>avverkningsanmälan</t>
        </is>
      </c>
      <c r="C5392" t="inlineStr">
        <is>
          <t>Föryngringsavverkning</t>
        </is>
      </c>
      <c r="D5392" s="1" t="n">
        <v>46095</v>
      </c>
      <c r="E5392" s="1" t="n">
        <v>46326</v>
      </c>
      <c r="F5392" t="inlineStr">
        <is>
          <t>GÄVLEBORGS LÄN</t>
        </is>
      </c>
      <c r="G5392" t="inlineStr">
        <is>
          <t>SANDVIKEN</t>
        </is>
      </c>
      <c r="I5392" t="n">
        <v>2.1</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18800-2024</t>
        </is>
      </c>
      <c r="B5393" t="inlineStr">
        <is>
          <t>avverkningsanmälan</t>
        </is>
      </c>
      <c r="C5393" t="inlineStr">
        <is>
          <t>Föryngringsavverkning</t>
        </is>
      </c>
      <c r="D5393" s="1" t="n">
        <v>45426</v>
      </c>
      <c r="E5393" s="1" t="n">
        <v>46326</v>
      </c>
      <c r="F5393" t="inlineStr">
        <is>
          <t>GÄVLEBORGS LÄN</t>
        </is>
      </c>
      <c r="G5393" t="inlineStr">
        <is>
          <t>SÖDERHAMN</t>
        </is>
      </c>
      <c r="I5393" t="n">
        <v>1.8</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54349-2022</t>
        </is>
      </c>
      <c r="B5394" t="inlineStr">
        <is>
          <t>avverkningsanmälan</t>
        </is>
      </c>
      <c r="C5394" t="inlineStr">
        <is>
          <t>Föryngringsavverkning</t>
        </is>
      </c>
      <c r="D5394" s="1" t="n">
        <v>44882</v>
      </c>
      <c r="E5394" s="1" t="n">
        <v>46326</v>
      </c>
      <c r="F5394" t="inlineStr">
        <is>
          <t>GÄVLEBORGS LÄN</t>
        </is>
      </c>
      <c r="G5394" t="inlineStr">
        <is>
          <t>LJUSDAL</t>
        </is>
      </c>
      <c r="I5394" t="n">
        <v>1.7</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61871-2025</t>
        </is>
      </c>
      <c r="B5395" t="inlineStr">
        <is>
          <t>avverkningsanmälan</t>
        </is>
      </c>
      <c r="C5395" t="inlineStr">
        <is>
          <t>Föryngringsavverkning</t>
        </is>
      </c>
      <c r="D5395" s="1" t="n">
        <v>46003</v>
      </c>
      <c r="E5395" s="1" t="n">
        <v>46326</v>
      </c>
      <c r="F5395" t="inlineStr">
        <is>
          <t>GÄVLEBORGS LÄN</t>
        </is>
      </c>
      <c r="G5395" t="inlineStr">
        <is>
          <t>NORDANSTIG</t>
        </is>
      </c>
      <c r="I5395" t="n">
        <v>5.4</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5195-2025</t>
        </is>
      </c>
      <c r="B5396" t="inlineStr">
        <is>
          <t>avverkningsanmälan</t>
        </is>
      </c>
      <c r="C5396" t="inlineStr">
        <is>
          <t>Föryngringsavverkning</t>
        </is>
      </c>
      <c r="D5396" s="1" t="n">
        <v>45691</v>
      </c>
      <c r="E5396" s="1" t="n">
        <v>46326</v>
      </c>
      <c r="F5396" t="inlineStr">
        <is>
          <t>GÄVLEBORGS LÄN</t>
        </is>
      </c>
      <c r="G5396" t="inlineStr">
        <is>
          <t>HUDIKSVALL</t>
        </is>
      </c>
      <c r="I5396" t="n">
        <v>1.3</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49959-2024</t>
        </is>
      </c>
      <c r="B5397" t="inlineStr">
        <is>
          <t>avverkningsanmälan</t>
        </is>
      </c>
      <c r="C5397" t="inlineStr">
        <is>
          <t>Föryngringsavverkning</t>
        </is>
      </c>
      <c r="D5397" s="1" t="n">
        <v>45597</v>
      </c>
      <c r="E5397" s="1" t="n">
        <v>46326</v>
      </c>
      <c r="F5397" t="inlineStr">
        <is>
          <t>GÄVLEBORGS LÄN</t>
        </is>
      </c>
      <c r="G5397" t="inlineStr">
        <is>
          <t>SÖDERHAMN</t>
        </is>
      </c>
      <c r="I5397" t="n">
        <v>1</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13859-2026</t>
        </is>
      </c>
      <c r="B5398" t="inlineStr">
        <is>
          <t>avverkningsanmälan</t>
        </is>
      </c>
      <c r="C5398" t="inlineStr">
        <is>
          <t>Föryngringsavverkning</t>
        </is>
      </c>
      <c r="D5398" s="1" t="n">
        <v>46098</v>
      </c>
      <c r="E5398" s="1" t="n">
        <v>46326</v>
      </c>
      <c r="F5398" t="inlineStr">
        <is>
          <t>GÄVLEBORGS LÄN</t>
        </is>
      </c>
      <c r="G5398" t="inlineStr">
        <is>
          <t>BOLLNÄS</t>
        </is>
      </c>
      <c r="I5398" t="n">
        <v>0.9</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25631-2022</t>
        </is>
      </c>
      <c r="B5399" t="inlineStr">
        <is>
          <t>avverkningsanmälan</t>
        </is>
      </c>
      <c r="C5399" t="inlineStr">
        <is>
          <t>Föryngringsavverkning</t>
        </is>
      </c>
      <c r="D5399" s="1" t="n">
        <v>44732</v>
      </c>
      <c r="E5399" s="1" t="n">
        <v>46326</v>
      </c>
      <c r="F5399" t="inlineStr">
        <is>
          <t>GÄVLEBORGS LÄN</t>
        </is>
      </c>
      <c r="G5399" t="inlineStr">
        <is>
          <t>BOLLNÄS</t>
        </is>
      </c>
      <c r="I5399" t="n">
        <v>1.5</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61835-2025</t>
        </is>
      </c>
      <c r="B5400" t="inlineStr">
        <is>
          <t>avverkningsanmälan</t>
        </is>
      </c>
      <c r="C5400" t="inlineStr">
        <is>
          <t>Föryngringsavverkning</t>
        </is>
      </c>
      <c r="D5400" s="1" t="n">
        <v>46003</v>
      </c>
      <c r="E5400" s="1" t="n">
        <v>46326</v>
      </c>
      <c r="F5400" t="inlineStr">
        <is>
          <t>GÄVLEBORGS LÄN</t>
        </is>
      </c>
      <c r="G5400" t="inlineStr">
        <is>
          <t>BOLLNÄS</t>
        </is>
      </c>
      <c r="I5400" t="n">
        <v>0.5</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17164-2023</t>
        </is>
      </c>
      <c r="B5401" t="inlineStr">
        <is>
          <t>avverkningsanmälan</t>
        </is>
      </c>
      <c r="C5401" t="inlineStr">
        <is>
          <t>Föryngringsavverkning</t>
        </is>
      </c>
      <c r="D5401" s="1" t="n">
        <v>45034</v>
      </c>
      <c r="E5401" s="1" t="n">
        <v>46326</v>
      </c>
      <c r="F5401" t="inlineStr">
        <is>
          <t>GÄVLEBORGS LÄN</t>
        </is>
      </c>
      <c r="G5401" t="inlineStr">
        <is>
          <t>HUDIKSVALL</t>
        </is>
      </c>
      <c r="I5401" t="n">
        <v>2.8</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57784-2024</t>
        </is>
      </c>
      <c r="B5402" t="inlineStr">
        <is>
          <t>avverkningsanmälan</t>
        </is>
      </c>
      <c r="C5402" t="inlineStr">
        <is>
          <t>Föryngringsavverkning</t>
        </is>
      </c>
      <c r="D5402" s="1" t="n">
        <v>45631</v>
      </c>
      <c r="E5402" s="1" t="n">
        <v>46326</v>
      </c>
      <c r="F5402" t="inlineStr">
        <is>
          <t>GÄVLEBORGS LÄN</t>
        </is>
      </c>
      <c r="G5402" t="inlineStr">
        <is>
          <t>LJUSDAL</t>
        </is>
      </c>
      <c r="I5402" t="n">
        <v>2.1</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13978-2026</t>
        </is>
      </c>
      <c r="B5403" t="inlineStr">
        <is>
          <t>avverkningsanmälan</t>
        </is>
      </c>
      <c r="C5403" t="inlineStr">
        <is>
          <t>Föryngringsavverkning</t>
        </is>
      </c>
      <c r="D5403" s="1" t="n">
        <v>46098</v>
      </c>
      <c r="E5403" s="1" t="n">
        <v>46326</v>
      </c>
      <c r="F5403" t="inlineStr">
        <is>
          <t>GÄVLEBORGS LÄN</t>
        </is>
      </c>
      <c r="G5403" t="inlineStr">
        <is>
          <t>NORDANSTIG</t>
        </is>
      </c>
      <c r="H5403" t="inlineStr">
        <is>
          <t>Holmen skog AB</t>
        </is>
      </c>
      <c r="I5403" t="n">
        <v>1.8</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13981-2026</t>
        </is>
      </c>
      <c r="B5404" t="inlineStr">
        <is>
          <t>avverkningsanmälan</t>
        </is>
      </c>
      <c r="C5404" t="inlineStr">
        <is>
          <t>Föryngringsavverkning</t>
        </is>
      </c>
      <c r="D5404" s="1" t="n">
        <v>46098</v>
      </c>
      <c r="E5404" s="1" t="n">
        <v>46326</v>
      </c>
      <c r="F5404" t="inlineStr">
        <is>
          <t>GÄVLEBORGS LÄN</t>
        </is>
      </c>
      <c r="G5404" t="inlineStr">
        <is>
          <t>HUDIKSVALL</t>
        </is>
      </c>
      <c r="I5404" t="n">
        <v>0.5</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64868-2023</t>
        </is>
      </c>
      <c r="B5405" t="inlineStr">
        <is>
          <t>avverkningsanmälan</t>
        </is>
      </c>
      <c r="C5405" t="inlineStr">
        <is>
          <t>Avverkning för annat ändamål</t>
        </is>
      </c>
      <c r="D5405" s="1" t="n">
        <v>45282</v>
      </c>
      <c r="E5405" s="1" t="n">
        <v>46326</v>
      </c>
      <c r="F5405" t="inlineStr">
        <is>
          <t>GÄVLEBORGS LÄN</t>
        </is>
      </c>
      <c r="G5405" t="inlineStr">
        <is>
          <t>GÄVLE</t>
        </is>
      </c>
      <c r="I5405" t="n">
        <v>0.2</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42981-2022</t>
        </is>
      </c>
      <c r="B5406" t="inlineStr">
        <is>
          <t>avverkningsanmälan</t>
        </is>
      </c>
      <c r="C5406" t="inlineStr">
        <is>
          <t>Föryngringsavverkning</t>
        </is>
      </c>
      <c r="D5406" s="1" t="n">
        <v>44833</v>
      </c>
      <c r="E5406" s="1" t="n">
        <v>46326</v>
      </c>
      <c r="F5406" t="inlineStr">
        <is>
          <t>GÄVLEBORGS LÄN</t>
        </is>
      </c>
      <c r="G5406" t="inlineStr">
        <is>
          <t>HUDIKSVALL</t>
        </is>
      </c>
      <c r="H5406" t="inlineStr">
        <is>
          <t>Holmen skog AB</t>
        </is>
      </c>
      <c r="I5406" t="n">
        <v>4.3</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43010-2022</t>
        </is>
      </c>
      <c r="B5407" t="inlineStr">
        <is>
          <t>avverkningsanmälan</t>
        </is>
      </c>
      <c r="C5407" t="inlineStr">
        <is>
          <t>Föryngringsavverkning</t>
        </is>
      </c>
      <c r="D5407" s="1" t="n">
        <v>44833</v>
      </c>
      <c r="E5407" s="1" t="n">
        <v>46326</v>
      </c>
      <c r="F5407" t="inlineStr">
        <is>
          <t>GÄVLEBORGS LÄN</t>
        </is>
      </c>
      <c r="G5407" t="inlineStr">
        <is>
          <t>HUDIKSVALL</t>
        </is>
      </c>
      <c r="H5407" t="inlineStr">
        <is>
          <t>Holmen skog AB</t>
        </is>
      </c>
      <c r="I5407" t="n">
        <v>2.3</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61722-2025</t>
        </is>
      </c>
      <c r="B5408" t="inlineStr">
        <is>
          <t>avverkningsanmälan</t>
        </is>
      </c>
      <c r="C5408" t="inlineStr">
        <is>
          <t>Föryngringsavverkning</t>
        </is>
      </c>
      <c r="D5408" s="1" t="n">
        <v>46002</v>
      </c>
      <c r="E5408" s="1" t="n">
        <v>46326</v>
      </c>
      <c r="F5408" t="inlineStr">
        <is>
          <t>GÄVLEBORGS LÄN</t>
        </is>
      </c>
      <c r="G5408" t="inlineStr">
        <is>
          <t>OVANÅKER</t>
        </is>
      </c>
      <c r="I5408" t="n">
        <v>1</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61650-2025</t>
        </is>
      </c>
      <c r="B5409" t="inlineStr">
        <is>
          <t>avverkningsanmälan</t>
        </is>
      </c>
      <c r="C5409" t="inlineStr">
        <is>
          <t>Föryngringsavverkning</t>
        </is>
      </c>
      <c r="D5409" s="1" t="n">
        <v>46002</v>
      </c>
      <c r="E5409" s="1" t="n">
        <v>46326</v>
      </c>
      <c r="F5409" t="inlineStr">
        <is>
          <t>GÄVLEBORGS LÄN</t>
        </is>
      </c>
      <c r="G5409" t="inlineStr">
        <is>
          <t>GÄVLE</t>
        </is>
      </c>
      <c r="I5409" t="n">
        <v>4.9</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37071-2022</t>
        </is>
      </c>
      <c r="B5410" t="inlineStr">
        <is>
          <t>avverkningsanmälan</t>
        </is>
      </c>
      <c r="C5410" t="inlineStr">
        <is>
          <t>Föryngringsavverkning</t>
        </is>
      </c>
      <c r="D5410" s="1" t="n">
        <v>44806</v>
      </c>
      <c r="E5410" s="1" t="n">
        <v>46326</v>
      </c>
      <c r="F5410" t="inlineStr">
        <is>
          <t>GÄVLEBORGS LÄN</t>
        </is>
      </c>
      <c r="G5410" t="inlineStr">
        <is>
          <t>BOLLNÄS</t>
        </is>
      </c>
      <c r="I5410" t="n">
        <v>1.4</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61756-2025</t>
        </is>
      </c>
      <c r="B5411" t="inlineStr">
        <is>
          <t>avverkningsanmälan</t>
        </is>
      </c>
      <c r="C5411" t="inlineStr">
        <is>
          <t>Föryngringsavverkning</t>
        </is>
      </c>
      <c r="D5411" s="1" t="n">
        <v>46002</v>
      </c>
      <c r="E5411" s="1" t="n">
        <v>46326</v>
      </c>
      <c r="F5411" t="inlineStr">
        <is>
          <t>GÄVLEBORGS LÄN</t>
        </is>
      </c>
      <c r="G5411" t="inlineStr">
        <is>
          <t>LJUSDAL</t>
        </is>
      </c>
      <c r="I5411" t="n">
        <v>1.3</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17764-2025</t>
        </is>
      </c>
      <c r="B5412" t="inlineStr">
        <is>
          <t>avverkningsanmälan</t>
        </is>
      </c>
      <c r="C5412" t="inlineStr">
        <is>
          <t>Föryngringsavverkning</t>
        </is>
      </c>
      <c r="D5412" s="1" t="n">
        <v>45758</v>
      </c>
      <c r="E5412" s="1" t="n">
        <v>46326</v>
      </c>
      <c r="F5412" t="inlineStr">
        <is>
          <t>GÄVLEBORGS LÄN</t>
        </is>
      </c>
      <c r="G5412" t="inlineStr">
        <is>
          <t>HUDIKSVALL</t>
        </is>
      </c>
      <c r="I5412" t="n">
        <v>1</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61993-2025</t>
        </is>
      </c>
      <c r="B5413" t="inlineStr">
        <is>
          <t>avverkningsanmälan</t>
        </is>
      </c>
      <c r="C5413" t="inlineStr">
        <is>
          <t>Föryngringsavverkning</t>
        </is>
      </c>
      <c r="D5413" s="1" t="n">
        <v>46003</v>
      </c>
      <c r="E5413" s="1" t="n">
        <v>46326</v>
      </c>
      <c r="F5413" t="inlineStr">
        <is>
          <t>GÄVLEBORGS LÄN</t>
        </is>
      </c>
      <c r="G5413" t="inlineStr">
        <is>
          <t>LJUSDAL</t>
        </is>
      </c>
      <c r="I5413" t="n">
        <v>14.8</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61689-2025</t>
        </is>
      </c>
      <c r="B5414" t="inlineStr">
        <is>
          <t>avverkningsanmälan</t>
        </is>
      </c>
      <c r="C5414" t="inlineStr">
        <is>
          <t>Föryngringsavverkning</t>
        </is>
      </c>
      <c r="D5414" s="1" t="n">
        <v>46002</v>
      </c>
      <c r="E5414" s="1" t="n">
        <v>46326</v>
      </c>
      <c r="F5414" t="inlineStr">
        <is>
          <t>GÄVLEBORGS LÄN</t>
        </is>
      </c>
      <c r="G5414" t="inlineStr">
        <is>
          <t>BOLLNÄS</t>
        </is>
      </c>
      <c r="I5414" t="n">
        <v>2.2</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61748-2025</t>
        </is>
      </c>
      <c r="B5415" t="inlineStr">
        <is>
          <t>avverkningsanmälan</t>
        </is>
      </c>
      <c r="C5415" t="inlineStr">
        <is>
          <t>Föryngringsavverkning</t>
        </is>
      </c>
      <c r="D5415" s="1" t="n">
        <v>46002</v>
      </c>
      <c r="E5415" s="1" t="n">
        <v>46326</v>
      </c>
      <c r="F5415" t="inlineStr">
        <is>
          <t>GÄVLEBORGS LÄN</t>
        </is>
      </c>
      <c r="G5415" t="inlineStr">
        <is>
          <t>LJUSDAL</t>
        </is>
      </c>
      <c r="I5415" t="n">
        <v>0.9</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61568-2025</t>
        </is>
      </c>
      <c r="B5416" t="inlineStr">
        <is>
          <t>avverkningsanmälan</t>
        </is>
      </c>
      <c r="C5416" t="inlineStr">
        <is>
          <t>Föryngringsavverkning</t>
        </is>
      </c>
      <c r="D5416" s="1" t="n">
        <v>46002</v>
      </c>
      <c r="E5416" s="1" t="n">
        <v>46326</v>
      </c>
      <c r="F5416" t="inlineStr">
        <is>
          <t>GÄVLEBORGS LÄN</t>
        </is>
      </c>
      <c r="G5416" t="inlineStr">
        <is>
          <t>BOLLNÄS</t>
        </is>
      </c>
      <c r="I5416" t="n">
        <v>4.2</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57716-2022</t>
        </is>
      </c>
      <c r="B5417" t="inlineStr">
        <is>
          <t>avverkningsanmälan</t>
        </is>
      </c>
      <c r="C5417" t="inlineStr">
        <is>
          <t>Föryngringsavverkning</t>
        </is>
      </c>
      <c r="D5417" s="1" t="n">
        <v>44897</v>
      </c>
      <c r="E5417" s="1" t="n">
        <v>46326</v>
      </c>
      <c r="F5417" t="inlineStr">
        <is>
          <t>GÄVLEBORGS LÄN</t>
        </is>
      </c>
      <c r="G5417" t="inlineStr">
        <is>
          <t>HUDIKSVALL</t>
        </is>
      </c>
      <c r="H5417" t="inlineStr">
        <is>
          <t>Holmen skog AB</t>
        </is>
      </c>
      <c r="I5417" t="n">
        <v>2.7</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2573-2024</t>
        </is>
      </c>
      <c r="B5418" t="inlineStr">
        <is>
          <t>avverkningsanmälan</t>
        </is>
      </c>
      <c r="C5418" t="inlineStr">
        <is>
          <t>Föryngringsavverkning</t>
        </is>
      </c>
      <c r="D5418" s="1" t="n">
        <v>45313</v>
      </c>
      <c r="E5418" s="1" t="n">
        <v>46326</v>
      </c>
      <c r="F5418" t="inlineStr">
        <is>
          <t>GÄVLEBORGS LÄN</t>
        </is>
      </c>
      <c r="G5418" t="inlineStr">
        <is>
          <t>NORDANSTIG</t>
        </is>
      </c>
      <c r="I5418" t="n">
        <v>2</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9964-2026</t>
        </is>
      </c>
      <c r="B5419" t="inlineStr">
        <is>
          <t>avverkningsanmälan</t>
        </is>
      </c>
      <c r="C5419" t="inlineStr">
        <is>
          <t>Föryngringsavverkning</t>
        </is>
      </c>
      <c r="D5419" s="1" t="n">
        <v>46073</v>
      </c>
      <c r="E5419" s="1" t="n">
        <v>46326</v>
      </c>
      <c r="F5419" t="inlineStr">
        <is>
          <t>GÄVLEBORGS LÄN</t>
        </is>
      </c>
      <c r="G5419" t="inlineStr">
        <is>
          <t>BOLLNÄS</t>
        </is>
      </c>
      <c r="I5419" t="n">
        <v>1.2</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13577-2026</t>
        </is>
      </c>
      <c r="B5420" t="inlineStr">
        <is>
          <t>avverkningsanmälan</t>
        </is>
      </c>
      <c r="C5420" t="inlineStr">
        <is>
          <t>Föryngringsavverkning</t>
        </is>
      </c>
      <c r="D5420" s="1" t="n">
        <v>46095</v>
      </c>
      <c r="E5420" s="1" t="n">
        <v>46326</v>
      </c>
      <c r="F5420" t="inlineStr">
        <is>
          <t>GÄVLEBORGS LÄN</t>
        </is>
      </c>
      <c r="G5420" t="inlineStr">
        <is>
          <t>SANDVIKEN</t>
        </is>
      </c>
      <c r="I5420" t="n">
        <v>0.9</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13585-2026</t>
        </is>
      </c>
      <c r="B5421" t="inlineStr">
        <is>
          <t>avverkningsanmälan</t>
        </is>
      </c>
      <c r="C5421" t="inlineStr">
        <is>
          <t>Föryngringsavverkning</t>
        </is>
      </c>
      <c r="D5421" s="1" t="n">
        <v>46095</v>
      </c>
      <c r="E5421" s="1" t="n">
        <v>46326</v>
      </c>
      <c r="F5421" t="inlineStr">
        <is>
          <t>GÄVLEBORGS LÄN</t>
        </is>
      </c>
      <c r="G5421" t="inlineStr">
        <is>
          <t>SANDVIKEN</t>
        </is>
      </c>
      <c r="I5421" t="n">
        <v>0.5</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61648-2025</t>
        </is>
      </c>
      <c r="B5422" t="inlineStr">
        <is>
          <t>avverkningsanmälan</t>
        </is>
      </c>
      <c r="C5422" t="inlineStr">
        <is>
          <t>Föryngringsavverkning</t>
        </is>
      </c>
      <c r="D5422" s="1" t="n">
        <v>46002</v>
      </c>
      <c r="E5422" s="1" t="n">
        <v>46326</v>
      </c>
      <c r="F5422" t="inlineStr">
        <is>
          <t>GÄVLEBORGS LÄN</t>
        </is>
      </c>
      <c r="G5422" t="inlineStr">
        <is>
          <t>GÄVLE</t>
        </is>
      </c>
      <c r="I5422" t="n">
        <v>1.8</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61651-2025</t>
        </is>
      </c>
      <c r="B5423" t="inlineStr">
        <is>
          <t>avverkningsanmälan</t>
        </is>
      </c>
      <c r="C5423" t="inlineStr">
        <is>
          <t>Föryngringsavverkning</t>
        </is>
      </c>
      <c r="D5423" s="1" t="n">
        <v>46002</v>
      </c>
      <c r="E5423" s="1" t="n">
        <v>46326</v>
      </c>
      <c r="F5423" t="inlineStr">
        <is>
          <t>GÄVLEBORGS LÄN</t>
        </is>
      </c>
      <c r="G5423" t="inlineStr">
        <is>
          <t>GÄVLE</t>
        </is>
      </c>
      <c r="I5423" t="n">
        <v>4.3</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61686-2025</t>
        </is>
      </c>
      <c r="B5424" t="inlineStr">
        <is>
          <t>avverkningsanmälan</t>
        </is>
      </c>
      <c r="C5424" t="inlineStr">
        <is>
          <t>Föryngringsavverkning</t>
        </is>
      </c>
      <c r="D5424" s="1" t="n">
        <v>46002</v>
      </c>
      <c r="E5424" s="1" t="n">
        <v>46326</v>
      </c>
      <c r="F5424" t="inlineStr">
        <is>
          <t>GÄVLEBORGS LÄN</t>
        </is>
      </c>
      <c r="G5424" t="inlineStr">
        <is>
          <t>BOLLNÄS</t>
        </is>
      </c>
      <c r="I5424" t="n">
        <v>1.6</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13584-2026</t>
        </is>
      </c>
      <c r="B5425" t="inlineStr">
        <is>
          <t>avverkningsanmälan</t>
        </is>
      </c>
      <c r="C5425" t="inlineStr">
        <is>
          <t>Föryngringsavverkning</t>
        </is>
      </c>
      <c r="D5425" s="1" t="n">
        <v>46095</v>
      </c>
      <c r="E5425" s="1" t="n">
        <v>46326</v>
      </c>
      <c r="F5425" t="inlineStr">
        <is>
          <t>GÄVLEBORGS LÄN</t>
        </is>
      </c>
      <c r="G5425" t="inlineStr">
        <is>
          <t>SANDVIKEN</t>
        </is>
      </c>
      <c r="I5425" t="n">
        <v>1.3</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13893-2026</t>
        </is>
      </c>
      <c r="B5426" t="inlineStr">
        <is>
          <t>avverkningsanmälan</t>
        </is>
      </c>
      <c r="C5426" t="inlineStr">
        <is>
          <t>Föryngringsavverkning</t>
        </is>
      </c>
      <c r="D5426" s="1" t="n">
        <v>46098</v>
      </c>
      <c r="E5426" s="1" t="n">
        <v>46326</v>
      </c>
      <c r="F5426" t="inlineStr">
        <is>
          <t>GÄVLEBORGS LÄN</t>
        </is>
      </c>
      <c r="G5426" t="inlineStr">
        <is>
          <t>GÄVLE</t>
        </is>
      </c>
      <c r="H5426" t="inlineStr">
        <is>
          <t>Bergvik skog väst AB</t>
        </is>
      </c>
      <c r="I5426" t="n">
        <v>1.7</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8805-2025</t>
        </is>
      </c>
      <c r="B5427" t="inlineStr">
        <is>
          <t>avverkningsanmälan</t>
        </is>
      </c>
      <c r="C5427" t="inlineStr">
        <is>
          <t>Föryngringsavverkning</t>
        </is>
      </c>
      <c r="D5427" s="1" t="n">
        <v>45712</v>
      </c>
      <c r="E5427" s="1" t="n">
        <v>46326</v>
      </c>
      <c r="F5427" t="inlineStr">
        <is>
          <t>GÄVLEBORGS LÄN</t>
        </is>
      </c>
      <c r="G5427" t="inlineStr">
        <is>
          <t>NORDANSTIG</t>
        </is>
      </c>
      <c r="H5427" t="inlineStr">
        <is>
          <t>Holmen skog AB</t>
        </is>
      </c>
      <c r="I5427" t="n">
        <v>5.8</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61696-2025</t>
        </is>
      </c>
      <c r="B5428" t="inlineStr">
        <is>
          <t>avverkningsanmälan</t>
        </is>
      </c>
      <c r="C5428" t="inlineStr">
        <is>
          <t>Föryngringsavverkning</t>
        </is>
      </c>
      <c r="D5428" s="1" t="n">
        <v>46002</v>
      </c>
      <c r="E5428" s="1" t="n">
        <v>46326</v>
      </c>
      <c r="F5428" t="inlineStr">
        <is>
          <t>GÄVLEBORGS LÄN</t>
        </is>
      </c>
      <c r="G5428" t="inlineStr">
        <is>
          <t>HUDIKSVALL</t>
        </is>
      </c>
      <c r="I5428" t="n">
        <v>0.9</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61649-2025</t>
        </is>
      </c>
      <c r="B5429" t="inlineStr">
        <is>
          <t>avverkningsanmälan</t>
        </is>
      </c>
      <c r="C5429" t="inlineStr">
        <is>
          <t>Föryngringsavverkning</t>
        </is>
      </c>
      <c r="D5429" s="1" t="n">
        <v>46002</v>
      </c>
      <c r="E5429" s="1" t="n">
        <v>46326</v>
      </c>
      <c r="F5429" t="inlineStr">
        <is>
          <t>GÄVLEBORGS LÄN</t>
        </is>
      </c>
      <c r="G5429" t="inlineStr">
        <is>
          <t>HUDIKSVALL</t>
        </is>
      </c>
      <c r="I5429" t="n">
        <v>1.6</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25564-2023</t>
        </is>
      </c>
      <c r="B5430" t="inlineStr">
        <is>
          <t>avverkningsanmälan</t>
        </is>
      </c>
      <c r="C5430" t="inlineStr">
        <is>
          <t>Föryngringsavverkning</t>
        </is>
      </c>
      <c r="D5430" s="1" t="n">
        <v>45089</v>
      </c>
      <c r="E5430" s="1" t="n">
        <v>46326</v>
      </c>
      <c r="F5430" t="inlineStr">
        <is>
          <t>GÄVLEBORGS LÄN</t>
        </is>
      </c>
      <c r="G5430" t="inlineStr">
        <is>
          <t>LJUSDAL</t>
        </is>
      </c>
      <c r="I5430" t="n">
        <v>0.7</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25631-2023</t>
        </is>
      </c>
      <c r="B5431" t="inlineStr">
        <is>
          <t>avverkningsanmälan</t>
        </is>
      </c>
      <c r="C5431" t="inlineStr">
        <is>
          <t>Föryngringsavverkning</t>
        </is>
      </c>
      <c r="D5431" s="1" t="n">
        <v>45089</v>
      </c>
      <c r="E5431" s="1" t="n">
        <v>46326</v>
      </c>
      <c r="F5431" t="inlineStr">
        <is>
          <t>GÄVLEBORGS LÄN</t>
        </is>
      </c>
      <c r="G5431" t="inlineStr">
        <is>
          <t>NORDANSTIG</t>
        </is>
      </c>
      <c r="I5431" t="n">
        <v>2.8</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15042-2022</t>
        </is>
      </c>
      <c r="B5432" t="inlineStr">
        <is>
          <t>avverkningsanmälan</t>
        </is>
      </c>
      <c r="C5432" t="inlineStr">
        <is>
          <t>Föryngringsavverkning</t>
        </is>
      </c>
      <c r="D5432" s="1" t="n">
        <v>44657</v>
      </c>
      <c r="E5432" s="1" t="n">
        <v>46326</v>
      </c>
      <c r="F5432" t="inlineStr">
        <is>
          <t>GÄVLEBORGS LÄN</t>
        </is>
      </c>
      <c r="G5432" t="inlineStr">
        <is>
          <t>LJUSDAL</t>
        </is>
      </c>
      <c r="I5432" t="n">
        <v>4.1</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24106-2023</t>
        </is>
      </c>
      <c r="B5433" t="inlineStr">
        <is>
          <t>avverkningsanmälan</t>
        </is>
      </c>
      <c r="C5433" t="inlineStr">
        <is>
          <t>Föryngringsavverkning</t>
        </is>
      </c>
      <c r="D5433" s="1" t="n">
        <v>45079</v>
      </c>
      <c r="E5433" s="1" t="n">
        <v>46326</v>
      </c>
      <c r="F5433" t="inlineStr">
        <is>
          <t>GÄVLEBORGS LÄN</t>
        </is>
      </c>
      <c r="G5433" t="inlineStr">
        <is>
          <t>NORDANSTIG</t>
        </is>
      </c>
      <c r="H5433" t="inlineStr">
        <is>
          <t>Holmen skog AB</t>
        </is>
      </c>
      <c r="I5433" t="n">
        <v>2.6</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48879-2023</t>
        </is>
      </c>
      <c r="B5434" t="inlineStr">
        <is>
          <t>avverkningsanmälan</t>
        </is>
      </c>
      <c r="C5434" t="inlineStr">
        <is>
          <t>Föryngringsavverkning</t>
        </is>
      </c>
      <c r="D5434" s="1" t="n">
        <v>45209</v>
      </c>
      <c r="E5434" s="1" t="n">
        <v>46326</v>
      </c>
      <c r="F5434" t="inlineStr">
        <is>
          <t>GÄVLEBORGS LÄN</t>
        </is>
      </c>
      <c r="G5434" t="inlineStr">
        <is>
          <t>LJUSDAL</t>
        </is>
      </c>
      <c r="H5434" t="inlineStr">
        <is>
          <t>Bergvik skog väst AB</t>
        </is>
      </c>
      <c r="I5434" t="n">
        <v>0.4</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61642-2025</t>
        </is>
      </c>
      <c r="B5435" t="inlineStr">
        <is>
          <t>avverkningsanmälan</t>
        </is>
      </c>
      <c r="C5435" t="inlineStr">
        <is>
          <t>Föryngringsavverkning</t>
        </is>
      </c>
      <c r="D5435" s="1" t="n">
        <v>46002</v>
      </c>
      <c r="E5435" s="1" t="n">
        <v>46326</v>
      </c>
      <c r="F5435" t="inlineStr">
        <is>
          <t>GÄVLEBORGS LÄN</t>
        </is>
      </c>
      <c r="G5435" t="inlineStr">
        <is>
          <t>HOFORS</t>
        </is>
      </c>
      <c r="I5435" t="n">
        <v>3.4</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13595-2026</t>
        </is>
      </c>
      <c r="B5436" t="inlineStr">
        <is>
          <t>avverkningsanmälan</t>
        </is>
      </c>
      <c r="C5436" t="inlineStr">
        <is>
          <t>Föryngringsavverkning</t>
        </is>
      </c>
      <c r="D5436" s="1" t="n">
        <v>46097</v>
      </c>
      <c r="E5436" s="1" t="n">
        <v>46326</v>
      </c>
      <c r="F5436" t="inlineStr">
        <is>
          <t>GÄVLEBORGS LÄN</t>
        </is>
      </c>
      <c r="G5436" t="inlineStr">
        <is>
          <t>BOLLNÄS</t>
        </is>
      </c>
      <c r="I5436" t="n">
        <v>2.7</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13598-2026</t>
        </is>
      </c>
      <c r="B5437" t="inlineStr">
        <is>
          <t>avverkningsanmälan</t>
        </is>
      </c>
      <c r="C5437" t="inlineStr">
        <is>
          <t>Föryngringsavverkning</t>
        </is>
      </c>
      <c r="D5437" s="1" t="n">
        <v>46097</v>
      </c>
      <c r="E5437" s="1" t="n">
        <v>46326</v>
      </c>
      <c r="F5437" t="inlineStr">
        <is>
          <t>GÄVLEBORGS LÄN</t>
        </is>
      </c>
      <c r="G5437" t="inlineStr">
        <is>
          <t>BOLLNÄS</t>
        </is>
      </c>
      <c r="I5437" t="n">
        <v>3.1</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13647-2026</t>
        </is>
      </c>
      <c r="B5438" t="inlineStr">
        <is>
          <t>avverkningsanmälan</t>
        </is>
      </c>
      <c r="C5438" t="inlineStr">
        <is>
          <t>Föryngringsavverkning</t>
        </is>
      </c>
      <c r="D5438" s="1" t="n">
        <v>46097</v>
      </c>
      <c r="E5438" s="1" t="n">
        <v>46326</v>
      </c>
      <c r="F5438" t="inlineStr">
        <is>
          <t>GÄVLEBORGS LÄN</t>
        </is>
      </c>
      <c r="G5438" t="inlineStr">
        <is>
          <t>NORDANSTIG</t>
        </is>
      </c>
      <c r="I5438" t="n">
        <v>0.9</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13966-2026</t>
        </is>
      </c>
      <c r="B5439" t="inlineStr">
        <is>
          <t>avverkningsanmälan</t>
        </is>
      </c>
      <c r="C5439" t="inlineStr">
        <is>
          <t>Föryngringsavverkning</t>
        </is>
      </c>
      <c r="D5439" s="1" t="n">
        <v>46098</v>
      </c>
      <c r="E5439" s="1" t="n">
        <v>46326</v>
      </c>
      <c r="F5439" t="inlineStr">
        <is>
          <t>GÄVLEBORGS LÄN</t>
        </is>
      </c>
      <c r="G5439" t="inlineStr">
        <is>
          <t>SANDVIKEN</t>
        </is>
      </c>
      <c r="I5439" t="n">
        <v>0.7</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14014-2026</t>
        </is>
      </c>
      <c r="B5440" t="inlineStr">
        <is>
          <t>avverkningsanmälan</t>
        </is>
      </c>
      <c r="C5440" t="inlineStr">
        <is>
          <t>Föryngringsavverkning</t>
        </is>
      </c>
      <c r="D5440" s="1" t="n">
        <v>46098</v>
      </c>
      <c r="E5440" s="1" t="n">
        <v>46326</v>
      </c>
      <c r="F5440" t="inlineStr">
        <is>
          <t>GÄVLEBORGS LÄN</t>
        </is>
      </c>
      <c r="G5440" t="inlineStr">
        <is>
          <t>OVANÅKER</t>
        </is>
      </c>
      <c r="I5440" t="n">
        <v>5.7</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13677-2026</t>
        </is>
      </c>
      <c r="B5441" t="inlineStr">
        <is>
          <t>avverkningsanmälan</t>
        </is>
      </c>
      <c r="C5441" t="inlineStr">
        <is>
          <t>Föryngringsavverkning</t>
        </is>
      </c>
      <c r="D5441" s="1" t="n">
        <v>46097</v>
      </c>
      <c r="E5441" s="1" t="n">
        <v>46326</v>
      </c>
      <c r="F5441" t="inlineStr">
        <is>
          <t>GÄVLEBORGS LÄN</t>
        </is>
      </c>
      <c r="G5441" t="inlineStr">
        <is>
          <t>OVANÅKER</t>
        </is>
      </c>
      <c r="I5441" t="n">
        <v>3.7</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12893-2024</t>
        </is>
      </c>
      <c r="B5442" t="inlineStr">
        <is>
          <t>avverkningsanmälan</t>
        </is>
      </c>
      <c r="C5442" t="inlineStr">
        <is>
          <t>Föryngringsavverkning</t>
        </is>
      </c>
      <c r="D5442" s="1" t="n">
        <v>45385</v>
      </c>
      <c r="E5442" s="1" t="n">
        <v>46326</v>
      </c>
      <c r="F5442" t="inlineStr">
        <is>
          <t>GÄVLEBORGS LÄN</t>
        </is>
      </c>
      <c r="G5442" t="inlineStr">
        <is>
          <t>HUDIKSVALL</t>
        </is>
      </c>
      <c r="H5442" t="inlineStr">
        <is>
          <t>Holmen skog AB</t>
        </is>
      </c>
      <c r="I5442" t="n">
        <v>0.9</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13962-2026</t>
        </is>
      </c>
      <c r="B5443" t="inlineStr">
        <is>
          <t>avverkningsanmälan</t>
        </is>
      </c>
      <c r="C5443" t="inlineStr">
        <is>
          <t>Föryngringsavverkning</t>
        </is>
      </c>
      <c r="D5443" s="1" t="n">
        <v>46098</v>
      </c>
      <c r="E5443" s="1" t="n">
        <v>46326</v>
      </c>
      <c r="F5443" t="inlineStr">
        <is>
          <t>GÄVLEBORGS LÄN</t>
        </is>
      </c>
      <c r="G5443" t="inlineStr">
        <is>
          <t>OCKELBO</t>
        </is>
      </c>
      <c r="H5443" t="inlineStr">
        <is>
          <t>Bergvik skog väst AB</t>
        </is>
      </c>
      <c r="I5443" t="n">
        <v>1</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13974-2026</t>
        </is>
      </c>
      <c r="B5444" t="inlineStr">
        <is>
          <t>avverkningsanmälan</t>
        </is>
      </c>
      <c r="C5444" t="inlineStr">
        <is>
          <t>Föryngringsavverkning</t>
        </is>
      </c>
      <c r="D5444" s="1" t="n">
        <v>46098</v>
      </c>
      <c r="E5444" s="1" t="n">
        <v>46326</v>
      </c>
      <c r="F5444" t="inlineStr">
        <is>
          <t>GÄVLEBORGS LÄN</t>
        </is>
      </c>
      <c r="G5444" t="inlineStr">
        <is>
          <t>SÖDERHAMN</t>
        </is>
      </c>
      <c r="I5444" t="n">
        <v>2.6</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13982-2026</t>
        </is>
      </c>
      <c r="B5445" t="inlineStr">
        <is>
          <t>avverkningsanmälan</t>
        </is>
      </c>
      <c r="C5445" t="inlineStr">
        <is>
          <t>Föryngringsavverkning</t>
        </is>
      </c>
      <c r="D5445" s="1" t="n">
        <v>46098</v>
      </c>
      <c r="E5445" s="1" t="n">
        <v>46326</v>
      </c>
      <c r="F5445" t="inlineStr">
        <is>
          <t>GÄVLEBORGS LÄN</t>
        </is>
      </c>
      <c r="G5445" t="inlineStr">
        <is>
          <t>NORDANSTIG</t>
        </is>
      </c>
      <c r="H5445" t="inlineStr">
        <is>
          <t>Holmen skog AB</t>
        </is>
      </c>
      <c r="I5445" t="n">
        <v>1.3</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12417-2025</t>
        </is>
      </c>
      <c r="B5446" t="inlineStr">
        <is>
          <t>avverkningsanmälan</t>
        </is>
      </c>
      <c r="C5446" t="inlineStr">
        <is>
          <t>Föryngringsavverkning</t>
        </is>
      </c>
      <c r="D5446" s="1" t="n">
        <v>45730</v>
      </c>
      <c r="E5446" s="1" t="n">
        <v>46326</v>
      </c>
      <c r="F5446" t="inlineStr">
        <is>
          <t>GÄVLEBORGS LÄN</t>
        </is>
      </c>
      <c r="G5446" t="inlineStr">
        <is>
          <t>SANDVIKEN</t>
        </is>
      </c>
      <c r="H5446" t="inlineStr">
        <is>
          <t>Bergvik skog öst AB</t>
        </is>
      </c>
      <c r="I5446" t="n">
        <v>2</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12418-2025</t>
        </is>
      </c>
      <c r="B5447" t="inlineStr">
        <is>
          <t>avverkningsanmälan</t>
        </is>
      </c>
      <c r="C5447" t="inlineStr">
        <is>
          <t>Föryngringsavverkning</t>
        </is>
      </c>
      <c r="D5447" s="1" t="n">
        <v>45730</v>
      </c>
      <c r="E5447" s="1" t="n">
        <v>46326</v>
      </c>
      <c r="F5447" t="inlineStr">
        <is>
          <t>GÄVLEBORGS LÄN</t>
        </is>
      </c>
      <c r="G5447" t="inlineStr">
        <is>
          <t>SANDVIKEN</t>
        </is>
      </c>
      <c r="H5447" t="inlineStr">
        <is>
          <t>Bergvik skog öst AB</t>
        </is>
      </c>
      <c r="I5447" t="n">
        <v>1.1</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52391-2023</t>
        </is>
      </c>
      <c r="B5448" t="inlineStr">
        <is>
          <t>avverkningsanmälan</t>
        </is>
      </c>
      <c r="C5448" t="inlineStr">
        <is>
          <t>Föryngringsavverkning</t>
        </is>
      </c>
      <c r="D5448" s="1" t="n">
        <v>45224</v>
      </c>
      <c r="E5448" s="1" t="n">
        <v>46326</v>
      </c>
      <c r="F5448" t="inlineStr">
        <is>
          <t>GÄVLEBORGS LÄN</t>
        </is>
      </c>
      <c r="G5448" t="inlineStr">
        <is>
          <t>LJUSDAL</t>
        </is>
      </c>
      <c r="I5448" t="n">
        <v>4.4</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9139-2025</t>
        </is>
      </c>
      <c r="B5449" t="inlineStr">
        <is>
          <t>avverkningsanmälan</t>
        </is>
      </c>
      <c r="C5449" t="inlineStr">
        <is>
          <t>Föryngringsavverkning</t>
        </is>
      </c>
      <c r="D5449" s="1" t="n">
        <v>45714</v>
      </c>
      <c r="E5449" s="1" t="n">
        <v>46326</v>
      </c>
      <c r="F5449" t="inlineStr">
        <is>
          <t>GÄVLEBORGS LÄN</t>
        </is>
      </c>
      <c r="G5449" t="inlineStr">
        <is>
          <t>LJUSDAL</t>
        </is>
      </c>
      <c r="I5449" t="n">
        <v>5.2</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14043-2026</t>
        </is>
      </c>
      <c r="B5450" t="inlineStr">
        <is>
          <t>avverkningsanmälan</t>
        </is>
      </c>
      <c r="C5450" t="inlineStr">
        <is>
          <t>Föryngringsavverkning</t>
        </is>
      </c>
      <c r="D5450" s="1" t="n">
        <v>46098</v>
      </c>
      <c r="E5450" s="1" t="n">
        <v>46326</v>
      </c>
      <c r="F5450" t="inlineStr">
        <is>
          <t>GÄVLEBORGS LÄN</t>
        </is>
      </c>
      <c r="G5450" t="inlineStr">
        <is>
          <t>OVANÅKER</t>
        </is>
      </c>
      <c r="I5450" t="n">
        <v>5</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14044-2026</t>
        </is>
      </c>
      <c r="B5451" t="inlineStr">
        <is>
          <t>avverkningsanmälan</t>
        </is>
      </c>
      <c r="C5451" t="inlineStr">
        <is>
          <t>Föryngringsavverkning</t>
        </is>
      </c>
      <c r="D5451" s="1" t="n">
        <v>46098</v>
      </c>
      <c r="E5451" s="1" t="n">
        <v>46326</v>
      </c>
      <c r="F5451" t="inlineStr">
        <is>
          <t>GÄVLEBORGS LÄN</t>
        </is>
      </c>
      <c r="G5451" t="inlineStr">
        <is>
          <t>SANDVIKEN</t>
        </is>
      </c>
      <c r="I5451" t="n">
        <v>3.7</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13915-2026</t>
        </is>
      </c>
      <c r="B5452" t="inlineStr">
        <is>
          <t>avverkningsanmälan</t>
        </is>
      </c>
      <c r="C5452" t="inlineStr">
        <is>
          <t>Föryngringsavverkning</t>
        </is>
      </c>
      <c r="D5452" s="1" t="n">
        <v>46098</v>
      </c>
      <c r="E5452" s="1" t="n">
        <v>46326</v>
      </c>
      <c r="F5452" t="inlineStr">
        <is>
          <t>GÄVLEBORGS LÄN</t>
        </is>
      </c>
      <c r="G5452" t="inlineStr">
        <is>
          <t>BOLLNÄS</t>
        </is>
      </c>
      <c r="I5452" t="n">
        <v>2.1</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52981-2024</t>
        </is>
      </c>
      <c r="B5453" t="inlineStr">
        <is>
          <t>avverkningsanmälan</t>
        </is>
      </c>
      <c r="C5453" t="inlineStr">
        <is>
          <t>Föryngringsavverkning</t>
        </is>
      </c>
      <c r="D5453" s="1" t="n">
        <v>45611</v>
      </c>
      <c r="E5453" s="1" t="n">
        <v>46326</v>
      </c>
      <c r="F5453" t="inlineStr">
        <is>
          <t>GÄVLEBORGS LÄN</t>
        </is>
      </c>
      <c r="G5453" t="inlineStr">
        <is>
          <t>LJUSDAL</t>
        </is>
      </c>
      <c r="I5453" t="n">
        <v>1</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62126-2025</t>
        </is>
      </c>
      <c r="B5454" t="inlineStr">
        <is>
          <t>avverkningsanmälan</t>
        </is>
      </c>
      <c r="C5454" t="inlineStr">
        <is>
          <t>Föryngringsavverkning</t>
        </is>
      </c>
      <c r="D5454" s="1" t="n">
        <v>46006</v>
      </c>
      <c r="E5454" s="1" t="n">
        <v>46326</v>
      </c>
      <c r="F5454" t="inlineStr">
        <is>
          <t>GÄVLEBORGS LÄN</t>
        </is>
      </c>
      <c r="G5454" t="inlineStr">
        <is>
          <t>OVANÅKER</t>
        </is>
      </c>
      <c r="I5454" t="n">
        <v>1.4</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53007-2024</t>
        </is>
      </c>
      <c r="B5455" t="inlineStr">
        <is>
          <t>avverkningsanmälan</t>
        </is>
      </c>
      <c r="C5455" t="inlineStr">
        <is>
          <t>Föryngringsavverkning</t>
        </is>
      </c>
      <c r="D5455" s="1" t="n">
        <v>45611</v>
      </c>
      <c r="E5455" s="1" t="n">
        <v>46326</v>
      </c>
      <c r="F5455" t="inlineStr">
        <is>
          <t>GÄVLEBORGS LÄN</t>
        </is>
      </c>
      <c r="G5455" t="inlineStr">
        <is>
          <t>LJUSDAL</t>
        </is>
      </c>
      <c r="I5455" t="n">
        <v>2.5</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13844-2025</t>
        </is>
      </c>
      <c r="B5456" t="inlineStr">
        <is>
          <t>avverkningsanmälan</t>
        </is>
      </c>
      <c r="C5456" t="inlineStr">
        <is>
          <t>Föryngringsavverkning</t>
        </is>
      </c>
      <c r="D5456" s="1" t="n">
        <v>45737</v>
      </c>
      <c r="E5456" s="1" t="n">
        <v>46326</v>
      </c>
      <c r="F5456" t="inlineStr">
        <is>
          <t>GÄVLEBORGS LÄN</t>
        </is>
      </c>
      <c r="G5456" t="inlineStr">
        <is>
          <t>LJUSDAL</t>
        </is>
      </c>
      <c r="I5456" t="n">
        <v>3.5</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10858-2025</t>
        </is>
      </c>
      <c r="B5457" t="inlineStr">
        <is>
          <t>avverkningsanmälan</t>
        </is>
      </c>
      <c r="C5457" t="inlineStr">
        <is>
          <t>Föryngringsavverkning</t>
        </is>
      </c>
      <c r="D5457" s="1" t="n">
        <v>45722</v>
      </c>
      <c r="E5457" s="1" t="n">
        <v>46326</v>
      </c>
      <c r="F5457" t="inlineStr">
        <is>
          <t>GÄVLEBORGS LÄN</t>
        </is>
      </c>
      <c r="G5457" t="inlineStr">
        <is>
          <t>HUDIKSVALL</t>
        </is>
      </c>
      <c r="H5457" t="inlineStr">
        <is>
          <t>Holmen skog AB</t>
        </is>
      </c>
      <c r="I5457" t="n">
        <v>13.4</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13586-2026</t>
        </is>
      </c>
      <c r="B5458" t="inlineStr">
        <is>
          <t>avverkningsanmälan</t>
        </is>
      </c>
      <c r="C5458" t="inlineStr">
        <is>
          <t>Föryngringsavverkning</t>
        </is>
      </c>
      <c r="D5458" s="1" t="n">
        <v>46095</v>
      </c>
      <c r="E5458" s="1" t="n">
        <v>46326</v>
      </c>
      <c r="F5458" t="inlineStr">
        <is>
          <t>GÄVLEBORGS LÄN</t>
        </is>
      </c>
      <c r="G5458" t="inlineStr">
        <is>
          <t>SANDVIKEN</t>
        </is>
      </c>
      <c r="I5458" t="n">
        <v>0.5</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13605-2026</t>
        </is>
      </c>
      <c r="B5459" t="inlineStr">
        <is>
          <t>avverkningsanmälan</t>
        </is>
      </c>
      <c r="C5459" t="inlineStr">
        <is>
          <t>Föryngringsavverkning</t>
        </is>
      </c>
      <c r="D5459" s="1" t="n">
        <v>46097</v>
      </c>
      <c r="E5459" s="1" t="n">
        <v>46326</v>
      </c>
      <c r="F5459" t="inlineStr">
        <is>
          <t>GÄVLEBORGS LÄN</t>
        </is>
      </c>
      <c r="G5459" t="inlineStr">
        <is>
          <t>SANDVIKEN</t>
        </is>
      </c>
      <c r="H5459" t="inlineStr">
        <is>
          <t>Kommuner</t>
        </is>
      </c>
      <c r="I5459" t="n">
        <v>2.4</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13621-2026</t>
        </is>
      </c>
      <c r="B5460" t="inlineStr">
        <is>
          <t>avverkningsanmälan</t>
        </is>
      </c>
      <c r="C5460" t="inlineStr">
        <is>
          <t>Föryngringsavverkning</t>
        </is>
      </c>
      <c r="D5460" s="1" t="n">
        <v>46097</v>
      </c>
      <c r="E5460" s="1" t="n">
        <v>46326</v>
      </c>
      <c r="F5460" t="inlineStr">
        <is>
          <t>GÄVLEBORGS LÄN</t>
        </is>
      </c>
      <c r="G5460" t="inlineStr">
        <is>
          <t>OCKELBO</t>
        </is>
      </c>
      <c r="I5460" t="n">
        <v>0.6</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13624-2026</t>
        </is>
      </c>
      <c r="B5461" t="inlineStr">
        <is>
          <t>avverkningsanmälan</t>
        </is>
      </c>
      <c r="C5461" t="inlineStr">
        <is>
          <t>Föryngringsavverkning</t>
        </is>
      </c>
      <c r="D5461" s="1" t="n">
        <v>46097</v>
      </c>
      <c r="E5461" s="1" t="n">
        <v>46326</v>
      </c>
      <c r="F5461" t="inlineStr">
        <is>
          <t>GÄVLEBORGS LÄN</t>
        </is>
      </c>
      <c r="G5461" t="inlineStr">
        <is>
          <t>BOLLNÄS</t>
        </is>
      </c>
      <c r="I5461" t="n">
        <v>3.9</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62352-2025</t>
        </is>
      </c>
      <c r="B5462" t="inlineStr">
        <is>
          <t>avverkningsanmälan</t>
        </is>
      </c>
      <c r="C5462" t="inlineStr">
        <is>
          <t>Föryngringsavverkning</t>
        </is>
      </c>
      <c r="D5462" s="1" t="n">
        <v>46007</v>
      </c>
      <c r="E5462" s="1" t="n">
        <v>46326</v>
      </c>
      <c r="F5462" t="inlineStr">
        <is>
          <t>GÄVLEBORGS LÄN</t>
        </is>
      </c>
      <c r="G5462" t="inlineStr">
        <is>
          <t>OVANÅKER</t>
        </is>
      </c>
      <c r="I5462" t="n">
        <v>1.5</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5230-2024</t>
        </is>
      </c>
      <c r="B5463" t="inlineStr">
        <is>
          <t>avverkningsanmälan</t>
        </is>
      </c>
      <c r="C5463" t="inlineStr">
        <is>
          <t>Avverkning för annat ändamål</t>
        </is>
      </c>
      <c r="D5463" s="1" t="n">
        <v>45330</v>
      </c>
      <c r="E5463" s="1" t="n">
        <v>46326</v>
      </c>
      <c r="F5463" t="inlineStr">
        <is>
          <t>GÄVLEBORGS LÄN</t>
        </is>
      </c>
      <c r="G5463" t="inlineStr">
        <is>
          <t>HUDIKSVALL</t>
        </is>
      </c>
      <c r="I5463" t="n">
        <v>0.9</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62185-2025</t>
        </is>
      </c>
      <c r="B5464" t="inlineStr">
        <is>
          <t>avverkningsanmälan</t>
        </is>
      </c>
      <c r="C5464" t="inlineStr">
        <is>
          <t>Föryngringsavverkning</t>
        </is>
      </c>
      <c r="D5464" s="1" t="n">
        <v>46006</v>
      </c>
      <c r="E5464" s="1" t="n">
        <v>46326</v>
      </c>
      <c r="F5464" t="inlineStr">
        <is>
          <t>GÄVLEBORGS LÄN</t>
        </is>
      </c>
      <c r="G5464" t="inlineStr">
        <is>
          <t>NORDANSTIG</t>
        </is>
      </c>
      <c r="I5464" t="n">
        <v>1.4</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62192-2025</t>
        </is>
      </c>
      <c r="B5465" t="inlineStr">
        <is>
          <t>avverkningsanmälan</t>
        </is>
      </c>
      <c r="C5465" t="inlineStr">
        <is>
          <t>Föryngringsavverkning</t>
        </is>
      </c>
      <c r="D5465" s="1" t="n">
        <v>46006</v>
      </c>
      <c r="E5465" s="1" t="n">
        <v>46326</v>
      </c>
      <c r="F5465" t="inlineStr">
        <is>
          <t>GÄVLEBORGS LÄN</t>
        </is>
      </c>
      <c r="G5465" t="inlineStr">
        <is>
          <t>LJUSDAL</t>
        </is>
      </c>
      <c r="I5465" t="n">
        <v>1.3</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61016-2024</t>
        </is>
      </c>
      <c r="B5466" t="inlineStr">
        <is>
          <t>avverkningsanmälan</t>
        </is>
      </c>
      <c r="C5466" t="inlineStr">
        <is>
          <t>Föryngringsavverkning</t>
        </is>
      </c>
      <c r="D5466" s="1" t="n">
        <v>45645</v>
      </c>
      <c r="E5466" s="1" t="n">
        <v>46326</v>
      </c>
      <c r="F5466" t="inlineStr">
        <is>
          <t>GÄVLEBORGS LÄN</t>
        </is>
      </c>
      <c r="G5466" t="inlineStr">
        <is>
          <t>GÄVLE</t>
        </is>
      </c>
      <c r="H5466" t="inlineStr">
        <is>
          <t>Bergvik skog öst AB</t>
        </is>
      </c>
      <c r="I5466" t="n">
        <v>1.3</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62313-2025</t>
        </is>
      </c>
      <c r="B5467" t="inlineStr">
        <is>
          <t>avverkningsanmälan</t>
        </is>
      </c>
      <c r="C5467" t="inlineStr">
        <is>
          <t>Föryngringsavverkning</t>
        </is>
      </c>
      <c r="D5467" s="1" t="n">
        <v>46006</v>
      </c>
      <c r="E5467" s="1" t="n">
        <v>46326</v>
      </c>
      <c r="F5467" t="inlineStr">
        <is>
          <t>GÄVLEBORGS LÄN</t>
        </is>
      </c>
      <c r="G5467" t="inlineStr">
        <is>
          <t>HUDIKSVALL</t>
        </is>
      </c>
      <c r="I5467" t="n">
        <v>0.6</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18361-2024</t>
        </is>
      </c>
      <c r="B5468" t="inlineStr">
        <is>
          <t>avverkningsanmälan</t>
        </is>
      </c>
      <c r="C5468" t="inlineStr">
        <is>
          <t>Föryngringsavverkning</t>
        </is>
      </c>
      <c r="D5468" s="1" t="n">
        <v>45422</v>
      </c>
      <c r="E5468" s="1" t="n">
        <v>46326</v>
      </c>
      <c r="F5468" t="inlineStr">
        <is>
          <t>GÄVLEBORGS LÄN</t>
        </is>
      </c>
      <c r="G5468" t="inlineStr">
        <is>
          <t>GÄVLE</t>
        </is>
      </c>
      <c r="H5468" t="inlineStr">
        <is>
          <t>Bergvik skog väst AB</t>
        </is>
      </c>
      <c r="I5468" t="n">
        <v>7</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62182-2025</t>
        </is>
      </c>
      <c r="B5469" t="inlineStr">
        <is>
          <t>avverkningsanmälan</t>
        </is>
      </c>
      <c r="C5469" t="inlineStr">
        <is>
          <t>Föryngringsavverkning</t>
        </is>
      </c>
      <c r="D5469" s="1" t="n">
        <v>46006</v>
      </c>
      <c r="E5469" s="1" t="n">
        <v>46326</v>
      </c>
      <c r="F5469" t="inlineStr">
        <is>
          <t>GÄVLEBORGS LÄN</t>
        </is>
      </c>
      <c r="G5469" t="inlineStr">
        <is>
          <t>NORDANSTIG</t>
        </is>
      </c>
      <c r="I5469" t="n">
        <v>2.3</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13856-2026</t>
        </is>
      </c>
      <c r="B5470" t="inlineStr">
        <is>
          <t>avverkningsanmälan</t>
        </is>
      </c>
      <c r="C5470" t="inlineStr">
        <is>
          <t>Föryngringsavverkning</t>
        </is>
      </c>
      <c r="D5470" s="1" t="n">
        <v>46098</v>
      </c>
      <c r="E5470" s="1" t="n">
        <v>46326</v>
      </c>
      <c r="F5470" t="inlineStr">
        <is>
          <t>GÄVLEBORGS LÄN</t>
        </is>
      </c>
      <c r="G5470" t="inlineStr">
        <is>
          <t>OCKELBO</t>
        </is>
      </c>
      <c r="I5470" t="n">
        <v>0.6</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14171-2026</t>
        </is>
      </c>
      <c r="B5471" t="inlineStr">
        <is>
          <t>avverkningsanmälan</t>
        </is>
      </c>
      <c r="C5471" t="inlineStr">
        <is>
          <t>Föryngringsavverkning</t>
        </is>
      </c>
      <c r="D5471" s="1" t="n">
        <v>46099</v>
      </c>
      <c r="E5471" s="1" t="n">
        <v>46326</v>
      </c>
      <c r="F5471" t="inlineStr">
        <is>
          <t>GÄVLEBORGS LÄN</t>
        </is>
      </c>
      <c r="G5471" t="inlineStr">
        <is>
          <t>BOLLNÄS</t>
        </is>
      </c>
      <c r="H5471" t="inlineStr">
        <is>
          <t>Bergvik skog väst AB</t>
        </is>
      </c>
      <c r="I5471" t="n">
        <v>3.5</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14183-2026</t>
        </is>
      </c>
      <c r="B5472" t="inlineStr">
        <is>
          <t>avverkningsanmälan</t>
        </is>
      </c>
      <c r="C5472" t="inlineStr">
        <is>
          <t>Föryngringsavverkning</t>
        </is>
      </c>
      <c r="D5472" s="1" t="n">
        <v>46099</v>
      </c>
      <c r="E5472" s="1" t="n">
        <v>46326</v>
      </c>
      <c r="F5472" t="inlineStr">
        <is>
          <t>GÄVLEBORGS LÄN</t>
        </is>
      </c>
      <c r="G5472" t="inlineStr">
        <is>
          <t>BOLLNÄS</t>
        </is>
      </c>
      <c r="I5472" t="n">
        <v>7.1</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62378-2025</t>
        </is>
      </c>
      <c r="B5473" t="inlineStr">
        <is>
          <t>avverkningsanmälan</t>
        </is>
      </c>
      <c r="C5473" t="inlineStr">
        <is>
          <t>Föryngringsavverkning</t>
        </is>
      </c>
      <c r="D5473" s="1" t="n">
        <v>46007</v>
      </c>
      <c r="E5473" s="1" t="n">
        <v>46326</v>
      </c>
      <c r="F5473" t="inlineStr">
        <is>
          <t>GÄVLEBORGS LÄN</t>
        </is>
      </c>
      <c r="G5473" t="inlineStr">
        <is>
          <t>HUDIKSVALL</t>
        </is>
      </c>
      <c r="I5473" t="n">
        <v>2.3</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14232-2026</t>
        </is>
      </c>
      <c r="B5474" t="inlineStr">
        <is>
          <t>avverkningsanmälan</t>
        </is>
      </c>
      <c r="C5474" t="inlineStr">
        <is>
          <t>Föryngringsavverkning</t>
        </is>
      </c>
      <c r="D5474" s="1" t="n">
        <v>46099</v>
      </c>
      <c r="E5474" s="1" t="n">
        <v>46326</v>
      </c>
      <c r="F5474" t="inlineStr">
        <is>
          <t>GÄVLEBORGS LÄN</t>
        </is>
      </c>
      <c r="G5474" t="inlineStr">
        <is>
          <t>OCKELBO</t>
        </is>
      </c>
      <c r="H5474" t="inlineStr">
        <is>
          <t>Bergvik skog väst AB</t>
        </is>
      </c>
      <c r="I5474" t="n">
        <v>0.9</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14257-2026</t>
        </is>
      </c>
      <c r="B5475" t="inlineStr">
        <is>
          <t>avverkningsanmälan</t>
        </is>
      </c>
      <c r="C5475" t="inlineStr">
        <is>
          <t>Föryngringsavverkning</t>
        </is>
      </c>
      <c r="D5475" s="1" t="n">
        <v>46099</v>
      </c>
      <c r="E5475" s="1" t="n">
        <v>46326</v>
      </c>
      <c r="F5475" t="inlineStr">
        <is>
          <t>GÄVLEBORGS LÄN</t>
        </is>
      </c>
      <c r="G5475" t="inlineStr">
        <is>
          <t>SANDVIKEN</t>
        </is>
      </c>
      <c r="I5475" t="n">
        <v>1</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14155-2026</t>
        </is>
      </c>
      <c r="B5476" t="inlineStr">
        <is>
          <t>avverkningsanmälan</t>
        </is>
      </c>
      <c r="C5476" t="inlineStr">
        <is>
          <t>Föryngringsavverkning</t>
        </is>
      </c>
      <c r="D5476" s="1" t="n">
        <v>46099</v>
      </c>
      <c r="E5476" s="1" t="n">
        <v>46326</v>
      </c>
      <c r="F5476" t="inlineStr">
        <is>
          <t>GÄVLEBORGS LÄN</t>
        </is>
      </c>
      <c r="G5476" t="inlineStr">
        <is>
          <t>BOLLNÄS</t>
        </is>
      </c>
      <c r="H5476" t="inlineStr">
        <is>
          <t>Bergvik skog väst AB</t>
        </is>
      </c>
      <c r="I5476" t="n">
        <v>2.8</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14226-2026</t>
        </is>
      </c>
      <c r="B5477" t="inlineStr">
        <is>
          <t>avverkningsanmälan</t>
        </is>
      </c>
      <c r="C5477" t="inlineStr">
        <is>
          <t>Föryngringsavverkning</t>
        </is>
      </c>
      <c r="D5477" s="1" t="n">
        <v>46099</v>
      </c>
      <c r="E5477" s="1" t="n">
        <v>46326</v>
      </c>
      <c r="F5477" t="inlineStr">
        <is>
          <t>GÄVLEBORGS LÄN</t>
        </is>
      </c>
      <c r="G5477" t="inlineStr">
        <is>
          <t>OVANÅKER</t>
        </is>
      </c>
      <c r="I5477" t="n">
        <v>1.1</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62394-2025</t>
        </is>
      </c>
      <c r="B5478" t="inlineStr">
        <is>
          <t>avverkningsanmälan</t>
        </is>
      </c>
      <c r="C5478" t="inlineStr">
        <is>
          <t>Föryngringsavverkning</t>
        </is>
      </c>
      <c r="D5478" s="1" t="n">
        <v>46007</v>
      </c>
      <c r="E5478" s="1" t="n">
        <v>46326</v>
      </c>
      <c r="F5478" t="inlineStr">
        <is>
          <t>GÄVLEBORGS LÄN</t>
        </is>
      </c>
      <c r="G5478" t="inlineStr">
        <is>
          <t>OVANÅKER</t>
        </is>
      </c>
      <c r="I5478" t="n">
        <v>0.6</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14267-2026</t>
        </is>
      </c>
      <c r="B5479" t="inlineStr">
        <is>
          <t>avverkningsanmälan</t>
        </is>
      </c>
      <c r="C5479" t="inlineStr">
        <is>
          <t>Föryngringsavverkning</t>
        </is>
      </c>
      <c r="D5479" s="1" t="n">
        <v>46099</v>
      </c>
      <c r="E5479" s="1" t="n">
        <v>46326</v>
      </c>
      <c r="F5479" t="inlineStr">
        <is>
          <t>GÄVLEBORGS LÄN</t>
        </is>
      </c>
      <c r="G5479" t="inlineStr">
        <is>
          <t>NORDANSTIG</t>
        </is>
      </c>
      <c r="H5479" t="inlineStr">
        <is>
          <t>Holmen skog AB</t>
        </is>
      </c>
      <c r="I5479" t="n">
        <v>2.3</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14274-2026</t>
        </is>
      </c>
      <c r="B5480" t="inlineStr">
        <is>
          <t>avverkningsanmälan</t>
        </is>
      </c>
      <c r="C5480" t="inlineStr">
        <is>
          <t>Föryngringsavverkning</t>
        </is>
      </c>
      <c r="D5480" s="1" t="n">
        <v>46099</v>
      </c>
      <c r="E5480" s="1" t="n">
        <v>46326</v>
      </c>
      <c r="F5480" t="inlineStr">
        <is>
          <t>GÄVLEBORGS LÄN</t>
        </is>
      </c>
      <c r="G5480" t="inlineStr">
        <is>
          <t>OVANÅKER</t>
        </is>
      </c>
      <c r="I5480" t="n">
        <v>11.5</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14280-2026</t>
        </is>
      </c>
      <c r="B5481" t="inlineStr">
        <is>
          <t>avverkningsanmälan</t>
        </is>
      </c>
      <c r="C5481" t="inlineStr">
        <is>
          <t>Föryngringsavverkning</t>
        </is>
      </c>
      <c r="D5481" s="1" t="n">
        <v>46099</v>
      </c>
      <c r="E5481" s="1" t="n">
        <v>46326</v>
      </c>
      <c r="F5481" t="inlineStr">
        <is>
          <t>GÄVLEBORGS LÄN</t>
        </is>
      </c>
      <c r="G5481" t="inlineStr">
        <is>
          <t>GÄVLE</t>
        </is>
      </c>
      <c r="H5481" t="inlineStr">
        <is>
          <t>Bergvik skog öst AB</t>
        </is>
      </c>
      <c r="I5481" t="n">
        <v>1.1</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62272-2025</t>
        </is>
      </c>
      <c r="B5482" t="inlineStr">
        <is>
          <t>avverkningsanmälan</t>
        </is>
      </c>
      <c r="C5482" t="inlineStr">
        <is>
          <t>Föryngringsavverkning</t>
        </is>
      </c>
      <c r="D5482" s="1" t="n">
        <v>46006</v>
      </c>
      <c r="E5482" s="1" t="n">
        <v>46326</v>
      </c>
      <c r="F5482" t="inlineStr">
        <is>
          <t>GÄVLEBORGS LÄN</t>
        </is>
      </c>
      <c r="G5482" t="inlineStr">
        <is>
          <t>BOLLNÄS</t>
        </is>
      </c>
      <c r="I5482" t="n">
        <v>0.7</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43517-2023</t>
        </is>
      </c>
      <c r="B5483" t="inlineStr">
        <is>
          <t>avverkningsanmälan</t>
        </is>
      </c>
      <c r="C5483" t="inlineStr">
        <is>
          <t>Föryngringsavverkning</t>
        </is>
      </c>
      <c r="D5483" s="1" t="n">
        <v>45184</v>
      </c>
      <c r="E5483" s="1" t="n">
        <v>46326</v>
      </c>
      <c r="F5483" t="inlineStr">
        <is>
          <t>GÄVLEBORGS LÄN</t>
        </is>
      </c>
      <c r="G5483" t="inlineStr">
        <is>
          <t>LJUSDAL</t>
        </is>
      </c>
      <c r="I5483" t="n">
        <v>23.5</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48607-2023</t>
        </is>
      </c>
      <c r="B5484" t="inlineStr">
        <is>
          <t>avverkningsanmälan</t>
        </is>
      </c>
      <c r="C5484" t="inlineStr">
        <is>
          <t>Föryngringsavverkning</t>
        </is>
      </c>
      <c r="D5484" s="1" t="n">
        <v>45208</v>
      </c>
      <c r="E5484" s="1" t="n">
        <v>46326</v>
      </c>
      <c r="F5484" t="inlineStr">
        <is>
          <t>GÄVLEBORGS LÄN</t>
        </is>
      </c>
      <c r="G5484" t="inlineStr">
        <is>
          <t>NORDANSTIG</t>
        </is>
      </c>
      <c r="I5484" t="n">
        <v>1.7</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62226-2025</t>
        </is>
      </c>
      <c r="B5485" t="inlineStr">
        <is>
          <t>avverkningsanmälan</t>
        </is>
      </c>
      <c r="C5485" t="inlineStr">
        <is>
          <t>Föryngringsavverkning</t>
        </is>
      </c>
      <c r="D5485" s="1" t="n">
        <v>46006</v>
      </c>
      <c r="E5485" s="1" t="n">
        <v>46326</v>
      </c>
      <c r="F5485" t="inlineStr">
        <is>
          <t>GÄVLEBORGS LÄN</t>
        </is>
      </c>
      <c r="G5485" t="inlineStr">
        <is>
          <t>GÄVLE</t>
        </is>
      </c>
      <c r="H5485" t="inlineStr">
        <is>
          <t>Bergvik skog väst AB</t>
        </is>
      </c>
      <c r="I5485" t="n">
        <v>0.5</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62196-2025</t>
        </is>
      </c>
      <c r="B5486" t="inlineStr">
        <is>
          <t>avverkningsanmälan</t>
        </is>
      </c>
      <c r="C5486" t="inlineStr">
        <is>
          <t>Avverkning för annat ändamål</t>
        </is>
      </c>
      <c r="D5486" s="1" t="n">
        <v>46006</v>
      </c>
      <c r="E5486" s="1" t="n">
        <v>46326</v>
      </c>
      <c r="F5486" t="inlineStr">
        <is>
          <t>GÄVLEBORGS LÄN</t>
        </is>
      </c>
      <c r="G5486" t="inlineStr">
        <is>
          <t>OCKELBO</t>
        </is>
      </c>
      <c r="I5486" t="n">
        <v>1.9</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22646-2022</t>
        </is>
      </c>
      <c r="B5487" t="inlineStr">
        <is>
          <t>avverkningsanmälan</t>
        </is>
      </c>
      <c r="C5487" t="inlineStr">
        <is>
          <t>Föryngringsavverkning</t>
        </is>
      </c>
      <c r="D5487" s="1" t="n">
        <v>44714</v>
      </c>
      <c r="E5487" s="1" t="n">
        <v>46326</v>
      </c>
      <c r="F5487" t="inlineStr">
        <is>
          <t>GÄVLEBORGS LÄN</t>
        </is>
      </c>
      <c r="G5487" t="inlineStr">
        <is>
          <t>BOLLNÄS</t>
        </is>
      </c>
      <c r="H5487" t="inlineStr">
        <is>
          <t>Bergvik skog väst AB</t>
        </is>
      </c>
      <c r="I5487" t="n">
        <v>2.3</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62203-2025</t>
        </is>
      </c>
      <c r="B5488" t="inlineStr">
        <is>
          <t>avverkningsanmälan</t>
        </is>
      </c>
      <c r="C5488" t="inlineStr">
        <is>
          <t>Föryngringsavverkning</t>
        </is>
      </c>
      <c r="D5488" s="1" t="n">
        <v>46006</v>
      </c>
      <c r="E5488" s="1" t="n">
        <v>46326</v>
      </c>
      <c r="F5488" t="inlineStr">
        <is>
          <t>GÄVLEBORGS LÄN</t>
        </is>
      </c>
      <c r="G5488" t="inlineStr">
        <is>
          <t>LJUSDAL</t>
        </is>
      </c>
      <c r="I5488" t="n">
        <v>1.5</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62414-2025</t>
        </is>
      </c>
      <c r="B5489" t="inlineStr">
        <is>
          <t>avverkningsanmälan</t>
        </is>
      </c>
      <c r="C5489" t="inlineStr">
        <is>
          <t>Föryngringsavverkning</t>
        </is>
      </c>
      <c r="D5489" s="1" t="n">
        <v>46007</v>
      </c>
      <c r="E5489" s="1" t="n">
        <v>46326</v>
      </c>
      <c r="F5489" t="inlineStr">
        <is>
          <t>GÄVLEBORGS LÄN</t>
        </is>
      </c>
      <c r="G5489" t="inlineStr">
        <is>
          <t>SÖDERHAMN</t>
        </is>
      </c>
      <c r="I5489" t="n">
        <v>1</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62355-2025</t>
        </is>
      </c>
      <c r="B5490" t="inlineStr">
        <is>
          <t>avverkningsanmälan</t>
        </is>
      </c>
      <c r="C5490" t="inlineStr">
        <is>
          <t>Föryngringsavverkning</t>
        </is>
      </c>
      <c r="D5490" s="1" t="n">
        <v>46007</v>
      </c>
      <c r="E5490" s="1" t="n">
        <v>46326</v>
      </c>
      <c r="F5490" t="inlineStr">
        <is>
          <t>GÄVLEBORGS LÄN</t>
        </is>
      </c>
      <c r="G5490" t="inlineStr">
        <is>
          <t>BOLLNÄS</t>
        </is>
      </c>
      <c r="I5490" t="n">
        <v>1.7</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2556-2025</t>
        </is>
      </c>
      <c r="B5491" t="inlineStr">
        <is>
          <t>avverkningsanmälan</t>
        </is>
      </c>
      <c r="C5491" t="inlineStr">
        <is>
          <t>Föryngringsavverkning</t>
        </is>
      </c>
      <c r="D5491" s="1" t="n">
        <v>45674</v>
      </c>
      <c r="E5491" s="1" t="n">
        <v>46326</v>
      </c>
      <c r="F5491" t="inlineStr">
        <is>
          <t>GÄVLEBORGS LÄN</t>
        </is>
      </c>
      <c r="G5491" t="inlineStr">
        <is>
          <t>OCKELBO</t>
        </is>
      </c>
      <c r="I5491" t="n">
        <v>2.5</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62036-2025</t>
        </is>
      </c>
      <c r="B5492" t="inlineStr">
        <is>
          <t>avverkningsanmälan</t>
        </is>
      </c>
      <c r="C5492" t="inlineStr">
        <is>
          <t>Avverkning för att bevara och utveckla /försöksver</t>
        </is>
      </c>
      <c r="D5492" s="1" t="n">
        <v>46004</v>
      </c>
      <c r="E5492" s="1" t="n">
        <v>46326</v>
      </c>
      <c r="F5492" t="inlineStr">
        <is>
          <t>GÄVLEBORGS LÄN</t>
        </is>
      </c>
      <c r="G5492" t="inlineStr">
        <is>
          <t>HUDIKSVALL</t>
        </is>
      </c>
      <c r="I5492" t="n">
        <v>4.9</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38495-2023</t>
        </is>
      </c>
      <c r="B5493" t="inlineStr">
        <is>
          <t>avverkningsanmälan</t>
        </is>
      </c>
      <c r="C5493" t="inlineStr">
        <is>
          <t>Föryngringsavverkning</t>
        </is>
      </c>
      <c r="D5493" s="1" t="n">
        <v>45162</v>
      </c>
      <c r="E5493" s="1" t="n">
        <v>46326</v>
      </c>
      <c r="F5493" t="inlineStr">
        <is>
          <t>GÄVLEBORGS LÄN</t>
        </is>
      </c>
      <c r="G5493" t="inlineStr">
        <is>
          <t>GÄVLE</t>
        </is>
      </c>
      <c r="I5493" t="n">
        <v>1.6</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18638-2023</t>
        </is>
      </c>
      <c r="B5494" t="inlineStr">
        <is>
          <t>avverkningsanmälan</t>
        </is>
      </c>
      <c r="C5494" t="inlineStr">
        <is>
          <t>Föryngringsavverkning</t>
        </is>
      </c>
      <c r="D5494" s="1" t="n">
        <v>45043</v>
      </c>
      <c r="E5494" s="1" t="n">
        <v>46326</v>
      </c>
      <c r="F5494" t="inlineStr">
        <is>
          <t>GÄVLEBORGS LÄN</t>
        </is>
      </c>
      <c r="G5494" t="inlineStr">
        <is>
          <t>NORDANSTIG</t>
        </is>
      </c>
      <c r="I5494" t="n">
        <v>11.3</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59383-2025</t>
        </is>
      </c>
      <c r="B5495" t="inlineStr">
        <is>
          <t>avverkningsanmälan</t>
        </is>
      </c>
      <c r="C5495" t="inlineStr">
        <is>
          <t>Föryngringsavverkning</t>
        </is>
      </c>
      <c r="D5495" s="1" t="n">
        <v>45989</v>
      </c>
      <c r="E5495" s="1" t="n">
        <v>46326</v>
      </c>
      <c r="F5495" t="inlineStr">
        <is>
          <t>GÄVLEBORGS LÄN</t>
        </is>
      </c>
      <c r="G5495" t="inlineStr">
        <is>
          <t>OCKELBO</t>
        </is>
      </c>
      <c r="H5495" t="inlineStr">
        <is>
          <t>Bergvik skog väst AB</t>
        </is>
      </c>
      <c r="I5495" t="n">
        <v>6.8</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2909-2024</t>
        </is>
      </c>
      <c r="B5496" t="inlineStr">
        <is>
          <t>avverkningsanmälan</t>
        </is>
      </c>
      <c r="C5496" t="inlineStr">
        <is>
          <t>Föryngringsavverkning</t>
        </is>
      </c>
      <c r="D5496" s="1" t="n">
        <v>45315</v>
      </c>
      <c r="E5496" s="1" t="n">
        <v>46326</v>
      </c>
      <c r="F5496" t="inlineStr">
        <is>
          <t>GÄVLEBORGS LÄN</t>
        </is>
      </c>
      <c r="G5496" t="inlineStr">
        <is>
          <t>LJUSDAL</t>
        </is>
      </c>
      <c r="I5496" t="n">
        <v>4.2</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53384-2023</t>
        </is>
      </c>
      <c r="B5497" t="inlineStr">
        <is>
          <t>avverkningsanmälan</t>
        </is>
      </c>
      <c r="C5497" t="inlineStr">
        <is>
          <t>Föryngringsavverkning</t>
        </is>
      </c>
      <c r="D5497" s="1" t="n">
        <v>45223</v>
      </c>
      <c r="E5497" s="1" t="n">
        <v>46326</v>
      </c>
      <c r="F5497" t="inlineStr">
        <is>
          <t>GÄVLEBORGS LÄN</t>
        </is>
      </c>
      <c r="G5497" t="inlineStr">
        <is>
          <t>BOLLNÄS</t>
        </is>
      </c>
      <c r="I5497" t="n">
        <v>2.8</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14133-2026</t>
        </is>
      </c>
      <c r="B5498" t="inlineStr">
        <is>
          <t>avverkningsanmälan</t>
        </is>
      </c>
      <c r="C5498" t="inlineStr">
        <is>
          <t>Föryngringsavverkning</t>
        </is>
      </c>
      <c r="D5498" s="1" t="n">
        <v>46099</v>
      </c>
      <c r="E5498" s="1" t="n">
        <v>46326</v>
      </c>
      <c r="F5498" t="inlineStr">
        <is>
          <t>GÄVLEBORGS LÄN</t>
        </is>
      </c>
      <c r="G5498" t="inlineStr">
        <is>
          <t>BOLLNÄS</t>
        </is>
      </c>
      <c r="H5498" t="inlineStr">
        <is>
          <t>Bergvik skog väst AB</t>
        </is>
      </c>
      <c r="I5498" t="n">
        <v>7.4</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62207-2025</t>
        </is>
      </c>
      <c r="B5499" t="inlineStr">
        <is>
          <t>avverkningsanmälan</t>
        </is>
      </c>
      <c r="C5499" t="inlineStr">
        <is>
          <t>Föryngringsavverkning</t>
        </is>
      </c>
      <c r="D5499" s="1" t="n">
        <v>46006</v>
      </c>
      <c r="E5499" s="1" t="n">
        <v>46326</v>
      </c>
      <c r="F5499" t="inlineStr">
        <is>
          <t>GÄVLEBORGS LÄN</t>
        </is>
      </c>
      <c r="G5499" t="inlineStr">
        <is>
          <t>LJUSDAL</t>
        </is>
      </c>
      <c r="I5499" t="n">
        <v>4</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14423-2026</t>
        </is>
      </c>
      <c r="B5500" t="inlineStr">
        <is>
          <t>avverkningsanmälan</t>
        </is>
      </c>
      <c r="C5500" t="inlineStr">
        <is>
          <t>Föryngringsavverkning</t>
        </is>
      </c>
      <c r="D5500" s="1" t="n">
        <v>46100</v>
      </c>
      <c r="E5500" s="1" t="n">
        <v>46326</v>
      </c>
      <c r="F5500" t="inlineStr">
        <is>
          <t>GÄVLEBORGS LÄN</t>
        </is>
      </c>
      <c r="G5500" t="inlineStr">
        <is>
          <t>SANDVIKEN</t>
        </is>
      </c>
      <c r="I5500" t="n">
        <v>1.1</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14515-2026</t>
        </is>
      </c>
      <c r="B5501" t="inlineStr">
        <is>
          <t>avverkningsanmälan</t>
        </is>
      </c>
      <c r="C5501" t="inlineStr">
        <is>
          <t>Föryngringsavverkning</t>
        </is>
      </c>
      <c r="D5501" s="1" t="n">
        <v>46100</v>
      </c>
      <c r="E5501" s="1" t="n">
        <v>46326</v>
      </c>
      <c r="F5501" t="inlineStr">
        <is>
          <t>GÄVLEBORGS LÄN</t>
        </is>
      </c>
      <c r="G5501" t="inlineStr">
        <is>
          <t>OVANÅKER</t>
        </is>
      </c>
      <c r="I5501" t="n">
        <v>0.5</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14526-2026</t>
        </is>
      </c>
      <c r="B5502" t="inlineStr">
        <is>
          <t>avverkningsanmälan</t>
        </is>
      </c>
      <c r="C5502" t="inlineStr">
        <is>
          <t>Föryngringsavverkning</t>
        </is>
      </c>
      <c r="D5502" s="1" t="n">
        <v>46100</v>
      </c>
      <c r="E5502" s="1" t="n">
        <v>46326</v>
      </c>
      <c r="F5502" t="inlineStr">
        <is>
          <t>GÄVLEBORGS LÄN</t>
        </is>
      </c>
      <c r="G5502" t="inlineStr">
        <is>
          <t>BOLLNÄS</t>
        </is>
      </c>
      <c r="I5502" t="n">
        <v>10.9</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62114-2025</t>
        </is>
      </c>
      <c r="B5503" t="inlineStr">
        <is>
          <t>avverkningsanmälan</t>
        </is>
      </c>
      <c r="C5503" t="inlineStr">
        <is>
          <t>Föryngringsavverkning</t>
        </is>
      </c>
      <c r="D5503" s="1" t="n">
        <v>46006</v>
      </c>
      <c r="E5503" s="1" t="n">
        <v>46326</v>
      </c>
      <c r="F5503" t="inlineStr">
        <is>
          <t>GÄVLEBORGS LÄN</t>
        </is>
      </c>
      <c r="G5503" t="inlineStr">
        <is>
          <t>OVANÅKER</t>
        </is>
      </c>
      <c r="I5503" t="n">
        <v>1.1</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60891-2023</t>
        </is>
      </c>
      <c r="B5504" t="inlineStr">
        <is>
          <t>avverkningsanmälan</t>
        </is>
      </c>
      <c r="C5504" t="inlineStr">
        <is>
          <t>Föryngringsavverkning</t>
        </is>
      </c>
      <c r="D5504" s="1" t="n">
        <v>45261</v>
      </c>
      <c r="E5504" s="1" t="n">
        <v>46326</v>
      </c>
      <c r="F5504" t="inlineStr">
        <is>
          <t>GÄVLEBORGS LÄN</t>
        </is>
      </c>
      <c r="G5504" t="inlineStr">
        <is>
          <t>SANDVIKEN</t>
        </is>
      </c>
      <c r="I5504" t="n">
        <v>3.3</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33138-2022</t>
        </is>
      </c>
      <c r="B5505" t="inlineStr">
        <is>
          <t>avverkningsanmälan</t>
        </is>
      </c>
      <c r="C5505" t="inlineStr">
        <is>
          <t>Föryngringsavverkning</t>
        </is>
      </c>
      <c r="D5505" s="1" t="n">
        <v>44785</v>
      </c>
      <c r="E5505" s="1" t="n">
        <v>46326</v>
      </c>
      <c r="F5505" t="inlineStr">
        <is>
          <t>GÄVLEBORGS LÄN</t>
        </is>
      </c>
      <c r="G5505" t="inlineStr">
        <is>
          <t>HUDIKSVALL</t>
        </is>
      </c>
      <c r="H5505" t="inlineStr">
        <is>
          <t>Holmen skog AB</t>
        </is>
      </c>
      <c r="I5505" t="n">
        <v>1.7</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62935-2025</t>
        </is>
      </c>
      <c r="B5506" t="inlineStr">
        <is>
          <t>avverkningsanmälan</t>
        </is>
      </c>
      <c r="C5506" t="inlineStr">
        <is>
          <t>Föryngringsavverkning</t>
        </is>
      </c>
      <c r="D5506" s="1" t="n">
        <v>46009</v>
      </c>
      <c r="E5506" s="1" t="n">
        <v>46326</v>
      </c>
      <c r="F5506" t="inlineStr">
        <is>
          <t>GÄVLEBORGS LÄN</t>
        </is>
      </c>
      <c r="G5506" t="inlineStr">
        <is>
          <t>LJUSDAL</t>
        </is>
      </c>
      <c r="I5506" t="n">
        <v>4.8</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18825-2024</t>
        </is>
      </c>
      <c r="B5507" t="inlineStr">
        <is>
          <t>avverkningsanmälan</t>
        </is>
      </c>
      <c r="C5507" t="inlineStr">
        <is>
          <t>Föryngringsavverkning</t>
        </is>
      </c>
      <c r="D5507" s="1" t="n">
        <v>45426</v>
      </c>
      <c r="E5507" s="1" t="n">
        <v>46326</v>
      </c>
      <c r="F5507" t="inlineStr">
        <is>
          <t>GÄVLEBORGS LÄN</t>
        </is>
      </c>
      <c r="G5507" t="inlineStr">
        <is>
          <t>HUDIKSVALL</t>
        </is>
      </c>
      <c r="I5507" t="n">
        <v>0.3</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18832-2024</t>
        </is>
      </c>
      <c r="B5508" t="inlineStr">
        <is>
          <t>avverkningsanmälan</t>
        </is>
      </c>
      <c r="C5508" t="inlineStr">
        <is>
          <t>Föryngringsavverkning</t>
        </is>
      </c>
      <c r="D5508" s="1" t="n">
        <v>45426</v>
      </c>
      <c r="E5508" s="1" t="n">
        <v>46326</v>
      </c>
      <c r="F5508" t="inlineStr">
        <is>
          <t>GÄVLEBORGS LÄN</t>
        </is>
      </c>
      <c r="G5508" t="inlineStr">
        <is>
          <t>HUDIKSVALL</t>
        </is>
      </c>
      <c r="I5508" t="n">
        <v>0.9</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10119-2025</t>
        </is>
      </c>
      <c r="B5509" t="inlineStr">
        <is>
          <t>avverkningsanmälan</t>
        </is>
      </c>
      <c r="C5509" t="inlineStr">
        <is>
          <t>Föryngringsavverkning</t>
        </is>
      </c>
      <c r="D5509" s="1" t="n">
        <v>45719</v>
      </c>
      <c r="E5509" s="1" t="n">
        <v>46326</v>
      </c>
      <c r="F5509" t="inlineStr">
        <is>
          <t>GÄVLEBORGS LÄN</t>
        </is>
      </c>
      <c r="G5509" t="inlineStr">
        <is>
          <t>OVANÅKER</t>
        </is>
      </c>
      <c r="I5509" t="n">
        <v>2.8</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62893-2025</t>
        </is>
      </c>
      <c r="B5510" t="inlineStr">
        <is>
          <t>avverkningsanmälan</t>
        </is>
      </c>
      <c r="C5510" t="inlineStr">
        <is>
          <t>Föryngringsavverkning</t>
        </is>
      </c>
      <c r="D5510" s="1" t="n">
        <v>46009</v>
      </c>
      <c r="E5510" s="1" t="n">
        <v>46326</v>
      </c>
      <c r="F5510" t="inlineStr">
        <is>
          <t>GÄVLEBORGS LÄN</t>
        </is>
      </c>
      <c r="G5510" t="inlineStr">
        <is>
          <t>OVANÅKER</t>
        </is>
      </c>
      <c r="I5510" t="n">
        <v>0.7</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42780-2022</t>
        </is>
      </c>
      <c r="B5511" t="inlineStr">
        <is>
          <t>avverkningsanmälan</t>
        </is>
      </c>
      <c r="C5511" t="inlineStr">
        <is>
          <t>Föryngringsavverkning</t>
        </is>
      </c>
      <c r="D5511" s="1" t="n">
        <v>44832</v>
      </c>
      <c r="E5511" s="1" t="n">
        <v>46326</v>
      </c>
      <c r="F5511" t="inlineStr">
        <is>
          <t>GÄVLEBORGS LÄN</t>
        </is>
      </c>
      <c r="G5511" t="inlineStr">
        <is>
          <t>NORDANSTIG</t>
        </is>
      </c>
      <c r="I5511" t="n">
        <v>2.1</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63061-2025</t>
        </is>
      </c>
      <c r="B5512" t="inlineStr">
        <is>
          <t>avverkningsanmälan</t>
        </is>
      </c>
      <c r="C5512" t="inlineStr">
        <is>
          <t>Föryngringsavverkning</t>
        </is>
      </c>
      <c r="D5512" s="1" t="n">
        <v>46009</v>
      </c>
      <c r="E5512" s="1" t="n">
        <v>46326</v>
      </c>
      <c r="F5512" t="inlineStr">
        <is>
          <t>GÄVLEBORGS LÄN</t>
        </is>
      </c>
      <c r="G5512" t="inlineStr">
        <is>
          <t>OCKELBO</t>
        </is>
      </c>
      <c r="H5512" t="inlineStr">
        <is>
          <t>Bergvik skog väst AB</t>
        </is>
      </c>
      <c r="I5512" t="n">
        <v>7</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62675-2025</t>
        </is>
      </c>
      <c r="B5513" t="inlineStr">
        <is>
          <t>avverkningsanmälan</t>
        </is>
      </c>
      <c r="C5513" t="inlineStr">
        <is>
          <t>Avverkning för annat ändamål</t>
        </is>
      </c>
      <c r="D5513" s="1" t="n">
        <v>46008</v>
      </c>
      <c r="E5513" s="1" t="n">
        <v>46326</v>
      </c>
      <c r="F5513" t="inlineStr">
        <is>
          <t>GÄVLEBORGS LÄN</t>
        </is>
      </c>
      <c r="G5513" t="inlineStr">
        <is>
          <t>OVANÅKER</t>
        </is>
      </c>
      <c r="H5513" t="inlineStr">
        <is>
          <t>Bergvik skog väst AB</t>
        </is>
      </c>
      <c r="I5513" t="n">
        <v>0.5</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62895-2025</t>
        </is>
      </c>
      <c r="B5514" t="inlineStr">
        <is>
          <t>avverkningsanmälan</t>
        </is>
      </c>
      <c r="C5514" t="inlineStr">
        <is>
          <t>Föryngringsavverkning</t>
        </is>
      </c>
      <c r="D5514" s="1" t="n">
        <v>46009</v>
      </c>
      <c r="E5514" s="1" t="n">
        <v>46326</v>
      </c>
      <c r="F5514" t="inlineStr">
        <is>
          <t>GÄVLEBORGS LÄN</t>
        </is>
      </c>
      <c r="G5514" t="inlineStr">
        <is>
          <t>LJUSDAL</t>
        </is>
      </c>
      <c r="I5514" t="n">
        <v>0.6</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41922-2024</t>
        </is>
      </c>
      <c r="B5515" t="inlineStr">
        <is>
          <t>avverkningsanmälan</t>
        </is>
      </c>
      <c r="C5515" t="inlineStr">
        <is>
          <t>Föryngringsavverkning</t>
        </is>
      </c>
      <c r="D5515" s="1" t="n">
        <v>45561</v>
      </c>
      <c r="E5515" s="1" t="n">
        <v>46326</v>
      </c>
      <c r="F5515" t="inlineStr">
        <is>
          <t>GÄVLEBORGS LÄN</t>
        </is>
      </c>
      <c r="G5515" t="inlineStr">
        <is>
          <t>LJUSDAL</t>
        </is>
      </c>
      <c r="H5515" t="inlineStr">
        <is>
          <t>Sveaskog</t>
        </is>
      </c>
      <c r="I5515" t="n">
        <v>1.8</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37-2024</t>
        </is>
      </c>
      <c r="B5516" t="inlineStr">
        <is>
          <t>avverkningsanmälan</t>
        </is>
      </c>
      <c r="C5516" t="inlineStr">
        <is>
          <t>Föryngringsavverkning</t>
        </is>
      </c>
      <c r="D5516" s="1" t="n">
        <v>45293</v>
      </c>
      <c r="E5516" s="1" t="n">
        <v>46326</v>
      </c>
      <c r="F5516" t="inlineStr">
        <is>
          <t>GÄVLEBORGS LÄN</t>
        </is>
      </c>
      <c r="G5516" t="inlineStr">
        <is>
          <t>SANDVIKEN</t>
        </is>
      </c>
      <c r="I5516" t="n">
        <v>2.8</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39-2024</t>
        </is>
      </c>
      <c r="B5517" t="inlineStr">
        <is>
          <t>avverkningsanmälan</t>
        </is>
      </c>
      <c r="C5517" t="inlineStr">
        <is>
          <t>Föryngringsavverkning</t>
        </is>
      </c>
      <c r="D5517" s="1" t="n">
        <v>45293</v>
      </c>
      <c r="E5517" s="1" t="n">
        <v>46326</v>
      </c>
      <c r="F5517" t="inlineStr">
        <is>
          <t>GÄVLEBORGS LÄN</t>
        </is>
      </c>
      <c r="G5517" t="inlineStr">
        <is>
          <t>SANDVIKEN</t>
        </is>
      </c>
      <c r="I5517" t="n">
        <v>2.6</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14259-2026</t>
        </is>
      </c>
      <c r="B5518" t="inlineStr">
        <is>
          <t>avverkningsanmälan</t>
        </is>
      </c>
      <c r="C5518" t="inlineStr">
        <is>
          <t>Föryngringsavverkning</t>
        </is>
      </c>
      <c r="D5518" s="1" t="n">
        <v>46099</v>
      </c>
      <c r="E5518" s="1" t="n">
        <v>46326</v>
      </c>
      <c r="F5518" t="inlineStr">
        <is>
          <t>GÄVLEBORGS LÄN</t>
        </is>
      </c>
      <c r="G5518" t="inlineStr">
        <is>
          <t>SÖDERHAMN</t>
        </is>
      </c>
      <c r="H5518" t="inlineStr">
        <is>
          <t>Bergvik skog väst AB</t>
        </is>
      </c>
      <c r="I5518" t="n">
        <v>16.2</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51740-2023</t>
        </is>
      </c>
      <c r="B5519" t="inlineStr">
        <is>
          <t>avverkningsanmälan</t>
        </is>
      </c>
      <c r="C5519" t="inlineStr">
        <is>
          <t>Föryngringsavverkning</t>
        </is>
      </c>
      <c r="D5519" s="1" t="n">
        <v>45222</v>
      </c>
      <c r="E5519" s="1" t="n">
        <v>46326</v>
      </c>
      <c r="F5519" t="inlineStr">
        <is>
          <t>GÄVLEBORGS LÄN</t>
        </is>
      </c>
      <c r="G5519" t="inlineStr">
        <is>
          <t>NORDANSTIG</t>
        </is>
      </c>
      <c r="I5519" t="n">
        <v>1.3</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68659-2021</t>
        </is>
      </c>
      <c r="B5520" t="inlineStr">
        <is>
          <t>avverkningsanmälan</t>
        </is>
      </c>
      <c r="C5520" t="inlineStr">
        <is>
          <t>Föryngringsavverkning</t>
        </is>
      </c>
      <c r="D5520" s="1" t="n">
        <v>44529</v>
      </c>
      <c r="E5520" s="1" t="n">
        <v>46326</v>
      </c>
      <c r="F5520" t="inlineStr">
        <is>
          <t>GÄVLEBORGS LÄN</t>
        </is>
      </c>
      <c r="G5520" t="inlineStr">
        <is>
          <t>HUDIKSVALL</t>
        </is>
      </c>
      <c r="H5520" t="inlineStr">
        <is>
          <t>Holmen skog AB</t>
        </is>
      </c>
      <c r="I5520" t="n">
        <v>1.2</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62913-2025</t>
        </is>
      </c>
      <c r="B5521" t="inlineStr">
        <is>
          <t>avverkningsanmälan</t>
        </is>
      </c>
      <c r="C5521" t="inlineStr">
        <is>
          <t>Föryngringsavverkning</t>
        </is>
      </c>
      <c r="D5521" s="1" t="n">
        <v>46009</v>
      </c>
      <c r="E5521" s="1" t="n">
        <v>46326</v>
      </c>
      <c r="F5521" t="inlineStr">
        <is>
          <t>GÄVLEBORGS LÄN</t>
        </is>
      </c>
      <c r="G5521" t="inlineStr">
        <is>
          <t>LJUSDAL</t>
        </is>
      </c>
      <c r="I5521" t="n">
        <v>2.1</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63094-2025</t>
        </is>
      </c>
      <c r="B5522" t="inlineStr">
        <is>
          <t>avverkningsanmälan</t>
        </is>
      </c>
      <c r="C5522" t="inlineStr">
        <is>
          <t>Föryngringsavverkning</t>
        </is>
      </c>
      <c r="D5522" s="1" t="n">
        <v>46009</v>
      </c>
      <c r="E5522" s="1" t="n">
        <v>46326</v>
      </c>
      <c r="F5522" t="inlineStr">
        <is>
          <t>GÄVLEBORGS LÄN</t>
        </is>
      </c>
      <c r="G5522" t="inlineStr">
        <is>
          <t>OVANÅKER</t>
        </is>
      </c>
      <c r="I5522" t="n">
        <v>0.6</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20682-2023</t>
        </is>
      </c>
      <c r="B5523" t="inlineStr">
        <is>
          <t>avverkningsanmälan</t>
        </is>
      </c>
      <c r="C5523" t="inlineStr">
        <is>
          <t>Föryngringsavverkning</t>
        </is>
      </c>
      <c r="D5523" s="1" t="n">
        <v>45058</v>
      </c>
      <c r="E5523" s="1" t="n">
        <v>46326</v>
      </c>
      <c r="F5523" t="inlineStr">
        <is>
          <t>GÄVLEBORGS LÄN</t>
        </is>
      </c>
      <c r="G5523" t="inlineStr">
        <is>
          <t>GÄVLE</t>
        </is>
      </c>
      <c r="I5523" t="n">
        <v>5.1</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18529-2022</t>
        </is>
      </c>
      <c r="B5524" t="inlineStr">
        <is>
          <t>avverkningsanmälan</t>
        </is>
      </c>
      <c r="C5524" t="inlineStr">
        <is>
          <t>Föryngringsavverkning</t>
        </is>
      </c>
      <c r="D5524" s="1" t="n">
        <v>44686</v>
      </c>
      <c r="E5524" s="1" t="n">
        <v>46326</v>
      </c>
      <c r="F5524" t="inlineStr">
        <is>
          <t>GÄVLEBORGS LÄN</t>
        </is>
      </c>
      <c r="G5524" t="inlineStr">
        <is>
          <t>NORDANSTIG</t>
        </is>
      </c>
      <c r="H5524" t="inlineStr">
        <is>
          <t>Holmen skog AB</t>
        </is>
      </c>
      <c r="I5524" t="n">
        <v>3.2</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14330-2026</t>
        </is>
      </c>
      <c r="B5525" t="inlineStr">
        <is>
          <t>avverkningsanmälan</t>
        </is>
      </c>
      <c r="C5525" t="inlineStr">
        <is>
          <t>Föryngringsavverkning</t>
        </is>
      </c>
      <c r="D5525" s="1" t="n">
        <v>46100</v>
      </c>
      <c r="E5525" s="1" t="n">
        <v>46326</v>
      </c>
      <c r="F5525" t="inlineStr">
        <is>
          <t>GÄVLEBORGS LÄN</t>
        </is>
      </c>
      <c r="G5525" t="inlineStr">
        <is>
          <t>SANDVIKEN</t>
        </is>
      </c>
      <c r="H5525" t="inlineStr">
        <is>
          <t>Sveaskog</t>
        </is>
      </c>
      <c r="I5525" t="n">
        <v>0.6</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14346-2026</t>
        </is>
      </c>
      <c r="B5526" t="inlineStr">
        <is>
          <t>avverkningsanmälan</t>
        </is>
      </c>
      <c r="C5526" t="inlineStr">
        <is>
          <t>Föryngringsavverkning</t>
        </is>
      </c>
      <c r="D5526" s="1" t="n">
        <v>46100</v>
      </c>
      <c r="E5526" s="1" t="n">
        <v>46326</v>
      </c>
      <c r="F5526" t="inlineStr">
        <is>
          <t>GÄVLEBORGS LÄN</t>
        </is>
      </c>
      <c r="G5526" t="inlineStr">
        <is>
          <t>BOLLNÄS</t>
        </is>
      </c>
      <c r="I5526" t="n">
        <v>0.8</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60148-2023</t>
        </is>
      </c>
      <c r="B5527" t="inlineStr">
        <is>
          <t>avverkningsanmälan</t>
        </is>
      </c>
      <c r="C5527" t="inlineStr">
        <is>
          <t>Föryngringsavverkning</t>
        </is>
      </c>
      <c r="D5527" s="1" t="n">
        <v>45258</v>
      </c>
      <c r="E5527" s="1" t="n">
        <v>46326</v>
      </c>
      <c r="F5527" t="inlineStr">
        <is>
          <t>GÄVLEBORGS LÄN</t>
        </is>
      </c>
      <c r="G5527" t="inlineStr">
        <is>
          <t>OCKELBO</t>
        </is>
      </c>
      <c r="I5527" t="n">
        <v>2.7</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32859-2024</t>
        </is>
      </c>
      <c r="B5528" t="inlineStr">
        <is>
          <t>avverkningsanmälan</t>
        </is>
      </c>
      <c r="C5528" t="inlineStr">
        <is>
          <t>Avverkning för annat ändamål</t>
        </is>
      </c>
      <c r="D5528" s="1" t="n">
        <v>45516</v>
      </c>
      <c r="E5528" s="1" t="n">
        <v>46326</v>
      </c>
      <c r="F5528" t="inlineStr">
        <is>
          <t>GÄVLEBORGS LÄN</t>
        </is>
      </c>
      <c r="G5528" t="inlineStr">
        <is>
          <t>BOLLNÄS</t>
        </is>
      </c>
      <c r="H5528" t="inlineStr">
        <is>
          <t>Sveaskog</t>
        </is>
      </c>
      <c r="I5528" t="n">
        <v>0.3</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6583-2022</t>
        </is>
      </c>
      <c r="B5529" t="inlineStr">
        <is>
          <t>avverkningsanmälan</t>
        </is>
      </c>
      <c r="C5529" t="inlineStr">
        <is>
          <t>Föryngringsavverkning</t>
        </is>
      </c>
      <c r="D5529" s="1" t="n">
        <v>44601</v>
      </c>
      <c r="E5529" s="1" t="n">
        <v>46326</v>
      </c>
      <c r="F5529" t="inlineStr">
        <is>
          <t>GÄVLEBORGS LÄN</t>
        </is>
      </c>
      <c r="G5529" t="inlineStr">
        <is>
          <t>NORDANSTIG</t>
        </is>
      </c>
      <c r="I5529" t="n">
        <v>8.800000000000001</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62914-2025</t>
        </is>
      </c>
      <c r="B5530" t="inlineStr">
        <is>
          <t>avverkningsanmälan</t>
        </is>
      </c>
      <c r="C5530" t="inlineStr">
        <is>
          <t>Föryngringsavverkning</t>
        </is>
      </c>
      <c r="D5530" s="1" t="n">
        <v>46009</v>
      </c>
      <c r="E5530" s="1" t="n">
        <v>46326</v>
      </c>
      <c r="F5530" t="inlineStr">
        <is>
          <t>GÄVLEBORGS LÄN</t>
        </is>
      </c>
      <c r="G5530" t="inlineStr">
        <is>
          <t>OCKELBO</t>
        </is>
      </c>
      <c r="I5530" t="n">
        <v>2.4</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53966-2025</t>
        </is>
      </c>
      <c r="B5531" t="inlineStr">
        <is>
          <t>avverkningsanmälan</t>
        </is>
      </c>
      <c r="C5531" t="inlineStr">
        <is>
          <t>Föryngringsavverkning</t>
        </is>
      </c>
      <c r="D5531" s="1" t="n">
        <v>45961</v>
      </c>
      <c r="E5531" s="1" t="n">
        <v>46326</v>
      </c>
      <c r="F5531" t="inlineStr">
        <is>
          <t>GÄVLEBORGS LÄN</t>
        </is>
      </c>
      <c r="G5531" t="inlineStr">
        <is>
          <t>HUDIKSVALL</t>
        </is>
      </c>
      <c r="H5531" t="inlineStr">
        <is>
          <t>Naturvårdsverket</t>
        </is>
      </c>
      <c r="I5531" t="n">
        <v>17.5</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53967-2025</t>
        </is>
      </c>
      <c r="B5532" t="inlineStr">
        <is>
          <t>avverkningsanmälan</t>
        </is>
      </c>
      <c r="C5532" t="inlineStr">
        <is>
          <t>Föryngringsavverkning</t>
        </is>
      </c>
      <c r="D5532" s="1" t="n">
        <v>45961</v>
      </c>
      <c r="E5532" s="1" t="n">
        <v>46326</v>
      </c>
      <c r="F5532" t="inlineStr">
        <is>
          <t>GÄVLEBORGS LÄN</t>
        </is>
      </c>
      <c r="G5532" t="inlineStr">
        <is>
          <t>HUDIKSVALL</t>
        </is>
      </c>
      <c r="H5532" t="inlineStr">
        <is>
          <t>Naturvårdsverket</t>
        </is>
      </c>
      <c r="I5532" t="n">
        <v>10.9</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14401-2026</t>
        </is>
      </c>
      <c r="B5533" t="inlineStr">
        <is>
          <t>avverkningsanmälan</t>
        </is>
      </c>
      <c r="C5533" t="inlineStr">
        <is>
          <t>Föryngringsavverkning</t>
        </is>
      </c>
      <c r="D5533" s="1" t="n">
        <v>46100</v>
      </c>
      <c r="E5533" s="1" t="n">
        <v>46326</v>
      </c>
      <c r="F5533" t="inlineStr">
        <is>
          <t>GÄVLEBORGS LÄN</t>
        </is>
      </c>
      <c r="G5533" t="inlineStr">
        <is>
          <t>GÄVLE</t>
        </is>
      </c>
      <c r="H5533" t="inlineStr">
        <is>
          <t>Bergvik skog öst AB</t>
        </is>
      </c>
      <c r="I5533" t="n">
        <v>2.9</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14504-2026</t>
        </is>
      </c>
      <c r="B5534" t="inlineStr">
        <is>
          <t>avverkningsanmälan</t>
        </is>
      </c>
      <c r="C5534" t="inlineStr">
        <is>
          <t>Föryngringsavverkning</t>
        </is>
      </c>
      <c r="D5534" s="1" t="n">
        <v>46100</v>
      </c>
      <c r="E5534" s="1" t="n">
        <v>46326</v>
      </c>
      <c r="F5534" t="inlineStr">
        <is>
          <t>GÄVLEBORGS LÄN</t>
        </is>
      </c>
      <c r="G5534" t="inlineStr">
        <is>
          <t>BOLLNÄS</t>
        </is>
      </c>
      <c r="H5534" t="inlineStr">
        <is>
          <t>Bergvik skog väst AB</t>
        </is>
      </c>
      <c r="I5534" t="n">
        <v>0.9</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14053-2026</t>
        </is>
      </c>
      <c r="B5535" t="inlineStr">
        <is>
          <t>avverkningsanmälan</t>
        </is>
      </c>
      <c r="C5535" t="inlineStr">
        <is>
          <t>Föryngringsavverkning</t>
        </is>
      </c>
      <c r="D5535" s="1" t="n">
        <v>46099</v>
      </c>
      <c r="E5535" s="1" t="n">
        <v>46326</v>
      </c>
      <c r="F5535" t="inlineStr">
        <is>
          <t>GÄVLEBORGS LÄN</t>
        </is>
      </c>
      <c r="G5535" t="inlineStr">
        <is>
          <t>BOLLNÄS</t>
        </is>
      </c>
      <c r="I5535" t="n">
        <v>2.2</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41512-2023</t>
        </is>
      </c>
      <c r="B5536" t="inlineStr">
        <is>
          <t>avverkningsanmälan</t>
        </is>
      </c>
      <c r="C5536" t="inlineStr">
        <is>
          <t>Föryngringsavverkning</t>
        </is>
      </c>
      <c r="D5536" s="1" t="n">
        <v>45175</v>
      </c>
      <c r="E5536" s="1" t="n">
        <v>46326</v>
      </c>
      <c r="F5536" t="inlineStr">
        <is>
          <t>GÄVLEBORGS LÄN</t>
        </is>
      </c>
      <c r="G5536" t="inlineStr">
        <is>
          <t>OVANÅKER</t>
        </is>
      </c>
      <c r="I5536" t="n">
        <v>7.7</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9140-2023</t>
        </is>
      </c>
      <c r="B5537" t="inlineStr">
        <is>
          <t>avverkningsanmälan</t>
        </is>
      </c>
      <c r="C5537" t="inlineStr">
        <is>
          <t>Föryngringsavverkning</t>
        </is>
      </c>
      <c r="D5537" s="1" t="n">
        <v>44980</v>
      </c>
      <c r="E5537" s="1" t="n">
        <v>46326</v>
      </c>
      <c r="F5537" t="inlineStr">
        <is>
          <t>GÄVLEBORGS LÄN</t>
        </is>
      </c>
      <c r="G5537" t="inlineStr">
        <is>
          <t>HUDIKSVALL</t>
        </is>
      </c>
      <c r="H5537" t="inlineStr">
        <is>
          <t>Holmen skog AB</t>
        </is>
      </c>
      <c r="I5537" t="n">
        <v>0.7</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9163-2023</t>
        </is>
      </c>
      <c r="B5538" t="inlineStr">
        <is>
          <t>avverkningsanmälan</t>
        </is>
      </c>
      <c r="C5538" t="inlineStr">
        <is>
          <t>Föryngringsavverkning</t>
        </is>
      </c>
      <c r="D5538" s="1" t="n">
        <v>44980</v>
      </c>
      <c r="E5538" s="1" t="n">
        <v>46326</v>
      </c>
      <c r="F5538" t="inlineStr">
        <is>
          <t>GÄVLEBORGS LÄN</t>
        </is>
      </c>
      <c r="G5538" t="inlineStr">
        <is>
          <t>HUDIKSVALL</t>
        </is>
      </c>
      <c r="H5538" t="inlineStr">
        <is>
          <t>Holmen skog AB</t>
        </is>
      </c>
      <c r="I5538" t="n">
        <v>0.8</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14415-2025</t>
        </is>
      </c>
      <c r="B5539" t="inlineStr">
        <is>
          <t>avverkningsanmälan</t>
        </is>
      </c>
      <c r="C5539" t="inlineStr">
        <is>
          <t>Föryngringsavverkning</t>
        </is>
      </c>
      <c r="D5539" s="1" t="n">
        <v>45741</v>
      </c>
      <c r="E5539" s="1" t="n">
        <v>46326</v>
      </c>
      <c r="F5539" t="inlineStr">
        <is>
          <t>GÄVLEBORGS LÄN</t>
        </is>
      </c>
      <c r="G5539" t="inlineStr">
        <is>
          <t>NORDANSTIG</t>
        </is>
      </c>
      <c r="I5539" t="n">
        <v>16.7</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14129-2026</t>
        </is>
      </c>
      <c r="B5540" t="inlineStr">
        <is>
          <t>avverkningsanmälan</t>
        </is>
      </c>
      <c r="C5540" t="inlineStr">
        <is>
          <t>Föryngringsavverkning</t>
        </is>
      </c>
      <c r="D5540" s="1" t="n">
        <v>46099</v>
      </c>
      <c r="E5540" s="1" t="n">
        <v>46326</v>
      </c>
      <c r="F5540" t="inlineStr">
        <is>
          <t>GÄVLEBORGS LÄN</t>
        </is>
      </c>
      <c r="G5540" t="inlineStr">
        <is>
          <t>SÖDERHAMN</t>
        </is>
      </c>
      <c r="I5540" t="n">
        <v>2</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10161-2023</t>
        </is>
      </c>
      <c r="B5541" t="inlineStr">
        <is>
          <t>avverkningsanmälan</t>
        </is>
      </c>
      <c r="C5541" t="inlineStr">
        <is>
          <t>Föryngringsavverkning</t>
        </is>
      </c>
      <c r="D5541" s="1" t="n">
        <v>44986</v>
      </c>
      <c r="E5541" s="1" t="n">
        <v>46326</v>
      </c>
      <c r="F5541" t="inlineStr">
        <is>
          <t>GÄVLEBORGS LÄN</t>
        </is>
      </c>
      <c r="G5541" t="inlineStr">
        <is>
          <t>HOFORS</t>
        </is>
      </c>
      <c r="H5541" t="inlineStr">
        <is>
          <t>Övriga statliga verk och myndigheter</t>
        </is>
      </c>
      <c r="I5541" t="n">
        <v>0.6</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63067-2025</t>
        </is>
      </c>
      <c r="B5542" t="inlineStr">
        <is>
          <t>avverkningsanmälan</t>
        </is>
      </c>
      <c r="C5542" t="inlineStr">
        <is>
          <t>Föryngringsavverkning</t>
        </is>
      </c>
      <c r="D5542" s="1" t="n">
        <v>46009</v>
      </c>
      <c r="E5542" s="1" t="n">
        <v>46326</v>
      </c>
      <c r="F5542" t="inlineStr">
        <is>
          <t>GÄVLEBORGS LÄN</t>
        </is>
      </c>
      <c r="G5542" t="inlineStr">
        <is>
          <t>HUDIKSVALL</t>
        </is>
      </c>
      <c r="I5542" t="n">
        <v>0.8</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14519-2026</t>
        </is>
      </c>
      <c r="B5543" t="inlineStr">
        <is>
          <t>avverkningsanmälan</t>
        </is>
      </c>
      <c r="C5543" t="inlineStr">
        <is>
          <t>Föryngringsavverkning</t>
        </is>
      </c>
      <c r="D5543" s="1" t="n">
        <v>46100</v>
      </c>
      <c r="E5543" s="1" t="n">
        <v>46326</v>
      </c>
      <c r="F5543" t="inlineStr">
        <is>
          <t>GÄVLEBORGS LÄN</t>
        </is>
      </c>
      <c r="G5543" t="inlineStr">
        <is>
          <t>BOLLNÄS</t>
        </is>
      </c>
      <c r="I5543" t="n">
        <v>0.8</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62742-2025</t>
        </is>
      </c>
      <c r="B5544" t="inlineStr">
        <is>
          <t>avverkningsanmälan</t>
        </is>
      </c>
      <c r="C5544" t="inlineStr">
        <is>
          <t>Föryngringsavverkning</t>
        </is>
      </c>
      <c r="D5544" s="1" t="n">
        <v>46008</v>
      </c>
      <c r="E5544" s="1" t="n">
        <v>46326</v>
      </c>
      <c r="F5544" t="inlineStr">
        <is>
          <t>GÄVLEBORGS LÄN</t>
        </is>
      </c>
      <c r="G5544" t="inlineStr">
        <is>
          <t>GÄVLE</t>
        </is>
      </c>
      <c r="I5544" t="n">
        <v>0.8</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24083-2025</t>
        </is>
      </c>
      <c r="B5545" t="inlineStr">
        <is>
          <t>avverkningsanmälan</t>
        </is>
      </c>
      <c r="C5545" t="inlineStr">
        <is>
          <t>Föryngringsavverkning</t>
        </is>
      </c>
      <c r="D5545" s="1" t="n">
        <v>45796</v>
      </c>
      <c r="E5545" s="1" t="n">
        <v>46326</v>
      </c>
      <c r="F5545" t="inlineStr">
        <is>
          <t>GÄVLEBORGS LÄN</t>
        </is>
      </c>
      <c r="G5545" t="inlineStr">
        <is>
          <t>SÖDERHAMN</t>
        </is>
      </c>
      <c r="I5545" t="n">
        <v>1.4</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63027-2025</t>
        </is>
      </c>
      <c r="B5546" t="inlineStr">
        <is>
          <t>avverkningsanmälan</t>
        </is>
      </c>
      <c r="C5546" t="inlineStr">
        <is>
          <t>Föryngringsavverkning</t>
        </is>
      </c>
      <c r="D5546" s="1" t="n">
        <v>46009</v>
      </c>
      <c r="E5546" s="1" t="n">
        <v>46326</v>
      </c>
      <c r="F5546" t="inlineStr">
        <is>
          <t>GÄVLEBORGS LÄN</t>
        </is>
      </c>
      <c r="G5546" t="inlineStr">
        <is>
          <t>BOLLNÄS</t>
        </is>
      </c>
      <c r="I5546" t="n">
        <v>0.7</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63072-2025</t>
        </is>
      </c>
      <c r="B5547" t="inlineStr">
        <is>
          <t>avverkningsanmälan</t>
        </is>
      </c>
      <c r="C5547" t="inlineStr">
        <is>
          <t>Föryngringsavverkning</t>
        </is>
      </c>
      <c r="D5547" s="1" t="n">
        <v>46009</v>
      </c>
      <c r="E5547" s="1" t="n">
        <v>46326</v>
      </c>
      <c r="F5547" t="inlineStr">
        <is>
          <t>GÄVLEBORGS LÄN</t>
        </is>
      </c>
      <c r="G5547" t="inlineStr">
        <is>
          <t>HUDIKSVALL</t>
        </is>
      </c>
      <c r="I5547" t="n">
        <v>1.5</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18135-2025</t>
        </is>
      </c>
      <c r="B5548" t="inlineStr">
        <is>
          <t>avverkningsanmälan</t>
        </is>
      </c>
      <c r="C5548" t="inlineStr">
        <is>
          <t>Föryngringsavverkning</t>
        </is>
      </c>
      <c r="D5548" s="1" t="n">
        <v>45761</v>
      </c>
      <c r="E5548" s="1" t="n">
        <v>46326</v>
      </c>
      <c r="F5548" t="inlineStr">
        <is>
          <t>GÄVLEBORGS LÄN</t>
        </is>
      </c>
      <c r="G5548" t="inlineStr">
        <is>
          <t>SÖDERHAMN</t>
        </is>
      </c>
      <c r="I5548" t="n">
        <v>6.8</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14148-2026</t>
        </is>
      </c>
      <c r="B5549" t="inlineStr">
        <is>
          <t>avverkningsanmälan</t>
        </is>
      </c>
      <c r="C5549" t="inlineStr">
        <is>
          <t>Föryngringsavverkning</t>
        </is>
      </c>
      <c r="D5549" s="1" t="n">
        <v>46099</v>
      </c>
      <c r="E5549" s="1" t="n">
        <v>46326</v>
      </c>
      <c r="F5549" t="inlineStr">
        <is>
          <t>GÄVLEBORGS LÄN</t>
        </is>
      </c>
      <c r="G5549" t="inlineStr">
        <is>
          <t>BOLLNÄS</t>
        </is>
      </c>
      <c r="I5549" t="n">
        <v>0.3</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14158-2026</t>
        </is>
      </c>
      <c r="B5550" t="inlineStr">
        <is>
          <t>avverkningsanmälan</t>
        </is>
      </c>
      <c r="C5550" t="inlineStr">
        <is>
          <t>Föryngringsavverkning</t>
        </is>
      </c>
      <c r="D5550" s="1" t="n">
        <v>46099</v>
      </c>
      <c r="E5550" s="1" t="n">
        <v>46326</v>
      </c>
      <c r="F5550" t="inlineStr">
        <is>
          <t>GÄVLEBORGS LÄN</t>
        </is>
      </c>
      <c r="G5550" t="inlineStr">
        <is>
          <t>HUDIKSVALL</t>
        </is>
      </c>
      <c r="I5550" t="n">
        <v>5.2</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14172-2026</t>
        </is>
      </c>
      <c r="B5551" t="inlineStr">
        <is>
          <t>avverkningsanmälan</t>
        </is>
      </c>
      <c r="C5551" t="inlineStr">
        <is>
          <t>Föryngringsavverkning</t>
        </is>
      </c>
      <c r="D5551" s="1" t="n">
        <v>46099</v>
      </c>
      <c r="E5551" s="1" t="n">
        <v>46326</v>
      </c>
      <c r="F5551" t="inlineStr">
        <is>
          <t>GÄVLEBORGS LÄN</t>
        </is>
      </c>
      <c r="G5551" t="inlineStr">
        <is>
          <t>BOLLNÄS</t>
        </is>
      </c>
      <c r="I5551" t="n">
        <v>1.2</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3639-2022</t>
        </is>
      </c>
      <c r="B5552" t="inlineStr">
        <is>
          <t>avverkningsanmälan</t>
        </is>
      </c>
      <c r="C5552" t="inlineStr">
        <is>
          <t>Föryngringsavverkning</t>
        </is>
      </c>
      <c r="D5552" s="1" t="n">
        <v>44586</v>
      </c>
      <c r="E5552" s="1" t="n">
        <v>46326</v>
      </c>
      <c r="F5552" t="inlineStr">
        <is>
          <t>GÄVLEBORGS LÄN</t>
        </is>
      </c>
      <c r="G5552" t="inlineStr">
        <is>
          <t>GÄVLE</t>
        </is>
      </c>
      <c r="H5552" t="inlineStr">
        <is>
          <t>Bergvik skog öst AB</t>
        </is>
      </c>
      <c r="I5552" t="n">
        <v>1.6</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62833-2025</t>
        </is>
      </c>
      <c r="B5553" t="inlineStr">
        <is>
          <t>avverkningsanmälan</t>
        </is>
      </c>
      <c r="C5553" t="inlineStr">
        <is>
          <t>Föryngringsavverkning</t>
        </is>
      </c>
      <c r="D5553" s="1" t="n">
        <v>46008</v>
      </c>
      <c r="E5553" s="1" t="n">
        <v>46326</v>
      </c>
      <c r="F5553" t="inlineStr">
        <is>
          <t>GÄVLEBORGS LÄN</t>
        </is>
      </c>
      <c r="G5553" t="inlineStr">
        <is>
          <t>NORDANSTIG</t>
        </is>
      </c>
      <c r="H5553" t="inlineStr">
        <is>
          <t>SCA</t>
        </is>
      </c>
      <c r="I5553" t="n">
        <v>7</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62665-2025</t>
        </is>
      </c>
      <c r="B5554" t="inlineStr">
        <is>
          <t>avverkningsanmälan</t>
        </is>
      </c>
      <c r="C5554" t="inlineStr">
        <is>
          <t>Föryngringsavverkning</t>
        </is>
      </c>
      <c r="D5554" s="1" t="n">
        <v>46008</v>
      </c>
      <c r="E5554" s="1" t="n">
        <v>46326</v>
      </c>
      <c r="F5554" t="inlineStr">
        <is>
          <t>GÄVLEBORGS LÄN</t>
        </is>
      </c>
      <c r="G5554" t="inlineStr">
        <is>
          <t>HUDIKSVALL</t>
        </is>
      </c>
      <c r="I5554" t="n">
        <v>3.1</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62656-2025</t>
        </is>
      </c>
      <c r="B5555" t="inlineStr">
        <is>
          <t>avverkningsanmälan</t>
        </is>
      </c>
      <c r="C5555" t="inlineStr">
        <is>
          <t>Föryngringsavverkning</t>
        </is>
      </c>
      <c r="D5555" s="1" t="n">
        <v>46008</v>
      </c>
      <c r="E5555" s="1" t="n">
        <v>46326</v>
      </c>
      <c r="F5555" t="inlineStr">
        <is>
          <t>GÄVLEBORGS LÄN</t>
        </is>
      </c>
      <c r="G5555" t="inlineStr">
        <is>
          <t>BOLLNÄS</t>
        </is>
      </c>
      <c r="I5555" t="n">
        <v>3.3</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14328-2026</t>
        </is>
      </c>
      <c r="B5556" t="inlineStr">
        <is>
          <t>avverkningsanmälan</t>
        </is>
      </c>
      <c r="C5556" t="inlineStr">
        <is>
          <t>Föryngringsavverkning</t>
        </is>
      </c>
      <c r="D5556" s="1" t="n">
        <v>46100</v>
      </c>
      <c r="E5556" s="1" t="n">
        <v>46326</v>
      </c>
      <c r="F5556" t="inlineStr">
        <is>
          <t>GÄVLEBORGS LÄN</t>
        </is>
      </c>
      <c r="G5556" t="inlineStr">
        <is>
          <t>BOLLNÄS</t>
        </is>
      </c>
      <c r="H5556" t="inlineStr">
        <is>
          <t>Bergvik skog väst AB</t>
        </is>
      </c>
      <c r="I5556" t="n">
        <v>2.3</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14094-2026</t>
        </is>
      </c>
      <c r="B5557" t="inlineStr">
        <is>
          <t>avverkningsanmälan</t>
        </is>
      </c>
      <c r="C5557" t="inlineStr">
        <is>
          <t>Föryngringsavverkning</t>
        </is>
      </c>
      <c r="D5557" s="1" t="n">
        <v>46099</v>
      </c>
      <c r="E5557" s="1" t="n">
        <v>46326</v>
      </c>
      <c r="F5557" t="inlineStr">
        <is>
          <t>GÄVLEBORGS LÄN</t>
        </is>
      </c>
      <c r="G5557" t="inlineStr">
        <is>
          <t>SANDVIKEN</t>
        </is>
      </c>
      <c r="H5557" t="inlineStr">
        <is>
          <t>Bergvik skog öst AB</t>
        </is>
      </c>
      <c r="I5557" t="n">
        <v>0.9</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53916-2024</t>
        </is>
      </c>
      <c r="B5558" t="inlineStr">
        <is>
          <t>avverkningsanmälan</t>
        </is>
      </c>
      <c r="C5558" t="inlineStr">
        <is>
          <t>Föryngringsavverkning</t>
        </is>
      </c>
      <c r="D5558" s="1" t="n">
        <v>45615</v>
      </c>
      <c r="E5558" s="1" t="n">
        <v>46326</v>
      </c>
      <c r="F5558" t="inlineStr">
        <is>
          <t>GÄVLEBORGS LÄN</t>
        </is>
      </c>
      <c r="G5558" t="inlineStr">
        <is>
          <t>SÖDERHAMN</t>
        </is>
      </c>
      <c r="I5558" t="n">
        <v>0.9</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13201-2024</t>
        </is>
      </c>
      <c r="B5559" t="inlineStr">
        <is>
          <t>avverkningsanmälan</t>
        </is>
      </c>
      <c r="C5559" t="inlineStr">
        <is>
          <t>Föryngringsavverkning</t>
        </is>
      </c>
      <c r="D5559" s="1" t="n">
        <v>45386</v>
      </c>
      <c r="E5559" s="1" t="n">
        <v>46326</v>
      </c>
      <c r="F5559" t="inlineStr">
        <is>
          <t>GÄVLEBORGS LÄN</t>
        </is>
      </c>
      <c r="G5559" t="inlineStr">
        <is>
          <t>HUDIKSVALL</t>
        </is>
      </c>
      <c r="I5559" t="n">
        <v>0.9</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21157-2022</t>
        </is>
      </c>
      <c r="B5560" t="inlineStr">
        <is>
          <t>avverkningsanmälan</t>
        </is>
      </c>
      <c r="C5560" t="inlineStr">
        <is>
          <t>Föryngringsavverkning</t>
        </is>
      </c>
      <c r="D5560" s="1" t="n">
        <v>44704</v>
      </c>
      <c r="E5560" s="1" t="n">
        <v>46326</v>
      </c>
      <c r="F5560" t="inlineStr">
        <is>
          <t>GÄVLEBORGS LÄN</t>
        </is>
      </c>
      <c r="G5560" t="inlineStr">
        <is>
          <t>NORDANSTIG</t>
        </is>
      </c>
      <c r="H5560" t="inlineStr">
        <is>
          <t>Holmen skog AB</t>
        </is>
      </c>
      <c r="I5560" t="n">
        <v>1.7</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62616-2025</t>
        </is>
      </c>
      <c r="B5561" t="inlineStr">
        <is>
          <t>avverkningsanmälan</t>
        </is>
      </c>
      <c r="C5561" t="inlineStr">
        <is>
          <t>Föryngringsavverkning</t>
        </is>
      </c>
      <c r="D5561" s="1" t="n">
        <v>46008</v>
      </c>
      <c r="E5561" s="1" t="n">
        <v>46326</v>
      </c>
      <c r="F5561" t="inlineStr">
        <is>
          <t>GÄVLEBORGS LÄN</t>
        </is>
      </c>
      <c r="G5561" t="inlineStr">
        <is>
          <t>SÖDERHAMN</t>
        </is>
      </c>
      <c r="I5561" t="n">
        <v>1.4</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63326-2025</t>
        </is>
      </c>
      <c r="B5562" t="inlineStr">
        <is>
          <t>avverkningsanmälan</t>
        </is>
      </c>
      <c r="C5562" t="inlineStr">
        <is>
          <t>Föryngringsavverkning</t>
        </is>
      </c>
      <c r="D5562" s="1" t="n">
        <v>46010</v>
      </c>
      <c r="E5562" s="1" t="n">
        <v>46326</v>
      </c>
      <c r="F5562" t="inlineStr">
        <is>
          <t>GÄVLEBORGS LÄN</t>
        </is>
      </c>
      <c r="G5562" t="inlineStr">
        <is>
          <t>BOLLNÄS</t>
        </is>
      </c>
      <c r="I5562" t="n">
        <v>6.8</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16726-2025</t>
        </is>
      </c>
      <c r="B5563" t="inlineStr">
        <is>
          <t>avverkningsanmälan</t>
        </is>
      </c>
      <c r="C5563" t="inlineStr">
        <is>
          <t>Föryngringsavverkning</t>
        </is>
      </c>
      <c r="D5563" s="1" t="n">
        <v>45754</v>
      </c>
      <c r="E5563" s="1" t="n">
        <v>46326</v>
      </c>
      <c r="F5563" t="inlineStr">
        <is>
          <t>GÄVLEBORGS LÄN</t>
        </is>
      </c>
      <c r="G5563" t="inlineStr">
        <is>
          <t>SÖDERHAMN</t>
        </is>
      </c>
      <c r="I5563" t="n">
        <v>0.5</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15635-2025</t>
        </is>
      </c>
      <c r="B5564" t="inlineStr">
        <is>
          <t>avverkningsanmälan</t>
        </is>
      </c>
      <c r="C5564" t="inlineStr">
        <is>
          <t>Föryngringsavverkning</t>
        </is>
      </c>
      <c r="D5564" s="1" t="n">
        <v>45748</v>
      </c>
      <c r="E5564" s="1" t="n">
        <v>46326</v>
      </c>
      <c r="F5564" t="inlineStr">
        <is>
          <t>GÄVLEBORGS LÄN</t>
        </is>
      </c>
      <c r="G5564" t="inlineStr">
        <is>
          <t>SÖDERHAMN</t>
        </is>
      </c>
      <c r="H5564" t="inlineStr">
        <is>
          <t>Kommuner</t>
        </is>
      </c>
      <c r="I5564" t="n">
        <v>0.5</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64109-2025</t>
        </is>
      </c>
      <c r="B5565" t="inlineStr">
        <is>
          <t>avverkningsanmälan</t>
        </is>
      </c>
      <c r="C5565" t="inlineStr">
        <is>
          <t>Föryngringsavverkning</t>
        </is>
      </c>
      <c r="D5565" s="1" t="n">
        <v>46013</v>
      </c>
      <c r="E5565" s="1" t="n">
        <v>46326</v>
      </c>
      <c r="F5565" t="inlineStr">
        <is>
          <t>GÄVLEBORGS LÄN</t>
        </is>
      </c>
      <c r="G5565" t="inlineStr">
        <is>
          <t>BOLLNÄS</t>
        </is>
      </c>
      <c r="I5565" t="n">
        <v>1</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58876-2024</t>
        </is>
      </c>
      <c r="B5566" t="inlineStr">
        <is>
          <t>avverkningsanmälan</t>
        </is>
      </c>
      <c r="C5566" t="inlineStr">
        <is>
          <t>Föryngringsavverkning</t>
        </is>
      </c>
      <c r="D5566" s="1" t="n">
        <v>45636</v>
      </c>
      <c r="E5566" s="1" t="n">
        <v>46326</v>
      </c>
      <c r="F5566" t="inlineStr">
        <is>
          <t>GÄVLEBORGS LÄN</t>
        </is>
      </c>
      <c r="G5566" t="inlineStr">
        <is>
          <t>NORDANSTIG</t>
        </is>
      </c>
      <c r="I5566" t="n">
        <v>0.6</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2478-2023</t>
        </is>
      </c>
      <c r="B5567" t="inlineStr">
        <is>
          <t>avverkningsanmälan</t>
        </is>
      </c>
      <c r="C5567" t="inlineStr">
        <is>
          <t>Föryngringsavverkning</t>
        </is>
      </c>
      <c r="D5567" s="1" t="n">
        <v>44943</v>
      </c>
      <c r="E5567" s="1" t="n">
        <v>46326</v>
      </c>
      <c r="F5567" t="inlineStr">
        <is>
          <t>GÄVLEBORGS LÄN</t>
        </is>
      </c>
      <c r="G5567" t="inlineStr">
        <is>
          <t>OVANÅKER</t>
        </is>
      </c>
      <c r="I5567" t="n">
        <v>3.1</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63310-2025</t>
        </is>
      </c>
      <c r="B5568" t="inlineStr">
        <is>
          <t>avverkningsanmälan</t>
        </is>
      </c>
      <c r="C5568" t="inlineStr">
        <is>
          <t>Föryngringsavverkning</t>
        </is>
      </c>
      <c r="D5568" s="1" t="n">
        <v>46010</v>
      </c>
      <c r="E5568" s="1" t="n">
        <v>46326</v>
      </c>
      <c r="F5568" t="inlineStr">
        <is>
          <t>GÄVLEBORGS LÄN</t>
        </is>
      </c>
      <c r="G5568" t="inlineStr">
        <is>
          <t>OVANÅKER</t>
        </is>
      </c>
      <c r="I5568" t="n">
        <v>1.8</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14192-2026</t>
        </is>
      </c>
      <c r="B5569" t="inlineStr">
        <is>
          <t>avverkningsanmälan</t>
        </is>
      </c>
      <c r="C5569" t="inlineStr">
        <is>
          <t>Föryngringsavverkning</t>
        </is>
      </c>
      <c r="D5569" s="1" t="n">
        <v>46099</v>
      </c>
      <c r="E5569" s="1" t="n">
        <v>46326</v>
      </c>
      <c r="F5569" t="inlineStr">
        <is>
          <t>GÄVLEBORGS LÄN</t>
        </is>
      </c>
      <c r="G5569" t="inlineStr">
        <is>
          <t>SANDVIKEN</t>
        </is>
      </c>
      <c r="I5569" t="n">
        <v>1</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14216-2026</t>
        </is>
      </c>
      <c r="B5570" t="inlineStr">
        <is>
          <t>avverkningsanmälan</t>
        </is>
      </c>
      <c r="C5570" t="inlineStr">
        <is>
          <t>Föryngringsavverkning</t>
        </is>
      </c>
      <c r="D5570" s="1" t="n">
        <v>46099</v>
      </c>
      <c r="E5570" s="1" t="n">
        <v>46326</v>
      </c>
      <c r="F5570" t="inlineStr">
        <is>
          <t>GÄVLEBORGS LÄN</t>
        </is>
      </c>
      <c r="G5570" t="inlineStr">
        <is>
          <t>BOLLNÄS</t>
        </is>
      </c>
      <c r="H5570" t="inlineStr">
        <is>
          <t>Bergvik skog väst AB</t>
        </is>
      </c>
      <c r="I5570" t="n">
        <v>7.1</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63200-2025</t>
        </is>
      </c>
      <c r="B5571" t="inlineStr">
        <is>
          <t>avverkningsanmälan</t>
        </is>
      </c>
      <c r="C5571" t="inlineStr">
        <is>
          <t>Föryngringsavverkning</t>
        </is>
      </c>
      <c r="D5571" s="1" t="n">
        <v>46010</v>
      </c>
      <c r="E5571" s="1" t="n">
        <v>46326</v>
      </c>
      <c r="F5571" t="inlineStr">
        <is>
          <t>GÄVLEBORGS LÄN</t>
        </is>
      </c>
      <c r="G5571" t="inlineStr">
        <is>
          <t>BOLLNÄS</t>
        </is>
      </c>
      <c r="I5571" t="n">
        <v>0.7</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35026-2024</t>
        </is>
      </c>
      <c r="B5572" t="inlineStr">
        <is>
          <t>avverkningsanmälan</t>
        </is>
      </c>
      <c r="C5572" t="inlineStr">
        <is>
          <t>Föryngringsavverkning</t>
        </is>
      </c>
      <c r="D5572" s="1" t="n">
        <v>45527</v>
      </c>
      <c r="E5572" s="1" t="n">
        <v>46326</v>
      </c>
      <c r="F5572" t="inlineStr">
        <is>
          <t>GÄVLEBORGS LÄN</t>
        </is>
      </c>
      <c r="G5572" t="inlineStr">
        <is>
          <t>HUDIKSVALL</t>
        </is>
      </c>
      <c r="H5572" t="inlineStr">
        <is>
          <t>Holmen skog AB</t>
        </is>
      </c>
      <c r="I5572" t="n">
        <v>3</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62126-2023</t>
        </is>
      </c>
      <c r="B5573" t="inlineStr">
        <is>
          <t>avverkningsanmälan</t>
        </is>
      </c>
      <c r="C5573" t="inlineStr">
        <is>
          <t>Föryngringsavverkning</t>
        </is>
      </c>
      <c r="D5573" s="1" t="n">
        <v>45267</v>
      </c>
      <c r="E5573" s="1" t="n">
        <v>46326</v>
      </c>
      <c r="F5573" t="inlineStr">
        <is>
          <t>GÄVLEBORGS LÄN</t>
        </is>
      </c>
      <c r="G5573" t="inlineStr">
        <is>
          <t>OVANÅKER</t>
        </is>
      </c>
      <c r="I5573" t="n">
        <v>0.7</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1649-2025</t>
        </is>
      </c>
      <c r="B5574" t="inlineStr">
        <is>
          <t>avverkningsanmälan</t>
        </is>
      </c>
      <c r="C5574" t="inlineStr">
        <is>
          <t>Föryngringsavverkning</t>
        </is>
      </c>
      <c r="D5574" s="1" t="n">
        <v>45670</v>
      </c>
      <c r="E5574" s="1" t="n">
        <v>46326</v>
      </c>
      <c r="F5574" t="inlineStr">
        <is>
          <t>GÄVLEBORGS LÄN</t>
        </is>
      </c>
      <c r="G5574" t="inlineStr">
        <is>
          <t>SÖDERHAMN</t>
        </is>
      </c>
      <c r="I5574" t="n">
        <v>1.1</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26578-2025</t>
        </is>
      </c>
      <c r="B5575" t="inlineStr">
        <is>
          <t>avverkningsanmälan</t>
        </is>
      </c>
      <c r="C5575" t="inlineStr">
        <is>
          <t>Föryngringsavverkning</t>
        </is>
      </c>
      <c r="D5575" s="1" t="n">
        <v>45807</v>
      </c>
      <c r="E5575" s="1" t="n">
        <v>46326</v>
      </c>
      <c r="F5575" t="inlineStr">
        <is>
          <t>GÄVLEBORGS LÄN</t>
        </is>
      </c>
      <c r="G5575" t="inlineStr">
        <is>
          <t>LJUSDAL</t>
        </is>
      </c>
      <c r="I5575" t="n">
        <v>1.9</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26581-2025</t>
        </is>
      </c>
      <c r="B5576" t="inlineStr">
        <is>
          <t>avverkningsanmälan</t>
        </is>
      </c>
      <c r="C5576" t="inlineStr">
        <is>
          <t>Föryngringsavverkning</t>
        </is>
      </c>
      <c r="D5576" s="1" t="n">
        <v>45807</v>
      </c>
      <c r="E5576" s="1" t="n">
        <v>46326</v>
      </c>
      <c r="F5576" t="inlineStr">
        <is>
          <t>GÄVLEBORGS LÄN</t>
        </is>
      </c>
      <c r="G5576" t="inlineStr">
        <is>
          <t>OVANÅKER</t>
        </is>
      </c>
      <c r="I5576" t="n">
        <v>5.2</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14219-2026</t>
        </is>
      </c>
      <c r="B5577" t="inlineStr">
        <is>
          <t>avverkningsanmälan</t>
        </is>
      </c>
      <c r="C5577" t="inlineStr">
        <is>
          <t>Föryngringsavverkning</t>
        </is>
      </c>
      <c r="D5577" s="1" t="n">
        <v>46099</v>
      </c>
      <c r="E5577" s="1" t="n">
        <v>46326</v>
      </c>
      <c r="F5577" t="inlineStr">
        <is>
          <t>GÄVLEBORGS LÄN</t>
        </is>
      </c>
      <c r="G5577" t="inlineStr">
        <is>
          <t>SANDVIKEN</t>
        </is>
      </c>
      <c r="H5577" t="inlineStr">
        <is>
          <t>Bergvik skog öst AB</t>
        </is>
      </c>
      <c r="I5577" t="n">
        <v>2.3</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26579-2025</t>
        </is>
      </c>
      <c r="B5578" t="inlineStr">
        <is>
          <t>avverkningsanmälan</t>
        </is>
      </c>
      <c r="C5578" t="inlineStr">
        <is>
          <t>Föryngringsavverkning</t>
        </is>
      </c>
      <c r="D5578" s="1" t="n">
        <v>45807</v>
      </c>
      <c r="E5578" s="1" t="n">
        <v>46326</v>
      </c>
      <c r="F5578" t="inlineStr">
        <is>
          <t>GÄVLEBORGS LÄN</t>
        </is>
      </c>
      <c r="G5578" t="inlineStr">
        <is>
          <t>LJUSDAL</t>
        </is>
      </c>
      <c r="I5578" t="n">
        <v>2.3</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26582-2025</t>
        </is>
      </c>
      <c r="B5579" t="inlineStr">
        <is>
          <t>avverkningsanmälan</t>
        </is>
      </c>
      <c r="C5579" t="inlineStr">
        <is>
          <t>Föryngringsavverkning</t>
        </is>
      </c>
      <c r="D5579" s="1" t="n">
        <v>45807</v>
      </c>
      <c r="E5579" s="1" t="n">
        <v>46326</v>
      </c>
      <c r="F5579" t="inlineStr">
        <is>
          <t>GÄVLEBORGS LÄN</t>
        </is>
      </c>
      <c r="G5579" t="inlineStr">
        <is>
          <t>OVANÅKER</t>
        </is>
      </c>
      <c r="I5579" t="n">
        <v>1</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14333-2026</t>
        </is>
      </c>
      <c r="B5580" t="inlineStr">
        <is>
          <t>avverkningsanmälan</t>
        </is>
      </c>
      <c r="C5580" t="inlineStr">
        <is>
          <t>Föryngringsavverkning</t>
        </is>
      </c>
      <c r="D5580" s="1" t="n">
        <v>46100</v>
      </c>
      <c r="E5580" s="1" t="n">
        <v>46326</v>
      </c>
      <c r="F5580" t="inlineStr">
        <is>
          <t>GÄVLEBORGS LÄN</t>
        </is>
      </c>
      <c r="G5580" t="inlineStr">
        <is>
          <t>BOLLNÄS</t>
        </is>
      </c>
      <c r="H5580" t="inlineStr">
        <is>
          <t>Bergvik skog väst AB</t>
        </is>
      </c>
      <c r="I5580" t="n">
        <v>11.9</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55672-2024</t>
        </is>
      </c>
      <c r="B5581" t="inlineStr">
        <is>
          <t>avverkningsanmälan</t>
        </is>
      </c>
      <c r="C5581" t="inlineStr">
        <is>
          <t>Föryngringsavverkning</t>
        </is>
      </c>
      <c r="D5581" s="1" t="n">
        <v>45622</v>
      </c>
      <c r="E5581" s="1" t="n">
        <v>46326</v>
      </c>
      <c r="F5581" t="inlineStr">
        <is>
          <t>GÄVLEBORGS LÄN</t>
        </is>
      </c>
      <c r="G5581" t="inlineStr">
        <is>
          <t>OVANÅKER</t>
        </is>
      </c>
      <c r="I5581" t="n">
        <v>4.9</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41801-2023</t>
        </is>
      </c>
      <c r="B5582" t="inlineStr">
        <is>
          <t>avverkningsanmälan</t>
        </is>
      </c>
      <c r="C5582" t="inlineStr">
        <is>
          <t>Föryngringsavverkning</t>
        </is>
      </c>
      <c r="D5582" s="1" t="n">
        <v>45176</v>
      </c>
      <c r="E5582" s="1" t="n">
        <v>46326</v>
      </c>
      <c r="F5582" t="inlineStr">
        <is>
          <t>GÄVLEBORGS LÄN</t>
        </is>
      </c>
      <c r="G5582" t="inlineStr">
        <is>
          <t>OVANÅKER</t>
        </is>
      </c>
      <c r="I5582" t="n">
        <v>1.5</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26510-2023</t>
        </is>
      </c>
      <c r="B5583" t="inlineStr">
        <is>
          <t>avverkningsanmälan</t>
        </is>
      </c>
      <c r="C5583" t="inlineStr">
        <is>
          <t>Föryngringsavverkning</t>
        </is>
      </c>
      <c r="D5583" s="1" t="n">
        <v>45092</v>
      </c>
      <c r="E5583" s="1" t="n">
        <v>46326</v>
      </c>
      <c r="F5583" t="inlineStr">
        <is>
          <t>GÄVLEBORGS LÄN</t>
        </is>
      </c>
      <c r="G5583" t="inlineStr">
        <is>
          <t>LJUSDAL</t>
        </is>
      </c>
      <c r="H5583" t="inlineStr">
        <is>
          <t>Sveaskog</t>
        </is>
      </c>
      <c r="I5583" t="n">
        <v>3</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14073-2026</t>
        </is>
      </c>
      <c r="B5584" t="inlineStr">
        <is>
          <t>avverkningsanmälan</t>
        </is>
      </c>
      <c r="C5584" t="inlineStr">
        <is>
          <t>Föryngringsavverkning</t>
        </is>
      </c>
      <c r="D5584" s="1" t="n">
        <v>46099</v>
      </c>
      <c r="E5584" s="1" t="n">
        <v>46326</v>
      </c>
      <c r="F5584" t="inlineStr">
        <is>
          <t>GÄVLEBORGS LÄN</t>
        </is>
      </c>
      <c r="G5584" t="inlineStr">
        <is>
          <t>SÖDERHAMN</t>
        </is>
      </c>
      <c r="I5584" t="n">
        <v>0.6</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14061-2026</t>
        </is>
      </c>
      <c r="B5585" t="inlineStr">
        <is>
          <t>avverkningsanmälan</t>
        </is>
      </c>
      <c r="C5585" t="inlineStr">
        <is>
          <t>Föryngringsavverkning</t>
        </is>
      </c>
      <c r="D5585" s="1" t="n">
        <v>46099</v>
      </c>
      <c r="E5585" s="1" t="n">
        <v>46326</v>
      </c>
      <c r="F5585" t="inlineStr">
        <is>
          <t>GÄVLEBORGS LÄN</t>
        </is>
      </c>
      <c r="G5585" t="inlineStr">
        <is>
          <t>SÖDERHAMN</t>
        </is>
      </c>
      <c r="I5585" t="n">
        <v>1.5</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63312-2025</t>
        </is>
      </c>
      <c r="B5586" t="inlineStr">
        <is>
          <t>avverkningsanmälan</t>
        </is>
      </c>
      <c r="C5586" t="inlineStr">
        <is>
          <t>Föryngringsavverkning</t>
        </is>
      </c>
      <c r="D5586" s="1" t="n">
        <v>46010</v>
      </c>
      <c r="E5586" s="1" t="n">
        <v>46326</v>
      </c>
      <c r="F5586" t="inlineStr">
        <is>
          <t>GÄVLEBORGS LÄN</t>
        </is>
      </c>
      <c r="G5586" t="inlineStr">
        <is>
          <t>BOLLNÄS</t>
        </is>
      </c>
      <c r="I5586" t="n">
        <v>2.9</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63214-2025</t>
        </is>
      </c>
      <c r="B5587" t="inlineStr">
        <is>
          <t>avverkningsanmälan</t>
        </is>
      </c>
      <c r="C5587" t="inlineStr">
        <is>
          <t>Föryngringsavverkning</t>
        </is>
      </c>
      <c r="D5587" s="1" t="n">
        <v>46010</v>
      </c>
      <c r="E5587" s="1" t="n">
        <v>46326</v>
      </c>
      <c r="F5587" t="inlineStr">
        <is>
          <t>GÄVLEBORGS LÄN</t>
        </is>
      </c>
      <c r="G5587" t="inlineStr">
        <is>
          <t>BOLLNÄS</t>
        </is>
      </c>
      <c r="I5587" t="n">
        <v>4.3</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34752-2024</t>
        </is>
      </c>
      <c r="B5588" t="inlineStr">
        <is>
          <t>avverkningsanmälan</t>
        </is>
      </c>
      <c r="C5588" t="inlineStr">
        <is>
          <t>Avverkning för annat ändamål</t>
        </is>
      </c>
      <c r="D5588" s="1" t="n">
        <v>45526</v>
      </c>
      <c r="E5588" s="1" t="n">
        <v>46326</v>
      </c>
      <c r="F5588" t="inlineStr">
        <is>
          <t>GÄVLEBORGS LÄN</t>
        </is>
      </c>
      <c r="G5588" t="inlineStr">
        <is>
          <t>SÖDERHAMN</t>
        </is>
      </c>
      <c r="I5588" t="n">
        <v>0.6</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63297-2025</t>
        </is>
      </c>
      <c r="B5589" t="inlineStr">
        <is>
          <t>avverkningsanmälan</t>
        </is>
      </c>
      <c r="C5589" t="inlineStr">
        <is>
          <t>Föryngringsavverkning</t>
        </is>
      </c>
      <c r="D5589" s="1" t="n">
        <v>46010</v>
      </c>
      <c r="E5589" s="1" t="n">
        <v>46326</v>
      </c>
      <c r="F5589" t="inlineStr">
        <is>
          <t>GÄVLEBORGS LÄN</t>
        </is>
      </c>
      <c r="G5589" t="inlineStr">
        <is>
          <t>LJUSDAL</t>
        </is>
      </c>
      <c r="I5589" t="n">
        <v>1.2</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7192-2023</t>
        </is>
      </c>
      <c r="B5590" t="inlineStr">
        <is>
          <t>avverkningsanmälan</t>
        </is>
      </c>
      <c r="C5590" t="inlineStr">
        <is>
          <t>Föryngringsavverkning</t>
        </is>
      </c>
      <c r="D5590" s="1" t="n">
        <v>44970</v>
      </c>
      <c r="E5590" s="1" t="n">
        <v>46326</v>
      </c>
      <c r="F5590" t="inlineStr">
        <is>
          <t>GÄVLEBORGS LÄN</t>
        </is>
      </c>
      <c r="G5590" t="inlineStr">
        <is>
          <t>LJUSDAL</t>
        </is>
      </c>
      <c r="I5590" t="n">
        <v>3.6</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63272-2025</t>
        </is>
      </c>
      <c r="B5591" t="inlineStr">
        <is>
          <t>avverkningsanmälan</t>
        </is>
      </c>
      <c r="C5591" t="inlineStr">
        <is>
          <t>Föryngringsavverkning</t>
        </is>
      </c>
      <c r="D5591" s="1" t="n">
        <v>46010</v>
      </c>
      <c r="E5591" s="1" t="n">
        <v>46326</v>
      </c>
      <c r="F5591" t="inlineStr">
        <is>
          <t>GÄVLEBORGS LÄN</t>
        </is>
      </c>
      <c r="G5591" t="inlineStr">
        <is>
          <t>BOLLNÄS</t>
        </is>
      </c>
      <c r="I5591" t="n">
        <v>1.6</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24-2025</t>
        </is>
      </c>
      <c r="B5592" t="inlineStr">
        <is>
          <t>avverkningsanmälan</t>
        </is>
      </c>
      <c r="C5592" t="inlineStr">
        <is>
          <t>Föryngringsavverkning</t>
        </is>
      </c>
      <c r="D5592" s="1" t="n">
        <v>45658</v>
      </c>
      <c r="E5592" s="1" t="n">
        <v>46326</v>
      </c>
      <c r="F5592" t="inlineStr">
        <is>
          <t>GÄVLEBORGS LÄN</t>
        </is>
      </c>
      <c r="G5592" t="inlineStr">
        <is>
          <t>GÄVLE</t>
        </is>
      </c>
      <c r="I5592" t="n">
        <v>1.9</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49765-2024</t>
        </is>
      </c>
      <c r="B5593" t="inlineStr">
        <is>
          <t>avverkningsanmälan</t>
        </is>
      </c>
      <c r="C5593" t="inlineStr">
        <is>
          <t>Föryngringsavverkning</t>
        </is>
      </c>
      <c r="D5593" s="1" t="n">
        <v>45597</v>
      </c>
      <c r="E5593" s="1" t="n">
        <v>46326</v>
      </c>
      <c r="F5593" t="inlineStr">
        <is>
          <t>GÄVLEBORGS LÄN</t>
        </is>
      </c>
      <c r="G5593" t="inlineStr">
        <is>
          <t>SÖDERHAMN</t>
        </is>
      </c>
      <c r="I5593" t="n">
        <v>0.9</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14223-2026</t>
        </is>
      </c>
      <c r="B5594" t="inlineStr">
        <is>
          <t>avverkningsanmälan</t>
        </is>
      </c>
      <c r="C5594" t="inlineStr">
        <is>
          <t>Föryngringsavverkning</t>
        </is>
      </c>
      <c r="D5594" s="1" t="n">
        <v>46099</v>
      </c>
      <c r="E5594" s="1" t="n">
        <v>46326</v>
      </c>
      <c r="F5594" t="inlineStr">
        <is>
          <t>GÄVLEBORGS LÄN</t>
        </is>
      </c>
      <c r="G5594" t="inlineStr">
        <is>
          <t>BOLLNÄS</t>
        </is>
      </c>
      <c r="H5594" t="inlineStr">
        <is>
          <t>Bergvik skog väst AB</t>
        </is>
      </c>
      <c r="I5594" t="n">
        <v>6.1</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4498-2024</t>
        </is>
      </c>
      <c r="B5595" t="inlineStr">
        <is>
          <t>avverkningsanmälan</t>
        </is>
      </c>
      <c r="C5595" t="inlineStr">
        <is>
          <t>Föryngringsavverkning</t>
        </is>
      </c>
      <c r="D5595" s="1" t="n">
        <v>45327</v>
      </c>
      <c r="E5595" s="1" t="n">
        <v>46326</v>
      </c>
      <c r="F5595" t="inlineStr">
        <is>
          <t>GÄVLEBORGS LÄN</t>
        </is>
      </c>
      <c r="G5595" t="inlineStr">
        <is>
          <t>SANDVIKEN</t>
        </is>
      </c>
      <c r="I5595" t="n">
        <v>0.6</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4504-2024</t>
        </is>
      </c>
      <c r="B5596" t="inlineStr">
        <is>
          <t>avverkningsanmälan</t>
        </is>
      </c>
      <c r="C5596" t="inlineStr">
        <is>
          <t>Föryngringsavverkning</t>
        </is>
      </c>
      <c r="D5596" s="1" t="n">
        <v>45327</v>
      </c>
      <c r="E5596" s="1" t="n">
        <v>46326</v>
      </c>
      <c r="F5596" t="inlineStr">
        <is>
          <t>GÄVLEBORGS LÄN</t>
        </is>
      </c>
      <c r="G5596" t="inlineStr">
        <is>
          <t>HUDIKSVALL</t>
        </is>
      </c>
      <c r="I5596" t="n">
        <v>2.7</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13490-2024</t>
        </is>
      </c>
      <c r="B5597" t="inlineStr">
        <is>
          <t>avverkningsanmälan</t>
        </is>
      </c>
      <c r="C5597" t="inlineStr">
        <is>
          <t>Föryngringsavverkning</t>
        </is>
      </c>
      <c r="D5597" s="1" t="n">
        <v>45387</v>
      </c>
      <c r="E5597" s="1" t="n">
        <v>46326</v>
      </c>
      <c r="F5597" t="inlineStr">
        <is>
          <t>GÄVLEBORGS LÄN</t>
        </is>
      </c>
      <c r="G5597" t="inlineStr">
        <is>
          <t>HUDIKSVALL</t>
        </is>
      </c>
      <c r="I5597" t="n">
        <v>1.5</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27467-2024</t>
        </is>
      </c>
      <c r="B5598" t="inlineStr">
        <is>
          <t>avverkningsanmälan</t>
        </is>
      </c>
      <c r="C5598" t="inlineStr">
        <is>
          <t>Föryngringsavverkning</t>
        </is>
      </c>
      <c r="D5598" s="1" t="n">
        <v>45474</v>
      </c>
      <c r="E5598" s="1" t="n">
        <v>46326</v>
      </c>
      <c r="F5598" t="inlineStr">
        <is>
          <t>GÄVLEBORGS LÄN</t>
        </is>
      </c>
      <c r="G5598" t="inlineStr">
        <is>
          <t>HUDIKSVALL</t>
        </is>
      </c>
      <c r="H5598" t="inlineStr">
        <is>
          <t>Holmen skog AB</t>
        </is>
      </c>
      <c r="I5598" t="n">
        <v>8.6</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63270-2025</t>
        </is>
      </c>
      <c r="B5599" t="inlineStr">
        <is>
          <t>avverkningsanmälan</t>
        </is>
      </c>
      <c r="C5599" t="inlineStr">
        <is>
          <t>Föryngringsavverkning</t>
        </is>
      </c>
      <c r="D5599" s="1" t="n">
        <v>46010</v>
      </c>
      <c r="E5599" s="1" t="n">
        <v>46326</v>
      </c>
      <c r="F5599" t="inlineStr">
        <is>
          <t>GÄVLEBORGS LÄN</t>
        </is>
      </c>
      <c r="G5599" t="inlineStr">
        <is>
          <t>BOLLNÄS</t>
        </is>
      </c>
      <c r="I5599" t="n">
        <v>1.7</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14037-2026</t>
        </is>
      </c>
      <c r="B5600" t="inlineStr">
        <is>
          <t>avverkningsanmälan</t>
        </is>
      </c>
      <c r="C5600" t="inlineStr">
        <is>
          <t>Föryngringsavverkning</t>
        </is>
      </c>
      <c r="D5600" s="1" t="n">
        <v>46098</v>
      </c>
      <c r="E5600" s="1" t="n">
        <v>46326</v>
      </c>
      <c r="F5600" t="inlineStr">
        <is>
          <t>GÄVLEBORGS LÄN</t>
        </is>
      </c>
      <c r="G5600" t="inlineStr">
        <is>
          <t>OCKELBO</t>
        </is>
      </c>
      <c r="H5600" t="inlineStr">
        <is>
          <t>Bergvik skog väst AB</t>
        </is>
      </c>
      <c r="I5600" t="n">
        <v>0.9</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14439-2026</t>
        </is>
      </c>
      <c r="B5601" t="inlineStr">
        <is>
          <t>avverkningsanmälan</t>
        </is>
      </c>
      <c r="C5601" t="inlineStr">
        <is>
          <t>Föryngringsavverkning</t>
        </is>
      </c>
      <c r="D5601" s="1" t="n">
        <v>46100</v>
      </c>
      <c r="E5601" s="1" t="n">
        <v>46326</v>
      </c>
      <c r="F5601" t="inlineStr">
        <is>
          <t>GÄVLEBORGS LÄN</t>
        </is>
      </c>
      <c r="G5601" t="inlineStr">
        <is>
          <t>OCKELBO</t>
        </is>
      </c>
      <c r="I5601" t="n">
        <v>1.5</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14441-2026</t>
        </is>
      </c>
      <c r="B5602" t="inlineStr">
        <is>
          <t>avverkningsanmälan</t>
        </is>
      </c>
      <c r="C5602" t="inlineStr">
        <is>
          <t>Föryngringsavverkning</t>
        </is>
      </c>
      <c r="D5602" s="1" t="n">
        <v>46100</v>
      </c>
      <c r="E5602" s="1" t="n">
        <v>46326</v>
      </c>
      <c r="F5602" t="inlineStr">
        <is>
          <t>GÄVLEBORGS LÄN</t>
        </is>
      </c>
      <c r="G5602" t="inlineStr">
        <is>
          <t>OCKELBO</t>
        </is>
      </c>
      <c r="I5602" t="n">
        <v>1.6</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14503-2026</t>
        </is>
      </c>
      <c r="B5603" t="inlineStr">
        <is>
          <t>avverkningsanmälan</t>
        </is>
      </c>
      <c r="C5603" t="inlineStr">
        <is>
          <t>Föryngringsavverkning</t>
        </is>
      </c>
      <c r="D5603" s="1" t="n">
        <v>46100</v>
      </c>
      <c r="E5603" s="1" t="n">
        <v>46326</v>
      </c>
      <c r="F5603" t="inlineStr">
        <is>
          <t>GÄVLEBORGS LÄN</t>
        </is>
      </c>
      <c r="G5603" t="inlineStr">
        <is>
          <t>BOLLNÄS</t>
        </is>
      </c>
      <c r="H5603" t="inlineStr">
        <is>
          <t>Bergvik skog väst AB</t>
        </is>
      </c>
      <c r="I5603" t="n">
        <v>2.9</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63286-2025</t>
        </is>
      </c>
      <c r="B5604" t="inlineStr">
        <is>
          <t>avverkningsanmälan</t>
        </is>
      </c>
      <c r="C5604" t="inlineStr">
        <is>
          <t>Föryngringsavverkning</t>
        </is>
      </c>
      <c r="D5604" s="1" t="n">
        <v>46010</v>
      </c>
      <c r="E5604" s="1" t="n">
        <v>46326</v>
      </c>
      <c r="F5604" t="inlineStr">
        <is>
          <t>GÄVLEBORGS LÄN</t>
        </is>
      </c>
      <c r="G5604" t="inlineStr">
        <is>
          <t>BOLLNÄS</t>
        </is>
      </c>
      <c r="I5604" t="n">
        <v>3.3</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54468-2024</t>
        </is>
      </c>
      <c r="B5605" t="inlineStr">
        <is>
          <t>avverkningsanmälan</t>
        </is>
      </c>
      <c r="C5605" t="inlineStr">
        <is>
          <t>Föryngringsavverkning</t>
        </is>
      </c>
      <c r="D5605" s="1" t="n">
        <v>45617</v>
      </c>
      <c r="E5605" s="1" t="n">
        <v>46326</v>
      </c>
      <c r="F5605" t="inlineStr">
        <is>
          <t>GÄVLEBORGS LÄN</t>
        </is>
      </c>
      <c r="G5605" t="inlineStr">
        <is>
          <t>HUDIKSVALL</t>
        </is>
      </c>
      <c r="I5605" t="n">
        <v>0.5</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34842-2023</t>
        </is>
      </c>
      <c r="B5606" t="inlineStr">
        <is>
          <t>avverkningsanmälan</t>
        </is>
      </c>
      <c r="C5606" t="inlineStr">
        <is>
          <t>Föryngringsavverkning</t>
        </is>
      </c>
      <c r="D5606" s="1" t="n">
        <v>45141</v>
      </c>
      <c r="E5606" s="1" t="n">
        <v>46326</v>
      </c>
      <c r="F5606" t="inlineStr">
        <is>
          <t>GÄVLEBORGS LÄN</t>
        </is>
      </c>
      <c r="G5606" t="inlineStr">
        <is>
          <t>NORDANSTIG</t>
        </is>
      </c>
      <c r="I5606" t="n">
        <v>1.5</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14516-2026</t>
        </is>
      </c>
      <c r="B5607" t="inlineStr">
        <is>
          <t>avverkningsanmälan</t>
        </is>
      </c>
      <c r="C5607" t="inlineStr">
        <is>
          <t>Föryngringsavverkning</t>
        </is>
      </c>
      <c r="D5607" s="1" t="n">
        <v>46100</v>
      </c>
      <c r="E5607" s="1" t="n">
        <v>46326</v>
      </c>
      <c r="F5607" t="inlineStr">
        <is>
          <t>GÄVLEBORGS LÄN</t>
        </is>
      </c>
      <c r="G5607" t="inlineStr">
        <is>
          <t>OVANÅKER</t>
        </is>
      </c>
      <c r="I5607" t="n">
        <v>7.7</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63541-2025</t>
        </is>
      </c>
      <c r="B5608" t="inlineStr">
        <is>
          <t>avverkningsanmälan</t>
        </is>
      </c>
      <c r="C5608" t="inlineStr">
        <is>
          <t>Avverkning för annat ändamål</t>
        </is>
      </c>
      <c r="D5608" s="1" t="n">
        <v>46013</v>
      </c>
      <c r="E5608" s="1" t="n">
        <v>46326</v>
      </c>
      <c r="F5608" t="inlineStr">
        <is>
          <t>GÄVLEBORGS LÄN</t>
        </is>
      </c>
      <c r="G5608" t="inlineStr">
        <is>
          <t>HUDIKSVALL</t>
        </is>
      </c>
      <c r="I5608" t="n">
        <v>1</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26580-2025</t>
        </is>
      </c>
      <c r="B5609" t="inlineStr">
        <is>
          <t>avverkningsanmälan</t>
        </is>
      </c>
      <c r="C5609" t="inlineStr">
        <is>
          <t>Avverkning för annat ändamål</t>
        </is>
      </c>
      <c r="D5609" s="1" t="n">
        <v>45807</v>
      </c>
      <c r="E5609" s="1" t="n">
        <v>46326</v>
      </c>
      <c r="F5609" t="inlineStr">
        <is>
          <t>GÄVLEBORGS LÄN</t>
        </is>
      </c>
      <c r="G5609" t="inlineStr">
        <is>
          <t>LJUSDAL</t>
        </is>
      </c>
      <c r="I5609" t="n">
        <v>0.2</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14100-2026</t>
        </is>
      </c>
      <c r="B5610" t="inlineStr">
        <is>
          <t>avverkningsanmälan</t>
        </is>
      </c>
      <c r="C5610" t="inlineStr">
        <is>
          <t>Föryngringsavverkning</t>
        </is>
      </c>
      <c r="D5610" s="1" t="n">
        <v>46099</v>
      </c>
      <c r="E5610" s="1" t="n">
        <v>46326</v>
      </c>
      <c r="F5610" t="inlineStr">
        <is>
          <t>GÄVLEBORGS LÄN</t>
        </is>
      </c>
      <c r="G5610" t="inlineStr">
        <is>
          <t>OCKELBO</t>
        </is>
      </c>
      <c r="H5610" t="inlineStr">
        <is>
          <t>Bergvik skog väst AB</t>
        </is>
      </c>
      <c r="I5610" t="n">
        <v>5.7</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14105-2026</t>
        </is>
      </c>
      <c r="B5611" t="inlineStr">
        <is>
          <t>avverkningsanmälan</t>
        </is>
      </c>
      <c r="C5611" t="inlineStr">
        <is>
          <t>Föryngringsavverkning</t>
        </is>
      </c>
      <c r="D5611" s="1" t="n">
        <v>46099</v>
      </c>
      <c r="E5611" s="1" t="n">
        <v>46326</v>
      </c>
      <c r="F5611" t="inlineStr">
        <is>
          <t>GÄVLEBORGS LÄN</t>
        </is>
      </c>
      <c r="G5611" t="inlineStr">
        <is>
          <t>OVANÅKER</t>
        </is>
      </c>
      <c r="H5611" t="inlineStr">
        <is>
          <t>Bergvik skog väst AB</t>
        </is>
      </c>
      <c r="I5611" t="n">
        <v>0.8</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14174-2026</t>
        </is>
      </c>
      <c r="B5612" t="inlineStr">
        <is>
          <t>avverkningsanmälan</t>
        </is>
      </c>
      <c r="C5612" t="inlineStr">
        <is>
          <t>Föryngringsavverkning</t>
        </is>
      </c>
      <c r="D5612" s="1" t="n">
        <v>46099</v>
      </c>
      <c r="E5612" s="1" t="n">
        <v>46326</v>
      </c>
      <c r="F5612" t="inlineStr">
        <is>
          <t>GÄVLEBORGS LÄN</t>
        </is>
      </c>
      <c r="G5612" t="inlineStr">
        <is>
          <t>BOLLNÄS</t>
        </is>
      </c>
      <c r="I5612" t="n">
        <v>1.3</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14460-2026</t>
        </is>
      </c>
      <c r="B5613" t="inlineStr">
        <is>
          <t>avverkningsanmälan</t>
        </is>
      </c>
      <c r="C5613" t="inlineStr">
        <is>
          <t>Föryngringsavverkning</t>
        </is>
      </c>
      <c r="D5613" s="1" t="n">
        <v>46100</v>
      </c>
      <c r="E5613" s="1" t="n">
        <v>46326</v>
      </c>
      <c r="F5613" t="inlineStr">
        <is>
          <t>GÄVLEBORGS LÄN</t>
        </is>
      </c>
      <c r="G5613" t="inlineStr">
        <is>
          <t>HUDIKSVALL</t>
        </is>
      </c>
      <c r="I5613" t="n">
        <v>2.1</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63486-2025</t>
        </is>
      </c>
      <c r="B5614" t="inlineStr">
        <is>
          <t>avverkningsanmälan</t>
        </is>
      </c>
      <c r="C5614" t="inlineStr">
        <is>
          <t>Föryngringsavverkning</t>
        </is>
      </c>
      <c r="D5614" s="1" t="n">
        <v>46013</v>
      </c>
      <c r="E5614" s="1" t="n">
        <v>46326</v>
      </c>
      <c r="F5614" t="inlineStr">
        <is>
          <t>GÄVLEBORGS LÄN</t>
        </is>
      </c>
      <c r="G5614" t="inlineStr">
        <is>
          <t>SANDVIKEN</t>
        </is>
      </c>
      <c r="H5614" t="inlineStr">
        <is>
          <t>Sveaskog</t>
        </is>
      </c>
      <c r="I5614" t="n">
        <v>1.6</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66351-2021</t>
        </is>
      </c>
      <c r="B5615" t="inlineStr">
        <is>
          <t>avverkningsanmälan</t>
        </is>
      </c>
      <c r="C5615" t="inlineStr">
        <is>
          <t>Föryngringsavverkning</t>
        </is>
      </c>
      <c r="D5615" s="1" t="n">
        <v>44518</v>
      </c>
      <c r="E5615" s="1" t="n">
        <v>46326</v>
      </c>
      <c r="F5615" t="inlineStr">
        <is>
          <t>GÄVLEBORGS LÄN</t>
        </is>
      </c>
      <c r="G5615" t="inlineStr">
        <is>
          <t>GÄVLE</t>
        </is>
      </c>
      <c r="I5615" t="n">
        <v>1</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14676-2026</t>
        </is>
      </c>
      <c r="B5616" t="inlineStr">
        <is>
          <t>avverkningsanmälan</t>
        </is>
      </c>
      <c r="C5616" t="inlineStr">
        <is>
          <t>Föryngringsavverkning</t>
        </is>
      </c>
      <c r="D5616" s="1" t="n">
        <v>46101</v>
      </c>
      <c r="E5616" s="1" t="n">
        <v>46326</v>
      </c>
      <c r="F5616" t="inlineStr">
        <is>
          <t>GÄVLEBORGS LÄN</t>
        </is>
      </c>
      <c r="G5616" t="inlineStr">
        <is>
          <t>SANDVIKEN</t>
        </is>
      </c>
      <c r="H5616" t="inlineStr">
        <is>
          <t>Kommuner</t>
        </is>
      </c>
      <c r="I5616" t="n">
        <v>0.7</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24724-2023</t>
        </is>
      </c>
      <c r="B5617" t="inlineStr">
        <is>
          <t>avverkningsanmälan</t>
        </is>
      </c>
      <c r="C5617" t="inlineStr">
        <is>
          <t>Föryngringsavverkning</t>
        </is>
      </c>
      <c r="D5617" s="1" t="n">
        <v>45084</v>
      </c>
      <c r="E5617" s="1" t="n">
        <v>46326</v>
      </c>
      <c r="F5617" t="inlineStr">
        <is>
          <t>GÄVLEBORGS LÄN</t>
        </is>
      </c>
      <c r="G5617" t="inlineStr">
        <is>
          <t>GÄVLE</t>
        </is>
      </c>
      <c r="I5617" t="n">
        <v>1.5</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14963-2026</t>
        </is>
      </c>
      <c r="B5618" t="inlineStr">
        <is>
          <t>avverkningsanmälan</t>
        </is>
      </c>
      <c r="C5618" t="inlineStr">
        <is>
          <t>Föryngringsavverkning</t>
        </is>
      </c>
      <c r="D5618" s="1" t="n">
        <v>46104</v>
      </c>
      <c r="E5618" s="1" t="n">
        <v>46326</v>
      </c>
      <c r="F5618" t="inlineStr">
        <is>
          <t>GÄVLEBORGS LÄN</t>
        </is>
      </c>
      <c r="G5618" t="inlineStr">
        <is>
          <t>GÄVLE</t>
        </is>
      </c>
      <c r="H5618" t="inlineStr">
        <is>
          <t>Bergvik skog öst AB</t>
        </is>
      </c>
      <c r="I5618" t="n">
        <v>1.5</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15018-2026</t>
        </is>
      </c>
      <c r="B5619" t="inlineStr">
        <is>
          <t>avverkningsanmälan</t>
        </is>
      </c>
      <c r="C5619" t="inlineStr">
        <is>
          <t>Föryngringsavverkning</t>
        </is>
      </c>
      <c r="D5619" s="1" t="n">
        <v>46104</v>
      </c>
      <c r="E5619" s="1" t="n">
        <v>46326</v>
      </c>
      <c r="F5619" t="inlineStr">
        <is>
          <t>GÄVLEBORGS LÄN</t>
        </is>
      </c>
      <c r="G5619" t="inlineStr">
        <is>
          <t>OCKELBO</t>
        </is>
      </c>
      <c r="H5619" t="inlineStr">
        <is>
          <t>Bergvik skog väst AB</t>
        </is>
      </c>
      <c r="I5619" t="n">
        <v>1.1</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14939-2026</t>
        </is>
      </c>
      <c r="B5620" t="inlineStr">
        <is>
          <t>avverkningsanmälan</t>
        </is>
      </c>
      <c r="C5620" t="inlineStr">
        <is>
          <t>Föryngringsavverkning</t>
        </is>
      </c>
      <c r="D5620" s="1" t="n">
        <v>46104</v>
      </c>
      <c r="E5620" s="1" t="n">
        <v>46326</v>
      </c>
      <c r="F5620" t="inlineStr">
        <is>
          <t>GÄVLEBORGS LÄN</t>
        </is>
      </c>
      <c r="G5620" t="inlineStr">
        <is>
          <t>OVANÅKER</t>
        </is>
      </c>
      <c r="I5620" t="n">
        <v>1.7</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63459-2025</t>
        </is>
      </c>
      <c r="B5621" t="inlineStr">
        <is>
          <t>avverkningsanmälan</t>
        </is>
      </c>
      <c r="C5621" t="inlineStr">
        <is>
          <t>Föryngringsavverkning</t>
        </is>
      </c>
      <c r="D5621" s="1" t="n">
        <v>46013</v>
      </c>
      <c r="E5621" s="1" t="n">
        <v>46326</v>
      </c>
      <c r="F5621" t="inlineStr">
        <is>
          <t>GÄVLEBORGS LÄN</t>
        </is>
      </c>
      <c r="G5621" t="inlineStr">
        <is>
          <t>OCKELBO</t>
        </is>
      </c>
      <c r="H5621" t="inlineStr">
        <is>
          <t>Bergvik skog väst AB</t>
        </is>
      </c>
      <c r="I5621" t="n">
        <v>2.4</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14987-2026</t>
        </is>
      </c>
      <c r="B5622" t="inlineStr">
        <is>
          <t>avverkningsanmälan</t>
        </is>
      </c>
      <c r="C5622" t="inlineStr">
        <is>
          <t>Föryngringsavverkning</t>
        </is>
      </c>
      <c r="D5622" s="1" t="n">
        <v>46104</v>
      </c>
      <c r="E5622" s="1" t="n">
        <v>46326</v>
      </c>
      <c r="F5622" t="inlineStr">
        <is>
          <t>GÄVLEBORGS LÄN</t>
        </is>
      </c>
      <c r="G5622" t="inlineStr">
        <is>
          <t>BOLLNÄS</t>
        </is>
      </c>
      <c r="I5622" t="n">
        <v>1.2</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63464-2025</t>
        </is>
      </c>
      <c r="B5623" t="inlineStr">
        <is>
          <t>avverkningsanmälan</t>
        </is>
      </c>
      <c r="C5623" t="inlineStr">
        <is>
          <t>Föryngringsavverkning</t>
        </is>
      </c>
      <c r="D5623" s="1" t="n">
        <v>46013</v>
      </c>
      <c r="E5623" s="1" t="n">
        <v>46326</v>
      </c>
      <c r="F5623" t="inlineStr">
        <is>
          <t>GÄVLEBORGS LÄN</t>
        </is>
      </c>
      <c r="G5623" t="inlineStr">
        <is>
          <t>OCKELBO</t>
        </is>
      </c>
      <c r="H5623" t="inlineStr">
        <is>
          <t>Bergvik skog väst AB</t>
        </is>
      </c>
      <c r="I5623" t="n">
        <v>4.2</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63557-2025</t>
        </is>
      </c>
      <c r="B5624" t="inlineStr">
        <is>
          <t>avverkningsanmälan</t>
        </is>
      </c>
      <c r="C5624" t="inlineStr">
        <is>
          <t>Föryngringsavverkning</t>
        </is>
      </c>
      <c r="D5624" s="1" t="n">
        <v>46013</v>
      </c>
      <c r="E5624" s="1" t="n">
        <v>46326</v>
      </c>
      <c r="F5624" t="inlineStr">
        <is>
          <t>GÄVLEBORGS LÄN</t>
        </is>
      </c>
      <c r="G5624" t="inlineStr">
        <is>
          <t>HUDIKSVALL</t>
        </is>
      </c>
      <c r="I5624" t="n">
        <v>3</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A 13843-2025</t>
        </is>
      </c>
      <c r="B5625" t="inlineStr">
        <is>
          <t>avverkningsanmälan</t>
        </is>
      </c>
      <c r="C5625" t="inlineStr">
        <is>
          <t>Föryngringsavverkning</t>
        </is>
      </c>
      <c r="D5625" s="1" t="n">
        <v>45737</v>
      </c>
      <c r="E5625" s="1" t="n">
        <v>46326</v>
      </c>
      <c r="F5625" t="inlineStr">
        <is>
          <t>GÄVLEBORGS LÄN</t>
        </is>
      </c>
      <c r="G5625" t="inlineStr">
        <is>
          <t>LJUSDAL</t>
        </is>
      </c>
      <c r="I5625" t="n">
        <v>1.5</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14574-2025</t>
        </is>
      </c>
      <c r="B5626" t="inlineStr">
        <is>
          <t>avverkningsanmälan</t>
        </is>
      </c>
      <c r="C5626" t="inlineStr">
        <is>
          <t>Föryngringsavverkning</t>
        </is>
      </c>
      <c r="D5626" s="1" t="n">
        <v>45741</v>
      </c>
      <c r="E5626" s="1" t="n">
        <v>46326</v>
      </c>
      <c r="F5626" t="inlineStr">
        <is>
          <t>GÄVLEBORGS LÄN</t>
        </is>
      </c>
      <c r="G5626" t="inlineStr">
        <is>
          <t>OVANÅKER</t>
        </is>
      </c>
      <c r="I5626" t="n">
        <v>3.8</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63391-2025</t>
        </is>
      </c>
      <c r="B5627" t="inlineStr">
        <is>
          <t>avverkningsanmälan</t>
        </is>
      </c>
      <c r="C5627" t="inlineStr">
        <is>
          <t>Avverkning för annat ändamål</t>
        </is>
      </c>
      <c r="D5627" s="1" t="n">
        <v>46011</v>
      </c>
      <c r="E5627" s="1" t="n">
        <v>46326</v>
      </c>
      <c r="F5627" t="inlineStr">
        <is>
          <t>GÄVLEBORGS LÄN</t>
        </is>
      </c>
      <c r="G5627" t="inlineStr">
        <is>
          <t>LJUSDAL</t>
        </is>
      </c>
      <c r="I5627" t="n">
        <v>0.4</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14633-2026</t>
        </is>
      </c>
      <c r="B5628" t="inlineStr">
        <is>
          <t>avverkningsanmälan</t>
        </is>
      </c>
      <c r="C5628" t="inlineStr">
        <is>
          <t>Föryngringsavverkning</t>
        </is>
      </c>
      <c r="D5628" s="1" t="n">
        <v>46101</v>
      </c>
      <c r="E5628" s="1" t="n">
        <v>46326</v>
      </c>
      <c r="F5628" t="inlineStr">
        <is>
          <t>GÄVLEBORGS LÄN</t>
        </is>
      </c>
      <c r="G5628" t="inlineStr">
        <is>
          <t>BOLLNÄS</t>
        </is>
      </c>
      <c r="I5628" t="n">
        <v>2</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14700-2026</t>
        </is>
      </c>
      <c r="B5629" t="inlineStr">
        <is>
          <t>avverkningsanmälan</t>
        </is>
      </c>
      <c r="C5629" t="inlineStr">
        <is>
          <t>Föryngringsavverkning</t>
        </is>
      </c>
      <c r="D5629" s="1" t="n">
        <v>46101</v>
      </c>
      <c r="E5629" s="1" t="n">
        <v>46326</v>
      </c>
      <c r="F5629" t="inlineStr">
        <is>
          <t>GÄVLEBORGS LÄN</t>
        </is>
      </c>
      <c r="G5629" t="inlineStr">
        <is>
          <t>BOLLNÄS</t>
        </is>
      </c>
      <c r="H5629" t="inlineStr">
        <is>
          <t>Kommuner</t>
        </is>
      </c>
      <c r="I5629" t="n">
        <v>10.4</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1782-2023</t>
        </is>
      </c>
      <c r="B5630" t="inlineStr">
        <is>
          <t>avverkningsanmälan</t>
        </is>
      </c>
      <c r="C5630" t="inlineStr">
        <is>
          <t>Föryngringsavverkning</t>
        </is>
      </c>
      <c r="D5630" s="1" t="n">
        <v>44938</v>
      </c>
      <c r="E5630" s="1" t="n">
        <v>46326</v>
      </c>
      <c r="F5630" t="inlineStr">
        <is>
          <t>GÄVLEBORGS LÄN</t>
        </is>
      </c>
      <c r="G5630" t="inlineStr">
        <is>
          <t>SÖDERHAMN</t>
        </is>
      </c>
      <c r="I5630" t="n">
        <v>1.4</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63224-2025</t>
        </is>
      </c>
      <c r="B5631" t="inlineStr">
        <is>
          <t>avverkningsanmälan</t>
        </is>
      </c>
      <c r="C5631" t="inlineStr">
        <is>
          <t>Avverkning för annat ändamål</t>
        </is>
      </c>
      <c r="D5631" s="1" t="n">
        <v>46010</v>
      </c>
      <c r="E5631" s="1" t="n">
        <v>46326</v>
      </c>
      <c r="F5631" t="inlineStr">
        <is>
          <t>GÄVLEBORGS LÄN</t>
        </is>
      </c>
      <c r="G5631" t="inlineStr">
        <is>
          <t>OCKELBO</t>
        </is>
      </c>
      <c r="I5631" t="n">
        <v>1.2</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65195-2023</t>
        </is>
      </c>
      <c r="B5632" t="inlineStr">
        <is>
          <t>avverkningsanmälan</t>
        </is>
      </c>
      <c r="C5632" t="inlineStr">
        <is>
          <t>Föryngringsavverkning</t>
        </is>
      </c>
      <c r="D5632" s="1" t="n">
        <v>45289</v>
      </c>
      <c r="E5632" s="1" t="n">
        <v>46326</v>
      </c>
      <c r="F5632" t="inlineStr">
        <is>
          <t>GÄVLEBORGS LÄN</t>
        </is>
      </c>
      <c r="G5632" t="inlineStr">
        <is>
          <t>HUDIKSVALL</t>
        </is>
      </c>
      <c r="I5632" t="n">
        <v>1</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65259-2023</t>
        </is>
      </c>
      <c r="B5633" t="inlineStr">
        <is>
          <t>avverkningsanmälan</t>
        </is>
      </c>
      <c r="C5633" t="inlineStr">
        <is>
          <t>Föryngringsavverkning</t>
        </is>
      </c>
      <c r="D5633" s="1" t="n">
        <v>45291</v>
      </c>
      <c r="E5633" s="1" t="n">
        <v>46326</v>
      </c>
      <c r="F5633" t="inlineStr">
        <is>
          <t>GÄVLEBORGS LÄN</t>
        </is>
      </c>
      <c r="G5633" t="inlineStr">
        <is>
          <t>OCKELBO</t>
        </is>
      </c>
      <c r="I5633" t="n">
        <v>3.6</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51424-2024</t>
        </is>
      </c>
      <c r="B5634" t="inlineStr">
        <is>
          <t>avverkningsanmälan</t>
        </is>
      </c>
      <c r="C5634" t="inlineStr">
        <is>
          <t>Föryngringsavverkning</t>
        </is>
      </c>
      <c r="D5634" s="1" t="n">
        <v>45604</v>
      </c>
      <c r="E5634" s="1" t="n">
        <v>46326</v>
      </c>
      <c r="F5634" t="inlineStr">
        <is>
          <t>GÄVLEBORGS LÄN</t>
        </is>
      </c>
      <c r="G5634" t="inlineStr">
        <is>
          <t>HUDIKSVALL</t>
        </is>
      </c>
      <c r="I5634" t="n">
        <v>8.800000000000001</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14415-2022</t>
        </is>
      </c>
      <c r="B5635" t="inlineStr">
        <is>
          <t>avverkningsanmälan</t>
        </is>
      </c>
      <c r="C5635" t="inlineStr">
        <is>
          <t>Avverkning för annat ändamål</t>
        </is>
      </c>
      <c r="D5635" s="1" t="n">
        <v>44652</v>
      </c>
      <c r="E5635" s="1" t="n">
        <v>46326</v>
      </c>
      <c r="F5635" t="inlineStr">
        <is>
          <t>GÄVLEBORGS LÄN</t>
        </is>
      </c>
      <c r="G5635" t="inlineStr">
        <is>
          <t>NORDANSTIG</t>
        </is>
      </c>
      <c r="I5635" t="n">
        <v>0.6</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31084-2024</t>
        </is>
      </c>
      <c r="B5636" t="inlineStr">
        <is>
          <t>avverkningsanmälan</t>
        </is>
      </c>
      <c r="C5636" t="inlineStr">
        <is>
          <t>Föryngringsavverkning</t>
        </is>
      </c>
      <c r="D5636" s="1" t="n">
        <v>45502</v>
      </c>
      <c r="E5636" s="1" t="n">
        <v>46326</v>
      </c>
      <c r="F5636" t="inlineStr">
        <is>
          <t>GÄVLEBORGS LÄN</t>
        </is>
      </c>
      <c r="G5636" t="inlineStr">
        <is>
          <t>OVANÅKER</t>
        </is>
      </c>
      <c r="H5636" t="inlineStr">
        <is>
          <t>Bergvik skog öst AB</t>
        </is>
      </c>
      <c r="I5636" t="n">
        <v>6.7</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51541-2025</t>
        </is>
      </c>
      <c r="B5637" t="inlineStr">
        <is>
          <t>avverkningsanmälan</t>
        </is>
      </c>
      <c r="C5637" t="inlineStr">
        <is>
          <t>Föryngringsavverkning</t>
        </is>
      </c>
      <c r="D5637" s="1" t="n">
        <v>45950</v>
      </c>
      <c r="E5637" s="1" t="n">
        <v>46326</v>
      </c>
      <c r="F5637" t="inlineStr">
        <is>
          <t>GÄVLEBORGS LÄN</t>
        </is>
      </c>
      <c r="G5637" t="inlineStr">
        <is>
          <t>NORDANSTIG</t>
        </is>
      </c>
      <c r="H5637" t="inlineStr">
        <is>
          <t>Holmen skog AB</t>
        </is>
      </c>
      <c r="I5637" t="n">
        <v>3.3</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63640-2025</t>
        </is>
      </c>
      <c r="B5638" t="inlineStr">
        <is>
          <t>avverkningsanmälan</t>
        </is>
      </c>
      <c r="C5638" t="inlineStr">
        <is>
          <t>Föryngringsavverkning</t>
        </is>
      </c>
      <c r="D5638" s="1" t="n">
        <v>46014</v>
      </c>
      <c r="E5638" s="1" t="n">
        <v>46326</v>
      </c>
      <c r="F5638" t="inlineStr">
        <is>
          <t>GÄVLEBORGS LÄN</t>
        </is>
      </c>
      <c r="G5638" t="inlineStr">
        <is>
          <t>LJUSDAL</t>
        </is>
      </c>
      <c r="H5638" t="inlineStr">
        <is>
          <t>SCA</t>
        </is>
      </c>
      <c r="I5638" t="n">
        <v>8.300000000000001</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14766-2026</t>
        </is>
      </c>
      <c r="B5639" t="inlineStr">
        <is>
          <t>avverkningsanmälan</t>
        </is>
      </c>
      <c r="C5639" t="inlineStr">
        <is>
          <t>Föryngringsavverkning</t>
        </is>
      </c>
      <c r="D5639" s="1" t="n">
        <v>46101</v>
      </c>
      <c r="E5639" s="1" t="n">
        <v>46326</v>
      </c>
      <c r="F5639" t="inlineStr">
        <is>
          <t>GÄVLEBORGS LÄN</t>
        </is>
      </c>
      <c r="G5639" t="inlineStr">
        <is>
          <t>BOLLNÄS</t>
        </is>
      </c>
      <c r="I5639" t="n">
        <v>0.8</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469-2024</t>
        </is>
      </c>
      <c r="B5640" t="inlineStr">
        <is>
          <t>avverkningsanmälan</t>
        </is>
      </c>
      <c r="C5640" t="inlineStr">
        <is>
          <t>Föryngringsavverkning</t>
        </is>
      </c>
      <c r="D5640" s="1" t="n">
        <v>45297</v>
      </c>
      <c r="E5640" s="1" t="n">
        <v>46326</v>
      </c>
      <c r="F5640" t="inlineStr">
        <is>
          <t>GÄVLEBORGS LÄN</t>
        </is>
      </c>
      <c r="G5640" t="inlineStr">
        <is>
          <t>NORDANSTIG</t>
        </is>
      </c>
      <c r="H5640" t="inlineStr">
        <is>
          <t>Holmen skog AB</t>
        </is>
      </c>
      <c r="I5640" t="n">
        <v>4.4</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57196-2025</t>
        </is>
      </c>
      <c r="B5641" t="inlineStr">
        <is>
          <t>avverkningsanmälan</t>
        </is>
      </c>
      <c r="C5641" t="inlineStr">
        <is>
          <t>Föryngringsavverkning</t>
        </is>
      </c>
      <c r="D5641" s="1" t="n">
        <v>45979</v>
      </c>
      <c r="E5641" s="1" t="n">
        <v>46326</v>
      </c>
      <c r="F5641" t="inlineStr">
        <is>
          <t>GÄVLEBORGS LÄN</t>
        </is>
      </c>
      <c r="G5641" t="inlineStr">
        <is>
          <t>BOLLNÄS</t>
        </is>
      </c>
      <c r="I5641" t="n">
        <v>1.6</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63583-2025</t>
        </is>
      </c>
      <c r="B5642" t="inlineStr">
        <is>
          <t>avverkningsanmälan</t>
        </is>
      </c>
      <c r="C5642" t="inlineStr">
        <is>
          <t>Avverkning för annat ändamål</t>
        </is>
      </c>
      <c r="D5642" s="1" t="n">
        <v>46013</v>
      </c>
      <c r="E5642" s="1" t="n">
        <v>46326</v>
      </c>
      <c r="F5642" t="inlineStr">
        <is>
          <t>GÄVLEBORGS LÄN</t>
        </is>
      </c>
      <c r="G5642" t="inlineStr">
        <is>
          <t>LJUSDAL</t>
        </is>
      </c>
      <c r="I5642" t="n">
        <v>0.7</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14973-2026</t>
        </is>
      </c>
      <c r="B5643" t="inlineStr">
        <is>
          <t>avverkningsanmälan</t>
        </is>
      </c>
      <c r="C5643" t="inlineStr">
        <is>
          <t>Föryngringsavverkning</t>
        </is>
      </c>
      <c r="D5643" s="1" t="n">
        <v>46104</v>
      </c>
      <c r="E5643" s="1" t="n">
        <v>46326</v>
      </c>
      <c r="F5643" t="inlineStr">
        <is>
          <t>GÄVLEBORGS LÄN</t>
        </is>
      </c>
      <c r="G5643" t="inlineStr">
        <is>
          <t>OCKELBO</t>
        </is>
      </c>
      <c r="I5643" t="n">
        <v>0.9</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15024-2026</t>
        </is>
      </c>
      <c r="B5644" t="inlineStr">
        <is>
          <t>avverkningsanmälan</t>
        </is>
      </c>
      <c r="C5644" t="inlineStr">
        <is>
          <t>Föryngringsavverkning</t>
        </is>
      </c>
      <c r="D5644" s="1" t="n">
        <v>46104</v>
      </c>
      <c r="E5644" s="1" t="n">
        <v>46326</v>
      </c>
      <c r="F5644" t="inlineStr">
        <is>
          <t>GÄVLEBORGS LÄN</t>
        </is>
      </c>
      <c r="G5644" t="inlineStr">
        <is>
          <t>SÖDERHAMN</t>
        </is>
      </c>
      <c r="I5644" t="n">
        <v>2.6</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56281-2024</t>
        </is>
      </c>
      <c r="B5645" t="inlineStr">
        <is>
          <t>avverkningsanmälan</t>
        </is>
      </c>
      <c r="C5645" t="inlineStr">
        <is>
          <t>Föryngringsavverkning</t>
        </is>
      </c>
      <c r="D5645" s="1" t="n">
        <v>45624</v>
      </c>
      <c r="E5645" s="1" t="n">
        <v>46326</v>
      </c>
      <c r="F5645" t="inlineStr">
        <is>
          <t>GÄVLEBORGS LÄN</t>
        </is>
      </c>
      <c r="G5645" t="inlineStr">
        <is>
          <t>NORDANSTIG</t>
        </is>
      </c>
      <c r="I5645" t="n">
        <v>1.8</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63688-2025</t>
        </is>
      </c>
      <c r="B5646" t="inlineStr">
        <is>
          <t>avverkningsanmälan</t>
        </is>
      </c>
      <c r="C5646" t="inlineStr">
        <is>
          <t>Föryngringsavverkning</t>
        </is>
      </c>
      <c r="D5646" s="1" t="n">
        <v>46014</v>
      </c>
      <c r="E5646" s="1" t="n">
        <v>46326</v>
      </c>
      <c r="F5646" t="inlineStr">
        <is>
          <t>GÄVLEBORGS LÄN</t>
        </is>
      </c>
      <c r="G5646" t="inlineStr">
        <is>
          <t>OVANÅKER</t>
        </is>
      </c>
      <c r="I5646" t="n">
        <v>1.2</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63691-2025</t>
        </is>
      </c>
      <c r="B5647" t="inlineStr">
        <is>
          <t>avverkningsanmälan</t>
        </is>
      </c>
      <c r="C5647" t="inlineStr">
        <is>
          <t>Föryngringsavverkning</t>
        </is>
      </c>
      <c r="D5647" s="1" t="n">
        <v>46014</v>
      </c>
      <c r="E5647" s="1" t="n">
        <v>46326</v>
      </c>
      <c r="F5647" t="inlineStr">
        <is>
          <t>GÄVLEBORGS LÄN</t>
        </is>
      </c>
      <c r="G5647" t="inlineStr">
        <is>
          <t>OVANÅKER</t>
        </is>
      </c>
      <c r="I5647" t="n">
        <v>0.9</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56352-2024</t>
        </is>
      </c>
      <c r="B5648" t="inlineStr">
        <is>
          <t>avverkningsanmälan</t>
        </is>
      </c>
      <c r="C5648" t="inlineStr">
        <is>
          <t>Föryngringsavverkning</t>
        </is>
      </c>
      <c r="D5648" s="1" t="n">
        <v>45624</v>
      </c>
      <c r="E5648" s="1" t="n">
        <v>46326</v>
      </c>
      <c r="F5648" t="inlineStr">
        <is>
          <t>GÄVLEBORGS LÄN</t>
        </is>
      </c>
      <c r="G5648" t="inlineStr">
        <is>
          <t>OCKELBO</t>
        </is>
      </c>
      <c r="H5648" t="inlineStr">
        <is>
          <t>Bergvik skog väst AB</t>
        </is>
      </c>
      <c r="I5648" t="n">
        <v>4.6</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59822-2024</t>
        </is>
      </c>
      <c r="B5649" t="inlineStr">
        <is>
          <t>avverkningsanmälan</t>
        </is>
      </c>
      <c r="C5649" t="inlineStr">
        <is>
          <t>Föryngringsavverkning</t>
        </is>
      </c>
      <c r="D5649" s="1" t="n">
        <v>45639</v>
      </c>
      <c r="E5649" s="1" t="n">
        <v>46326</v>
      </c>
      <c r="F5649" t="inlineStr">
        <is>
          <t>GÄVLEBORGS LÄN</t>
        </is>
      </c>
      <c r="G5649" t="inlineStr">
        <is>
          <t>HUDIKSVALL</t>
        </is>
      </c>
      <c r="I5649" t="n">
        <v>1.2</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45241-2024</t>
        </is>
      </c>
      <c r="B5650" t="inlineStr">
        <is>
          <t>avverkningsanmälan</t>
        </is>
      </c>
      <c r="C5650" t="inlineStr">
        <is>
          <t>Föryngringsavverkning</t>
        </is>
      </c>
      <c r="D5650" s="1" t="n">
        <v>45575</v>
      </c>
      <c r="E5650" s="1" t="n">
        <v>46326</v>
      </c>
      <c r="F5650" t="inlineStr">
        <is>
          <t>GÄVLEBORGS LÄN</t>
        </is>
      </c>
      <c r="G5650" t="inlineStr">
        <is>
          <t>LJUSDAL</t>
        </is>
      </c>
      <c r="H5650" t="inlineStr">
        <is>
          <t>Sveaskog</t>
        </is>
      </c>
      <c r="I5650" t="n">
        <v>14.4</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63653-2025</t>
        </is>
      </c>
      <c r="B5651" t="inlineStr">
        <is>
          <t>avverkningsanmälan</t>
        </is>
      </c>
      <c r="C5651" t="inlineStr">
        <is>
          <t>Föryngringsavverkning</t>
        </is>
      </c>
      <c r="D5651" s="1" t="n">
        <v>46014</v>
      </c>
      <c r="E5651" s="1" t="n">
        <v>46326</v>
      </c>
      <c r="F5651" t="inlineStr">
        <is>
          <t>GÄVLEBORGS LÄN</t>
        </is>
      </c>
      <c r="G5651" t="inlineStr">
        <is>
          <t>LJUSDAL</t>
        </is>
      </c>
      <c r="I5651" t="n">
        <v>3.7</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15037-2026</t>
        </is>
      </c>
      <c r="B5652" t="inlineStr">
        <is>
          <t>avverkningsanmälan</t>
        </is>
      </c>
      <c r="C5652" t="inlineStr">
        <is>
          <t>Föryngringsavverkning</t>
        </is>
      </c>
      <c r="D5652" s="1" t="n">
        <v>46104</v>
      </c>
      <c r="E5652" s="1" t="n">
        <v>46326</v>
      </c>
      <c r="F5652" t="inlineStr">
        <is>
          <t>GÄVLEBORGS LÄN</t>
        </is>
      </c>
      <c r="G5652" t="inlineStr">
        <is>
          <t>BOLLNÄS</t>
        </is>
      </c>
      <c r="I5652" t="n">
        <v>7.1</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14871-2026</t>
        </is>
      </c>
      <c r="B5653" t="inlineStr">
        <is>
          <t>avverkningsanmälan</t>
        </is>
      </c>
      <c r="C5653" t="inlineStr">
        <is>
          <t>Föryngringsavverkning</t>
        </is>
      </c>
      <c r="D5653" s="1" t="n">
        <v>46104</v>
      </c>
      <c r="E5653" s="1" t="n">
        <v>46326</v>
      </c>
      <c r="F5653" t="inlineStr">
        <is>
          <t>GÄVLEBORGS LÄN</t>
        </is>
      </c>
      <c r="G5653" t="inlineStr">
        <is>
          <t>BOLLNÄS</t>
        </is>
      </c>
      <c r="I5653" t="n">
        <v>0.5</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14685-2026</t>
        </is>
      </c>
      <c r="B5654" t="inlineStr">
        <is>
          <t>avverkningsanmälan</t>
        </is>
      </c>
      <c r="C5654" t="inlineStr">
        <is>
          <t>Föryngringsavverkning</t>
        </is>
      </c>
      <c r="D5654" s="1" t="n">
        <v>46101</v>
      </c>
      <c r="E5654" s="1" t="n">
        <v>46326</v>
      </c>
      <c r="F5654" t="inlineStr">
        <is>
          <t>GÄVLEBORGS LÄN</t>
        </is>
      </c>
      <c r="G5654" t="inlineStr">
        <is>
          <t>HUDIKSVALL</t>
        </is>
      </c>
      <c r="I5654" t="n">
        <v>7.1</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14059-2025</t>
        </is>
      </c>
      <c r="B5655" t="inlineStr">
        <is>
          <t>avverkningsanmälan</t>
        </is>
      </c>
      <c r="C5655" t="inlineStr">
        <is>
          <t>Avverkning för annat ändamål</t>
        </is>
      </c>
      <c r="D5655" s="1" t="n">
        <v>45740</v>
      </c>
      <c r="E5655" s="1" t="n">
        <v>46326</v>
      </c>
      <c r="F5655" t="inlineStr">
        <is>
          <t>GÄVLEBORGS LÄN</t>
        </is>
      </c>
      <c r="G5655" t="inlineStr">
        <is>
          <t>HUDIKSVALL</t>
        </is>
      </c>
      <c r="I5655" t="n">
        <v>0.7</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63649-2025</t>
        </is>
      </c>
      <c r="B5656" t="inlineStr">
        <is>
          <t>avverkningsanmälan</t>
        </is>
      </c>
      <c r="C5656" t="inlineStr">
        <is>
          <t>Föryngringsavverkning</t>
        </is>
      </c>
      <c r="D5656" s="1" t="n">
        <v>46014</v>
      </c>
      <c r="E5656" s="1" t="n">
        <v>46326</v>
      </c>
      <c r="F5656" t="inlineStr">
        <is>
          <t>GÄVLEBORGS LÄN</t>
        </is>
      </c>
      <c r="G5656" t="inlineStr">
        <is>
          <t>LJUSDAL</t>
        </is>
      </c>
      <c r="I5656" t="n">
        <v>3.6</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14583-2026</t>
        </is>
      </c>
      <c r="B5657" t="inlineStr">
        <is>
          <t>avverkningsanmälan</t>
        </is>
      </c>
      <c r="C5657" t="inlineStr">
        <is>
          <t>Föryngringsavverkning</t>
        </is>
      </c>
      <c r="D5657" s="1" t="n">
        <v>46101</v>
      </c>
      <c r="E5657" s="1" t="n">
        <v>46326</v>
      </c>
      <c r="F5657" t="inlineStr">
        <is>
          <t>GÄVLEBORGS LÄN</t>
        </is>
      </c>
      <c r="G5657" t="inlineStr">
        <is>
          <t>GÄVLE</t>
        </is>
      </c>
      <c r="H5657" t="inlineStr">
        <is>
          <t>Bergvik skog väst AB</t>
        </is>
      </c>
      <c r="I5657" t="n">
        <v>0.6</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14593-2026</t>
        </is>
      </c>
      <c r="B5658" t="inlineStr">
        <is>
          <t>avverkningsanmälan</t>
        </is>
      </c>
      <c r="C5658" t="inlineStr">
        <is>
          <t>Föryngringsavverkning</t>
        </is>
      </c>
      <c r="D5658" s="1" t="n">
        <v>46101</v>
      </c>
      <c r="E5658" s="1" t="n">
        <v>46326</v>
      </c>
      <c r="F5658" t="inlineStr">
        <is>
          <t>GÄVLEBORGS LÄN</t>
        </is>
      </c>
      <c r="G5658" t="inlineStr">
        <is>
          <t>HUDIKSVALL</t>
        </is>
      </c>
      <c r="I5658" t="n">
        <v>3.4</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14630-2026</t>
        </is>
      </c>
      <c r="B5659" t="inlineStr">
        <is>
          <t>avverkningsanmälan</t>
        </is>
      </c>
      <c r="C5659" t="inlineStr">
        <is>
          <t>Föryngringsavverkning</t>
        </is>
      </c>
      <c r="D5659" s="1" t="n">
        <v>46101</v>
      </c>
      <c r="E5659" s="1" t="n">
        <v>46326</v>
      </c>
      <c r="F5659" t="inlineStr">
        <is>
          <t>GÄVLEBORGS LÄN</t>
        </is>
      </c>
      <c r="G5659" t="inlineStr">
        <is>
          <t>BOLLNÄS</t>
        </is>
      </c>
      <c r="I5659" t="n">
        <v>1.1</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63650-2025</t>
        </is>
      </c>
      <c r="B5660" t="inlineStr">
        <is>
          <t>avverkningsanmälan</t>
        </is>
      </c>
      <c r="C5660" t="inlineStr">
        <is>
          <t>Föryngringsavverkning</t>
        </is>
      </c>
      <c r="D5660" s="1" t="n">
        <v>46014</v>
      </c>
      <c r="E5660" s="1" t="n">
        <v>46326</v>
      </c>
      <c r="F5660" t="inlineStr">
        <is>
          <t>GÄVLEBORGS LÄN</t>
        </is>
      </c>
      <c r="G5660" t="inlineStr">
        <is>
          <t>LJUSDAL</t>
        </is>
      </c>
      <c r="I5660" t="n">
        <v>9</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15043-2026</t>
        </is>
      </c>
      <c r="B5661" t="inlineStr">
        <is>
          <t>avverkningsanmälan</t>
        </is>
      </c>
      <c r="C5661" t="inlineStr">
        <is>
          <t>Föryngringsavverkning</t>
        </is>
      </c>
      <c r="D5661" s="1" t="n">
        <v>46104</v>
      </c>
      <c r="E5661" s="1" t="n">
        <v>46326</v>
      </c>
      <c r="F5661" t="inlineStr">
        <is>
          <t>GÄVLEBORGS LÄN</t>
        </is>
      </c>
      <c r="G5661" t="inlineStr">
        <is>
          <t>OCKELBO</t>
        </is>
      </c>
      <c r="H5661" t="inlineStr">
        <is>
          <t>Bergvik skog väst AB</t>
        </is>
      </c>
      <c r="I5661" t="n">
        <v>7</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14684-2026</t>
        </is>
      </c>
      <c r="B5662" t="inlineStr">
        <is>
          <t>avverkningsanmälan</t>
        </is>
      </c>
      <c r="C5662" t="inlineStr">
        <is>
          <t>Föryngringsavverkning</t>
        </is>
      </c>
      <c r="D5662" s="1" t="n">
        <v>46101</v>
      </c>
      <c r="E5662" s="1" t="n">
        <v>46326</v>
      </c>
      <c r="F5662" t="inlineStr">
        <is>
          <t>GÄVLEBORGS LÄN</t>
        </is>
      </c>
      <c r="G5662" t="inlineStr">
        <is>
          <t>OCKELBO</t>
        </is>
      </c>
      <c r="H5662" t="inlineStr">
        <is>
          <t>Bergvik skog väst AB</t>
        </is>
      </c>
      <c r="I5662" t="n">
        <v>2.4</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15046-2026</t>
        </is>
      </c>
      <c r="B5663" t="inlineStr">
        <is>
          <t>avverkningsanmälan</t>
        </is>
      </c>
      <c r="C5663" t="inlineStr">
        <is>
          <t>Föryngringsavverkning</t>
        </is>
      </c>
      <c r="D5663" s="1" t="n">
        <v>46104</v>
      </c>
      <c r="E5663" s="1" t="n">
        <v>46326</v>
      </c>
      <c r="F5663" t="inlineStr">
        <is>
          <t>GÄVLEBORGS LÄN</t>
        </is>
      </c>
      <c r="G5663" t="inlineStr">
        <is>
          <t>GÄVLE</t>
        </is>
      </c>
      <c r="I5663" t="n">
        <v>2.3</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63017-2025</t>
        </is>
      </c>
      <c r="B5664" t="inlineStr">
        <is>
          <t>avverkningsanmälan</t>
        </is>
      </c>
      <c r="C5664" t="inlineStr">
        <is>
          <t>Föryngringsavverkning</t>
        </is>
      </c>
      <c r="D5664" s="1" t="n">
        <v>46009</v>
      </c>
      <c r="E5664" s="1" t="n">
        <v>46326</v>
      </c>
      <c r="F5664" t="inlineStr">
        <is>
          <t>GÄVLEBORGS LÄN</t>
        </is>
      </c>
      <c r="G5664" t="inlineStr">
        <is>
          <t>OCKELBO</t>
        </is>
      </c>
      <c r="H5664" t="inlineStr">
        <is>
          <t>Bergvik skog väst AB</t>
        </is>
      </c>
      <c r="I5664" t="n">
        <v>2</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63690-2025</t>
        </is>
      </c>
      <c r="B5665" t="inlineStr">
        <is>
          <t>avverkningsanmälan</t>
        </is>
      </c>
      <c r="C5665" t="inlineStr">
        <is>
          <t>Föryngringsavverkning</t>
        </is>
      </c>
      <c r="D5665" s="1" t="n">
        <v>46014</v>
      </c>
      <c r="E5665" s="1" t="n">
        <v>46326</v>
      </c>
      <c r="F5665" t="inlineStr">
        <is>
          <t>GÄVLEBORGS LÄN</t>
        </is>
      </c>
      <c r="G5665" t="inlineStr">
        <is>
          <t>OVANÅKER</t>
        </is>
      </c>
      <c r="I5665" t="n">
        <v>0.9</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14976-2026</t>
        </is>
      </c>
      <c r="B5666" t="inlineStr">
        <is>
          <t>avverkningsanmälan</t>
        </is>
      </c>
      <c r="C5666" t="inlineStr">
        <is>
          <t>Föryngringsavverkning</t>
        </is>
      </c>
      <c r="D5666" s="1" t="n">
        <v>46104</v>
      </c>
      <c r="E5666" s="1" t="n">
        <v>46326</v>
      </c>
      <c r="F5666" t="inlineStr">
        <is>
          <t>GÄVLEBORGS LÄN</t>
        </is>
      </c>
      <c r="G5666" t="inlineStr">
        <is>
          <t>LJUSDAL</t>
        </is>
      </c>
      <c r="I5666" t="n">
        <v>0.5</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29205-2023</t>
        </is>
      </c>
      <c r="B5667" t="inlineStr">
        <is>
          <t>avverkningsanmälan</t>
        </is>
      </c>
      <c r="C5667" t="inlineStr">
        <is>
          <t>Föryngringsavverkning</t>
        </is>
      </c>
      <c r="D5667" s="1" t="n">
        <v>45105</v>
      </c>
      <c r="E5667" s="1" t="n">
        <v>46326</v>
      </c>
      <c r="F5667" t="inlineStr">
        <is>
          <t>GÄVLEBORGS LÄN</t>
        </is>
      </c>
      <c r="G5667" t="inlineStr">
        <is>
          <t>LJUSDAL</t>
        </is>
      </c>
      <c r="I5667" t="n">
        <v>0.9</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9852-2026</t>
        </is>
      </c>
      <c r="B5668" t="inlineStr">
        <is>
          <t>avverkningsanmälan</t>
        </is>
      </c>
      <c r="C5668" t="inlineStr">
        <is>
          <t>Föryngringsavverkning</t>
        </is>
      </c>
      <c r="D5668" s="1" t="n">
        <v>46072</v>
      </c>
      <c r="E5668" s="1" t="n">
        <v>46326</v>
      </c>
      <c r="F5668" t="inlineStr">
        <is>
          <t>GÄVLEBORGS LÄN</t>
        </is>
      </c>
      <c r="G5668" t="inlineStr">
        <is>
          <t>HUDIKSVALL</t>
        </is>
      </c>
      <c r="I5668" t="n">
        <v>0.5</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14803-2026</t>
        </is>
      </c>
      <c r="B5669" t="inlineStr">
        <is>
          <t>avverkningsanmälan</t>
        </is>
      </c>
      <c r="C5669" t="inlineStr">
        <is>
          <t>Föryngringsavverkning</t>
        </is>
      </c>
      <c r="D5669" s="1" t="n">
        <v>46103</v>
      </c>
      <c r="E5669" s="1" t="n">
        <v>46326</v>
      </c>
      <c r="F5669" t="inlineStr">
        <is>
          <t>GÄVLEBORGS LÄN</t>
        </is>
      </c>
      <c r="G5669" t="inlineStr">
        <is>
          <t>HUDIKSVALL</t>
        </is>
      </c>
      <c r="H5669" t="inlineStr">
        <is>
          <t>Holmen skog AB</t>
        </is>
      </c>
      <c r="I5669" t="n">
        <v>8.9</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14678-2026</t>
        </is>
      </c>
      <c r="B5670" t="inlineStr">
        <is>
          <t>avverkningsanmälan</t>
        </is>
      </c>
      <c r="C5670" t="inlineStr">
        <is>
          <t>Föryngringsavverkning</t>
        </is>
      </c>
      <c r="D5670" s="1" t="n">
        <v>46101</v>
      </c>
      <c r="E5670" s="1" t="n">
        <v>46326</v>
      </c>
      <c r="F5670" t="inlineStr">
        <is>
          <t>GÄVLEBORGS LÄN</t>
        </is>
      </c>
      <c r="G5670" t="inlineStr">
        <is>
          <t>BOLLNÄS</t>
        </is>
      </c>
      <c r="H5670" t="inlineStr">
        <is>
          <t>Kommuner</t>
        </is>
      </c>
      <c r="I5670" t="n">
        <v>23.7</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63616-2025</t>
        </is>
      </c>
      <c r="B5671" t="inlineStr">
        <is>
          <t>avverkningsanmälan</t>
        </is>
      </c>
      <c r="C5671" t="inlineStr">
        <is>
          <t>Föryngringsavverkning</t>
        </is>
      </c>
      <c r="D5671" s="1" t="n">
        <v>46014</v>
      </c>
      <c r="E5671" s="1" t="n">
        <v>46326</v>
      </c>
      <c r="F5671" t="inlineStr">
        <is>
          <t>GÄVLEBORGS LÄN</t>
        </is>
      </c>
      <c r="G5671" t="inlineStr">
        <is>
          <t>OCKELBO</t>
        </is>
      </c>
      <c r="I5671" t="n">
        <v>1.2</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26126-2023</t>
        </is>
      </c>
      <c r="B5672" t="inlineStr">
        <is>
          <t>avverkningsanmälan</t>
        </is>
      </c>
      <c r="C5672" t="inlineStr">
        <is>
          <t>Föryngringsavverkning</t>
        </is>
      </c>
      <c r="D5672" s="1" t="n">
        <v>45091</v>
      </c>
      <c r="E5672" s="1" t="n">
        <v>46326</v>
      </c>
      <c r="F5672" t="inlineStr">
        <is>
          <t>GÄVLEBORGS LÄN</t>
        </is>
      </c>
      <c r="G5672" t="inlineStr">
        <is>
          <t>BOLLNÄS</t>
        </is>
      </c>
      <c r="I5672" t="n">
        <v>1.7</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50769-2023</t>
        </is>
      </c>
      <c r="B5673" t="inlineStr">
        <is>
          <t>avverkningsanmälan</t>
        </is>
      </c>
      <c r="C5673" t="inlineStr">
        <is>
          <t>Föryngringsavverkning</t>
        </is>
      </c>
      <c r="D5673" s="1" t="n">
        <v>45217</v>
      </c>
      <c r="E5673" s="1" t="n">
        <v>46326</v>
      </c>
      <c r="F5673" t="inlineStr">
        <is>
          <t>GÄVLEBORGS LÄN</t>
        </is>
      </c>
      <c r="G5673" t="inlineStr">
        <is>
          <t>OVANÅKER</t>
        </is>
      </c>
      <c r="I5673" t="n">
        <v>1.6</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43930-2023</t>
        </is>
      </c>
      <c r="B5674" t="inlineStr">
        <is>
          <t>avverkningsanmälan</t>
        </is>
      </c>
      <c r="C5674" t="inlineStr">
        <is>
          <t>Föryngringsavverkning</t>
        </is>
      </c>
      <c r="D5674" s="1" t="n">
        <v>45187</v>
      </c>
      <c r="E5674" s="1" t="n">
        <v>46326</v>
      </c>
      <c r="F5674" t="inlineStr">
        <is>
          <t>GÄVLEBORGS LÄN</t>
        </is>
      </c>
      <c r="G5674" t="inlineStr">
        <is>
          <t>HUDIKSVALL</t>
        </is>
      </c>
      <c r="I5674" t="n">
        <v>0.5</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15029-2026</t>
        </is>
      </c>
      <c r="B5675" t="inlineStr">
        <is>
          <t>avverkningsanmälan</t>
        </is>
      </c>
      <c r="C5675" t="inlineStr">
        <is>
          <t>Föryngringsavverkning</t>
        </is>
      </c>
      <c r="D5675" s="1" t="n">
        <v>46104</v>
      </c>
      <c r="E5675" s="1" t="n">
        <v>46326</v>
      </c>
      <c r="F5675" t="inlineStr">
        <is>
          <t>GÄVLEBORGS LÄN</t>
        </is>
      </c>
      <c r="G5675" t="inlineStr">
        <is>
          <t>OCKELBO</t>
        </is>
      </c>
      <c r="H5675" t="inlineStr">
        <is>
          <t>Bergvik skog väst AB</t>
        </is>
      </c>
      <c r="I5675" t="n">
        <v>34.1</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14719-2026</t>
        </is>
      </c>
      <c r="B5676" t="inlineStr">
        <is>
          <t>avverkningsanmälan</t>
        </is>
      </c>
      <c r="C5676" t="inlineStr">
        <is>
          <t>Föryngringsavverkning</t>
        </is>
      </c>
      <c r="D5676" s="1" t="n">
        <v>46101</v>
      </c>
      <c r="E5676" s="1" t="n">
        <v>46326</v>
      </c>
      <c r="F5676" t="inlineStr">
        <is>
          <t>GÄVLEBORGS LÄN</t>
        </is>
      </c>
      <c r="G5676" t="inlineStr">
        <is>
          <t>OVANÅKER</t>
        </is>
      </c>
      <c r="I5676" t="n">
        <v>2.2</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A 12216-2025</t>
        </is>
      </c>
      <c r="B5677" t="inlineStr">
        <is>
          <t>avverkningsanmälan</t>
        </is>
      </c>
      <c r="C5677" t="inlineStr">
        <is>
          <t>Föryngringsavverkning</t>
        </is>
      </c>
      <c r="D5677" s="1" t="n">
        <v>45729</v>
      </c>
      <c r="E5677" s="1" t="n">
        <v>46326</v>
      </c>
      <c r="F5677" t="inlineStr">
        <is>
          <t>GÄVLEBORGS LÄN</t>
        </is>
      </c>
      <c r="G5677" t="inlineStr">
        <is>
          <t>NORDANSTIG</t>
        </is>
      </c>
      <c r="I5677" t="n">
        <v>3.3</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14961-2025</t>
        </is>
      </c>
      <c r="B5678" t="inlineStr">
        <is>
          <t>avverkningsanmälan</t>
        </is>
      </c>
      <c r="C5678" t="inlineStr">
        <is>
          <t>Föryngringsavverkning</t>
        </is>
      </c>
      <c r="D5678" s="1" t="n">
        <v>45743</v>
      </c>
      <c r="E5678" s="1" t="n">
        <v>46326</v>
      </c>
      <c r="F5678" t="inlineStr">
        <is>
          <t>GÄVLEBORGS LÄN</t>
        </is>
      </c>
      <c r="G5678" t="inlineStr">
        <is>
          <t>NORDANSTIG</t>
        </is>
      </c>
      <c r="H5678" t="inlineStr">
        <is>
          <t>Holmen skog AB</t>
        </is>
      </c>
      <c r="I5678" t="n">
        <v>2</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14764-2026</t>
        </is>
      </c>
      <c r="B5679" t="inlineStr">
        <is>
          <t>avverkningsanmälan</t>
        </is>
      </c>
      <c r="C5679" t="inlineStr">
        <is>
          <t>Föryngringsavverkning</t>
        </is>
      </c>
      <c r="D5679" s="1" t="n">
        <v>46101</v>
      </c>
      <c r="E5679" s="1" t="n">
        <v>46326</v>
      </c>
      <c r="F5679" t="inlineStr">
        <is>
          <t>GÄVLEBORGS LÄN</t>
        </is>
      </c>
      <c r="G5679" t="inlineStr">
        <is>
          <t>BOLLNÄS</t>
        </is>
      </c>
      <c r="I5679" t="n">
        <v>1.1</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14784-2026</t>
        </is>
      </c>
      <c r="B5680" t="inlineStr">
        <is>
          <t>avverkningsanmälan</t>
        </is>
      </c>
      <c r="C5680" t="inlineStr">
        <is>
          <t>Föryngringsavverkning</t>
        </is>
      </c>
      <c r="D5680" s="1" t="n">
        <v>46101</v>
      </c>
      <c r="E5680" s="1" t="n">
        <v>46326</v>
      </c>
      <c r="F5680" t="inlineStr">
        <is>
          <t>GÄVLEBORGS LÄN</t>
        </is>
      </c>
      <c r="G5680" t="inlineStr">
        <is>
          <t>BOLLNÄS</t>
        </is>
      </c>
      <c r="I5680" t="n">
        <v>1.7</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14804-2026</t>
        </is>
      </c>
      <c r="B5681" t="inlineStr">
        <is>
          <t>avverkningsanmälan</t>
        </is>
      </c>
      <c r="C5681" t="inlineStr">
        <is>
          <t>Föryngringsavverkning</t>
        </is>
      </c>
      <c r="D5681" s="1" t="n">
        <v>46103</v>
      </c>
      <c r="E5681" s="1" t="n">
        <v>46326</v>
      </c>
      <c r="F5681" t="inlineStr">
        <is>
          <t>GÄVLEBORGS LÄN</t>
        </is>
      </c>
      <c r="G5681" t="inlineStr">
        <is>
          <t>HUDIKSVALL</t>
        </is>
      </c>
      <c r="H5681" t="inlineStr">
        <is>
          <t>Holmen skog AB</t>
        </is>
      </c>
      <c r="I5681" t="n">
        <v>8.199999999999999</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14836-2026</t>
        </is>
      </c>
      <c r="B5682" t="inlineStr">
        <is>
          <t>avverkningsanmälan</t>
        </is>
      </c>
      <c r="C5682" t="inlineStr">
        <is>
          <t>Föryngringsavverkning</t>
        </is>
      </c>
      <c r="D5682" s="1" t="n">
        <v>46104</v>
      </c>
      <c r="E5682" s="1" t="n">
        <v>46326</v>
      </c>
      <c r="F5682" t="inlineStr">
        <is>
          <t>GÄVLEBORGS LÄN</t>
        </is>
      </c>
      <c r="G5682" t="inlineStr">
        <is>
          <t>OVANÅKER</t>
        </is>
      </c>
      <c r="I5682" t="n">
        <v>1.6</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14598-2026</t>
        </is>
      </c>
      <c r="B5683" t="inlineStr">
        <is>
          <t>avverkningsanmälan</t>
        </is>
      </c>
      <c r="C5683" t="inlineStr">
        <is>
          <t>Föryngringsavverkning</t>
        </is>
      </c>
      <c r="D5683" s="1" t="n">
        <v>46101</v>
      </c>
      <c r="E5683" s="1" t="n">
        <v>46326</v>
      </c>
      <c r="F5683" t="inlineStr">
        <is>
          <t>GÄVLEBORGS LÄN</t>
        </is>
      </c>
      <c r="G5683" t="inlineStr">
        <is>
          <t>BOLLNÄS</t>
        </is>
      </c>
      <c r="I5683" t="n">
        <v>0.8</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14599-2026</t>
        </is>
      </c>
      <c r="B5684" t="inlineStr">
        <is>
          <t>avverkningsanmälan</t>
        </is>
      </c>
      <c r="C5684" t="inlineStr">
        <is>
          <t>Föryngringsavverkning</t>
        </is>
      </c>
      <c r="D5684" s="1" t="n">
        <v>46101</v>
      </c>
      <c r="E5684" s="1" t="n">
        <v>46326</v>
      </c>
      <c r="F5684" t="inlineStr">
        <is>
          <t>GÄVLEBORGS LÄN</t>
        </is>
      </c>
      <c r="G5684" t="inlineStr">
        <is>
          <t>BOLLNÄS</t>
        </is>
      </c>
      <c r="H5684" t="inlineStr">
        <is>
          <t>Kyrkan</t>
        </is>
      </c>
      <c r="I5684" t="n">
        <v>2.8</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29929-2022</t>
        </is>
      </c>
      <c r="B5685" t="inlineStr">
        <is>
          <t>avverkningsanmälan</t>
        </is>
      </c>
      <c r="C5685" t="inlineStr">
        <is>
          <t>Föryngringsavverkning</t>
        </is>
      </c>
      <c r="D5685" s="1" t="n">
        <v>44756</v>
      </c>
      <c r="E5685" s="1" t="n">
        <v>46326</v>
      </c>
      <c r="F5685" t="inlineStr">
        <is>
          <t>GÄVLEBORGS LÄN</t>
        </is>
      </c>
      <c r="G5685" t="inlineStr">
        <is>
          <t>GÄVLE</t>
        </is>
      </c>
      <c r="I5685" t="n">
        <v>2</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14729-2026</t>
        </is>
      </c>
      <c r="B5686" t="inlineStr">
        <is>
          <t>avverkningsanmälan</t>
        </is>
      </c>
      <c r="C5686" t="inlineStr">
        <is>
          <t>Föryngringsavverkning</t>
        </is>
      </c>
      <c r="D5686" s="1" t="n">
        <v>46101</v>
      </c>
      <c r="E5686" s="1" t="n">
        <v>46326</v>
      </c>
      <c r="F5686" t="inlineStr">
        <is>
          <t>GÄVLEBORGS LÄN</t>
        </is>
      </c>
      <c r="G5686" t="inlineStr">
        <is>
          <t>BOLLNÄS</t>
        </is>
      </c>
      <c r="H5686" t="inlineStr">
        <is>
          <t>Kommuner</t>
        </is>
      </c>
      <c r="I5686" t="n">
        <v>4.7</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5262-2025</t>
        </is>
      </c>
      <c r="B5687" t="inlineStr">
        <is>
          <t>avverkningsanmälan</t>
        </is>
      </c>
      <c r="C5687" t="inlineStr">
        <is>
          <t>Föryngringsavverkning</t>
        </is>
      </c>
      <c r="D5687" s="1" t="n">
        <v>45692</v>
      </c>
      <c r="E5687" s="1" t="n">
        <v>46326</v>
      </c>
      <c r="F5687" t="inlineStr">
        <is>
          <t>GÄVLEBORGS LÄN</t>
        </is>
      </c>
      <c r="G5687" t="inlineStr">
        <is>
          <t>BOLLNÄS</t>
        </is>
      </c>
      <c r="H5687" t="inlineStr">
        <is>
          <t>Bergvik skog öst AB</t>
        </is>
      </c>
      <c r="I5687" t="n">
        <v>0.5</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14735-2026</t>
        </is>
      </c>
      <c r="B5688" t="inlineStr">
        <is>
          <t>avverkningsanmälan</t>
        </is>
      </c>
      <c r="C5688" t="inlineStr">
        <is>
          <t>Föryngringsavverkning</t>
        </is>
      </c>
      <c r="D5688" s="1" t="n">
        <v>46101</v>
      </c>
      <c r="E5688" s="1" t="n">
        <v>46326</v>
      </c>
      <c r="F5688" t="inlineStr">
        <is>
          <t>GÄVLEBORGS LÄN</t>
        </is>
      </c>
      <c r="G5688" t="inlineStr">
        <is>
          <t>BOLLNÄS</t>
        </is>
      </c>
      <c r="I5688" t="n">
        <v>1</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14741-2026</t>
        </is>
      </c>
      <c r="B5689" t="inlineStr">
        <is>
          <t>avverkningsanmälan</t>
        </is>
      </c>
      <c r="C5689" t="inlineStr">
        <is>
          <t>Föryngringsavverkning</t>
        </is>
      </c>
      <c r="D5689" s="1" t="n">
        <v>46101</v>
      </c>
      <c r="E5689" s="1" t="n">
        <v>46326</v>
      </c>
      <c r="F5689" t="inlineStr">
        <is>
          <t>GÄVLEBORGS LÄN</t>
        </is>
      </c>
      <c r="G5689" t="inlineStr">
        <is>
          <t>BOLLNÄS</t>
        </is>
      </c>
      <c r="H5689" t="inlineStr">
        <is>
          <t>Bergvik skog väst AB</t>
        </is>
      </c>
      <c r="I5689" t="n">
        <v>2.2</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14899-2026</t>
        </is>
      </c>
      <c r="B5690" t="inlineStr">
        <is>
          <t>avverkningsanmälan</t>
        </is>
      </c>
      <c r="C5690" t="inlineStr">
        <is>
          <t>Föryngringsavverkning</t>
        </is>
      </c>
      <c r="D5690" s="1" t="n">
        <v>46104</v>
      </c>
      <c r="E5690" s="1" t="n">
        <v>46326</v>
      </c>
      <c r="F5690" t="inlineStr">
        <is>
          <t>GÄVLEBORGS LÄN</t>
        </is>
      </c>
      <c r="G5690" t="inlineStr">
        <is>
          <t>BOLLNÄS</t>
        </is>
      </c>
      <c r="I5690" t="n">
        <v>7.3</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14747-2026</t>
        </is>
      </c>
      <c r="B5691" t="inlineStr">
        <is>
          <t>avverkningsanmälan</t>
        </is>
      </c>
      <c r="C5691" t="inlineStr">
        <is>
          <t>Föryngringsavverkning</t>
        </is>
      </c>
      <c r="D5691" s="1" t="n">
        <v>46101</v>
      </c>
      <c r="E5691" s="1" t="n">
        <v>46326</v>
      </c>
      <c r="F5691" t="inlineStr">
        <is>
          <t>GÄVLEBORGS LÄN</t>
        </is>
      </c>
      <c r="G5691" t="inlineStr">
        <is>
          <t>OVANÅKER</t>
        </is>
      </c>
      <c r="I5691" t="n">
        <v>2.6</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38673-2024</t>
        </is>
      </c>
      <c r="B5692" t="inlineStr">
        <is>
          <t>avverkningsanmälan</t>
        </is>
      </c>
      <c r="C5692" t="inlineStr">
        <is>
          <t>Föryngringsavverkning</t>
        </is>
      </c>
      <c r="D5692" s="1" t="n">
        <v>45547</v>
      </c>
      <c r="E5692" s="1" t="n">
        <v>46326</v>
      </c>
      <c r="F5692" t="inlineStr">
        <is>
          <t>GÄVLEBORGS LÄN</t>
        </is>
      </c>
      <c r="G5692" t="inlineStr">
        <is>
          <t>GÄVLE</t>
        </is>
      </c>
      <c r="H5692" t="inlineStr">
        <is>
          <t>Bergvik skog öst AB</t>
        </is>
      </c>
      <c r="I5692" t="n">
        <v>0.7</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38687-2024</t>
        </is>
      </c>
      <c r="B5693" t="inlineStr">
        <is>
          <t>avverkningsanmälan</t>
        </is>
      </c>
      <c r="C5693" t="inlineStr">
        <is>
          <t>Föryngringsavverkning</t>
        </is>
      </c>
      <c r="D5693" s="1" t="n">
        <v>45547</v>
      </c>
      <c r="E5693" s="1" t="n">
        <v>46326</v>
      </c>
      <c r="F5693" t="inlineStr">
        <is>
          <t>GÄVLEBORGS LÄN</t>
        </is>
      </c>
      <c r="G5693" t="inlineStr">
        <is>
          <t>HUDIKSVALL</t>
        </is>
      </c>
      <c r="I5693" t="n">
        <v>8.9</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38703-2024</t>
        </is>
      </c>
      <c r="B5694" t="inlineStr">
        <is>
          <t>avverkningsanmälan</t>
        </is>
      </c>
      <c r="C5694" t="inlineStr">
        <is>
          <t>Föryngringsavverkning</t>
        </is>
      </c>
      <c r="D5694" s="1" t="n">
        <v>45547</v>
      </c>
      <c r="E5694" s="1" t="n">
        <v>46326</v>
      </c>
      <c r="F5694" t="inlineStr">
        <is>
          <t>GÄVLEBORGS LÄN</t>
        </is>
      </c>
      <c r="G5694" t="inlineStr">
        <is>
          <t>HUDIKSVALL</t>
        </is>
      </c>
      <c r="I5694" t="n">
        <v>2.8</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14805-2026</t>
        </is>
      </c>
      <c r="B5695" t="inlineStr">
        <is>
          <t>avverkningsanmälan</t>
        </is>
      </c>
      <c r="C5695" t="inlineStr">
        <is>
          <t>Föryngringsavverkning</t>
        </is>
      </c>
      <c r="D5695" s="1" t="n">
        <v>46103</v>
      </c>
      <c r="E5695" s="1" t="n">
        <v>46326</v>
      </c>
      <c r="F5695" t="inlineStr">
        <is>
          <t>GÄVLEBORGS LÄN</t>
        </is>
      </c>
      <c r="G5695" t="inlineStr">
        <is>
          <t>HUDIKSVALL</t>
        </is>
      </c>
      <c r="H5695" t="inlineStr">
        <is>
          <t>Holmen skog AB</t>
        </is>
      </c>
      <c r="I5695" t="n">
        <v>2</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35450-2025</t>
        </is>
      </c>
      <c r="B5696" t="inlineStr">
        <is>
          <t>avverkningsanmälan</t>
        </is>
      </c>
      <c r="C5696" t="inlineStr">
        <is>
          <t>Föryngringsavverkning</t>
        </is>
      </c>
      <c r="D5696" s="1" t="n">
        <v>45855</v>
      </c>
      <c r="E5696" s="1" t="n">
        <v>46326</v>
      </c>
      <c r="F5696" t="inlineStr">
        <is>
          <t>GÄVLEBORGS LÄN</t>
        </is>
      </c>
      <c r="G5696" t="inlineStr">
        <is>
          <t>GÄVLE</t>
        </is>
      </c>
      <c r="I5696" t="n">
        <v>8.199999999999999</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36877-2022</t>
        </is>
      </c>
      <c r="B5697" t="inlineStr">
        <is>
          <t>avverkningsanmälan</t>
        </is>
      </c>
      <c r="C5697" t="inlineStr">
        <is>
          <t>Föryngringsavverkning</t>
        </is>
      </c>
      <c r="D5697" s="1" t="n">
        <v>44805</v>
      </c>
      <c r="E5697" s="1" t="n">
        <v>46326</v>
      </c>
      <c r="F5697" t="inlineStr">
        <is>
          <t>GÄVLEBORGS LÄN</t>
        </is>
      </c>
      <c r="G5697" t="inlineStr">
        <is>
          <t>BOLLNÄS</t>
        </is>
      </c>
      <c r="I5697" t="n">
        <v>0.8</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14704-2026</t>
        </is>
      </c>
      <c r="B5698" t="inlineStr">
        <is>
          <t>avverkningsanmälan</t>
        </is>
      </c>
      <c r="C5698" t="inlineStr">
        <is>
          <t>Föryngringsavverkning</t>
        </is>
      </c>
      <c r="D5698" s="1" t="n">
        <v>46101</v>
      </c>
      <c r="E5698" s="1" t="n">
        <v>46326</v>
      </c>
      <c r="F5698" t="inlineStr">
        <is>
          <t>GÄVLEBORGS LÄN</t>
        </is>
      </c>
      <c r="G5698" t="inlineStr">
        <is>
          <t>OVANÅKER</t>
        </is>
      </c>
      <c r="I5698" t="n">
        <v>2</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14972-2026</t>
        </is>
      </c>
      <c r="B5699" t="inlineStr">
        <is>
          <t>avverkningsanmälan</t>
        </is>
      </c>
      <c r="C5699" t="inlineStr">
        <is>
          <t>Föryngringsavverkning</t>
        </is>
      </c>
      <c r="D5699" s="1" t="n">
        <v>46104</v>
      </c>
      <c r="E5699" s="1" t="n">
        <v>46326</v>
      </c>
      <c r="F5699" t="inlineStr">
        <is>
          <t>GÄVLEBORGS LÄN</t>
        </is>
      </c>
      <c r="G5699" t="inlineStr">
        <is>
          <t>OCKELBO</t>
        </is>
      </c>
      <c r="I5699" t="n">
        <v>2.3</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64082-2025</t>
        </is>
      </c>
      <c r="B5700" t="inlineStr">
        <is>
          <t>avverkningsanmälan</t>
        </is>
      </c>
      <c r="C5700" t="inlineStr">
        <is>
          <t>Föryngringsavverkning</t>
        </is>
      </c>
      <c r="D5700" s="1" t="n">
        <v>46021</v>
      </c>
      <c r="E5700" s="1" t="n">
        <v>46326</v>
      </c>
      <c r="F5700" t="inlineStr">
        <is>
          <t>GÄVLEBORGS LÄN</t>
        </is>
      </c>
      <c r="G5700" t="inlineStr">
        <is>
          <t>HUDIKSVALL</t>
        </is>
      </c>
      <c r="I5700" t="n">
        <v>4.4</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15009-2026</t>
        </is>
      </c>
      <c r="B5701" t="inlineStr">
        <is>
          <t>avverkningsanmälan</t>
        </is>
      </c>
      <c r="C5701" t="inlineStr">
        <is>
          <t>Föryngringsavverkning</t>
        </is>
      </c>
      <c r="D5701" s="1" t="n">
        <v>46104</v>
      </c>
      <c r="E5701" s="1" t="n">
        <v>46326</v>
      </c>
      <c r="F5701" t="inlineStr">
        <is>
          <t>GÄVLEBORGS LÄN</t>
        </is>
      </c>
      <c r="G5701" t="inlineStr">
        <is>
          <t>NORDANSTIG</t>
        </is>
      </c>
      <c r="I5701" t="n">
        <v>8.4</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15010-2026</t>
        </is>
      </c>
      <c r="B5702" t="inlineStr">
        <is>
          <t>avverkningsanmälan</t>
        </is>
      </c>
      <c r="C5702" t="inlineStr">
        <is>
          <t>Föryngringsavverkning</t>
        </is>
      </c>
      <c r="D5702" s="1" t="n">
        <v>46104</v>
      </c>
      <c r="E5702" s="1" t="n">
        <v>46326</v>
      </c>
      <c r="F5702" t="inlineStr">
        <is>
          <t>GÄVLEBORGS LÄN</t>
        </is>
      </c>
      <c r="G5702" t="inlineStr">
        <is>
          <t>NORDANSTIG</t>
        </is>
      </c>
      <c r="I5702" t="n">
        <v>1.9</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15067-2026</t>
        </is>
      </c>
      <c r="B5703" t="inlineStr">
        <is>
          <t>avverkningsanmälan</t>
        </is>
      </c>
      <c r="C5703" t="inlineStr">
        <is>
          <t>Föryngringsavverkning</t>
        </is>
      </c>
      <c r="D5703" s="1" t="n">
        <v>46104</v>
      </c>
      <c r="E5703" s="1" t="n">
        <v>46326</v>
      </c>
      <c r="F5703" t="inlineStr">
        <is>
          <t>GÄVLEBORGS LÄN</t>
        </is>
      </c>
      <c r="G5703" t="inlineStr">
        <is>
          <t>OCKELBO</t>
        </is>
      </c>
      <c r="H5703" t="inlineStr">
        <is>
          <t>Bergvik skog väst AB</t>
        </is>
      </c>
      <c r="I5703" t="n">
        <v>0.7</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63920-2025</t>
        </is>
      </c>
      <c r="B5704" t="inlineStr">
        <is>
          <t>avverkningsanmälan</t>
        </is>
      </c>
      <c r="C5704" t="inlineStr">
        <is>
          <t>Föryngringsavverkning</t>
        </is>
      </c>
      <c r="D5704" s="1" t="n">
        <v>46020</v>
      </c>
      <c r="E5704" s="1" t="n">
        <v>46326</v>
      </c>
      <c r="F5704" t="inlineStr">
        <is>
          <t>GÄVLEBORGS LÄN</t>
        </is>
      </c>
      <c r="G5704" t="inlineStr">
        <is>
          <t>OVANÅKER</t>
        </is>
      </c>
      <c r="I5704" t="n">
        <v>4.6</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63923-2025</t>
        </is>
      </c>
      <c r="B5705" t="inlineStr">
        <is>
          <t>avverkningsanmälan</t>
        </is>
      </c>
      <c r="C5705" t="inlineStr">
        <is>
          <t>Föryngringsavverkning</t>
        </is>
      </c>
      <c r="D5705" s="1" t="n">
        <v>46020</v>
      </c>
      <c r="E5705" s="1" t="n">
        <v>46326</v>
      </c>
      <c r="F5705" t="inlineStr">
        <is>
          <t>GÄVLEBORGS LÄN</t>
        </is>
      </c>
      <c r="G5705" t="inlineStr">
        <is>
          <t>OVANÅKER</t>
        </is>
      </c>
      <c r="I5705" t="n">
        <v>1.1</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63925-2025</t>
        </is>
      </c>
      <c r="B5706" t="inlineStr">
        <is>
          <t>avverkningsanmälan</t>
        </is>
      </c>
      <c r="C5706" t="inlineStr">
        <is>
          <t>Föryngringsavverkning</t>
        </is>
      </c>
      <c r="D5706" s="1" t="n">
        <v>46020</v>
      </c>
      <c r="E5706" s="1" t="n">
        <v>46326</v>
      </c>
      <c r="F5706" t="inlineStr">
        <is>
          <t>GÄVLEBORGS LÄN</t>
        </is>
      </c>
      <c r="G5706" t="inlineStr">
        <is>
          <t>HUDIKSVALL</t>
        </is>
      </c>
      <c r="I5706" t="n">
        <v>2.6</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14864-2026</t>
        </is>
      </c>
      <c r="B5707" t="inlineStr">
        <is>
          <t>avverkningsanmälan</t>
        </is>
      </c>
      <c r="C5707" t="inlineStr">
        <is>
          <t>Föryngringsavverkning</t>
        </is>
      </c>
      <c r="D5707" s="1" t="n">
        <v>46104</v>
      </c>
      <c r="E5707" s="1" t="n">
        <v>46326</v>
      </c>
      <c r="F5707" t="inlineStr">
        <is>
          <t>GÄVLEBORGS LÄN</t>
        </is>
      </c>
      <c r="G5707" t="inlineStr">
        <is>
          <t>BOLLNÄS</t>
        </is>
      </c>
      <c r="I5707" t="n">
        <v>7.9</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14887-2026</t>
        </is>
      </c>
      <c r="B5708" t="inlineStr">
        <is>
          <t>avverkningsanmälan</t>
        </is>
      </c>
      <c r="C5708" t="inlineStr">
        <is>
          <t>Föryngringsavverkning</t>
        </is>
      </c>
      <c r="D5708" s="1" t="n">
        <v>46104</v>
      </c>
      <c r="E5708" s="1" t="n">
        <v>46326</v>
      </c>
      <c r="F5708" t="inlineStr">
        <is>
          <t>GÄVLEBORGS LÄN</t>
        </is>
      </c>
      <c r="G5708" t="inlineStr">
        <is>
          <t>OVANÅKER</t>
        </is>
      </c>
      <c r="I5708" t="n">
        <v>1.9</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63973-2025</t>
        </is>
      </c>
      <c r="B5709" t="inlineStr">
        <is>
          <t>avverkningsanmälan</t>
        </is>
      </c>
      <c r="C5709" t="inlineStr">
        <is>
          <t>Föryngringsavverkning</t>
        </is>
      </c>
      <c r="D5709" s="1" t="n">
        <v>46021</v>
      </c>
      <c r="E5709" s="1" t="n">
        <v>46326</v>
      </c>
      <c r="F5709" t="inlineStr">
        <is>
          <t>GÄVLEBORGS LÄN</t>
        </is>
      </c>
      <c r="G5709" t="inlineStr">
        <is>
          <t>OVANÅKER</t>
        </is>
      </c>
      <c r="I5709" t="n">
        <v>2</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6184-2026</t>
        </is>
      </c>
      <c r="B5710" t="inlineStr">
        <is>
          <t>avverkningsanmälan</t>
        </is>
      </c>
      <c r="C5710" t="inlineStr">
        <is>
          <t>Föryngringsavverkning</t>
        </is>
      </c>
      <c r="D5710" s="1" t="n">
        <v>46055</v>
      </c>
      <c r="E5710" s="1" t="n">
        <v>46326</v>
      </c>
      <c r="F5710" t="inlineStr">
        <is>
          <t>GÄVLEBORGS LÄN</t>
        </is>
      </c>
      <c r="G5710" t="inlineStr">
        <is>
          <t>OVANÅKER</t>
        </is>
      </c>
      <c r="I5710" t="n">
        <v>0.9</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14594-2026</t>
        </is>
      </c>
      <c r="B5711" t="inlineStr">
        <is>
          <t>avverkningsanmälan</t>
        </is>
      </c>
      <c r="C5711" t="inlineStr">
        <is>
          <t>Föryngringsavverkning</t>
        </is>
      </c>
      <c r="D5711" s="1" t="n">
        <v>46101</v>
      </c>
      <c r="E5711" s="1" t="n">
        <v>46326</v>
      </c>
      <c r="F5711" t="inlineStr">
        <is>
          <t>GÄVLEBORGS LÄN</t>
        </is>
      </c>
      <c r="G5711" t="inlineStr">
        <is>
          <t>BOLLNÄS</t>
        </is>
      </c>
      <c r="I5711" t="n">
        <v>1.7</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14625-2026</t>
        </is>
      </c>
      <c r="B5712" t="inlineStr">
        <is>
          <t>avverkningsanmälan</t>
        </is>
      </c>
      <c r="C5712" t="inlineStr">
        <is>
          <t>Föryngringsavverkning</t>
        </is>
      </c>
      <c r="D5712" s="1" t="n">
        <v>46101</v>
      </c>
      <c r="E5712" s="1" t="n">
        <v>46326</v>
      </c>
      <c r="F5712" t="inlineStr">
        <is>
          <t>GÄVLEBORGS LÄN</t>
        </is>
      </c>
      <c r="G5712" t="inlineStr">
        <is>
          <t>OVANÅKER</t>
        </is>
      </c>
      <c r="I5712" t="n">
        <v>0.7</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63876-2025</t>
        </is>
      </c>
      <c r="B5713" t="inlineStr">
        <is>
          <t>avverkningsanmälan</t>
        </is>
      </c>
      <c r="C5713" t="inlineStr">
        <is>
          <t>Föryngringsavverkning</t>
        </is>
      </c>
      <c r="D5713" s="1" t="n">
        <v>46020</v>
      </c>
      <c r="E5713" s="1" t="n">
        <v>46326</v>
      </c>
      <c r="F5713" t="inlineStr">
        <is>
          <t>GÄVLEBORGS LÄN</t>
        </is>
      </c>
      <c r="G5713" t="inlineStr">
        <is>
          <t>BOLLNÄS</t>
        </is>
      </c>
      <c r="I5713" t="n">
        <v>12.2</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64091-2025</t>
        </is>
      </c>
      <c r="B5714" t="inlineStr">
        <is>
          <t>avverkningsanmälan</t>
        </is>
      </c>
      <c r="C5714" t="inlineStr">
        <is>
          <t>Föryngringsavverkning</t>
        </is>
      </c>
      <c r="D5714" s="1" t="n">
        <v>46021</v>
      </c>
      <c r="E5714" s="1" t="n">
        <v>46326</v>
      </c>
      <c r="F5714" t="inlineStr">
        <is>
          <t>GÄVLEBORGS LÄN</t>
        </is>
      </c>
      <c r="G5714" t="inlineStr">
        <is>
          <t>HUDIKSVALL</t>
        </is>
      </c>
      <c r="I5714" t="n">
        <v>3.6</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7799-2025</t>
        </is>
      </c>
      <c r="B5715" t="inlineStr">
        <is>
          <t>avverkningsanmälan</t>
        </is>
      </c>
      <c r="C5715" t="inlineStr">
        <is>
          <t>Föryngringsavverkning</t>
        </is>
      </c>
      <c r="D5715" s="1" t="n">
        <v>45706</v>
      </c>
      <c r="E5715" s="1" t="n">
        <v>46326</v>
      </c>
      <c r="F5715" t="inlineStr">
        <is>
          <t>GÄVLEBORGS LÄN</t>
        </is>
      </c>
      <c r="G5715" t="inlineStr">
        <is>
          <t>SÖDERHAMN</t>
        </is>
      </c>
      <c r="I5715" t="n">
        <v>0.5</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63819-2025</t>
        </is>
      </c>
      <c r="B5716" t="inlineStr">
        <is>
          <t>avverkningsanmälan</t>
        </is>
      </c>
      <c r="C5716" t="inlineStr">
        <is>
          <t>Föryngringsavverkning</t>
        </is>
      </c>
      <c r="D5716" s="1" t="n">
        <v>46020</v>
      </c>
      <c r="E5716" s="1" t="n">
        <v>46326</v>
      </c>
      <c r="F5716" t="inlineStr">
        <is>
          <t>GÄVLEBORGS LÄN</t>
        </is>
      </c>
      <c r="G5716" t="inlineStr">
        <is>
          <t>HUDIKSVALL</t>
        </is>
      </c>
      <c r="I5716" t="n">
        <v>3.9</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59186-2022</t>
        </is>
      </c>
      <c r="B5717" t="inlineStr">
        <is>
          <t>avverkningsanmälan</t>
        </is>
      </c>
      <c r="C5717" t="inlineStr">
        <is>
          <t>Föryngringsavverkning</t>
        </is>
      </c>
      <c r="D5717" s="1" t="n">
        <v>44904</v>
      </c>
      <c r="E5717" s="1" t="n">
        <v>46326</v>
      </c>
      <c r="F5717" t="inlineStr">
        <is>
          <t>GÄVLEBORGS LÄN</t>
        </is>
      </c>
      <c r="G5717" t="inlineStr">
        <is>
          <t>OVANÅKER</t>
        </is>
      </c>
      <c r="I5717" t="n">
        <v>3</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63798-2025</t>
        </is>
      </c>
      <c r="B5718" t="inlineStr">
        <is>
          <t>avverkningsanmälan</t>
        </is>
      </c>
      <c r="C5718" t="inlineStr">
        <is>
          <t>Föryngringsavverkning</t>
        </is>
      </c>
      <c r="D5718" s="1" t="n">
        <v>46019</v>
      </c>
      <c r="E5718" s="1" t="n">
        <v>46326</v>
      </c>
      <c r="F5718" t="inlineStr">
        <is>
          <t>GÄVLEBORGS LÄN</t>
        </is>
      </c>
      <c r="G5718" t="inlineStr">
        <is>
          <t>HUDIKSVALL</t>
        </is>
      </c>
      <c r="I5718" t="n">
        <v>6.8</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63801-2025</t>
        </is>
      </c>
      <c r="B5719" t="inlineStr">
        <is>
          <t>avverkningsanmälan</t>
        </is>
      </c>
      <c r="C5719" t="inlineStr">
        <is>
          <t>Föryngringsavverkning</t>
        </is>
      </c>
      <c r="D5719" s="1" t="n">
        <v>46019</v>
      </c>
      <c r="E5719" s="1" t="n">
        <v>46326</v>
      </c>
      <c r="F5719" t="inlineStr">
        <is>
          <t>GÄVLEBORGS LÄN</t>
        </is>
      </c>
      <c r="G5719" t="inlineStr">
        <is>
          <t>GÄVLE</t>
        </is>
      </c>
      <c r="I5719" t="n">
        <v>2.5</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64006-2025</t>
        </is>
      </c>
      <c r="B5720" t="inlineStr">
        <is>
          <t>avverkningsanmälan</t>
        </is>
      </c>
      <c r="C5720" t="inlineStr">
        <is>
          <t>Föryngringsavverkning</t>
        </is>
      </c>
      <c r="D5720" s="1" t="n">
        <v>46021</v>
      </c>
      <c r="E5720" s="1" t="n">
        <v>46326</v>
      </c>
      <c r="F5720" t="inlineStr">
        <is>
          <t>GÄVLEBORGS LÄN</t>
        </is>
      </c>
      <c r="G5720" t="inlineStr">
        <is>
          <t>OCKELBO</t>
        </is>
      </c>
      <c r="I5720" t="n">
        <v>13.6</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54953-2025</t>
        </is>
      </c>
      <c r="B5721" t="inlineStr">
        <is>
          <t>avverkningsanmälan</t>
        </is>
      </c>
      <c r="C5721" t="inlineStr">
        <is>
          <t>Föryngringsavverkning</t>
        </is>
      </c>
      <c r="D5721" s="1" t="n">
        <v>45967</v>
      </c>
      <c r="E5721" s="1" t="n">
        <v>46326</v>
      </c>
      <c r="F5721" t="inlineStr">
        <is>
          <t>GÄVLEBORGS LÄN</t>
        </is>
      </c>
      <c r="G5721" t="inlineStr">
        <is>
          <t>GÄVLE</t>
        </is>
      </c>
      <c r="I5721" t="n">
        <v>0.9</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47942-2025</t>
        </is>
      </c>
      <c r="B5722" t="inlineStr">
        <is>
          <t>avverkningsanmälan</t>
        </is>
      </c>
      <c r="C5722" t="inlineStr">
        <is>
          <t>Föryngringsavverkning</t>
        </is>
      </c>
      <c r="D5722" s="1" t="n">
        <v>45932</v>
      </c>
      <c r="E5722" s="1" t="n">
        <v>46326</v>
      </c>
      <c r="F5722" t="inlineStr">
        <is>
          <t>GÄVLEBORGS LÄN</t>
        </is>
      </c>
      <c r="G5722" t="inlineStr">
        <is>
          <t>GÄVLE</t>
        </is>
      </c>
      <c r="I5722" t="n">
        <v>3</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47981-2025</t>
        </is>
      </c>
      <c r="B5723" t="inlineStr">
        <is>
          <t>avverkningsanmälan</t>
        </is>
      </c>
      <c r="C5723" t="inlineStr">
        <is>
          <t>Föryngringsavverkning</t>
        </is>
      </c>
      <c r="D5723" s="1" t="n">
        <v>45932</v>
      </c>
      <c r="E5723" s="1" t="n">
        <v>46326</v>
      </c>
      <c r="F5723" t="inlineStr">
        <is>
          <t>GÄVLEBORGS LÄN</t>
        </is>
      </c>
      <c r="G5723" t="inlineStr">
        <is>
          <t>GÄVLE</t>
        </is>
      </c>
      <c r="I5723" t="n">
        <v>3.4</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63911-2025</t>
        </is>
      </c>
      <c r="B5724" t="inlineStr">
        <is>
          <t>avverkningsanmälan</t>
        </is>
      </c>
      <c r="C5724" t="inlineStr">
        <is>
          <t>Föryngringsavverkning</t>
        </is>
      </c>
      <c r="D5724" s="1" t="n">
        <v>46020</v>
      </c>
      <c r="E5724" s="1" t="n">
        <v>46326</v>
      </c>
      <c r="F5724" t="inlineStr">
        <is>
          <t>GÄVLEBORGS LÄN</t>
        </is>
      </c>
      <c r="G5724" t="inlineStr">
        <is>
          <t>HUDIKSVALL</t>
        </is>
      </c>
      <c r="I5724" t="n">
        <v>1.7</v>
      </c>
      <c r="J5724" t="n">
        <v>0</v>
      </c>
      <c r="K5724" t="n">
        <v>0</v>
      </c>
      <c r="L5724" t="n">
        <v>0</v>
      </c>
      <c r="M5724" t="n">
        <v>0</v>
      </c>
      <c r="N5724" t="n">
        <v>0</v>
      </c>
      <c r="O5724" t="n">
        <v>0</v>
      </c>
      <c r="P5724" t="n">
        <v>0</v>
      </c>
      <c r="Q5724" t="n">
        <v>0</v>
      </c>
      <c r="R5724" t="n">
        <v>0</v>
      </c>
      <c r="S5724" t="n">
        <v>0</v>
      </c>
      <c r="T5724" t="n">
        <v>0</v>
      </c>
      <c r="U5724" t="n">
        <v>0</v>
      </c>
      <c r="V5724" s="2" t="inlineStr"/>
      <c r="Z5724">
        <f>HYPERLINK("https://klasma.github.io/Logging_2184/knärot/A 63911-2025 karta knärot.png", "A 63911-2025")</f>
        <v/>
      </c>
      <c r="AA5724">
        <f>HYPERLINK("https://klasma.github.io/Logging_2184/klagomål/A 63911-2025 FSC-klagomål.docx", "A 63911-2025")</f>
        <v/>
      </c>
      <c r="AB5724">
        <f>HYPERLINK("https://klasma.github.io/Logging_2184/klagomålsmail/A 63911-2025 FSC-klagomål mail.docx", "A 63911-2025")</f>
        <v/>
      </c>
      <c r="AC5724">
        <f>HYPERLINK("https://klasma.github.io/Logging_2184/tillsyn/A 63911-2025 tillsynsbegäran.docx", "A 63911-2025")</f>
        <v/>
      </c>
      <c r="AD5724">
        <f>HYPERLINK("https://klasma.github.io/Logging_2184/tillsynsmail/A 63911-2025 tillsynsbegäran mail.docx", "A 63911-2025")</f>
        <v/>
      </c>
    </row>
    <row r="5725" ht="15" customHeight="1">
      <c r="A5725" t="inlineStr">
        <is>
          <t>A 15066-2026</t>
        </is>
      </c>
      <c r="B5725" t="inlineStr">
        <is>
          <t>avverkningsanmälan</t>
        </is>
      </c>
      <c r="C5725" t="inlineStr">
        <is>
          <t>Föryngringsavverkning</t>
        </is>
      </c>
      <c r="D5725" s="1" t="n">
        <v>46104</v>
      </c>
      <c r="E5725" s="1" t="n">
        <v>46326</v>
      </c>
      <c r="F5725" t="inlineStr">
        <is>
          <t>GÄVLEBORGS LÄN</t>
        </is>
      </c>
      <c r="G5725" t="inlineStr">
        <is>
          <t>SÖDERHAMN</t>
        </is>
      </c>
      <c r="I5725" t="n">
        <v>1.1</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14872-2026</t>
        </is>
      </c>
      <c r="B5726" t="inlineStr">
        <is>
          <t>avverkningsanmälan</t>
        </is>
      </c>
      <c r="C5726" t="inlineStr">
        <is>
          <t>Föryngringsavverkning</t>
        </is>
      </c>
      <c r="D5726" s="1" t="n">
        <v>46104</v>
      </c>
      <c r="E5726" s="1" t="n">
        <v>46326</v>
      </c>
      <c r="F5726" t="inlineStr">
        <is>
          <t>GÄVLEBORGS LÄN</t>
        </is>
      </c>
      <c r="G5726" t="inlineStr">
        <is>
          <t>BOLLNÄS</t>
        </is>
      </c>
      <c r="I5726" t="n">
        <v>0.9</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63963-2025</t>
        </is>
      </c>
      <c r="B5727" t="inlineStr">
        <is>
          <t>avverkningsanmälan</t>
        </is>
      </c>
      <c r="C5727" t="inlineStr">
        <is>
          <t>Föryngringsavverkning</t>
        </is>
      </c>
      <c r="D5727" s="1" t="n">
        <v>46020</v>
      </c>
      <c r="E5727" s="1" t="n">
        <v>46326</v>
      </c>
      <c r="F5727" t="inlineStr">
        <is>
          <t>GÄVLEBORGS LÄN</t>
        </is>
      </c>
      <c r="G5727" t="inlineStr">
        <is>
          <t>HUDIKSVALL</t>
        </is>
      </c>
      <c r="I5727" t="n">
        <v>1.9</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63976-2025</t>
        </is>
      </c>
      <c r="B5728" t="inlineStr">
        <is>
          <t>avverkningsanmälan</t>
        </is>
      </c>
      <c r="C5728" t="inlineStr">
        <is>
          <t>Föryngringsavverkning</t>
        </is>
      </c>
      <c r="D5728" s="1" t="n">
        <v>46021</v>
      </c>
      <c r="E5728" s="1" t="n">
        <v>46326</v>
      </c>
      <c r="F5728" t="inlineStr">
        <is>
          <t>GÄVLEBORGS LÄN</t>
        </is>
      </c>
      <c r="G5728" t="inlineStr">
        <is>
          <t>BOLLNÄS</t>
        </is>
      </c>
      <c r="I5728" t="n">
        <v>1.5</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14586-2026</t>
        </is>
      </c>
      <c r="B5729" t="inlineStr">
        <is>
          <t>avverkningsanmälan</t>
        </is>
      </c>
      <c r="C5729" t="inlineStr">
        <is>
          <t>Föryngringsavverkning</t>
        </is>
      </c>
      <c r="D5729" s="1" t="n">
        <v>46101</v>
      </c>
      <c r="E5729" s="1" t="n">
        <v>46326</v>
      </c>
      <c r="F5729" t="inlineStr">
        <is>
          <t>GÄVLEBORGS LÄN</t>
        </is>
      </c>
      <c r="G5729" t="inlineStr">
        <is>
          <t>BOLLNÄS</t>
        </is>
      </c>
      <c r="I5729" t="n">
        <v>1.1</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14589-2026</t>
        </is>
      </c>
      <c r="B5730" t="inlineStr">
        <is>
          <t>avverkningsanmälan</t>
        </is>
      </c>
      <c r="C5730" t="inlineStr">
        <is>
          <t>Föryngringsavverkning</t>
        </is>
      </c>
      <c r="D5730" s="1" t="n">
        <v>46101</v>
      </c>
      <c r="E5730" s="1" t="n">
        <v>46326</v>
      </c>
      <c r="F5730" t="inlineStr">
        <is>
          <t>GÄVLEBORGS LÄN</t>
        </is>
      </c>
      <c r="G5730" t="inlineStr">
        <is>
          <t>BOLLNÄS</t>
        </is>
      </c>
      <c r="I5730" t="n">
        <v>2.8</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14649-2026</t>
        </is>
      </c>
      <c r="B5731" t="inlineStr">
        <is>
          <t>avverkningsanmälan</t>
        </is>
      </c>
      <c r="C5731" t="inlineStr">
        <is>
          <t>Föryngringsavverkning</t>
        </is>
      </c>
      <c r="D5731" s="1" t="n">
        <v>46101</v>
      </c>
      <c r="E5731" s="1" t="n">
        <v>46326</v>
      </c>
      <c r="F5731" t="inlineStr">
        <is>
          <t>GÄVLEBORGS LÄN</t>
        </is>
      </c>
      <c r="G5731" t="inlineStr">
        <is>
          <t>SANDVIKEN</t>
        </is>
      </c>
      <c r="H5731" t="inlineStr">
        <is>
          <t>Kommuner</t>
        </is>
      </c>
      <c r="I5731" t="n">
        <v>0.8</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14888-2026</t>
        </is>
      </c>
      <c r="B5732" t="inlineStr">
        <is>
          <t>avverkningsanmälan</t>
        </is>
      </c>
      <c r="C5732" t="inlineStr">
        <is>
          <t>Föryngringsavverkning</t>
        </is>
      </c>
      <c r="D5732" s="1" t="n">
        <v>46104</v>
      </c>
      <c r="E5732" s="1" t="n">
        <v>46326</v>
      </c>
      <c r="F5732" t="inlineStr">
        <is>
          <t>GÄVLEBORGS LÄN</t>
        </is>
      </c>
      <c r="G5732" t="inlineStr">
        <is>
          <t>BOLLNÄS</t>
        </is>
      </c>
      <c r="I5732" t="n">
        <v>11.3</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14866-2026</t>
        </is>
      </c>
      <c r="B5733" t="inlineStr">
        <is>
          <t>avverkningsanmälan</t>
        </is>
      </c>
      <c r="C5733" t="inlineStr">
        <is>
          <t>Föryngringsavverkning</t>
        </is>
      </c>
      <c r="D5733" s="1" t="n">
        <v>46104</v>
      </c>
      <c r="E5733" s="1" t="n">
        <v>46326</v>
      </c>
      <c r="F5733" t="inlineStr">
        <is>
          <t>GÄVLEBORGS LÄN</t>
        </is>
      </c>
      <c r="G5733" t="inlineStr">
        <is>
          <t>BOLLNÄS</t>
        </is>
      </c>
      <c r="I5733" t="n">
        <v>3.1</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15149-2026</t>
        </is>
      </c>
      <c r="B5734" t="inlineStr">
        <is>
          <t>avverkningsanmälan</t>
        </is>
      </c>
      <c r="C5734" t="inlineStr">
        <is>
          <t>Föryngringsavverkning</t>
        </is>
      </c>
      <c r="D5734" s="1" t="n">
        <v>46105</v>
      </c>
      <c r="E5734" s="1" t="n">
        <v>46326</v>
      </c>
      <c r="F5734" t="inlineStr">
        <is>
          <t>GÄVLEBORGS LÄN</t>
        </is>
      </c>
      <c r="G5734" t="inlineStr">
        <is>
          <t>BOLLNÄS</t>
        </is>
      </c>
      <c r="H5734" t="inlineStr">
        <is>
          <t>Holmen skog AB</t>
        </is>
      </c>
      <c r="I5734" t="n">
        <v>8</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57387-2024</t>
        </is>
      </c>
      <c r="B5735" t="inlineStr">
        <is>
          <t>avverkningsanmälan</t>
        </is>
      </c>
      <c r="C5735" t="inlineStr">
        <is>
          <t>Föryngringsavverkning</t>
        </is>
      </c>
      <c r="D5735" s="1" t="n">
        <v>45629</v>
      </c>
      <c r="E5735" s="1" t="n">
        <v>46326</v>
      </c>
      <c r="F5735" t="inlineStr">
        <is>
          <t>GÄVLEBORGS LÄN</t>
        </is>
      </c>
      <c r="G5735" t="inlineStr">
        <is>
          <t>BOLLNÄS</t>
        </is>
      </c>
      <c r="I5735" t="n">
        <v>0.4</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63800-2025</t>
        </is>
      </c>
      <c r="B5736" t="inlineStr">
        <is>
          <t>avverkningsanmälan</t>
        </is>
      </c>
      <c r="C5736" t="inlineStr">
        <is>
          <t>Föryngringsavverkning</t>
        </is>
      </c>
      <c r="D5736" s="1" t="n">
        <v>46019</v>
      </c>
      <c r="E5736" s="1" t="n">
        <v>46326</v>
      </c>
      <c r="F5736" t="inlineStr">
        <is>
          <t>GÄVLEBORGS LÄN</t>
        </is>
      </c>
      <c r="G5736" t="inlineStr">
        <is>
          <t>GÄVLE</t>
        </is>
      </c>
      <c r="I5736" t="n">
        <v>4.1</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64086-2025</t>
        </is>
      </c>
      <c r="B5737" t="inlineStr">
        <is>
          <t>avverkningsanmälan</t>
        </is>
      </c>
      <c r="C5737" t="inlineStr">
        <is>
          <t>Föryngringsavverkning</t>
        </is>
      </c>
      <c r="D5737" s="1" t="n">
        <v>46021</v>
      </c>
      <c r="E5737" s="1" t="n">
        <v>46326</v>
      </c>
      <c r="F5737" t="inlineStr">
        <is>
          <t>GÄVLEBORGS LÄN</t>
        </is>
      </c>
      <c r="G5737" t="inlineStr">
        <is>
          <t>HUDIKSVALL</t>
        </is>
      </c>
      <c r="I5737" t="n">
        <v>1.8</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42788-2025</t>
        </is>
      </c>
      <c r="B5738" t="inlineStr">
        <is>
          <t>avverkningsanmälan</t>
        </is>
      </c>
      <c r="C5738" t="inlineStr">
        <is>
          <t>Föryngringsavverkning</t>
        </is>
      </c>
      <c r="D5738" s="1" t="n">
        <v>45908</v>
      </c>
      <c r="E5738" s="1" t="n">
        <v>46326</v>
      </c>
      <c r="F5738" t="inlineStr">
        <is>
          <t>GÄVLEBORGS LÄN</t>
        </is>
      </c>
      <c r="G5738" t="inlineStr">
        <is>
          <t>GÄVLE</t>
        </is>
      </c>
      <c r="I5738" t="n">
        <v>4.2</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48928-2025</t>
        </is>
      </c>
      <c r="B5739" t="inlineStr">
        <is>
          <t>avverkningsanmälan</t>
        </is>
      </c>
      <c r="C5739" t="inlineStr">
        <is>
          <t>Föryngringsavverkning</t>
        </is>
      </c>
      <c r="D5739" s="1" t="n">
        <v>45937</v>
      </c>
      <c r="E5739" s="1" t="n">
        <v>46326</v>
      </c>
      <c r="F5739" t="inlineStr">
        <is>
          <t>GÄVLEBORGS LÄN</t>
        </is>
      </c>
      <c r="G5739" t="inlineStr">
        <is>
          <t>GÄVLE</t>
        </is>
      </c>
      <c r="I5739" t="n">
        <v>1.4</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436-2026</t>
        </is>
      </c>
      <c r="B5740" t="inlineStr">
        <is>
          <t>avverkningsanmälan</t>
        </is>
      </c>
      <c r="C5740" t="inlineStr">
        <is>
          <t>Föryngringsavverkning</t>
        </is>
      </c>
      <c r="D5740" s="1" t="n">
        <v>46021</v>
      </c>
      <c r="E5740" s="1" t="n">
        <v>46326</v>
      </c>
      <c r="F5740" t="inlineStr">
        <is>
          <t>GÄVLEBORGS LÄN</t>
        </is>
      </c>
      <c r="G5740" t="inlineStr">
        <is>
          <t>SANDVIKEN</t>
        </is>
      </c>
      <c r="I5740" t="n">
        <v>1.7</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15669-2026</t>
        </is>
      </c>
      <c r="B5741" t="inlineStr">
        <is>
          <t>avverkningsanmälan</t>
        </is>
      </c>
      <c r="C5741" t="inlineStr">
        <is>
          <t>Föryngringsavverkning</t>
        </is>
      </c>
      <c r="D5741" s="1" t="n">
        <v>46106</v>
      </c>
      <c r="E5741" s="1" t="n">
        <v>46326</v>
      </c>
      <c r="F5741" t="inlineStr">
        <is>
          <t>GÄVLEBORGS LÄN</t>
        </is>
      </c>
      <c r="G5741" t="inlineStr">
        <is>
          <t>GÄVLE</t>
        </is>
      </c>
      <c r="H5741" t="inlineStr">
        <is>
          <t>Bergvik skog väst AB</t>
        </is>
      </c>
      <c r="I5741" t="n">
        <v>3.3</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59511-2022</t>
        </is>
      </c>
      <c r="B5742" t="inlineStr">
        <is>
          <t>avverkningsanmälan</t>
        </is>
      </c>
      <c r="C5742" t="inlineStr">
        <is>
          <t>Föryngringsavverkning</t>
        </is>
      </c>
      <c r="D5742" s="1" t="n">
        <v>44907</v>
      </c>
      <c r="E5742" s="1" t="n">
        <v>46326</v>
      </c>
      <c r="F5742" t="inlineStr">
        <is>
          <t>GÄVLEBORGS LÄN</t>
        </is>
      </c>
      <c r="G5742" t="inlineStr">
        <is>
          <t>OVANÅKER</t>
        </is>
      </c>
      <c r="I5742" t="n">
        <v>1.5</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63975-2025</t>
        </is>
      </c>
      <c r="B5743" t="inlineStr">
        <is>
          <t>avverkningsanmälan</t>
        </is>
      </c>
      <c r="C5743" t="inlineStr">
        <is>
          <t>Föryngringsavverkning</t>
        </is>
      </c>
      <c r="D5743" s="1" t="n">
        <v>46021</v>
      </c>
      <c r="E5743" s="1" t="n">
        <v>46326</v>
      </c>
      <c r="F5743" t="inlineStr">
        <is>
          <t>GÄVLEBORGS LÄN</t>
        </is>
      </c>
      <c r="G5743" t="inlineStr">
        <is>
          <t>OVANÅKER</t>
        </is>
      </c>
      <c r="I5743" t="n">
        <v>7.1</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48864-2025</t>
        </is>
      </c>
      <c r="B5744" t="inlineStr">
        <is>
          <t>avverkningsanmälan</t>
        </is>
      </c>
      <c r="C5744" t="inlineStr">
        <is>
          <t>Föryngringsavverkning</t>
        </is>
      </c>
      <c r="D5744" s="1" t="n">
        <v>45937</v>
      </c>
      <c r="E5744" s="1" t="n">
        <v>46326</v>
      </c>
      <c r="F5744" t="inlineStr">
        <is>
          <t>GÄVLEBORGS LÄN</t>
        </is>
      </c>
      <c r="G5744" t="inlineStr">
        <is>
          <t>GÄVLE</t>
        </is>
      </c>
      <c r="I5744" t="n">
        <v>4.5</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63979-2025</t>
        </is>
      </c>
      <c r="B5745" t="inlineStr">
        <is>
          <t>avverkningsanmälan</t>
        </is>
      </c>
      <c r="C5745" t="inlineStr">
        <is>
          <t>Föryngringsavverkning</t>
        </is>
      </c>
      <c r="D5745" s="1" t="n">
        <v>46021</v>
      </c>
      <c r="E5745" s="1" t="n">
        <v>46326</v>
      </c>
      <c r="F5745" t="inlineStr">
        <is>
          <t>GÄVLEBORGS LÄN</t>
        </is>
      </c>
      <c r="G5745" t="inlineStr">
        <is>
          <t>LJUSDAL</t>
        </is>
      </c>
      <c r="H5745" t="inlineStr">
        <is>
          <t>SCA</t>
        </is>
      </c>
      <c r="I5745" t="n">
        <v>3</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63986-2025</t>
        </is>
      </c>
      <c r="B5746" t="inlineStr">
        <is>
          <t>avverkningsanmälan</t>
        </is>
      </c>
      <c r="C5746" t="inlineStr">
        <is>
          <t>Föryngringsavverkning</t>
        </is>
      </c>
      <c r="D5746" s="1" t="n">
        <v>46021</v>
      </c>
      <c r="E5746" s="1" t="n">
        <v>46326</v>
      </c>
      <c r="F5746" t="inlineStr">
        <is>
          <t>GÄVLEBORGS LÄN</t>
        </is>
      </c>
      <c r="G5746" t="inlineStr">
        <is>
          <t>NORDANSTIG</t>
        </is>
      </c>
      <c r="H5746" t="inlineStr">
        <is>
          <t>Holmen skog AB</t>
        </is>
      </c>
      <c r="I5746" t="n">
        <v>7.8</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1244-2023</t>
        </is>
      </c>
      <c r="B5747" t="inlineStr">
        <is>
          <t>avverkningsanmälan</t>
        </is>
      </c>
      <c r="C5747" t="inlineStr">
        <is>
          <t>Föryngringsavverkning</t>
        </is>
      </c>
      <c r="D5747" s="1" t="n">
        <v>44936</v>
      </c>
      <c r="E5747" s="1" t="n">
        <v>46326</v>
      </c>
      <c r="F5747" t="inlineStr">
        <is>
          <t>GÄVLEBORGS LÄN</t>
        </is>
      </c>
      <c r="G5747" t="inlineStr">
        <is>
          <t>GÄVLE</t>
        </is>
      </c>
      <c r="I5747" t="n">
        <v>1.7</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62152-2024</t>
        </is>
      </c>
      <c r="B5748" t="inlineStr">
        <is>
          <t>avverkningsanmälan</t>
        </is>
      </c>
      <c r="C5748" t="inlineStr">
        <is>
          <t>Föryngringsavverkning</t>
        </is>
      </c>
      <c r="D5748" s="1" t="n">
        <v>45656</v>
      </c>
      <c r="E5748" s="1" t="n">
        <v>46326</v>
      </c>
      <c r="F5748" t="inlineStr">
        <is>
          <t>GÄVLEBORGS LÄN</t>
        </is>
      </c>
      <c r="G5748" t="inlineStr">
        <is>
          <t>OVANÅKER</t>
        </is>
      </c>
      <c r="I5748" t="n">
        <v>0.5</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56453-2023</t>
        </is>
      </c>
      <c r="B5749" t="inlineStr">
        <is>
          <t>avverkningsanmälan</t>
        </is>
      </c>
      <c r="C5749" t="inlineStr">
        <is>
          <t>Avverkning för annat ändamål</t>
        </is>
      </c>
      <c r="D5749" s="1" t="n">
        <v>45243</v>
      </c>
      <c r="E5749" s="1" t="n">
        <v>46326</v>
      </c>
      <c r="F5749" t="inlineStr">
        <is>
          <t>GÄVLEBORGS LÄN</t>
        </is>
      </c>
      <c r="G5749" t="inlineStr">
        <is>
          <t>BOLLNÄS</t>
        </is>
      </c>
      <c r="I5749" t="n">
        <v>0.8</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63870-2025</t>
        </is>
      </c>
      <c r="B5750" t="inlineStr">
        <is>
          <t>avverkningsanmälan</t>
        </is>
      </c>
      <c r="C5750" t="inlineStr">
        <is>
          <t>Föryngringsavverkning</t>
        </is>
      </c>
      <c r="D5750" s="1" t="n">
        <v>46020</v>
      </c>
      <c r="E5750" s="1" t="n">
        <v>46326</v>
      </c>
      <c r="F5750" t="inlineStr">
        <is>
          <t>GÄVLEBORGS LÄN</t>
        </is>
      </c>
      <c r="G5750" t="inlineStr">
        <is>
          <t>BOLLNÄS</t>
        </is>
      </c>
      <c r="I5750" t="n">
        <v>9.4</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42692-2025</t>
        </is>
      </c>
      <c r="B5751" t="inlineStr">
        <is>
          <t>avverkningsanmälan</t>
        </is>
      </c>
      <c r="C5751" t="inlineStr">
        <is>
          <t>Föryngringsavverkning</t>
        </is>
      </c>
      <c r="D5751" s="1" t="n">
        <v>45908</v>
      </c>
      <c r="E5751" s="1" t="n">
        <v>46326</v>
      </c>
      <c r="F5751" t="inlineStr">
        <is>
          <t>GÄVLEBORGS LÄN</t>
        </is>
      </c>
      <c r="G5751" t="inlineStr">
        <is>
          <t>GÄVLE</t>
        </is>
      </c>
      <c r="I5751" t="n">
        <v>1</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47694-2025</t>
        </is>
      </c>
      <c r="B5752" t="inlineStr">
        <is>
          <t>avverkningsanmälan</t>
        </is>
      </c>
      <c r="C5752" t="inlineStr">
        <is>
          <t>Föryngringsavverkning</t>
        </is>
      </c>
      <c r="D5752" s="1" t="n">
        <v>45931</v>
      </c>
      <c r="E5752" s="1" t="n">
        <v>46326</v>
      </c>
      <c r="F5752" t="inlineStr">
        <is>
          <t>GÄVLEBORGS LÄN</t>
        </is>
      </c>
      <c r="G5752" t="inlineStr">
        <is>
          <t>GÄVLE</t>
        </is>
      </c>
      <c r="I5752" t="n">
        <v>4.5</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39430-2024</t>
        </is>
      </c>
      <c r="B5753" t="inlineStr">
        <is>
          <t>avverkningsanmälan</t>
        </is>
      </c>
      <c r="C5753" t="inlineStr">
        <is>
          <t>Föryngringsavverkning</t>
        </is>
      </c>
      <c r="D5753" s="1" t="n">
        <v>45551</v>
      </c>
      <c r="E5753" s="1" t="n">
        <v>46326</v>
      </c>
      <c r="F5753" t="inlineStr">
        <is>
          <t>GÄVLEBORGS LÄN</t>
        </is>
      </c>
      <c r="G5753" t="inlineStr">
        <is>
          <t>OCKELBO</t>
        </is>
      </c>
      <c r="I5753" t="n">
        <v>2.1</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23378-2022</t>
        </is>
      </c>
      <c r="B5754" t="inlineStr">
        <is>
          <t>avverkningsanmälan</t>
        </is>
      </c>
      <c r="C5754" t="inlineStr">
        <is>
          <t>Föryngringsavverkning</t>
        </is>
      </c>
      <c r="D5754" s="1" t="n">
        <v>44720</v>
      </c>
      <c r="E5754" s="1" t="n">
        <v>46326</v>
      </c>
      <c r="F5754" t="inlineStr">
        <is>
          <t>GÄVLEBORGS LÄN</t>
        </is>
      </c>
      <c r="G5754" t="inlineStr">
        <is>
          <t>BOLLNÄS</t>
        </is>
      </c>
      <c r="I5754" t="n">
        <v>5.2</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47916-2025</t>
        </is>
      </c>
      <c r="B5755" t="inlineStr">
        <is>
          <t>avverkningsanmälan</t>
        </is>
      </c>
      <c r="C5755" t="inlineStr">
        <is>
          <t>Föryngringsavverkning</t>
        </is>
      </c>
      <c r="D5755" s="1" t="n">
        <v>45932</v>
      </c>
      <c r="E5755" s="1" t="n">
        <v>46326</v>
      </c>
      <c r="F5755" t="inlineStr">
        <is>
          <t>GÄVLEBORGS LÄN</t>
        </is>
      </c>
      <c r="G5755" t="inlineStr">
        <is>
          <t>GÄVLE</t>
        </is>
      </c>
      <c r="I5755" t="n">
        <v>3.1</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64142-2025</t>
        </is>
      </c>
      <c r="B5756" t="inlineStr">
        <is>
          <t>avverkningsanmälan</t>
        </is>
      </c>
      <c r="C5756" t="inlineStr">
        <is>
          <t>Föryngringsavverkning</t>
        </is>
      </c>
      <c r="D5756" s="1" t="n">
        <v>46022</v>
      </c>
      <c r="E5756" s="1" t="n">
        <v>46326</v>
      </c>
      <c r="F5756" t="inlineStr">
        <is>
          <t>GÄVLEBORGS LÄN</t>
        </is>
      </c>
      <c r="G5756" t="inlineStr">
        <is>
          <t>GÄVLE</t>
        </is>
      </c>
      <c r="I5756" t="n">
        <v>1.7</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206-2026</t>
        </is>
      </c>
      <c r="B5757" t="inlineStr">
        <is>
          <t>avverkningsanmälan</t>
        </is>
      </c>
      <c r="C5757" t="inlineStr">
        <is>
          <t>Föryngringsavverkning</t>
        </is>
      </c>
      <c r="D5757" s="1" t="n">
        <v>46026</v>
      </c>
      <c r="E5757" s="1" t="n">
        <v>46326</v>
      </c>
      <c r="F5757" t="inlineStr">
        <is>
          <t>GÄVLEBORGS LÄN</t>
        </is>
      </c>
      <c r="G5757" t="inlineStr">
        <is>
          <t>SÖDERHAMN</t>
        </is>
      </c>
      <c r="I5757" t="n">
        <v>12.9</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212-2026</t>
        </is>
      </c>
      <c r="B5758" t="inlineStr">
        <is>
          <t>avverkningsanmälan</t>
        </is>
      </c>
      <c r="C5758" t="inlineStr">
        <is>
          <t>Föryngringsavverkning</t>
        </is>
      </c>
      <c r="D5758" s="1" t="n">
        <v>46026</v>
      </c>
      <c r="E5758" s="1" t="n">
        <v>46326</v>
      </c>
      <c r="F5758" t="inlineStr">
        <is>
          <t>GÄVLEBORGS LÄN</t>
        </is>
      </c>
      <c r="G5758" t="inlineStr">
        <is>
          <t>HUDIKSVALL</t>
        </is>
      </c>
      <c r="I5758" t="n">
        <v>4.2</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218-2026</t>
        </is>
      </c>
      <c r="B5759" t="inlineStr">
        <is>
          <t>avverkningsanmälan</t>
        </is>
      </c>
      <c r="C5759" t="inlineStr">
        <is>
          <t>Föryngringsavverkning</t>
        </is>
      </c>
      <c r="D5759" s="1" t="n">
        <v>46026</v>
      </c>
      <c r="E5759" s="1" t="n">
        <v>46326</v>
      </c>
      <c r="F5759" t="inlineStr">
        <is>
          <t>GÄVLEBORGS LÄN</t>
        </is>
      </c>
      <c r="G5759" t="inlineStr">
        <is>
          <t>HUDIKSVALL</t>
        </is>
      </c>
      <c r="I5759" t="n">
        <v>4</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253-2026</t>
        </is>
      </c>
      <c r="B5760" t="inlineStr">
        <is>
          <t>avverkningsanmälan</t>
        </is>
      </c>
      <c r="C5760" t="inlineStr">
        <is>
          <t>Föryngringsavverkning</t>
        </is>
      </c>
      <c r="D5760" s="1" t="n">
        <v>46027</v>
      </c>
      <c r="E5760" s="1" t="n">
        <v>46326</v>
      </c>
      <c r="F5760" t="inlineStr">
        <is>
          <t>GÄVLEBORGS LÄN</t>
        </is>
      </c>
      <c r="G5760" t="inlineStr">
        <is>
          <t>BOLLNÄS</t>
        </is>
      </c>
      <c r="I5760" t="n">
        <v>7</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15643-2026</t>
        </is>
      </c>
      <c r="B5761" t="inlineStr">
        <is>
          <t>avverkningsanmälan</t>
        </is>
      </c>
      <c r="C5761" t="inlineStr">
        <is>
          <t>Föryngringsavverkning</t>
        </is>
      </c>
      <c r="D5761" s="1" t="n">
        <v>46106</v>
      </c>
      <c r="E5761" s="1" t="n">
        <v>46326</v>
      </c>
      <c r="F5761" t="inlineStr">
        <is>
          <t>GÄVLEBORGS LÄN</t>
        </is>
      </c>
      <c r="G5761" t="inlineStr">
        <is>
          <t>BOLLNÄS</t>
        </is>
      </c>
      <c r="I5761" t="n">
        <v>3.4</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15648-2026</t>
        </is>
      </c>
      <c r="B5762" t="inlineStr">
        <is>
          <t>avverkningsanmälan</t>
        </is>
      </c>
      <c r="C5762" t="inlineStr">
        <is>
          <t>Föryngringsavverkning</t>
        </is>
      </c>
      <c r="D5762" s="1" t="n">
        <v>46106</v>
      </c>
      <c r="E5762" s="1" t="n">
        <v>46326</v>
      </c>
      <c r="F5762" t="inlineStr">
        <is>
          <t>GÄVLEBORGS LÄN</t>
        </is>
      </c>
      <c r="G5762" t="inlineStr">
        <is>
          <t>OCKELBO</t>
        </is>
      </c>
      <c r="H5762" t="inlineStr">
        <is>
          <t>Bergvik skog väst AB</t>
        </is>
      </c>
      <c r="I5762" t="n">
        <v>3.1</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15259-2026</t>
        </is>
      </c>
      <c r="B5763" t="inlineStr">
        <is>
          <t>avverkningsanmälan</t>
        </is>
      </c>
      <c r="C5763" t="inlineStr">
        <is>
          <t>Föryngringsavverkning</t>
        </is>
      </c>
      <c r="D5763" s="1" t="n">
        <v>46105</v>
      </c>
      <c r="E5763" s="1" t="n">
        <v>46326</v>
      </c>
      <c r="F5763" t="inlineStr">
        <is>
          <t>GÄVLEBORGS LÄN</t>
        </is>
      </c>
      <c r="G5763" t="inlineStr">
        <is>
          <t>OVANÅKER</t>
        </is>
      </c>
      <c r="H5763" t="inlineStr">
        <is>
          <t>Bergvik skog öst AB</t>
        </is>
      </c>
      <c r="I5763" t="n">
        <v>0.5</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213-2026</t>
        </is>
      </c>
      <c r="B5764" t="inlineStr">
        <is>
          <t>avverkningsanmälan</t>
        </is>
      </c>
      <c r="C5764" t="inlineStr">
        <is>
          <t>Föryngringsavverkning</t>
        </is>
      </c>
      <c r="D5764" s="1" t="n">
        <v>46026</v>
      </c>
      <c r="E5764" s="1" t="n">
        <v>46326</v>
      </c>
      <c r="F5764" t="inlineStr">
        <is>
          <t>GÄVLEBORGS LÄN</t>
        </is>
      </c>
      <c r="G5764" t="inlineStr">
        <is>
          <t>HUDIKSVALL</t>
        </is>
      </c>
      <c r="I5764" t="n">
        <v>3.6</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215-2026</t>
        </is>
      </c>
      <c r="B5765" t="inlineStr">
        <is>
          <t>avverkningsanmälan</t>
        </is>
      </c>
      <c r="C5765" t="inlineStr">
        <is>
          <t>Föryngringsavverkning</t>
        </is>
      </c>
      <c r="D5765" s="1" t="n">
        <v>46026</v>
      </c>
      <c r="E5765" s="1" t="n">
        <v>46326</v>
      </c>
      <c r="F5765" t="inlineStr">
        <is>
          <t>GÄVLEBORGS LÄN</t>
        </is>
      </c>
      <c r="G5765" t="inlineStr">
        <is>
          <t>HUDIKSVALL</t>
        </is>
      </c>
      <c r="I5765" t="n">
        <v>15</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51306-2023</t>
        </is>
      </c>
      <c r="B5766" t="inlineStr">
        <is>
          <t>avverkningsanmälan</t>
        </is>
      </c>
      <c r="C5766" t="inlineStr">
        <is>
          <t>Föryngringsavverkning</t>
        </is>
      </c>
      <c r="D5766" s="1" t="n">
        <v>45219</v>
      </c>
      <c r="E5766" s="1" t="n">
        <v>46326</v>
      </c>
      <c r="F5766" t="inlineStr">
        <is>
          <t>GÄVLEBORGS LÄN</t>
        </is>
      </c>
      <c r="G5766" t="inlineStr">
        <is>
          <t>BOLLNÄS</t>
        </is>
      </c>
      <c r="I5766" t="n">
        <v>1</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119-2026</t>
        </is>
      </c>
      <c r="B5767" t="inlineStr">
        <is>
          <t>avverkningsanmälan</t>
        </is>
      </c>
      <c r="C5767" t="inlineStr">
        <is>
          <t>Föryngringsavverkning</t>
        </is>
      </c>
      <c r="D5767" s="1" t="n">
        <v>46024</v>
      </c>
      <c r="E5767" s="1" t="n">
        <v>46326</v>
      </c>
      <c r="F5767" t="inlineStr">
        <is>
          <t>GÄVLEBORGS LÄN</t>
        </is>
      </c>
      <c r="G5767" t="inlineStr">
        <is>
          <t>LJUSDAL</t>
        </is>
      </c>
      <c r="H5767" t="inlineStr">
        <is>
          <t>Övriga Aktiebolag</t>
        </is>
      </c>
      <c r="I5767" t="n">
        <v>8.300000000000001</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57815-2023</t>
        </is>
      </c>
      <c r="B5768" t="inlineStr">
        <is>
          <t>avverkningsanmälan</t>
        </is>
      </c>
      <c r="C5768" t="inlineStr">
        <is>
          <t>Föryngringsavverkning</t>
        </is>
      </c>
      <c r="D5768" s="1" t="n">
        <v>45247</v>
      </c>
      <c r="E5768" s="1" t="n">
        <v>46326</v>
      </c>
      <c r="F5768" t="inlineStr">
        <is>
          <t>GÄVLEBORGS LÄN</t>
        </is>
      </c>
      <c r="G5768" t="inlineStr">
        <is>
          <t>HUDIKSVALL</t>
        </is>
      </c>
      <c r="H5768" t="inlineStr">
        <is>
          <t>Holmen skog AB</t>
        </is>
      </c>
      <c r="I5768" t="n">
        <v>1.1</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110-2026</t>
        </is>
      </c>
      <c r="B5769" t="inlineStr">
        <is>
          <t>avverkningsanmälan</t>
        </is>
      </c>
      <c r="C5769" t="inlineStr">
        <is>
          <t>Föryngringsavverkning</t>
        </is>
      </c>
      <c r="D5769" s="1" t="n">
        <v>46024</v>
      </c>
      <c r="E5769" s="1" t="n">
        <v>46326</v>
      </c>
      <c r="F5769" t="inlineStr">
        <is>
          <t>GÄVLEBORGS LÄN</t>
        </is>
      </c>
      <c r="G5769" t="inlineStr">
        <is>
          <t>LJUSDAL</t>
        </is>
      </c>
      <c r="H5769" t="inlineStr">
        <is>
          <t>Övriga Aktiebolag</t>
        </is>
      </c>
      <c r="I5769" t="n">
        <v>12</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314-2026</t>
        </is>
      </c>
      <c r="B5770" t="inlineStr">
        <is>
          <t>avverkningsanmälan</t>
        </is>
      </c>
      <c r="C5770" t="inlineStr">
        <is>
          <t>Föryngringsavverkning</t>
        </is>
      </c>
      <c r="D5770" s="1" t="n">
        <v>46027</v>
      </c>
      <c r="E5770" s="1" t="n">
        <v>46326</v>
      </c>
      <c r="F5770" t="inlineStr">
        <is>
          <t>GÄVLEBORGS LÄN</t>
        </is>
      </c>
      <c r="G5770" t="inlineStr">
        <is>
          <t>HUDIKSVALL</t>
        </is>
      </c>
      <c r="I5770" t="n">
        <v>2.2</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342-2026</t>
        </is>
      </c>
      <c r="B5771" t="inlineStr">
        <is>
          <t>avverkningsanmälan</t>
        </is>
      </c>
      <c r="C5771" t="inlineStr">
        <is>
          <t>Föryngringsavverkning</t>
        </is>
      </c>
      <c r="D5771" s="1" t="n">
        <v>46027</v>
      </c>
      <c r="E5771" s="1" t="n">
        <v>46326</v>
      </c>
      <c r="F5771" t="inlineStr">
        <is>
          <t>GÄVLEBORGS LÄN</t>
        </is>
      </c>
      <c r="G5771" t="inlineStr">
        <is>
          <t>OCKELBO</t>
        </is>
      </c>
      <c r="I5771" t="n">
        <v>9</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15332-2026</t>
        </is>
      </c>
      <c r="B5772" t="inlineStr">
        <is>
          <t>avverkningsanmälan</t>
        </is>
      </c>
      <c r="C5772" t="inlineStr">
        <is>
          <t>Föryngringsavverkning</t>
        </is>
      </c>
      <c r="D5772" s="1" t="n">
        <v>46105</v>
      </c>
      <c r="E5772" s="1" t="n">
        <v>46326</v>
      </c>
      <c r="F5772" t="inlineStr">
        <is>
          <t>GÄVLEBORGS LÄN</t>
        </is>
      </c>
      <c r="G5772" t="inlineStr">
        <is>
          <t>OVANÅKER</t>
        </is>
      </c>
      <c r="H5772" t="inlineStr">
        <is>
          <t>Bergvik skog öst AB</t>
        </is>
      </c>
      <c r="I5772" t="n">
        <v>0.6</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15373-2026</t>
        </is>
      </c>
      <c r="B5773" t="inlineStr">
        <is>
          <t>avverkningsanmälan</t>
        </is>
      </c>
      <c r="C5773" t="inlineStr">
        <is>
          <t>Föryngringsavverkning</t>
        </is>
      </c>
      <c r="D5773" s="1" t="n">
        <v>46106</v>
      </c>
      <c r="E5773" s="1" t="n">
        <v>46326</v>
      </c>
      <c r="F5773" t="inlineStr">
        <is>
          <t>GÄVLEBORGS LÄN</t>
        </is>
      </c>
      <c r="G5773" t="inlineStr">
        <is>
          <t>OVANÅKER</t>
        </is>
      </c>
      <c r="H5773" t="inlineStr">
        <is>
          <t>Bergvik skog väst AB</t>
        </is>
      </c>
      <c r="I5773" t="n">
        <v>2.7</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3833-2024</t>
        </is>
      </c>
      <c r="B5774" t="inlineStr">
        <is>
          <t>avverkningsanmälan</t>
        </is>
      </c>
      <c r="C5774" t="inlineStr">
        <is>
          <t>Föryngringsavverkning</t>
        </is>
      </c>
      <c r="D5774" s="1" t="n">
        <v>45321</v>
      </c>
      <c r="E5774" s="1" t="n">
        <v>46326</v>
      </c>
      <c r="F5774" t="inlineStr">
        <is>
          <t>GÄVLEBORGS LÄN</t>
        </is>
      </c>
      <c r="G5774" t="inlineStr">
        <is>
          <t>SANDVIKEN</t>
        </is>
      </c>
      <c r="I5774" t="n">
        <v>1</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350-2026</t>
        </is>
      </c>
      <c r="B5775" t="inlineStr">
        <is>
          <t>avverkningsanmälan</t>
        </is>
      </c>
      <c r="C5775" t="inlineStr">
        <is>
          <t>Föryngringsavverkning</t>
        </is>
      </c>
      <c r="D5775" s="1" t="n">
        <v>46027</v>
      </c>
      <c r="E5775" s="1" t="n">
        <v>46326</v>
      </c>
      <c r="F5775" t="inlineStr">
        <is>
          <t>GÄVLEBORGS LÄN</t>
        </is>
      </c>
      <c r="G5775" t="inlineStr">
        <is>
          <t>OCKELBO</t>
        </is>
      </c>
      <c r="I5775" t="n">
        <v>16.2</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15511-2026</t>
        </is>
      </c>
      <c r="B5776" t="inlineStr">
        <is>
          <t>avverkningsanmälan</t>
        </is>
      </c>
      <c r="C5776" t="inlineStr">
        <is>
          <t>Föryngringsavverkning</t>
        </is>
      </c>
      <c r="D5776" s="1" t="n">
        <v>46106</v>
      </c>
      <c r="E5776" s="1" t="n">
        <v>46326</v>
      </c>
      <c r="F5776" t="inlineStr">
        <is>
          <t>GÄVLEBORGS LÄN</t>
        </is>
      </c>
      <c r="G5776" t="inlineStr">
        <is>
          <t>BOLLNÄS</t>
        </is>
      </c>
      <c r="I5776" t="n">
        <v>2.9</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109-2026</t>
        </is>
      </c>
      <c r="B5777" t="inlineStr">
        <is>
          <t>avverkningsanmälan</t>
        </is>
      </c>
      <c r="C5777" t="inlineStr">
        <is>
          <t>Föryngringsavverkning</t>
        </is>
      </c>
      <c r="D5777" s="1" t="n">
        <v>46024</v>
      </c>
      <c r="E5777" s="1" t="n">
        <v>46326</v>
      </c>
      <c r="F5777" t="inlineStr">
        <is>
          <t>GÄVLEBORGS LÄN</t>
        </is>
      </c>
      <c r="G5777" t="inlineStr">
        <is>
          <t>HUDIKSVALL</t>
        </is>
      </c>
      <c r="I5777" t="n">
        <v>2.3</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210-2026</t>
        </is>
      </c>
      <c r="B5778" t="inlineStr">
        <is>
          <t>avverkningsanmälan</t>
        </is>
      </c>
      <c r="C5778" t="inlineStr">
        <is>
          <t>Föryngringsavverkning</t>
        </is>
      </c>
      <c r="D5778" s="1" t="n">
        <v>46026</v>
      </c>
      <c r="E5778" s="1" t="n">
        <v>46326</v>
      </c>
      <c r="F5778" t="inlineStr">
        <is>
          <t>GÄVLEBORGS LÄN</t>
        </is>
      </c>
      <c r="G5778" t="inlineStr">
        <is>
          <t>HUDIKSVALL</t>
        </is>
      </c>
      <c r="I5778" t="n">
        <v>3.7</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346-2026</t>
        </is>
      </c>
      <c r="B5779" t="inlineStr">
        <is>
          <t>avverkningsanmälan</t>
        </is>
      </c>
      <c r="C5779" t="inlineStr">
        <is>
          <t>Föryngringsavverkning</t>
        </is>
      </c>
      <c r="D5779" s="1" t="n">
        <v>46027</v>
      </c>
      <c r="E5779" s="1" t="n">
        <v>46326</v>
      </c>
      <c r="F5779" t="inlineStr">
        <is>
          <t>GÄVLEBORGS LÄN</t>
        </is>
      </c>
      <c r="G5779" t="inlineStr">
        <is>
          <t>OCKELBO</t>
        </is>
      </c>
      <c r="I5779" t="n">
        <v>0.9</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1351-2024</t>
        </is>
      </c>
      <c r="B5780" t="inlineStr">
        <is>
          <t>avverkningsanmälan</t>
        </is>
      </c>
      <c r="C5780" t="inlineStr">
        <is>
          <t>Föryngringsavverkning</t>
        </is>
      </c>
      <c r="D5780" s="1" t="n">
        <v>45303</v>
      </c>
      <c r="E5780" s="1" t="n">
        <v>46326</v>
      </c>
      <c r="F5780" t="inlineStr">
        <is>
          <t>GÄVLEBORGS LÄN</t>
        </is>
      </c>
      <c r="G5780" t="inlineStr">
        <is>
          <t>NORDANSTIG</t>
        </is>
      </c>
      <c r="I5780" t="n">
        <v>1.5</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1405-2024</t>
        </is>
      </c>
      <c r="B5781" t="inlineStr">
        <is>
          <t>avverkningsanmälan</t>
        </is>
      </c>
      <c r="C5781" t="inlineStr">
        <is>
          <t>Avverkning för annat ändamål</t>
        </is>
      </c>
      <c r="D5781" s="1" t="n">
        <v>45303</v>
      </c>
      <c r="E5781" s="1" t="n">
        <v>46326</v>
      </c>
      <c r="F5781" t="inlineStr">
        <is>
          <t>GÄVLEBORGS LÄN</t>
        </is>
      </c>
      <c r="G5781" t="inlineStr">
        <is>
          <t>OVANÅKER</t>
        </is>
      </c>
      <c r="I5781" t="n">
        <v>0.6</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15575-2026</t>
        </is>
      </c>
      <c r="B5782" t="inlineStr">
        <is>
          <t>avverkningsanmälan</t>
        </is>
      </c>
      <c r="C5782" t="inlineStr">
        <is>
          <t>Föryngringsavverkning</t>
        </is>
      </c>
      <c r="D5782" s="1" t="n">
        <v>46106</v>
      </c>
      <c r="E5782" s="1" t="n">
        <v>46326</v>
      </c>
      <c r="F5782" t="inlineStr">
        <is>
          <t>GÄVLEBORGS LÄN</t>
        </is>
      </c>
      <c r="G5782" t="inlineStr">
        <is>
          <t>OCKELBO</t>
        </is>
      </c>
      <c r="I5782" t="n">
        <v>1.4</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32622-2022</t>
        </is>
      </c>
      <c r="B5783" t="inlineStr">
        <is>
          <t>avverkningsanmälan</t>
        </is>
      </c>
      <c r="C5783" t="inlineStr">
        <is>
          <t>Föryngringsavverkning</t>
        </is>
      </c>
      <c r="D5783" s="1" t="n">
        <v>44783</v>
      </c>
      <c r="E5783" s="1" t="n">
        <v>46326</v>
      </c>
      <c r="F5783" t="inlineStr">
        <is>
          <t>GÄVLEBORGS LÄN</t>
        </is>
      </c>
      <c r="G5783" t="inlineStr">
        <is>
          <t>NORDANSTIG</t>
        </is>
      </c>
      <c r="I5783" t="n">
        <v>2.7</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15449-2026</t>
        </is>
      </c>
      <c r="B5784" t="inlineStr">
        <is>
          <t>avverkningsanmälan</t>
        </is>
      </c>
      <c r="C5784" t="inlineStr">
        <is>
          <t>Föryngringsavverkning</t>
        </is>
      </c>
      <c r="D5784" s="1" t="n">
        <v>46106</v>
      </c>
      <c r="E5784" s="1" t="n">
        <v>46326</v>
      </c>
      <c r="F5784" t="inlineStr">
        <is>
          <t>GÄVLEBORGS LÄN</t>
        </is>
      </c>
      <c r="G5784" t="inlineStr">
        <is>
          <t>BOLLNÄS</t>
        </is>
      </c>
      <c r="I5784" t="n">
        <v>0.5</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58333-2022</t>
        </is>
      </c>
      <c r="B5785" t="inlineStr">
        <is>
          <t>avverkningsanmälan</t>
        </is>
      </c>
      <c r="C5785" t="inlineStr">
        <is>
          <t>Avverkning för annat ändamål</t>
        </is>
      </c>
      <c r="D5785" s="1" t="n">
        <v>44901</v>
      </c>
      <c r="E5785" s="1" t="n">
        <v>46326</v>
      </c>
      <c r="F5785" t="inlineStr">
        <is>
          <t>GÄVLEBORGS LÄN</t>
        </is>
      </c>
      <c r="G5785" t="inlineStr">
        <is>
          <t>BOLLNÄS</t>
        </is>
      </c>
      <c r="I5785" t="n">
        <v>1.8</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16019-2024</t>
        </is>
      </c>
      <c r="B5786" t="inlineStr">
        <is>
          <t>avverkningsanmälan</t>
        </is>
      </c>
      <c r="C5786" t="inlineStr">
        <is>
          <t>Föryngringsavverkning</t>
        </is>
      </c>
      <c r="D5786" s="1" t="n">
        <v>45405</v>
      </c>
      <c r="E5786" s="1" t="n">
        <v>46326</v>
      </c>
      <c r="F5786" t="inlineStr">
        <is>
          <t>GÄVLEBORGS LÄN</t>
        </is>
      </c>
      <c r="G5786" t="inlineStr">
        <is>
          <t>OVANÅKER</t>
        </is>
      </c>
      <c r="I5786" t="n">
        <v>3.6</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15605-2026</t>
        </is>
      </c>
      <c r="B5787" t="inlineStr">
        <is>
          <t>avverkningsanmälan</t>
        </is>
      </c>
      <c r="C5787" t="inlineStr">
        <is>
          <t>Föryngringsavverkning</t>
        </is>
      </c>
      <c r="D5787" s="1" t="n">
        <v>46106</v>
      </c>
      <c r="E5787" s="1" t="n">
        <v>46326</v>
      </c>
      <c r="F5787" t="inlineStr">
        <is>
          <t>GÄVLEBORGS LÄN</t>
        </is>
      </c>
      <c r="G5787" t="inlineStr">
        <is>
          <t>BOLLNÄS</t>
        </is>
      </c>
      <c r="I5787" t="n">
        <v>0.6</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60442-2022</t>
        </is>
      </c>
      <c r="B5788" t="inlineStr">
        <is>
          <t>avverkningsanmälan</t>
        </is>
      </c>
      <c r="C5788" t="inlineStr">
        <is>
          <t>Föryngringsavverkning</t>
        </is>
      </c>
      <c r="D5788" s="1" t="n">
        <v>44911</v>
      </c>
      <c r="E5788" s="1" t="n">
        <v>46326</v>
      </c>
      <c r="F5788" t="inlineStr">
        <is>
          <t>GÄVLEBORGS LÄN</t>
        </is>
      </c>
      <c r="G5788" t="inlineStr">
        <is>
          <t>GÄVLE</t>
        </is>
      </c>
      <c r="I5788" t="n">
        <v>1.3</v>
      </c>
      <c r="J5788" t="n">
        <v>0</v>
      </c>
      <c r="K5788" t="n">
        <v>0</v>
      </c>
      <c r="L5788" t="n">
        <v>0</v>
      </c>
      <c r="M5788" t="n">
        <v>0</v>
      </c>
      <c r="N5788" t="n">
        <v>0</v>
      </c>
      <c r="O5788" t="n">
        <v>0</v>
      </c>
      <c r="P5788" t="n">
        <v>0</v>
      </c>
      <c r="Q5788" t="n">
        <v>0</v>
      </c>
      <c r="R5788" t="n">
        <v>0</v>
      </c>
      <c r="S5788" t="n">
        <v>0</v>
      </c>
      <c r="T5788" t="n">
        <v>0</v>
      </c>
      <c r="U5788" t="n">
        <v>0</v>
      </c>
      <c r="V5788" s="2" t="inlineStr"/>
    </row>
    <row r="5789" ht="15" customHeight="1">
      <c r="A5789" t="inlineStr">
        <is>
          <t>A 15442-2026</t>
        </is>
      </c>
      <c r="B5789" t="inlineStr">
        <is>
          <t>avverkningsanmälan</t>
        </is>
      </c>
      <c r="C5789" t="inlineStr">
        <is>
          <t>Föryngringsavverkning</t>
        </is>
      </c>
      <c r="D5789" s="1" t="n">
        <v>46106</v>
      </c>
      <c r="E5789" s="1" t="n">
        <v>46326</v>
      </c>
      <c r="F5789" t="inlineStr">
        <is>
          <t>GÄVLEBORGS LÄN</t>
        </is>
      </c>
      <c r="G5789" t="inlineStr">
        <is>
          <t>OVANÅKER</t>
        </is>
      </c>
      <c r="I5789" t="n">
        <v>5.4</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62459-2023</t>
        </is>
      </c>
      <c r="B5790" t="inlineStr">
        <is>
          <t>avverkningsanmälan</t>
        </is>
      </c>
      <c r="C5790" t="inlineStr">
        <is>
          <t>Föryngringsavverkning</t>
        </is>
      </c>
      <c r="D5790" s="1" t="n">
        <v>45268</v>
      </c>
      <c r="E5790" s="1" t="n">
        <v>46326</v>
      </c>
      <c r="F5790" t="inlineStr">
        <is>
          <t>GÄVLEBORGS LÄN</t>
        </is>
      </c>
      <c r="G5790" t="inlineStr">
        <is>
          <t>SANDVIKEN</t>
        </is>
      </c>
      <c r="I5790" t="n">
        <v>1.8</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50281-2024</t>
        </is>
      </c>
      <c r="B5791" t="inlineStr">
        <is>
          <t>avverkningsanmälan</t>
        </is>
      </c>
      <c r="C5791" t="inlineStr">
        <is>
          <t>Föryngringsavverkning</t>
        </is>
      </c>
      <c r="D5791" s="1" t="n">
        <v>45600</v>
      </c>
      <c r="E5791" s="1" t="n">
        <v>46326</v>
      </c>
      <c r="F5791" t="inlineStr">
        <is>
          <t>GÄVLEBORGS LÄN</t>
        </is>
      </c>
      <c r="G5791" t="inlineStr">
        <is>
          <t>SÖDERHAMN</t>
        </is>
      </c>
      <c r="I5791" t="n">
        <v>2.7</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50314-2024</t>
        </is>
      </c>
      <c r="B5792" t="inlineStr">
        <is>
          <t>avverkningsanmälan</t>
        </is>
      </c>
      <c r="C5792" t="inlineStr">
        <is>
          <t>Föryngringsavverkning</t>
        </is>
      </c>
      <c r="D5792" s="1" t="n">
        <v>45600</v>
      </c>
      <c r="E5792" s="1" t="n">
        <v>46326</v>
      </c>
      <c r="F5792" t="inlineStr">
        <is>
          <t>GÄVLEBORGS LÄN</t>
        </is>
      </c>
      <c r="G5792" t="inlineStr">
        <is>
          <t>GÄVLE</t>
        </is>
      </c>
      <c r="I5792" t="n">
        <v>1.8</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15507-2026</t>
        </is>
      </c>
      <c r="B5793" t="inlineStr">
        <is>
          <t>avverkningsanmälan</t>
        </is>
      </c>
      <c r="C5793" t="inlineStr">
        <is>
          <t>Föryngringsavverkning</t>
        </is>
      </c>
      <c r="D5793" s="1" t="n">
        <v>46106</v>
      </c>
      <c r="E5793" s="1" t="n">
        <v>46326</v>
      </c>
      <c r="F5793" t="inlineStr">
        <is>
          <t>GÄVLEBORGS LÄN</t>
        </is>
      </c>
      <c r="G5793" t="inlineStr">
        <is>
          <t>BOLLNÄS</t>
        </is>
      </c>
      <c r="I5793" t="n">
        <v>2.4</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15510-2026</t>
        </is>
      </c>
      <c r="B5794" t="inlineStr">
        <is>
          <t>avverkningsanmälan</t>
        </is>
      </c>
      <c r="C5794" t="inlineStr">
        <is>
          <t>Föryngringsavverkning</t>
        </is>
      </c>
      <c r="D5794" s="1" t="n">
        <v>46106</v>
      </c>
      <c r="E5794" s="1" t="n">
        <v>46326</v>
      </c>
      <c r="F5794" t="inlineStr">
        <is>
          <t>GÄVLEBORGS LÄN</t>
        </is>
      </c>
      <c r="G5794" t="inlineStr">
        <is>
          <t>OVANÅKER</t>
        </is>
      </c>
      <c r="H5794" t="inlineStr">
        <is>
          <t>Bergvik skog öst AB</t>
        </is>
      </c>
      <c r="I5794" t="n">
        <v>0.6</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15520-2026</t>
        </is>
      </c>
      <c r="B5795" t="inlineStr">
        <is>
          <t>avverkningsanmälan</t>
        </is>
      </c>
      <c r="C5795" t="inlineStr">
        <is>
          <t>Föryngringsavverkning</t>
        </is>
      </c>
      <c r="D5795" s="1" t="n">
        <v>46106</v>
      </c>
      <c r="E5795" s="1" t="n">
        <v>46326</v>
      </c>
      <c r="F5795" t="inlineStr">
        <is>
          <t>GÄVLEBORGS LÄN</t>
        </is>
      </c>
      <c r="G5795" t="inlineStr">
        <is>
          <t>BOLLNÄS</t>
        </is>
      </c>
      <c r="I5795" t="n">
        <v>1.2</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15528-2026</t>
        </is>
      </c>
      <c r="B5796" t="inlineStr">
        <is>
          <t>avverkningsanmälan</t>
        </is>
      </c>
      <c r="C5796" t="inlineStr">
        <is>
          <t>Föryngringsavverkning</t>
        </is>
      </c>
      <c r="D5796" s="1" t="n">
        <v>46106</v>
      </c>
      <c r="E5796" s="1" t="n">
        <v>46326</v>
      </c>
      <c r="F5796" t="inlineStr">
        <is>
          <t>GÄVLEBORGS LÄN</t>
        </is>
      </c>
      <c r="G5796" t="inlineStr">
        <is>
          <t>BOLLNÄS</t>
        </is>
      </c>
      <c r="I5796" t="n">
        <v>3.9</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15534-2026</t>
        </is>
      </c>
      <c r="B5797" t="inlineStr">
        <is>
          <t>avverkningsanmälan</t>
        </is>
      </c>
      <c r="C5797" t="inlineStr">
        <is>
          <t>Föryngringsavverkning</t>
        </is>
      </c>
      <c r="D5797" s="1" t="n">
        <v>46106</v>
      </c>
      <c r="E5797" s="1" t="n">
        <v>46326</v>
      </c>
      <c r="F5797" t="inlineStr">
        <is>
          <t>GÄVLEBORGS LÄN</t>
        </is>
      </c>
      <c r="G5797" t="inlineStr">
        <is>
          <t>OVANÅKER</t>
        </is>
      </c>
      <c r="I5797" t="n">
        <v>3.4</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15535-2026</t>
        </is>
      </c>
      <c r="B5798" t="inlineStr">
        <is>
          <t>avverkningsanmälan</t>
        </is>
      </c>
      <c r="C5798" t="inlineStr">
        <is>
          <t>Föryngringsavverkning</t>
        </is>
      </c>
      <c r="D5798" s="1" t="n">
        <v>46106</v>
      </c>
      <c r="E5798" s="1" t="n">
        <v>46326</v>
      </c>
      <c r="F5798" t="inlineStr">
        <is>
          <t>GÄVLEBORGS LÄN</t>
        </is>
      </c>
      <c r="G5798" t="inlineStr">
        <is>
          <t>GÄVLE</t>
        </is>
      </c>
      <c r="H5798" t="inlineStr">
        <is>
          <t>Bergvik skog öst AB</t>
        </is>
      </c>
      <c r="I5798" t="n">
        <v>0.7</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15572-2026</t>
        </is>
      </c>
      <c r="B5799" t="inlineStr">
        <is>
          <t>avverkningsanmälan</t>
        </is>
      </c>
      <c r="C5799" t="inlineStr">
        <is>
          <t>Föryngringsavverkning</t>
        </is>
      </c>
      <c r="D5799" s="1" t="n">
        <v>46106</v>
      </c>
      <c r="E5799" s="1" t="n">
        <v>46326</v>
      </c>
      <c r="F5799" t="inlineStr">
        <is>
          <t>GÄVLEBORGS LÄN</t>
        </is>
      </c>
      <c r="G5799" t="inlineStr">
        <is>
          <t>OCKELBO</t>
        </is>
      </c>
      <c r="I5799" t="n">
        <v>2</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15097-2026</t>
        </is>
      </c>
      <c r="B5800" t="inlineStr">
        <is>
          <t>avverkningsanmälan</t>
        </is>
      </c>
      <c r="C5800" t="inlineStr">
        <is>
          <t>Föryngringsavverkning</t>
        </is>
      </c>
      <c r="D5800" s="1" t="n">
        <v>46105</v>
      </c>
      <c r="E5800" s="1" t="n">
        <v>46326</v>
      </c>
      <c r="F5800" t="inlineStr">
        <is>
          <t>GÄVLEBORGS LÄN</t>
        </is>
      </c>
      <c r="G5800" t="inlineStr">
        <is>
          <t>GÄVLE</t>
        </is>
      </c>
      <c r="H5800" t="inlineStr">
        <is>
          <t>Bergvik skog öst AB</t>
        </is>
      </c>
      <c r="I5800" t="n">
        <v>2.5</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15529-2026</t>
        </is>
      </c>
      <c r="B5801" t="inlineStr">
        <is>
          <t>avverkningsanmälan</t>
        </is>
      </c>
      <c r="C5801" t="inlineStr">
        <is>
          <t>Föryngringsavverkning</t>
        </is>
      </c>
      <c r="D5801" s="1" t="n">
        <v>46106</v>
      </c>
      <c r="E5801" s="1" t="n">
        <v>46326</v>
      </c>
      <c r="F5801" t="inlineStr">
        <is>
          <t>GÄVLEBORGS LÄN</t>
        </is>
      </c>
      <c r="G5801" t="inlineStr">
        <is>
          <t>SANDVIKEN</t>
        </is>
      </c>
      <c r="I5801" t="n">
        <v>0.4</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15522-2026</t>
        </is>
      </c>
      <c r="B5802" t="inlineStr">
        <is>
          <t>avverkningsanmälan</t>
        </is>
      </c>
      <c r="C5802" t="inlineStr">
        <is>
          <t>Föryngringsavverkning</t>
        </is>
      </c>
      <c r="D5802" s="1" t="n">
        <v>46106</v>
      </c>
      <c r="E5802" s="1" t="n">
        <v>46326</v>
      </c>
      <c r="F5802" t="inlineStr">
        <is>
          <t>GÄVLEBORGS LÄN</t>
        </is>
      </c>
      <c r="G5802" t="inlineStr">
        <is>
          <t>BOLLNÄS</t>
        </is>
      </c>
      <c r="I5802" t="n">
        <v>0.8</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61611-2023</t>
        </is>
      </c>
      <c r="B5803" t="inlineStr">
        <is>
          <t>avverkningsanmälan</t>
        </is>
      </c>
      <c r="C5803" t="inlineStr">
        <is>
          <t>Föryngringsavverkning</t>
        </is>
      </c>
      <c r="D5803" s="1" t="n">
        <v>45265</v>
      </c>
      <c r="E5803" s="1" t="n">
        <v>46326</v>
      </c>
      <c r="F5803" t="inlineStr">
        <is>
          <t>GÄVLEBORGS LÄN</t>
        </is>
      </c>
      <c r="G5803" t="inlineStr">
        <is>
          <t>HUDIKSVALL</t>
        </is>
      </c>
      <c r="I5803" t="n">
        <v>4.7</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15375-2026</t>
        </is>
      </c>
      <c r="B5804" t="inlineStr">
        <is>
          <t>avverkningsanmälan</t>
        </is>
      </c>
      <c r="C5804" t="inlineStr">
        <is>
          <t>Föryngringsavverkning</t>
        </is>
      </c>
      <c r="D5804" s="1" t="n">
        <v>46106</v>
      </c>
      <c r="E5804" s="1" t="n">
        <v>46326</v>
      </c>
      <c r="F5804" t="inlineStr">
        <is>
          <t>GÄVLEBORGS LÄN</t>
        </is>
      </c>
      <c r="G5804" t="inlineStr">
        <is>
          <t>SÖDERHAMN</t>
        </is>
      </c>
      <c r="I5804" t="n">
        <v>6.4</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15151-2026</t>
        </is>
      </c>
      <c r="B5805" t="inlineStr">
        <is>
          <t>avverkningsanmälan</t>
        </is>
      </c>
      <c r="C5805" t="inlineStr">
        <is>
          <t>Föryngringsavverkning</t>
        </is>
      </c>
      <c r="D5805" s="1" t="n">
        <v>46105</v>
      </c>
      <c r="E5805" s="1" t="n">
        <v>46326</v>
      </c>
      <c r="F5805" t="inlineStr">
        <is>
          <t>GÄVLEBORGS LÄN</t>
        </is>
      </c>
      <c r="G5805" t="inlineStr">
        <is>
          <t>OCKELBO</t>
        </is>
      </c>
      <c r="H5805" t="inlineStr">
        <is>
          <t>Bergvik skog öst AB</t>
        </is>
      </c>
      <c r="I5805" t="n">
        <v>9</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15614-2026</t>
        </is>
      </c>
      <c r="B5806" t="inlineStr">
        <is>
          <t>avverkningsanmälan</t>
        </is>
      </c>
      <c r="C5806" t="inlineStr">
        <is>
          <t>Föryngringsavverkning</t>
        </is>
      </c>
      <c r="D5806" s="1" t="n">
        <v>46106</v>
      </c>
      <c r="E5806" s="1" t="n">
        <v>46326</v>
      </c>
      <c r="F5806" t="inlineStr">
        <is>
          <t>GÄVLEBORGS LÄN</t>
        </is>
      </c>
      <c r="G5806" t="inlineStr">
        <is>
          <t>OVANÅKER</t>
        </is>
      </c>
      <c r="H5806" t="inlineStr">
        <is>
          <t>Bergvik skog öst AB</t>
        </is>
      </c>
      <c r="I5806" t="n">
        <v>1.6</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61769-2024</t>
        </is>
      </c>
      <c r="B5807" t="inlineStr">
        <is>
          <t>avverkningsanmälan</t>
        </is>
      </c>
      <c r="C5807" t="inlineStr">
        <is>
          <t>Föryngringsavverkning</t>
        </is>
      </c>
      <c r="D5807" s="1" t="n">
        <v>45649</v>
      </c>
      <c r="E5807" s="1" t="n">
        <v>46326</v>
      </c>
      <c r="F5807" t="inlineStr">
        <is>
          <t>GÄVLEBORGS LÄN</t>
        </is>
      </c>
      <c r="G5807" t="inlineStr">
        <is>
          <t>BOLLNÄS</t>
        </is>
      </c>
      <c r="I5807" t="n">
        <v>6.2</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61786-2024</t>
        </is>
      </c>
      <c r="B5808" t="inlineStr">
        <is>
          <t>avverkningsanmälan</t>
        </is>
      </c>
      <c r="C5808" t="inlineStr">
        <is>
          <t>Avverkning för annat ändamål</t>
        </is>
      </c>
      <c r="D5808" s="1" t="n">
        <v>45649</v>
      </c>
      <c r="E5808" s="1" t="n">
        <v>46326</v>
      </c>
      <c r="F5808" t="inlineStr">
        <is>
          <t>GÄVLEBORGS LÄN</t>
        </is>
      </c>
      <c r="G5808" t="inlineStr">
        <is>
          <t>GÄVLE</t>
        </is>
      </c>
      <c r="I5808" t="n">
        <v>1.1</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15582-2026</t>
        </is>
      </c>
      <c r="B5809" t="inlineStr">
        <is>
          <t>avverkningsanmälan</t>
        </is>
      </c>
      <c r="C5809" t="inlineStr">
        <is>
          <t>Föryngringsavverkning</t>
        </is>
      </c>
      <c r="D5809" s="1" t="n">
        <v>46106</v>
      </c>
      <c r="E5809" s="1" t="n">
        <v>46326</v>
      </c>
      <c r="F5809" t="inlineStr">
        <is>
          <t>GÄVLEBORGS LÄN</t>
        </is>
      </c>
      <c r="G5809" t="inlineStr">
        <is>
          <t>OVANÅKER</t>
        </is>
      </c>
      <c r="I5809" t="n">
        <v>0.7</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20264-2024</t>
        </is>
      </c>
      <c r="B5810" t="inlineStr">
        <is>
          <t>avverkningsanmälan</t>
        </is>
      </c>
      <c r="C5810" t="inlineStr">
        <is>
          <t>Föryngringsavverkning</t>
        </is>
      </c>
      <c r="D5810" s="1" t="n">
        <v>45434</v>
      </c>
      <c r="E5810" s="1" t="n">
        <v>46326</v>
      </c>
      <c r="F5810" t="inlineStr">
        <is>
          <t>GÄVLEBORGS LÄN</t>
        </is>
      </c>
      <c r="G5810" t="inlineStr">
        <is>
          <t>OVANÅKER</t>
        </is>
      </c>
      <c r="I5810" t="n">
        <v>5.3</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15387-2026</t>
        </is>
      </c>
      <c r="B5811" t="inlineStr">
        <is>
          <t>avverkningsanmälan</t>
        </is>
      </c>
      <c r="C5811" t="inlineStr">
        <is>
          <t>Föryngringsavverkning</t>
        </is>
      </c>
      <c r="D5811" s="1" t="n">
        <v>46106</v>
      </c>
      <c r="E5811" s="1" t="n">
        <v>46326</v>
      </c>
      <c r="F5811" t="inlineStr">
        <is>
          <t>GÄVLEBORGS LÄN</t>
        </is>
      </c>
      <c r="G5811" t="inlineStr">
        <is>
          <t>BOLLNÄS</t>
        </is>
      </c>
      <c r="H5811" t="inlineStr">
        <is>
          <t>Bergvik skog väst AB</t>
        </is>
      </c>
      <c r="I5811" t="n">
        <v>3.3</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19034-2023</t>
        </is>
      </c>
      <c r="B5812" t="inlineStr">
        <is>
          <t>avverkningsanmälan</t>
        </is>
      </c>
      <c r="C5812" t="inlineStr">
        <is>
          <t>Föryngringsavverkning</t>
        </is>
      </c>
      <c r="D5812" s="1" t="n">
        <v>45047</v>
      </c>
      <c r="E5812" s="1" t="n">
        <v>46326</v>
      </c>
      <c r="F5812" t="inlineStr">
        <is>
          <t>GÄVLEBORGS LÄN</t>
        </is>
      </c>
      <c r="G5812" t="inlineStr">
        <is>
          <t>LJUSDAL</t>
        </is>
      </c>
      <c r="I5812" t="n">
        <v>0.3</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15113-2026</t>
        </is>
      </c>
      <c r="B5813" t="inlineStr">
        <is>
          <t>avverkningsanmälan</t>
        </is>
      </c>
      <c r="C5813" t="inlineStr">
        <is>
          <t>Föryngringsavverkning</t>
        </is>
      </c>
      <c r="D5813" s="1" t="n">
        <v>46105</v>
      </c>
      <c r="E5813" s="1" t="n">
        <v>46326</v>
      </c>
      <c r="F5813" t="inlineStr">
        <is>
          <t>GÄVLEBORGS LÄN</t>
        </is>
      </c>
      <c r="G5813" t="inlineStr">
        <is>
          <t>SANDVIKEN</t>
        </is>
      </c>
      <c r="I5813" t="n">
        <v>1.3</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15423-2026</t>
        </is>
      </c>
      <c r="B5814" t="inlineStr">
        <is>
          <t>avverkningsanmälan</t>
        </is>
      </c>
      <c r="C5814" t="inlineStr">
        <is>
          <t>Föryngringsavverkning</t>
        </is>
      </c>
      <c r="D5814" s="1" t="n">
        <v>46106</v>
      </c>
      <c r="E5814" s="1" t="n">
        <v>46326</v>
      </c>
      <c r="F5814" t="inlineStr">
        <is>
          <t>GÄVLEBORGS LÄN</t>
        </is>
      </c>
      <c r="G5814" t="inlineStr">
        <is>
          <t>OVANÅKER</t>
        </is>
      </c>
      <c r="I5814" t="n">
        <v>1.9</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15473-2026</t>
        </is>
      </c>
      <c r="B5815" t="inlineStr">
        <is>
          <t>avverkningsanmälan</t>
        </is>
      </c>
      <c r="C5815" t="inlineStr">
        <is>
          <t>Föryngringsavverkning</t>
        </is>
      </c>
      <c r="D5815" s="1" t="n">
        <v>46106</v>
      </c>
      <c r="E5815" s="1" t="n">
        <v>46326</v>
      </c>
      <c r="F5815" t="inlineStr">
        <is>
          <t>GÄVLEBORGS LÄN</t>
        </is>
      </c>
      <c r="G5815" t="inlineStr">
        <is>
          <t>HUDIKSVALL</t>
        </is>
      </c>
      <c r="H5815" t="inlineStr">
        <is>
          <t>Holmen skog AB</t>
        </is>
      </c>
      <c r="I5815" t="n">
        <v>8</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39208-2024</t>
        </is>
      </c>
      <c r="B5816" t="inlineStr">
        <is>
          <t>avverkningsanmälan</t>
        </is>
      </c>
      <c r="C5816" t="inlineStr">
        <is>
          <t>Föryngringsavverkning</t>
        </is>
      </c>
      <c r="D5816" s="1" t="n">
        <v>45548</v>
      </c>
      <c r="E5816" s="1" t="n">
        <v>46326</v>
      </c>
      <c r="F5816" t="inlineStr">
        <is>
          <t>GÄVLEBORGS LÄN</t>
        </is>
      </c>
      <c r="G5816" t="inlineStr">
        <is>
          <t>SÖDERHAMN</t>
        </is>
      </c>
      <c r="I5816" t="n">
        <v>1.9</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15290-2026</t>
        </is>
      </c>
      <c r="B5817" t="inlineStr">
        <is>
          <t>avverkningsanmälan</t>
        </is>
      </c>
      <c r="C5817" t="inlineStr">
        <is>
          <t>Föryngringsavverkning</t>
        </is>
      </c>
      <c r="D5817" s="1" t="n">
        <v>46105</v>
      </c>
      <c r="E5817" s="1" t="n">
        <v>46326</v>
      </c>
      <c r="F5817" t="inlineStr">
        <is>
          <t>GÄVLEBORGS LÄN</t>
        </is>
      </c>
      <c r="G5817" t="inlineStr">
        <is>
          <t>OVANÅKER</t>
        </is>
      </c>
      <c r="H5817" t="inlineStr">
        <is>
          <t>Bergvik skog öst AB</t>
        </is>
      </c>
      <c r="I5817" t="n">
        <v>1.4</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31175-2024</t>
        </is>
      </c>
      <c r="B5818" t="inlineStr">
        <is>
          <t>avverkningsanmälan</t>
        </is>
      </c>
      <c r="C5818" t="inlineStr">
        <is>
          <t>Föryngringsavverkning</t>
        </is>
      </c>
      <c r="D5818" s="1" t="n">
        <v>45503</v>
      </c>
      <c r="E5818" s="1" t="n">
        <v>46326</v>
      </c>
      <c r="F5818" t="inlineStr">
        <is>
          <t>GÄVLEBORGS LÄN</t>
        </is>
      </c>
      <c r="G5818" t="inlineStr">
        <is>
          <t>OVANÅKER</t>
        </is>
      </c>
      <c r="H5818" t="inlineStr">
        <is>
          <t>Bergvik skog väst AB</t>
        </is>
      </c>
      <c r="I5818" t="n">
        <v>5</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15770-2026</t>
        </is>
      </c>
      <c r="B5819" t="inlineStr">
        <is>
          <t>avverkningsanmälan</t>
        </is>
      </c>
      <c r="C5819" t="inlineStr">
        <is>
          <t>Föryngringsavverkning</t>
        </is>
      </c>
      <c r="D5819" s="1" t="n">
        <v>46107</v>
      </c>
      <c r="E5819" s="1" t="n">
        <v>46326</v>
      </c>
      <c r="F5819" t="inlineStr">
        <is>
          <t>GÄVLEBORGS LÄN</t>
        </is>
      </c>
      <c r="G5819" t="inlineStr">
        <is>
          <t>SANDVIKEN</t>
        </is>
      </c>
      <c r="H5819" t="inlineStr">
        <is>
          <t>Bergvik skog öst AB</t>
        </is>
      </c>
      <c r="I5819" t="n">
        <v>2.7</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15778-2026</t>
        </is>
      </c>
      <c r="B5820" t="inlineStr">
        <is>
          <t>avverkningsanmälan</t>
        </is>
      </c>
      <c r="C5820" t="inlineStr">
        <is>
          <t>Föryngringsavverkning</t>
        </is>
      </c>
      <c r="D5820" s="1" t="n">
        <v>46107</v>
      </c>
      <c r="E5820" s="1" t="n">
        <v>46326</v>
      </c>
      <c r="F5820" t="inlineStr">
        <is>
          <t>GÄVLEBORGS LÄN</t>
        </is>
      </c>
      <c r="G5820" t="inlineStr">
        <is>
          <t>SANDVIKEN</t>
        </is>
      </c>
      <c r="H5820" t="inlineStr">
        <is>
          <t>Kommuner</t>
        </is>
      </c>
      <c r="I5820" t="n">
        <v>0.5</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15810-2026</t>
        </is>
      </c>
      <c r="B5821" t="inlineStr">
        <is>
          <t>avverkningsanmälan</t>
        </is>
      </c>
      <c r="C5821" t="inlineStr">
        <is>
          <t>Föryngringsavverkning</t>
        </is>
      </c>
      <c r="D5821" s="1" t="n">
        <v>46107</v>
      </c>
      <c r="E5821" s="1" t="n">
        <v>46326</v>
      </c>
      <c r="F5821" t="inlineStr">
        <is>
          <t>GÄVLEBORGS LÄN</t>
        </is>
      </c>
      <c r="G5821" t="inlineStr">
        <is>
          <t>HOFORS</t>
        </is>
      </c>
      <c r="H5821" t="inlineStr">
        <is>
          <t>Sveaskog</t>
        </is>
      </c>
      <c r="I5821" t="n">
        <v>0.7</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25415-2022</t>
        </is>
      </c>
      <c r="B5822" t="inlineStr">
        <is>
          <t>avverkningsanmälan</t>
        </is>
      </c>
      <c r="C5822" t="inlineStr">
        <is>
          <t>Föryngringsavverkning</t>
        </is>
      </c>
      <c r="D5822" s="1" t="n">
        <v>44732</v>
      </c>
      <c r="E5822" s="1" t="n">
        <v>46326</v>
      </c>
      <c r="F5822" t="inlineStr">
        <is>
          <t>GÄVLEBORGS LÄN</t>
        </is>
      </c>
      <c r="G5822" t="inlineStr">
        <is>
          <t>LJUSDAL</t>
        </is>
      </c>
      <c r="I5822" t="n">
        <v>1</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15824-2026</t>
        </is>
      </c>
      <c r="B5823" t="inlineStr">
        <is>
          <t>avverkningsanmälan</t>
        </is>
      </c>
      <c r="C5823" t="inlineStr">
        <is>
          <t>Föryngringsavverkning</t>
        </is>
      </c>
      <c r="D5823" s="1" t="n">
        <v>46107</v>
      </c>
      <c r="E5823" s="1" t="n">
        <v>46326</v>
      </c>
      <c r="F5823" t="inlineStr">
        <is>
          <t>GÄVLEBORGS LÄN</t>
        </is>
      </c>
      <c r="G5823" t="inlineStr">
        <is>
          <t>OVANÅKER</t>
        </is>
      </c>
      <c r="H5823" t="inlineStr">
        <is>
          <t>Bergvik skog öst AB</t>
        </is>
      </c>
      <c r="I5823" t="n">
        <v>1.1</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21272-2023</t>
        </is>
      </c>
      <c r="B5824" t="inlineStr">
        <is>
          <t>avverkningsanmälan</t>
        </is>
      </c>
      <c r="C5824" t="inlineStr">
        <is>
          <t>Föryngringsavverkning</t>
        </is>
      </c>
      <c r="D5824" s="1" t="n">
        <v>45062</v>
      </c>
      <c r="E5824" s="1" t="n">
        <v>46326</v>
      </c>
      <c r="F5824" t="inlineStr">
        <is>
          <t>GÄVLEBORGS LÄN</t>
        </is>
      </c>
      <c r="G5824" t="inlineStr">
        <is>
          <t>SÖDERHAMN</t>
        </is>
      </c>
      <c r="I5824" t="n">
        <v>3.8</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43465-2024</t>
        </is>
      </c>
      <c r="B5825" t="inlineStr">
        <is>
          <t>avverkningsanmälan</t>
        </is>
      </c>
      <c r="C5825" t="inlineStr">
        <is>
          <t>Föryngringsavverkning</t>
        </is>
      </c>
      <c r="D5825" s="1" t="n">
        <v>45568</v>
      </c>
      <c r="E5825" s="1" t="n">
        <v>46326</v>
      </c>
      <c r="F5825" t="inlineStr">
        <is>
          <t>GÄVLEBORGS LÄN</t>
        </is>
      </c>
      <c r="G5825" t="inlineStr">
        <is>
          <t>NORDANSTIG</t>
        </is>
      </c>
      <c r="I5825" t="n">
        <v>1</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16036-2026</t>
        </is>
      </c>
      <c r="B5826" t="inlineStr">
        <is>
          <t>avverkningsanmälan</t>
        </is>
      </c>
      <c r="C5826" t="inlineStr">
        <is>
          <t>Föryngringsavverkning</t>
        </is>
      </c>
      <c r="D5826" s="1" t="n">
        <v>46108</v>
      </c>
      <c r="E5826" s="1" t="n">
        <v>46326</v>
      </c>
      <c r="F5826" t="inlineStr">
        <is>
          <t>GÄVLEBORGS LÄN</t>
        </is>
      </c>
      <c r="G5826" t="inlineStr">
        <is>
          <t>BOLLNÄS</t>
        </is>
      </c>
      <c r="H5826" t="inlineStr">
        <is>
          <t>Bergvik skog väst AB</t>
        </is>
      </c>
      <c r="I5826" t="n">
        <v>1.7</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15995-2026</t>
        </is>
      </c>
      <c r="B5827" t="inlineStr">
        <is>
          <t>avverkningsanmälan</t>
        </is>
      </c>
      <c r="C5827" t="inlineStr">
        <is>
          <t>Föryngringsavverkning</t>
        </is>
      </c>
      <c r="D5827" s="1" t="n">
        <v>46108</v>
      </c>
      <c r="E5827" s="1" t="n">
        <v>46326</v>
      </c>
      <c r="F5827" t="inlineStr">
        <is>
          <t>GÄVLEBORGS LÄN</t>
        </is>
      </c>
      <c r="G5827" t="inlineStr">
        <is>
          <t>BOLLNÄS</t>
        </is>
      </c>
      <c r="I5827" t="n">
        <v>0.5</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15916-2026</t>
        </is>
      </c>
      <c r="B5828" t="inlineStr">
        <is>
          <t>avverkningsanmälan</t>
        </is>
      </c>
      <c r="C5828" t="inlineStr">
        <is>
          <t>Föryngringsavverkning</t>
        </is>
      </c>
      <c r="D5828" s="1" t="n">
        <v>46107</v>
      </c>
      <c r="E5828" s="1" t="n">
        <v>46326</v>
      </c>
      <c r="F5828" t="inlineStr">
        <is>
          <t>GÄVLEBORGS LÄN</t>
        </is>
      </c>
      <c r="G5828" t="inlineStr">
        <is>
          <t>OVANÅKER</t>
        </is>
      </c>
      <c r="I5828" t="n">
        <v>0.5</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15926-2026</t>
        </is>
      </c>
      <c r="B5829" t="inlineStr">
        <is>
          <t>avverkningsanmälan</t>
        </is>
      </c>
      <c r="C5829" t="inlineStr">
        <is>
          <t>Föryngringsavverkning</t>
        </is>
      </c>
      <c r="D5829" s="1" t="n">
        <v>46107</v>
      </c>
      <c r="E5829" s="1" t="n">
        <v>46326</v>
      </c>
      <c r="F5829" t="inlineStr">
        <is>
          <t>GÄVLEBORGS LÄN</t>
        </is>
      </c>
      <c r="G5829" t="inlineStr">
        <is>
          <t>OVANÅKER</t>
        </is>
      </c>
      <c r="H5829" t="inlineStr">
        <is>
          <t>Bergvik skog öst AB</t>
        </is>
      </c>
      <c r="I5829" t="n">
        <v>0.7</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15861-2026</t>
        </is>
      </c>
      <c r="B5830" t="inlineStr">
        <is>
          <t>avverkningsanmälan</t>
        </is>
      </c>
      <c r="C5830" t="inlineStr">
        <is>
          <t>Föryngringsavverkning</t>
        </is>
      </c>
      <c r="D5830" s="1" t="n">
        <v>46107</v>
      </c>
      <c r="E5830" s="1" t="n">
        <v>46326</v>
      </c>
      <c r="F5830" t="inlineStr">
        <is>
          <t>GÄVLEBORGS LÄN</t>
        </is>
      </c>
      <c r="G5830" t="inlineStr">
        <is>
          <t>SANDVIKEN</t>
        </is>
      </c>
      <c r="H5830" t="inlineStr">
        <is>
          <t>Kommuner</t>
        </is>
      </c>
      <c r="I5830" t="n">
        <v>1</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15898-2026</t>
        </is>
      </c>
      <c r="B5831" t="inlineStr">
        <is>
          <t>avverkningsanmälan</t>
        </is>
      </c>
      <c r="C5831" t="inlineStr">
        <is>
          <t>Föryngringsavverkning</t>
        </is>
      </c>
      <c r="D5831" s="1" t="n">
        <v>46107</v>
      </c>
      <c r="E5831" s="1" t="n">
        <v>46326</v>
      </c>
      <c r="F5831" t="inlineStr">
        <is>
          <t>GÄVLEBORGS LÄN</t>
        </is>
      </c>
      <c r="G5831" t="inlineStr">
        <is>
          <t>OVANÅKER</t>
        </is>
      </c>
      <c r="I5831" t="n">
        <v>1.8</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40745-2023</t>
        </is>
      </c>
      <c r="B5832" t="inlineStr">
        <is>
          <t>avverkningsanmälan</t>
        </is>
      </c>
      <c r="C5832" t="inlineStr">
        <is>
          <t>Avverkning för annat ändamål</t>
        </is>
      </c>
      <c r="D5832" s="1" t="n">
        <v>45170</v>
      </c>
      <c r="E5832" s="1" t="n">
        <v>46326</v>
      </c>
      <c r="F5832" t="inlineStr">
        <is>
          <t>GÄVLEBORGS LÄN</t>
        </is>
      </c>
      <c r="G5832" t="inlineStr">
        <is>
          <t>SÖDERHAMN</t>
        </is>
      </c>
      <c r="I5832" t="n">
        <v>0.3</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16019-2026</t>
        </is>
      </c>
      <c r="B5833" t="inlineStr">
        <is>
          <t>avverkningsanmälan</t>
        </is>
      </c>
      <c r="C5833" t="inlineStr">
        <is>
          <t>Föryngringsavverkning</t>
        </is>
      </c>
      <c r="D5833" s="1" t="n">
        <v>46108</v>
      </c>
      <c r="E5833" s="1" t="n">
        <v>46326</v>
      </c>
      <c r="F5833" t="inlineStr">
        <is>
          <t>GÄVLEBORGS LÄN</t>
        </is>
      </c>
      <c r="G5833" t="inlineStr">
        <is>
          <t>SANDVIKEN</t>
        </is>
      </c>
      <c r="I5833" t="n">
        <v>3.9</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15958-2026</t>
        </is>
      </c>
      <c r="B5834" t="inlineStr">
        <is>
          <t>avverkningsanmälan</t>
        </is>
      </c>
      <c r="C5834" t="inlineStr">
        <is>
          <t>Föryngringsavverkning</t>
        </is>
      </c>
      <c r="D5834" s="1" t="n">
        <v>46108</v>
      </c>
      <c r="E5834" s="1" t="n">
        <v>46326</v>
      </c>
      <c r="F5834" t="inlineStr">
        <is>
          <t>GÄVLEBORGS LÄN</t>
        </is>
      </c>
      <c r="G5834" t="inlineStr">
        <is>
          <t>SÖDERHAMN</t>
        </is>
      </c>
      <c r="I5834" t="n">
        <v>1.5</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16029-2026</t>
        </is>
      </c>
      <c r="B5835" t="inlineStr">
        <is>
          <t>avverkningsanmälan</t>
        </is>
      </c>
      <c r="C5835" t="inlineStr">
        <is>
          <t>Föryngringsavverkning</t>
        </is>
      </c>
      <c r="D5835" s="1" t="n">
        <v>46108</v>
      </c>
      <c r="E5835" s="1" t="n">
        <v>46326</v>
      </c>
      <c r="F5835" t="inlineStr">
        <is>
          <t>GÄVLEBORGS LÄN</t>
        </is>
      </c>
      <c r="G5835" t="inlineStr">
        <is>
          <t>BOLLNÄS</t>
        </is>
      </c>
      <c r="I5835" t="n">
        <v>4</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16057-2026</t>
        </is>
      </c>
      <c r="B5836" t="inlineStr">
        <is>
          <t>avverkningsanmälan</t>
        </is>
      </c>
      <c r="C5836" t="inlineStr">
        <is>
          <t>Föryngringsavverkning</t>
        </is>
      </c>
      <c r="D5836" s="1" t="n">
        <v>46108</v>
      </c>
      <c r="E5836" s="1" t="n">
        <v>46326</v>
      </c>
      <c r="F5836" t="inlineStr">
        <is>
          <t>GÄVLEBORGS LÄN</t>
        </is>
      </c>
      <c r="G5836" t="inlineStr">
        <is>
          <t>BOLLNÄS</t>
        </is>
      </c>
      <c r="I5836" t="n">
        <v>2.1</v>
      </c>
      <c r="J5836" t="n">
        <v>0</v>
      </c>
      <c r="K5836" t="n">
        <v>0</v>
      </c>
      <c r="L5836" t="n">
        <v>0</v>
      </c>
      <c r="M5836" t="n">
        <v>0</v>
      </c>
      <c r="N5836" t="n">
        <v>0</v>
      </c>
      <c r="O5836" t="n">
        <v>0</v>
      </c>
      <c r="P5836" t="n">
        <v>0</v>
      </c>
      <c r="Q5836" t="n">
        <v>0</v>
      </c>
      <c r="R5836" t="n">
        <v>0</v>
      </c>
      <c r="S5836" t="n">
        <v>0</v>
      </c>
      <c r="T5836" t="n">
        <v>0</v>
      </c>
      <c r="U5836" t="n">
        <v>0</v>
      </c>
      <c r="V5836" s="2" t="inlineStr"/>
    </row>
    <row r="5837" ht="15" customHeight="1">
      <c r="A5837" t="inlineStr">
        <is>
          <t>A 16058-2026</t>
        </is>
      </c>
      <c r="B5837" t="inlineStr">
        <is>
          <t>avverkningsanmälan</t>
        </is>
      </c>
      <c r="C5837" t="inlineStr">
        <is>
          <t>Föryngringsavverkning</t>
        </is>
      </c>
      <c r="D5837" s="1" t="n">
        <v>46108</v>
      </c>
      <c r="E5837" s="1" t="n">
        <v>46326</v>
      </c>
      <c r="F5837" t="inlineStr">
        <is>
          <t>GÄVLEBORGS LÄN</t>
        </is>
      </c>
      <c r="G5837" t="inlineStr">
        <is>
          <t>BOLLNÄS</t>
        </is>
      </c>
      <c r="I5837" t="n">
        <v>0.4</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16059-2026</t>
        </is>
      </c>
      <c r="B5838" t="inlineStr">
        <is>
          <t>avverkningsanmälan</t>
        </is>
      </c>
      <c r="C5838" t="inlineStr">
        <is>
          <t>Föryngringsavverkning</t>
        </is>
      </c>
      <c r="D5838" s="1" t="n">
        <v>46108</v>
      </c>
      <c r="E5838" s="1" t="n">
        <v>46326</v>
      </c>
      <c r="F5838" t="inlineStr">
        <is>
          <t>GÄVLEBORGS LÄN</t>
        </is>
      </c>
      <c r="G5838" t="inlineStr">
        <is>
          <t>BOLLNÄS</t>
        </is>
      </c>
      <c r="I5838" t="n">
        <v>0.2</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16068-2026</t>
        </is>
      </c>
      <c r="B5839" t="inlineStr">
        <is>
          <t>avverkningsanmälan</t>
        </is>
      </c>
      <c r="C5839" t="inlineStr">
        <is>
          <t>Föryngringsavverkning</t>
        </is>
      </c>
      <c r="D5839" s="1" t="n">
        <v>46108</v>
      </c>
      <c r="E5839" s="1" t="n">
        <v>46326</v>
      </c>
      <c r="F5839" t="inlineStr">
        <is>
          <t>GÄVLEBORGS LÄN</t>
        </is>
      </c>
      <c r="G5839" t="inlineStr">
        <is>
          <t>BOLLNÄS</t>
        </is>
      </c>
      <c r="I5839" t="n">
        <v>4.7</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15980-2026</t>
        </is>
      </c>
      <c r="B5840" t="inlineStr">
        <is>
          <t>avverkningsanmälan</t>
        </is>
      </c>
      <c r="C5840" t="inlineStr">
        <is>
          <t>Föryngringsavverkning</t>
        </is>
      </c>
      <c r="D5840" s="1" t="n">
        <v>46108</v>
      </c>
      <c r="E5840" s="1" t="n">
        <v>46326</v>
      </c>
      <c r="F5840" t="inlineStr">
        <is>
          <t>GÄVLEBORGS LÄN</t>
        </is>
      </c>
      <c r="G5840" t="inlineStr">
        <is>
          <t>BOLLNÄS</t>
        </is>
      </c>
      <c r="H5840" t="inlineStr">
        <is>
          <t>Holmen skog AB</t>
        </is>
      </c>
      <c r="I5840" t="n">
        <v>26.2</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19177-2024</t>
        </is>
      </c>
      <c r="B5841" t="inlineStr">
        <is>
          <t>avverkningsanmälan</t>
        </is>
      </c>
      <c r="C5841" t="inlineStr">
        <is>
          <t>Föryngringsavverkning</t>
        </is>
      </c>
      <c r="D5841" s="1" t="n">
        <v>45428</v>
      </c>
      <c r="E5841" s="1" t="n">
        <v>46326</v>
      </c>
      <c r="F5841" t="inlineStr">
        <is>
          <t>GÄVLEBORGS LÄN</t>
        </is>
      </c>
      <c r="G5841" t="inlineStr">
        <is>
          <t>OVANÅKER</t>
        </is>
      </c>
      <c r="I5841" t="n">
        <v>0.1</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16005-2026</t>
        </is>
      </c>
      <c r="B5842" t="inlineStr">
        <is>
          <t>avverkningsanmälan</t>
        </is>
      </c>
      <c r="C5842" t="inlineStr">
        <is>
          <t>Föryngringsavverkning</t>
        </is>
      </c>
      <c r="D5842" s="1" t="n">
        <v>46108</v>
      </c>
      <c r="E5842" s="1" t="n">
        <v>46326</v>
      </c>
      <c r="F5842" t="inlineStr">
        <is>
          <t>GÄVLEBORGS LÄN</t>
        </is>
      </c>
      <c r="G5842" t="inlineStr">
        <is>
          <t>OVANÅKER</t>
        </is>
      </c>
      <c r="I5842" t="n">
        <v>3.1</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16028-2026</t>
        </is>
      </c>
      <c r="B5843" t="inlineStr">
        <is>
          <t>avverkningsanmälan</t>
        </is>
      </c>
      <c r="C5843" t="inlineStr">
        <is>
          <t>Föryngringsavverkning</t>
        </is>
      </c>
      <c r="D5843" s="1" t="n">
        <v>46108</v>
      </c>
      <c r="E5843" s="1" t="n">
        <v>46326</v>
      </c>
      <c r="F5843" t="inlineStr">
        <is>
          <t>GÄVLEBORGS LÄN</t>
        </is>
      </c>
      <c r="G5843" t="inlineStr">
        <is>
          <t>BOLLNÄS</t>
        </is>
      </c>
      <c r="I5843" t="n">
        <v>1.5</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15678-2026</t>
        </is>
      </c>
      <c r="B5844" t="inlineStr">
        <is>
          <t>avverkningsanmälan</t>
        </is>
      </c>
      <c r="C5844" t="inlineStr">
        <is>
          <t>Föryngringsavverkning</t>
        </is>
      </c>
      <c r="D5844" s="1" t="n">
        <v>46106</v>
      </c>
      <c r="E5844" s="1" t="n">
        <v>46326</v>
      </c>
      <c r="F5844" t="inlineStr">
        <is>
          <t>GÄVLEBORGS LÄN</t>
        </is>
      </c>
      <c r="G5844" t="inlineStr">
        <is>
          <t>OCKELBO</t>
        </is>
      </c>
      <c r="H5844" t="inlineStr">
        <is>
          <t>Bergvik skog väst AB</t>
        </is>
      </c>
      <c r="I5844" t="n">
        <v>15.4</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15768-2026</t>
        </is>
      </c>
      <c r="B5845" t="inlineStr">
        <is>
          <t>avverkningsanmälan</t>
        </is>
      </c>
      <c r="C5845" t="inlineStr">
        <is>
          <t>Föryngringsavverkning</t>
        </is>
      </c>
      <c r="D5845" s="1" t="n">
        <v>46107</v>
      </c>
      <c r="E5845" s="1" t="n">
        <v>46326</v>
      </c>
      <c r="F5845" t="inlineStr">
        <is>
          <t>GÄVLEBORGS LÄN</t>
        </is>
      </c>
      <c r="G5845" t="inlineStr">
        <is>
          <t>BOLLNÄS</t>
        </is>
      </c>
      <c r="H5845" t="inlineStr">
        <is>
          <t>Bergvik skog väst AB</t>
        </is>
      </c>
      <c r="I5845" t="n">
        <v>1</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15818-2026</t>
        </is>
      </c>
      <c r="B5846" t="inlineStr">
        <is>
          <t>avverkningsanmälan</t>
        </is>
      </c>
      <c r="C5846" t="inlineStr">
        <is>
          <t>Föryngringsavverkning</t>
        </is>
      </c>
      <c r="D5846" s="1" t="n">
        <v>46107</v>
      </c>
      <c r="E5846" s="1" t="n">
        <v>46326</v>
      </c>
      <c r="F5846" t="inlineStr">
        <is>
          <t>GÄVLEBORGS LÄN</t>
        </is>
      </c>
      <c r="G5846" t="inlineStr">
        <is>
          <t>BOLLNÄS</t>
        </is>
      </c>
      <c r="H5846" t="inlineStr">
        <is>
          <t>Bergvik skog väst AB</t>
        </is>
      </c>
      <c r="I5846" t="n">
        <v>41</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15675-2026</t>
        </is>
      </c>
      <c r="B5847" t="inlineStr">
        <is>
          <t>avverkningsanmälan</t>
        </is>
      </c>
      <c r="C5847" t="inlineStr">
        <is>
          <t>Föryngringsavverkning</t>
        </is>
      </c>
      <c r="D5847" s="1" t="n">
        <v>46106</v>
      </c>
      <c r="E5847" s="1" t="n">
        <v>46326</v>
      </c>
      <c r="F5847" t="inlineStr">
        <is>
          <t>GÄVLEBORGS LÄN</t>
        </is>
      </c>
      <c r="G5847" t="inlineStr">
        <is>
          <t>LJUSDAL</t>
        </is>
      </c>
      <c r="H5847" t="inlineStr">
        <is>
          <t>Bergvik skog väst AB</t>
        </is>
      </c>
      <c r="I5847" t="n">
        <v>5.7</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15949-2026</t>
        </is>
      </c>
      <c r="B5848" t="inlineStr">
        <is>
          <t>avverkningsanmälan</t>
        </is>
      </c>
      <c r="C5848" t="inlineStr">
        <is>
          <t>Föryngringsavverkning</t>
        </is>
      </c>
      <c r="D5848" s="1" t="n">
        <v>46107</v>
      </c>
      <c r="E5848" s="1" t="n">
        <v>46326</v>
      </c>
      <c r="F5848" t="inlineStr">
        <is>
          <t>GÄVLEBORGS LÄN</t>
        </is>
      </c>
      <c r="G5848" t="inlineStr">
        <is>
          <t>HUDIKSVALL</t>
        </is>
      </c>
      <c r="H5848" t="inlineStr">
        <is>
          <t>Holmen skog AB</t>
        </is>
      </c>
      <c r="I5848" t="n">
        <v>4.4</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15996-2026</t>
        </is>
      </c>
      <c r="B5849" t="inlineStr">
        <is>
          <t>avverkningsanmälan</t>
        </is>
      </c>
      <c r="C5849" t="inlineStr">
        <is>
          <t>Föryngringsavverkning</t>
        </is>
      </c>
      <c r="D5849" s="1" t="n">
        <v>46108</v>
      </c>
      <c r="E5849" s="1" t="n">
        <v>46326</v>
      </c>
      <c r="F5849" t="inlineStr">
        <is>
          <t>GÄVLEBORGS LÄN</t>
        </is>
      </c>
      <c r="G5849" t="inlineStr">
        <is>
          <t>BOLLNÄS</t>
        </is>
      </c>
      <c r="H5849" t="inlineStr">
        <is>
          <t>Holmen skog AB</t>
        </is>
      </c>
      <c r="I5849" t="n">
        <v>51.8</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38298-2024</t>
        </is>
      </c>
      <c r="B5850" t="inlineStr">
        <is>
          <t>avverkningsanmälan</t>
        </is>
      </c>
      <c r="C5850" t="inlineStr">
        <is>
          <t>Avverkning för att bevara och utveckla /försöksver</t>
        </is>
      </c>
      <c r="D5850" s="1" t="n">
        <v>45545</v>
      </c>
      <c r="E5850" s="1" t="n">
        <v>46326</v>
      </c>
      <c r="F5850" t="inlineStr">
        <is>
          <t>GÄVLEBORGS LÄN</t>
        </is>
      </c>
      <c r="G5850" t="inlineStr">
        <is>
          <t>NORDANSTIG</t>
        </is>
      </c>
      <c r="I5850" t="n">
        <v>2.7</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36464-2024</t>
        </is>
      </c>
      <c r="B5851" t="inlineStr">
        <is>
          <t>avverkningsanmälan</t>
        </is>
      </c>
      <c r="C5851" t="inlineStr">
        <is>
          <t>Avverkning för att bevara och utveckla /försöksver</t>
        </is>
      </c>
      <c r="D5851" s="1" t="n">
        <v>45537</v>
      </c>
      <c r="E5851" s="1" t="n">
        <v>46326</v>
      </c>
      <c r="F5851" t="inlineStr">
        <is>
          <t>GÄVLEBORGS LÄN</t>
        </is>
      </c>
      <c r="G5851" t="inlineStr">
        <is>
          <t>NORDANSTIG</t>
        </is>
      </c>
      <c r="H5851" t="inlineStr">
        <is>
          <t>SCA</t>
        </is>
      </c>
      <c r="I5851" t="n">
        <v>4.4</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15679-2026</t>
        </is>
      </c>
      <c r="B5852" t="inlineStr">
        <is>
          <t>avverkningsanmälan</t>
        </is>
      </c>
      <c r="C5852" t="inlineStr">
        <is>
          <t>Föryngringsavverkning</t>
        </is>
      </c>
      <c r="D5852" s="1" t="n">
        <v>46106</v>
      </c>
      <c r="E5852" s="1" t="n">
        <v>46326</v>
      </c>
      <c r="F5852" t="inlineStr">
        <is>
          <t>GÄVLEBORGS LÄN</t>
        </is>
      </c>
      <c r="G5852" t="inlineStr">
        <is>
          <t>OCKELBO</t>
        </is>
      </c>
      <c r="H5852" t="inlineStr">
        <is>
          <t>Bergvik skog väst AB</t>
        </is>
      </c>
      <c r="I5852" t="n">
        <v>6.2</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15746-2026</t>
        </is>
      </c>
      <c r="B5853" t="inlineStr">
        <is>
          <t>avverkningsanmälan</t>
        </is>
      </c>
      <c r="C5853" t="inlineStr">
        <is>
          <t>Föryngringsavverkning</t>
        </is>
      </c>
      <c r="D5853" s="1" t="n">
        <v>46107</v>
      </c>
      <c r="E5853" s="1" t="n">
        <v>46326</v>
      </c>
      <c r="F5853" t="inlineStr">
        <is>
          <t>GÄVLEBORGS LÄN</t>
        </is>
      </c>
      <c r="G5853" t="inlineStr">
        <is>
          <t>NORDANSTIG</t>
        </is>
      </c>
      <c r="H5853" t="inlineStr">
        <is>
          <t>Holmen skog AB</t>
        </is>
      </c>
      <c r="I5853" t="n">
        <v>6.5</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16060-2026</t>
        </is>
      </c>
      <c r="B5854" t="inlineStr">
        <is>
          <t>avverkningsanmälan</t>
        </is>
      </c>
      <c r="C5854" t="inlineStr">
        <is>
          <t>Föryngringsavverkning</t>
        </is>
      </c>
      <c r="D5854" s="1" t="n">
        <v>46108</v>
      </c>
      <c r="E5854" s="1" t="n">
        <v>46326</v>
      </c>
      <c r="F5854" t="inlineStr">
        <is>
          <t>GÄVLEBORGS LÄN</t>
        </is>
      </c>
      <c r="G5854" t="inlineStr">
        <is>
          <t>SANDVIKEN</t>
        </is>
      </c>
      <c r="H5854" t="inlineStr">
        <is>
          <t>Kommuner</t>
        </is>
      </c>
      <c r="I5854" t="n">
        <v>3.9</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14472-2024</t>
        </is>
      </c>
      <c r="B5855" t="inlineStr">
        <is>
          <t>avverkningsanmälan</t>
        </is>
      </c>
      <c r="C5855" t="inlineStr">
        <is>
          <t>Föryngringsavverkning</t>
        </is>
      </c>
      <c r="D5855" s="1" t="n">
        <v>45394</v>
      </c>
      <c r="E5855" s="1" t="n">
        <v>46326</v>
      </c>
      <c r="F5855" t="inlineStr">
        <is>
          <t>GÄVLEBORGS LÄN</t>
        </is>
      </c>
      <c r="G5855" t="inlineStr">
        <is>
          <t>SÖDERHAMN</t>
        </is>
      </c>
      <c r="I5855" t="n">
        <v>1</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17456-2025</t>
        </is>
      </c>
      <c r="B5856" t="inlineStr">
        <is>
          <t>avverkningsanmälan</t>
        </is>
      </c>
      <c r="C5856" t="inlineStr">
        <is>
          <t>Föryngringsavverkning</t>
        </is>
      </c>
      <c r="D5856" s="1" t="n">
        <v>45757</v>
      </c>
      <c r="E5856" s="1" t="n">
        <v>46326</v>
      </c>
      <c r="F5856" t="inlineStr">
        <is>
          <t>GÄVLEBORGS LÄN</t>
        </is>
      </c>
      <c r="G5856" t="inlineStr">
        <is>
          <t>SÖDERHAMN</t>
        </is>
      </c>
      <c r="H5856" t="inlineStr">
        <is>
          <t>Bergvik skog väst AB</t>
        </is>
      </c>
      <c r="I5856" t="n">
        <v>1.7</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63145-2023</t>
        </is>
      </c>
      <c r="B5857" t="inlineStr">
        <is>
          <t>avverkningsanmälan</t>
        </is>
      </c>
      <c r="C5857" t="inlineStr">
        <is>
          <t>Avverkning för annat ändamål</t>
        </is>
      </c>
      <c r="D5857" s="1" t="n">
        <v>45273</v>
      </c>
      <c r="E5857" s="1" t="n">
        <v>46326</v>
      </c>
      <c r="F5857" t="inlineStr">
        <is>
          <t>GÄVLEBORGS LÄN</t>
        </is>
      </c>
      <c r="G5857" t="inlineStr">
        <is>
          <t>NORDANSTIG</t>
        </is>
      </c>
      <c r="H5857" t="inlineStr">
        <is>
          <t>Holmen skog AB</t>
        </is>
      </c>
      <c r="I5857" t="n">
        <v>0.3</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15962-2026</t>
        </is>
      </c>
      <c r="B5858" t="inlineStr">
        <is>
          <t>avverkningsanmälan</t>
        </is>
      </c>
      <c r="C5858" t="inlineStr">
        <is>
          <t>Föryngringsavverkning</t>
        </is>
      </c>
      <c r="D5858" s="1" t="n">
        <v>46108</v>
      </c>
      <c r="E5858" s="1" t="n">
        <v>46326</v>
      </c>
      <c r="F5858" t="inlineStr">
        <is>
          <t>GÄVLEBORGS LÄN</t>
        </is>
      </c>
      <c r="G5858" t="inlineStr">
        <is>
          <t>OVANÅKER</t>
        </is>
      </c>
      <c r="I5858" t="n">
        <v>1.1</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15896-2026</t>
        </is>
      </c>
      <c r="B5859" t="inlineStr">
        <is>
          <t>avverkningsanmälan</t>
        </is>
      </c>
      <c r="C5859" t="inlineStr">
        <is>
          <t>Föryngringsavverkning</t>
        </is>
      </c>
      <c r="D5859" s="1" t="n">
        <v>46107</v>
      </c>
      <c r="E5859" s="1" t="n">
        <v>46326</v>
      </c>
      <c r="F5859" t="inlineStr">
        <is>
          <t>GÄVLEBORGS LÄN</t>
        </is>
      </c>
      <c r="G5859" t="inlineStr">
        <is>
          <t>OVANÅKER</t>
        </is>
      </c>
      <c r="I5859" t="n">
        <v>0.9</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15952-2026</t>
        </is>
      </c>
      <c r="B5860" t="inlineStr">
        <is>
          <t>avverkningsanmälan</t>
        </is>
      </c>
      <c r="C5860" t="inlineStr">
        <is>
          <t>Föryngringsavverkning</t>
        </is>
      </c>
      <c r="D5860" s="1" t="n">
        <v>46107</v>
      </c>
      <c r="E5860" s="1" t="n">
        <v>46326</v>
      </c>
      <c r="F5860" t="inlineStr">
        <is>
          <t>GÄVLEBORGS LÄN</t>
        </is>
      </c>
      <c r="G5860" t="inlineStr">
        <is>
          <t>HUDIKSVALL</t>
        </is>
      </c>
      <c r="H5860" t="inlineStr">
        <is>
          <t>Holmen skog AB</t>
        </is>
      </c>
      <c r="I5860" t="n">
        <v>4.6</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15832-2026</t>
        </is>
      </c>
      <c r="B5861" t="inlineStr">
        <is>
          <t>avverkningsanmälan</t>
        </is>
      </c>
      <c r="C5861" t="inlineStr">
        <is>
          <t>Föryngringsavverkning</t>
        </is>
      </c>
      <c r="D5861" s="1" t="n">
        <v>46107</v>
      </c>
      <c r="E5861" s="1" t="n">
        <v>46326</v>
      </c>
      <c r="F5861" t="inlineStr">
        <is>
          <t>GÄVLEBORGS LÄN</t>
        </is>
      </c>
      <c r="G5861" t="inlineStr">
        <is>
          <t>BOLLNÄS</t>
        </is>
      </c>
      <c r="I5861" t="n">
        <v>0.9</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16006-2026</t>
        </is>
      </c>
      <c r="B5862" t="inlineStr">
        <is>
          <t>avverkningsanmälan</t>
        </is>
      </c>
      <c r="C5862" t="inlineStr">
        <is>
          <t>Föryngringsavverkning</t>
        </is>
      </c>
      <c r="D5862" s="1" t="n">
        <v>46108</v>
      </c>
      <c r="E5862" s="1" t="n">
        <v>46326</v>
      </c>
      <c r="F5862" t="inlineStr">
        <is>
          <t>GÄVLEBORGS LÄN</t>
        </is>
      </c>
      <c r="G5862" t="inlineStr">
        <is>
          <t>OCKELBO</t>
        </is>
      </c>
      <c r="H5862" t="inlineStr">
        <is>
          <t>Bergvik skog väst AB</t>
        </is>
      </c>
      <c r="I5862" t="n">
        <v>9.699999999999999</v>
      </c>
      <c r="J5862" t="n">
        <v>0</v>
      </c>
      <c r="K5862" t="n">
        <v>0</v>
      </c>
      <c r="L5862" t="n">
        <v>0</v>
      </c>
      <c r="M5862" t="n">
        <v>0</v>
      </c>
      <c r="N5862" t="n">
        <v>0</v>
      </c>
      <c r="O5862" t="n">
        <v>0</v>
      </c>
      <c r="P5862" t="n">
        <v>0</v>
      </c>
      <c r="Q5862" t="n">
        <v>0</v>
      </c>
      <c r="R5862" t="n">
        <v>0</v>
      </c>
      <c r="S5862" t="n">
        <v>0</v>
      </c>
      <c r="T5862" t="n">
        <v>0</v>
      </c>
      <c r="U5862" t="n">
        <v>0</v>
      </c>
      <c r="V5862" s="2" t="inlineStr"/>
    </row>
    <row r="5863" ht="15" customHeight="1">
      <c r="A5863" t="inlineStr">
        <is>
          <t>A 16025-2026</t>
        </is>
      </c>
      <c r="B5863" t="inlineStr">
        <is>
          <t>avverkningsanmälan</t>
        </is>
      </c>
      <c r="C5863" t="inlineStr">
        <is>
          <t>Föryngringsavverkning</t>
        </is>
      </c>
      <c r="D5863" s="1" t="n">
        <v>46108</v>
      </c>
      <c r="E5863" s="1" t="n">
        <v>46326</v>
      </c>
      <c r="F5863" t="inlineStr">
        <is>
          <t>GÄVLEBORGS LÄN</t>
        </is>
      </c>
      <c r="G5863" t="inlineStr">
        <is>
          <t>BOLLNÄS</t>
        </is>
      </c>
      <c r="I5863" t="n">
        <v>1.2</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15811-2026</t>
        </is>
      </c>
      <c r="B5864" t="inlineStr">
        <is>
          <t>avverkningsanmälan</t>
        </is>
      </c>
      <c r="C5864" t="inlineStr">
        <is>
          <t>Föryngringsavverkning</t>
        </is>
      </c>
      <c r="D5864" s="1" t="n">
        <v>46107</v>
      </c>
      <c r="E5864" s="1" t="n">
        <v>46326</v>
      </c>
      <c r="F5864" t="inlineStr">
        <is>
          <t>GÄVLEBORGS LÄN</t>
        </is>
      </c>
      <c r="G5864" t="inlineStr">
        <is>
          <t>LJUSDAL</t>
        </is>
      </c>
      <c r="H5864" t="inlineStr">
        <is>
          <t>Holmen skog AB</t>
        </is>
      </c>
      <c r="I5864" t="n">
        <v>76</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15813-2026</t>
        </is>
      </c>
      <c r="B5865" t="inlineStr">
        <is>
          <t>avverkningsanmälan</t>
        </is>
      </c>
      <c r="C5865" t="inlineStr">
        <is>
          <t>Föryngringsavverkning</t>
        </is>
      </c>
      <c r="D5865" s="1" t="n">
        <v>46107</v>
      </c>
      <c r="E5865" s="1" t="n">
        <v>46326</v>
      </c>
      <c r="F5865" t="inlineStr">
        <is>
          <t>GÄVLEBORGS LÄN</t>
        </is>
      </c>
      <c r="G5865" t="inlineStr">
        <is>
          <t>BOLLNÄS</t>
        </is>
      </c>
      <c r="H5865" t="inlineStr">
        <is>
          <t>Bergvik skog väst AB</t>
        </is>
      </c>
      <c r="I5865" t="n">
        <v>6</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44905-2024</t>
        </is>
      </c>
      <c r="B5866" t="inlineStr">
        <is>
          <t>avverkningsanmälan</t>
        </is>
      </c>
      <c r="C5866" t="inlineStr">
        <is>
          <t>Föryngringsavverkning</t>
        </is>
      </c>
      <c r="D5866" s="1" t="n">
        <v>45575</v>
      </c>
      <c r="E5866" s="1" t="n">
        <v>46326</v>
      </c>
      <c r="F5866" t="inlineStr">
        <is>
          <t>GÄVLEBORGS LÄN</t>
        </is>
      </c>
      <c r="G5866" t="inlineStr">
        <is>
          <t>OVANÅKER</t>
        </is>
      </c>
      <c r="I5866" t="n">
        <v>1.6</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17394-2022</t>
        </is>
      </c>
      <c r="B5867" t="inlineStr">
        <is>
          <t>avverkningsanmälan</t>
        </is>
      </c>
      <c r="C5867" t="inlineStr">
        <is>
          <t>Föryngringsavverkning</t>
        </is>
      </c>
      <c r="D5867" s="1" t="n">
        <v>44678</v>
      </c>
      <c r="E5867" s="1" t="n">
        <v>46326</v>
      </c>
      <c r="F5867" t="inlineStr">
        <is>
          <t>GÄVLEBORGS LÄN</t>
        </is>
      </c>
      <c r="G5867" t="inlineStr">
        <is>
          <t>BOLLNÄS</t>
        </is>
      </c>
      <c r="I5867" t="n">
        <v>4.8</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43644-2024</t>
        </is>
      </c>
      <c r="B5868" t="inlineStr">
        <is>
          <t>avverkningsanmälan</t>
        </is>
      </c>
      <c r="C5868" t="inlineStr">
        <is>
          <t>Föryngringsavverkning</t>
        </is>
      </c>
      <c r="D5868" s="1" t="n">
        <v>45569</v>
      </c>
      <c r="E5868" s="1" t="n">
        <v>46326</v>
      </c>
      <c r="F5868" t="inlineStr">
        <is>
          <t>GÄVLEBORGS LÄN</t>
        </is>
      </c>
      <c r="G5868" t="inlineStr">
        <is>
          <t>HUDIKSVALL</t>
        </is>
      </c>
      <c r="I5868" t="n">
        <v>0.7</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39540-2024</t>
        </is>
      </c>
      <c r="B5869" t="inlineStr">
        <is>
          <t>avverkningsanmälan</t>
        </is>
      </c>
      <c r="C5869" t="inlineStr">
        <is>
          <t>Föryngringsavverkning</t>
        </is>
      </c>
      <c r="D5869" s="1" t="n">
        <v>45551</v>
      </c>
      <c r="E5869" s="1" t="n">
        <v>46326</v>
      </c>
      <c r="F5869" t="inlineStr">
        <is>
          <t>GÄVLEBORGS LÄN</t>
        </is>
      </c>
      <c r="G5869" t="inlineStr">
        <is>
          <t>OVANÅKER</t>
        </is>
      </c>
      <c r="I5869" t="n">
        <v>1.2</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18887-2023</t>
        </is>
      </c>
      <c r="B5870" t="inlineStr">
        <is>
          <t>avverkningsanmälan</t>
        </is>
      </c>
      <c r="C5870" t="inlineStr">
        <is>
          <t>Föryngringsavverkning</t>
        </is>
      </c>
      <c r="D5870" s="1" t="n">
        <v>45044</v>
      </c>
      <c r="E5870" s="1" t="n">
        <v>46326</v>
      </c>
      <c r="F5870" t="inlineStr">
        <is>
          <t>GÄVLEBORGS LÄN</t>
        </is>
      </c>
      <c r="G5870" t="inlineStr">
        <is>
          <t>HUDIKSVALL</t>
        </is>
      </c>
      <c r="I5870" t="n">
        <v>2.6</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15719-2026</t>
        </is>
      </c>
      <c r="B5871" t="inlineStr">
        <is>
          <t>avverkningsanmälan</t>
        </is>
      </c>
      <c r="C5871" t="inlineStr">
        <is>
          <t>Föryngringsavverkning</t>
        </is>
      </c>
      <c r="D5871" s="1" t="n">
        <v>46107</v>
      </c>
      <c r="E5871" s="1" t="n">
        <v>46326</v>
      </c>
      <c r="F5871" t="inlineStr">
        <is>
          <t>GÄVLEBORGS LÄN</t>
        </is>
      </c>
      <c r="G5871" t="inlineStr">
        <is>
          <t>HUDIKSVALL</t>
        </is>
      </c>
      <c r="H5871" t="inlineStr">
        <is>
          <t>Holmen skog AB</t>
        </is>
      </c>
      <c r="I5871" t="n">
        <v>36.9</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15721-2026</t>
        </is>
      </c>
      <c r="B5872" t="inlineStr">
        <is>
          <t>avverkningsanmälan</t>
        </is>
      </c>
      <c r="C5872" t="inlineStr">
        <is>
          <t>Föryngringsavverkning</t>
        </is>
      </c>
      <c r="D5872" s="1" t="n">
        <v>46107</v>
      </c>
      <c r="E5872" s="1" t="n">
        <v>46326</v>
      </c>
      <c r="F5872" t="inlineStr">
        <is>
          <t>GÄVLEBORGS LÄN</t>
        </is>
      </c>
      <c r="G5872" t="inlineStr">
        <is>
          <t>OVANÅKER</t>
        </is>
      </c>
      <c r="I5872" t="n">
        <v>2.9</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15727-2026</t>
        </is>
      </c>
      <c r="B5873" t="inlineStr">
        <is>
          <t>avverkningsanmälan</t>
        </is>
      </c>
      <c r="C5873" t="inlineStr">
        <is>
          <t>Föryngringsavverkning</t>
        </is>
      </c>
      <c r="D5873" s="1" t="n">
        <v>46107</v>
      </c>
      <c r="E5873" s="1" t="n">
        <v>46326</v>
      </c>
      <c r="F5873" t="inlineStr">
        <is>
          <t>GÄVLEBORGS LÄN</t>
        </is>
      </c>
      <c r="G5873" t="inlineStr">
        <is>
          <t>BOLLNÄS</t>
        </is>
      </c>
      <c r="H5873" t="inlineStr">
        <is>
          <t>Bergvik skog väst AB</t>
        </is>
      </c>
      <c r="I5873" t="n">
        <v>32.5</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2010-2023</t>
        </is>
      </c>
      <c r="B5874" t="inlineStr">
        <is>
          <t>avverkningsanmälan</t>
        </is>
      </c>
      <c r="C5874" t="inlineStr">
        <is>
          <t>Föryngringsavverkning</t>
        </is>
      </c>
      <c r="D5874" s="1" t="n">
        <v>44939</v>
      </c>
      <c r="E5874" s="1" t="n">
        <v>46326</v>
      </c>
      <c r="F5874" t="inlineStr">
        <is>
          <t>GÄVLEBORGS LÄN</t>
        </is>
      </c>
      <c r="G5874" t="inlineStr">
        <is>
          <t>HUDIKSVALL</t>
        </is>
      </c>
      <c r="I5874" t="n">
        <v>1.2</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6114-2026</t>
        </is>
      </c>
      <c r="B5875" t="inlineStr">
        <is>
          <t>avverkningsanmälan</t>
        </is>
      </c>
      <c r="C5875" t="inlineStr">
        <is>
          <t>Föryngringsavverkning</t>
        </is>
      </c>
      <c r="D5875" s="1" t="n">
        <v>46053</v>
      </c>
      <c r="E5875" s="1" t="n">
        <v>46326</v>
      </c>
      <c r="F5875" t="inlineStr">
        <is>
          <t>GÄVLEBORGS LÄN</t>
        </is>
      </c>
      <c r="G5875" t="inlineStr">
        <is>
          <t>OVANÅKER</t>
        </is>
      </c>
      <c r="I5875" t="n">
        <v>2.3</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16054-2026</t>
        </is>
      </c>
      <c r="B5876" t="inlineStr">
        <is>
          <t>avverkningsanmälan</t>
        </is>
      </c>
      <c r="C5876" t="inlineStr">
        <is>
          <t>Föryngringsavverkning</t>
        </is>
      </c>
      <c r="D5876" s="1" t="n">
        <v>46108</v>
      </c>
      <c r="E5876" s="1" t="n">
        <v>46326</v>
      </c>
      <c r="F5876" t="inlineStr">
        <is>
          <t>GÄVLEBORGS LÄN</t>
        </is>
      </c>
      <c r="G5876" t="inlineStr">
        <is>
          <t>OCKELBO</t>
        </is>
      </c>
      <c r="H5876" t="inlineStr">
        <is>
          <t>Bergvik skog väst AB</t>
        </is>
      </c>
      <c r="I5876" t="n">
        <v>12.3</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4557-2024</t>
        </is>
      </c>
      <c r="B5877" t="inlineStr">
        <is>
          <t>avverkningsanmälan</t>
        </is>
      </c>
      <c r="C5877" t="inlineStr">
        <is>
          <t>Avverkning för annat ändamål</t>
        </is>
      </c>
      <c r="D5877" s="1" t="n">
        <v>45327</v>
      </c>
      <c r="E5877" s="1" t="n">
        <v>46326</v>
      </c>
      <c r="F5877" t="inlineStr">
        <is>
          <t>GÄVLEBORGS LÄN</t>
        </is>
      </c>
      <c r="G5877" t="inlineStr">
        <is>
          <t>SÖDERHAMN</t>
        </is>
      </c>
      <c r="I5877" t="n">
        <v>0.6</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4580-2024</t>
        </is>
      </c>
      <c r="B5878" t="inlineStr">
        <is>
          <t>avverkningsanmälan</t>
        </is>
      </c>
      <c r="C5878" t="inlineStr">
        <is>
          <t>Föryngringsavverkning</t>
        </is>
      </c>
      <c r="D5878" s="1" t="n">
        <v>45327</v>
      </c>
      <c r="E5878" s="1" t="n">
        <v>46326</v>
      </c>
      <c r="F5878" t="inlineStr">
        <is>
          <t>GÄVLEBORGS LÄN</t>
        </is>
      </c>
      <c r="G5878" t="inlineStr">
        <is>
          <t>LJUSDAL</t>
        </is>
      </c>
      <c r="I5878" t="n">
        <v>4.4</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15985-2026</t>
        </is>
      </c>
      <c r="B5879" t="inlineStr">
        <is>
          <t>avverkningsanmälan</t>
        </is>
      </c>
      <c r="C5879" t="inlineStr">
        <is>
          <t>Föryngringsavverkning</t>
        </is>
      </c>
      <c r="D5879" s="1" t="n">
        <v>46108</v>
      </c>
      <c r="E5879" s="1" t="n">
        <v>46326</v>
      </c>
      <c r="F5879" t="inlineStr">
        <is>
          <t>GÄVLEBORGS LÄN</t>
        </is>
      </c>
      <c r="G5879" t="inlineStr">
        <is>
          <t>GÄVLE</t>
        </is>
      </c>
      <c r="H5879" t="inlineStr">
        <is>
          <t>Bergvik skog öst AB</t>
        </is>
      </c>
      <c r="I5879" t="n">
        <v>1.2</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15622-2025</t>
        </is>
      </c>
      <c r="B5880" t="inlineStr">
        <is>
          <t>avverkningsanmälan</t>
        </is>
      </c>
      <c r="C5880" t="inlineStr">
        <is>
          <t>Föryngringsavverkning</t>
        </is>
      </c>
      <c r="D5880" s="1" t="n">
        <v>45748</v>
      </c>
      <c r="E5880" s="1" t="n">
        <v>46326</v>
      </c>
      <c r="F5880" t="inlineStr">
        <is>
          <t>GÄVLEBORGS LÄN</t>
        </is>
      </c>
      <c r="G5880" t="inlineStr">
        <is>
          <t>NORDANSTIG</t>
        </is>
      </c>
      <c r="H5880" t="inlineStr">
        <is>
          <t>Holmen skog AB</t>
        </is>
      </c>
      <c r="I5880" t="n">
        <v>1.7</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16063-2026</t>
        </is>
      </c>
      <c r="B5881" t="inlineStr">
        <is>
          <t>avverkningsanmälan</t>
        </is>
      </c>
      <c r="C5881" t="inlineStr">
        <is>
          <t>Föryngringsavverkning</t>
        </is>
      </c>
      <c r="D5881" s="1" t="n">
        <v>46108</v>
      </c>
      <c r="E5881" s="1" t="n">
        <v>46326</v>
      </c>
      <c r="F5881" t="inlineStr">
        <is>
          <t>GÄVLEBORGS LÄN</t>
        </is>
      </c>
      <c r="G5881" t="inlineStr">
        <is>
          <t>OVANÅKER</t>
        </is>
      </c>
      <c r="H5881" t="inlineStr">
        <is>
          <t>Bergvik skog öst AB</t>
        </is>
      </c>
      <c r="I5881" t="n">
        <v>2.2</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16065-2026</t>
        </is>
      </c>
      <c r="B5882" t="inlineStr">
        <is>
          <t>avverkningsanmälan</t>
        </is>
      </c>
      <c r="C5882" t="inlineStr">
        <is>
          <t>Föryngringsavverkning</t>
        </is>
      </c>
      <c r="D5882" s="1" t="n">
        <v>46108</v>
      </c>
      <c r="E5882" s="1" t="n">
        <v>46326</v>
      </c>
      <c r="F5882" t="inlineStr">
        <is>
          <t>GÄVLEBORGS LÄN</t>
        </is>
      </c>
      <c r="G5882" t="inlineStr">
        <is>
          <t>OVANÅKER</t>
        </is>
      </c>
      <c r="H5882" t="inlineStr">
        <is>
          <t>Bergvik skog öst AB</t>
        </is>
      </c>
      <c r="I5882" t="n">
        <v>0.6</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15717-2026</t>
        </is>
      </c>
      <c r="B5883" t="inlineStr">
        <is>
          <t>avverkningsanmälan</t>
        </is>
      </c>
      <c r="C5883" t="inlineStr">
        <is>
          <t>Föryngringsavverkning</t>
        </is>
      </c>
      <c r="D5883" s="1" t="n">
        <v>46107</v>
      </c>
      <c r="E5883" s="1" t="n">
        <v>46326</v>
      </c>
      <c r="F5883" t="inlineStr">
        <is>
          <t>GÄVLEBORGS LÄN</t>
        </is>
      </c>
      <c r="G5883" t="inlineStr">
        <is>
          <t>LJUSDAL</t>
        </is>
      </c>
      <c r="I5883" t="n">
        <v>2.1</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15705-2026</t>
        </is>
      </c>
      <c r="B5884" t="inlineStr">
        <is>
          <t>avverkningsanmälan</t>
        </is>
      </c>
      <c r="C5884" t="inlineStr">
        <is>
          <t>Föryngringsavverkning</t>
        </is>
      </c>
      <c r="D5884" s="1" t="n">
        <v>46107</v>
      </c>
      <c r="E5884" s="1" t="n">
        <v>46326</v>
      </c>
      <c r="F5884" t="inlineStr">
        <is>
          <t>GÄVLEBORGS LÄN</t>
        </is>
      </c>
      <c r="G5884" t="inlineStr">
        <is>
          <t>OVANÅKER</t>
        </is>
      </c>
      <c r="I5884" t="n">
        <v>1.1</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28523-2023</t>
        </is>
      </c>
      <c r="B5885" t="inlineStr">
        <is>
          <t>avverkningsanmälan</t>
        </is>
      </c>
      <c r="C5885" t="inlineStr">
        <is>
          <t>Föryngringsavverkning</t>
        </is>
      </c>
      <c r="D5885" s="1" t="n">
        <v>45103</v>
      </c>
      <c r="E5885" s="1" t="n">
        <v>46326</v>
      </c>
      <c r="F5885" t="inlineStr">
        <is>
          <t>GÄVLEBORGS LÄN</t>
        </is>
      </c>
      <c r="G5885" t="inlineStr">
        <is>
          <t>BOLLNÄS</t>
        </is>
      </c>
      <c r="I5885" t="n">
        <v>2</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16635-2026</t>
        </is>
      </c>
      <c r="B5886" t="inlineStr">
        <is>
          <t>avverkningsanmälan</t>
        </is>
      </c>
      <c r="C5886" t="inlineStr">
        <is>
          <t>Föryngringsavverkning</t>
        </is>
      </c>
      <c r="D5886" s="1" t="n">
        <v>46112</v>
      </c>
      <c r="E5886" s="1" t="n">
        <v>46326</v>
      </c>
      <c r="F5886" t="inlineStr">
        <is>
          <t>GÄVLEBORGS LÄN</t>
        </is>
      </c>
      <c r="G5886" t="inlineStr">
        <is>
          <t>BOLLNÄS</t>
        </is>
      </c>
      <c r="I5886" t="n">
        <v>1.9</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3615-2024</t>
        </is>
      </c>
      <c r="B5887" t="inlineStr">
        <is>
          <t>avverkningsanmälan</t>
        </is>
      </c>
      <c r="C5887" t="inlineStr">
        <is>
          <t>Föryngringsavverkning</t>
        </is>
      </c>
      <c r="D5887" s="1" t="n">
        <v>45320</v>
      </c>
      <c r="E5887" s="1" t="n">
        <v>46326</v>
      </c>
      <c r="F5887" t="inlineStr">
        <is>
          <t>GÄVLEBORGS LÄN</t>
        </is>
      </c>
      <c r="G5887" t="inlineStr">
        <is>
          <t>GÄVLE</t>
        </is>
      </c>
      <c r="I5887" t="n">
        <v>2.4</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16242-2026</t>
        </is>
      </c>
      <c r="B5888" t="inlineStr">
        <is>
          <t>avverkningsanmälan</t>
        </is>
      </c>
      <c r="C5888" t="inlineStr">
        <is>
          <t>Föryngringsavverkning</t>
        </is>
      </c>
      <c r="D5888" s="1" t="n">
        <v>46111</v>
      </c>
      <c r="E5888" s="1" t="n">
        <v>46326</v>
      </c>
      <c r="F5888" t="inlineStr">
        <is>
          <t>GÄVLEBORGS LÄN</t>
        </is>
      </c>
      <c r="G5888" t="inlineStr">
        <is>
          <t>SANDVIKEN</t>
        </is>
      </c>
      <c r="H5888" t="inlineStr">
        <is>
          <t>Kommuner</t>
        </is>
      </c>
      <c r="I5888" t="n">
        <v>1</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16270-2026</t>
        </is>
      </c>
      <c r="B5889" t="inlineStr">
        <is>
          <t>avverkningsanmälan</t>
        </is>
      </c>
      <c r="C5889" t="inlineStr">
        <is>
          <t>Föryngringsavverkning</t>
        </is>
      </c>
      <c r="D5889" s="1" t="n">
        <v>46111</v>
      </c>
      <c r="E5889" s="1" t="n">
        <v>46326</v>
      </c>
      <c r="F5889" t="inlineStr">
        <is>
          <t>GÄVLEBORGS LÄN</t>
        </is>
      </c>
      <c r="G5889" t="inlineStr">
        <is>
          <t>SANDVIKEN</t>
        </is>
      </c>
      <c r="H5889" t="inlineStr">
        <is>
          <t>Kommuner</t>
        </is>
      </c>
      <c r="I5889" t="n">
        <v>1.8</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16291-2026</t>
        </is>
      </c>
      <c r="B5890" t="inlineStr">
        <is>
          <t>avverkningsanmälan</t>
        </is>
      </c>
      <c r="C5890" t="inlineStr">
        <is>
          <t>Föryngringsavverkning</t>
        </is>
      </c>
      <c r="D5890" s="1" t="n">
        <v>46111</v>
      </c>
      <c r="E5890" s="1" t="n">
        <v>46326</v>
      </c>
      <c r="F5890" t="inlineStr">
        <is>
          <t>GÄVLEBORGS LÄN</t>
        </is>
      </c>
      <c r="G5890" t="inlineStr">
        <is>
          <t>NORDANSTIG</t>
        </is>
      </c>
      <c r="H5890" t="inlineStr">
        <is>
          <t>Kommuner</t>
        </is>
      </c>
      <c r="I5890" t="n">
        <v>3</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16296-2026</t>
        </is>
      </c>
      <c r="B5891" t="inlineStr">
        <is>
          <t>avverkningsanmälan</t>
        </is>
      </c>
      <c r="C5891" t="inlineStr">
        <is>
          <t>Föryngringsavverkning</t>
        </is>
      </c>
      <c r="D5891" s="1" t="n">
        <v>46111</v>
      </c>
      <c r="E5891" s="1" t="n">
        <v>46326</v>
      </c>
      <c r="F5891" t="inlineStr">
        <is>
          <t>GÄVLEBORGS LÄN</t>
        </is>
      </c>
      <c r="G5891" t="inlineStr">
        <is>
          <t>OCKELBO</t>
        </is>
      </c>
      <c r="I5891" t="n">
        <v>1.6</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16328-2026</t>
        </is>
      </c>
      <c r="B5892" t="inlineStr">
        <is>
          <t>avverkningsanmälan</t>
        </is>
      </c>
      <c r="C5892" t="inlineStr">
        <is>
          <t>Föryngringsavverkning</t>
        </is>
      </c>
      <c r="D5892" s="1" t="n">
        <v>46111</v>
      </c>
      <c r="E5892" s="1" t="n">
        <v>46326</v>
      </c>
      <c r="F5892" t="inlineStr">
        <is>
          <t>GÄVLEBORGS LÄN</t>
        </is>
      </c>
      <c r="G5892" t="inlineStr">
        <is>
          <t>SANDVIKEN</t>
        </is>
      </c>
      <c r="H5892" t="inlineStr">
        <is>
          <t>Kommuner</t>
        </is>
      </c>
      <c r="I5892" t="n">
        <v>2.2</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36660-2023</t>
        </is>
      </c>
      <c r="B5893" t="inlineStr">
        <is>
          <t>avverkningsanmälan</t>
        </is>
      </c>
      <c r="C5893" t="inlineStr">
        <is>
          <t>Föryngringsavverkning</t>
        </is>
      </c>
      <c r="D5893" s="1" t="n">
        <v>45153</v>
      </c>
      <c r="E5893" s="1" t="n">
        <v>46326</v>
      </c>
      <c r="F5893" t="inlineStr">
        <is>
          <t>GÄVLEBORGS LÄN</t>
        </is>
      </c>
      <c r="G5893" t="inlineStr">
        <is>
          <t>SANDVIKEN</t>
        </is>
      </c>
      <c r="I5893" t="n">
        <v>1.1</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57649-2023</t>
        </is>
      </c>
      <c r="B5894" t="inlineStr">
        <is>
          <t>avverkningsanmälan</t>
        </is>
      </c>
      <c r="C5894" t="inlineStr">
        <is>
          <t>Föryngringsavverkning</t>
        </is>
      </c>
      <c r="D5894" s="1" t="n">
        <v>45246</v>
      </c>
      <c r="E5894" s="1" t="n">
        <v>46326</v>
      </c>
      <c r="F5894" t="inlineStr">
        <is>
          <t>GÄVLEBORGS LÄN</t>
        </is>
      </c>
      <c r="G5894" t="inlineStr">
        <is>
          <t>LJUSDAL</t>
        </is>
      </c>
      <c r="I5894" t="n">
        <v>1.8</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16418-2026</t>
        </is>
      </c>
      <c r="B5895" t="inlineStr">
        <is>
          <t>avverkningsanmälan</t>
        </is>
      </c>
      <c r="C5895" t="inlineStr">
        <is>
          <t>Föryngringsavverkning</t>
        </is>
      </c>
      <c r="D5895" s="1" t="n">
        <v>46111</v>
      </c>
      <c r="E5895" s="1" t="n">
        <v>46326</v>
      </c>
      <c r="F5895" t="inlineStr">
        <is>
          <t>GÄVLEBORGS LÄN</t>
        </is>
      </c>
      <c r="G5895" t="inlineStr">
        <is>
          <t>BOLLNÄS</t>
        </is>
      </c>
      <c r="H5895" t="inlineStr">
        <is>
          <t>Sveaskog</t>
        </is>
      </c>
      <c r="I5895" t="n">
        <v>1.6</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16178-2026</t>
        </is>
      </c>
      <c r="B5896" t="inlineStr">
        <is>
          <t>avverkningsanmälan</t>
        </is>
      </c>
      <c r="C5896" t="inlineStr">
        <is>
          <t>Föryngringsavverkning</t>
        </is>
      </c>
      <c r="D5896" s="1" t="n">
        <v>46111</v>
      </c>
      <c r="E5896" s="1" t="n">
        <v>46326</v>
      </c>
      <c r="F5896" t="inlineStr">
        <is>
          <t>GÄVLEBORGS LÄN</t>
        </is>
      </c>
      <c r="G5896" t="inlineStr">
        <is>
          <t>SÖDERHAMN</t>
        </is>
      </c>
      <c r="H5896" t="inlineStr">
        <is>
          <t>Bergvik skog väst AB</t>
        </is>
      </c>
      <c r="I5896" t="n">
        <v>8.1</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25630-2022</t>
        </is>
      </c>
      <c r="B5897" t="inlineStr">
        <is>
          <t>avverkningsanmälan</t>
        </is>
      </c>
      <c r="C5897" t="inlineStr">
        <is>
          <t>Föryngringsavverkning</t>
        </is>
      </c>
      <c r="D5897" s="1" t="n">
        <v>44732</v>
      </c>
      <c r="E5897" s="1" t="n">
        <v>46326</v>
      </c>
      <c r="F5897" t="inlineStr">
        <is>
          <t>GÄVLEBORGS LÄN</t>
        </is>
      </c>
      <c r="G5897" t="inlineStr">
        <is>
          <t>LJUSDAL</t>
        </is>
      </c>
      <c r="I5897" t="n">
        <v>4.2</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16451-2026</t>
        </is>
      </c>
      <c r="B5898" t="inlineStr">
        <is>
          <t>avverkningsanmälan</t>
        </is>
      </c>
      <c r="C5898" t="inlineStr">
        <is>
          <t>Föryngringsavverkning</t>
        </is>
      </c>
      <c r="D5898" s="1" t="n">
        <v>46112</v>
      </c>
      <c r="E5898" s="1" t="n">
        <v>46326</v>
      </c>
      <c r="F5898" t="inlineStr">
        <is>
          <t>GÄVLEBORGS LÄN</t>
        </is>
      </c>
      <c r="G5898" t="inlineStr">
        <is>
          <t>BOLLNÄS</t>
        </is>
      </c>
      <c r="I5898" t="n">
        <v>1.6</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16471-2026</t>
        </is>
      </c>
      <c r="B5899" t="inlineStr">
        <is>
          <t>avverkningsanmälan</t>
        </is>
      </c>
      <c r="C5899" t="inlineStr">
        <is>
          <t>Föryngringsavverkning</t>
        </is>
      </c>
      <c r="D5899" s="1" t="n">
        <v>46112</v>
      </c>
      <c r="E5899" s="1" t="n">
        <v>46326</v>
      </c>
      <c r="F5899" t="inlineStr">
        <is>
          <t>GÄVLEBORGS LÄN</t>
        </is>
      </c>
      <c r="G5899" t="inlineStr">
        <is>
          <t>OVANÅKER</t>
        </is>
      </c>
      <c r="I5899" t="n">
        <v>3.7</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16484-2026</t>
        </is>
      </c>
      <c r="B5900" t="inlineStr">
        <is>
          <t>avverkningsanmälan</t>
        </is>
      </c>
      <c r="C5900" t="inlineStr">
        <is>
          <t>Föryngringsavverkning</t>
        </is>
      </c>
      <c r="D5900" s="1" t="n">
        <v>46112</v>
      </c>
      <c r="E5900" s="1" t="n">
        <v>46326</v>
      </c>
      <c r="F5900" t="inlineStr">
        <is>
          <t>GÄVLEBORGS LÄN</t>
        </is>
      </c>
      <c r="G5900" t="inlineStr">
        <is>
          <t>SÖDERHAMN</t>
        </is>
      </c>
      <c r="H5900" t="inlineStr">
        <is>
          <t>Bergvik skog väst AB</t>
        </is>
      </c>
      <c r="I5900" t="n">
        <v>0.9</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16514-2026</t>
        </is>
      </c>
      <c r="B5901" t="inlineStr">
        <is>
          <t>avverkningsanmälan</t>
        </is>
      </c>
      <c r="C5901" t="inlineStr">
        <is>
          <t>Föryngringsavverkning</t>
        </is>
      </c>
      <c r="D5901" s="1" t="n">
        <v>46112</v>
      </c>
      <c r="E5901" s="1" t="n">
        <v>46326</v>
      </c>
      <c r="F5901" t="inlineStr">
        <is>
          <t>GÄVLEBORGS LÄN</t>
        </is>
      </c>
      <c r="G5901" t="inlineStr">
        <is>
          <t>BOLLNÄS</t>
        </is>
      </c>
      <c r="H5901" t="inlineStr">
        <is>
          <t>Bergvik skog väst AB</t>
        </is>
      </c>
      <c r="I5901" t="n">
        <v>5.5</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16535-2026</t>
        </is>
      </c>
      <c r="B5902" t="inlineStr">
        <is>
          <t>avverkningsanmälan</t>
        </is>
      </c>
      <c r="C5902" t="inlineStr">
        <is>
          <t>Föryngringsavverkning</t>
        </is>
      </c>
      <c r="D5902" s="1" t="n">
        <v>46112</v>
      </c>
      <c r="E5902" s="1" t="n">
        <v>46326</v>
      </c>
      <c r="F5902" t="inlineStr">
        <is>
          <t>GÄVLEBORGS LÄN</t>
        </is>
      </c>
      <c r="G5902" t="inlineStr">
        <is>
          <t>OCKELBO</t>
        </is>
      </c>
      <c r="H5902" t="inlineStr">
        <is>
          <t>Bergvik skog väst AB</t>
        </is>
      </c>
      <c r="I5902" t="n">
        <v>14.3</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16184-2026</t>
        </is>
      </c>
      <c r="B5903" t="inlineStr">
        <is>
          <t>avverkningsanmälan</t>
        </is>
      </c>
      <c r="C5903" t="inlineStr">
        <is>
          <t>Föryngringsavverkning</t>
        </is>
      </c>
      <c r="D5903" s="1" t="n">
        <v>46111</v>
      </c>
      <c r="E5903" s="1" t="n">
        <v>46326</v>
      </c>
      <c r="F5903" t="inlineStr">
        <is>
          <t>GÄVLEBORGS LÄN</t>
        </is>
      </c>
      <c r="G5903" t="inlineStr">
        <is>
          <t>NORDANSTIG</t>
        </is>
      </c>
      <c r="I5903" t="n">
        <v>2.1</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16667-2026</t>
        </is>
      </c>
      <c r="B5904" t="inlineStr">
        <is>
          <t>avverkningsanmälan</t>
        </is>
      </c>
      <c r="C5904" t="inlineStr">
        <is>
          <t>Föryngringsavverkning</t>
        </is>
      </c>
      <c r="D5904" s="1" t="n">
        <v>46112</v>
      </c>
      <c r="E5904" s="1" t="n">
        <v>46326</v>
      </c>
      <c r="F5904" t="inlineStr">
        <is>
          <t>GÄVLEBORGS LÄN</t>
        </is>
      </c>
      <c r="G5904" t="inlineStr">
        <is>
          <t>OCKELBO</t>
        </is>
      </c>
      <c r="H5904" t="inlineStr">
        <is>
          <t>Bergvik skog väst AB</t>
        </is>
      </c>
      <c r="I5904" t="n">
        <v>3.7</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16592-2026</t>
        </is>
      </c>
      <c r="B5905" t="inlineStr">
        <is>
          <t>avverkningsanmälan</t>
        </is>
      </c>
      <c r="C5905" t="inlineStr">
        <is>
          <t>Föryngringsavverkning</t>
        </is>
      </c>
      <c r="D5905" s="1" t="n">
        <v>46112</v>
      </c>
      <c r="E5905" s="1" t="n">
        <v>46326</v>
      </c>
      <c r="F5905" t="inlineStr">
        <is>
          <t>GÄVLEBORGS LÄN</t>
        </is>
      </c>
      <c r="G5905" t="inlineStr">
        <is>
          <t>BOLLNÄS</t>
        </is>
      </c>
      <c r="H5905" t="inlineStr">
        <is>
          <t>Bergvik skog väst AB</t>
        </is>
      </c>
      <c r="I5905" t="n">
        <v>0.9</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16294-2026</t>
        </is>
      </c>
      <c r="B5906" t="inlineStr">
        <is>
          <t>avverkningsanmälan</t>
        </is>
      </c>
      <c r="C5906" t="inlineStr">
        <is>
          <t>Föryngringsavverkning</t>
        </is>
      </c>
      <c r="D5906" s="1" t="n">
        <v>46111</v>
      </c>
      <c r="E5906" s="1" t="n">
        <v>46326</v>
      </c>
      <c r="F5906" t="inlineStr">
        <is>
          <t>GÄVLEBORGS LÄN</t>
        </is>
      </c>
      <c r="G5906" t="inlineStr">
        <is>
          <t>NORDANSTIG</t>
        </is>
      </c>
      <c r="H5906" t="inlineStr">
        <is>
          <t>Kommuner</t>
        </is>
      </c>
      <c r="I5906" t="n">
        <v>2.2</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58053-2024</t>
        </is>
      </c>
      <c r="B5907" t="inlineStr">
        <is>
          <t>avverkningsanmälan</t>
        </is>
      </c>
      <c r="C5907" t="inlineStr">
        <is>
          <t>Föryngringsavverkning</t>
        </is>
      </c>
      <c r="D5907" s="1" t="n">
        <v>45631</v>
      </c>
      <c r="E5907" s="1" t="n">
        <v>46326</v>
      </c>
      <c r="F5907" t="inlineStr">
        <is>
          <t>GÄVLEBORGS LÄN</t>
        </is>
      </c>
      <c r="G5907" t="inlineStr">
        <is>
          <t>LJUSDAL</t>
        </is>
      </c>
      <c r="I5907" t="n">
        <v>2.2</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16589-2026</t>
        </is>
      </c>
      <c r="B5908" t="inlineStr">
        <is>
          <t>avverkningsanmälan</t>
        </is>
      </c>
      <c r="C5908" t="inlineStr">
        <is>
          <t>Föryngringsavverkning</t>
        </is>
      </c>
      <c r="D5908" s="1" t="n">
        <v>46112</v>
      </c>
      <c r="E5908" s="1" t="n">
        <v>46326</v>
      </c>
      <c r="F5908" t="inlineStr">
        <is>
          <t>GÄVLEBORGS LÄN</t>
        </is>
      </c>
      <c r="G5908" t="inlineStr">
        <is>
          <t>BOLLNÄS</t>
        </is>
      </c>
      <c r="I5908" t="n">
        <v>0.7</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16568-2026</t>
        </is>
      </c>
      <c r="B5909" t="inlineStr">
        <is>
          <t>avverkningsanmälan</t>
        </is>
      </c>
      <c r="C5909" t="inlineStr">
        <is>
          <t>Föryngringsavverkning</t>
        </is>
      </c>
      <c r="D5909" s="1" t="n">
        <v>46112</v>
      </c>
      <c r="E5909" s="1" t="n">
        <v>46326</v>
      </c>
      <c r="F5909" t="inlineStr">
        <is>
          <t>GÄVLEBORGS LÄN</t>
        </is>
      </c>
      <c r="G5909" t="inlineStr">
        <is>
          <t>BOLLNÄS</t>
        </is>
      </c>
      <c r="I5909" t="n">
        <v>3.1</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16545-2026</t>
        </is>
      </c>
      <c r="B5910" t="inlineStr">
        <is>
          <t>avverkningsanmälan</t>
        </is>
      </c>
      <c r="C5910" t="inlineStr">
        <is>
          <t>Föryngringsavverkning</t>
        </is>
      </c>
      <c r="D5910" s="1" t="n">
        <v>46112</v>
      </c>
      <c r="E5910" s="1" t="n">
        <v>46326</v>
      </c>
      <c r="F5910" t="inlineStr">
        <is>
          <t>GÄVLEBORGS LÄN</t>
        </is>
      </c>
      <c r="G5910" t="inlineStr">
        <is>
          <t>OVANÅKER</t>
        </is>
      </c>
      <c r="I5910" t="n">
        <v>4.4</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20670-2022</t>
        </is>
      </c>
      <c r="B5911" t="inlineStr">
        <is>
          <t>avverkningsanmälan</t>
        </is>
      </c>
      <c r="C5911" t="inlineStr">
        <is>
          <t>Föryngringsavverkning</t>
        </is>
      </c>
      <c r="D5911" s="1" t="n">
        <v>44700</v>
      </c>
      <c r="E5911" s="1" t="n">
        <v>46326</v>
      </c>
      <c r="F5911" t="inlineStr">
        <is>
          <t>GÄVLEBORGS LÄN</t>
        </is>
      </c>
      <c r="G5911" t="inlineStr">
        <is>
          <t>HUDIKSVALL</t>
        </is>
      </c>
      <c r="H5911" t="inlineStr">
        <is>
          <t>Holmen skog AB</t>
        </is>
      </c>
      <c r="I5911" t="n">
        <v>11.9</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16565-2026</t>
        </is>
      </c>
      <c r="B5912" t="inlineStr">
        <is>
          <t>avverkningsanmälan</t>
        </is>
      </c>
      <c r="C5912" t="inlineStr">
        <is>
          <t>Föryngringsavverkning</t>
        </is>
      </c>
      <c r="D5912" s="1" t="n">
        <v>46112</v>
      </c>
      <c r="E5912" s="1" t="n">
        <v>46326</v>
      </c>
      <c r="F5912" t="inlineStr">
        <is>
          <t>GÄVLEBORGS LÄN</t>
        </is>
      </c>
      <c r="G5912" t="inlineStr">
        <is>
          <t>BOLLNÄS</t>
        </is>
      </c>
      <c r="I5912" t="n">
        <v>7</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16575-2026</t>
        </is>
      </c>
      <c r="B5913" t="inlineStr">
        <is>
          <t>avverkningsanmälan</t>
        </is>
      </c>
      <c r="C5913" t="inlineStr">
        <is>
          <t>Föryngringsavverkning</t>
        </is>
      </c>
      <c r="D5913" s="1" t="n">
        <v>46112</v>
      </c>
      <c r="E5913" s="1" t="n">
        <v>46326</v>
      </c>
      <c r="F5913" t="inlineStr">
        <is>
          <t>GÄVLEBORGS LÄN</t>
        </is>
      </c>
      <c r="G5913" t="inlineStr">
        <is>
          <t>BOLLNÄS</t>
        </is>
      </c>
      <c r="I5913" t="n">
        <v>0.8</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16417-2026</t>
        </is>
      </c>
      <c r="B5914" t="inlineStr">
        <is>
          <t>avverkningsanmälan</t>
        </is>
      </c>
      <c r="C5914" t="inlineStr">
        <is>
          <t>Föryngringsavverkning</t>
        </is>
      </c>
      <c r="D5914" s="1" t="n">
        <v>46111</v>
      </c>
      <c r="E5914" s="1" t="n">
        <v>46326</v>
      </c>
      <c r="F5914" t="inlineStr">
        <is>
          <t>GÄVLEBORGS LÄN</t>
        </is>
      </c>
      <c r="G5914" t="inlineStr">
        <is>
          <t>BOLLNÄS</t>
        </is>
      </c>
      <c r="H5914" t="inlineStr">
        <is>
          <t>Sveaskog</t>
        </is>
      </c>
      <c r="I5914" t="n">
        <v>0.5</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16683-2026</t>
        </is>
      </c>
      <c r="B5915" t="inlineStr">
        <is>
          <t>avverkningsanmälan</t>
        </is>
      </c>
      <c r="C5915" t="inlineStr">
        <is>
          <t>Föryngringsavverkning</t>
        </is>
      </c>
      <c r="D5915" s="1" t="n">
        <v>46112</v>
      </c>
      <c r="E5915" s="1" t="n">
        <v>46326</v>
      </c>
      <c r="F5915" t="inlineStr">
        <is>
          <t>GÄVLEBORGS LÄN</t>
        </is>
      </c>
      <c r="G5915" t="inlineStr">
        <is>
          <t>HUDIKSVALL</t>
        </is>
      </c>
      <c r="I5915" t="n">
        <v>0.8</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16481-2026</t>
        </is>
      </c>
      <c r="B5916" t="inlineStr">
        <is>
          <t>avverkningsanmälan</t>
        </is>
      </c>
      <c r="C5916" t="inlineStr">
        <is>
          <t>Föryngringsavverkning</t>
        </is>
      </c>
      <c r="D5916" s="1" t="n">
        <v>46112</v>
      </c>
      <c r="E5916" s="1" t="n">
        <v>46326</v>
      </c>
      <c r="F5916" t="inlineStr">
        <is>
          <t>GÄVLEBORGS LÄN</t>
        </is>
      </c>
      <c r="G5916" t="inlineStr">
        <is>
          <t>OCKELBO</t>
        </is>
      </c>
      <c r="H5916" t="inlineStr">
        <is>
          <t>Bergvik skog väst AB</t>
        </is>
      </c>
      <c r="I5916" t="n">
        <v>0.9</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16516-2026</t>
        </is>
      </c>
      <c r="B5917" t="inlineStr">
        <is>
          <t>avverkningsanmälan</t>
        </is>
      </c>
      <c r="C5917" t="inlineStr">
        <is>
          <t>Föryngringsavverkning</t>
        </is>
      </c>
      <c r="D5917" s="1" t="n">
        <v>46112</v>
      </c>
      <c r="E5917" s="1" t="n">
        <v>46326</v>
      </c>
      <c r="F5917" t="inlineStr">
        <is>
          <t>GÄVLEBORGS LÄN</t>
        </is>
      </c>
      <c r="G5917" t="inlineStr">
        <is>
          <t>LJUSDAL</t>
        </is>
      </c>
      <c r="H5917" t="inlineStr">
        <is>
          <t>Holmen skog AB</t>
        </is>
      </c>
      <c r="I5917" t="n">
        <v>4.8</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16529-2026</t>
        </is>
      </c>
      <c r="B5918" t="inlineStr">
        <is>
          <t>avverkningsanmälan</t>
        </is>
      </c>
      <c r="C5918" t="inlineStr">
        <is>
          <t>Föryngringsavverkning</t>
        </is>
      </c>
      <c r="D5918" s="1" t="n">
        <v>46112</v>
      </c>
      <c r="E5918" s="1" t="n">
        <v>46326</v>
      </c>
      <c r="F5918" t="inlineStr">
        <is>
          <t>GÄVLEBORGS LÄN</t>
        </is>
      </c>
      <c r="G5918" t="inlineStr">
        <is>
          <t>BOLLNÄS</t>
        </is>
      </c>
      <c r="I5918" t="n">
        <v>5.9</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16538-2026</t>
        </is>
      </c>
      <c r="B5919" t="inlineStr">
        <is>
          <t>avverkningsanmälan</t>
        </is>
      </c>
      <c r="C5919" t="inlineStr">
        <is>
          <t>Föryngringsavverkning</t>
        </is>
      </c>
      <c r="D5919" s="1" t="n">
        <v>46112</v>
      </c>
      <c r="E5919" s="1" t="n">
        <v>46326</v>
      </c>
      <c r="F5919" t="inlineStr">
        <is>
          <t>GÄVLEBORGS LÄN</t>
        </is>
      </c>
      <c r="G5919" t="inlineStr">
        <is>
          <t>LJUSDAL</t>
        </is>
      </c>
      <c r="H5919" t="inlineStr">
        <is>
          <t>Holmen skog AB</t>
        </is>
      </c>
      <c r="I5919" t="n">
        <v>6.5</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16574-2026</t>
        </is>
      </c>
      <c r="B5920" t="inlineStr">
        <is>
          <t>avverkningsanmälan</t>
        </is>
      </c>
      <c r="C5920" t="inlineStr">
        <is>
          <t>Föryngringsavverkning</t>
        </is>
      </c>
      <c r="D5920" s="1" t="n">
        <v>46112</v>
      </c>
      <c r="E5920" s="1" t="n">
        <v>46326</v>
      </c>
      <c r="F5920" t="inlineStr">
        <is>
          <t>GÄVLEBORGS LÄN</t>
        </is>
      </c>
      <c r="G5920" t="inlineStr">
        <is>
          <t>BOLLNÄS</t>
        </is>
      </c>
      <c r="I5920" t="n">
        <v>1.7</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16687-2026</t>
        </is>
      </c>
      <c r="B5921" t="inlineStr">
        <is>
          <t>avverkningsanmälan</t>
        </is>
      </c>
      <c r="C5921" t="inlineStr">
        <is>
          <t>Föryngringsavverkning</t>
        </is>
      </c>
      <c r="D5921" s="1" t="n">
        <v>46112</v>
      </c>
      <c r="E5921" s="1" t="n">
        <v>46326</v>
      </c>
      <c r="F5921" t="inlineStr">
        <is>
          <t>GÄVLEBORGS LÄN</t>
        </is>
      </c>
      <c r="G5921" t="inlineStr">
        <is>
          <t>NORDANSTIG</t>
        </is>
      </c>
      <c r="I5921" t="n">
        <v>6.3</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16449-2026</t>
        </is>
      </c>
      <c r="B5922" t="inlineStr">
        <is>
          <t>avverkningsanmälan</t>
        </is>
      </c>
      <c r="C5922" t="inlineStr">
        <is>
          <t>Föryngringsavverkning</t>
        </is>
      </c>
      <c r="D5922" s="1" t="n">
        <v>46112</v>
      </c>
      <c r="E5922" s="1" t="n">
        <v>46326</v>
      </c>
      <c r="F5922" t="inlineStr">
        <is>
          <t>GÄVLEBORGS LÄN</t>
        </is>
      </c>
      <c r="G5922" t="inlineStr">
        <is>
          <t>NORDANSTIG</t>
        </is>
      </c>
      <c r="H5922" t="inlineStr">
        <is>
          <t>Holmen skog AB</t>
        </is>
      </c>
      <c r="I5922" t="n">
        <v>34.8</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16459-2026</t>
        </is>
      </c>
      <c r="B5923" t="inlineStr">
        <is>
          <t>avverkningsanmälan</t>
        </is>
      </c>
      <c r="C5923" t="inlineStr">
        <is>
          <t>Föryngringsavverkning</t>
        </is>
      </c>
      <c r="D5923" s="1" t="n">
        <v>46112</v>
      </c>
      <c r="E5923" s="1" t="n">
        <v>46326</v>
      </c>
      <c r="F5923" t="inlineStr">
        <is>
          <t>GÄVLEBORGS LÄN</t>
        </is>
      </c>
      <c r="G5923" t="inlineStr">
        <is>
          <t>BOLLNÄS</t>
        </is>
      </c>
      <c r="H5923" t="inlineStr">
        <is>
          <t>Bergvik skog väst AB</t>
        </is>
      </c>
      <c r="I5923" t="n">
        <v>5.9</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18939-2025</t>
        </is>
      </c>
      <c r="B5924" t="inlineStr">
        <is>
          <t>avverkningsanmälan</t>
        </is>
      </c>
      <c r="C5924" t="inlineStr">
        <is>
          <t>Föryngringsavverkning</t>
        </is>
      </c>
      <c r="D5924" s="1" t="n">
        <v>45764</v>
      </c>
      <c r="E5924" s="1" t="n">
        <v>46326</v>
      </c>
      <c r="F5924" t="inlineStr">
        <is>
          <t>GÄVLEBORGS LÄN</t>
        </is>
      </c>
      <c r="G5924" t="inlineStr">
        <is>
          <t>HUDIKSVALL</t>
        </is>
      </c>
      <c r="I5924" t="n">
        <v>10.4</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18985-2025</t>
        </is>
      </c>
      <c r="B5925" t="inlineStr">
        <is>
          <t>avverkningsanmälan</t>
        </is>
      </c>
      <c r="C5925" t="inlineStr">
        <is>
          <t>Föryngringsavverkning</t>
        </is>
      </c>
      <c r="D5925" s="1" t="n">
        <v>45764</v>
      </c>
      <c r="E5925" s="1" t="n">
        <v>46326</v>
      </c>
      <c r="F5925" t="inlineStr">
        <is>
          <t>GÄVLEBORGS LÄN</t>
        </is>
      </c>
      <c r="G5925" t="inlineStr">
        <is>
          <t>HUDIKSVALL</t>
        </is>
      </c>
      <c r="H5925" t="inlineStr">
        <is>
          <t>Holmen skog AB</t>
        </is>
      </c>
      <c r="I5925" t="n">
        <v>8.1</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19008-2025</t>
        </is>
      </c>
      <c r="B5926" t="inlineStr">
        <is>
          <t>avverkningsanmälan</t>
        </is>
      </c>
      <c r="C5926" t="inlineStr">
        <is>
          <t>Föryngringsavverkning</t>
        </is>
      </c>
      <c r="D5926" s="1" t="n">
        <v>45764</v>
      </c>
      <c r="E5926" s="1" t="n">
        <v>46326</v>
      </c>
      <c r="F5926" t="inlineStr">
        <is>
          <t>GÄVLEBORGS LÄN</t>
        </is>
      </c>
      <c r="G5926" t="inlineStr">
        <is>
          <t>OVANÅKER</t>
        </is>
      </c>
      <c r="H5926" t="inlineStr">
        <is>
          <t>Bergvik skog öst AB</t>
        </is>
      </c>
      <c r="I5926" t="n">
        <v>12</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16475-2026</t>
        </is>
      </c>
      <c r="B5927" t="inlineStr">
        <is>
          <t>avverkningsanmälan</t>
        </is>
      </c>
      <c r="C5927" t="inlineStr">
        <is>
          <t>Föryngringsavverkning</t>
        </is>
      </c>
      <c r="D5927" s="1" t="n">
        <v>46112</v>
      </c>
      <c r="E5927" s="1" t="n">
        <v>46326</v>
      </c>
      <c r="F5927" t="inlineStr">
        <is>
          <t>GÄVLEBORGS LÄN</t>
        </is>
      </c>
      <c r="G5927" t="inlineStr">
        <is>
          <t>SÖDERHAMN</t>
        </is>
      </c>
      <c r="I5927" t="n">
        <v>0.7</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16221-2026</t>
        </is>
      </c>
      <c r="B5928" t="inlineStr">
        <is>
          <t>avverkningsanmälan</t>
        </is>
      </c>
      <c r="C5928" t="inlineStr">
        <is>
          <t>Föryngringsavverkning</t>
        </is>
      </c>
      <c r="D5928" s="1" t="n">
        <v>46111</v>
      </c>
      <c r="E5928" s="1" t="n">
        <v>46326</v>
      </c>
      <c r="F5928" t="inlineStr">
        <is>
          <t>GÄVLEBORGS LÄN</t>
        </is>
      </c>
      <c r="G5928" t="inlineStr">
        <is>
          <t>HUDIKSVALL</t>
        </is>
      </c>
      <c r="H5928" t="inlineStr">
        <is>
          <t>Naturvårdsverket</t>
        </is>
      </c>
      <c r="I5928" t="n">
        <v>5</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16388-2026</t>
        </is>
      </c>
      <c r="B5929" t="inlineStr">
        <is>
          <t>avverkningsanmälan</t>
        </is>
      </c>
      <c r="C5929" t="inlineStr">
        <is>
          <t>Föryngringsavverkning</t>
        </is>
      </c>
      <c r="D5929" s="1" t="n">
        <v>46111</v>
      </c>
      <c r="E5929" s="1" t="n">
        <v>46326</v>
      </c>
      <c r="F5929" t="inlineStr">
        <is>
          <t>GÄVLEBORGS LÄN</t>
        </is>
      </c>
      <c r="G5929" t="inlineStr">
        <is>
          <t>OCKELBO</t>
        </is>
      </c>
      <c r="I5929" t="n">
        <v>3.2</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14575-2024</t>
        </is>
      </c>
      <c r="B5930" t="inlineStr">
        <is>
          <t>avverkningsanmälan</t>
        </is>
      </c>
      <c r="C5930" t="inlineStr">
        <is>
          <t>Föryngringsavverkning</t>
        </is>
      </c>
      <c r="D5930" s="1" t="n">
        <v>45394</v>
      </c>
      <c r="E5930" s="1" t="n">
        <v>46326</v>
      </c>
      <c r="F5930" t="inlineStr">
        <is>
          <t>GÄVLEBORGS LÄN</t>
        </is>
      </c>
      <c r="G5930" t="inlineStr">
        <is>
          <t>OVANÅKER</t>
        </is>
      </c>
      <c r="I5930" t="n">
        <v>4.4</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9382-2022</t>
        </is>
      </c>
      <c r="B5931" t="inlineStr">
        <is>
          <t>avverkningsanmälan</t>
        </is>
      </c>
      <c r="C5931" t="inlineStr">
        <is>
          <t>Föryngringsavverkning</t>
        </is>
      </c>
      <c r="D5931" s="1" t="n">
        <v>44616</v>
      </c>
      <c r="E5931" s="1" t="n">
        <v>46326</v>
      </c>
      <c r="F5931" t="inlineStr">
        <is>
          <t>GÄVLEBORGS LÄN</t>
        </is>
      </c>
      <c r="G5931" t="inlineStr">
        <is>
          <t>NORDANSTIG</t>
        </is>
      </c>
      <c r="I5931" t="n">
        <v>4.2</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44628-2025</t>
        </is>
      </c>
      <c r="B5932" t="inlineStr">
        <is>
          <t>avverkningsanmälan</t>
        </is>
      </c>
      <c r="C5932" t="inlineStr">
        <is>
          <t>Föryngringsavverkning</t>
        </is>
      </c>
      <c r="D5932" s="1" t="n">
        <v>45917</v>
      </c>
      <c r="E5932" s="1" t="n">
        <v>46326</v>
      </c>
      <c r="F5932" t="inlineStr">
        <is>
          <t>GÄVLEBORGS LÄN</t>
        </is>
      </c>
      <c r="G5932" t="inlineStr">
        <is>
          <t>BOLLNÄS</t>
        </is>
      </c>
      <c r="I5932" t="n">
        <v>2.7</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16528-2026</t>
        </is>
      </c>
      <c r="B5933" t="inlineStr">
        <is>
          <t>avverkningsanmälan</t>
        </is>
      </c>
      <c r="C5933" t="inlineStr">
        <is>
          <t>Föryngringsavverkning</t>
        </is>
      </c>
      <c r="D5933" s="1" t="n">
        <v>46112</v>
      </c>
      <c r="E5933" s="1" t="n">
        <v>46326</v>
      </c>
      <c r="F5933" t="inlineStr">
        <is>
          <t>GÄVLEBORGS LÄN</t>
        </is>
      </c>
      <c r="G5933" t="inlineStr">
        <is>
          <t>NORDANSTIG</t>
        </is>
      </c>
      <c r="I5933" t="n">
        <v>3.1</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16293-2026</t>
        </is>
      </c>
      <c r="B5934" t="inlineStr">
        <is>
          <t>avverkningsanmälan</t>
        </is>
      </c>
      <c r="C5934" t="inlineStr">
        <is>
          <t>Föryngringsavverkning</t>
        </is>
      </c>
      <c r="D5934" s="1" t="n">
        <v>46111</v>
      </c>
      <c r="E5934" s="1" t="n">
        <v>46326</v>
      </c>
      <c r="F5934" t="inlineStr">
        <is>
          <t>GÄVLEBORGS LÄN</t>
        </is>
      </c>
      <c r="G5934" t="inlineStr">
        <is>
          <t>NORDANSTIG</t>
        </is>
      </c>
      <c r="H5934" t="inlineStr">
        <is>
          <t>Kommuner</t>
        </is>
      </c>
      <c r="I5934" t="n">
        <v>0.8</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16566-2026</t>
        </is>
      </c>
      <c r="B5935" t="inlineStr">
        <is>
          <t>avverkningsanmälan</t>
        </is>
      </c>
      <c r="C5935" t="inlineStr">
        <is>
          <t>Föryngringsavverkning</t>
        </is>
      </c>
      <c r="D5935" s="1" t="n">
        <v>46112</v>
      </c>
      <c r="E5935" s="1" t="n">
        <v>46326</v>
      </c>
      <c r="F5935" t="inlineStr">
        <is>
          <t>GÄVLEBORGS LÄN</t>
        </is>
      </c>
      <c r="G5935" t="inlineStr">
        <is>
          <t>BOLLNÄS</t>
        </is>
      </c>
      <c r="I5935" t="n">
        <v>0.8</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53234-2024</t>
        </is>
      </c>
      <c r="B5936" t="inlineStr">
        <is>
          <t>avverkningsanmälan</t>
        </is>
      </c>
      <c r="C5936" t="inlineStr">
        <is>
          <t>Föryngringsavverkning</t>
        </is>
      </c>
      <c r="D5936" s="1" t="n">
        <v>45613</v>
      </c>
      <c r="E5936" s="1" t="n">
        <v>46326</v>
      </c>
      <c r="F5936" t="inlineStr">
        <is>
          <t>GÄVLEBORGS LÄN</t>
        </is>
      </c>
      <c r="G5936" t="inlineStr">
        <is>
          <t>BOLLNÄS</t>
        </is>
      </c>
      <c r="I5936" t="n">
        <v>5</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46151-2024</t>
        </is>
      </c>
      <c r="B5937" t="inlineStr">
        <is>
          <t>avverkningsanmälan</t>
        </is>
      </c>
      <c r="C5937" t="inlineStr">
        <is>
          <t>Föryngringsavverkning</t>
        </is>
      </c>
      <c r="D5937" s="1" t="n">
        <v>45581</v>
      </c>
      <c r="E5937" s="1" t="n">
        <v>46326</v>
      </c>
      <c r="F5937" t="inlineStr">
        <is>
          <t>GÄVLEBORGS LÄN</t>
        </is>
      </c>
      <c r="G5937" t="inlineStr">
        <is>
          <t>BOLLNÄS</t>
        </is>
      </c>
      <c r="I5937" t="n">
        <v>0.5</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16485-2026</t>
        </is>
      </c>
      <c r="B5938" t="inlineStr">
        <is>
          <t>avverkningsanmälan</t>
        </is>
      </c>
      <c r="C5938" t="inlineStr">
        <is>
          <t>Föryngringsavverkning</t>
        </is>
      </c>
      <c r="D5938" s="1" t="n">
        <v>46112</v>
      </c>
      <c r="E5938" s="1" t="n">
        <v>46326</v>
      </c>
      <c r="F5938" t="inlineStr">
        <is>
          <t>GÄVLEBORGS LÄN</t>
        </is>
      </c>
      <c r="G5938" t="inlineStr">
        <is>
          <t>SÖDERHAMN</t>
        </is>
      </c>
      <c r="H5938" t="inlineStr">
        <is>
          <t>Bergvik skog väst AB</t>
        </is>
      </c>
      <c r="I5938" t="n">
        <v>0.4</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29219-2024</t>
        </is>
      </c>
      <c r="B5939" t="inlineStr">
        <is>
          <t>avverkningsanmälan</t>
        </is>
      </c>
      <c r="C5939" t="inlineStr">
        <is>
          <t>Föryngringsavverkning</t>
        </is>
      </c>
      <c r="D5939" s="1" t="n">
        <v>45482</v>
      </c>
      <c r="E5939" s="1" t="n">
        <v>46326</v>
      </c>
      <c r="F5939" t="inlineStr">
        <is>
          <t>GÄVLEBORGS LÄN</t>
        </is>
      </c>
      <c r="G5939" t="inlineStr">
        <is>
          <t>BOLLNÄS</t>
        </is>
      </c>
      <c r="I5939" t="n">
        <v>0.5</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16430-2026</t>
        </is>
      </c>
      <c r="B5940" t="inlineStr">
        <is>
          <t>avverkningsanmälan</t>
        </is>
      </c>
      <c r="C5940" t="inlineStr">
        <is>
          <t>Föryngringsavverkning</t>
        </is>
      </c>
      <c r="D5940" s="1" t="n">
        <v>46111</v>
      </c>
      <c r="E5940" s="1" t="n">
        <v>46326</v>
      </c>
      <c r="F5940" t="inlineStr">
        <is>
          <t>GÄVLEBORGS LÄN</t>
        </is>
      </c>
      <c r="G5940" t="inlineStr">
        <is>
          <t>GÄVLE</t>
        </is>
      </c>
      <c r="H5940" t="inlineStr">
        <is>
          <t>Bergvik skog väst AB</t>
        </is>
      </c>
      <c r="I5940" t="n">
        <v>1.3</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16623-2026</t>
        </is>
      </c>
      <c r="B5941" t="inlineStr">
        <is>
          <t>avverkningsanmälan</t>
        </is>
      </c>
      <c r="C5941" t="inlineStr">
        <is>
          <t>Föryngringsavverkning</t>
        </is>
      </c>
      <c r="D5941" s="1" t="n">
        <v>46112</v>
      </c>
      <c r="E5941" s="1" t="n">
        <v>46326</v>
      </c>
      <c r="F5941" t="inlineStr">
        <is>
          <t>GÄVLEBORGS LÄN</t>
        </is>
      </c>
      <c r="G5941" t="inlineStr">
        <is>
          <t>BOLLNÄS</t>
        </is>
      </c>
      <c r="I5941" t="n">
        <v>2.4</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16450-2026</t>
        </is>
      </c>
      <c r="B5942" t="inlineStr">
        <is>
          <t>avverkningsanmälan</t>
        </is>
      </c>
      <c r="C5942" t="inlineStr">
        <is>
          <t>Föryngringsavverkning</t>
        </is>
      </c>
      <c r="D5942" s="1" t="n">
        <v>46112</v>
      </c>
      <c r="E5942" s="1" t="n">
        <v>46326</v>
      </c>
      <c r="F5942" t="inlineStr">
        <is>
          <t>GÄVLEBORGS LÄN</t>
        </is>
      </c>
      <c r="G5942" t="inlineStr">
        <is>
          <t>BOLLNÄS</t>
        </is>
      </c>
      <c r="H5942" t="inlineStr">
        <is>
          <t>Bergvik skog väst AB</t>
        </is>
      </c>
      <c r="I5942" t="n">
        <v>1</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16436-2026</t>
        </is>
      </c>
      <c r="B5943" t="inlineStr">
        <is>
          <t>avverkningsanmälan</t>
        </is>
      </c>
      <c r="C5943" t="inlineStr">
        <is>
          <t>Föryngringsavverkning</t>
        </is>
      </c>
      <c r="D5943" s="1" t="n">
        <v>46111</v>
      </c>
      <c r="E5943" s="1" t="n">
        <v>46326</v>
      </c>
      <c r="F5943" t="inlineStr">
        <is>
          <t>GÄVLEBORGS LÄN</t>
        </is>
      </c>
      <c r="G5943" t="inlineStr">
        <is>
          <t>NORDANSTIG</t>
        </is>
      </c>
      <c r="H5943" t="inlineStr">
        <is>
          <t>Holmen skog AB</t>
        </is>
      </c>
      <c r="I5943" t="n">
        <v>42.1</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16622-2026</t>
        </is>
      </c>
      <c r="B5944" t="inlineStr">
        <is>
          <t>avverkningsanmälan</t>
        </is>
      </c>
      <c r="C5944" t="inlineStr">
        <is>
          <t>Föryngringsavverkning</t>
        </is>
      </c>
      <c r="D5944" s="1" t="n">
        <v>46112</v>
      </c>
      <c r="E5944" s="1" t="n">
        <v>46326</v>
      </c>
      <c r="F5944" t="inlineStr">
        <is>
          <t>GÄVLEBORGS LÄN</t>
        </is>
      </c>
      <c r="G5944" t="inlineStr">
        <is>
          <t>BOLLNÄS</t>
        </is>
      </c>
      <c r="I5944" t="n">
        <v>0.7</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16637-2026</t>
        </is>
      </c>
      <c r="B5945" t="inlineStr">
        <is>
          <t>avverkningsanmälan</t>
        </is>
      </c>
      <c r="C5945" t="inlineStr">
        <is>
          <t>Föryngringsavverkning</t>
        </is>
      </c>
      <c r="D5945" s="1" t="n">
        <v>46112</v>
      </c>
      <c r="E5945" s="1" t="n">
        <v>46326</v>
      </c>
      <c r="F5945" t="inlineStr">
        <is>
          <t>GÄVLEBORGS LÄN</t>
        </is>
      </c>
      <c r="G5945" t="inlineStr">
        <is>
          <t>BOLLNÄS</t>
        </is>
      </c>
      <c r="H5945" t="inlineStr">
        <is>
          <t>Bergvik skog väst AB</t>
        </is>
      </c>
      <c r="I5945" t="n">
        <v>0.6</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16310-2026</t>
        </is>
      </c>
      <c r="B5946" t="inlineStr">
        <is>
          <t>avverkningsanmälan</t>
        </is>
      </c>
      <c r="C5946" t="inlineStr">
        <is>
          <t>Föryngringsavverkning</t>
        </is>
      </c>
      <c r="D5946" s="1" t="n">
        <v>46111</v>
      </c>
      <c r="E5946" s="1" t="n">
        <v>46326</v>
      </c>
      <c r="F5946" t="inlineStr">
        <is>
          <t>GÄVLEBORGS LÄN</t>
        </is>
      </c>
      <c r="G5946" t="inlineStr">
        <is>
          <t>NORDANSTIG</t>
        </is>
      </c>
      <c r="H5946" t="inlineStr">
        <is>
          <t>Kommuner</t>
        </is>
      </c>
      <c r="I5946" t="n">
        <v>1.3</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16569-2026</t>
        </is>
      </c>
      <c r="B5947" t="inlineStr">
        <is>
          <t>avverkningsanmälan</t>
        </is>
      </c>
      <c r="C5947" t="inlineStr">
        <is>
          <t>Föryngringsavverkning</t>
        </is>
      </c>
      <c r="D5947" s="1" t="n">
        <v>46112</v>
      </c>
      <c r="E5947" s="1" t="n">
        <v>46326</v>
      </c>
      <c r="F5947" t="inlineStr">
        <is>
          <t>GÄVLEBORGS LÄN</t>
        </is>
      </c>
      <c r="G5947" t="inlineStr">
        <is>
          <t>SANDVIKEN</t>
        </is>
      </c>
      <c r="I5947" t="n">
        <v>0.7</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16599-2026</t>
        </is>
      </c>
      <c r="B5948" t="inlineStr">
        <is>
          <t>avverkningsanmälan</t>
        </is>
      </c>
      <c r="C5948" t="inlineStr">
        <is>
          <t>Föryngringsavverkning</t>
        </is>
      </c>
      <c r="D5948" s="1" t="n">
        <v>46112</v>
      </c>
      <c r="E5948" s="1" t="n">
        <v>46326</v>
      </c>
      <c r="F5948" t="inlineStr">
        <is>
          <t>GÄVLEBORGS LÄN</t>
        </is>
      </c>
      <c r="G5948" t="inlineStr">
        <is>
          <t>BOLLNÄS</t>
        </is>
      </c>
      <c r="I5948" t="n">
        <v>2.4</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16620-2026</t>
        </is>
      </c>
      <c r="B5949" t="inlineStr">
        <is>
          <t>avverkningsanmälan</t>
        </is>
      </c>
      <c r="C5949" t="inlineStr">
        <is>
          <t>Föryngringsavverkning</t>
        </is>
      </c>
      <c r="D5949" s="1" t="n">
        <v>46112</v>
      </c>
      <c r="E5949" s="1" t="n">
        <v>46326</v>
      </c>
      <c r="F5949" t="inlineStr">
        <is>
          <t>GÄVLEBORGS LÄN</t>
        </is>
      </c>
      <c r="G5949" t="inlineStr">
        <is>
          <t>BOLLNÄS</t>
        </is>
      </c>
      <c r="I5949" t="n">
        <v>4.3</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17007-2026</t>
        </is>
      </c>
      <c r="B5950" t="inlineStr">
        <is>
          <t>avverkningsanmälan</t>
        </is>
      </c>
      <c r="C5950" t="inlineStr">
        <is>
          <t>Föryngringsavverkning</t>
        </is>
      </c>
      <c r="D5950" s="1" t="n">
        <v>46114</v>
      </c>
      <c r="E5950" s="1" t="n">
        <v>46326</v>
      </c>
      <c r="F5950" t="inlineStr">
        <is>
          <t>GÄVLEBORGS LÄN</t>
        </is>
      </c>
      <c r="G5950" t="inlineStr">
        <is>
          <t>BOLLNÄS</t>
        </is>
      </c>
      <c r="I5950" t="n">
        <v>2.1</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17016-2026</t>
        </is>
      </c>
      <c r="B5951" t="inlineStr">
        <is>
          <t>avverkningsanmälan</t>
        </is>
      </c>
      <c r="C5951" t="inlineStr">
        <is>
          <t>Föryngringsavverkning</t>
        </is>
      </c>
      <c r="D5951" s="1" t="n">
        <v>46114</v>
      </c>
      <c r="E5951" s="1" t="n">
        <v>46326</v>
      </c>
      <c r="F5951" t="inlineStr">
        <is>
          <t>GÄVLEBORGS LÄN</t>
        </is>
      </c>
      <c r="G5951" t="inlineStr">
        <is>
          <t>BOLLNÄS</t>
        </is>
      </c>
      <c r="H5951" t="inlineStr">
        <is>
          <t>Holmen skog AB</t>
        </is>
      </c>
      <c r="I5951" t="n">
        <v>2.4</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17018-2026</t>
        </is>
      </c>
      <c r="B5952" t="inlineStr">
        <is>
          <t>avverkningsanmälan</t>
        </is>
      </c>
      <c r="C5952" t="inlineStr">
        <is>
          <t>Föryngringsavverkning</t>
        </is>
      </c>
      <c r="D5952" s="1" t="n">
        <v>46114</v>
      </c>
      <c r="E5952" s="1" t="n">
        <v>46326</v>
      </c>
      <c r="F5952" t="inlineStr">
        <is>
          <t>GÄVLEBORGS LÄN</t>
        </is>
      </c>
      <c r="G5952" t="inlineStr">
        <is>
          <t>OVANÅKER</t>
        </is>
      </c>
      <c r="I5952" t="n">
        <v>0.5</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17023-2026</t>
        </is>
      </c>
      <c r="B5953" t="inlineStr">
        <is>
          <t>avverkningsanmälan</t>
        </is>
      </c>
      <c r="C5953" t="inlineStr">
        <is>
          <t>Föryngringsavverkning</t>
        </is>
      </c>
      <c r="D5953" s="1" t="n">
        <v>46114</v>
      </c>
      <c r="E5953" s="1" t="n">
        <v>46326</v>
      </c>
      <c r="F5953" t="inlineStr">
        <is>
          <t>GÄVLEBORGS LÄN</t>
        </is>
      </c>
      <c r="G5953" t="inlineStr">
        <is>
          <t>OVANÅKER</t>
        </is>
      </c>
      <c r="I5953" t="n">
        <v>1.7</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16767-2026</t>
        </is>
      </c>
      <c r="B5954" t="inlineStr">
        <is>
          <t>avverkningsanmälan</t>
        </is>
      </c>
      <c r="C5954" t="inlineStr">
        <is>
          <t>Föryngringsavverkning</t>
        </is>
      </c>
      <c r="D5954" s="1" t="n">
        <v>46113</v>
      </c>
      <c r="E5954" s="1" t="n">
        <v>46326</v>
      </c>
      <c r="F5954" t="inlineStr">
        <is>
          <t>GÄVLEBORGS LÄN</t>
        </is>
      </c>
      <c r="G5954" t="inlineStr">
        <is>
          <t>OVANÅKER</t>
        </is>
      </c>
      <c r="H5954" t="inlineStr">
        <is>
          <t>Bergvik skog öst AB</t>
        </is>
      </c>
      <c r="I5954" t="n">
        <v>0.6</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58506-2023</t>
        </is>
      </c>
      <c r="B5955" t="inlineStr">
        <is>
          <t>avverkningsanmälan</t>
        </is>
      </c>
      <c r="C5955" t="inlineStr">
        <is>
          <t>Föryngringsavverkning</t>
        </is>
      </c>
      <c r="D5955" s="1" t="n">
        <v>45251</v>
      </c>
      <c r="E5955" s="1" t="n">
        <v>46326</v>
      </c>
      <c r="F5955" t="inlineStr">
        <is>
          <t>GÄVLEBORGS LÄN</t>
        </is>
      </c>
      <c r="G5955" t="inlineStr">
        <is>
          <t>BOLLNÄS</t>
        </is>
      </c>
      <c r="I5955" t="n">
        <v>1.2</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11799-2025</t>
        </is>
      </c>
      <c r="B5956" t="inlineStr">
        <is>
          <t>avverkningsanmälan</t>
        </is>
      </c>
      <c r="C5956" t="inlineStr">
        <is>
          <t>Föryngringsavverkning</t>
        </is>
      </c>
      <c r="D5956" s="1" t="n">
        <v>45727</v>
      </c>
      <c r="E5956" s="1" t="n">
        <v>46326</v>
      </c>
      <c r="F5956" t="inlineStr">
        <is>
          <t>GÄVLEBORGS LÄN</t>
        </is>
      </c>
      <c r="G5956" t="inlineStr">
        <is>
          <t>BOLLNÄS</t>
        </is>
      </c>
      <c r="I5956" t="n">
        <v>9.5</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34232-2023</t>
        </is>
      </c>
      <c r="B5957" t="inlineStr">
        <is>
          <t>avverkningsanmälan</t>
        </is>
      </c>
      <c r="C5957" t="inlineStr">
        <is>
          <t>Föryngringsavverkning</t>
        </is>
      </c>
      <c r="D5957" s="1" t="n">
        <v>45127</v>
      </c>
      <c r="E5957" s="1" t="n">
        <v>46326</v>
      </c>
      <c r="F5957" t="inlineStr">
        <is>
          <t>GÄVLEBORGS LÄN</t>
        </is>
      </c>
      <c r="G5957" t="inlineStr">
        <is>
          <t>HOFORS</t>
        </is>
      </c>
      <c r="H5957" t="inlineStr">
        <is>
          <t>Bergvik skog väst AB</t>
        </is>
      </c>
      <c r="I5957" t="n">
        <v>5.8</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16942-2026</t>
        </is>
      </c>
      <c r="B5958" t="inlineStr">
        <is>
          <t>avverkningsanmälan</t>
        </is>
      </c>
      <c r="C5958" t="inlineStr">
        <is>
          <t>Föryngringsavverkning</t>
        </is>
      </c>
      <c r="D5958" s="1" t="n">
        <v>46113</v>
      </c>
      <c r="E5958" s="1" t="n">
        <v>46326</v>
      </c>
      <c r="F5958" t="inlineStr">
        <is>
          <t>GÄVLEBORGS LÄN</t>
        </is>
      </c>
      <c r="G5958" t="inlineStr">
        <is>
          <t>BOLLNÄS</t>
        </is>
      </c>
      <c r="I5958" t="n">
        <v>3.2</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15494-2023</t>
        </is>
      </c>
      <c r="B5959" t="inlineStr">
        <is>
          <t>avverkningsanmälan</t>
        </is>
      </c>
      <c r="C5959" t="inlineStr">
        <is>
          <t>Föryngringsavverkning</t>
        </is>
      </c>
      <c r="D5959" s="1" t="n">
        <v>45020</v>
      </c>
      <c r="E5959" s="1" t="n">
        <v>46326</v>
      </c>
      <c r="F5959" t="inlineStr">
        <is>
          <t>GÄVLEBORGS LÄN</t>
        </is>
      </c>
      <c r="G5959" t="inlineStr">
        <is>
          <t>NORDANSTIG</t>
        </is>
      </c>
      <c r="H5959" t="inlineStr">
        <is>
          <t>Holmen skog AB</t>
        </is>
      </c>
      <c r="I5959" t="n">
        <v>1.9</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15496-2023</t>
        </is>
      </c>
      <c r="B5960" t="inlineStr">
        <is>
          <t>avverkningsanmälan</t>
        </is>
      </c>
      <c r="C5960" t="inlineStr">
        <is>
          <t>Föryngringsavverkning</t>
        </is>
      </c>
      <c r="D5960" s="1" t="n">
        <v>45020</v>
      </c>
      <c r="E5960" s="1" t="n">
        <v>46326</v>
      </c>
      <c r="F5960" t="inlineStr">
        <is>
          <t>GÄVLEBORGS LÄN</t>
        </is>
      </c>
      <c r="G5960" t="inlineStr">
        <is>
          <t>NORDANSTIG</t>
        </is>
      </c>
      <c r="H5960" t="inlineStr">
        <is>
          <t>Holmen skog AB</t>
        </is>
      </c>
      <c r="I5960" t="n">
        <v>1.2</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46299-2023</t>
        </is>
      </c>
      <c r="B5961" t="inlineStr">
        <is>
          <t>avverkningsanmälan</t>
        </is>
      </c>
      <c r="C5961" t="inlineStr">
        <is>
          <t>Föryngringsavverkning</t>
        </is>
      </c>
      <c r="D5961" s="1" t="n">
        <v>45197</v>
      </c>
      <c r="E5961" s="1" t="n">
        <v>46326</v>
      </c>
      <c r="F5961" t="inlineStr">
        <is>
          <t>GÄVLEBORGS LÄN</t>
        </is>
      </c>
      <c r="G5961" t="inlineStr">
        <is>
          <t>NORDANSTIG</t>
        </is>
      </c>
      <c r="H5961" t="inlineStr">
        <is>
          <t>Holmen skog AB</t>
        </is>
      </c>
      <c r="I5961" t="n">
        <v>1.5</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17070-2026</t>
        </is>
      </c>
      <c r="B5962" t="inlineStr">
        <is>
          <t>avverkningsanmälan</t>
        </is>
      </c>
      <c r="C5962" t="inlineStr">
        <is>
          <t>Föryngringsavverkning</t>
        </is>
      </c>
      <c r="D5962" s="1" t="n">
        <v>46114</v>
      </c>
      <c r="E5962" s="1" t="n">
        <v>46326</v>
      </c>
      <c r="F5962" t="inlineStr">
        <is>
          <t>GÄVLEBORGS LÄN</t>
        </is>
      </c>
      <c r="G5962" t="inlineStr">
        <is>
          <t>BOLLNÄS</t>
        </is>
      </c>
      <c r="I5962" t="n">
        <v>1.3</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16722-2026</t>
        </is>
      </c>
      <c r="B5963" t="inlineStr">
        <is>
          <t>avverkningsanmälan</t>
        </is>
      </c>
      <c r="C5963" t="inlineStr">
        <is>
          <t>Föryngringsavverkning</t>
        </is>
      </c>
      <c r="D5963" s="1" t="n">
        <v>46113</v>
      </c>
      <c r="E5963" s="1" t="n">
        <v>46326</v>
      </c>
      <c r="F5963" t="inlineStr">
        <is>
          <t>GÄVLEBORGS LÄN</t>
        </is>
      </c>
      <c r="G5963" t="inlineStr">
        <is>
          <t>HUDIKSVALL</t>
        </is>
      </c>
      <c r="I5963" t="n">
        <v>2.5</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16981-2026</t>
        </is>
      </c>
      <c r="B5964" t="inlineStr">
        <is>
          <t>avverkningsanmälan</t>
        </is>
      </c>
      <c r="C5964" t="inlineStr">
        <is>
          <t>Föryngringsavverkning</t>
        </is>
      </c>
      <c r="D5964" s="1" t="n">
        <v>46114</v>
      </c>
      <c r="E5964" s="1" t="n">
        <v>46326</v>
      </c>
      <c r="F5964" t="inlineStr">
        <is>
          <t>GÄVLEBORGS LÄN</t>
        </is>
      </c>
      <c r="G5964" t="inlineStr">
        <is>
          <t>OCKELBO</t>
        </is>
      </c>
      <c r="H5964" t="inlineStr">
        <is>
          <t>Bergvik skog väst AB</t>
        </is>
      </c>
      <c r="I5964" t="n">
        <v>9.4</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16991-2026</t>
        </is>
      </c>
      <c r="B5965" t="inlineStr">
        <is>
          <t>avverkningsanmälan</t>
        </is>
      </c>
      <c r="C5965" t="inlineStr">
        <is>
          <t>Föryngringsavverkning</t>
        </is>
      </c>
      <c r="D5965" s="1" t="n">
        <v>46114</v>
      </c>
      <c r="E5965" s="1" t="n">
        <v>46326</v>
      </c>
      <c r="F5965" t="inlineStr">
        <is>
          <t>GÄVLEBORGS LÄN</t>
        </is>
      </c>
      <c r="G5965" t="inlineStr">
        <is>
          <t>OCKELBO</t>
        </is>
      </c>
      <c r="I5965" t="n">
        <v>4.4</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16992-2026</t>
        </is>
      </c>
      <c r="B5966" t="inlineStr">
        <is>
          <t>avverkningsanmälan</t>
        </is>
      </c>
      <c r="C5966" t="inlineStr">
        <is>
          <t>Föryngringsavverkning</t>
        </is>
      </c>
      <c r="D5966" s="1" t="n">
        <v>46114</v>
      </c>
      <c r="E5966" s="1" t="n">
        <v>46326</v>
      </c>
      <c r="F5966" t="inlineStr">
        <is>
          <t>GÄVLEBORGS LÄN</t>
        </is>
      </c>
      <c r="G5966" t="inlineStr">
        <is>
          <t>BOLLNÄS</t>
        </is>
      </c>
      <c r="H5966" t="inlineStr">
        <is>
          <t>Holmen skog AB</t>
        </is>
      </c>
      <c r="I5966" t="n">
        <v>2.4</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16978-2026</t>
        </is>
      </c>
      <c r="B5967" t="inlineStr">
        <is>
          <t>avverkningsanmälan</t>
        </is>
      </c>
      <c r="C5967" t="inlineStr">
        <is>
          <t>Föryngringsavverkning</t>
        </is>
      </c>
      <c r="D5967" s="1" t="n">
        <v>46114</v>
      </c>
      <c r="E5967" s="1" t="n">
        <v>46326</v>
      </c>
      <c r="F5967" t="inlineStr">
        <is>
          <t>GÄVLEBORGS LÄN</t>
        </is>
      </c>
      <c r="G5967" t="inlineStr">
        <is>
          <t>OVANÅKER</t>
        </is>
      </c>
      <c r="I5967" t="n">
        <v>0.5</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10484-2023</t>
        </is>
      </c>
      <c r="B5968" t="inlineStr">
        <is>
          <t>avverkningsanmälan</t>
        </is>
      </c>
      <c r="C5968" t="inlineStr">
        <is>
          <t>Föryngringsavverkning</t>
        </is>
      </c>
      <c r="D5968" s="1" t="n">
        <v>44987</v>
      </c>
      <c r="E5968" s="1" t="n">
        <v>46326</v>
      </c>
      <c r="F5968" t="inlineStr">
        <is>
          <t>GÄVLEBORGS LÄN</t>
        </is>
      </c>
      <c r="G5968" t="inlineStr">
        <is>
          <t>NORDANSTIG</t>
        </is>
      </c>
      <c r="I5968" t="n">
        <v>0.7</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14771-2025</t>
        </is>
      </c>
      <c r="B5969" t="inlineStr">
        <is>
          <t>avverkningsanmälan</t>
        </is>
      </c>
      <c r="C5969" t="inlineStr">
        <is>
          <t>Avverkning för annat ändamål</t>
        </is>
      </c>
      <c r="D5969" s="1" t="n">
        <v>45742</v>
      </c>
      <c r="E5969" s="1" t="n">
        <v>46326</v>
      </c>
      <c r="F5969" t="inlineStr">
        <is>
          <t>GÄVLEBORGS LÄN</t>
        </is>
      </c>
      <c r="G5969" t="inlineStr">
        <is>
          <t>HUDIKSVALL</t>
        </is>
      </c>
      <c r="I5969" t="n">
        <v>0.6</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16968-2026</t>
        </is>
      </c>
      <c r="B5970" t="inlineStr">
        <is>
          <t>avverkningsanmälan</t>
        </is>
      </c>
      <c r="C5970" t="inlineStr">
        <is>
          <t>Föryngringsavverkning</t>
        </is>
      </c>
      <c r="D5970" s="1" t="n">
        <v>46114</v>
      </c>
      <c r="E5970" s="1" t="n">
        <v>46326</v>
      </c>
      <c r="F5970" t="inlineStr">
        <is>
          <t>GÄVLEBORGS LÄN</t>
        </is>
      </c>
      <c r="G5970" t="inlineStr">
        <is>
          <t>HUDIKSVALL</t>
        </is>
      </c>
      <c r="H5970" t="inlineStr">
        <is>
          <t>Holmen skog AB</t>
        </is>
      </c>
      <c r="I5970" t="n">
        <v>16</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16972-2026</t>
        </is>
      </c>
      <c r="B5971" t="inlineStr">
        <is>
          <t>avverkningsanmälan</t>
        </is>
      </c>
      <c r="C5971" t="inlineStr">
        <is>
          <t>Föryngringsavverkning</t>
        </is>
      </c>
      <c r="D5971" s="1" t="n">
        <v>46114</v>
      </c>
      <c r="E5971" s="1" t="n">
        <v>46326</v>
      </c>
      <c r="F5971" t="inlineStr">
        <is>
          <t>GÄVLEBORGS LÄN</t>
        </is>
      </c>
      <c r="G5971" t="inlineStr">
        <is>
          <t>HUDIKSVALL</t>
        </is>
      </c>
      <c r="H5971" t="inlineStr">
        <is>
          <t>Holmen skog AB</t>
        </is>
      </c>
      <c r="I5971" t="n">
        <v>32</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16188-2025</t>
        </is>
      </c>
      <c r="B5972" t="inlineStr">
        <is>
          <t>avverkningsanmälan</t>
        </is>
      </c>
      <c r="C5972" t="inlineStr">
        <is>
          <t>Föryngringsavverkning</t>
        </is>
      </c>
      <c r="D5972" s="1" t="n">
        <v>45750</v>
      </c>
      <c r="E5972" s="1" t="n">
        <v>46326</v>
      </c>
      <c r="F5972" t="inlineStr">
        <is>
          <t>GÄVLEBORGS LÄN</t>
        </is>
      </c>
      <c r="G5972" t="inlineStr">
        <is>
          <t>SÖDERHAMN</t>
        </is>
      </c>
      <c r="H5972" t="inlineStr">
        <is>
          <t>Kommuner</t>
        </is>
      </c>
      <c r="I5972" t="n">
        <v>0.9</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16848-2026</t>
        </is>
      </c>
      <c r="B5973" t="inlineStr">
        <is>
          <t>avverkningsanmälan</t>
        </is>
      </c>
      <c r="C5973" t="inlineStr">
        <is>
          <t>Föryngringsavverkning</t>
        </is>
      </c>
      <c r="D5973" s="1" t="n">
        <v>46113</v>
      </c>
      <c r="E5973" s="1" t="n">
        <v>46326</v>
      </c>
      <c r="F5973" t="inlineStr">
        <is>
          <t>GÄVLEBORGS LÄN</t>
        </is>
      </c>
      <c r="G5973" t="inlineStr">
        <is>
          <t>HUDIKSVALL</t>
        </is>
      </c>
      <c r="H5973" t="inlineStr">
        <is>
          <t>Holmen skog AB</t>
        </is>
      </c>
      <c r="I5973" t="n">
        <v>4.8</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16858-2026</t>
        </is>
      </c>
      <c r="B5974" t="inlineStr">
        <is>
          <t>avverkningsanmälan</t>
        </is>
      </c>
      <c r="C5974" t="inlineStr">
        <is>
          <t>Föryngringsavverkning</t>
        </is>
      </c>
      <c r="D5974" s="1" t="n">
        <v>46113</v>
      </c>
      <c r="E5974" s="1" t="n">
        <v>46326</v>
      </c>
      <c r="F5974" t="inlineStr">
        <is>
          <t>GÄVLEBORGS LÄN</t>
        </is>
      </c>
      <c r="G5974" t="inlineStr">
        <is>
          <t>BOLLNÄS</t>
        </is>
      </c>
      <c r="I5974" t="n">
        <v>3.5</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17015-2026</t>
        </is>
      </c>
      <c r="B5975" t="inlineStr">
        <is>
          <t>avverkningsanmälan</t>
        </is>
      </c>
      <c r="C5975" t="inlineStr">
        <is>
          <t>Föryngringsavverkning</t>
        </is>
      </c>
      <c r="D5975" s="1" t="n">
        <v>46114</v>
      </c>
      <c r="E5975" s="1" t="n">
        <v>46326</v>
      </c>
      <c r="F5975" t="inlineStr">
        <is>
          <t>GÄVLEBORGS LÄN</t>
        </is>
      </c>
      <c r="G5975" t="inlineStr">
        <is>
          <t>OVANÅKER</t>
        </is>
      </c>
      <c r="I5975" t="n">
        <v>1.5</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17017-2026</t>
        </is>
      </c>
      <c r="B5976" t="inlineStr">
        <is>
          <t>avverkningsanmälan</t>
        </is>
      </c>
      <c r="C5976" t="inlineStr">
        <is>
          <t>Föryngringsavverkning</t>
        </is>
      </c>
      <c r="D5976" s="1" t="n">
        <v>46114</v>
      </c>
      <c r="E5976" s="1" t="n">
        <v>46326</v>
      </c>
      <c r="F5976" t="inlineStr">
        <is>
          <t>GÄVLEBORGS LÄN</t>
        </is>
      </c>
      <c r="G5976" t="inlineStr">
        <is>
          <t>OVANÅKER</t>
        </is>
      </c>
      <c r="I5976" t="n">
        <v>0.6</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16806-2026</t>
        </is>
      </c>
      <c r="B5977" t="inlineStr">
        <is>
          <t>avverkningsanmälan</t>
        </is>
      </c>
      <c r="C5977" t="inlineStr">
        <is>
          <t>Föryngringsavverkning</t>
        </is>
      </c>
      <c r="D5977" s="1" t="n">
        <v>46113</v>
      </c>
      <c r="E5977" s="1" t="n">
        <v>46326</v>
      </c>
      <c r="F5977" t="inlineStr">
        <is>
          <t>GÄVLEBORGS LÄN</t>
        </is>
      </c>
      <c r="G5977" t="inlineStr">
        <is>
          <t>LJUSDAL</t>
        </is>
      </c>
      <c r="H5977" t="inlineStr">
        <is>
          <t>SCA</t>
        </is>
      </c>
      <c r="I5977" t="n">
        <v>3.7</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61732-2024</t>
        </is>
      </c>
      <c r="B5978" t="inlineStr">
        <is>
          <t>avverkningsanmälan</t>
        </is>
      </c>
      <c r="C5978" t="inlineStr">
        <is>
          <t>Föryngringsavverkning</t>
        </is>
      </c>
      <c r="D5978" s="1" t="n">
        <v>45649</v>
      </c>
      <c r="E5978" s="1" t="n">
        <v>46326</v>
      </c>
      <c r="F5978" t="inlineStr">
        <is>
          <t>GÄVLEBORGS LÄN</t>
        </is>
      </c>
      <c r="G5978" t="inlineStr">
        <is>
          <t>OCKELBO</t>
        </is>
      </c>
      <c r="I5978" t="n">
        <v>1.1</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74009-2021</t>
        </is>
      </c>
      <c r="B5979" t="inlineStr">
        <is>
          <t>avverkningsanmälan</t>
        </is>
      </c>
      <c r="C5979" t="inlineStr">
        <is>
          <t>Föryngringsavverkning</t>
        </is>
      </c>
      <c r="D5979" s="1" t="n">
        <v>44557</v>
      </c>
      <c r="E5979" s="1" t="n">
        <v>46326</v>
      </c>
      <c r="F5979" t="inlineStr">
        <is>
          <t>GÄVLEBORGS LÄN</t>
        </is>
      </c>
      <c r="G5979" t="inlineStr">
        <is>
          <t>HUDIKSVALL</t>
        </is>
      </c>
      <c r="I5979" t="n">
        <v>0.7</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16842-2026</t>
        </is>
      </c>
      <c r="B5980" t="inlineStr">
        <is>
          <t>avverkningsanmälan</t>
        </is>
      </c>
      <c r="C5980" t="inlineStr">
        <is>
          <t>Föryngringsavverkning</t>
        </is>
      </c>
      <c r="D5980" s="1" t="n">
        <v>46113</v>
      </c>
      <c r="E5980" s="1" t="n">
        <v>46326</v>
      </c>
      <c r="F5980" t="inlineStr">
        <is>
          <t>GÄVLEBORGS LÄN</t>
        </is>
      </c>
      <c r="G5980" t="inlineStr">
        <is>
          <t>HUDIKSVALL</t>
        </is>
      </c>
      <c r="I5980" t="n">
        <v>9.199999999999999</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35352-2024</t>
        </is>
      </c>
      <c r="B5981" t="inlineStr">
        <is>
          <t>avverkningsanmälan</t>
        </is>
      </c>
      <c r="C5981" t="inlineStr">
        <is>
          <t>Avverkning för att bevara och utveckla /försöksver</t>
        </is>
      </c>
      <c r="D5981" s="1" t="n">
        <v>45531</v>
      </c>
      <c r="E5981" s="1" t="n">
        <v>46326</v>
      </c>
      <c r="F5981" t="inlineStr">
        <is>
          <t>GÄVLEBORGS LÄN</t>
        </is>
      </c>
      <c r="G5981" t="inlineStr">
        <is>
          <t>OVANÅKER</t>
        </is>
      </c>
      <c r="H5981" t="inlineStr">
        <is>
          <t>Sveaskog</t>
        </is>
      </c>
      <c r="I5981" t="n">
        <v>9.199999999999999</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16738-2026</t>
        </is>
      </c>
      <c r="B5982" t="inlineStr">
        <is>
          <t>avverkningsanmälan</t>
        </is>
      </c>
      <c r="C5982" t="inlineStr">
        <is>
          <t>Föryngringsavverkning</t>
        </is>
      </c>
      <c r="D5982" s="1" t="n">
        <v>46113</v>
      </c>
      <c r="E5982" s="1" t="n">
        <v>46326</v>
      </c>
      <c r="F5982" t="inlineStr">
        <is>
          <t>GÄVLEBORGS LÄN</t>
        </is>
      </c>
      <c r="G5982" t="inlineStr">
        <is>
          <t>HUDIKSVALL</t>
        </is>
      </c>
      <c r="I5982" t="n">
        <v>2</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16741-2026</t>
        </is>
      </c>
      <c r="B5983" t="inlineStr">
        <is>
          <t>avverkningsanmälan</t>
        </is>
      </c>
      <c r="C5983" t="inlineStr">
        <is>
          <t>Föryngringsavverkning</t>
        </is>
      </c>
      <c r="D5983" s="1" t="n">
        <v>46113</v>
      </c>
      <c r="E5983" s="1" t="n">
        <v>46326</v>
      </c>
      <c r="F5983" t="inlineStr">
        <is>
          <t>GÄVLEBORGS LÄN</t>
        </is>
      </c>
      <c r="G5983" t="inlineStr">
        <is>
          <t>HUDIKSVALL</t>
        </is>
      </c>
      <c r="I5983" t="n">
        <v>1.4</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17092-2026</t>
        </is>
      </c>
      <c r="B5984" t="inlineStr">
        <is>
          <t>avverkningsanmälan</t>
        </is>
      </c>
      <c r="C5984" t="inlineStr">
        <is>
          <t>Föryngringsavverkning</t>
        </is>
      </c>
      <c r="D5984" s="1" t="n">
        <v>46114</v>
      </c>
      <c r="E5984" s="1" t="n">
        <v>46326</v>
      </c>
      <c r="F5984" t="inlineStr">
        <is>
          <t>GÄVLEBORGS LÄN</t>
        </is>
      </c>
      <c r="G5984" t="inlineStr">
        <is>
          <t>BOLLNÄS</t>
        </is>
      </c>
      <c r="I5984" t="n">
        <v>1.2</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17093-2026</t>
        </is>
      </c>
      <c r="B5985" t="inlineStr">
        <is>
          <t>avverkningsanmälan</t>
        </is>
      </c>
      <c r="C5985" t="inlineStr">
        <is>
          <t>Föryngringsavverkning</t>
        </is>
      </c>
      <c r="D5985" s="1" t="n">
        <v>46114</v>
      </c>
      <c r="E5985" s="1" t="n">
        <v>46326</v>
      </c>
      <c r="F5985" t="inlineStr">
        <is>
          <t>GÄVLEBORGS LÄN</t>
        </is>
      </c>
      <c r="G5985" t="inlineStr">
        <is>
          <t>BOLLNÄS</t>
        </is>
      </c>
      <c r="I5985" t="n">
        <v>0.8</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16700-2026</t>
        </is>
      </c>
      <c r="B5986" t="inlineStr">
        <is>
          <t>avverkningsanmälan</t>
        </is>
      </c>
      <c r="C5986" t="inlineStr">
        <is>
          <t>Föryngringsavverkning</t>
        </is>
      </c>
      <c r="D5986" s="1" t="n">
        <v>46113</v>
      </c>
      <c r="E5986" s="1" t="n">
        <v>46326</v>
      </c>
      <c r="F5986" t="inlineStr">
        <is>
          <t>GÄVLEBORGS LÄN</t>
        </is>
      </c>
      <c r="G5986" t="inlineStr">
        <is>
          <t>BOLLNÄS</t>
        </is>
      </c>
      <c r="I5986" t="n">
        <v>3.5</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16703-2026</t>
        </is>
      </c>
      <c r="B5987" t="inlineStr">
        <is>
          <t>avverkningsanmälan</t>
        </is>
      </c>
      <c r="C5987" t="inlineStr">
        <is>
          <t>Föryngringsavverkning</t>
        </is>
      </c>
      <c r="D5987" s="1" t="n">
        <v>46113</v>
      </c>
      <c r="E5987" s="1" t="n">
        <v>46326</v>
      </c>
      <c r="F5987" t="inlineStr">
        <is>
          <t>GÄVLEBORGS LÄN</t>
        </is>
      </c>
      <c r="G5987" t="inlineStr">
        <is>
          <t>NORDANSTIG</t>
        </is>
      </c>
      <c r="H5987" t="inlineStr">
        <is>
          <t>Holmen skog AB</t>
        </is>
      </c>
      <c r="I5987" t="n">
        <v>3.5</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16756-2026</t>
        </is>
      </c>
      <c r="B5988" t="inlineStr">
        <is>
          <t>avverkningsanmälan</t>
        </is>
      </c>
      <c r="C5988" t="inlineStr">
        <is>
          <t>Föryngringsavverkning</t>
        </is>
      </c>
      <c r="D5988" s="1" t="n">
        <v>46113</v>
      </c>
      <c r="E5988" s="1" t="n">
        <v>46326</v>
      </c>
      <c r="F5988" t="inlineStr">
        <is>
          <t>GÄVLEBORGS LÄN</t>
        </is>
      </c>
      <c r="G5988" t="inlineStr">
        <is>
          <t>NORDANSTIG</t>
        </is>
      </c>
      <c r="I5988" t="n">
        <v>3.3</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41555-2024</t>
        </is>
      </c>
      <c r="B5989" t="inlineStr">
        <is>
          <t>avverkningsanmälan</t>
        </is>
      </c>
      <c r="C5989" t="inlineStr">
        <is>
          <t>Föryngringsavverkning</t>
        </is>
      </c>
      <c r="D5989" s="1" t="n">
        <v>45560</v>
      </c>
      <c r="E5989" s="1" t="n">
        <v>46326</v>
      </c>
      <c r="F5989" t="inlineStr">
        <is>
          <t>GÄVLEBORGS LÄN</t>
        </is>
      </c>
      <c r="G5989" t="inlineStr">
        <is>
          <t>HUDIKSVALL</t>
        </is>
      </c>
      <c r="I5989" t="n">
        <v>1.2</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2645-2024</t>
        </is>
      </c>
      <c r="B5990" t="inlineStr">
        <is>
          <t>avverkningsanmälan</t>
        </is>
      </c>
      <c r="C5990" t="inlineStr">
        <is>
          <t>Föryngringsavverkning</t>
        </is>
      </c>
      <c r="D5990" s="1" t="n">
        <v>45314</v>
      </c>
      <c r="E5990" s="1" t="n">
        <v>46326</v>
      </c>
      <c r="F5990" t="inlineStr">
        <is>
          <t>GÄVLEBORGS LÄN</t>
        </is>
      </c>
      <c r="G5990" t="inlineStr">
        <is>
          <t>HUDIKSVALL</t>
        </is>
      </c>
      <c r="I5990" t="n">
        <v>1.4</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2654-2024</t>
        </is>
      </c>
      <c r="B5991" t="inlineStr">
        <is>
          <t>avverkningsanmälan</t>
        </is>
      </c>
      <c r="C5991" t="inlineStr">
        <is>
          <t>Föryngringsavverkning</t>
        </is>
      </c>
      <c r="D5991" s="1" t="n">
        <v>45314</v>
      </c>
      <c r="E5991" s="1" t="n">
        <v>46326</v>
      </c>
      <c r="F5991" t="inlineStr">
        <is>
          <t>GÄVLEBORGS LÄN</t>
        </is>
      </c>
      <c r="G5991" t="inlineStr">
        <is>
          <t>HUDIKSVALL</t>
        </is>
      </c>
      <c r="H5991" t="inlineStr">
        <is>
          <t>Holmen skog AB</t>
        </is>
      </c>
      <c r="I5991" t="n">
        <v>0.6</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2707-2024</t>
        </is>
      </c>
      <c r="B5992" t="inlineStr">
        <is>
          <t>avverkningsanmälan</t>
        </is>
      </c>
      <c r="C5992" t="inlineStr">
        <is>
          <t>Föryngringsavverkning</t>
        </is>
      </c>
      <c r="D5992" s="1" t="n">
        <v>45314</v>
      </c>
      <c r="E5992" s="1" t="n">
        <v>46326</v>
      </c>
      <c r="F5992" t="inlineStr">
        <is>
          <t>GÄVLEBORGS LÄN</t>
        </is>
      </c>
      <c r="G5992" t="inlineStr">
        <is>
          <t>HUDIKSVALL</t>
        </is>
      </c>
      <c r="I5992" t="n">
        <v>1.3</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17115-2026</t>
        </is>
      </c>
      <c r="B5993" t="inlineStr">
        <is>
          <t>avverkningsanmälan</t>
        </is>
      </c>
      <c r="C5993" t="inlineStr">
        <is>
          <t>Föryngringsavverkning</t>
        </is>
      </c>
      <c r="D5993" s="1" t="n">
        <v>46114</v>
      </c>
      <c r="E5993" s="1" t="n">
        <v>46326</v>
      </c>
      <c r="F5993" t="inlineStr">
        <is>
          <t>GÄVLEBORGS LÄN</t>
        </is>
      </c>
      <c r="G5993" t="inlineStr">
        <is>
          <t>OCKELBO</t>
        </is>
      </c>
      <c r="H5993" t="inlineStr">
        <is>
          <t>Bergvik skog väst AB</t>
        </is>
      </c>
      <c r="I5993" t="n">
        <v>1.7</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16958-2026</t>
        </is>
      </c>
      <c r="B5994" t="inlineStr">
        <is>
          <t>avverkningsanmälan</t>
        </is>
      </c>
      <c r="C5994" t="inlineStr">
        <is>
          <t>Föryngringsavverkning</t>
        </is>
      </c>
      <c r="D5994" s="1" t="n">
        <v>46114</v>
      </c>
      <c r="E5994" s="1" t="n">
        <v>46326</v>
      </c>
      <c r="F5994" t="inlineStr">
        <is>
          <t>GÄVLEBORGS LÄN</t>
        </is>
      </c>
      <c r="G5994" t="inlineStr">
        <is>
          <t>SANDVIKEN</t>
        </is>
      </c>
      <c r="I5994" t="n">
        <v>10.3</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16908-2026</t>
        </is>
      </c>
      <c r="B5995" t="inlineStr">
        <is>
          <t>avverkningsanmälan</t>
        </is>
      </c>
      <c r="C5995" t="inlineStr">
        <is>
          <t>Föryngringsavverkning</t>
        </is>
      </c>
      <c r="D5995" s="1" t="n">
        <v>46113</v>
      </c>
      <c r="E5995" s="1" t="n">
        <v>46326</v>
      </c>
      <c r="F5995" t="inlineStr">
        <is>
          <t>GÄVLEBORGS LÄN</t>
        </is>
      </c>
      <c r="G5995" t="inlineStr">
        <is>
          <t>SÖDERHAMN</t>
        </is>
      </c>
      <c r="I5995" t="n">
        <v>5.7</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16989-2026</t>
        </is>
      </c>
      <c r="B5996" t="inlineStr">
        <is>
          <t>avverkningsanmälan</t>
        </is>
      </c>
      <c r="C5996" t="inlineStr">
        <is>
          <t>Föryngringsavverkning</t>
        </is>
      </c>
      <c r="D5996" s="1" t="n">
        <v>46114</v>
      </c>
      <c r="E5996" s="1" t="n">
        <v>46326</v>
      </c>
      <c r="F5996" t="inlineStr">
        <is>
          <t>GÄVLEBORGS LÄN</t>
        </is>
      </c>
      <c r="G5996" t="inlineStr">
        <is>
          <t>OCKELBO</t>
        </is>
      </c>
      <c r="I5996" t="n">
        <v>1.8</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17172-2026</t>
        </is>
      </c>
      <c r="B5997" t="inlineStr">
        <is>
          <t>avverkningsanmälan</t>
        </is>
      </c>
      <c r="C5997" t="inlineStr">
        <is>
          <t>Föryngringsavverkning</t>
        </is>
      </c>
      <c r="D5997" s="1" t="n">
        <v>46115</v>
      </c>
      <c r="E5997" s="1" t="n">
        <v>46326</v>
      </c>
      <c r="F5997" t="inlineStr">
        <is>
          <t>GÄVLEBORGS LÄN</t>
        </is>
      </c>
      <c r="G5997" t="inlineStr">
        <is>
          <t>SANDVIKEN</t>
        </is>
      </c>
      <c r="I5997" t="n">
        <v>0.5</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17182-2026</t>
        </is>
      </c>
      <c r="B5998" t="inlineStr">
        <is>
          <t>avverkningsanmälan</t>
        </is>
      </c>
      <c r="C5998" t="inlineStr">
        <is>
          <t>Föryngringsavverkning</t>
        </is>
      </c>
      <c r="D5998" s="1" t="n">
        <v>46116</v>
      </c>
      <c r="E5998" s="1" t="n">
        <v>46326</v>
      </c>
      <c r="F5998" t="inlineStr">
        <is>
          <t>GÄVLEBORGS LÄN</t>
        </is>
      </c>
      <c r="G5998" t="inlineStr">
        <is>
          <t>SANDVIKEN</t>
        </is>
      </c>
      <c r="I5998" t="n">
        <v>1.2</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17192-2026</t>
        </is>
      </c>
      <c r="B5999" t="inlineStr">
        <is>
          <t>avverkningsanmälan</t>
        </is>
      </c>
      <c r="C5999" t="inlineStr">
        <is>
          <t>Föryngringsavverkning</t>
        </is>
      </c>
      <c r="D5999" s="1" t="n">
        <v>46117</v>
      </c>
      <c r="E5999" s="1" t="n">
        <v>46326</v>
      </c>
      <c r="F5999" t="inlineStr">
        <is>
          <t>GÄVLEBORGS LÄN</t>
        </is>
      </c>
      <c r="G5999" t="inlineStr">
        <is>
          <t>SÖDERHAMN</t>
        </is>
      </c>
      <c r="I5999" t="n">
        <v>3.8</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17165-2026</t>
        </is>
      </c>
      <c r="B6000" t="inlineStr">
        <is>
          <t>avverkningsanmälan</t>
        </is>
      </c>
      <c r="C6000" t="inlineStr">
        <is>
          <t>Föryngringsavverkning</t>
        </is>
      </c>
      <c r="D6000" s="1" t="n">
        <v>46115</v>
      </c>
      <c r="E6000" s="1" t="n">
        <v>46326</v>
      </c>
      <c r="F6000" t="inlineStr">
        <is>
          <t>GÄVLEBORGS LÄN</t>
        </is>
      </c>
      <c r="G6000" t="inlineStr">
        <is>
          <t>SANDVIKEN</t>
        </is>
      </c>
      <c r="I6000" t="n">
        <v>0.8</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17170-2026</t>
        </is>
      </c>
      <c r="B6001" t="inlineStr">
        <is>
          <t>avverkningsanmälan</t>
        </is>
      </c>
      <c r="C6001" t="inlineStr">
        <is>
          <t>Föryngringsavverkning</t>
        </is>
      </c>
      <c r="D6001" s="1" t="n">
        <v>46115</v>
      </c>
      <c r="E6001" s="1" t="n">
        <v>46326</v>
      </c>
      <c r="F6001" t="inlineStr">
        <is>
          <t>GÄVLEBORGS LÄN</t>
        </is>
      </c>
      <c r="G6001" t="inlineStr">
        <is>
          <t>HOFORS</t>
        </is>
      </c>
      <c r="I6001" t="n">
        <v>2.7</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17175-2026</t>
        </is>
      </c>
      <c r="B6002" t="inlineStr">
        <is>
          <t>avverkningsanmälan</t>
        </is>
      </c>
      <c r="C6002" t="inlineStr">
        <is>
          <t>Föryngringsavverkning</t>
        </is>
      </c>
      <c r="D6002" s="1" t="n">
        <v>46115</v>
      </c>
      <c r="E6002" s="1" t="n">
        <v>46326</v>
      </c>
      <c r="F6002" t="inlineStr">
        <is>
          <t>GÄVLEBORGS LÄN</t>
        </is>
      </c>
      <c r="G6002" t="inlineStr">
        <is>
          <t>SANDVIKEN</t>
        </is>
      </c>
      <c r="I6002" t="n">
        <v>2.4</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17180-2026</t>
        </is>
      </c>
      <c r="B6003" t="inlineStr">
        <is>
          <t>avverkningsanmälan</t>
        </is>
      </c>
      <c r="C6003" t="inlineStr">
        <is>
          <t>Föryngringsavverkning</t>
        </is>
      </c>
      <c r="D6003" s="1" t="n">
        <v>46116</v>
      </c>
      <c r="E6003" s="1" t="n">
        <v>46326</v>
      </c>
      <c r="F6003" t="inlineStr">
        <is>
          <t>GÄVLEBORGS LÄN</t>
        </is>
      </c>
      <c r="G6003" t="inlineStr">
        <is>
          <t>SANDVIKEN</t>
        </is>
      </c>
      <c r="I6003" t="n">
        <v>8.9</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17190-2026</t>
        </is>
      </c>
      <c r="B6004" t="inlineStr">
        <is>
          <t>avverkningsanmälan</t>
        </is>
      </c>
      <c r="C6004" t="inlineStr">
        <is>
          <t>Föryngringsavverkning</t>
        </is>
      </c>
      <c r="D6004" s="1" t="n">
        <v>46117</v>
      </c>
      <c r="E6004" s="1" t="n">
        <v>46326</v>
      </c>
      <c r="F6004" t="inlineStr">
        <is>
          <t>GÄVLEBORGS LÄN</t>
        </is>
      </c>
      <c r="G6004" t="inlineStr">
        <is>
          <t>SÖDERHAMN</t>
        </is>
      </c>
      <c r="I6004" t="n">
        <v>2.3</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47502-2022</t>
        </is>
      </c>
      <c r="B6005" t="inlineStr">
        <is>
          <t>avverkningsanmälan</t>
        </is>
      </c>
      <c r="C6005" t="inlineStr">
        <is>
          <t>Avverkning för annat ändamål</t>
        </is>
      </c>
      <c r="D6005" s="1" t="n">
        <v>44853</v>
      </c>
      <c r="E6005" s="1" t="n">
        <v>46326</v>
      </c>
      <c r="F6005" t="inlineStr">
        <is>
          <t>GÄVLEBORGS LÄN</t>
        </is>
      </c>
      <c r="G6005" t="inlineStr">
        <is>
          <t>LJUSDAL</t>
        </is>
      </c>
      <c r="I6005" t="n">
        <v>3</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17187-2026</t>
        </is>
      </c>
      <c r="B6006" t="inlineStr">
        <is>
          <t>avverkningsanmälan</t>
        </is>
      </c>
      <c r="C6006" t="inlineStr">
        <is>
          <t>Föryngringsavverkning</t>
        </is>
      </c>
      <c r="D6006" s="1" t="n">
        <v>46117</v>
      </c>
      <c r="E6006" s="1" t="n">
        <v>46326</v>
      </c>
      <c r="F6006" t="inlineStr">
        <is>
          <t>GÄVLEBORGS LÄN</t>
        </is>
      </c>
      <c r="G6006" t="inlineStr">
        <is>
          <t>BOLLNÄS</t>
        </is>
      </c>
      <c r="I6006" t="n">
        <v>2.2</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17189-2026</t>
        </is>
      </c>
      <c r="B6007" t="inlineStr">
        <is>
          <t>avverkningsanmälan</t>
        </is>
      </c>
      <c r="C6007" t="inlineStr">
        <is>
          <t>Föryngringsavverkning</t>
        </is>
      </c>
      <c r="D6007" s="1" t="n">
        <v>46117</v>
      </c>
      <c r="E6007" s="1" t="n">
        <v>46326</v>
      </c>
      <c r="F6007" t="inlineStr">
        <is>
          <t>GÄVLEBORGS LÄN</t>
        </is>
      </c>
      <c r="G6007" t="inlineStr">
        <is>
          <t>SÖDERHAMN</t>
        </is>
      </c>
      <c r="I6007" t="n">
        <v>2.4</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17191-2026</t>
        </is>
      </c>
      <c r="B6008" t="inlineStr">
        <is>
          <t>avverkningsanmälan</t>
        </is>
      </c>
      <c r="C6008" t="inlineStr">
        <is>
          <t>Föryngringsavverkning</t>
        </is>
      </c>
      <c r="D6008" s="1" t="n">
        <v>46117</v>
      </c>
      <c r="E6008" s="1" t="n">
        <v>46326</v>
      </c>
      <c r="F6008" t="inlineStr">
        <is>
          <t>GÄVLEBORGS LÄN</t>
        </is>
      </c>
      <c r="G6008" t="inlineStr">
        <is>
          <t>SÖDERHAMN</t>
        </is>
      </c>
      <c r="I6008" t="n">
        <v>3.6</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45557-2023</t>
        </is>
      </c>
      <c r="B6009" t="inlineStr">
        <is>
          <t>avverkningsanmälan</t>
        </is>
      </c>
      <c r="C6009" t="inlineStr">
        <is>
          <t>Föryngringsavverkning</t>
        </is>
      </c>
      <c r="D6009" s="1" t="n">
        <v>45194</v>
      </c>
      <c r="E6009" s="1" t="n">
        <v>46326</v>
      </c>
      <c r="F6009" t="inlineStr">
        <is>
          <t>GÄVLEBORGS LÄN</t>
        </is>
      </c>
      <c r="G6009" t="inlineStr">
        <is>
          <t>BOLLNÄS</t>
        </is>
      </c>
      <c r="I6009" t="n">
        <v>2.1</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45989-2023</t>
        </is>
      </c>
      <c r="B6010" t="inlineStr">
        <is>
          <t>avverkningsanmälan</t>
        </is>
      </c>
      <c r="C6010" t="inlineStr">
        <is>
          <t>Föryngringsavverkning</t>
        </is>
      </c>
      <c r="D6010" s="1" t="n">
        <v>45196</v>
      </c>
      <c r="E6010" s="1" t="n">
        <v>46326</v>
      </c>
      <c r="F6010" t="inlineStr">
        <is>
          <t>GÄVLEBORGS LÄN</t>
        </is>
      </c>
      <c r="G6010" t="inlineStr">
        <is>
          <t>SANDVIKEN</t>
        </is>
      </c>
      <c r="I6010" t="n">
        <v>1</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19231-2024</t>
        </is>
      </c>
      <c r="B6011" t="inlineStr">
        <is>
          <t>avverkningsanmälan</t>
        </is>
      </c>
      <c r="C6011" t="inlineStr">
        <is>
          <t>Föryngringsavverkning</t>
        </is>
      </c>
      <c r="D6011" s="1" t="n">
        <v>45428</v>
      </c>
      <c r="E6011" s="1" t="n">
        <v>46326</v>
      </c>
      <c r="F6011" t="inlineStr">
        <is>
          <t>GÄVLEBORGS LÄN</t>
        </is>
      </c>
      <c r="G6011" t="inlineStr">
        <is>
          <t>NORDANSTIG</t>
        </is>
      </c>
      <c r="H6011" t="inlineStr">
        <is>
          <t>Holmen skog AB</t>
        </is>
      </c>
      <c r="I6011" t="n">
        <v>21.5</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17201-2026</t>
        </is>
      </c>
      <c r="B6012" t="inlineStr">
        <is>
          <t>avverkningsanmälan</t>
        </is>
      </c>
      <c r="C6012" t="inlineStr">
        <is>
          <t>Föryngringsavverkning</t>
        </is>
      </c>
      <c r="D6012" s="1" t="n">
        <v>46118</v>
      </c>
      <c r="E6012" s="1" t="n">
        <v>46326</v>
      </c>
      <c r="F6012" t="inlineStr">
        <is>
          <t>GÄVLEBORGS LÄN</t>
        </is>
      </c>
      <c r="G6012" t="inlineStr">
        <is>
          <t>NORDANSTIG</t>
        </is>
      </c>
      <c r="I6012" t="n">
        <v>2.5</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17171-2026</t>
        </is>
      </c>
      <c r="B6013" t="inlineStr">
        <is>
          <t>avverkningsanmälan</t>
        </is>
      </c>
      <c r="C6013" t="inlineStr">
        <is>
          <t>Föryngringsavverkning</t>
        </is>
      </c>
      <c r="D6013" s="1" t="n">
        <v>46115</v>
      </c>
      <c r="E6013" s="1" t="n">
        <v>46326</v>
      </c>
      <c r="F6013" t="inlineStr">
        <is>
          <t>GÄVLEBORGS LÄN</t>
        </is>
      </c>
      <c r="G6013" t="inlineStr">
        <is>
          <t>SANDVIKEN</t>
        </is>
      </c>
      <c r="I6013" t="n">
        <v>0.5</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17183-2026</t>
        </is>
      </c>
      <c r="B6014" t="inlineStr">
        <is>
          <t>avverkningsanmälan</t>
        </is>
      </c>
      <c r="C6014" t="inlineStr">
        <is>
          <t>Föryngringsavverkning</t>
        </is>
      </c>
      <c r="D6014" s="1" t="n">
        <v>46116</v>
      </c>
      <c r="E6014" s="1" t="n">
        <v>46326</v>
      </c>
      <c r="F6014" t="inlineStr">
        <is>
          <t>GÄVLEBORGS LÄN</t>
        </is>
      </c>
      <c r="G6014" t="inlineStr">
        <is>
          <t>SANDVIKEN</t>
        </is>
      </c>
      <c r="I6014" t="n">
        <v>0.7</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17166-2026</t>
        </is>
      </c>
      <c r="B6015" t="inlineStr">
        <is>
          <t>avverkningsanmälan</t>
        </is>
      </c>
      <c r="C6015" t="inlineStr">
        <is>
          <t>Föryngringsavverkning</t>
        </is>
      </c>
      <c r="D6015" s="1" t="n">
        <v>46115</v>
      </c>
      <c r="E6015" s="1" t="n">
        <v>46326</v>
      </c>
      <c r="F6015" t="inlineStr">
        <is>
          <t>GÄVLEBORGS LÄN</t>
        </is>
      </c>
      <c r="G6015" t="inlineStr">
        <is>
          <t>SANDVIKEN</t>
        </is>
      </c>
      <c r="I6015" t="n">
        <v>0.7</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17173-2026</t>
        </is>
      </c>
      <c r="B6016" t="inlineStr">
        <is>
          <t>avverkningsanmälan</t>
        </is>
      </c>
      <c r="C6016" t="inlineStr">
        <is>
          <t>Föryngringsavverkning</t>
        </is>
      </c>
      <c r="D6016" s="1" t="n">
        <v>46115</v>
      </c>
      <c r="E6016" s="1" t="n">
        <v>46326</v>
      </c>
      <c r="F6016" t="inlineStr">
        <is>
          <t>GÄVLEBORGS LÄN</t>
        </is>
      </c>
      <c r="G6016" t="inlineStr">
        <is>
          <t>SANDVIKEN</t>
        </is>
      </c>
      <c r="I6016" t="n">
        <v>0.5</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10268-2026</t>
        </is>
      </c>
      <c r="B6017" t="inlineStr">
        <is>
          <t>avverkningsanmälan</t>
        </is>
      </c>
      <c r="C6017" t="inlineStr">
        <is>
          <t>Föryngringsavverkning</t>
        </is>
      </c>
      <c r="D6017" s="1" t="n">
        <v>46076</v>
      </c>
      <c r="E6017" s="1" t="n">
        <v>46326</v>
      </c>
      <c r="F6017" t="inlineStr">
        <is>
          <t>GÄVLEBORGS LÄN</t>
        </is>
      </c>
      <c r="G6017" t="inlineStr">
        <is>
          <t>OCKELBO</t>
        </is>
      </c>
      <c r="H6017" t="inlineStr">
        <is>
          <t>Bergvik skog öst AB</t>
        </is>
      </c>
      <c r="I6017" t="n">
        <v>7.7</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19163-2024</t>
        </is>
      </c>
      <c r="B6018" t="inlineStr">
        <is>
          <t>avverkningsanmälan</t>
        </is>
      </c>
      <c r="C6018" t="inlineStr">
        <is>
          <t>Föryngringsavverkning</t>
        </is>
      </c>
      <c r="D6018" s="1" t="n">
        <v>45428</v>
      </c>
      <c r="E6018" s="1" t="n">
        <v>46326</v>
      </c>
      <c r="F6018" t="inlineStr">
        <is>
          <t>GÄVLEBORGS LÄN</t>
        </is>
      </c>
      <c r="G6018" t="inlineStr">
        <is>
          <t>OVANÅKER</t>
        </is>
      </c>
      <c r="I6018" t="n">
        <v>0.9</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17471-2026</t>
        </is>
      </c>
      <c r="B6019" t="inlineStr">
        <is>
          <t>avverkningsanmälan</t>
        </is>
      </c>
      <c r="C6019" t="inlineStr">
        <is>
          <t>Föryngringsavverkning</t>
        </is>
      </c>
      <c r="D6019" s="1" t="n">
        <v>46120</v>
      </c>
      <c r="E6019" s="1" t="n">
        <v>46326</v>
      </c>
      <c r="F6019" t="inlineStr">
        <is>
          <t>GÄVLEBORGS LÄN</t>
        </is>
      </c>
      <c r="G6019" t="inlineStr">
        <is>
          <t>GÄVLE</t>
        </is>
      </c>
      <c r="I6019" t="n">
        <v>5.1</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17476-2026</t>
        </is>
      </c>
      <c r="B6020" t="inlineStr">
        <is>
          <t>avverkningsanmälan</t>
        </is>
      </c>
      <c r="C6020" t="inlineStr">
        <is>
          <t>Föryngringsavverkning</t>
        </is>
      </c>
      <c r="D6020" s="1" t="n">
        <v>46120</v>
      </c>
      <c r="E6020" s="1" t="n">
        <v>46326</v>
      </c>
      <c r="F6020" t="inlineStr">
        <is>
          <t>GÄVLEBORGS LÄN</t>
        </is>
      </c>
      <c r="G6020" t="inlineStr">
        <is>
          <t>OVANÅKER</t>
        </is>
      </c>
      <c r="I6020" t="n">
        <v>3.3</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17494-2026</t>
        </is>
      </c>
      <c r="B6021" t="inlineStr">
        <is>
          <t>avverkningsanmälan</t>
        </is>
      </c>
      <c r="C6021" t="inlineStr">
        <is>
          <t>Föryngringsavverkning</t>
        </is>
      </c>
      <c r="D6021" s="1" t="n">
        <v>46120</v>
      </c>
      <c r="E6021" s="1" t="n">
        <v>46326</v>
      </c>
      <c r="F6021" t="inlineStr">
        <is>
          <t>GÄVLEBORGS LÄN</t>
        </is>
      </c>
      <c r="G6021" t="inlineStr">
        <is>
          <t>NORDANSTIG</t>
        </is>
      </c>
      <c r="I6021" t="n">
        <v>16.3</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51842-2024</t>
        </is>
      </c>
      <c r="B6022" t="inlineStr">
        <is>
          <t>avverkningsanmälan</t>
        </is>
      </c>
      <c r="C6022" t="inlineStr">
        <is>
          <t>Föryngringsavverkning</t>
        </is>
      </c>
      <c r="D6022" s="1" t="n">
        <v>45607</v>
      </c>
      <c r="E6022" s="1" t="n">
        <v>46326</v>
      </c>
      <c r="F6022" t="inlineStr">
        <is>
          <t>GÄVLEBORGS LÄN</t>
        </is>
      </c>
      <c r="G6022" t="inlineStr">
        <is>
          <t>NORDANSTIG</t>
        </is>
      </c>
      <c r="I6022" t="n">
        <v>1.4</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16641-2024</t>
        </is>
      </c>
      <c r="B6023" t="inlineStr">
        <is>
          <t>avverkningsanmälan</t>
        </is>
      </c>
      <c r="C6023" t="inlineStr">
        <is>
          <t>Föryngringsavverkning</t>
        </is>
      </c>
      <c r="D6023" s="1" t="n">
        <v>45408</v>
      </c>
      <c r="E6023" s="1" t="n">
        <v>46326</v>
      </c>
      <c r="F6023" t="inlineStr">
        <is>
          <t>GÄVLEBORGS LÄN</t>
        </is>
      </c>
      <c r="G6023" t="inlineStr">
        <is>
          <t>BOLLNÄS</t>
        </is>
      </c>
      <c r="H6023" t="inlineStr">
        <is>
          <t>Bergvik skog öst AB</t>
        </is>
      </c>
      <c r="I6023" t="n">
        <v>4.5</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17303-2026</t>
        </is>
      </c>
      <c r="B6024" t="inlineStr">
        <is>
          <t>avverkningsanmälan</t>
        </is>
      </c>
      <c r="C6024" t="inlineStr">
        <is>
          <t>Föryngringsavverkning</t>
        </is>
      </c>
      <c r="D6024" s="1" t="n">
        <v>46119</v>
      </c>
      <c r="E6024" s="1" t="n">
        <v>46326</v>
      </c>
      <c r="F6024" t="inlineStr">
        <is>
          <t>GÄVLEBORGS LÄN</t>
        </is>
      </c>
      <c r="G6024" t="inlineStr">
        <is>
          <t>NORDANSTIG</t>
        </is>
      </c>
      <c r="I6024" t="n">
        <v>1.8</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17281-2026</t>
        </is>
      </c>
      <c r="B6025" t="inlineStr">
        <is>
          <t>avverkningsanmälan</t>
        </is>
      </c>
      <c r="C6025" t="inlineStr">
        <is>
          <t>Föryngringsavverkning</t>
        </is>
      </c>
      <c r="D6025" s="1" t="n">
        <v>46119</v>
      </c>
      <c r="E6025" s="1" t="n">
        <v>46326</v>
      </c>
      <c r="F6025" t="inlineStr">
        <is>
          <t>GÄVLEBORGS LÄN</t>
        </is>
      </c>
      <c r="G6025" t="inlineStr">
        <is>
          <t>NORDANSTIG</t>
        </is>
      </c>
      <c r="I6025" t="n">
        <v>2.8</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17359-2026</t>
        </is>
      </c>
      <c r="B6026" t="inlineStr">
        <is>
          <t>avverkningsanmälan</t>
        </is>
      </c>
      <c r="C6026" t="inlineStr">
        <is>
          <t>Föryngringsavverkning</t>
        </is>
      </c>
      <c r="D6026" s="1" t="n">
        <v>46119</v>
      </c>
      <c r="E6026" s="1" t="n">
        <v>46326</v>
      </c>
      <c r="F6026" t="inlineStr">
        <is>
          <t>GÄVLEBORGS LÄN</t>
        </is>
      </c>
      <c r="G6026" t="inlineStr">
        <is>
          <t>SANDVIKEN</t>
        </is>
      </c>
      <c r="H6026" t="inlineStr">
        <is>
          <t>Bergvik skog öst AB</t>
        </is>
      </c>
      <c r="I6026" t="n">
        <v>1.5</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17363-2026</t>
        </is>
      </c>
      <c r="B6027" t="inlineStr">
        <is>
          <t>avverkningsanmälan</t>
        </is>
      </c>
      <c r="C6027" t="inlineStr">
        <is>
          <t>Föryngringsavverkning</t>
        </is>
      </c>
      <c r="D6027" s="1" t="n">
        <v>46119</v>
      </c>
      <c r="E6027" s="1" t="n">
        <v>46326</v>
      </c>
      <c r="F6027" t="inlineStr">
        <is>
          <t>GÄVLEBORGS LÄN</t>
        </is>
      </c>
      <c r="G6027" t="inlineStr">
        <is>
          <t>SANDVIKEN</t>
        </is>
      </c>
      <c r="H6027" t="inlineStr">
        <is>
          <t>Bergvik skog öst AB</t>
        </is>
      </c>
      <c r="I6027" t="n">
        <v>0.6</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17365-2026</t>
        </is>
      </c>
      <c r="B6028" t="inlineStr">
        <is>
          <t>avverkningsanmälan</t>
        </is>
      </c>
      <c r="C6028" t="inlineStr">
        <is>
          <t>Föryngringsavverkning</t>
        </is>
      </c>
      <c r="D6028" s="1" t="n">
        <v>46119</v>
      </c>
      <c r="E6028" s="1" t="n">
        <v>46326</v>
      </c>
      <c r="F6028" t="inlineStr">
        <is>
          <t>GÄVLEBORGS LÄN</t>
        </is>
      </c>
      <c r="G6028" t="inlineStr">
        <is>
          <t>SANDVIKEN</t>
        </is>
      </c>
      <c r="H6028" t="inlineStr">
        <is>
          <t>Bergvik skog öst AB</t>
        </is>
      </c>
      <c r="I6028" t="n">
        <v>0.5</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17490-2026</t>
        </is>
      </c>
      <c r="B6029" t="inlineStr">
        <is>
          <t>avverkningsanmälan</t>
        </is>
      </c>
      <c r="C6029" t="inlineStr">
        <is>
          <t>Föryngringsavverkning</t>
        </is>
      </c>
      <c r="D6029" s="1" t="n">
        <v>46120</v>
      </c>
      <c r="E6029" s="1" t="n">
        <v>46326</v>
      </c>
      <c r="F6029" t="inlineStr">
        <is>
          <t>GÄVLEBORGS LÄN</t>
        </is>
      </c>
      <c r="G6029" t="inlineStr">
        <is>
          <t>NORDANSTIG</t>
        </is>
      </c>
      <c r="I6029" t="n">
        <v>3.9</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17491-2026</t>
        </is>
      </c>
      <c r="B6030" t="inlineStr">
        <is>
          <t>avverkningsanmälan</t>
        </is>
      </c>
      <c r="C6030" t="inlineStr">
        <is>
          <t>Föryngringsavverkning</t>
        </is>
      </c>
      <c r="D6030" s="1" t="n">
        <v>46120</v>
      </c>
      <c r="E6030" s="1" t="n">
        <v>46326</v>
      </c>
      <c r="F6030" t="inlineStr">
        <is>
          <t>GÄVLEBORGS LÄN</t>
        </is>
      </c>
      <c r="G6030" t="inlineStr">
        <is>
          <t>OVANÅKER</t>
        </is>
      </c>
      <c r="I6030" t="n">
        <v>0.9</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17279-2026</t>
        </is>
      </c>
      <c r="B6031" t="inlineStr">
        <is>
          <t>avverkningsanmälan</t>
        </is>
      </c>
      <c r="C6031" t="inlineStr">
        <is>
          <t>Föryngringsavverkning</t>
        </is>
      </c>
      <c r="D6031" s="1" t="n">
        <v>46119</v>
      </c>
      <c r="E6031" s="1" t="n">
        <v>46326</v>
      </c>
      <c r="F6031" t="inlineStr">
        <is>
          <t>GÄVLEBORGS LÄN</t>
        </is>
      </c>
      <c r="G6031" t="inlineStr">
        <is>
          <t>BOLLNÄS</t>
        </is>
      </c>
      <c r="H6031" t="inlineStr">
        <is>
          <t>Bergvik skog väst AB</t>
        </is>
      </c>
      <c r="I6031" t="n">
        <v>2.3</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17286-2026</t>
        </is>
      </c>
      <c r="B6032" t="inlineStr">
        <is>
          <t>avverkningsanmälan</t>
        </is>
      </c>
      <c r="C6032" t="inlineStr">
        <is>
          <t>Föryngringsavverkning</t>
        </is>
      </c>
      <c r="D6032" s="1" t="n">
        <v>46119</v>
      </c>
      <c r="E6032" s="1" t="n">
        <v>46326</v>
      </c>
      <c r="F6032" t="inlineStr">
        <is>
          <t>GÄVLEBORGS LÄN</t>
        </is>
      </c>
      <c r="G6032" t="inlineStr">
        <is>
          <t>NORDANSTIG</t>
        </is>
      </c>
      <c r="I6032" t="n">
        <v>2</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17487-2026</t>
        </is>
      </c>
      <c r="B6033" t="inlineStr">
        <is>
          <t>avverkningsanmälan</t>
        </is>
      </c>
      <c r="C6033" t="inlineStr">
        <is>
          <t>Föryngringsavverkning</t>
        </is>
      </c>
      <c r="D6033" s="1" t="n">
        <v>46120</v>
      </c>
      <c r="E6033" s="1" t="n">
        <v>46326</v>
      </c>
      <c r="F6033" t="inlineStr">
        <is>
          <t>GÄVLEBORGS LÄN</t>
        </is>
      </c>
      <c r="G6033" t="inlineStr">
        <is>
          <t>NORDANSTIG</t>
        </is>
      </c>
      <c r="I6033" t="n">
        <v>9.800000000000001</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17489-2026</t>
        </is>
      </c>
      <c r="B6034" t="inlineStr">
        <is>
          <t>avverkningsanmälan</t>
        </is>
      </c>
      <c r="C6034" t="inlineStr">
        <is>
          <t>Föryngringsavverkning</t>
        </is>
      </c>
      <c r="D6034" s="1" t="n">
        <v>46120</v>
      </c>
      <c r="E6034" s="1" t="n">
        <v>46326</v>
      </c>
      <c r="F6034" t="inlineStr">
        <is>
          <t>GÄVLEBORGS LÄN</t>
        </is>
      </c>
      <c r="G6034" t="inlineStr">
        <is>
          <t>NORDANSTIG</t>
        </is>
      </c>
      <c r="I6034" t="n">
        <v>2.2</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12846-2024</t>
        </is>
      </c>
      <c r="B6035" t="inlineStr">
        <is>
          <t>avverkningsanmälan</t>
        </is>
      </c>
      <c r="C6035" t="inlineStr">
        <is>
          <t>Föryngringsavverkning</t>
        </is>
      </c>
      <c r="D6035" s="1" t="n">
        <v>45384</v>
      </c>
      <c r="E6035" s="1" t="n">
        <v>46326</v>
      </c>
      <c r="F6035" t="inlineStr">
        <is>
          <t>GÄVLEBORGS LÄN</t>
        </is>
      </c>
      <c r="G6035" t="inlineStr">
        <is>
          <t>HUDIKSVALL</t>
        </is>
      </c>
      <c r="H6035" t="inlineStr">
        <is>
          <t>Holmen skog AB</t>
        </is>
      </c>
      <c r="I6035" t="n">
        <v>4</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17528-2026</t>
        </is>
      </c>
      <c r="B6036" t="inlineStr">
        <is>
          <t>avverkningsanmälan</t>
        </is>
      </c>
      <c r="C6036" t="inlineStr">
        <is>
          <t>Föryngringsavverkning</t>
        </is>
      </c>
      <c r="D6036" s="1" t="n">
        <v>46120</v>
      </c>
      <c r="E6036" s="1" t="n">
        <v>46326</v>
      </c>
      <c r="F6036" t="inlineStr">
        <is>
          <t>GÄVLEBORGS LÄN</t>
        </is>
      </c>
      <c r="G6036" t="inlineStr">
        <is>
          <t>HUDIKSVALL</t>
        </is>
      </c>
      <c r="I6036" t="n">
        <v>2.5</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18906-2023</t>
        </is>
      </c>
      <c r="B6037" t="inlineStr">
        <is>
          <t>avverkningsanmälan</t>
        </is>
      </c>
      <c r="C6037" t="inlineStr">
        <is>
          <t>Föryngringsavverkning</t>
        </is>
      </c>
      <c r="D6037" s="1" t="n">
        <v>45044</v>
      </c>
      <c r="E6037" s="1" t="n">
        <v>46326</v>
      </c>
      <c r="F6037" t="inlineStr">
        <is>
          <t>GÄVLEBORGS LÄN</t>
        </is>
      </c>
      <c r="G6037" t="inlineStr">
        <is>
          <t>OVANÅKER</t>
        </is>
      </c>
      <c r="I6037" t="n">
        <v>1</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17411-2026</t>
        </is>
      </c>
      <c r="B6038" t="inlineStr">
        <is>
          <t>avverkningsanmälan</t>
        </is>
      </c>
      <c r="C6038" t="inlineStr">
        <is>
          <t>Föryngringsavverkning</t>
        </is>
      </c>
      <c r="D6038" s="1" t="n">
        <v>46120</v>
      </c>
      <c r="E6038" s="1" t="n">
        <v>46326</v>
      </c>
      <c r="F6038" t="inlineStr">
        <is>
          <t>GÄVLEBORGS LÄN</t>
        </is>
      </c>
      <c r="G6038" t="inlineStr">
        <is>
          <t>LJUSDAL</t>
        </is>
      </c>
      <c r="H6038" t="inlineStr">
        <is>
          <t>SCA</t>
        </is>
      </c>
      <c r="I6038" t="n">
        <v>2.1</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17498-2026</t>
        </is>
      </c>
      <c r="B6039" t="inlineStr">
        <is>
          <t>avverkningsanmälan</t>
        </is>
      </c>
      <c r="C6039" t="inlineStr">
        <is>
          <t>Avverkning för annat ändamål</t>
        </is>
      </c>
      <c r="D6039" s="1" t="n">
        <v>46120</v>
      </c>
      <c r="E6039" s="1" t="n">
        <v>46326</v>
      </c>
      <c r="F6039" t="inlineStr">
        <is>
          <t>GÄVLEBORGS LÄN</t>
        </is>
      </c>
      <c r="G6039" t="inlineStr">
        <is>
          <t>NORDANSTIG</t>
        </is>
      </c>
      <c r="I6039" t="n">
        <v>1.3</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17500-2026</t>
        </is>
      </c>
      <c r="B6040" t="inlineStr">
        <is>
          <t>avverkningsanmälan</t>
        </is>
      </c>
      <c r="C6040" t="inlineStr">
        <is>
          <t>Föryngringsavverkning</t>
        </is>
      </c>
      <c r="D6040" s="1" t="n">
        <v>46120</v>
      </c>
      <c r="E6040" s="1" t="n">
        <v>46326</v>
      </c>
      <c r="F6040" t="inlineStr">
        <is>
          <t>GÄVLEBORGS LÄN</t>
        </is>
      </c>
      <c r="G6040" t="inlineStr">
        <is>
          <t>NORDANSTIG</t>
        </is>
      </c>
      <c r="I6040" t="n">
        <v>0.8</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19629-2024</t>
        </is>
      </c>
      <c r="B6041" t="inlineStr">
        <is>
          <t>avverkningsanmälan</t>
        </is>
      </c>
      <c r="C6041" t="inlineStr">
        <is>
          <t>Föryngringsavverkning</t>
        </is>
      </c>
      <c r="D6041" s="1" t="n">
        <v>45432</v>
      </c>
      <c r="E6041" s="1" t="n">
        <v>46326</v>
      </c>
      <c r="F6041" t="inlineStr">
        <is>
          <t>GÄVLEBORGS LÄN</t>
        </is>
      </c>
      <c r="G6041" t="inlineStr">
        <is>
          <t>OVANÅKER</t>
        </is>
      </c>
      <c r="I6041" t="n">
        <v>1.2</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17361-2026</t>
        </is>
      </c>
      <c r="B6042" t="inlineStr">
        <is>
          <t>avverkningsanmälan</t>
        </is>
      </c>
      <c r="C6042" t="inlineStr">
        <is>
          <t>Föryngringsavverkning</t>
        </is>
      </c>
      <c r="D6042" s="1" t="n">
        <v>46119</v>
      </c>
      <c r="E6042" s="1" t="n">
        <v>46326</v>
      </c>
      <c r="F6042" t="inlineStr">
        <is>
          <t>GÄVLEBORGS LÄN</t>
        </is>
      </c>
      <c r="G6042" t="inlineStr">
        <is>
          <t>SANDVIKEN</t>
        </is>
      </c>
      <c r="H6042" t="inlineStr">
        <is>
          <t>Bergvik skog öst AB</t>
        </is>
      </c>
      <c r="I6042" t="n">
        <v>0.5</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17399-2026</t>
        </is>
      </c>
      <c r="B6043" t="inlineStr">
        <is>
          <t>avverkningsanmälan</t>
        </is>
      </c>
      <c r="C6043" t="inlineStr">
        <is>
          <t>Föryngringsavverkning</t>
        </is>
      </c>
      <c r="D6043" s="1" t="n">
        <v>46120</v>
      </c>
      <c r="E6043" s="1" t="n">
        <v>46326</v>
      </c>
      <c r="F6043" t="inlineStr">
        <is>
          <t>GÄVLEBORGS LÄN</t>
        </is>
      </c>
      <c r="G6043" t="inlineStr">
        <is>
          <t>LJUSDAL</t>
        </is>
      </c>
      <c r="I6043" t="n">
        <v>1.3</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30561-2024</t>
        </is>
      </c>
      <c r="B6044" t="inlineStr">
        <is>
          <t>avverkningsanmälan</t>
        </is>
      </c>
      <c r="C6044" t="inlineStr">
        <is>
          <t>Föryngringsavverkning</t>
        </is>
      </c>
      <c r="D6044" s="1" t="n">
        <v>45492</v>
      </c>
      <c r="E6044" s="1" t="n">
        <v>46326</v>
      </c>
      <c r="F6044" t="inlineStr">
        <is>
          <t>GÄVLEBORGS LÄN</t>
        </is>
      </c>
      <c r="G6044" t="inlineStr">
        <is>
          <t>BOLLNÄS</t>
        </is>
      </c>
      <c r="I6044" t="n">
        <v>2</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10290-2026</t>
        </is>
      </c>
      <c r="B6045" t="inlineStr">
        <is>
          <t>avverkningsanmälan</t>
        </is>
      </c>
      <c r="C6045" t="inlineStr">
        <is>
          <t>Föryngringsavverkning</t>
        </is>
      </c>
      <c r="D6045" s="1" t="n">
        <v>46076</v>
      </c>
      <c r="E6045" s="1" t="n">
        <v>46326</v>
      </c>
      <c r="F6045" t="inlineStr">
        <is>
          <t>GÄVLEBORGS LÄN</t>
        </is>
      </c>
      <c r="G6045" t="inlineStr">
        <is>
          <t>OCKELBO</t>
        </is>
      </c>
      <c r="H6045" t="inlineStr">
        <is>
          <t>Bergvik skog öst AB</t>
        </is>
      </c>
      <c r="I6045" t="n">
        <v>0.6</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32255-2023</t>
        </is>
      </c>
      <c r="B6046" t="inlineStr">
        <is>
          <t>avverkningsanmälan</t>
        </is>
      </c>
      <c r="C6046" t="inlineStr">
        <is>
          <t>Föryngringsavverkning</t>
        </is>
      </c>
      <c r="D6046" s="1" t="n">
        <v>45120</v>
      </c>
      <c r="E6046" s="1" t="n">
        <v>46326</v>
      </c>
      <c r="F6046" t="inlineStr">
        <is>
          <t>GÄVLEBORGS LÄN</t>
        </is>
      </c>
      <c r="G6046" t="inlineStr">
        <is>
          <t>GÄVLE</t>
        </is>
      </c>
      <c r="I6046" t="n">
        <v>3.5</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17366-2026</t>
        </is>
      </c>
      <c r="B6047" t="inlineStr">
        <is>
          <t>avverkningsanmälan</t>
        </is>
      </c>
      <c r="C6047" t="inlineStr">
        <is>
          <t>Föryngringsavverkning</t>
        </is>
      </c>
      <c r="D6047" s="1" t="n">
        <v>46119</v>
      </c>
      <c r="E6047" s="1" t="n">
        <v>46326</v>
      </c>
      <c r="F6047" t="inlineStr">
        <is>
          <t>GÄVLEBORGS LÄN</t>
        </is>
      </c>
      <c r="G6047" t="inlineStr">
        <is>
          <t>SANDVIKEN</t>
        </is>
      </c>
      <c r="H6047" t="inlineStr">
        <is>
          <t>Bergvik skog öst AB</t>
        </is>
      </c>
      <c r="I6047" t="n">
        <v>1.3</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10457-2026</t>
        </is>
      </c>
      <c r="B6048" t="inlineStr">
        <is>
          <t>avverkningsanmälan</t>
        </is>
      </c>
      <c r="C6048" t="inlineStr">
        <is>
          <t>Föryngringsavverkning</t>
        </is>
      </c>
      <c r="D6048" s="1" t="n">
        <v>46077</v>
      </c>
      <c r="E6048" s="1" t="n">
        <v>46326</v>
      </c>
      <c r="F6048" t="inlineStr">
        <is>
          <t>GÄVLEBORGS LÄN</t>
        </is>
      </c>
      <c r="G6048" t="inlineStr">
        <is>
          <t>OCKELBO</t>
        </is>
      </c>
      <c r="H6048" t="inlineStr">
        <is>
          <t>Bergvik skog öst AB</t>
        </is>
      </c>
      <c r="I6048" t="n">
        <v>6.5</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17360-2026</t>
        </is>
      </c>
      <c r="B6049" t="inlineStr">
        <is>
          <t>avverkningsanmälan</t>
        </is>
      </c>
      <c r="C6049" t="inlineStr">
        <is>
          <t>Föryngringsavverkning</t>
        </is>
      </c>
      <c r="D6049" s="1" t="n">
        <v>46119</v>
      </c>
      <c r="E6049" s="1" t="n">
        <v>46326</v>
      </c>
      <c r="F6049" t="inlineStr">
        <is>
          <t>GÄVLEBORGS LÄN</t>
        </is>
      </c>
      <c r="G6049" t="inlineStr">
        <is>
          <t>SANDVIKEN</t>
        </is>
      </c>
      <c r="H6049" t="inlineStr">
        <is>
          <t>Bergvik skog öst AB</t>
        </is>
      </c>
      <c r="I6049" t="n">
        <v>0.5</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846-2023</t>
        </is>
      </c>
      <c r="B6050" t="inlineStr">
        <is>
          <t>avverkningsanmälan</t>
        </is>
      </c>
      <c r="C6050" t="inlineStr">
        <is>
          <t>Föryngringsavverkning</t>
        </is>
      </c>
      <c r="D6050" s="1" t="n">
        <v>44931</v>
      </c>
      <c r="E6050" s="1" t="n">
        <v>46326</v>
      </c>
      <c r="F6050" t="inlineStr">
        <is>
          <t>GÄVLEBORGS LÄN</t>
        </is>
      </c>
      <c r="G6050" t="inlineStr">
        <is>
          <t>LJUSDAL</t>
        </is>
      </c>
      <c r="I6050" t="n">
        <v>0.7</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17440-2026</t>
        </is>
      </c>
      <c r="B6051" t="inlineStr">
        <is>
          <t>avverkningsanmälan</t>
        </is>
      </c>
      <c r="C6051" t="inlineStr">
        <is>
          <t>Föryngringsavverkning</t>
        </is>
      </c>
      <c r="D6051" s="1" t="n">
        <v>46120</v>
      </c>
      <c r="E6051" s="1" t="n">
        <v>46326</v>
      </c>
      <c r="F6051" t="inlineStr">
        <is>
          <t>GÄVLEBORGS LÄN</t>
        </is>
      </c>
      <c r="G6051" t="inlineStr">
        <is>
          <t>HUDIKSVALL</t>
        </is>
      </c>
      <c r="H6051" t="inlineStr">
        <is>
          <t>Kommuner</t>
        </is>
      </c>
      <c r="I6051" t="n">
        <v>0.7</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17473-2026</t>
        </is>
      </c>
      <c r="B6052" t="inlineStr">
        <is>
          <t>avverkningsanmälan</t>
        </is>
      </c>
      <c r="C6052" t="inlineStr">
        <is>
          <t>Föryngringsavverkning</t>
        </is>
      </c>
      <c r="D6052" s="1" t="n">
        <v>46120</v>
      </c>
      <c r="E6052" s="1" t="n">
        <v>46326</v>
      </c>
      <c r="F6052" t="inlineStr">
        <is>
          <t>GÄVLEBORGS LÄN</t>
        </is>
      </c>
      <c r="G6052" t="inlineStr">
        <is>
          <t>SANDVIKEN</t>
        </is>
      </c>
      <c r="H6052" t="inlineStr">
        <is>
          <t>Sveaskog</t>
        </is>
      </c>
      <c r="I6052" t="n">
        <v>2.9</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17492-2026</t>
        </is>
      </c>
      <c r="B6053" t="inlineStr">
        <is>
          <t>avverkningsanmälan</t>
        </is>
      </c>
      <c r="C6053" t="inlineStr">
        <is>
          <t>Föryngringsavverkning</t>
        </is>
      </c>
      <c r="D6053" s="1" t="n">
        <v>46120</v>
      </c>
      <c r="E6053" s="1" t="n">
        <v>46326</v>
      </c>
      <c r="F6053" t="inlineStr">
        <is>
          <t>GÄVLEBORGS LÄN</t>
        </is>
      </c>
      <c r="G6053" t="inlineStr">
        <is>
          <t>NORDANSTIG</t>
        </is>
      </c>
      <c r="I6053" t="n">
        <v>1.3</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17224-2026</t>
        </is>
      </c>
      <c r="B6054" t="inlineStr">
        <is>
          <t>avverkningsanmälan</t>
        </is>
      </c>
      <c r="C6054" t="inlineStr">
        <is>
          <t>Föryngringsavverkning</t>
        </is>
      </c>
      <c r="D6054" s="1" t="n">
        <v>46119</v>
      </c>
      <c r="E6054" s="1" t="n">
        <v>46326</v>
      </c>
      <c r="F6054" t="inlineStr">
        <is>
          <t>GÄVLEBORGS LÄN</t>
        </is>
      </c>
      <c r="G6054" t="inlineStr">
        <is>
          <t>OCKELBO</t>
        </is>
      </c>
      <c r="I6054" t="n">
        <v>3.3</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11151-2026</t>
        </is>
      </c>
      <c r="B6055" t="inlineStr">
        <is>
          <t>avverkningsanmälan</t>
        </is>
      </c>
      <c r="C6055" t="inlineStr">
        <is>
          <t>Föryngringsavverkning</t>
        </is>
      </c>
      <c r="D6055" s="1" t="n">
        <v>46080</v>
      </c>
      <c r="E6055" s="1" t="n">
        <v>46326</v>
      </c>
      <c r="F6055" t="inlineStr">
        <is>
          <t>GÄVLEBORGS LÄN</t>
        </is>
      </c>
      <c r="G6055" t="inlineStr">
        <is>
          <t>BOLLNÄS</t>
        </is>
      </c>
      <c r="I6055" t="n">
        <v>4.2</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10326-2026</t>
        </is>
      </c>
      <c r="B6056" t="inlineStr">
        <is>
          <t>avverkningsanmälan</t>
        </is>
      </c>
      <c r="C6056" t="inlineStr">
        <is>
          <t>Föryngringsavverkning</t>
        </is>
      </c>
      <c r="D6056" s="1" t="n">
        <v>46076</v>
      </c>
      <c r="E6056" s="1" t="n">
        <v>46326</v>
      </c>
      <c r="F6056" t="inlineStr">
        <is>
          <t>GÄVLEBORGS LÄN</t>
        </is>
      </c>
      <c r="G6056" t="inlineStr">
        <is>
          <t>OCKELBO</t>
        </is>
      </c>
      <c r="H6056" t="inlineStr">
        <is>
          <t>Bergvik skog öst AB</t>
        </is>
      </c>
      <c r="I6056" t="n">
        <v>3.4</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52174-2023</t>
        </is>
      </c>
      <c r="B6057" t="inlineStr">
        <is>
          <t>avverkningsanmälan</t>
        </is>
      </c>
      <c r="C6057" t="inlineStr">
        <is>
          <t>Föryngringsavverkning</t>
        </is>
      </c>
      <c r="D6057" s="1" t="n">
        <v>45224</v>
      </c>
      <c r="E6057" s="1" t="n">
        <v>46326</v>
      </c>
      <c r="F6057" t="inlineStr">
        <is>
          <t>GÄVLEBORGS LÄN</t>
        </is>
      </c>
      <c r="G6057" t="inlineStr">
        <is>
          <t>LJUSDAL</t>
        </is>
      </c>
      <c r="I6057" t="n">
        <v>2.4</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17380-2026</t>
        </is>
      </c>
      <c r="B6058" t="inlineStr">
        <is>
          <t>avverkningsanmälan</t>
        </is>
      </c>
      <c r="C6058" t="inlineStr">
        <is>
          <t>Föryngringsavverkning</t>
        </is>
      </c>
      <c r="D6058" s="1" t="n">
        <v>46119</v>
      </c>
      <c r="E6058" s="1" t="n">
        <v>46326</v>
      </c>
      <c r="F6058" t="inlineStr">
        <is>
          <t>GÄVLEBORGS LÄN</t>
        </is>
      </c>
      <c r="G6058" t="inlineStr">
        <is>
          <t>OVANÅKER</t>
        </is>
      </c>
      <c r="I6058" t="n">
        <v>1.4</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17241-2026</t>
        </is>
      </c>
      <c r="B6059" t="inlineStr">
        <is>
          <t>avverkningsanmälan</t>
        </is>
      </c>
      <c r="C6059" t="inlineStr">
        <is>
          <t>Föryngringsavverkning</t>
        </is>
      </c>
      <c r="D6059" s="1" t="n">
        <v>46119</v>
      </c>
      <c r="E6059" s="1" t="n">
        <v>46326</v>
      </c>
      <c r="F6059" t="inlineStr">
        <is>
          <t>GÄVLEBORGS LÄN</t>
        </is>
      </c>
      <c r="G6059" t="inlineStr">
        <is>
          <t>OCKELBO</t>
        </is>
      </c>
      <c r="H6059" t="inlineStr">
        <is>
          <t>Bergvik skog väst AB</t>
        </is>
      </c>
      <c r="I6059" t="n">
        <v>2.5</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17202-2026</t>
        </is>
      </c>
      <c r="B6060" t="inlineStr">
        <is>
          <t>avverkningsanmälan</t>
        </is>
      </c>
      <c r="C6060" t="inlineStr">
        <is>
          <t>Föryngringsavverkning</t>
        </is>
      </c>
      <c r="D6060" s="1" t="n">
        <v>46118</v>
      </c>
      <c r="E6060" s="1" t="n">
        <v>46326</v>
      </c>
      <c r="F6060" t="inlineStr">
        <is>
          <t>GÄVLEBORGS LÄN</t>
        </is>
      </c>
      <c r="G6060" t="inlineStr">
        <is>
          <t>OCKELBO</t>
        </is>
      </c>
      <c r="I6060" t="n">
        <v>0.6</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17830-2026</t>
        </is>
      </c>
      <c r="B6061" t="inlineStr">
        <is>
          <t>avverkningsanmälan</t>
        </is>
      </c>
      <c r="C6061" t="inlineStr">
        <is>
          <t>Föryngringsavverkning</t>
        </is>
      </c>
      <c r="D6061" s="1" t="n">
        <v>46122</v>
      </c>
      <c r="E6061" s="1" t="n">
        <v>46326</v>
      </c>
      <c r="F6061" t="inlineStr">
        <is>
          <t>GÄVLEBORGS LÄN</t>
        </is>
      </c>
      <c r="G6061" t="inlineStr">
        <is>
          <t>GÄVLE</t>
        </is>
      </c>
      <c r="H6061" t="inlineStr">
        <is>
          <t>Bergvik skog öst AB</t>
        </is>
      </c>
      <c r="I6061" t="n">
        <v>2.2</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46036-2024</t>
        </is>
      </c>
      <c r="B6062" t="inlineStr">
        <is>
          <t>avverkningsanmälan</t>
        </is>
      </c>
      <c r="C6062" t="inlineStr">
        <is>
          <t>Föryngringsavverkning</t>
        </is>
      </c>
      <c r="D6062" s="1" t="n">
        <v>45580</v>
      </c>
      <c r="E6062" s="1" t="n">
        <v>46326</v>
      </c>
      <c r="F6062" t="inlineStr">
        <is>
          <t>GÄVLEBORGS LÄN</t>
        </is>
      </c>
      <c r="G6062" t="inlineStr">
        <is>
          <t>OVANÅKER</t>
        </is>
      </c>
      <c r="I6062" t="n">
        <v>2.2</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24240-2025</t>
        </is>
      </c>
      <c r="B6063" t="inlineStr">
        <is>
          <t>avverkningsanmälan</t>
        </is>
      </c>
      <c r="C6063" t="inlineStr">
        <is>
          <t>Föryngringsavverkning</t>
        </is>
      </c>
      <c r="D6063" s="1" t="n">
        <v>45797</v>
      </c>
      <c r="E6063" s="1" t="n">
        <v>46326</v>
      </c>
      <c r="F6063" t="inlineStr">
        <is>
          <t>GÄVLEBORGS LÄN</t>
        </is>
      </c>
      <c r="G6063" t="inlineStr">
        <is>
          <t>HUDIKSVALL</t>
        </is>
      </c>
      <c r="I6063" t="n">
        <v>2.8</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17800-2026</t>
        </is>
      </c>
      <c r="B6064" t="inlineStr">
        <is>
          <t>avverkningsanmälan</t>
        </is>
      </c>
      <c r="C6064" t="inlineStr">
        <is>
          <t>Föryngringsavverkning</t>
        </is>
      </c>
      <c r="D6064" s="1" t="n">
        <v>46122</v>
      </c>
      <c r="E6064" s="1" t="n">
        <v>46326</v>
      </c>
      <c r="F6064" t="inlineStr">
        <is>
          <t>GÄVLEBORGS LÄN</t>
        </is>
      </c>
      <c r="G6064" t="inlineStr">
        <is>
          <t>HUDIKSVALL</t>
        </is>
      </c>
      <c r="I6064" t="n">
        <v>0.8</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17860-2026</t>
        </is>
      </c>
      <c r="B6065" t="inlineStr">
        <is>
          <t>avverkningsanmälan</t>
        </is>
      </c>
      <c r="C6065" t="inlineStr">
        <is>
          <t>Föryngringsavverkning</t>
        </is>
      </c>
      <c r="D6065" s="1" t="n">
        <v>46122</v>
      </c>
      <c r="E6065" s="1" t="n">
        <v>46326</v>
      </c>
      <c r="F6065" t="inlineStr">
        <is>
          <t>GÄVLEBORGS LÄN</t>
        </is>
      </c>
      <c r="G6065" t="inlineStr">
        <is>
          <t>LJUSDAL</t>
        </is>
      </c>
      <c r="I6065" t="n">
        <v>1.6</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10309-2026</t>
        </is>
      </c>
      <c r="B6066" t="inlineStr">
        <is>
          <t>avverkningsanmälan</t>
        </is>
      </c>
      <c r="C6066" t="inlineStr">
        <is>
          <t>Föryngringsavverkning</t>
        </is>
      </c>
      <c r="D6066" s="1" t="n">
        <v>46076</v>
      </c>
      <c r="E6066" s="1" t="n">
        <v>46326</v>
      </c>
      <c r="F6066" t="inlineStr">
        <is>
          <t>GÄVLEBORGS LÄN</t>
        </is>
      </c>
      <c r="G6066" t="inlineStr">
        <is>
          <t>OCKELBO</t>
        </is>
      </c>
      <c r="H6066" t="inlineStr">
        <is>
          <t>Bergvik skog öst AB</t>
        </is>
      </c>
      <c r="I6066" t="n">
        <v>1.7</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65098-2023</t>
        </is>
      </c>
      <c r="B6067" t="inlineStr">
        <is>
          <t>avverkningsanmälan</t>
        </is>
      </c>
      <c r="C6067" t="inlineStr">
        <is>
          <t>Föryngringsavverkning</t>
        </is>
      </c>
      <c r="D6067" s="1" t="n">
        <v>45288</v>
      </c>
      <c r="E6067" s="1" t="n">
        <v>46326</v>
      </c>
      <c r="F6067" t="inlineStr">
        <is>
          <t>GÄVLEBORGS LÄN</t>
        </is>
      </c>
      <c r="G6067" t="inlineStr">
        <is>
          <t>SANDVIKEN</t>
        </is>
      </c>
      <c r="I6067" t="n">
        <v>1.9</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8917-2026</t>
        </is>
      </c>
      <c r="B6068" t="inlineStr">
        <is>
          <t>avverkningsanmälan</t>
        </is>
      </c>
      <c r="C6068" t="inlineStr">
        <is>
          <t>Föryngringsavverkning</t>
        </is>
      </c>
      <c r="D6068" s="1" t="n">
        <v>46069</v>
      </c>
      <c r="E6068" s="1" t="n">
        <v>46326</v>
      </c>
      <c r="F6068" t="inlineStr">
        <is>
          <t>GÄVLEBORGS LÄN</t>
        </is>
      </c>
      <c r="G6068" t="inlineStr">
        <is>
          <t>OVANÅKER</t>
        </is>
      </c>
      <c r="I6068" t="n">
        <v>1.2</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17794-2026</t>
        </is>
      </c>
      <c r="B6069" t="inlineStr">
        <is>
          <t>avverkningsanmälan</t>
        </is>
      </c>
      <c r="C6069" t="inlineStr">
        <is>
          <t>Föryngringsavverkning</t>
        </is>
      </c>
      <c r="D6069" s="1" t="n">
        <v>46122</v>
      </c>
      <c r="E6069" s="1" t="n">
        <v>46326</v>
      </c>
      <c r="F6069" t="inlineStr">
        <is>
          <t>GÄVLEBORGS LÄN</t>
        </is>
      </c>
      <c r="G6069" t="inlineStr">
        <is>
          <t>OVANÅKER</t>
        </is>
      </c>
      <c r="I6069" t="n">
        <v>1</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14871-2025</t>
        </is>
      </c>
      <c r="B6070" t="inlineStr">
        <is>
          <t>avverkningsanmälan</t>
        </is>
      </c>
      <c r="C6070" t="inlineStr">
        <is>
          <t>Föryngringsavverkning</t>
        </is>
      </c>
      <c r="D6070" s="1" t="n">
        <v>45743</v>
      </c>
      <c r="E6070" s="1" t="n">
        <v>46326</v>
      </c>
      <c r="F6070" t="inlineStr">
        <is>
          <t>GÄVLEBORGS LÄN</t>
        </is>
      </c>
      <c r="G6070" t="inlineStr">
        <is>
          <t>LJUSDAL</t>
        </is>
      </c>
      <c r="I6070" t="n">
        <v>10.9</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24239-2025</t>
        </is>
      </c>
      <c r="B6071" t="inlineStr">
        <is>
          <t>avverkningsanmälan</t>
        </is>
      </c>
      <c r="C6071" t="inlineStr">
        <is>
          <t>Föryngringsavverkning</t>
        </is>
      </c>
      <c r="D6071" s="1" t="n">
        <v>45797</v>
      </c>
      <c r="E6071" s="1" t="n">
        <v>46326</v>
      </c>
      <c r="F6071" t="inlineStr">
        <is>
          <t>GÄVLEBORGS LÄN</t>
        </is>
      </c>
      <c r="G6071" t="inlineStr">
        <is>
          <t>HUDIKSVALL</t>
        </is>
      </c>
      <c r="I6071" t="n">
        <v>0.6</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35185-2022</t>
        </is>
      </c>
      <c r="B6072" t="inlineStr">
        <is>
          <t>avverkningsanmälan</t>
        </is>
      </c>
      <c r="C6072" t="inlineStr">
        <is>
          <t>Föryngringsavverkning</t>
        </is>
      </c>
      <c r="D6072" s="1" t="n">
        <v>44797</v>
      </c>
      <c r="E6072" s="1" t="n">
        <v>46326</v>
      </c>
      <c r="F6072" t="inlineStr">
        <is>
          <t>GÄVLEBORGS LÄN</t>
        </is>
      </c>
      <c r="G6072" t="inlineStr">
        <is>
          <t>SANDVIKEN</t>
        </is>
      </c>
      <c r="I6072" t="n">
        <v>1</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35593-2023</t>
        </is>
      </c>
      <c r="B6073" t="inlineStr">
        <is>
          <t>avverkningsanmälan</t>
        </is>
      </c>
      <c r="C6073" t="inlineStr">
        <is>
          <t>Föryngringsavverkning</t>
        </is>
      </c>
      <c r="D6073" s="1" t="n">
        <v>45147</v>
      </c>
      <c r="E6073" s="1" t="n">
        <v>46326</v>
      </c>
      <c r="F6073" t="inlineStr">
        <is>
          <t>GÄVLEBORGS LÄN</t>
        </is>
      </c>
      <c r="G6073" t="inlineStr">
        <is>
          <t>HUDIKSVALL</t>
        </is>
      </c>
      <c r="H6073" t="inlineStr">
        <is>
          <t>Holmen skog AB</t>
        </is>
      </c>
      <c r="I6073" t="n">
        <v>4.8</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10488-2026</t>
        </is>
      </c>
      <c r="B6074" t="inlineStr">
        <is>
          <t>avverkningsanmälan</t>
        </is>
      </c>
      <c r="C6074" t="inlineStr">
        <is>
          <t>Föryngringsavverkning</t>
        </is>
      </c>
      <c r="D6074" s="1" t="n">
        <v>46077</v>
      </c>
      <c r="E6074" s="1" t="n">
        <v>46326</v>
      </c>
      <c r="F6074" t="inlineStr">
        <is>
          <t>GÄVLEBORGS LÄN</t>
        </is>
      </c>
      <c r="G6074" t="inlineStr">
        <is>
          <t>GÄVLE</t>
        </is>
      </c>
      <c r="H6074" t="inlineStr">
        <is>
          <t>Bergvik skog öst AB</t>
        </is>
      </c>
      <c r="I6074" t="n">
        <v>14.5</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17960-2026</t>
        </is>
      </c>
      <c r="B6075" t="inlineStr">
        <is>
          <t>avverkningsanmälan</t>
        </is>
      </c>
      <c r="C6075" t="inlineStr">
        <is>
          <t>Föryngringsavverkning</t>
        </is>
      </c>
      <c r="D6075" s="1" t="n">
        <v>46122</v>
      </c>
      <c r="E6075" s="1" t="n">
        <v>46326</v>
      </c>
      <c r="F6075" t="inlineStr">
        <is>
          <t>GÄVLEBORGS LÄN</t>
        </is>
      </c>
      <c r="G6075" t="inlineStr">
        <is>
          <t>BOLLNÄS</t>
        </is>
      </c>
      <c r="I6075" t="n">
        <v>0.9</v>
      </c>
      <c r="J6075" t="n">
        <v>0</v>
      </c>
      <c r="K6075" t="n">
        <v>0</v>
      </c>
      <c r="L6075" t="n">
        <v>0</v>
      </c>
      <c r="M6075" t="n">
        <v>0</v>
      </c>
      <c r="N6075" t="n">
        <v>0</v>
      </c>
      <c r="O6075" t="n">
        <v>0</v>
      </c>
      <c r="P6075" t="n">
        <v>0</v>
      </c>
      <c r="Q6075" t="n">
        <v>0</v>
      </c>
      <c r="R6075" t="n">
        <v>0</v>
      </c>
      <c r="S6075" t="n">
        <v>0</v>
      </c>
      <c r="T6075" t="n">
        <v>0</v>
      </c>
      <c r="U6075" t="n">
        <v>0</v>
      </c>
      <c r="V6075" s="2" t="inlineStr"/>
    </row>
    <row r="6076" ht="15" customHeight="1">
      <c r="A6076" t="inlineStr">
        <is>
          <t>A 17652-2026</t>
        </is>
      </c>
      <c r="B6076" t="inlineStr">
        <is>
          <t>avverkningsanmälan</t>
        </is>
      </c>
      <c r="C6076" t="inlineStr">
        <is>
          <t>Föryngringsavverkning</t>
        </is>
      </c>
      <c r="D6076" s="1" t="n">
        <v>46121</v>
      </c>
      <c r="E6076" s="1" t="n">
        <v>46326</v>
      </c>
      <c r="F6076" t="inlineStr">
        <is>
          <t>GÄVLEBORGS LÄN</t>
        </is>
      </c>
      <c r="G6076" t="inlineStr">
        <is>
          <t>BOLLNÄS</t>
        </is>
      </c>
      <c r="I6076" t="n">
        <v>1.4</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63619-2023</t>
        </is>
      </c>
      <c r="B6077" t="inlineStr">
        <is>
          <t>avverkningsanmälan</t>
        </is>
      </c>
      <c r="C6077" t="inlineStr">
        <is>
          <t>Föryngringsavverkning</t>
        </is>
      </c>
      <c r="D6077" s="1" t="n">
        <v>45275</v>
      </c>
      <c r="E6077" s="1" t="n">
        <v>46326</v>
      </c>
      <c r="F6077" t="inlineStr">
        <is>
          <t>GÄVLEBORGS LÄN</t>
        </is>
      </c>
      <c r="G6077" t="inlineStr">
        <is>
          <t>HUDIKSVALL</t>
        </is>
      </c>
      <c r="I6077" t="n">
        <v>6.4</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17755-2026</t>
        </is>
      </c>
      <c r="B6078" t="inlineStr">
        <is>
          <t>avverkningsanmälan</t>
        </is>
      </c>
      <c r="C6078" t="inlineStr">
        <is>
          <t>Föryngringsavverkning</t>
        </is>
      </c>
      <c r="D6078" s="1" t="n">
        <v>46122</v>
      </c>
      <c r="E6078" s="1" t="n">
        <v>46326</v>
      </c>
      <c r="F6078" t="inlineStr">
        <is>
          <t>GÄVLEBORGS LÄN</t>
        </is>
      </c>
      <c r="G6078" t="inlineStr">
        <is>
          <t>LJUSDAL</t>
        </is>
      </c>
      <c r="H6078" t="inlineStr">
        <is>
          <t>SCA</t>
        </is>
      </c>
      <c r="I6078" t="n">
        <v>2.8</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61052-2024</t>
        </is>
      </c>
      <c r="B6079" t="inlineStr">
        <is>
          <t>avverkningsanmälan</t>
        </is>
      </c>
      <c r="C6079" t="inlineStr">
        <is>
          <t>Föryngringsavverkning</t>
        </is>
      </c>
      <c r="D6079" s="1" t="n">
        <v>45645</v>
      </c>
      <c r="E6079" s="1" t="n">
        <v>46326</v>
      </c>
      <c r="F6079" t="inlineStr">
        <is>
          <t>GÄVLEBORGS LÄN</t>
        </is>
      </c>
      <c r="G6079" t="inlineStr">
        <is>
          <t>SANDVIKEN</t>
        </is>
      </c>
      <c r="H6079" t="inlineStr">
        <is>
          <t>Naturvårdsverket</t>
        </is>
      </c>
      <c r="I6079" t="n">
        <v>7.2</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43169-2023</t>
        </is>
      </c>
      <c r="B6080" t="inlineStr">
        <is>
          <t>avverkningsanmälan</t>
        </is>
      </c>
      <c r="C6080" t="inlineStr">
        <is>
          <t>Föryngringsavverkning</t>
        </is>
      </c>
      <c r="D6080" s="1" t="n">
        <v>45183</v>
      </c>
      <c r="E6080" s="1" t="n">
        <v>46326</v>
      </c>
      <c r="F6080" t="inlineStr">
        <is>
          <t>GÄVLEBORGS LÄN</t>
        </is>
      </c>
      <c r="G6080" t="inlineStr">
        <is>
          <t>OVANÅKER</t>
        </is>
      </c>
      <c r="I6080" t="n">
        <v>0.5</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17566-2026</t>
        </is>
      </c>
      <c r="B6081" t="inlineStr">
        <is>
          <t>avverkningsanmälan</t>
        </is>
      </c>
      <c r="C6081" t="inlineStr">
        <is>
          <t>Föryngringsavverkning</t>
        </is>
      </c>
      <c r="D6081" s="1" t="n">
        <v>46121</v>
      </c>
      <c r="E6081" s="1" t="n">
        <v>46326</v>
      </c>
      <c r="F6081" t="inlineStr">
        <is>
          <t>GÄVLEBORGS LÄN</t>
        </is>
      </c>
      <c r="G6081" t="inlineStr">
        <is>
          <t>HUDIKSVALL</t>
        </is>
      </c>
      <c r="H6081" t="inlineStr">
        <is>
          <t>Naturvårdsverket</t>
        </is>
      </c>
      <c r="I6081" t="n">
        <v>2.7</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17841-2026</t>
        </is>
      </c>
      <c r="B6082" t="inlineStr">
        <is>
          <t>avverkningsanmälan</t>
        </is>
      </c>
      <c r="C6082" t="inlineStr">
        <is>
          <t>Föryngringsavverkning</t>
        </is>
      </c>
      <c r="D6082" s="1" t="n">
        <v>46122</v>
      </c>
      <c r="E6082" s="1" t="n">
        <v>46326</v>
      </c>
      <c r="F6082" t="inlineStr">
        <is>
          <t>GÄVLEBORGS LÄN</t>
        </is>
      </c>
      <c r="G6082" t="inlineStr">
        <is>
          <t>LJUSDAL</t>
        </is>
      </c>
      <c r="H6082" t="inlineStr">
        <is>
          <t>SCA</t>
        </is>
      </c>
      <c r="I6082" t="n">
        <v>1.2</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57866-2024</t>
        </is>
      </c>
      <c r="B6083" t="inlineStr">
        <is>
          <t>avverkningsanmälan</t>
        </is>
      </c>
      <c r="C6083" t="inlineStr">
        <is>
          <t>Föryngringsavverkning</t>
        </is>
      </c>
      <c r="D6083" s="1" t="n">
        <v>45631</v>
      </c>
      <c r="E6083" s="1" t="n">
        <v>46326</v>
      </c>
      <c r="F6083" t="inlineStr">
        <is>
          <t>GÄVLEBORGS LÄN</t>
        </is>
      </c>
      <c r="G6083" t="inlineStr">
        <is>
          <t>NORDANSTIG</t>
        </is>
      </c>
      <c r="I6083" t="n">
        <v>2.7</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17626-2026</t>
        </is>
      </c>
      <c r="B6084" t="inlineStr">
        <is>
          <t>avverkningsanmälan</t>
        </is>
      </c>
      <c r="C6084" t="inlineStr">
        <is>
          <t>Föryngringsavverkning</t>
        </is>
      </c>
      <c r="D6084" s="1" t="n">
        <v>46121</v>
      </c>
      <c r="E6084" s="1" t="n">
        <v>46326</v>
      </c>
      <c r="F6084" t="inlineStr">
        <is>
          <t>GÄVLEBORGS LÄN</t>
        </is>
      </c>
      <c r="G6084" t="inlineStr">
        <is>
          <t>SANDVIKEN</t>
        </is>
      </c>
      <c r="H6084" t="inlineStr">
        <is>
          <t>Bergvik skog öst AB</t>
        </is>
      </c>
      <c r="I6084" t="n">
        <v>3.3</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17683-2026</t>
        </is>
      </c>
      <c r="B6085" t="inlineStr">
        <is>
          <t>avverkningsanmälan</t>
        </is>
      </c>
      <c r="C6085" t="inlineStr">
        <is>
          <t>Föryngringsavverkning</t>
        </is>
      </c>
      <c r="D6085" s="1" t="n">
        <v>46121</v>
      </c>
      <c r="E6085" s="1" t="n">
        <v>46326</v>
      </c>
      <c r="F6085" t="inlineStr">
        <is>
          <t>GÄVLEBORGS LÄN</t>
        </is>
      </c>
      <c r="G6085" t="inlineStr">
        <is>
          <t>OVANÅKER</t>
        </is>
      </c>
      <c r="I6085" t="n">
        <v>0.9</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54713-2024</t>
        </is>
      </c>
      <c r="B6086" t="inlineStr">
        <is>
          <t>avverkningsanmälan</t>
        </is>
      </c>
      <c r="C6086" t="inlineStr">
        <is>
          <t>Föryngringsavverkning</t>
        </is>
      </c>
      <c r="D6086" s="1" t="n">
        <v>45618</v>
      </c>
      <c r="E6086" s="1" t="n">
        <v>46326</v>
      </c>
      <c r="F6086" t="inlineStr">
        <is>
          <t>GÄVLEBORGS LÄN</t>
        </is>
      </c>
      <c r="G6086" t="inlineStr">
        <is>
          <t>NORDANSTIG</t>
        </is>
      </c>
      <c r="H6086" t="inlineStr">
        <is>
          <t>Holmen skog AB</t>
        </is>
      </c>
      <c r="I6086" t="n">
        <v>5.7</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17872-2026</t>
        </is>
      </c>
      <c r="B6087" t="inlineStr">
        <is>
          <t>avverkningsanmälan</t>
        </is>
      </c>
      <c r="C6087" t="inlineStr">
        <is>
          <t>Föryngringsavverkning</t>
        </is>
      </c>
      <c r="D6087" s="1" t="n">
        <v>46122</v>
      </c>
      <c r="E6087" s="1" t="n">
        <v>46326</v>
      </c>
      <c r="F6087" t="inlineStr">
        <is>
          <t>GÄVLEBORGS LÄN</t>
        </is>
      </c>
      <c r="G6087" t="inlineStr">
        <is>
          <t>NORDANSTIG</t>
        </is>
      </c>
      <c r="I6087" t="n">
        <v>1.8</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17662-2026</t>
        </is>
      </c>
      <c r="B6088" t="inlineStr">
        <is>
          <t>avverkningsanmälan</t>
        </is>
      </c>
      <c r="C6088" t="inlineStr">
        <is>
          <t>Föryngringsavverkning</t>
        </is>
      </c>
      <c r="D6088" s="1" t="n">
        <v>46121</v>
      </c>
      <c r="E6088" s="1" t="n">
        <v>46326</v>
      </c>
      <c r="F6088" t="inlineStr">
        <is>
          <t>GÄVLEBORGS LÄN</t>
        </is>
      </c>
      <c r="G6088" t="inlineStr">
        <is>
          <t>HUDIKSVALL</t>
        </is>
      </c>
      <c r="H6088" t="inlineStr">
        <is>
          <t>Holmen skog AB</t>
        </is>
      </c>
      <c r="I6088" t="n">
        <v>1</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17664-2026</t>
        </is>
      </c>
      <c r="B6089" t="inlineStr">
        <is>
          <t>avverkningsanmälan</t>
        </is>
      </c>
      <c r="C6089" t="inlineStr">
        <is>
          <t>Föryngringsavverkning</t>
        </is>
      </c>
      <c r="D6089" s="1" t="n">
        <v>46121</v>
      </c>
      <c r="E6089" s="1" t="n">
        <v>46326</v>
      </c>
      <c r="F6089" t="inlineStr">
        <is>
          <t>GÄVLEBORGS LÄN</t>
        </is>
      </c>
      <c r="G6089" t="inlineStr">
        <is>
          <t>OVANÅKER</t>
        </is>
      </c>
      <c r="I6089" t="n">
        <v>0.6</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17596-2026</t>
        </is>
      </c>
      <c r="B6090" t="inlineStr">
        <is>
          <t>avverkningsanmälan</t>
        </is>
      </c>
      <c r="C6090" t="inlineStr">
        <is>
          <t>Föryngringsavverkning</t>
        </is>
      </c>
      <c r="D6090" s="1" t="n">
        <v>46121</v>
      </c>
      <c r="E6090" s="1" t="n">
        <v>46326</v>
      </c>
      <c r="F6090" t="inlineStr">
        <is>
          <t>GÄVLEBORGS LÄN</t>
        </is>
      </c>
      <c r="G6090" t="inlineStr">
        <is>
          <t>SANDVIKEN</t>
        </is>
      </c>
      <c r="H6090" t="inlineStr">
        <is>
          <t>Bergvik skog öst AB</t>
        </is>
      </c>
      <c r="I6090" t="n">
        <v>1.7</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52785-2023</t>
        </is>
      </c>
      <c r="B6091" t="inlineStr">
        <is>
          <t>avverkningsanmälan</t>
        </is>
      </c>
      <c r="C6091" t="inlineStr">
        <is>
          <t>Föryngringsavverkning</t>
        </is>
      </c>
      <c r="D6091" s="1" t="n">
        <v>45226</v>
      </c>
      <c r="E6091" s="1" t="n">
        <v>46326</v>
      </c>
      <c r="F6091" t="inlineStr">
        <is>
          <t>GÄVLEBORGS LÄN</t>
        </is>
      </c>
      <c r="G6091" t="inlineStr">
        <is>
          <t>SANDVIKEN</t>
        </is>
      </c>
      <c r="H6091" t="inlineStr">
        <is>
          <t>Bergvik skog öst AB</t>
        </is>
      </c>
      <c r="I6091" t="n">
        <v>5.4</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17647-2026</t>
        </is>
      </c>
      <c r="B6092" t="inlineStr">
        <is>
          <t>avverkningsanmälan</t>
        </is>
      </c>
      <c r="C6092" t="inlineStr">
        <is>
          <t>Föryngringsavverkning</t>
        </is>
      </c>
      <c r="D6092" s="1" t="n">
        <v>46121</v>
      </c>
      <c r="E6092" s="1" t="n">
        <v>46326</v>
      </c>
      <c r="F6092" t="inlineStr">
        <is>
          <t>GÄVLEBORGS LÄN</t>
        </is>
      </c>
      <c r="G6092" t="inlineStr">
        <is>
          <t>BOLLNÄS</t>
        </is>
      </c>
      <c r="I6092" t="n">
        <v>7.2</v>
      </c>
      <c r="J6092" t="n">
        <v>0</v>
      </c>
      <c r="K6092" t="n">
        <v>0</v>
      </c>
      <c r="L6092" t="n">
        <v>0</v>
      </c>
      <c r="M6092" t="n">
        <v>0</v>
      </c>
      <c r="N6092" t="n">
        <v>0</v>
      </c>
      <c r="O6092" t="n">
        <v>0</v>
      </c>
      <c r="P6092" t="n">
        <v>0</v>
      </c>
      <c r="Q6092" t="n">
        <v>0</v>
      </c>
      <c r="R6092" t="n">
        <v>0</v>
      </c>
      <c r="S6092" t="n">
        <v>0</v>
      </c>
      <c r="T6092" t="n">
        <v>0</v>
      </c>
      <c r="U6092" t="n">
        <v>0</v>
      </c>
      <c r="V6092" s="2" t="inlineStr"/>
    </row>
    <row r="6093" ht="15" customHeight="1">
      <c r="A6093" t="inlineStr">
        <is>
          <t>A 38451-2024</t>
        </is>
      </c>
      <c r="B6093" t="inlineStr">
        <is>
          <t>avverkningsanmälan</t>
        </is>
      </c>
      <c r="C6093" t="inlineStr">
        <is>
          <t>Föryngringsavverkning</t>
        </is>
      </c>
      <c r="D6093" s="1" t="n">
        <v>45546</v>
      </c>
      <c r="E6093" s="1" t="n">
        <v>46326</v>
      </c>
      <c r="F6093" t="inlineStr">
        <is>
          <t>GÄVLEBORGS LÄN</t>
        </is>
      </c>
      <c r="G6093" t="inlineStr">
        <is>
          <t>NORDANSTIG</t>
        </is>
      </c>
      <c r="I6093" t="n">
        <v>0.8</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44800-2024</t>
        </is>
      </c>
      <c r="B6094" t="inlineStr">
        <is>
          <t>avverkningsanmälan</t>
        </is>
      </c>
      <c r="C6094" t="inlineStr">
        <is>
          <t>Föryngringsavverkning</t>
        </is>
      </c>
      <c r="D6094" s="1" t="n">
        <v>45574</v>
      </c>
      <c r="E6094" s="1" t="n">
        <v>46326</v>
      </c>
      <c r="F6094" t="inlineStr">
        <is>
          <t>GÄVLEBORGS LÄN</t>
        </is>
      </c>
      <c r="G6094" t="inlineStr">
        <is>
          <t>GÄVLE</t>
        </is>
      </c>
      <c r="H6094" t="inlineStr">
        <is>
          <t>Bergvik skog öst AB</t>
        </is>
      </c>
      <c r="I6094" t="n">
        <v>0.4</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21525-2022</t>
        </is>
      </c>
      <c r="B6095" t="inlineStr">
        <is>
          <t>avverkningsanmälan</t>
        </is>
      </c>
      <c r="C6095" t="inlineStr">
        <is>
          <t>Föryngringsavverkning</t>
        </is>
      </c>
      <c r="D6095" s="1" t="n">
        <v>44706</v>
      </c>
      <c r="E6095" s="1" t="n">
        <v>46326</v>
      </c>
      <c r="F6095" t="inlineStr">
        <is>
          <t>GÄVLEBORGS LÄN</t>
        </is>
      </c>
      <c r="G6095" t="inlineStr">
        <is>
          <t>HUDIKSVALL</t>
        </is>
      </c>
      <c r="I6095" t="n">
        <v>1.2</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10994-2025</t>
        </is>
      </c>
      <c r="B6096" t="inlineStr">
        <is>
          <t>avverkningsanmälan</t>
        </is>
      </c>
      <c r="C6096" t="inlineStr">
        <is>
          <t>Föryngringsavverkning</t>
        </is>
      </c>
      <c r="D6096" s="1" t="n">
        <v>45723</v>
      </c>
      <c r="E6096" s="1" t="n">
        <v>46326</v>
      </c>
      <c r="F6096" t="inlineStr">
        <is>
          <t>GÄVLEBORGS LÄN</t>
        </is>
      </c>
      <c r="G6096" t="inlineStr">
        <is>
          <t>HUDIKSVALL</t>
        </is>
      </c>
      <c r="H6096" t="inlineStr">
        <is>
          <t>Holmen skog AB</t>
        </is>
      </c>
      <c r="I6096" t="n">
        <v>5.7</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17921-2026</t>
        </is>
      </c>
      <c r="B6097" t="inlineStr">
        <is>
          <t>avverkningsanmälan</t>
        </is>
      </c>
      <c r="C6097" t="inlineStr">
        <is>
          <t>Föryngringsavverkning</t>
        </is>
      </c>
      <c r="D6097" s="1" t="n">
        <v>46122</v>
      </c>
      <c r="E6097" s="1" t="n">
        <v>46326</v>
      </c>
      <c r="F6097" t="inlineStr">
        <is>
          <t>GÄVLEBORGS LÄN</t>
        </is>
      </c>
      <c r="G6097" t="inlineStr">
        <is>
          <t>HUDIKSVALL</t>
        </is>
      </c>
      <c r="I6097" t="n">
        <v>0.7</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17589-2026</t>
        </is>
      </c>
      <c r="B6098" t="inlineStr">
        <is>
          <t>avverkningsanmälan</t>
        </is>
      </c>
      <c r="C6098" t="inlineStr">
        <is>
          <t>Föryngringsavverkning</t>
        </is>
      </c>
      <c r="D6098" s="1" t="n">
        <v>46121</v>
      </c>
      <c r="E6098" s="1" t="n">
        <v>46326</v>
      </c>
      <c r="F6098" t="inlineStr">
        <is>
          <t>GÄVLEBORGS LÄN</t>
        </is>
      </c>
      <c r="G6098" t="inlineStr">
        <is>
          <t>OCKELBO</t>
        </is>
      </c>
      <c r="I6098" t="n">
        <v>1.8</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17600-2026</t>
        </is>
      </c>
      <c r="B6099" t="inlineStr">
        <is>
          <t>avverkningsanmälan</t>
        </is>
      </c>
      <c r="C6099" t="inlineStr">
        <is>
          <t>Föryngringsavverkning</t>
        </is>
      </c>
      <c r="D6099" s="1" t="n">
        <v>46121</v>
      </c>
      <c r="E6099" s="1" t="n">
        <v>46326</v>
      </c>
      <c r="F6099" t="inlineStr">
        <is>
          <t>GÄVLEBORGS LÄN</t>
        </is>
      </c>
      <c r="G6099" t="inlineStr">
        <is>
          <t>OCKELBO</t>
        </is>
      </c>
      <c r="I6099" t="n">
        <v>1.4</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50197-2024</t>
        </is>
      </c>
      <c r="B6100" t="inlineStr">
        <is>
          <t>avverkningsanmälan</t>
        </is>
      </c>
      <c r="C6100" t="inlineStr">
        <is>
          <t>Föryngringsavverkning</t>
        </is>
      </c>
      <c r="D6100" s="1" t="n">
        <v>45600</v>
      </c>
      <c r="E6100" s="1" t="n">
        <v>46326</v>
      </c>
      <c r="F6100" t="inlineStr">
        <is>
          <t>GÄVLEBORGS LÄN</t>
        </is>
      </c>
      <c r="G6100" t="inlineStr">
        <is>
          <t>OCKELBO</t>
        </is>
      </c>
      <c r="I6100" t="n">
        <v>0.6</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17861-2026</t>
        </is>
      </c>
      <c r="B6101" t="inlineStr">
        <is>
          <t>avverkningsanmälan</t>
        </is>
      </c>
      <c r="C6101" t="inlineStr">
        <is>
          <t>Föryngringsavverkning</t>
        </is>
      </c>
      <c r="D6101" s="1" t="n">
        <v>46122</v>
      </c>
      <c r="E6101" s="1" t="n">
        <v>46326</v>
      </c>
      <c r="F6101" t="inlineStr">
        <is>
          <t>GÄVLEBORGS LÄN</t>
        </is>
      </c>
      <c r="G6101" t="inlineStr">
        <is>
          <t>OVANÅKER</t>
        </is>
      </c>
      <c r="I6101" t="n">
        <v>2.7</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18006-2026</t>
        </is>
      </c>
      <c r="B6102" t="inlineStr">
        <is>
          <t>avverkningsanmälan</t>
        </is>
      </c>
      <c r="C6102" t="inlineStr">
        <is>
          <t>Föryngringsavverkning</t>
        </is>
      </c>
      <c r="D6102" s="1" t="n">
        <v>46125</v>
      </c>
      <c r="E6102" s="1" t="n">
        <v>46326</v>
      </c>
      <c r="F6102" t="inlineStr">
        <is>
          <t>GÄVLEBORGS LÄN</t>
        </is>
      </c>
      <c r="G6102" t="inlineStr">
        <is>
          <t>OVANÅKER</t>
        </is>
      </c>
      <c r="I6102" t="n">
        <v>3.8</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4685-2025</t>
        </is>
      </c>
      <c r="B6103" t="inlineStr">
        <is>
          <t>avverkningsanmälan</t>
        </is>
      </c>
      <c r="C6103" t="inlineStr">
        <is>
          <t>Föryngringsavverkning</t>
        </is>
      </c>
      <c r="D6103" s="1" t="n">
        <v>45688</v>
      </c>
      <c r="E6103" s="1" t="n">
        <v>46326</v>
      </c>
      <c r="F6103" t="inlineStr">
        <is>
          <t>GÄVLEBORGS LÄN</t>
        </is>
      </c>
      <c r="G6103" t="inlineStr">
        <is>
          <t>OVANÅKER</t>
        </is>
      </c>
      <c r="I6103" t="n">
        <v>3.2</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18088-2026</t>
        </is>
      </c>
      <c r="B6104" t="inlineStr">
        <is>
          <t>avverkningsanmälan</t>
        </is>
      </c>
      <c r="C6104" t="inlineStr">
        <is>
          <t>Föryngringsavverkning</t>
        </is>
      </c>
      <c r="D6104" s="1" t="n">
        <v>46125</v>
      </c>
      <c r="E6104" s="1" t="n">
        <v>46326</v>
      </c>
      <c r="F6104" t="inlineStr">
        <is>
          <t>GÄVLEBORGS LÄN</t>
        </is>
      </c>
      <c r="G6104" t="inlineStr">
        <is>
          <t>BOLLNÄS</t>
        </is>
      </c>
      <c r="I6104" t="n">
        <v>5.1</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18010-2026</t>
        </is>
      </c>
      <c r="B6105" t="inlineStr">
        <is>
          <t>avverkningsanmälan</t>
        </is>
      </c>
      <c r="C6105" t="inlineStr">
        <is>
          <t>Föryngringsavverkning</t>
        </is>
      </c>
      <c r="D6105" s="1" t="n">
        <v>46125</v>
      </c>
      <c r="E6105" s="1" t="n">
        <v>46326</v>
      </c>
      <c r="F6105" t="inlineStr">
        <is>
          <t>GÄVLEBORGS LÄN</t>
        </is>
      </c>
      <c r="G6105" t="inlineStr">
        <is>
          <t>BOLLNÄS</t>
        </is>
      </c>
      <c r="H6105" t="inlineStr">
        <is>
          <t>Holmen skog AB</t>
        </is>
      </c>
      <c r="I6105" t="n">
        <v>5.1</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24032-2024</t>
        </is>
      </c>
      <c r="B6106" t="inlineStr">
        <is>
          <t>avverkningsanmälan</t>
        </is>
      </c>
      <c r="C6106" t="inlineStr">
        <is>
          <t>Föryngringsavverkning</t>
        </is>
      </c>
      <c r="D6106" s="1" t="n">
        <v>45456</v>
      </c>
      <c r="E6106" s="1" t="n">
        <v>46326</v>
      </c>
      <c r="F6106" t="inlineStr">
        <is>
          <t>GÄVLEBORGS LÄN</t>
        </is>
      </c>
      <c r="G6106" t="inlineStr">
        <is>
          <t>OVANÅKER</t>
        </is>
      </c>
      <c r="H6106" t="inlineStr">
        <is>
          <t>Bergvik skog väst AB</t>
        </is>
      </c>
      <c r="I6106" t="n">
        <v>1.3</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24033-2024</t>
        </is>
      </c>
      <c r="B6107" t="inlineStr">
        <is>
          <t>avverkningsanmälan</t>
        </is>
      </c>
      <c r="C6107" t="inlineStr">
        <is>
          <t>Föryngringsavverkning</t>
        </is>
      </c>
      <c r="D6107" s="1" t="n">
        <v>45456</v>
      </c>
      <c r="E6107" s="1" t="n">
        <v>46326</v>
      </c>
      <c r="F6107" t="inlineStr">
        <is>
          <t>GÄVLEBORGS LÄN</t>
        </is>
      </c>
      <c r="G6107" t="inlineStr">
        <is>
          <t>HUDIKSVALL</t>
        </is>
      </c>
      <c r="H6107" t="inlineStr">
        <is>
          <t>Holmen skog AB</t>
        </is>
      </c>
      <c r="I6107" t="n">
        <v>22.8</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18134-2026</t>
        </is>
      </c>
      <c r="B6108" t="inlineStr">
        <is>
          <t>avverkningsanmälan</t>
        </is>
      </c>
      <c r="C6108" t="inlineStr">
        <is>
          <t>Föryngringsavverkning</t>
        </is>
      </c>
      <c r="D6108" s="1" t="n">
        <v>46125</v>
      </c>
      <c r="E6108" s="1" t="n">
        <v>46326</v>
      </c>
      <c r="F6108" t="inlineStr">
        <is>
          <t>GÄVLEBORGS LÄN</t>
        </is>
      </c>
      <c r="G6108" t="inlineStr">
        <is>
          <t>OVANÅKER</t>
        </is>
      </c>
      <c r="I6108" t="n">
        <v>1.3</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18173-2026</t>
        </is>
      </c>
      <c r="B6109" t="inlineStr">
        <is>
          <t>avverkningsanmälan</t>
        </is>
      </c>
      <c r="C6109" t="inlineStr">
        <is>
          <t>Föryngringsavverkning</t>
        </is>
      </c>
      <c r="D6109" s="1" t="n">
        <v>46125</v>
      </c>
      <c r="E6109" s="1" t="n">
        <v>46326</v>
      </c>
      <c r="F6109" t="inlineStr">
        <is>
          <t>GÄVLEBORGS LÄN</t>
        </is>
      </c>
      <c r="G6109" t="inlineStr">
        <is>
          <t>GÄVLE</t>
        </is>
      </c>
      <c r="I6109" t="n">
        <v>4</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18179-2026</t>
        </is>
      </c>
      <c r="B6110" t="inlineStr">
        <is>
          <t>avverkningsanmälan</t>
        </is>
      </c>
      <c r="C6110" t="inlineStr">
        <is>
          <t>Föryngringsavverkning</t>
        </is>
      </c>
      <c r="D6110" s="1" t="n">
        <v>46125</v>
      </c>
      <c r="E6110" s="1" t="n">
        <v>46326</v>
      </c>
      <c r="F6110" t="inlineStr">
        <is>
          <t>GÄVLEBORGS LÄN</t>
        </is>
      </c>
      <c r="G6110" t="inlineStr">
        <is>
          <t>LJUSDAL</t>
        </is>
      </c>
      <c r="H6110" t="inlineStr">
        <is>
          <t>Bergvik skog väst AB</t>
        </is>
      </c>
      <c r="I6110" t="n">
        <v>10.8</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7038-2025</t>
        </is>
      </c>
      <c r="B6111" t="inlineStr">
        <is>
          <t>avverkningsanmälan</t>
        </is>
      </c>
      <c r="C6111" t="inlineStr">
        <is>
          <t>Föryngringsavverkning</t>
        </is>
      </c>
      <c r="D6111" s="1" t="n">
        <v>45701</v>
      </c>
      <c r="E6111" s="1" t="n">
        <v>46326</v>
      </c>
      <c r="F6111" t="inlineStr">
        <is>
          <t>GÄVLEBORGS LÄN</t>
        </is>
      </c>
      <c r="G6111" t="inlineStr">
        <is>
          <t>SANDVIKEN</t>
        </is>
      </c>
      <c r="I6111" t="n">
        <v>0.8</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18196-2026</t>
        </is>
      </c>
      <c r="B6112" t="inlineStr">
        <is>
          <t>avverkningsanmälan</t>
        </is>
      </c>
      <c r="C6112" t="inlineStr">
        <is>
          <t>Föryngringsavverkning</t>
        </is>
      </c>
      <c r="D6112" s="1" t="n">
        <v>46125</v>
      </c>
      <c r="E6112" s="1" t="n">
        <v>46326</v>
      </c>
      <c r="F6112" t="inlineStr">
        <is>
          <t>GÄVLEBORGS LÄN</t>
        </is>
      </c>
      <c r="G6112" t="inlineStr">
        <is>
          <t>BOLLNÄS</t>
        </is>
      </c>
      <c r="H6112" t="inlineStr">
        <is>
          <t>Bergvik skog väst AB</t>
        </is>
      </c>
      <c r="I6112" t="n">
        <v>5.7</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18252-2026</t>
        </is>
      </c>
      <c r="B6113" t="inlineStr">
        <is>
          <t>avverkningsanmälan</t>
        </is>
      </c>
      <c r="C6113" t="inlineStr">
        <is>
          <t>Föryngringsavverkning</t>
        </is>
      </c>
      <c r="D6113" s="1" t="n">
        <v>46126</v>
      </c>
      <c r="E6113" s="1" t="n">
        <v>46326</v>
      </c>
      <c r="F6113" t="inlineStr">
        <is>
          <t>GÄVLEBORGS LÄN</t>
        </is>
      </c>
      <c r="G6113" t="inlineStr">
        <is>
          <t>OVANÅKER</t>
        </is>
      </c>
      <c r="H6113" t="inlineStr">
        <is>
          <t>Bergvik skog öst AB</t>
        </is>
      </c>
      <c r="I6113" t="n">
        <v>0.5</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18361-2026</t>
        </is>
      </c>
      <c r="B6114" t="inlineStr">
        <is>
          <t>avverkningsanmälan</t>
        </is>
      </c>
      <c r="C6114" t="inlineStr">
        <is>
          <t>Föryngringsavverkning</t>
        </is>
      </c>
      <c r="D6114" s="1" t="n">
        <v>46126</v>
      </c>
      <c r="E6114" s="1" t="n">
        <v>46326</v>
      </c>
      <c r="F6114" t="inlineStr">
        <is>
          <t>GÄVLEBORGS LÄN</t>
        </is>
      </c>
      <c r="G6114" t="inlineStr">
        <is>
          <t>BOLLNÄS</t>
        </is>
      </c>
      <c r="H6114" t="inlineStr">
        <is>
          <t>Kyrkan</t>
        </is>
      </c>
      <c r="I6114" t="n">
        <v>0.6</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18364-2026</t>
        </is>
      </c>
      <c r="B6115" t="inlineStr">
        <is>
          <t>avverkningsanmälan</t>
        </is>
      </c>
      <c r="C6115" t="inlineStr">
        <is>
          <t>Föryngringsavverkning</t>
        </is>
      </c>
      <c r="D6115" s="1" t="n">
        <v>46126</v>
      </c>
      <c r="E6115" s="1" t="n">
        <v>46326</v>
      </c>
      <c r="F6115" t="inlineStr">
        <is>
          <t>GÄVLEBORGS LÄN</t>
        </is>
      </c>
      <c r="G6115" t="inlineStr">
        <is>
          <t>BOLLNÄS</t>
        </is>
      </c>
      <c r="I6115" t="n">
        <v>0.8</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18224-2026</t>
        </is>
      </c>
      <c r="B6116" t="inlineStr">
        <is>
          <t>avverkningsanmälan</t>
        </is>
      </c>
      <c r="C6116" t="inlineStr">
        <is>
          <t>Föryngringsavverkning</t>
        </is>
      </c>
      <c r="D6116" s="1" t="n">
        <v>46126</v>
      </c>
      <c r="E6116" s="1" t="n">
        <v>46326</v>
      </c>
      <c r="F6116" t="inlineStr">
        <is>
          <t>GÄVLEBORGS LÄN</t>
        </is>
      </c>
      <c r="G6116" t="inlineStr">
        <is>
          <t>SANDVIKEN</t>
        </is>
      </c>
      <c r="I6116" t="n">
        <v>2.8</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11608-2026</t>
        </is>
      </c>
      <c r="B6117" t="inlineStr">
        <is>
          <t>avverkningsanmälan</t>
        </is>
      </c>
      <c r="C6117" t="inlineStr">
        <is>
          <t>Föryngringsavverkning</t>
        </is>
      </c>
      <c r="D6117" s="1" t="n">
        <v>46084</v>
      </c>
      <c r="E6117" s="1" t="n">
        <v>46326</v>
      </c>
      <c r="F6117" t="inlineStr">
        <is>
          <t>GÄVLEBORGS LÄN</t>
        </is>
      </c>
      <c r="G6117" t="inlineStr">
        <is>
          <t>OVANÅKER</t>
        </is>
      </c>
      <c r="H6117" t="inlineStr">
        <is>
          <t>Bergvik skog öst AB</t>
        </is>
      </c>
      <c r="I6117" t="n">
        <v>6.1</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18175-2026</t>
        </is>
      </c>
      <c r="B6118" t="inlineStr">
        <is>
          <t>avverkningsanmälan</t>
        </is>
      </c>
      <c r="C6118" t="inlineStr">
        <is>
          <t>Föryngringsavverkning</t>
        </is>
      </c>
      <c r="D6118" s="1" t="n">
        <v>46125</v>
      </c>
      <c r="E6118" s="1" t="n">
        <v>46326</v>
      </c>
      <c r="F6118" t="inlineStr">
        <is>
          <t>GÄVLEBORGS LÄN</t>
        </is>
      </c>
      <c r="G6118" t="inlineStr">
        <is>
          <t>GÄVLE</t>
        </is>
      </c>
      <c r="I6118" t="n">
        <v>0.7</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18385-2026</t>
        </is>
      </c>
      <c r="B6119" t="inlineStr">
        <is>
          <t>avverkningsanmälan</t>
        </is>
      </c>
      <c r="C6119" t="inlineStr">
        <is>
          <t>Föryngringsavverkning</t>
        </is>
      </c>
      <c r="D6119" s="1" t="n">
        <v>46126</v>
      </c>
      <c r="E6119" s="1" t="n">
        <v>46326</v>
      </c>
      <c r="F6119" t="inlineStr">
        <is>
          <t>GÄVLEBORGS LÄN</t>
        </is>
      </c>
      <c r="G6119" t="inlineStr">
        <is>
          <t>NORDANSTIG</t>
        </is>
      </c>
      <c r="H6119" t="inlineStr">
        <is>
          <t>Holmen skog AB</t>
        </is>
      </c>
      <c r="I6119" t="n">
        <v>2.5</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18395-2026</t>
        </is>
      </c>
      <c r="B6120" t="inlineStr">
        <is>
          <t>avverkningsanmälan</t>
        </is>
      </c>
      <c r="C6120" t="inlineStr">
        <is>
          <t>Föryngringsavverkning</t>
        </is>
      </c>
      <c r="D6120" s="1" t="n">
        <v>46126</v>
      </c>
      <c r="E6120" s="1" t="n">
        <v>46326</v>
      </c>
      <c r="F6120" t="inlineStr">
        <is>
          <t>GÄVLEBORGS LÄN</t>
        </is>
      </c>
      <c r="G6120" t="inlineStr">
        <is>
          <t>SANDVIKEN</t>
        </is>
      </c>
      <c r="I6120" t="n">
        <v>5</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18228-2026</t>
        </is>
      </c>
      <c r="B6121" t="inlineStr">
        <is>
          <t>avverkningsanmälan</t>
        </is>
      </c>
      <c r="C6121" t="inlineStr">
        <is>
          <t>Föryngringsavverkning</t>
        </is>
      </c>
      <c r="D6121" s="1" t="n">
        <v>46126</v>
      </c>
      <c r="E6121" s="1" t="n">
        <v>46326</v>
      </c>
      <c r="F6121" t="inlineStr">
        <is>
          <t>GÄVLEBORGS LÄN</t>
        </is>
      </c>
      <c r="G6121" t="inlineStr">
        <is>
          <t>BOLLNÄS</t>
        </is>
      </c>
      <c r="H6121" t="inlineStr">
        <is>
          <t>Kyrkan</t>
        </is>
      </c>
      <c r="I6121" t="n">
        <v>1.6</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18230-2026</t>
        </is>
      </c>
      <c r="B6122" t="inlineStr">
        <is>
          <t>avverkningsanmälan</t>
        </is>
      </c>
      <c r="C6122" t="inlineStr">
        <is>
          <t>Föryngringsavverkning</t>
        </is>
      </c>
      <c r="D6122" s="1" t="n">
        <v>46126</v>
      </c>
      <c r="E6122" s="1" t="n">
        <v>46326</v>
      </c>
      <c r="F6122" t="inlineStr">
        <is>
          <t>GÄVLEBORGS LÄN</t>
        </is>
      </c>
      <c r="G6122" t="inlineStr">
        <is>
          <t>OVANÅKER</t>
        </is>
      </c>
      <c r="I6122" t="n">
        <v>1.8</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64835-2021</t>
        </is>
      </c>
      <c r="B6123" t="inlineStr">
        <is>
          <t>avverkningsanmälan</t>
        </is>
      </c>
      <c r="C6123" t="inlineStr">
        <is>
          <t>Föryngringsavverkning</t>
        </is>
      </c>
      <c r="D6123" s="1" t="n">
        <v>44512</v>
      </c>
      <c r="E6123" s="1" t="n">
        <v>46326</v>
      </c>
      <c r="F6123" t="inlineStr">
        <is>
          <t>GÄVLEBORGS LÄN</t>
        </is>
      </c>
      <c r="G6123" t="inlineStr">
        <is>
          <t>NORDANSTIG</t>
        </is>
      </c>
      <c r="H6123" t="inlineStr">
        <is>
          <t>Holmen skog AB</t>
        </is>
      </c>
      <c r="I6123" t="n">
        <v>1.1</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7662-2023</t>
        </is>
      </c>
      <c r="B6124" t="inlineStr">
        <is>
          <t>avverkningsanmälan</t>
        </is>
      </c>
      <c r="C6124" t="inlineStr">
        <is>
          <t>Föryngringsavverkning</t>
        </is>
      </c>
      <c r="D6124" s="1" t="n">
        <v>44972</v>
      </c>
      <c r="E6124" s="1" t="n">
        <v>46326</v>
      </c>
      <c r="F6124" t="inlineStr">
        <is>
          <t>GÄVLEBORGS LÄN</t>
        </is>
      </c>
      <c r="G6124" t="inlineStr">
        <is>
          <t>HUDIKSVALL</t>
        </is>
      </c>
      <c r="I6124" t="n">
        <v>1.9</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5388-2024</t>
        </is>
      </c>
      <c r="B6125" t="inlineStr">
        <is>
          <t>avverkningsanmälan</t>
        </is>
      </c>
      <c r="C6125" t="inlineStr">
        <is>
          <t>Föryngringsavverkning</t>
        </is>
      </c>
      <c r="D6125" s="1" t="n">
        <v>45331</v>
      </c>
      <c r="E6125" s="1" t="n">
        <v>46326</v>
      </c>
      <c r="F6125" t="inlineStr">
        <is>
          <t>GÄVLEBORGS LÄN</t>
        </is>
      </c>
      <c r="G6125" t="inlineStr">
        <is>
          <t>BOLLNÄS</t>
        </is>
      </c>
      <c r="I6125" t="n">
        <v>0.6</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6188-2024</t>
        </is>
      </c>
      <c r="B6126" t="inlineStr">
        <is>
          <t>avverkningsanmälan</t>
        </is>
      </c>
      <c r="C6126" t="inlineStr">
        <is>
          <t>Föryngringsavverkning</t>
        </is>
      </c>
      <c r="D6126" s="1" t="n">
        <v>45337</v>
      </c>
      <c r="E6126" s="1" t="n">
        <v>46326</v>
      </c>
      <c r="F6126" t="inlineStr">
        <is>
          <t>GÄVLEBORGS LÄN</t>
        </is>
      </c>
      <c r="G6126" t="inlineStr">
        <is>
          <t>OVANÅKER</t>
        </is>
      </c>
      <c r="I6126" t="n">
        <v>0.7</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18317-2026</t>
        </is>
      </c>
      <c r="B6127" t="inlineStr">
        <is>
          <t>avverkningsanmälan</t>
        </is>
      </c>
      <c r="C6127" t="inlineStr">
        <is>
          <t>Föryngringsavverkning</t>
        </is>
      </c>
      <c r="D6127" s="1" t="n">
        <v>46126</v>
      </c>
      <c r="E6127" s="1" t="n">
        <v>46326</v>
      </c>
      <c r="F6127" t="inlineStr">
        <is>
          <t>GÄVLEBORGS LÄN</t>
        </is>
      </c>
      <c r="G6127" t="inlineStr">
        <is>
          <t>BOLLNÄS</t>
        </is>
      </c>
      <c r="I6127" t="n">
        <v>2.6</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18324-2026</t>
        </is>
      </c>
      <c r="B6128" t="inlineStr">
        <is>
          <t>avverkningsanmälan</t>
        </is>
      </c>
      <c r="C6128" t="inlineStr">
        <is>
          <t>Föryngringsavverkning</t>
        </is>
      </c>
      <c r="D6128" s="1" t="n">
        <v>46126</v>
      </c>
      <c r="E6128" s="1" t="n">
        <v>46326</v>
      </c>
      <c r="F6128" t="inlineStr">
        <is>
          <t>GÄVLEBORGS LÄN</t>
        </is>
      </c>
      <c r="G6128" t="inlineStr">
        <is>
          <t>OVANÅKER</t>
        </is>
      </c>
      <c r="I6128" t="n">
        <v>1.4</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18387-2026</t>
        </is>
      </c>
      <c r="B6129" t="inlineStr">
        <is>
          <t>avverkningsanmälan</t>
        </is>
      </c>
      <c r="C6129" t="inlineStr">
        <is>
          <t>Avverkning för att bevara och utveckla /försöksver</t>
        </is>
      </c>
      <c r="D6129" s="1" t="n">
        <v>46126</v>
      </c>
      <c r="E6129" s="1" t="n">
        <v>46326</v>
      </c>
      <c r="F6129" t="inlineStr">
        <is>
          <t>GÄVLEBORGS LÄN</t>
        </is>
      </c>
      <c r="G6129" t="inlineStr">
        <is>
          <t>HUDIKSVALL</t>
        </is>
      </c>
      <c r="I6129" t="n">
        <v>1.5</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17976-2026</t>
        </is>
      </c>
      <c r="B6130" t="inlineStr">
        <is>
          <t>avverkningsanmälan</t>
        </is>
      </c>
      <c r="C6130" t="inlineStr">
        <is>
          <t>Föryngringsavverkning</t>
        </is>
      </c>
      <c r="D6130" s="1" t="n">
        <v>46124</v>
      </c>
      <c r="E6130" s="1" t="n">
        <v>46326</v>
      </c>
      <c r="F6130" t="inlineStr">
        <is>
          <t>GÄVLEBORGS LÄN</t>
        </is>
      </c>
      <c r="G6130" t="inlineStr">
        <is>
          <t>GÄVLE</t>
        </is>
      </c>
      <c r="I6130" t="n">
        <v>0.5</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17970-2026</t>
        </is>
      </c>
      <c r="B6131" t="inlineStr">
        <is>
          <t>avverkningsanmälan</t>
        </is>
      </c>
      <c r="C6131" t="inlineStr">
        <is>
          <t>Föryngringsavverkning</t>
        </is>
      </c>
      <c r="D6131" s="1" t="n">
        <v>46123</v>
      </c>
      <c r="E6131" s="1" t="n">
        <v>46326</v>
      </c>
      <c r="F6131" t="inlineStr">
        <is>
          <t>GÄVLEBORGS LÄN</t>
        </is>
      </c>
      <c r="G6131" t="inlineStr">
        <is>
          <t>BOLLNÄS</t>
        </is>
      </c>
      <c r="I6131" t="n">
        <v>1.1</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5240-2026</t>
        </is>
      </c>
      <c r="B6132" t="inlineStr">
        <is>
          <t>avverkningsanmälan</t>
        </is>
      </c>
      <c r="C6132" t="inlineStr">
        <is>
          <t>Föryngringsavverkning</t>
        </is>
      </c>
      <c r="D6132" s="1" t="n">
        <v>46049</v>
      </c>
      <c r="E6132" s="1" t="n">
        <v>46326</v>
      </c>
      <c r="F6132" t="inlineStr">
        <is>
          <t>GÄVLEBORGS LÄN</t>
        </is>
      </c>
      <c r="G6132" t="inlineStr">
        <is>
          <t>OCKELBO</t>
        </is>
      </c>
      <c r="I6132" t="n">
        <v>2.3</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18282-2026</t>
        </is>
      </c>
      <c r="B6133" t="inlineStr">
        <is>
          <t>avverkningsanmälan</t>
        </is>
      </c>
      <c r="C6133" t="inlineStr">
        <is>
          <t>Föryngringsavverkning</t>
        </is>
      </c>
      <c r="D6133" s="1" t="n">
        <v>46126</v>
      </c>
      <c r="E6133" s="1" t="n">
        <v>46326</v>
      </c>
      <c r="F6133" t="inlineStr">
        <is>
          <t>GÄVLEBORGS LÄN</t>
        </is>
      </c>
      <c r="G6133" t="inlineStr">
        <is>
          <t>NORDANSTIG</t>
        </is>
      </c>
      <c r="H6133" t="inlineStr">
        <is>
          <t>Holmen skog AB</t>
        </is>
      </c>
      <c r="I6133" t="n">
        <v>43.6</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18256-2026</t>
        </is>
      </c>
      <c r="B6134" t="inlineStr">
        <is>
          <t>avverkningsanmälan</t>
        </is>
      </c>
      <c r="C6134" t="inlineStr">
        <is>
          <t>Föryngringsavverkning</t>
        </is>
      </c>
      <c r="D6134" s="1" t="n">
        <v>46126</v>
      </c>
      <c r="E6134" s="1" t="n">
        <v>46326</v>
      </c>
      <c r="F6134" t="inlineStr">
        <is>
          <t>GÄVLEBORGS LÄN</t>
        </is>
      </c>
      <c r="G6134" t="inlineStr">
        <is>
          <t>HUDIKSVALL</t>
        </is>
      </c>
      <c r="I6134" t="n">
        <v>4.1</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24910-2024</t>
        </is>
      </c>
      <c r="B6135" t="inlineStr">
        <is>
          <t>avverkningsanmälan</t>
        </is>
      </c>
      <c r="C6135" t="inlineStr">
        <is>
          <t>Föryngringsavverkning</t>
        </is>
      </c>
      <c r="D6135" s="1" t="n">
        <v>45461</v>
      </c>
      <c r="E6135" s="1" t="n">
        <v>46326</v>
      </c>
      <c r="F6135" t="inlineStr">
        <is>
          <t>GÄVLEBORGS LÄN</t>
        </is>
      </c>
      <c r="G6135" t="inlineStr">
        <is>
          <t>SÖDERHAMN</t>
        </is>
      </c>
      <c r="I6135" t="n">
        <v>1.3</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24911-2024</t>
        </is>
      </c>
      <c r="B6136" t="inlineStr">
        <is>
          <t>avverkningsanmälan</t>
        </is>
      </c>
      <c r="C6136" t="inlineStr">
        <is>
          <t>Föryngringsavverkning</t>
        </is>
      </c>
      <c r="D6136" s="1" t="n">
        <v>45461</v>
      </c>
      <c r="E6136" s="1" t="n">
        <v>46326</v>
      </c>
      <c r="F6136" t="inlineStr">
        <is>
          <t>GÄVLEBORGS LÄN</t>
        </is>
      </c>
      <c r="G6136" t="inlineStr">
        <is>
          <t>LJUSDAL</t>
        </is>
      </c>
      <c r="I6136" t="n">
        <v>1.9</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18257-2026</t>
        </is>
      </c>
      <c r="B6137" t="inlineStr">
        <is>
          <t>avverkningsanmälan</t>
        </is>
      </c>
      <c r="C6137" t="inlineStr">
        <is>
          <t>Föryngringsavverkning</t>
        </is>
      </c>
      <c r="D6137" s="1" t="n">
        <v>46126</v>
      </c>
      <c r="E6137" s="1" t="n">
        <v>46326</v>
      </c>
      <c r="F6137" t="inlineStr">
        <is>
          <t>GÄVLEBORGS LÄN</t>
        </is>
      </c>
      <c r="G6137" t="inlineStr">
        <is>
          <t>HUDIKSVALL</t>
        </is>
      </c>
      <c r="I6137" t="n">
        <v>1.3</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17977-2026</t>
        </is>
      </c>
      <c r="B6138" t="inlineStr">
        <is>
          <t>avverkningsanmälan</t>
        </is>
      </c>
      <c r="C6138" t="inlineStr">
        <is>
          <t>Föryngringsavverkning</t>
        </is>
      </c>
      <c r="D6138" s="1" t="n">
        <v>46124</v>
      </c>
      <c r="E6138" s="1" t="n">
        <v>46326</v>
      </c>
      <c r="F6138" t="inlineStr">
        <is>
          <t>GÄVLEBORGS LÄN</t>
        </is>
      </c>
      <c r="G6138" t="inlineStr">
        <is>
          <t>GÄVLE</t>
        </is>
      </c>
      <c r="I6138" t="n">
        <v>0.2</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5135-2022</t>
        </is>
      </c>
      <c r="B6139" t="inlineStr">
        <is>
          <t>avverkningsanmälan</t>
        </is>
      </c>
      <c r="C6139" t="inlineStr">
        <is>
          <t>Föryngringsavverkning</t>
        </is>
      </c>
      <c r="D6139" s="1" t="n">
        <v>44594</v>
      </c>
      <c r="E6139" s="1" t="n">
        <v>46326</v>
      </c>
      <c r="F6139" t="inlineStr">
        <is>
          <t>GÄVLEBORGS LÄN</t>
        </is>
      </c>
      <c r="G6139" t="inlineStr">
        <is>
          <t>BOLLNÄS</t>
        </is>
      </c>
      <c r="I6139" t="n">
        <v>1.7</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18133-2026</t>
        </is>
      </c>
      <c r="B6140" t="inlineStr">
        <is>
          <t>avverkningsanmälan</t>
        </is>
      </c>
      <c r="C6140" t="inlineStr">
        <is>
          <t>Föryngringsavverkning</t>
        </is>
      </c>
      <c r="D6140" s="1" t="n">
        <v>46125</v>
      </c>
      <c r="E6140" s="1" t="n">
        <v>46326</v>
      </c>
      <c r="F6140" t="inlineStr">
        <is>
          <t>GÄVLEBORGS LÄN</t>
        </is>
      </c>
      <c r="G6140" t="inlineStr">
        <is>
          <t>OCKELBO</t>
        </is>
      </c>
      <c r="H6140" t="inlineStr">
        <is>
          <t>Bergvik skog väst AB</t>
        </is>
      </c>
      <c r="I6140" t="n">
        <v>0.5</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18244-2024</t>
        </is>
      </c>
      <c r="B6141" t="inlineStr">
        <is>
          <t>avverkningsanmälan</t>
        </is>
      </c>
      <c r="C6141" t="inlineStr">
        <is>
          <t>Föryngringsavverkning</t>
        </is>
      </c>
      <c r="D6141" s="1" t="n">
        <v>45421</v>
      </c>
      <c r="E6141" s="1" t="n">
        <v>46326</v>
      </c>
      <c r="F6141" t="inlineStr">
        <is>
          <t>GÄVLEBORGS LÄN</t>
        </is>
      </c>
      <c r="G6141" t="inlineStr">
        <is>
          <t>OVANÅKER</t>
        </is>
      </c>
      <c r="I6141" t="n">
        <v>0.7</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18397-2026</t>
        </is>
      </c>
      <c r="B6142" t="inlineStr">
        <is>
          <t>avverkningsanmälan</t>
        </is>
      </c>
      <c r="C6142" t="inlineStr">
        <is>
          <t>Föryngringsavverkning</t>
        </is>
      </c>
      <c r="D6142" s="1" t="n">
        <v>46126</v>
      </c>
      <c r="E6142" s="1" t="n">
        <v>46326</v>
      </c>
      <c r="F6142" t="inlineStr">
        <is>
          <t>GÄVLEBORGS LÄN</t>
        </is>
      </c>
      <c r="G6142" t="inlineStr">
        <is>
          <t>BOLLNÄS</t>
        </is>
      </c>
      <c r="I6142" t="n">
        <v>2.2</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17974-2026</t>
        </is>
      </c>
      <c r="B6143" t="inlineStr">
        <is>
          <t>avverkningsanmälan</t>
        </is>
      </c>
      <c r="C6143" t="inlineStr">
        <is>
          <t>Föryngringsavverkning</t>
        </is>
      </c>
      <c r="D6143" s="1" t="n">
        <v>46124</v>
      </c>
      <c r="E6143" s="1" t="n">
        <v>46326</v>
      </c>
      <c r="F6143" t="inlineStr">
        <is>
          <t>GÄVLEBORGS LÄN</t>
        </is>
      </c>
      <c r="G6143" t="inlineStr">
        <is>
          <t>GÄVLE</t>
        </is>
      </c>
      <c r="I6143" t="n">
        <v>1.9</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18154-2026</t>
        </is>
      </c>
      <c r="B6144" t="inlineStr">
        <is>
          <t>avverkningsanmälan</t>
        </is>
      </c>
      <c r="C6144" t="inlineStr">
        <is>
          <t>Föryngringsavverkning</t>
        </is>
      </c>
      <c r="D6144" s="1" t="n">
        <v>46125</v>
      </c>
      <c r="E6144" s="1" t="n">
        <v>46326</v>
      </c>
      <c r="F6144" t="inlineStr">
        <is>
          <t>GÄVLEBORGS LÄN</t>
        </is>
      </c>
      <c r="G6144" t="inlineStr">
        <is>
          <t>HUDIKSVALL</t>
        </is>
      </c>
      <c r="I6144" t="n">
        <v>6.1</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18195-2026</t>
        </is>
      </c>
      <c r="B6145" t="inlineStr">
        <is>
          <t>avverkningsanmälan</t>
        </is>
      </c>
      <c r="C6145" t="inlineStr">
        <is>
          <t>Föryngringsavverkning</t>
        </is>
      </c>
      <c r="D6145" s="1" t="n">
        <v>46125</v>
      </c>
      <c r="E6145" s="1" t="n">
        <v>46326</v>
      </c>
      <c r="F6145" t="inlineStr">
        <is>
          <t>GÄVLEBORGS LÄN</t>
        </is>
      </c>
      <c r="G6145" t="inlineStr">
        <is>
          <t>BOLLNÄS</t>
        </is>
      </c>
      <c r="H6145" t="inlineStr">
        <is>
          <t>Bergvik skog väst AB</t>
        </is>
      </c>
      <c r="I6145" t="n">
        <v>4.6</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7796-2026</t>
        </is>
      </c>
      <c r="B6146" t="inlineStr">
        <is>
          <t>avverkningsanmälan</t>
        </is>
      </c>
      <c r="C6146" t="inlineStr">
        <is>
          <t>Föryngringsavverkning</t>
        </is>
      </c>
      <c r="D6146" s="1" t="n">
        <v>46062</v>
      </c>
      <c r="E6146" s="1" t="n">
        <v>46326</v>
      </c>
      <c r="F6146" t="inlineStr">
        <is>
          <t>GÄVLEBORGS LÄN</t>
        </is>
      </c>
      <c r="G6146" t="inlineStr">
        <is>
          <t>NORDANSTIG</t>
        </is>
      </c>
      <c r="I6146" t="n">
        <v>0.9</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55460-2024</t>
        </is>
      </c>
      <c r="B6147" t="inlineStr">
        <is>
          <t>avverkningsanmälan</t>
        </is>
      </c>
      <c r="C6147" t="inlineStr">
        <is>
          <t>Avverkning för annat ändamål</t>
        </is>
      </c>
      <c r="D6147" s="1" t="n">
        <v>45622</v>
      </c>
      <c r="E6147" s="1" t="n">
        <v>46326</v>
      </c>
      <c r="F6147" t="inlineStr">
        <is>
          <t>GÄVLEBORGS LÄN</t>
        </is>
      </c>
      <c r="G6147" t="inlineStr">
        <is>
          <t>HUDIKSVALL</t>
        </is>
      </c>
      <c r="H6147" t="inlineStr">
        <is>
          <t>Holmen skog AB</t>
        </is>
      </c>
      <c r="I6147" t="n">
        <v>0.6</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18323-2026</t>
        </is>
      </c>
      <c r="B6148" t="inlineStr">
        <is>
          <t>avverkningsanmälan</t>
        </is>
      </c>
      <c r="C6148" t="inlineStr">
        <is>
          <t>Föryngringsavverkning</t>
        </is>
      </c>
      <c r="D6148" s="1" t="n">
        <v>46126</v>
      </c>
      <c r="E6148" s="1" t="n">
        <v>46326</v>
      </c>
      <c r="F6148" t="inlineStr">
        <is>
          <t>GÄVLEBORGS LÄN</t>
        </is>
      </c>
      <c r="G6148" t="inlineStr">
        <is>
          <t>OVANÅKER</t>
        </is>
      </c>
      <c r="I6148" t="n">
        <v>3.7</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18153-2026</t>
        </is>
      </c>
      <c r="B6149" t="inlineStr">
        <is>
          <t>avverkningsanmälan</t>
        </is>
      </c>
      <c r="C6149" t="inlineStr">
        <is>
          <t>Föryngringsavverkning</t>
        </is>
      </c>
      <c r="D6149" s="1" t="n">
        <v>46125</v>
      </c>
      <c r="E6149" s="1" t="n">
        <v>46326</v>
      </c>
      <c r="F6149" t="inlineStr">
        <is>
          <t>GÄVLEBORGS LÄN</t>
        </is>
      </c>
      <c r="G6149" t="inlineStr">
        <is>
          <t>NORDANSTIG</t>
        </is>
      </c>
      <c r="I6149" t="n">
        <v>0.6</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57463-2023</t>
        </is>
      </c>
      <c r="B6150" t="inlineStr">
        <is>
          <t>avverkningsanmälan</t>
        </is>
      </c>
      <c r="C6150" t="inlineStr">
        <is>
          <t>Föryngringsavverkning</t>
        </is>
      </c>
      <c r="D6150" s="1" t="n">
        <v>45246</v>
      </c>
      <c r="E6150" s="1" t="n">
        <v>46326</v>
      </c>
      <c r="F6150" t="inlineStr">
        <is>
          <t>GÄVLEBORGS LÄN</t>
        </is>
      </c>
      <c r="G6150" t="inlineStr">
        <is>
          <t>NORDANSTIG</t>
        </is>
      </c>
      <c r="I6150" t="n">
        <v>1.1</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32353-2024</t>
        </is>
      </c>
      <c r="B6151" t="inlineStr">
        <is>
          <t>avverkningsanmälan</t>
        </is>
      </c>
      <c r="C6151" t="inlineStr">
        <is>
          <t>Föryngringsavverkning</t>
        </is>
      </c>
      <c r="D6151" s="1" t="n">
        <v>45512</v>
      </c>
      <c r="E6151" s="1" t="n">
        <v>46326</v>
      </c>
      <c r="F6151" t="inlineStr">
        <is>
          <t>GÄVLEBORGS LÄN</t>
        </is>
      </c>
      <c r="G6151" t="inlineStr">
        <is>
          <t>HUDIKSVALL</t>
        </is>
      </c>
      <c r="H6151" t="inlineStr">
        <is>
          <t>Holmen skog AB</t>
        </is>
      </c>
      <c r="I6151" t="n">
        <v>2.1</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18008-2026</t>
        </is>
      </c>
      <c r="B6152" t="inlineStr">
        <is>
          <t>avverkningsanmälan</t>
        </is>
      </c>
      <c r="C6152" t="inlineStr">
        <is>
          <t>Föryngringsavverkning</t>
        </is>
      </c>
      <c r="D6152" s="1" t="n">
        <v>46125</v>
      </c>
      <c r="E6152" s="1" t="n">
        <v>46326</v>
      </c>
      <c r="F6152" t="inlineStr">
        <is>
          <t>GÄVLEBORGS LÄN</t>
        </is>
      </c>
      <c r="G6152" t="inlineStr">
        <is>
          <t>LJUSDAL</t>
        </is>
      </c>
      <c r="H6152" t="inlineStr">
        <is>
          <t>Bergvik skog väst AB</t>
        </is>
      </c>
      <c r="I6152" t="n">
        <v>2</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18198-2026</t>
        </is>
      </c>
      <c r="B6153" t="inlineStr">
        <is>
          <t>avverkningsanmälan</t>
        </is>
      </c>
      <c r="C6153" t="inlineStr">
        <is>
          <t>Föryngringsavverkning</t>
        </is>
      </c>
      <c r="D6153" s="1" t="n">
        <v>46125</v>
      </c>
      <c r="E6153" s="1" t="n">
        <v>46326</v>
      </c>
      <c r="F6153" t="inlineStr">
        <is>
          <t>GÄVLEBORGS LÄN</t>
        </is>
      </c>
      <c r="G6153" t="inlineStr">
        <is>
          <t>BOLLNÄS</t>
        </is>
      </c>
      <c r="H6153" t="inlineStr">
        <is>
          <t>Bergvik skog väst AB</t>
        </is>
      </c>
      <c r="I6153" t="n">
        <v>11.6</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71995-2021</t>
        </is>
      </c>
      <c r="B6154" t="inlineStr">
        <is>
          <t>avverkningsanmälan</t>
        </is>
      </c>
      <c r="C6154" t="inlineStr">
        <is>
          <t>Föryngringsavverkning</t>
        </is>
      </c>
      <c r="D6154" s="1" t="n">
        <v>44544</v>
      </c>
      <c r="E6154" s="1" t="n">
        <v>46326</v>
      </c>
      <c r="F6154" t="inlineStr">
        <is>
          <t>GÄVLEBORGS LÄN</t>
        </is>
      </c>
      <c r="G6154" t="inlineStr">
        <is>
          <t>SANDVIKEN</t>
        </is>
      </c>
      <c r="I6154" t="n">
        <v>1</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18211-2026</t>
        </is>
      </c>
      <c r="B6155" t="inlineStr">
        <is>
          <t>avverkningsanmälan</t>
        </is>
      </c>
      <c r="C6155" t="inlineStr">
        <is>
          <t>Föryngringsavverkning</t>
        </is>
      </c>
      <c r="D6155" s="1" t="n">
        <v>46125</v>
      </c>
      <c r="E6155" s="1" t="n">
        <v>46326</v>
      </c>
      <c r="F6155" t="inlineStr">
        <is>
          <t>GÄVLEBORGS LÄN</t>
        </is>
      </c>
      <c r="G6155" t="inlineStr">
        <is>
          <t>BOLLNÄS</t>
        </is>
      </c>
      <c r="I6155" t="n">
        <v>3.4</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18219-2026</t>
        </is>
      </c>
      <c r="B6156" t="inlineStr">
        <is>
          <t>avverkningsanmälan</t>
        </is>
      </c>
      <c r="C6156" t="inlineStr">
        <is>
          <t>Föryngringsavverkning</t>
        </is>
      </c>
      <c r="D6156" s="1" t="n">
        <v>46126</v>
      </c>
      <c r="E6156" s="1" t="n">
        <v>46326</v>
      </c>
      <c r="F6156" t="inlineStr">
        <is>
          <t>GÄVLEBORGS LÄN</t>
        </is>
      </c>
      <c r="G6156" t="inlineStr">
        <is>
          <t>SANDVIKEN</t>
        </is>
      </c>
      <c r="I6156" t="n">
        <v>3</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18234-2026</t>
        </is>
      </c>
      <c r="B6157" t="inlineStr">
        <is>
          <t>avverkningsanmälan</t>
        </is>
      </c>
      <c r="C6157" t="inlineStr">
        <is>
          <t>Föryngringsavverkning</t>
        </is>
      </c>
      <c r="D6157" s="1" t="n">
        <v>46126</v>
      </c>
      <c r="E6157" s="1" t="n">
        <v>46326</v>
      </c>
      <c r="F6157" t="inlineStr">
        <is>
          <t>GÄVLEBORGS LÄN</t>
        </is>
      </c>
      <c r="G6157" t="inlineStr">
        <is>
          <t>OCKELBO</t>
        </is>
      </c>
      <c r="I6157" t="n">
        <v>3.1</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18100-2026</t>
        </is>
      </c>
      <c r="B6158" t="inlineStr">
        <is>
          <t>avverkningsanmälan</t>
        </is>
      </c>
      <c r="C6158" t="inlineStr">
        <is>
          <t>Föryngringsavverkning</t>
        </is>
      </c>
      <c r="D6158" s="1" t="n">
        <v>46125</v>
      </c>
      <c r="E6158" s="1" t="n">
        <v>46326</v>
      </c>
      <c r="F6158" t="inlineStr">
        <is>
          <t>GÄVLEBORGS LÄN</t>
        </is>
      </c>
      <c r="G6158" t="inlineStr">
        <is>
          <t>HUDIKSVALL</t>
        </is>
      </c>
      <c r="H6158" t="inlineStr">
        <is>
          <t>Holmen skog AB</t>
        </is>
      </c>
      <c r="I6158" t="n">
        <v>1.5</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11695-2026</t>
        </is>
      </c>
      <c r="B6159" t="inlineStr">
        <is>
          <t>avverkningsanmälan</t>
        </is>
      </c>
      <c r="C6159" t="inlineStr">
        <is>
          <t>Föryngringsavverkning</t>
        </is>
      </c>
      <c r="D6159" s="1" t="n">
        <v>46084</v>
      </c>
      <c r="E6159" s="1" t="n">
        <v>46326</v>
      </c>
      <c r="F6159" t="inlineStr">
        <is>
          <t>GÄVLEBORGS LÄN</t>
        </is>
      </c>
      <c r="G6159" t="inlineStr">
        <is>
          <t>OVANÅKER</t>
        </is>
      </c>
      <c r="H6159" t="inlineStr">
        <is>
          <t>Bergvik skog öst AB</t>
        </is>
      </c>
      <c r="I6159" t="n">
        <v>13.9</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2458-2024</t>
        </is>
      </c>
      <c r="B6160" t="inlineStr">
        <is>
          <t>avverkningsanmälan</t>
        </is>
      </c>
      <c r="C6160" t="inlineStr">
        <is>
          <t>Föryngringsavverkning</t>
        </is>
      </c>
      <c r="D6160" s="1" t="n">
        <v>45312</v>
      </c>
      <c r="E6160" s="1" t="n">
        <v>46326</v>
      </c>
      <c r="F6160" t="inlineStr">
        <is>
          <t>GÄVLEBORGS LÄN</t>
        </is>
      </c>
      <c r="G6160" t="inlineStr">
        <is>
          <t>GÄVLE</t>
        </is>
      </c>
      <c r="I6160" t="n">
        <v>2.2</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38570-2023</t>
        </is>
      </c>
      <c r="B6161" t="inlineStr">
        <is>
          <t>avverkningsanmälan</t>
        </is>
      </c>
      <c r="C6161" t="inlineStr">
        <is>
          <t>Föryngringsavverkning</t>
        </is>
      </c>
      <c r="D6161" s="1" t="n">
        <v>45162</v>
      </c>
      <c r="E6161" s="1" t="n">
        <v>46326</v>
      </c>
      <c r="F6161" t="inlineStr">
        <is>
          <t>GÄVLEBORGS LÄN</t>
        </is>
      </c>
      <c r="G6161" t="inlineStr">
        <is>
          <t>SANDVIKEN</t>
        </is>
      </c>
      <c r="I6161" t="n">
        <v>6.3</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18236-2026</t>
        </is>
      </c>
      <c r="B6162" t="inlineStr">
        <is>
          <t>avverkningsanmälan</t>
        </is>
      </c>
      <c r="C6162" t="inlineStr">
        <is>
          <t>Föryngringsavverkning</t>
        </is>
      </c>
      <c r="D6162" s="1" t="n">
        <v>46126</v>
      </c>
      <c r="E6162" s="1" t="n">
        <v>46326</v>
      </c>
      <c r="F6162" t="inlineStr">
        <is>
          <t>GÄVLEBORGS LÄN</t>
        </is>
      </c>
      <c r="G6162" t="inlineStr">
        <is>
          <t>NORDANSTIG</t>
        </is>
      </c>
      <c r="H6162" t="inlineStr">
        <is>
          <t>Holmen skog AB</t>
        </is>
      </c>
      <c r="I6162" t="n">
        <v>1.3</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18248-2026</t>
        </is>
      </c>
      <c r="B6163" t="inlineStr">
        <is>
          <t>avverkningsanmälan</t>
        </is>
      </c>
      <c r="C6163" t="inlineStr">
        <is>
          <t>Föryngringsavverkning</t>
        </is>
      </c>
      <c r="D6163" s="1" t="n">
        <v>46126</v>
      </c>
      <c r="E6163" s="1" t="n">
        <v>46326</v>
      </c>
      <c r="F6163" t="inlineStr">
        <is>
          <t>GÄVLEBORGS LÄN</t>
        </is>
      </c>
      <c r="G6163" t="inlineStr">
        <is>
          <t>OCKELBO</t>
        </is>
      </c>
      <c r="H6163" t="inlineStr">
        <is>
          <t>Bergvik skog väst AB</t>
        </is>
      </c>
      <c r="I6163" t="n">
        <v>2.8</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25200-2022</t>
        </is>
      </c>
      <c r="B6164" t="inlineStr">
        <is>
          <t>avverkningsanmälan</t>
        </is>
      </c>
      <c r="C6164" t="inlineStr">
        <is>
          <t>Föryngringsavverkning</t>
        </is>
      </c>
      <c r="D6164" s="1" t="n">
        <v>44729</v>
      </c>
      <c r="E6164" s="1" t="n">
        <v>46326</v>
      </c>
      <c r="F6164" t="inlineStr">
        <is>
          <t>GÄVLEBORGS LÄN</t>
        </is>
      </c>
      <c r="G6164" t="inlineStr">
        <is>
          <t>NORDANSTIG</t>
        </is>
      </c>
      <c r="I6164" t="n">
        <v>0.9</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13855-2026</t>
        </is>
      </c>
      <c r="B6165" t="inlineStr">
        <is>
          <t>avverkningsanmälan</t>
        </is>
      </c>
      <c r="C6165" t="inlineStr">
        <is>
          <t>Föryngringsavverkning</t>
        </is>
      </c>
      <c r="D6165" s="1" t="n">
        <v>46098</v>
      </c>
      <c r="E6165" s="1" t="n">
        <v>46326</v>
      </c>
      <c r="F6165" t="inlineStr">
        <is>
          <t>GÄVLEBORGS LÄN</t>
        </is>
      </c>
      <c r="G6165" t="inlineStr">
        <is>
          <t>OCKELBO</t>
        </is>
      </c>
      <c r="H6165" t="inlineStr">
        <is>
          <t>Bergvik skog väst AB</t>
        </is>
      </c>
      <c r="I6165" t="n">
        <v>0.9</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14501-2026</t>
        </is>
      </c>
      <c r="B6166" t="inlineStr">
        <is>
          <t>avverkningsanmälan</t>
        </is>
      </c>
      <c r="C6166" t="inlineStr">
        <is>
          <t>Föryngringsavverkning</t>
        </is>
      </c>
      <c r="D6166" s="1" t="n">
        <v>46100</v>
      </c>
      <c r="E6166" s="1" t="n">
        <v>46326</v>
      </c>
      <c r="F6166" t="inlineStr">
        <is>
          <t>GÄVLEBORGS LÄN</t>
        </is>
      </c>
      <c r="G6166" t="inlineStr">
        <is>
          <t>NORDANSTIG</t>
        </is>
      </c>
      <c r="I6166" t="n">
        <v>1.1</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18657-2026</t>
        </is>
      </c>
      <c r="B6167" t="inlineStr">
        <is>
          <t>avverkningsanmälan</t>
        </is>
      </c>
      <c r="C6167" t="inlineStr">
        <is>
          <t>Föryngringsavverkning</t>
        </is>
      </c>
      <c r="D6167" s="1" t="n">
        <v>46128</v>
      </c>
      <c r="E6167" s="1" t="n">
        <v>46326</v>
      </c>
      <c r="F6167" t="inlineStr">
        <is>
          <t>GÄVLEBORGS LÄN</t>
        </is>
      </c>
      <c r="G6167" t="inlineStr">
        <is>
          <t>GÄVLE</t>
        </is>
      </c>
      <c r="H6167" t="inlineStr">
        <is>
          <t>Bergvik skog väst AB</t>
        </is>
      </c>
      <c r="I6167" t="n">
        <v>1.4</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18587-2026</t>
        </is>
      </c>
      <c r="B6168" t="inlineStr">
        <is>
          <t>avverkningsanmälan</t>
        </is>
      </c>
      <c r="C6168" t="inlineStr">
        <is>
          <t>Föryngringsavverkning</t>
        </is>
      </c>
      <c r="D6168" s="1" t="n">
        <v>46127</v>
      </c>
      <c r="E6168" s="1" t="n">
        <v>46326</v>
      </c>
      <c r="F6168" t="inlineStr">
        <is>
          <t>GÄVLEBORGS LÄN</t>
        </is>
      </c>
      <c r="G6168" t="inlineStr">
        <is>
          <t>HUDIKSVALL</t>
        </is>
      </c>
      <c r="I6168" t="n">
        <v>4.1</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18988-2026</t>
        </is>
      </c>
      <c r="B6169" t="inlineStr">
        <is>
          <t>avverkningsanmälan</t>
        </is>
      </c>
      <c r="C6169" t="inlineStr">
        <is>
          <t>Föryngringsavverkning</t>
        </is>
      </c>
      <c r="D6169" s="1" t="n">
        <v>46129</v>
      </c>
      <c r="E6169" s="1" t="n">
        <v>46326</v>
      </c>
      <c r="F6169" t="inlineStr">
        <is>
          <t>GÄVLEBORGS LÄN</t>
        </is>
      </c>
      <c r="G6169" t="inlineStr">
        <is>
          <t>SANDVIKEN</t>
        </is>
      </c>
      <c r="H6169" t="inlineStr">
        <is>
          <t>Bergvik skog öst AB</t>
        </is>
      </c>
      <c r="I6169" t="n">
        <v>0.7</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18992-2026</t>
        </is>
      </c>
      <c r="B6170" t="inlineStr">
        <is>
          <t>avverkningsanmälan</t>
        </is>
      </c>
      <c r="C6170" t="inlineStr">
        <is>
          <t>Föryngringsavverkning</t>
        </is>
      </c>
      <c r="D6170" s="1" t="n">
        <v>46129</v>
      </c>
      <c r="E6170" s="1" t="n">
        <v>46326</v>
      </c>
      <c r="F6170" t="inlineStr">
        <is>
          <t>GÄVLEBORGS LÄN</t>
        </is>
      </c>
      <c r="G6170" t="inlineStr">
        <is>
          <t>SANDVIKEN</t>
        </is>
      </c>
      <c r="H6170" t="inlineStr">
        <is>
          <t>Bergvik skog öst AB</t>
        </is>
      </c>
      <c r="I6170" t="n">
        <v>0.8</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18997-2026</t>
        </is>
      </c>
      <c r="B6171" t="inlineStr">
        <is>
          <t>avverkningsanmälan</t>
        </is>
      </c>
      <c r="C6171" t="inlineStr">
        <is>
          <t>Föryngringsavverkning</t>
        </is>
      </c>
      <c r="D6171" s="1" t="n">
        <v>46129</v>
      </c>
      <c r="E6171" s="1" t="n">
        <v>46326</v>
      </c>
      <c r="F6171" t="inlineStr">
        <is>
          <t>GÄVLEBORGS LÄN</t>
        </is>
      </c>
      <c r="G6171" t="inlineStr">
        <is>
          <t>SANDVIKEN</t>
        </is>
      </c>
      <c r="I6171" t="n">
        <v>1.8</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18486-2026</t>
        </is>
      </c>
      <c r="B6172" t="inlineStr">
        <is>
          <t>avverkningsanmälan</t>
        </is>
      </c>
      <c r="C6172" t="inlineStr">
        <is>
          <t>Föryngringsavverkning</t>
        </is>
      </c>
      <c r="D6172" s="1" t="n">
        <v>46127</v>
      </c>
      <c r="E6172" s="1" t="n">
        <v>46326</v>
      </c>
      <c r="F6172" t="inlineStr">
        <is>
          <t>GÄVLEBORGS LÄN</t>
        </is>
      </c>
      <c r="G6172" t="inlineStr">
        <is>
          <t>HUDIKSVALL</t>
        </is>
      </c>
      <c r="I6172" t="n">
        <v>2.2</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18487-2026</t>
        </is>
      </c>
      <c r="B6173" t="inlineStr">
        <is>
          <t>avverkningsanmälan</t>
        </is>
      </c>
      <c r="C6173" t="inlineStr">
        <is>
          <t>Föryngringsavverkning</t>
        </is>
      </c>
      <c r="D6173" s="1" t="n">
        <v>46127</v>
      </c>
      <c r="E6173" s="1" t="n">
        <v>46326</v>
      </c>
      <c r="F6173" t="inlineStr">
        <is>
          <t>GÄVLEBORGS LÄN</t>
        </is>
      </c>
      <c r="G6173" t="inlineStr">
        <is>
          <t>OVANÅKER</t>
        </is>
      </c>
      <c r="H6173" t="inlineStr">
        <is>
          <t>Bergvik skog öst AB</t>
        </is>
      </c>
      <c r="I6173" t="n">
        <v>7.8</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18426-2026</t>
        </is>
      </c>
      <c r="B6174" t="inlineStr">
        <is>
          <t>avverkningsanmälan</t>
        </is>
      </c>
      <c r="C6174" t="inlineStr">
        <is>
          <t>Föryngringsavverkning</t>
        </is>
      </c>
      <c r="D6174" s="1" t="n">
        <v>46127</v>
      </c>
      <c r="E6174" s="1" t="n">
        <v>46326</v>
      </c>
      <c r="F6174" t="inlineStr">
        <is>
          <t>GÄVLEBORGS LÄN</t>
        </is>
      </c>
      <c r="G6174" t="inlineStr">
        <is>
          <t>OCKELBO</t>
        </is>
      </c>
      <c r="I6174" t="n">
        <v>0.5</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26106-2024</t>
        </is>
      </c>
      <c r="B6175" t="inlineStr">
        <is>
          <t>avverkningsanmälan</t>
        </is>
      </c>
      <c r="C6175" t="inlineStr">
        <is>
          <t>Föryngringsavverkning</t>
        </is>
      </c>
      <c r="D6175" s="1" t="n">
        <v>45468</v>
      </c>
      <c r="E6175" s="1" t="n">
        <v>46326</v>
      </c>
      <c r="F6175" t="inlineStr">
        <is>
          <t>GÄVLEBORGS LÄN</t>
        </is>
      </c>
      <c r="G6175" t="inlineStr">
        <is>
          <t>LJUSDAL</t>
        </is>
      </c>
      <c r="I6175" t="n">
        <v>1.5</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18703-2026</t>
        </is>
      </c>
      <c r="B6176" t="inlineStr">
        <is>
          <t>avverkningsanmälan</t>
        </is>
      </c>
      <c r="C6176" t="inlineStr">
        <is>
          <t>Föryngringsavverkning</t>
        </is>
      </c>
      <c r="D6176" s="1" t="n">
        <v>46128</v>
      </c>
      <c r="E6176" s="1" t="n">
        <v>46326</v>
      </c>
      <c r="F6176" t="inlineStr">
        <is>
          <t>GÄVLEBORGS LÄN</t>
        </is>
      </c>
      <c r="G6176" t="inlineStr">
        <is>
          <t>LJUSDAL</t>
        </is>
      </c>
      <c r="I6176" t="n">
        <v>5.4</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18721-2026</t>
        </is>
      </c>
      <c r="B6177" t="inlineStr">
        <is>
          <t>avverkningsanmälan</t>
        </is>
      </c>
      <c r="C6177" t="inlineStr">
        <is>
          <t>Föryngringsavverkning</t>
        </is>
      </c>
      <c r="D6177" s="1" t="n">
        <v>46128</v>
      </c>
      <c r="E6177" s="1" t="n">
        <v>46326</v>
      </c>
      <c r="F6177" t="inlineStr">
        <is>
          <t>GÄVLEBORGS LÄN</t>
        </is>
      </c>
      <c r="G6177" t="inlineStr">
        <is>
          <t>BOLLNÄS</t>
        </is>
      </c>
      <c r="I6177" t="n">
        <v>1.7</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18726-2026</t>
        </is>
      </c>
      <c r="B6178" t="inlineStr">
        <is>
          <t>avverkningsanmälan</t>
        </is>
      </c>
      <c r="C6178" t="inlineStr">
        <is>
          <t>Föryngringsavverkning</t>
        </is>
      </c>
      <c r="D6178" s="1" t="n">
        <v>46128</v>
      </c>
      <c r="E6178" s="1" t="n">
        <v>46326</v>
      </c>
      <c r="F6178" t="inlineStr">
        <is>
          <t>GÄVLEBORGS LÄN</t>
        </is>
      </c>
      <c r="G6178" t="inlineStr">
        <is>
          <t>OVANÅKER</t>
        </is>
      </c>
      <c r="I6178" t="n">
        <v>0.5</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18734-2026</t>
        </is>
      </c>
      <c r="B6179" t="inlineStr">
        <is>
          <t>avverkningsanmälan</t>
        </is>
      </c>
      <c r="C6179" t="inlineStr">
        <is>
          <t>Föryngringsavverkning</t>
        </is>
      </c>
      <c r="D6179" s="1" t="n">
        <v>46128</v>
      </c>
      <c r="E6179" s="1" t="n">
        <v>46326</v>
      </c>
      <c r="F6179" t="inlineStr">
        <is>
          <t>GÄVLEBORGS LÄN</t>
        </is>
      </c>
      <c r="G6179" t="inlineStr">
        <is>
          <t>OVANÅKER</t>
        </is>
      </c>
      <c r="I6179" t="n">
        <v>0.6</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15255-2026</t>
        </is>
      </c>
      <c r="B6180" t="inlineStr">
        <is>
          <t>avverkningsanmälan</t>
        </is>
      </c>
      <c r="C6180" t="inlineStr">
        <is>
          <t>Föryngringsavverkning</t>
        </is>
      </c>
      <c r="D6180" s="1" t="n">
        <v>46105</v>
      </c>
      <c r="E6180" s="1" t="n">
        <v>46326</v>
      </c>
      <c r="F6180" t="inlineStr">
        <is>
          <t>GÄVLEBORGS LÄN</t>
        </is>
      </c>
      <c r="G6180" t="inlineStr">
        <is>
          <t>OCKELBO</t>
        </is>
      </c>
      <c r="H6180" t="inlineStr">
        <is>
          <t>Bergvik skog väst AB</t>
        </is>
      </c>
      <c r="I6180" t="n">
        <v>1.1</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18172-2026</t>
        </is>
      </c>
      <c r="B6181" t="inlineStr">
        <is>
          <t>avverkningsanmälan</t>
        </is>
      </c>
      <c r="C6181" t="inlineStr">
        <is>
          <t>Föryngringsavverkning</t>
        </is>
      </c>
      <c r="D6181" s="1" t="n">
        <v>46125</v>
      </c>
      <c r="E6181" s="1" t="n">
        <v>46326</v>
      </c>
      <c r="F6181" t="inlineStr">
        <is>
          <t>GÄVLEBORGS LÄN</t>
        </is>
      </c>
      <c r="G6181" t="inlineStr">
        <is>
          <t>LJUSDAL</t>
        </is>
      </c>
      <c r="H6181" t="inlineStr">
        <is>
          <t>Bergvik skog väst AB</t>
        </is>
      </c>
      <c r="I6181" t="n">
        <v>9.1</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15802-2026</t>
        </is>
      </c>
      <c r="B6182" t="inlineStr">
        <is>
          <t>avverkningsanmälan</t>
        </is>
      </c>
      <c r="C6182" t="inlineStr">
        <is>
          <t>Föryngringsavverkning</t>
        </is>
      </c>
      <c r="D6182" s="1" t="n">
        <v>46107</v>
      </c>
      <c r="E6182" s="1" t="n">
        <v>46326</v>
      </c>
      <c r="F6182" t="inlineStr">
        <is>
          <t>GÄVLEBORGS LÄN</t>
        </is>
      </c>
      <c r="G6182" t="inlineStr">
        <is>
          <t>OVANÅKER</t>
        </is>
      </c>
      <c r="H6182" t="inlineStr">
        <is>
          <t>Bergvik skog öst AB</t>
        </is>
      </c>
      <c r="I6182" t="n">
        <v>11.5</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56733-2024</t>
        </is>
      </c>
      <c r="B6183" t="inlineStr">
        <is>
          <t>avverkningsanmälan</t>
        </is>
      </c>
      <c r="C6183" t="inlineStr">
        <is>
          <t>Föryngringsavverkning</t>
        </is>
      </c>
      <c r="D6183" s="1" t="n">
        <v>45628</v>
      </c>
      <c r="E6183" s="1" t="n">
        <v>46326</v>
      </c>
      <c r="F6183" t="inlineStr">
        <is>
          <t>GÄVLEBORGS LÄN</t>
        </is>
      </c>
      <c r="G6183" t="inlineStr">
        <is>
          <t>NORDANSTIG</t>
        </is>
      </c>
      <c r="H6183" t="inlineStr">
        <is>
          <t>Holmen skog AB</t>
        </is>
      </c>
      <c r="I6183" t="n">
        <v>2.2</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5561-2022</t>
        </is>
      </c>
      <c r="B6184" t="inlineStr">
        <is>
          <t>avverkningsanmälan</t>
        </is>
      </c>
      <c r="C6184" t="inlineStr">
        <is>
          <t>Föryngringsavverkning</t>
        </is>
      </c>
      <c r="D6184" s="1" t="n">
        <v>44595</v>
      </c>
      <c r="E6184" s="1" t="n">
        <v>46326</v>
      </c>
      <c r="F6184" t="inlineStr">
        <is>
          <t>GÄVLEBORGS LÄN</t>
        </is>
      </c>
      <c r="G6184" t="inlineStr">
        <is>
          <t>BOLLNÄS</t>
        </is>
      </c>
      <c r="I6184" t="n">
        <v>2.8</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18656-2026</t>
        </is>
      </c>
      <c r="B6185" t="inlineStr">
        <is>
          <t>avverkningsanmälan</t>
        </is>
      </c>
      <c r="C6185" t="inlineStr">
        <is>
          <t>Föryngringsavverkning</t>
        </is>
      </c>
      <c r="D6185" s="1" t="n">
        <v>46128</v>
      </c>
      <c r="E6185" s="1" t="n">
        <v>46326</v>
      </c>
      <c r="F6185" t="inlineStr">
        <is>
          <t>GÄVLEBORGS LÄN</t>
        </is>
      </c>
      <c r="G6185" t="inlineStr">
        <is>
          <t>SANDVIKEN</t>
        </is>
      </c>
      <c r="H6185" t="inlineStr">
        <is>
          <t>Sveaskog</t>
        </is>
      </c>
      <c r="I6185" t="n">
        <v>1.4</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15635-2026</t>
        </is>
      </c>
      <c r="B6186" t="inlineStr">
        <is>
          <t>avverkningsanmälan</t>
        </is>
      </c>
      <c r="C6186" t="inlineStr">
        <is>
          <t>Föryngringsavverkning</t>
        </is>
      </c>
      <c r="D6186" s="1" t="n">
        <v>46106</v>
      </c>
      <c r="E6186" s="1" t="n">
        <v>46326</v>
      </c>
      <c r="F6186" t="inlineStr">
        <is>
          <t>GÄVLEBORGS LÄN</t>
        </is>
      </c>
      <c r="G6186" t="inlineStr">
        <is>
          <t>GÄVLE</t>
        </is>
      </c>
      <c r="H6186" t="inlineStr">
        <is>
          <t>Bergvik skog öst AB</t>
        </is>
      </c>
      <c r="I6186" t="n">
        <v>4.1</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37972-2022</t>
        </is>
      </c>
      <c r="B6187" t="inlineStr">
        <is>
          <t>avverkningsanmälan</t>
        </is>
      </c>
      <c r="C6187" t="inlineStr">
        <is>
          <t>Föryngringsavverkning</t>
        </is>
      </c>
      <c r="D6187" s="1" t="n">
        <v>44811</v>
      </c>
      <c r="E6187" s="1" t="n">
        <v>46326</v>
      </c>
      <c r="F6187" t="inlineStr">
        <is>
          <t>GÄVLEBORGS LÄN</t>
        </is>
      </c>
      <c r="G6187" t="inlineStr">
        <is>
          <t>NORDANSTIG</t>
        </is>
      </c>
      <c r="I6187" t="n">
        <v>2.7</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51222-2024</t>
        </is>
      </c>
      <c r="B6188" t="inlineStr">
        <is>
          <t>avverkningsanmälan</t>
        </is>
      </c>
      <c r="C6188" t="inlineStr">
        <is>
          <t>Föryngringsavverkning</t>
        </is>
      </c>
      <c r="D6188" s="1" t="n">
        <v>45603</v>
      </c>
      <c r="E6188" s="1" t="n">
        <v>46326</v>
      </c>
      <c r="F6188" t="inlineStr">
        <is>
          <t>GÄVLEBORGS LÄN</t>
        </is>
      </c>
      <c r="G6188" t="inlineStr">
        <is>
          <t>NORDANSTIG</t>
        </is>
      </c>
      <c r="I6188" t="n">
        <v>15.1</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51230-2024</t>
        </is>
      </c>
      <c r="B6189" t="inlineStr">
        <is>
          <t>avverkningsanmälan</t>
        </is>
      </c>
      <c r="C6189" t="inlineStr">
        <is>
          <t>Föryngringsavverkning</t>
        </is>
      </c>
      <c r="D6189" s="1" t="n">
        <v>45603</v>
      </c>
      <c r="E6189" s="1" t="n">
        <v>46326</v>
      </c>
      <c r="F6189" t="inlineStr">
        <is>
          <t>GÄVLEBORGS LÄN</t>
        </is>
      </c>
      <c r="G6189" t="inlineStr">
        <is>
          <t>NORDANSTIG</t>
        </is>
      </c>
      <c r="I6189" t="n">
        <v>1.9</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18672-2026</t>
        </is>
      </c>
      <c r="B6190" t="inlineStr">
        <is>
          <t>avverkningsanmälan</t>
        </is>
      </c>
      <c r="C6190" t="inlineStr">
        <is>
          <t>Föryngringsavverkning</t>
        </is>
      </c>
      <c r="D6190" s="1" t="n">
        <v>46128</v>
      </c>
      <c r="E6190" s="1" t="n">
        <v>46326</v>
      </c>
      <c r="F6190" t="inlineStr">
        <is>
          <t>GÄVLEBORGS LÄN</t>
        </is>
      </c>
      <c r="G6190" t="inlineStr">
        <is>
          <t>BOLLNÄS</t>
        </is>
      </c>
      <c r="I6190" t="n">
        <v>0.9</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18773-2026</t>
        </is>
      </c>
      <c r="B6191" t="inlineStr">
        <is>
          <t>avverkningsanmälan</t>
        </is>
      </c>
      <c r="C6191" t="inlineStr">
        <is>
          <t>Föryngringsavverkning</t>
        </is>
      </c>
      <c r="D6191" s="1" t="n">
        <v>46128</v>
      </c>
      <c r="E6191" s="1" t="n">
        <v>46326</v>
      </c>
      <c r="F6191" t="inlineStr">
        <is>
          <t>GÄVLEBORGS LÄN</t>
        </is>
      </c>
      <c r="G6191" t="inlineStr">
        <is>
          <t>OVANÅKER</t>
        </is>
      </c>
      <c r="I6191" t="n">
        <v>0.6</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18791-2026</t>
        </is>
      </c>
      <c r="B6192" t="inlineStr">
        <is>
          <t>avverkningsanmälan</t>
        </is>
      </c>
      <c r="C6192" t="inlineStr">
        <is>
          <t>Föryngringsavverkning</t>
        </is>
      </c>
      <c r="D6192" s="1" t="n">
        <v>46128</v>
      </c>
      <c r="E6192" s="1" t="n">
        <v>46326</v>
      </c>
      <c r="F6192" t="inlineStr">
        <is>
          <t>GÄVLEBORGS LÄN</t>
        </is>
      </c>
      <c r="G6192" t="inlineStr">
        <is>
          <t>BOLLNÄS</t>
        </is>
      </c>
      <c r="I6192" t="n">
        <v>2.4</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18792-2026</t>
        </is>
      </c>
      <c r="B6193" t="inlineStr">
        <is>
          <t>avverkningsanmälan</t>
        </is>
      </c>
      <c r="C6193" t="inlineStr">
        <is>
          <t>Föryngringsavverkning</t>
        </is>
      </c>
      <c r="D6193" s="1" t="n">
        <v>46128</v>
      </c>
      <c r="E6193" s="1" t="n">
        <v>46326</v>
      </c>
      <c r="F6193" t="inlineStr">
        <is>
          <t>GÄVLEBORGS LÄN</t>
        </is>
      </c>
      <c r="G6193" t="inlineStr">
        <is>
          <t>BOLLNÄS</t>
        </is>
      </c>
      <c r="I6193" t="n">
        <v>8.9</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18865-2026</t>
        </is>
      </c>
      <c r="B6194" t="inlineStr">
        <is>
          <t>avverkningsanmälan</t>
        </is>
      </c>
      <c r="C6194" t="inlineStr">
        <is>
          <t>Föryngringsavverkning</t>
        </is>
      </c>
      <c r="D6194" s="1" t="n">
        <v>46129</v>
      </c>
      <c r="E6194" s="1" t="n">
        <v>46326</v>
      </c>
      <c r="F6194" t="inlineStr">
        <is>
          <t>GÄVLEBORGS LÄN</t>
        </is>
      </c>
      <c r="G6194" t="inlineStr">
        <is>
          <t>BOLLNÄS</t>
        </is>
      </c>
      <c r="I6194" t="n">
        <v>1.6</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16212-2026</t>
        </is>
      </c>
      <c r="B6195" t="inlineStr">
        <is>
          <t>avverkningsanmälan</t>
        </is>
      </c>
      <c r="C6195" t="inlineStr">
        <is>
          <t>Föryngringsavverkning</t>
        </is>
      </c>
      <c r="D6195" s="1" t="n">
        <v>46111</v>
      </c>
      <c r="E6195" s="1" t="n">
        <v>46326</v>
      </c>
      <c r="F6195" t="inlineStr">
        <is>
          <t>GÄVLEBORGS LÄN</t>
        </is>
      </c>
      <c r="G6195" t="inlineStr">
        <is>
          <t>OVANÅKER</t>
        </is>
      </c>
      <c r="H6195" t="inlineStr">
        <is>
          <t>Bergvik skog öst AB</t>
        </is>
      </c>
      <c r="I6195" t="n">
        <v>4.7</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33974-2022</t>
        </is>
      </c>
      <c r="B6196" t="inlineStr">
        <is>
          <t>avverkningsanmälan</t>
        </is>
      </c>
      <c r="C6196" t="inlineStr">
        <is>
          <t>Föryngringsavverkning</t>
        </is>
      </c>
      <c r="D6196" s="1" t="n">
        <v>44790</v>
      </c>
      <c r="E6196" s="1" t="n">
        <v>46326</v>
      </c>
      <c r="F6196" t="inlineStr">
        <is>
          <t>GÄVLEBORGS LÄN</t>
        </is>
      </c>
      <c r="G6196" t="inlineStr">
        <is>
          <t>NORDANSTIG</t>
        </is>
      </c>
      <c r="I6196" t="n">
        <v>1.9</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11397-2023</t>
        </is>
      </c>
      <c r="B6197" t="inlineStr">
        <is>
          <t>avverkningsanmälan</t>
        </is>
      </c>
      <c r="C6197" t="inlineStr">
        <is>
          <t>Föryngringsavverkning</t>
        </is>
      </c>
      <c r="D6197" s="1" t="n">
        <v>44988</v>
      </c>
      <c r="E6197" s="1" t="n">
        <v>46326</v>
      </c>
      <c r="F6197" t="inlineStr">
        <is>
          <t>GÄVLEBORGS LÄN</t>
        </is>
      </c>
      <c r="G6197" t="inlineStr">
        <is>
          <t>SANDVIKEN</t>
        </is>
      </c>
      <c r="I6197" t="n">
        <v>1</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18768-2026</t>
        </is>
      </c>
      <c r="B6198" t="inlineStr">
        <is>
          <t>avverkningsanmälan</t>
        </is>
      </c>
      <c r="C6198" t="inlineStr">
        <is>
          <t>Föryngringsavverkning</t>
        </is>
      </c>
      <c r="D6198" s="1" t="n">
        <v>46128</v>
      </c>
      <c r="E6198" s="1" t="n">
        <v>46326</v>
      </c>
      <c r="F6198" t="inlineStr">
        <is>
          <t>GÄVLEBORGS LÄN</t>
        </is>
      </c>
      <c r="G6198" t="inlineStr">
        <is>
          <t>BOLLNÄS</t>
        </is>
      </c>
      <c r="H6198" t="inlineStr">
        <is>
          <t>Bergvik skog öst AB</t>
        </is>
      </c>
      <c r="I6198" t="n">
        <v>3.3</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18794-2026</t>
        </is>
      </c>
      <c r="B6199" t="inlineStr">
        <is>
          <t>avverkningsanmälan</t>
        </is>
      </c>
      <c r="C6199" t="inlineStr">
        <is>
          <t>Föryngringsavverkning</t>
        </is>
      </c>
      <c r="D6199" s="1" t="n">
        <v>46128</v>
      </c>
      <c r="E6199" s="1" t="n">
        <v>46326</v>
      </c>
      <c r="F6199" t="inlineStr">
        <is>
          <t>GÄVLEBORGS LÄN</t>
        </is>
      </c>
      <c r="G6199" t="inlineStr">
        <is>
          <t>BOLLNÄS</t>
        </is>
      </c>
      <c r="I6199" t="n">
        <v>8.800000000000001</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18513-2026</t>
        </is>
      </c>
      <c r="B6200" t="inlineStr">
        <is>
          <t>avverkningsanmälan</t>
        </is>
      </c>
      <c r="C6200" t="inlineStr">
        <is>
          <t>Föryngringsavverkning</t>
        </is>
      </c>
      <c r="D6200" s="1" t="n">
        <v>46127</v>
      </c>
      <c r="E6200" s="1" t="n">
        <v>46326</v>
      </c>
      <c r="F6200" t="inlineStr">
        <is>
          <t>GÄVLEBORGS LÄN</t>
        </is>
      </c>
      <c r="G6200" t="inlineStr">
        <is>
          <t>OCKELBO</t>
        </is>
      </c>
      <c r="I6200" t="n">
        <v>1.1</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16572-2026</t>
        </is>
      </c>
      <c r="B6201" t="inlineStr">
        <is>
          <t>avverkningsanmälan</t>
        </is>
      </c>
      <c r="C6201" t="inlineStr">
        <is>
          <t>Föryngringsavverkning</t>
        </is>
      </c>
      <c r="D6201" s="1" t="n">
        <v>46112</v>
      </c>
      <c r="E6201" s="1" t="n">
        <v>46326</v>
      </c>
      <c r="F6201" t="inlineStr">
        <is>
          <t>GÄVLEBORGS LÄN</t>
        </is>
      </c>
      <c r="G6201" t="inlineStr">
        <is>
          <t>OCKELBO</t>
        </is>
      </c>
      <c r="H6201" t="inlineStr">
        <is>
          <t>Bergvik skog väst AB</t>
        </is>
      </c>
      <c r="I6201" t="n">
        <v>2.7</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18855-2026</t>
        </is>
      </c>
      <c r="B6202" t="inlineStr">
        <is>
          <t>avverkningsanmälan</t>
        </is>
      </c>
      <c r="C6202" t="inlineStr">
        <is>
          <t>Föryngringsavverkning</t>
        </is>
      </c>
      <c r="D6202" s="1" t="n">
        <v>46129</v>
      </c>
      <c r="E6202" s="1" t="n">
        <v>46326</v>
      </c>
      <c r="F6202" t="inlineStr">
        <is>
          <t>GÄVLEBORGS LÄN</t>
        </is>
      </c>
      <c r="G6202" t="inlineStr">
        <is>
          <t>OVANÅKER</t>
        </is>
      </c>
      <c r="I6202" t="n">
        <v>1.2</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18900-2026</t>
        </is>
      </c>
      <c r="B6203" t="inlineStr">
        <is>
          <t>avverkningsanmälan</t>
        </is>
      </c>
      <c r="C6203" t="inlineStr">
        <is>
          <t>Föryngringsavverkning</t>
        </is>
      </c>
      <c r="D6203" s="1" t="n">
        <v>46129</v>
      </c>
      <c r="E6203" s="1" t="n">
        <v>46326</v>
      </c>
      <c r="F6203" t="inlineStr">
        <is>
          <t>GÄVLEBORGS LÄN</t>
        </is>
      </c>
      <c r="G6203" t="inlineStr">
        <is>
          <t>OVANÅKER</t>
        </is>
      </c>
      <c r="I6203" t="n">
        <v>2</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34976-2024</t>
        </is>
      </c>
      <c r="B6204" t="inlineStr">
        <is>
          <t>avverkningsanmälan</t>
        </is>
      </c>
      <c r="C6204" t="inlineStr">
        <is>
          <t>Föryngringsavverkning</t>
        </is>
      </c>
      <c r="D6204" s="1" t="n">
        <v>45527</v>
      </c>
      <c r="E6204" s="1" t="n">
        <v>46326</v>
      </c>
      <c r="F6204" t="inlineStr">
        <is>
          <t>GÄVLEBORGS LÄN</t>
        </is>
      </c>
      <c r="G6204" t="inlineStr">
        <is>
          <t>SÖDERHAMN</t>
        </is>
      </c>
      <c r="I6204" t="n">
        <v>0.7</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34982-2024</t>
        </is>
      </c>
      <c r="B6205" t="inlineStr">
        <is>
          <t>avverkningsanmälan</t>
        </is>
      </c>
      <c r="C6205" t="inlineStr">
        <is>
          <t>Föryngringsavverkning</t>
        </is>
      </c>
      <c r="D6205" s="1" t="n">
        <v>45527</v>
      </c>
      <c r="E6205" s="1" t="n">
        <v>46326</v>
      </c>
      <c r="F6205" t="inlineStr">
        <is>
          <t>GÄVLEBORGS LÄN</t>
        </is>
      </c>
      <c r="G6205" t="inlineStr">
        <is>
          <t>HUDIKSVALL</t>
        </is>
      </c>
      <c r="I6205" t="n">
        <v>1.5</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34989-2024</t>
        </is>
      </c>
      <c r="B6206" t="inlineStr">
        <is>
          <t>avverkningsanmälan</t>
        </is>
      </c>
      <c r="C6206" t="inlineStr">
        <is>
          <t>Föryngringsavverkning</t>
        </is>
      </c>
      <c r="D6206" s="1" t="n">
        <v>45527</v>
      </c>
      <c r="E6206" s="1" t="n">
        <v>46326</v>
      </c>
      <c r="F6206" t="inlineStr">
        <is>
          <t>GÄVLEBORGS LÄN</t>
        </is>
      </c>
      <c r="G6206" t="inlineStr">
        <is>
          <t>LJUSDAL</t>
        </is>
      </c>
      <c r="H6206" t="inlineStr">
        <is>
          <t>Sveaskog</t>
        </is>
      </c>
      <c r="I6206" t="n">
        <v>2.3</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18964-2026</t>
        </is>
      </c>
      <c r="B6207" t="inlineStr">
        <is>
          <t>avverkningsanmälan</t>
        </is>
      </c>
      <c r="C6207" t="inlineStr">
        <is>
          <t>Föryngringsavverkning</t>
        </is>
      </c>
      <c r="D6207" s="1" t="n">
        <v>46129</v>
      </c>
      <c r="E6207" s="1" t="n">
        <v>46326</v>
      </c>
      <c r="F6207" t="inlineStr">
        <is>
          <t>GÄVLEBORGS LÄN</t>
        </is>
      </c>
      <c r="G6207" t="inlineStr">
        <is>
          <t>OVANÅKER</t>
        </is>
      </c>
      <c r="I6207" t="n">
        <v>2.7</v>
      </c>
      <c r="J6207" t="n">
        <v>0</v>
      </c>
      <c r="K6207" t="n">
        <v>0</v>
      </c>
      <c r="L6207" t="n">
        <v>0</v>
      </c>
      <c r="M6207" t="n">
        <v>0</v>
      </c>
      <c r="N6207" t="n">
        <v>0</v>
      </c>
      <c r="O6207" t="n">
        <v>0</v>
      </c>
      <c r="P6207" t="n">
        <v>0</v>
      </c>
      <c r="Q6207" t="n">
        <v>0</v>
      </c>
      <c r="R6207" t="n">
        <v>0</v>
      </c>
      <c r="S6207" t="n">
        <v>0</v>
      </c>
      <c r="T6207" t="n">
        <v>0</v>
      </c>
      <c r="U6207" t="n">
        <v>0</v>
      </c>
      <c r="V6207" s="2" t="inlineStr"/>
    </row>
    <row r="6208" ht="15" customHeight="1">
      <c r="A6208" t="inlineStr">
        <is>
          <t>A 18991-2026</t>
        </is>
      </c>
      <c r="B6208" t="inlineStr">
        <is>
          <t>avverkningsanmälan</t>
        </is>
      </c>
      <c r="C6208" t="inlineStr">
        <is>
          <t>Föryngringsavverkning</t>
        </is>
      </c>
      <c r="D6208" s="1" t="n">
        <v>46129</v>
      </c>
      <c r="E6208" s="1" t="n">
        <v>46326</v>
      </c>
      <c r="F6208" t="inlineStr">
        <is>
          <t>GÄVLEBORGS LÄN</t>
        </is>
      </c>
      <c r="G6208" t="inlineStr">
        <is>
          <t>SANDVIKEN</t>
        </is>
      </c>
      <c r="H6208" t="inlineStr">
        <is>
          <t>Bergvik skog öst AB</t>
        </is>
      </c>
      <c r="I6208" t="n">
        <v>1.4</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52783-2024</t>
        </is>
      </c>
      <c r="B6209" t="inlineStr">
        <is>
          <t>avverkningsanmälan</t>
        </is>
      </c>
      <c r="C6209" t="inlineStr">
        <is>
          <t>Föryngringsavverkning</t>
        </is>
      </c>
      <c r="D6209" s="1" t="n">
        <v>45610</v>
      </c>
      <c r="E6209" s="1" t="n">
        <v>46326</v>
      </c>
      <c r="F6209" t="inlineStr">
        <is>
          <t>GÄVLEBORGS LÄN</t>
        </is>
      </c>
      <c r="G6209" t="inlineStr">
        <is>
          <t>LJUSDAL</t>
        </is>
      </c>
      <c r="H6209" t="inlineStr">
        <is>
          <t>SCA</t>
        </is>
      </c>
      <c r="I6209" t="n">
        <v>1.5</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53399-2024</t>
        </is>
      </c>
      <c r="B6210" t="inlineStr">
        <is>
          <t>avverkningsanmälan</t>
        </is>
      </c>
      <c r="C6210" t="inlineStr">
        <is>
          <t>Föryngringsavverkning</t>
        </is>
      </c>
      <c r="D6210" s="1" t="n">
        <v>45614</v>
      </c>
      <c r="E6210" s="1" t="n">
        <v>46326</v>
      </c>
      <c r="F6210" t="inlineStr">
        <is>
          <t>GÄVLEBORGS LÄN</t>
        </is>
      </c>
      <c r="G6210" t="inlineStr">
        <is>
          <t>OVANÅKER</t>
        </is>
      </c>
      <c r="I6210" t="n">
        <v>2.1</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59817-2023</t>
        </is>
      </c>
      <c r="B6211" t="inlineStr">
        <is>
          <t>avverkningsanmälan</t>
        </is>
      </c>
      <c r="C6211" t="inlineStr">
        <is>
          <t>Föryngringsavverkning</t>
        </is>
      </c>
      <c r="D6211" s="1" t="n">
        <v>45257</v>
      </c>
      <c r="E6211" s="1" t="n">
        <v>46326</v>
      </c>
      <c r="F6211" t="inlineStr">
        <is>
          <t>GÄVLEBORGS LÄN</t>
        </is>
      </c>
      <c r="G6211" t="inlineStr">
        <is>
          <t>GÄVLE</t>
        </is>
      </c>
      <c r="H6211" t="inlineStr">
        <is>
          <t>Bergvik skog väst AB</t>
        </is>
      </c>
      <c r="I6211" t="n">
        <v>0.4</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18705-2026</t>
        </is>
      </c>
      <c r="B6212" t="inlineStr">
        <is>
          <t>avverkningsanmälan</t>
        </is>
      </c>
      <c r="C6212" t="inlineStr">
        <is>
          <t>Föryngringsavverkning</t>
        </is>
      </c>
      <c r="D6212" s="1" t="n">
        <v>46128</v>
      </c>
      <c r="E6212" s="1" t="n">
        <v>46326</v>
      </c>
      <c r="F6212" t="inlineStr">
        <is>
          <t>GÄVLEBORGS LÄN</t>
        </is>
      </c>
      <c r="G6212" t="inlineStr">
        <is>
          <t>OCKELBO</t>
        </is>
      </c>
      <c r="I6212" t="n">
        <v>0.8</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14966-2026</t>
        </is>
      </c>
      <c r="B6213" t="inlineStr">
        <is>
          <t>avverkningsanmälan</t>
        </is>
      </c>
      <c r="C6213" t="inlineStr">
        <is>
          <t>Föryngringsavverkning</t>
        </is>
      </c>
      <c r="D6213" s="1" t="n">
        <v>46104</v>
      </c>
      <c r="E6213" s="1" t="n">
        <v>46326</v>
      </c>
      <c r="F6213" t="inlineStr">
        <is>
          <t>GÄVLEBORGS LÄN</t>
        </is>
      </c>
      <c r="G6213" t="inlineStr">
        <is>
          <t>GÄVLE</t>
        </is>
      </c>
      <c r="H6213" t="inlineStr">
        <is>
          <t>Bergvik skog öst AB</t>
        </is>
      </c>
      <c r="I6213" t="n">
        <v>4</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16530-2026</t>
        </is>
      </c>
      <c r="B6214" t="inlineStr">
        <is>
          <t>avverkningsanmälan</t>
        </is>
      </c>
      <c r="C6214" t="inlineStr">
        <is>
          <t>Föryngringsavverkning</t>
        </is>
      </c>
      <c r="D6214" s="1" t="n">
        <v>46112</v>
      </c>
      <c r="E6214" s="1" t="n">
        <v>46326</v>
      </c>
      <c r="F6214" t="inlineStr">
        <is>
          <t>GÄVLEBORGS LÄN</t>
        </is>
      </c>
      <c r="G6214" t="inlineStr">
        <is>
          <t>OCKELBO</t>
        </is>
      </c>
      <c r="H6214" t="inlineStr">
        <is>
          <t>Bergvik skog väst AB</t>
        </is>
      </c>
      <c r="I6214" t="n">
        <v>5</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48799-2023</t>
        </is>
      </c>
      <c r="B6215" t="inlineStr">
        <is>
          <t>avverkningsanmälan</t>
        </is>
      </c>
      <c r="C6215" t="inlineStr">
        <is>
          <t>Föryngringsavverkning</t>
        </is>
      </c>
      <c r="D6215" s="1" t="n">
        <v>45209</v>
      </c>
      <c r="E6215" s="1" t="n">
        <v>46326</v>
      </c>
      <c r="F6215" t="inlineStr">
        <is>
          <t>GÄVLEBORGS LÄN</t>
        </is>
      </c>
      <c r="G6215" t="inlineStr">
        <is>
          <t>SANDVIKEN</t>
        </is>
      </c>
      <c r="H6215" t="inlineStr">
        <is>
          <t>Bergvik skog öst AB</t>
        </is>
      </c>
      <c r="I6215" t="n">
        <v>2.2</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11873-2026</t>
        </is>
      </c>
      <c r="B6216" t="inlineStr">
        <is>
          <t>avverkningsanmälan</t>
        </is>
      </c>
      <c r="C6216" t="inlineStr">
        <is>
          <t>Föryngringsavverkning</t>
        </is>
      </c>
      <c r="D6216" s="1" t="n">
        <v>46085</v>
      </c>
      <c r="E6216" s="1" t="n">
        <v>46326</v>
      </c>
      <c r="F6216" t="inlineStr">
        <is>
          <t>GÄVLEBORGS LÄN</t>
        </is>
      </c>
      <c r="G6216" t="inlineStr">
        <is>
          <t>HOFORS</t>
        </is>
      </c>
      <c r="I6216" t="n">
        <v>0.5</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14092-2026</t>
        </is>
      </c>
      <c r="B6217" t="inlineStr">
        <is>
          <t>avverkningsanmälan</t>
        </is>
      </c>
      <c r="C6217" t="inlineStr">
        <is>
          <t>Föryngringsavverkning</t>
        </is>
      </c>
      <c r="D6217" s="1" t="n">
        <v>46099</v>
      </c>
      <c r="E6217" s="1" t="n">
        <v>46326</v>
      </c>
      <c r="F6217" t="inlineStr">
        <is>
          <t>GÄVLEBORGS LÄN</t>
        </is>
      </c>
      <c r="G6217" t="inlineStr">
        <is>
          <t>SANDVIKEN</t>
        </is>
      </c>
      <c r="H6217" t="inlineStr">
        <is>
          <t>Bergvik skog öst AB</t>
        </is>
      </c>
      <c r="I6217" t="n">
        <v>1.4</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16170-2026</t>
        </is>
      </c>
      <c r="B6218" t="inlineStr">
        <is>
          <t>avverkningsanmälan</t>
        </is>
      </c>
      <c r="C6218" t="inlineStr">
        <is>
          <t>Föryngringsavverkning</t>
        </is>
      </c>
      <c r="D6218" s="1" t="n">
        <v>46111</v>
      </c>
      <c r="E6218" s="1" t="n">
        <v>46326</v>
      </c>
      <c r="F6218" t="inlineStr">
        <is>
          <t>GÄVLEBORGS LÄN</t>
        </is>
      </c>
      <c r="G6218" t="inlineStr">
        <is>
          <t>OVANÅKER</t>
        </is>
      </c>
      <c r="H6218" t="inlineStr">
        <is>
          <t>Bergvik skog öst AB</t>
        </is>
      </c>
      <c r="I6218" t="n">
        <v>2.9</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16179-2026</t>
        </is>
      </c>
      <c r="B6219" t="inlineStr">
        <is>
          <t>avverkningsanmälan</t>
        </is>
      </c>
      <c r="C6219" t="inlineStr">
        <is>
          <t>Föryngringsavverkning</t>
        </is>
      </c>
      <c r="D6219" s="1" t="n">
        <v>46111</v>
      </c>
      <c r="E6219" s="1" t="n">
        <v>46326</v>
      </c>
      <c r="F6219" t="inlineStr">
        <is>
          <t>GÄVLEBORGS LÄN</t>
        </is>
      </c>
      <c r="G6219" t="inlineStr">
        <is>
          <t>OVANÅKER</t>
        </is>
      </c>
      <c r="H6219" t="inlineStr">
        <is>
          <t>Bergvik skog öst AB</t>
        </is>
      </c>
      <c r="I6219" t="n">
        <v>0.5</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16349-2026</t>
        </is>
      </c>
      <c r="B6220" t="inlineStr">
        <is>
          <t>avverkningsanmälan</t>
        </is>
      </c>
      <c r="C6220" t="inlineStr">
        <is>
          <t>Föryngringsavverkning</t>
        </is>
      </c>
      <c r="D6220" s="1" t="n">
        <v>46111</v>
      </c>
      <c r="E6220" s="1" t="n">
        <v>46326</v>
      </c>
      <c r="F6220" t="inlineStr">
        <is>
          <t>GÄVLEBORGS LÄN</t>
        </is>
      </c>
      <c r="G6220" t="inlineStr">
        <is>
          <t>BOLLNÄS</t>
        </is>
      </c>
      <c r="H6220" t="inlineStr">
        <is>
          <t>Bergvik skog öst AB</t>
        </is>
      </c>
      <c r="I6220" t="n">
        <v>1.3</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18990-2026</t>
        </is>
      </c>
      <c r="B6221" t="inlineStr">
        <is>
          <t>avverkningsanmälan</t>
        </is>
      </c>
      <c r="C6221" t="inlineStr">
        <is>
          <t>Föryngringsavverkning</t>
        </is>
      </c>
      <c r="D6221" s="1" t="n">
        <v>46129</v>
      </c>
      <c r="E6221" s="1" t="n">
        <v>46326</v>
      </c>
      <c r="F6221" t="inlineStr">
        <is>
          <t>GÄVLEBORGS LÄN</t>
        </is>
      </c>
      <c r="G6221" t="inlineStr">
        <is>
          <t>SANDVIKEN</t>
        </is>
      </c>
      <c r="H6221" t="inlineStr">
        <is>
          <t>Bergvik skog öst AB</t>
        </is>
      </c>
      <c r="I6221" t="n">
        <v>4.3</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18987-2026</t>
        </is>
      </c>
      <c r="B6222" t="inlineStr">
        <is>
          <t>avverkningsanmälan</t>
        </is>
      </c>
      <c r="C6222" t="inlineStr">
        <is>
          <t>Föryngringsavverkning</t>
        </is>
      </c>
      <c r="D6222" s="1" t="n">
        <v>46129</v>
      </c>
      <c r="E6222" s="1" t="n">
        <v>46326</v>
      </c>
      <c r="F6222" t="inlineStr">
        <is>
          <t>GÄVLEBORGS LÄN</t>
        </is>
      </c>
      <c r="G6222" t="inlineStr">
        <is>
          <t>SANDVIKEN</t>
        </is>
      </c>
      <c r="H6222" t="inlineStr">
        <is>
          <t>Bergvik skog öst AB</t>
        </is>
      </c>
      <c r="I6222" t="n">
        <v>3</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15027-2026</t>
        </is>
      </c>
      <c r="B6223" t="inlineStr">
        <is>
          <t>avverkningsanmälan</t>
        </is>
      </c>
      <c r="C6223" t="inlineStr">
        <is>
          <t>Föryngringsavverkning</t>
        </is>
      </c>
      <c r="D6223" s="1" t="n">
        <v>46104</v>
      </c>
      <c r="E6223" s="1" t="n">
        <v>46326</v>
      </c>
      <c r="F6223" t="inlineStr">
        <is>
          <t>GÄVLEBORGS LÄN</t>
        </is>
      </c>
      <c r="G6223" t="inlineStr">
        <is>
          <t>OVANÅKER</t>
        </is>
      </c>
      <c r="H6223" t="inlineStr">
        <is>
          <t>Bergvik skog öst AB</t>
        </is>
      </c>
      <c r="I6223" t="n">
        <v>1.3</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16306-2026</t>
        </is>
      </c>
      <c r="B6224" t="inlineStr">
        <is>
          <t>avverkningsanmälan</t>
        </is>
      </c>
      <c r="C6224" t="inlineStr">
        <is>
          <t>Föryngringsavverkning</t>
        </is>
      </c>
      <c r="D6224" s="1" t="n">
        <v>46111</v>
      </c>
      <c r="E6224" s="1" t="n">
        <v>46326</v>
      </c>
      <c r="F6224" t="inlineStr">
        <is>
          <t>GÄVLEBORGS LÄN</t>
        </is>
      </c>
      <c r="G6224" t="inlineStr">
        <is>
          <t>OVANÅKER</t>
        </is>
      </c>
      <c r="H6224" t="inlineStr">
        <is>
          <t>Bergvik skog öst AB</t>
        </is>
      </c>
      <c r="I6224" t="n">
        <v>3.8</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45549-2024</t>
        </is>
      </c>
      <c r="B6225" t="inlineStr">
        <is>
          <t>avverkningsanmälan</t>
        </is>
      </c>
      <c r="C6225" t="inlineStr">
        <is>
          <t>Föryngringsavverkning</t>
        </is>
      </c>
      <c r="D6225" s="1" t="n">
        <v>45579</v>
      </c>
      <c r="E6225" s="1" t="n">
        <v>46326</v>
      </c>
      <c r="F6225" t="inlineStr">
        <is>
          <t>GÄVLEBORGS LÄN</t>
        </is>
      </c>
      <c r="G6225" t="inlineStr">
        <is>
          <t>NORDANSTIG</t>
        </is>
      </c>
      <c r="I6225" t="n">
        <v>0.7</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15443-2026</t>
        </is>
      </c>
      <c r="B6226" t="inlineStr">
        <is>
          <t>avverkningsanmälan</t>
        </is>
      </c>
      <c r="C6226" t="inlineStr">
        <is>
          <t>Föryngringsavverkning</t>
        </is>
      </c>
      <c r="D6226" s="1" t="n">
        <v>46106</v>
      </c>
      <c r="E6226" s="1" t="n">
        <v>46326</v>
      </c>
      <c r="F6226" t="inlineStr">
        <is>
          <t>GÄVLEBORGS LÄN</t>
        </is>
      </c>
      <c r="G6226" t="inlineStr">
        <is>
          <t>OVANÅKER</t>
        </is>
      </c>
      <c r="H6226" t="inlineStr">
        <is>
          <t>Bergvik skog öst AB</t>
        </is>
      </c>
      <c r="I6226" t="n">
        <v>0.9</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16202-2026</t>
        </is>
      </c>
      <c r="B6227" t="inlineStr">
        <is>
          <t>avverkningsanmälan</t>
        </is>
      </c>
      <c r="C6227" t="inlineStr">
        <is>
          <t>Föryngringsavverkning</t>
        </is>
      </c>
      <c r="D6227" s="1" t="n">
        <v>46111</v>
      </c>
      <c r="E6227" s="1" t="n">
        <v>46326</v>
      </c>
      <c r="F6227" t="inlineStr">
        <is>
          <t>GÄVLEBORGS LÄN</t>
        </is>
      </c>
      <c r="G6227" t="inlineStr">
        <is>
          <t>OVANÅKER</t>
        </is>
      </c>
      <c r="H6227" t="inlineStr">
        <is>
          <t>Bergvik skog öst AB</t>
        </is>
      </c>
      <c r="I6227" t="n">
        <v>3.1</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16205-2026</t>
        </is>
      </c>
      <c r="B6228" t="inlineStr">
        <is>
          <t>avverkningsanmälan</t>
        </is>
      </c>
      <c r="C6228" t="inlineStr">
        <is>
          <t>Föryngringsavverkning</t>
        </is>
      </c>
      <c r="D6228" s="1" t="n">
        <v>46111</v>
      </c>
      <c r="E6228" s="1" t="n">
        <v>46326</v>
      </c>
      <c r="F6228" t="inlineStr">
        <is>
          <t>GÄVLEBORGS LÄN</t>
        </is>
      </c>
      <c r="G6228" t="inlineStr">
        <is>
          <t>OVANÅKER</t>
        </is>
      </c>
      <c r="H6228" t="inlineStr">
        <is>
          <t>Bergvik skog öst AB</t>
        </is>
      </c>
      <c r="I6228" t="n">
        <v>24.9</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7532-2025</t>
        </is>
      </c>
      <c r="B6229" t="inlineStr">
        <is>
          <t>avverkningsanmälan</t>
        </is>
      </c>
      <c r="C6229" t="inlineStr">
        <is>
          <t>Föryngringsavverkning</t>
        </is>
      </c>
      <c r="D6229" s="1" t="n">
        <v>45705</v>
      </c>
      <c r="E6229" s="1" t="n">
        <v>46326</v>
      </c>
      <c r="F6229" t="inlineStr">
        <is>
          <t>GÄVLEBORGS LÄN</t>
        </is>
      </c>
      <c r="G6229" t="inlineStr">
        <is>
          <t>HUDIKSVALL</t>
        </is>
      </c>
      <c r="H6229" t="inlineStr">
        <is>
          <t>Holmen skog AB</t>
        </is>
      </c>
      <c r="I6229" t="n">
        <v>4.8</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18749-2026</t>
        </is>
      </c>
      <c r="B6230" t="inlineStr">
        <is>
          <t>avverkningsanmälan</t>
        </is>
      </c>
      <c r="C6230" t="inlineStr">
        <is>
          <t>Föryngringsavverkning</t>
        </is>
      </c>
      <c r="D6230" s="1" t="n">
        <v>46128</v>
      </c>
      <c r="E6230" s="1" t="n">
        <v>46326</v>
      </c>
      <c r="F6230" t="inlineStr">
        <is>
          <t>GÄVLEBORGS LÄN</t>
        </is>
      </c>
      <c r="G6230" t="inlineStr">
        <is>
          <t>SANDVIKEN</t>
        </is>
      </c>
      <c r="I6230" t="n">
        <v>1.3</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18811-2026</t>
        </is>
      </c>
      <c r="B6231" t="inlineStr">
        <is>
          <t>avverkningsanmälan</t>
        </is>
      </c>
      <c r="C6231" t="inlineStr">
        <is>
          <t>Föryngringsavverkning</t>
        </is>
      </c>
      <c r="D6231" s="1" t="n">
        <v>46128</v>
      </c>
      <c r="E6231" s="1" t="n">
        <v>46326</v>
      </c>
      <c r="F6231" t="inlineStr">
        <is>
          <t>GÄVLEBORGS LÄN</t>
        </is>
      </c>
      <c r="G6231" t="inlineStr">
        <is>
          <t>SANDVIKEN</t>
        </is>
      </c>
      <c r="I6231" t="n">
        <v>2.2</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15457-2026</t>
        </is>
      </c>
      <c r="B6232" t="inlineStr">
        <is>
          <t>avverkningsanmälan</t>
        </is>
      </c>
      <c r="C6232" t="inlineStr">
        <is>
          <t>Föryngringsavverkning</t>
        </is>
      </c>
      <c r="D6232" s="1" t="n">
        <v>46106</v>
      </c>
      <c r="E6232" s="1" t="n">
        <v>46326</v>
      </c>
      <c r="F6232" t="inlineStr">
        <is>
          <t>GÄVLEBORGS LÄN</t>
        </is>
      </c>
      <c r="G6232" t="inlineStr">
        <is>
          <t>OVANÅKER</t>
        </is>
      </c>
      <c r="H6232" t="inlineStr">
        <is>
          <t>Bergvik skog öst AB</t>
        </is>
      </c>
      <c r="I6232" t="n">
        <v>5.9</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18817-2026</t>
        </is>
      </c>
      <c r="B6233" t="inlineStr">
        <is>
          <t>avverkningsanmälan</t>
        </is>
      </c>
      <c r="C6233" t="inlineStr">
        <is>
          <t>Föryngringsavverkning</t>
        </is>
      </c>
      <c r="D6233" s="1" t="n">
        <v>46128</v>
      </c>
      <c r="E6233" s="1" t="n">
        <v>46326</v>
      </c>
      <c r="F6233" t="inlineStr">
        <is>
          <t>GÄVLEBORGS LÄN</t>
        </is>
      </c>
      <c r="G6233" t="inlineStr">
        <is>
          <t>GÄVLE</t>
        </is>
      </c>
      <c r="H6233" t="inlineStr">
        <is>
          <t>Bergvik skog öst AB</t>
        </is>
      </c>
      <c r="I6233" t="n">
        <v>3.3</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18669-2026</t>
        </is>
      </c>
      <c r="B6234" t="inlineStr">
        <is>
          <t>avverkningsanmälan</t>
        </is>
      </c>
      <c r="C6234" t="inlineStr">
        <is>
          <t>Föryngringsavverkning</t>
        </is>
      </c>
      <c r="D6234" s="1" t="n">
        <v>46128</v>
      </c>
      <c r="E6234" s="1" t="n">
        <v>46326</v>
      </c>
      <c r="F6234" t="inlineStr">
        <is>
          <t>GÄVLEBORGS LÄN</t>
        </is>
      </c>
      <c r="G6234" t="inlineStr">
        <is>
          <t>OCKELBO</t>
        </is>
      </c>
      <c r="H6234" t="inlineStr">
        <is>
          <t>Bergvik skog väst AB</t>
        </is>
      </c>
      <c r="I6234" t="n">
        <v>0.5</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13288-2026</t>
        </is>
      </c>
      <c r="B6235" t="inlineStr">
        <is>
          <t>avverkningsanmälan</t>
        </is>
      </c>
      <c r="C6235" t="inlineStr">
        <is>
          <t>Föryngringsavverkning</t>
        </is>
      </c>
      <c r="D6235" s="1" t="n">
        <v>46094</v>
      </c>
      <c r="E6235" s="1" t="n">
        <v>46326</v>
      </c>
      <c r="F6235" t="inlineStr">
        <is>
          <t>GÄVLEBORGS LÄN</t>
        </is>
      </c>
      <c r="G6235" t="inlineStr">
        <is>
          <t>SÖDERHAMN</t>
        </is>
      </c>
      <c r="I6235" t="n">
        <v>0.5</v>
      </c>
      <c r="J6235" t="n">
        <v>0</v>
      </c>
      <c r="K6235" t="n">
        <v>0</v>
      </c>
      <c r="L6235" t="n">
        <v>0</v>
      </c>
      <c r="M6235" t="n">
        <v>0</v>
      </c>
      <c r="N6235" t="n">
        <v>0</v>
      </c>
      <c r="O6235" t="n">
        <v>0</v>
      </c>
      <c r="P6235" t="n">
        <v>0</v>
      </c>
      <c r="Q6235" t="n">
        <v>0</v>
      </c>
      <c r="R6235" t="n">
        <v>0</v>
      </c>
      <c r="S6235" t="n">
        <v>0</v>
      </c>
      <c r="T6235" t="n">
        <v>0</v>
      </c>
      <c r="U6235" t="n">
        <v>0</v>
      </c>
      <c r="V6235" s="2" t="inlineStr"/>
    </row>
    <row r="6236" ht="15" customHeight="1">
      <c r="A6236" t="inlineStr">
        <is>
          <t>A 15298-2026</t>
        </is>
      </c>
      <c r="B6236" t="inlineStr">
        <is>
          <t>avverkningsanmälan</t>
        </is>
      </c>
      <c r="C6236" t="inlineStr">
        <is>
          <t>Föryngringsavverkning</t>
        </is>
      </c>
      <c r="D6236" s="1" t="n">
        <v>46105</v>
      </c>
      <c r="E6236" s="1" t="n">
        <v>46326</v>
      </c>
      <c r="F6236" t="inlineStr">
        <is>
          <t>GÄVLEBORGS LÄN</t>
        </is>
      </c>
      <c r="G6236" t="inlineStr">
        <is>
          <t>OVANÅKER</t>
        </is>
      </c>
      <c r="H6236" t="inlineStr">
        <is>
          <t>Bergvik skog öst AB</t>
        </is>
      </c>
      <c r="I6236" t="n">
        <v>1.5</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51922-2022</t>
        </is>
      </c>
      <c r="B6237" t="inlineStr">
        <is>
          <t>avverkningsanmälan</t>
        </is>
      </c>
      <c r="C6237" t="inlineStr">
        <is>
          <t>Föryngringsavverkning</t>
        </is>
      </c>
      <c r="D6237" s="1" t="n">
        <v>44872</v>
      </c>
      <c r="E6237" s="1" t="n">
        <v>46326</v>
      </c>
      <c r="F6237" t="inlineStr">
        <is>
          <t>GÄVLEBORGS LÄN</t>
        </is>
      </c>
      <c r="G6237" t="inlineStr">
        <is>
          <t>LJUSDAL</t>
        </is>
      </c>
      <c r="H6237" t="inlineStr">
        <is>
          <t>Kommuner</t>
        </is>
      </c>
      <c r="I6237" t="n">
        <v>5</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26377-2023</t>
        </is>
      </c>
      <c r="B6238" t="inlineStr">
        <is>
          <t>avverkningsanmälan</t>
        </is>
      </c>
      <c r="C6238" t="inlineStr">
        <is>
          <t>Föryngringsavverkning</t>
        </is>
      </c>
      <c r="D6238" s="1" t="n">
        <v>45092</v>
      </c>
      <c r="E6238" s="1" t="n">
        <v>46326</v>
      </c>
      <c r="F6238" t="inlineStr">
        <is>
          <t>GÄVLEBORGS LÄN</t>
        </is>
      </c>
      <c r="G6238" t="inlineStr">
        <is>
          <t>BOLLNÄS</t>
        </is>
      </c>
      <c r="I6238" t="n">
        <v>2.8</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18490-2026</t>
        </is>
      </c>
      <c r="B6239" t="inlineStr">
        <is>
          <t>avverkningsanmälan</t>
        </is>
      </c>
      <c r="C6239" t="inlineStr">
        <is>
          <t>Föryngringsavverkning</t>
        </is>
      </c>
      <c r="D6239" s="1" t="n">
        <v>46127</v>
      </c>
      <c r="E6239" s="1" t="n">
        <v>46326</v>
      </c>
      <c r="F6239" t="inlineStr">
        <is>
          <t>GÄVLEBORGS LÄN</t>
        </is>
      </c>
      <c r="G6239" t="inlineStr">
        <is>
          <t>OVANÅKER</t>
        </is>
      </c>
      <c r="H6239" t="inlineStr">
        <is>
          <t>Bergvik skog öst AB</t>
        </is>
      </c>
      <c r="I6239" t="n">
        <v>2.4</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63865-2023</t>
        </is>
      </c>
      <c r="B6240" t="inlineStr">
        <is>
          <t>avverkningsanmälan</t>
        </is>
      </c>
      <c r="C6240" t="inlineStr">
        <is>
          <t>Föryngringsavverkning</t>
        </is>
      </c>
      <c r="D6240" s="1" t="n">
        <v>45278</v>
      </c>
      <c r="E6240" s="1" t="n">
        <v>46326</v>
      </c>
      <c r="F6240" t="inlineStr">
        <is>
          <t>GÄVLEBORGS LÄN</t>
        </is>
      </c>
      <c r="G6240" t="inlineStr">
        <is>
          <t>BOLLNÄS</t>
        </is>
      </c>
      <c r="I6240" t="n">
        <v>0.4</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63868-2023</t>
        </is>
      </c>
      <c r="B6241" t="inlineStr">
        <is>
          <t>avverkningsanmälan</t>
        </is>
      </c>
      <c r="C6241" t="inlineStr">
        <is>
          <t>Föryngringsavverkning</t>
        </is>
      </c>
      <c r="D6241" s="1" t="n">
        <v>45278</v>
      </c>
      <c r="E6241" s="1" t="n">
        <v>46326</v>
      </c>
      <c r="F6241" t="inlineStr">
        <is>
          <t>GÄVLEBORGS LÄN</t>
        </is>
      </c>
      <c r="G6241" t="inlineStr">
        <is>
          <t>BOLLNÄS</t>
        </is>
      </c>
      <c r="I6241" t="n">
        <v>0.3</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30877-2023</t>
        </is>
      </c>
      <c r="B6242" t="inlineStr">
        <is>
          <t>avverkningsanmälan</t>
        </is>
      </c>
      <c r="C6242" t="inlineStr">
        <is>
          <t>Föryngringsavverkning</t>
        </is>
      </c>
      <c r="D6242" s="1" t="n">
        <v>45113</v>
      </c>
      <c r="E6242" s="1" t="n">
        <v>46326</v>
      </c>
      <c r="F6242" t="inlineStr">
        <is>
          <t>GÄVLEBORGS LÄN</t>
        </is>
      </c>
      <c r="G6242" t="inlineStr">
        <is>
          <t>BOLLNÄS</t>
        </is>
      </c>
      <c r="I6242" t="n">
        <v>3.1</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12705-2026</t>
        </is>
      </c>
      <c r="B6243" t="inlineStr">
        <is>
          <t>avverkningsanmälan</t>
        </is>
      </c>
      <c r="C6243" t="inlineStr">
        <is>
          <t>Föryngringsavverkning</t>
        </is>
      </c>
      <c r="D6243" s="1" t="n">
        <v>46091</v>
      </c>
      <c r="E6243" s="1" t="n">
        <v>46326</v>
      </c>
      <c r="F6243" t="inlineStr">
        <is>
          <t>GÄVLEBORGS LÄN</t>
        </is>
      </c>
      <c r="G6243" t="inlineStr">
        <is>
          <t>HOFORS</t>
        </is>
      </c>
      <c r="H6243" t="inlineStr">
        <is>
          <t>Bergvik skog öst AB</t>
        </is>
      </c>
      <c r="I6243" t="n">
        <v>1.3</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13492-2026</t>
        </is>
      </c>
      <c r="B6244" t="inlineStr">
        <is>
          <t>avverkningsanmälan</t>
        </is>
      </c>
      <c r="C6244" t="inlineStr">
        <is>
          <t>Föryngringsavverkning</t>
        </is>
      </c>
      <c r="D6244" s="1" t="n">
        <v>46094</v>
      </c>
      <c r="E6244" s="1" t="n">
        <v>46326</v>
      </c>
      <c r="F6244" t="inlineStr">
        <is>
          <t>GÄVLEBORGS LÄN</t>
        </is>
      </c>
      <c r="G6244" t="inlineStr">
        <is>
          <t>GÄVLE</t>
        </is>
      </c>
      <c r="H6244" t="inlineStr">
        <is>
          <t>Bergvik skog öst AB</t>
        </is>
      </c>
      <c r="I6244" t="n">
        <v>0.9</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15295-2026</t>
        </is>
      </c>
      <c r="B6245" t="inlineStr">
        <is>
          <t>avverkningsanmälan</t>
        </is>
      </c>
      <c r="C6245" t="inlineStr">
        <is>
          <t>Föryngringsavverkning</t>
        </is>
      </c>
      <c r="D6245" s="1" t="n">
        <v>46105</v>
      </c>
      <c r="E6245" s="1" t="n">
        <v>46326</v>
      </c>
      <c r="F6245" t="inlineStr">
        <is>
          <t>GÄVLEBORGS LÄN</t>
        </is>
      </c>
      <c r="G6245" t="inlineStr">
        <is>
          <t>OVANÅKER</t>
        </is>
      </c>
      <c r="H6245" t="inlineStr">
        <is>
          <t>Bergvik skog öst AB</t>
        </is>
      </c>
      <c r="I6245" t="n">
        <v>5.1</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16027-2026</t>
        </is>
      </c>
      <c r="B6246" t="inlineStr">
        <is>
          <t>avverkningsanmälan</t>
        </is>
      </c>
      <c r="C6246" t="inlineStr">
        <is>
          <t>Föryngringsavverkning</t>
        </is>
      </c>
      <c r="D6246" s="1" t="n">
        <v>46108</v>
      </c>
      <c r="E6246" s="1" t="n">
        <v>46326</v>
      </c>
      <c r="F6246" t="inlineStr">
        <is>
          <t>GÄVLEBORGS LÄN</t>
        </is>
      </c>
      <c r="G6246" t="inlineStr">
        <is>
          <t>OVANÅKER</t>
        </is>
      </c>
      <c r="H6246" t="inlineStr">
        <is>
          <t>Bergvik skog öst AB</t>
        </is>
      </c>
      <c r="I6246" t="n">
        <v>4.7</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15521-2026</t>
        </is>
      </c>
      <c r="B6247" t="inlineStr">
        <is>
          <t>avverkningsanmälan</t>
        </is>
      </c>
      <c r="C6247" t="inlineStr">
        <is>
          <t>Föryngringsavverkning</t>
        </is>
      </c>
      <c r="D6247" s="1" t="n">
        <v>46106</v>
      </c>
      <c r="E6247" s="1" t="n">
        <v>46326</v>
      </c>
      <c r="F6247" t="inlineStr">
        <is>
          <t>GÄVLEBORGS LÄN</t>
        </is>
      </c>
      <c r="G6247" t="inlineStr">
        <is>
          <t>OVANÅKER</t>
        </is>
      </c>
      <c r="H6247" t="inlineStr">
        <is>
          <t>Bergvik skog öst AB</t>
        </is>
      </c>
      <c r="I6247" t="n">
        <v>0.8</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15558-2026</t>
        </is>
      </c>
      <c r="B6248" t="inlineStr">
        <is>
          <t>avverkningsanmälan</t>
        </is>
      </c>
      <c r="C6248" t="inlineStr">
        <is>
          <t>Föryngringsavverkning</t>
        </is>
      </c>
      <c r="D6248" s="1" t="n">
        <v>46106</v>
      </c>
      <c r="E6248" s="1" t="n">
        <v>46326</v>
      </c>
      <c r="F6248" t="inlineStr">
        <is>
          <t>GÄVLEBORGS LÄN</t>
        </is>
      </c>
      <c r="G6248" t="inlineStr">
        <is>
          <t>GÄVLE</t>
        </is>
      </c>
      <c r="H6248" t="inlineStr">
        <is>
          <t>Bergvik skog öst AB</t>
        </is>
      </c>
      <c r="I6248" t="n">
        <v>8</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16393-2025</t>
        </is>
      </c>
      <c r="B6249" t="inlineStr">
        <is>
          <t>avverkningsanmälan</t>
        </is>
      </c>
      <c r="C6249" t="inlineStr">
        <is>
          <t>Föryngringsavverkning</t>
        </is>
      </c>
      <c r="D6249" s="1" t="n">
        <v>45751</v>
      </c>
      <c r="E6249" s="1" t="n">
        <v>46326</v>
      </c>
      <c r="F6249" t="inlineStr">
        <is>
          <t>GÄVLEBORGS LÄN</t>
        </is>
      </c>
      <c r="G6249" t="inlineStr">
        <is>
          <t>OVANÅKER</t>
        </is>
      </c>
      <c r="H6249" t="inlineStr">
        <is>
          <t>Bergvik skog öst AB</t>
        </is>
      </c>
      <c r="I6249" t="n">
        <v>1</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15568-2026</t>
        </is>
      </c>
      <c r="B6250" t="inlineStr">
        <is>
          <t>avverkningsanmälan</t>
        </is>
      </c>
      <c r="C6250" t="inlineStr">
        <is>
          <t>Föryngringsavverkning</t>
        </is>
      </c>
      <c r="D6250" s="1" t="n">
        <v>46106</v>
      </c>
      <c r="E6250" s="1" t="n">
        <v>46326</v>
      </c>
      <c r="F6250" t="inlineStr">
        <is>
          <t>GÄVLEBORGS LÄN</t>
        </is>
      </c>
      <c r="G6250" t="inlineStr">
        <is>
          <t>GÄVLE</t>
        </is>
      </c>
      <c r="H6250" t="inlineStr">
        <is>
          <t>Bergvik skog öst AB</t>
        </is>
      </c>
      <c r="I6250" t="n">
        <v>1.7</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15581-2026</t>
        </is>
      </c>
      <c r="B6251" t="inlineStr">
        <is>
          <t>avverkningsanmälan</t>
        </is>
      </c>
      <c r="C6251" t="inlineStr">
        <is>
          <t>Föryngringsavverkning</t>
        </is>
      </c>
      <c r="D6251" s="1" t="n">
        <v>46106</v>
      </c>
      <c r="E6251" s="1" t="n">
        <v>46326</v>
      </c>
      <c r="F6251" t="inlineStr">
        <is>
          <t>GÄVLEBORGS LÄN</t>
        </is>
      </c>
      <c r="G6251" t="inlineStr">
        <is>
          <t>OCKELBO</t>
        </is>
      </c>
      <c r="H6251" t="inlineStr">
        <is>
          <t>Bergvik skog öst AB</t>
        </is>
      </c>
      <c r="I6251" t="n">
        <v>7.6</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18801-2026</t>
        </is>
      </c>
      <c r="B6252" t="inlineStr">
        <is>
          <t>avverkningsanmälan</t>
        </is>
      </c>
      <c r="C6252" t="inlineStr">
        <is>
          <t>Föryngringsavverkning</t>
        </is>
      </c>
      <c r="D6252" s="1" t="n">
        <v>46128</v>
      </c>
      <c r="E6252" s="1" t="n">
        <v>46326</v>
      </c>
      <c r="F6252" t="inlineStr">
        <is>
          <t>GÄVLEBORGS LÄN</t>
        </is>
      </c>
      <c r="G6252" t="inlineStr">
        <is>
          <t>OVANÅKER</t>
        </is>
      </c>
      <c r="I6252" t="n">
        <v>0.5</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18685-2026</t>
        </is>
      </c>
      <c r="B6253" t="inlineStr">
        <is>
          <t>avverkningsanmälan</t>
        </is>
      </c>
      <c r="C6253" t="inlineStr">
        <is>
          <t>Föryngringsavverkning</t>
        </is>
      </c>
      <c r="D6253" s="1" t="n">
        <v>46128</v>
      </c>
      <c r="E6253" s="1" t="n">
        <v>46326</v>
      </c>
      <c r="F6253" t="inlineStr">
        <is>
          <t>GÄVLEBORGS LÄN</t>
        </is>
      </c>
      <c r="G6253" t="inlineStr">
        <is>
          <t>LJUSDAL</t>
        </is>
      </c>
      <c r="I6253" t="n">
        <v>5</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18769-2026</t>
        </is>
      </c>
      <c r="B6254" t="inlineStr">
        <is>
          <t>avverkningsanmälan</t>
        </is>
      </c>
      <c r="C6254" t="inlineStr">
        <is>
          <t>Föryngringsavverkning</t>
        </is>
      </c>
      <c r="D6254" s="1" t="n">
        <v>46128</v>
      </c>
      <c r="E6254" s="1" t="n">
        <v>46326</v>
      </c>
      <c r="F6254" t="inlineStr">
        <is>
          <t>GÄVLEBORGS LÄN</t>
        </is>
      </c>
      <c r="G6254" t="inlineStr">
        <is>
          <t>OVANÅKER</t>
        </is>
      </c>
      <c r="I6254" t="n">
        <v>2.6</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18457-2026</t>
        </is>
      </c>
      <c r="B6255" t="inlineStr">
        <is>
          <t>avverkningsanmälan</t>
        </is>
      </c>
      <c r="C6255" t="inlineStr">
        <is>
          <t>Föryngringsavverkning</t>
        </is>
      </c>
      <c r="D6255" s="1" t="n">
        <v>46127</v>
      </c>
      <c r="E6255" s="1" t="n">
        <v>46326</v>
      </c>
      <c r="F6255" t="inlineStr">
        <is>
          <t>GÄVLEBORGS LÄN</t>
        </is>
      </c>
      <c r="G6255" t="inlineStr">
        <is>
          <t>OCKELBO</t>
        </is>
      </c>
      <c r="I6255" t="n">
        <v>4.6</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14960-2024</t>
        </is>
      </c>
      <c r="B6256" t="inlineStr">
        <is>
          <t>avverkningsanmälan</t>
        </is>
      </c>
      <c r="C6256" t="inlineStr">
        <is>
          <t>Föryngringsavverkning</t>
        </is>
      </c>
      <c r="D6256" s="1" t="n">
        <v>45398</v>
      </c>
      <c r="E6256" s="1" t="n">
        <v>46326</v>
      </c>
      <c r="F6256" t="inlineStr">
        <is>
          <t>GÄVLEBORGS LÄN</t>
        </is>
      </c>
      <c r="G6256" t="inlineStr">
        <is>
          <t>SÖDERHAMN</t>
        </is>
      </c>
      <c r="I6256" t="n">
        <v>0.9</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13547-2026</t>
        </is>
      </c>
      <c r="B6257" t="inlineStr">
        <is>
          <t>avverkningsanmälan</t>
        </is>
      </c>
      <c r="C6257" t="inlineStr">
        <is>
          <t>Föryngringsavverkning</t>
        </is>
      </c>
      <c r="D6257" s="1" t="n">
        <v>46094</v>
      </c>
      <c r="E6257" s="1" t="n">
        <v>46326</v>
      </c>
      <c r="F6257" t="inlineStr">
        <is>
          <t>GÄVLEBORGS LÄN</t>
        </is>
      </c>
      <c r="G6257" t="inlineStr">
        <is>
          <t>BOLLNÄS</t>
        </is>
      </c>
      <c r="I6257" t="n">
        <v>7.5</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18462-2026</t>
        </is>
      </c>
      <c r="B6258" t="inlineStr">
        <is>
          <t>avverkningsanmälan</t>
        </is>
      </c>
      <c r="C6258" t="inlineStr">
        <is>
          <t>Föryngringsavverkning</t>
        </is>
      </c>
      <c r="D6258" s="1" t="n">
        <v>46127</v>
      </c>
      <c r="E6258" s="1" t="n">
        <v>46326</v>
      </c>
      <c r="F6258" t="inlineStr">
        <is>
          <t>GÄVLEBORGS LÄN</t>
        </is>
      </c>
      <c r="G6258" t="inlineStr">
        <is>
          <t>BOLLNÄS</t>
        </is>
      </c>
      <c r="I6258" t="n">
        <v>0.5</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15472-2026</t>
        </is>
      </c>
      <c r="B6259" t="inlineStr">
        <is>
          <t>avverkningsanmälan</t>
        </is>
      </c>
      <c r="C6259" t="inlineStr">
        <is>
          <t>Föryngringsavverkning</t>
        </is>
      </c>
      <c r="D6259" s="1" t="n">
        <v>46106</v>
      </c>
      <c r="E6259" s="1" t="n">
        <v>46326</v>
      </c>
      <c r="F6259" t="inlineStr">
        <is>
          <t>GÄVLEBORGS LÄN</t>
        </is>
      </c>
      <c r="G6259" t="inlineStr">
        <is>
          <t>OVANÅKER</t>
        </is>
      </c>
      <c r="H6259" t="inlineStr">
        <is>
          <t>Bergvik skog öst AB</t>
        </is>
      </c>
      <c r="I6259" t="n">
        <v>1.6</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16180-2026</t>
        </is>
      </c>
      <c r="B6260" t="inlineStr">
        <is>
          <t>avverkningsanmälan</t>
        </is>
      </c>
      <c r="C6260" t="inlineStr">
        <is>
          <t>Föryngringsavverkning</t>
        </is>
      </c>
      <c r="D6260" s="1" t="n">
        <v>46111</v>
      </c>
      <c r="E6260" s="1" t="n">
        <v>46326</v>
      </c>
      <c r="F6260" t="inlineStr">
        <is>
          <t>GÄVLEBORGS LÄN</t>
        </is>
      </c>
      <c r="G6260" t="inlineStr">
        <is>
          <t>OVANÅKER</t>
        </is>
      </c>
      <c r="H6260" t="inlineStr">
        <is>
          <t>Bergvik skog öst AB</t>
        </is>
      </c>
      <c r="I6260" t="n">
        <v>0.8</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16181-2026</t>
        </is>
      </c>
      <c r="B6261" t="inlineStr">
        <is>
          <t>avverkningsanmälan</t>
        </is>
      </c>
      <c r="C6261" t="inlineStr">
        <is>
          <t>Föryngringsavverkning</t>
        </is>
      </c>
      <c r="D6261" s="1" t="n">
        <v>46111</v>
      </c>
      <c r="E6261" s="1" t="n">
        <v>46326</v>
      </c>
      <c r="F6261" t="inlineStr">
        <is>
          <t>GÄVLEBORGS LÄN</t>
        </is>
      </c>
      <c r="G6261" t="inlineStr">
        <is>
          <t>OVANÅKER</t>
        </is>
      </c>
      <c r="H6261" t="inlineStr">
        <is>
          <t>Bergvik skog öst AB</t>
        </is>
      </c>
      <c r="I6261" t="n">
        <v>2.1</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34447-2022</t>
        </is>
      </c>
      <c r="B6262" t="inlineStr">
        <is>
          <t>avverkningsanmälan</t>
        </is>
      </c>
      <c r="C6262" t="inlineStr">
        <is>
          <t>Föryngringsavverkning</t>
        </is>
      </c>
      <c r="D6262" s="1" t="n">
        <v>44792</v>
      </c>
      <c r="E6262" s="1" t="n">
        <v>46326</v>
      </c>
      <c r="F6262" t="inlineStr">
        <is>
          <t>GÄVLEBORGS LÄN</t>
        </is>
      </c>
      <c r="G6262" t="inlineStr">
        <is>
          <t>LJUSDAL</t>
        </is>
      </c>
      <c r="I6262" t="n">
        <v>3.5</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15634-2026</t>
        </is>
      </c>
      <c r="B6263" t="inlineStr">
        <is>
          <t>avverkningsanmälan</t>
        </is>
      </c>
      <c r="C6263" t="inlineStr">
        <is>
          <t>Föryngringsavverkning</t>
        </is>
      </c>
      <c r="D6263" s="1" t="n">
        <v>46106</v>
      </c>
      <c r="E6263" s="1" t="n">
        <v>46326</v>
      </c>
      <c r="F6263" t="inlineStr">
        <is>
          <t>GÄVLEBORGS LÄN</t>
        </is>
      </c>
      <c r="G6263" t="inlineStr">
        <is>
          <t>GÄVLE</t>
        </is>
      </c>
      <c r="H6263" t="inlineStr">
        <is>
          <t>Bergvik skog öst AB</t>
        </is>
      </c>
      <c r="I6263" t="n">
        <v>36.3</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18539-2026</t>
        </is>
      </c>
      <c r="B6264" t="inlineStr">
        <is>
          <t>avverkningsanmälan</t>
        </is>
      </c>
      <c r="C6264" t="inlineStr">
        <is>
          <t>Föryngringsavverkning</t>
        </is>
      </c>
      <c r="D6264" s="1" t="n">
        <v>46127</v>
      </c>
      <c r="E6264" s="1" t="n">
        <v>46326</v>
      </c>
      <c r="F6264" t="inlineStr">
        <is>
          <t>GÄVLEBORGS LÄN</t>
        </is>
      </c>
      <c r="G6264" t="inlineStr">
        <is>
          <t>BOLLNÄS</t>
        </is>
      </c>
      <c r="I6264" t="n">
        <v>2.4</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18582-2026</t>
        </is>
      </c>
      <c r="B6265" t="inlineStr">
        <is>
          <t>avverkningsanmälan</t>
        </is>
      </c>
      <c r="C6265" t="inlineStr">
        <is>
          <t>Föryngringsavverkning</t>
        </is>
      </c>
      <c r="D6265" s="1" t="n">
        <v>46127</v>
      </c>
      <c r="E6265" s="1" t="n">
        <v>46326</v>
      </c>
      <c r="F6265" t="inlineStr">
        <is>
          <t>GÄVLEBORGS LÄN</t>
        </is>
      </c>
      <c r="G6265" t="inlineStr">
        <is>
          <t>HUDIKSVALL</t>
        </is>
      </c>
      <c r="I6265" t="n">
        <v>0.5</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22226-2024</t>
        </is>
      </c>
      <c r="B6266" t="inlineStr">
        <is>
          <t>avverkningsanmälan</t>
        </is>
      </c>
      <c r="C6266" t="inlineStr">
        <is>
          <t>Föryngringsavverkning</t>
        </is>
      </c>
      <c r="D6266" s="1" t="n">
        <v>45446</v>
      </c>
      <c r="E6266" s="1" t="n">
        <v>46326</v>
      </c>
      <c r="F6266" t="inlineStr">
        <is>
          <t>GÄVLEBORGS LÄN</t>
        </is>
      </c>
      <c r="G6266" t="inlineStr">
        <is>
          <t>HOFORS</t>
        </is>
      </c>
      <c r="I6266" t="n">
        <v>0.6</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18842-2026</t>
        </is>
      </c>
      <c r="B6267" t="inlineStr">
        <is>
          <t>avverkningsanmälan</t>
        </is>
      </c>
      <c r="C6267" t="inlineStr">
        <is>
          <t>Föryngringsavverkning</t>
        </is>
      </c>
      <c r="D6267" s="1" t="n">
        <v>46129</v>
      </c>
      <c r="E6267" s="1" t="n">
        <v>46326</v>
      </c>
      <c r="F6267" t="inlineStr">
        <is>
          <t>GÄVLEBORGS LÄN</t>
        </is>
      </c>
      <c r="G6267" t="inlineStr">
        <is>
          <t>BOLLNÄS</t>
        </is>
      </c>
      <c r="I6267" t="n">
        <v>1.1</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63632-2023</t>
        </is>
      </c>
      <c r="B6268" t="inlineStr">
        <is>
          <t>avverkningsanmälan</t>
        </is>
      </c>
      <c r="C6268" t="inlineStr">
        <is>
          <t>Föryngringsavverkning</t>
        </is>
      </c>
      <c r="D6268" s="1" t="n">
        <v>45275</v>
      </c>
      <c r="E6268" s="1" t="n">
        <v>46326</v>
      </c>
      <c r="F6268" t="inlineStr">
        <is>
          <t>GÄVLEBORGS LÄN</t>
        </is>
      </c>
      <c r="G6268" t="inlineStr">
        <is>
          <t>SÖDERHAMN</t>
        </is>
      </c>
      <c r="I6268" t="n">
        <v>1.7</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18832-2026</t>
        </is>
      </c>
      <c r="B6269" t="inlineStr">
        <is>
          <t>avverkningsanmälan</t>
        </is>
      </c>
      <c r="C6269" t="inlineStr">
        <is>
          <t>Föryngringsavverkning</t>
        </is>
      </c>
      <c r="D6269" s="1" t="n">
        <v>46129</v>
      </c>
      <c r="E6269" s="1" t="n">
        <v>46326</v>
      </c>
      <c r="F6269" t="inlineStr">
        <is>
          <t>GÄVLEBORGS LÄN</t>
        </is>
      </c>
      <c r="G6269" t="inlineStr">
        <is>
          <t>BOLLNÄS</t>
        </is>
      </c>
      <c r="I6269" t="n">
        <v>0.7</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18723-2026</t>
        </is>
      </c>
      <c r="B6270" t="inlineStr">
        <is>
          <t>avverkningsanmälan</t>
        </is>
      </c>
      <c r="C6270" t="inlineStr">
        <is>
          <t>Föryngringsavverkning</t>
        </is>
      </c>
      <c r="D6270" s="1" t="n">
        <v>46128</v>
      </c>
      <c r="E6270" s="1" t="n">
        <v>46326</v>
      </c>
      <c r="F6270" t="inlineStr">
        <is>
          <t>GÄVLEBORGS LÄN</t>
        </is>
      </c>
      <c r="G6270" t="inlineStr">
        <is>
          <t>BOLLNÄS</t>
        </is>
      </c>
      <c r="I6270" t="n">
        <v>2.3</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18738-2026</t>
        </is>
      </c>
      <c r="B6271" t="inlineStr">
        <is>
          <t>avverkningsanmälan</t>
        </is>
      </c>
      <c r="C6271" t="inlineStr">
        <is>
          <t>Föryngringsavverkning</t>
        </is>
      </c>
      <c r="D6271" s="1" t="n">
        <v>46128</v>
      </c>
      <c r="E6271" s="1" t="n">
        <v>46326</v>
      </c>
      <c r="F6271" t="inlineStr">
        <is>
          <t>GÄVLEBORGS LÄN</t>
        </is>
      </c>
      <c r="G6271" t="inlineStr">
        <is>
          <t>OVANÅKER</t>
        </is>
      </c>
      <c r="I6271" t="n">
        <v>1.3</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1297-2024</t>
        </is>
      </c>
      <c r="B6272" t="inlineStr">
        <is>
          <t>avverkningsanmälan</t>
        </is>
      </c>
      <c r="C6272" t="inlineStr">
        <is>
          <t>Avverkning för annat ändamål</t>
        </is>
      </c>
      <c r="D6272" s="1" t="n">
        <v>45303</v>
      </c>
      <c r="E6272" s="1" t="n">
        <v>46326</v>
      </c>
      <c r="F6272" t="inlineStr">
        <is>
          <t>GÄVLEBORGS LÄN</t>
        </is>
      </c>
      <c r="G6272" t="inlineStr">
        <is>
          <t>HUDIKSVALL</t>
        </is>
      </c>
      <c r="H6272" t="inlineStr">
        <is>
          <t>Holmen skog AB</t>
        </is>
      </c>
      <c r="I6272" t="n">
        <v>0.3</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14128-2022</t>
        </is>
      </c>
      <c r="B6273" t="inlineStr">
        <is>
          <t>avverkningsanmälan</t>
        </is>
      </c>
      <c r="C6273" t="inlineStr">
        <is>
          <t>Föryngringsavverkning</t>
        </is>
      </c>
      <c r="D6273" s="1" t="n">
        <v>44651</v>
      </c>
      <c r="E6273" s="1" t="n">
        <v>46326</v>
      </c>
      <c r="F6273" t="inlineStr">
        <is>
          <t>GÄVLEBORGS LÄN</t>
        </is>
      </c>
      <c r="G6273" t="inlineStr">
        <is>
          <t>SÖDERHAMN</t>
        </is>
      </c>
      <c r="H6273" t="inlineStr">
        <is>
          <t>Bergvik skog väst AB</t>
        </is>
      </c>
      <c r="I6273" t="n">
        <v>1.5</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18479-2026</t>
        </is>
      </c>
      <c r="B6274" t="inlineStr">
        <is>
          <t>avverkningsanmälan</t>
        </is>
      </c>
      <c r="C6274" t="inlineStr">
        <is>
          <t>Föryngringsavverkning</t>
        </is>
      </c>
      <c r="D6274" s="1" t="n">
        <v>46127</v>
      </c>
      <c r="E6274" s="1" t="n">
        <v>46326</v>
      </c>
      <c r="F6274" t="inlineStr">
        <is>
          <t>GÄVLEBORGS LÄN</t>
        </is>
      </c>
      <c r="G6274" t="inlineStr">
        <is>
          <t>SÖDERHAMN</t>
        </is>
      </c>
      <c r="H6274" t="inlineStr">
        <is>
          <t>Bergvik skog väst AB</t>
        </is>
      </c>
      <c r="I6274" t="n">
        <v>6.8</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14173-2022</t>
        </is>
      </c>
      <c r="B6275" t="inlineStr">
        <is>
          <t>avverkningsanmälan</t>
        </is>
      </c>
      <c r="C6275" t="inlineStr">
        <is>
          <t>Föryngringsavverkning</t>
        </is>
      </c>
      <c r="D6275" s="1" t="n">
        <v>44651</v>
      </c>
      <c r="E6275" s="1" t="n">
        <v>46326</v>
      </c>
      <c r="F6275" t="inlineStr">
        <is>
          <t>GÄVLEBORGS LÄN</t>
        </is>
      </c>
      <c r="G6275" t="inlineStr">
        <is>
          <t>GÄVLE</t>
        </is>
      </c>
      <c r="H6275" t="inlineStr">
        <is>
          <t>Bergvik skog väst AB</t>
        </is>
      </c>
      <c r="I6275" t="n">
        <v>0.7</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12073-2026</t>
        </is>
      </c>
      <c r="B6276" t="inlineStr">
        <is>
          <t>avverkningsanmälan</t>
        </is>
      </c>
      <c r="C6276" t="inlineStr">
        <is>
          <t>Föryngringsavverkning</t>
        </is>
      </c>
      <c r="D6276" s="1" t="n">
        <v>46086</v>
      </c>
      <c r="E6276" s="1" t="n">
        <v>46326</v>
      </c>
      <c r="F6276" t="inlineStr">
        <is>
          <t>GÄVLEBORGS LÄN</t>
        </is>
      </c>
      <c r="G6276" t="inlineStr">
        <is>
          <t>OVANÅKER</t>
        </is>
      </c>
      <c r="H6276" t="inlineStr">
        <is>
          <t>Bergvik skog öst AB</t>
        </is>
      </c>
      <c r="I6276" t="n">
        <v>6.1</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18500-2026</t>
        </is>
      </c>
      <c r="B6277" t="inlineStr">
        <is>
          <t>avverkningsanmälan</t>
        </is>
      </c>
      <c r="C6277" t="inlineStr">
        <is>
          <t>Föryngringsavverkning</t>
        </is>
      </c>
      <c r="D6277" s="1" t="n">
        <v>46127</v>
      </c>
      <c r="E6277" s="1" t="n">
        <v>46326</v>
      </c>
      <c r="F6277" t="inlineStr">
        <is>
          <t>GÄVLEBORGS LÄN</t>
        </is>
      </c>
      <c r="G6277" t="inlineStr">
        <is>
          <t>OVANÅKER</t>
        </is>
      </c>
      <c r="H6277" t="inlineStr">
        <is>
          <t>Bergvik skog öst AB</t>
        </is>
      </c>
      <c r="I6277" t="n">
        <v>6.2</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18973-2026</t>
        </is>
      </c>
      <c r="B6278" t="inlineStr">
        <is>
          <t>avverkningsanmälan</t>
        </is>
      </c>
      <c r="C6278" t="inlineStr">
        <is>
          <t>Föryngringsavverkning</t>
        </is>
      </c>
      <c r="D6278" s="1" t="n">
        <v>46129</v>
      </c>
      <c r="E6278" s="1" t="n">
        <v>46326</v>
      </c>
      <c r="F6278" t="inlineStr">
        <is>
          <t>GÄVLEBORGS LÄN</t>
        </is>
      </c>
      <c r="G6278" t="inlineStr">
        <is>
          <t>OVANÅKER</t>
        </is>
      </c>
      <c r="I6278" t="n">
        <v>1.6</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15088-2024</t>
        </is>
      </c>
      <c r="B6279" t="inlineStr">
        <is>
          <t>avverkningsanmälan</t>
        </is>
      </c>
      <c r="C6279" t="inlineStr">
        <is>
          <t>Föryngringsavverkning</t>
        </is>
      </c>
      <c r="D6279" s="1" t="n">
        <v>45399</v>
      </c>
      <c r="E6279" s="1" t="n">
        <v>46326</v>
      </c>
      <c r="F6279" t="inlineStr">
        <is>
          <t>GÄVLEBORGS LÄN</t>
        </is>
      </c>
      <c r="G6279" t="inlineStr">
        <is>
          <t>NORDANSTIG</t>
        </is>
      </c>
      <c r="I6279" t="n">
        <v>3</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18981-2026</t>
        </is>
      </c>
      <c r="B6280" t="inlineStr">
        <is>
          <t>avverkningsanmälan</t>
        </is>
      </c>
      <c r="C6280" t="inlineStr">
        <is>
          <t>Föryngringsavverkning</t>
        </is>
      </c>
      <c r="D6280" s="1" t="n">
        <v>46129</v>
      </c>
      <c r="E6280" s="1" t="n">
        <v>46326</v>
      </c>
      <c r="F6280" t="inlineStr">
        <is>
          <t>GÄVLEBORGS LÄN</t>
        </is>
      </c>
      <c r="G6280" t="inlineStr">
        <is>
          <t>OVANÅKER</t>
        </is>
      </c>
      <c r="I6280" t="n">
        <v>2</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18996-2026</t>
        </is>
      </c>
      <c r="B6281" t="inlineStr">
        <is>
          <t>avverkningsanmälan</t>
        </is>
      </c>
      <c r="C6281" t="inlineStr">
        <is>
          <t>Föryngringsavverkning</t>
        </is>
      </c>
      <c r="D6281" s="1" t="n">
        <v>46129</v>
      </c>
      <c r="E6281" s="1" t="n">
        <v>46326</v>
      </c>
      <c r="F6281" t="inlineStr">
        <is>
          <t>GÄVLEBORGS LÄN</t>
        </is>
      </c>
      <c r="G6281" t="inlineStr">
        <is>
          <t>OVANÅKER</t>
        </is>
      </c>
      <c r="I6281" t="n">
        <v>8.300000000000001</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19189-2026</t>
        </is>
      </c>
      <c r="B6282" t="inlineStr">
        <is>
          <t>avverkningsanmälan</t>
        </is>
      </c>
      <c r="C6282" t="inlineStr">
        <is>
          <t>Föryngringsavverkning</t>
        </is>
      </c>
      <c r="D6282" s="1" t="n">
        <v>46132</v>
      </c>
      <c r="E6282" s="1" t="n">
        <v>46326</v>
      </c>
      <c r="F6282" t="inlineStr">
        <is>
          <t>GÄVLEBORGS LÄN</t>
        </is>
      </c>
      <c r="G6282" t="inlineStr">
        <is>
          <t>SANDVIKEN</t>
        </is>
      </c>
      <c r="H6282" t="inlineStr">
        <is>
          <t>Sveaskog</t>
        </is>
      </c>
      <c r="I6282" t="n">
        <v>3.2</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19285-2026</t>
        </is>
      </c>
      <c r="B6283" t="inlineStr">
        <is>
          <t>avverkningsanmälan</t>
        </is>
      </c>
      <c r="C6283" t="inlineStr">
        <is>
          <t>Föryngringsavverkning</t>
        </is>
      </c>
      <c r="D6283" s="1" t="n">
        <v>46133</v>
      </c>
      <c r="E6283" s="1" t="n">
        <v>46326</v>
      </c>
      <c r="F6283" t="inlineStr">
        <is>
          <t>GÄVLEBORGS LÄN</t>
        </is>
      </c>
      <c r="G6283" t="inlineStr">
        <is>
          <t>LJUSDAL</t>
        </is>
      </c>
      <c r="H6283" t="inlineStr">
        <is>
          <t>Kommuner</t>
        </is>
      </c>
      <c r="I6283" t="n">
        <v>1.4</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19288-2026</t>
        </is>
      </c>
      <c r="B6284" t="inlineStr">
        <is>
          <t>avverkningsanmälan</t>
        </is>
      </c>
      <c r="C6284" t="inlineStr">
        <is>
          <t>Föryngringsavverkning</t>
        </is>
      </c>
      <c r="D6284" s="1" t="n">
        <v>46133</v>
      </c>
      <c r="E6284" s="1" t="n">
        <v>46326</v>
      </c>
      <c r="F6284" t="inlineStr">
        <is>
          <t>GÄVLEBORGS LÄN</t>
        </is>
      </c>
      <c r="G6284" t="inlineStr">
        <is>
          <t>BOLLNÄS</t>
        </is>
      </c>
      <c r="I6284" t="n">
        <v>2.5</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19310-2026</t>
        </is>
      </c>
      <c r="B6285" t="inlineStr">
        <is>
          <t>avverkningsanmälan</t>
        </is>
      </c>
      <c r="C6285" t="inlineStr">
        <is>
          <t>Föryngringsavverkning</t>
        </is>
      </c>
      <c r="D6285" s="1" t="n">
        <v>46133</v>
      </c>
      <c r="E6285" s="1" t="n">
        <v>46326</v>
      </c>
      <c r="F6285" t="inlineStr">
        <is>
          <t>GÄVLEBORGS LÄN</t>
        </is>
      </c>
      <c r="G6285" t="inlineStr">
        <is>
          <t>SÖDERHAMN</t>
        </is>
      </c>
      <c r="H6285" t="inlineStr">
        <is>
          <t>Bergvik skog väst AB</t>
        </is>
      </c>
      <c r="I6285" t="n">
        <v>2.4</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19241-2026</t>
        </is>
      </c>
      <c r="B6286" t="inlineStr">
        <is>
          <t>avverkningsanmälan</t>
        </is>
      </c>
      <c r="C6286" t="inlineStr">
        <is>
          <t>Föryngringsavverkning</t>
        </is>
      </c>
      <c r="D6286" s="1" t="n">
        <v>46132</v>
      </c>
      <c r="E6286" s="1" t="n">
        <v>46326</v>
      </c>
      <c r="F6286" t="inlineStr">
        <is>
          <t>GÄVLEBORGS LÄN</t>
        </is>
      </c>
      <c r="G6286" t="inlineStr">
        <is>
          <t>LJUSDAL</t>
        </is>
      </c>
      <c r="H6286" t="inlineStr">
        <is>
          <t>Sveaskog</t>
        </is>
      </c>
      <c r="I6286" t="n">
        <v>16.3</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9804-2025</t>
        </is>
      </c>
      <c r="B6287" t="inlineStr">
        <is>
          <t>avverkningsanmälan</t>
        </is>
      </c>
      <c r="C6287" t="inlineStr">
        <is>
          <t>Föryngringsavverkning</t>
        </is>
      </c>
      <c r="D6287" s="1" t="n">
        <v>45716</v>
      </c>
      <c r="E6287" s="1" t="n">
        <v>46326</v>
      </c>
      <c r="F6287" t="inlineStr">
        <is>
          <t>GÄVLEBORGS LÄN</t>
        </is>
      </c>
      <c r="G6287" t="inlineStr">
        <is>
          <t>HUDIKSVALL</t>
        </is>
      </c>
      <c r="I6287" t="n">
        <v>2.4</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58749-2024</t>
        </is>
      </c>
      <c r="B6288" t="inlineStr">
        <is>
          <t>avverkningsanmälan</t>
        </is>
      </c>
      <c r="C6288" t="inlineStr">
        <is>
          <t>Föryngringsavverkning</t>
        </is>
      </c>
      <c r="D6288" s="1" t="n">
        <v>45635</v>
      </c>
      <c r="E6288" s="1" t="n">
        <v>46326</v>
      </c>
      <c r="F6288" t="inlineStr">
        <is>
          <t>GÄVLEBORGS LÄN</t>
        </is>
      </c>
      <c r="G6288" t="inlineStr">
        <is>
          <t>NORDANSTIG</t>
        </is>
      </c>
      <c r="H6288" t="inlineStr">
        <is>
          <t>Holmen skog AB</t>
        </is>
      </c>
      <c r="I6288" t="n">
        <v>8</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11923-2023</t>
        </is>
      </c>
      <c r="B6289" t="inlineStr">
        <is>
          <t>avverkningsanmälan</t>
        </is>
      </c>
      <c r="C6289" t="inlineStr">
        <is>
          <t>Föryngringsavverkning</t>
        </is>
      </c>
      <c r="D6289" s="1" t="n">
        <v>44995</v>
      </c>
      <c r="E6289" s="1" t="n">
        <v>46326</v>
      </c>
      <c r="F6289" t="inlineStr">
        <is>
          <t>GÄVLEBORGS LÄN</t>
        </is>
      </c>
      <c r="G6289" t="inlineStr">
        <is>
          <t>LJUSDAL</t>
        </is>
      </c>
      <c r="H6289" t="inlineStr">
        <is>
          <t>Holmen skog AB</t>
        </is>
      </c>
      <c r="I6289" t="n">
        <v>3.9</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19391-2026</t>
        </is>
      </c>
      <c r="B6290" t="inlineStr">
        <is>
          <t>avverkningsanmälan</t>
        </is>
      </c>
      <c r="C6290" t="inlineStr">
        <is>
          <t>Föryngringsavverkning</t>
        </is>
      </c>
      <c r="D6290" s="1" t="n">
        <v>46133</v>
      </c>
      <c r="E6290" s="1" t="n">
        <v>46326</v>
      </c>
      <c r="F6290" t="inlineStr">
        <is>
          <t>GÄVLEBORGS LÄN</t>
        </is>
      </c>
      <c r="G6290" t="inlineStr">
        <is>
          <t>BOLLNÄS</t>
        </is>
      </c>
      <c r="I6290" t="n">
        <v>3.1</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19403-2026</t>
        </is>
      </c>
      <c r="B6291" t="inlineStr">
        <is>
          <t>avverkningsanmälan</t>
        </is>
      </c>
      <c r="C6291" t="inlineStr">
        <is>
          <t>Föryngringsavverkning</t>
        </is>
      </c>
      <c r="D6291" s="1" t="n">
        <v>46133</v>
      </c>
      <c r="E6291" s="1" t="n">
        <v>46326</v>
      </c>
      <c r="F6291" t="inlineStr">
        <is>
          <t>GÄVLEBORGS LÄN</t>
        </is>
      </c>
      <c r="G6291" t="inlineStr">
        <is>
          <t>BOLLNÄS</t>
        </is>
      </c>
      <c r="I6291" t="n">
        <v>2.7</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19367-2026</t>
        </is>
      </c>
      <c r="B6292" t="inlineStr">
        <is>
          <t>avverkningsanmälan</t>
        </is>
      </c>
      <c r="C6292" t="inlineStr">
        <is>
          <t>Föryngringsavverkning</t>
        </is>
      </c>
      <c r="D6292" s="1" t="n">
        <v>46133</v>
      </c>
      <c r="E6292" s="1" t="n">
        <v>46326</v>
      </c>
      <c r="F6292" t="inlineStr">
        <is>
          <t>GÄVLEBORGS LÄN</t>
        </is>
      </c>
      <c r="G6292" t="inlineStr">
        <is>
          <t>NORDANSTIG</t>
        </is>
      </c>
      <c r="I6292" t="n">
        <v>1.3</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19396-2026</t>
        </is>
      </c>
      <c r="B6293" t="inlineStr">
        <is>
          <t>avverkningsanmälan</t>
        </is>
      </c>
      <c r="C6293" t="inlineStr">
        <is>
          <t>Föryngringsavverkning</t>
        </is>
      </c>
      <c r="D6293" s="1" t="n">
        <v>46133</v>
      </c>
      <c r="E6293" s="1" t="n">
        <v>46326</v>
      </c>
      <c r="F6293" t="inlineStr">
        <is>
          <t>GÄVLEBORGS LÄN</t>
        </is>
      </c>
      <c r="G6293" t="inlineStr">
        <is>
          <t>BOLLNÄS</t>
        </is>
      </c>
      <c r="I6293" t="n">
        <v>4.5</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19159-2026</t>
        </is>
      </c>
      <c r="B6294" t="inlineStr">
        <is>
          <t>avverkningsanmälan</t>
        </is>
      </c>
      <c r="C6294" t="inlineStr">
        <is>
          <t>Föryngringsavverkning</t>
        </is>
      </c>
      <c r="D6294" s="1" t="n">
        <v>46132</v>
      </c>
      <c r="E6294" s="1" t="n">
        <v>46326</v>
      </c>
      <c r="F6294" t="inlineStr">
        <is>
          <t>GÄVLEBORGS LÄN</t>
        </is>
      </c>
      <c r="G6294" t="inlineStr">
        <is>
          <t>BOLLNÄS</t>
        </is>
      </c>
      <c r="I6294" t="n">
        <v>0.6</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19202-2026</t>
        </is>
      </c>
      <c r="B6295" t="inlineStr">
        <is>
          <t>avverkningsanmälan</t>
        </is>
      </c>
      <c r="C6295" t="inlineStr">
        <is>
          <t>Föryngringsavverkning</t>
        </is>
      </c>
      <c r="D6295" s="1" t="n">
        <v>46132</v>
      </c>
      <c r="E6295" s="1" t="n">
        <v>46326</v>
      </c>
      <c r="F6295" t="inlineStr">
        <is>
          <t>GÄVLEBORGS LÄN</t>
        </is>
      </c>
      <c r="G6295" t="inlineStr">
        <is>
          <t>LJUSDAL</t>
        </is>
      </c>
      <c r="H6295" t="inlineStr">
        <is>
          <t>SCA</t>
        </is>
      </c>
      <c r="I6295" t="n">
        <v>36.6</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19340-2026</t>
        </is>
      </c>
      <c r="B6296" t="inlineStr">
        <is>
          <t>avverkningsanmälan</t>
        </is>
      </c>
      <c r="C6296" t="inlineStr">
        <is>
          <t>Föryngringsavverkning</t>
        </is>
      </c>
      <c r="D6296" s="1" t="n">
        <v>46133</v>
      </c>
      <c r="E6296" s="1" t="n">
        <v>46326</v>
      </c>
      <c r="F6296" t="inlineStr">
        <is>
          <t>GÄVLEBORGS LÄN</t>
        </is>
      </c>
      <c r="G6296" t="inlineStr">
        <is>
          <t>BOLLNÄS</t>
        </is>
      </c>
      <c r="H6296" t="inlineStr">
        <is>
          <t>Bergvik skog väst AB</t>
        </is>
      </c>
      <c r="I6296" t="n">
        <v>6.8</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19086-2026</t>
        </is>
      </c>
      <c r="B6297" t="inlineStr">
        <is>
          <t>avverkningsanmälan</t>
        </is>
      </c>
      <c r="C6297" t="inlineStr">
        <is>
          <t>Föryngringsavverkning</t>
        </is>
      </c>
      <c r="D6297" s="1" t="n">
        <v>46132</v>
      </c>
      <c r="E6297" s="1" t="n">
        <v>46326</v>
      </c>
      <c r="F6297" t="inlineStr">
        <is>
          <t>GÄVLEBORGS LÄN</t>
        </is>
      </c>
      <c r="G6297" t="inlineStr">
        <is>
          <t>OVANÅKER</t>
        </is>
      </c>
      <c r="I6297" t="n">
        <v>3.2</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19087-2026</t>
        </is>
      </c>
      <c r="B6298" t="inlineStr">
        <is>
          <t>avverkningsanmälan</t>
        </is>
      </c>
      <c r="C6298" t="inlineStr">
        <is>
          <t>Föryngringsavverkning</t>
        </is>
      </c>
      <c r="D6298" s="1" t="n">
        <v>46132</v>
      </c>
      <c r="E6298" s="1" t="n">
        <v>46326</v>
      </c>
      <c r="F6298" t="inlineStr">
        <is>
          <t>GÄVLEBORGS LÄN</t>
        </is>
      </c>
      <c r="G6298" t="inlineStr">
        <is>
          <t>GÄVLE</t>
        </is>
      </c>
      <c r="H6298" t="inlineStr">
        <is>
          <t>Bergvik skog öst AB</t>
        </is>
      </c>
      <c r="I6298" t="n">
        <v>3</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19228-2026</t>
        </is>
      </c>
      <c r="B6299" t="inlineStr">
        <is>
          <t>avverkningsanmälan</t>
        </is>
      </c>
      <c r="C6299" t="inlineStr">
        <is>
          <t>Föryngringsavverkning</t>
        </is>
      </c>
      <c r="D6299" s="1" t="n">
        <v>46132</v>
      </c>
      <c r="E6299" s="1" t="n">
        <v>46326</v>
      </c>
      <c r="F6299" t="inlineStr">
        <is>
          <t>GÄVLEBORGS LÄN</t>
        </is>
      </c>
      <c r="G6299" t="inlineStr">
        <is>
          <t>BOLLNÄS</t>
        </is>
      </c>
      <c r="I6299" t="n">
        <v>2</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19042-2026</t>
        </is>
      </c>
      <c r="B6300" t="inlineStr">
        <is>
          <t>avverkningsanmälan</t>
        </is>
      </c>
      <c r="C6300" t="inlineStr">
        <is>
          <t>Föryngringsavverkning</t>
        </is>
      </c>
      <c r="D6300" s="1" t="n">
        <v>46132</v>
      </c>
      <c r="E6300" s="1" t="n">
        <v>46326</v>
      </c>
      <c r="F6300" t="inlineStr">
        <is>
          <t>GÄVLEBORGS LÄN</t>
        </is>
      </c>
      <c r="G6300" t="inlineStr">
        <is>
          <t>OVANÅKER</t>
        </is>
      </c>
      <c r="H6300" t="inlineStr">
        <is>
          <t>Kyrkan</t>
        </is>
      </c>
      <c r="I6300" t="n">
        <v>0.7</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19109-2026</t>
        </is>
      </c>
      <c r="B6301" t="inlineStr">
        <is>
          <t>avverkningsanmälan</t>
        </is>
      </c>
      <c r="C6301" t="inlineStr">
        <is>
          <t>Föryngringsavverkning</t>
        </is>
      </c>
      <c r="D6301" s="1" t="n">
        <v>46132</v>
      </c>
      <c r="E6301" s="1" t="n">
        <v>46326</v>
      </c>
      <c r="F6301" t="inlineStr">
        <is>
          <t>GÄVLEBORGS LÄN</t>
        </is>
      </c>
      <c r="G6301" t="inlineStr">
        <is>
          <t>SÖDERHAMN</t>
        </is>
      </c>
      <c r="I6301" t="n">
        <v>1.7</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19117-2026</t>
        </is>
      </c>
      <c r="B6302" t="inlineStr">
        <is>
          <t>avverkningsanmälan</t>
        </is>
      </c>
      <c r="C6302" t="inlineStr">
        <is>
          <t>Föryngringsavverkning</t>
        </is>
      </c>
      <c r="D6302" s="1" t="n">
        <v>46132</v>
      </c>
      <c r="E6302" s="1" t="n">
        <v>46326</v>
      </c>
      <c r="F6302" t="inlineStr">
        <is>
          <t>GÄVLEBORGS LÄN</t>
        </is>
      </c>
      <c r="G6302" t="inlineStr">
        <is>
          <t>BOLLNÄS</t>
        </is>
      </c>
      <c r="I6302" t="n">
        <v>1.4</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34502-2024</t>
        </is>
      </c>
      <c r="B6303" t="inlineStr">
        <is>
          <t>avverkningsanmälan</t>
        </is>
      </c>
      <c r="C6303" t="inlineStr">
        <is>
          <t>Föryngringsavverkning</t>
        </is>
      </c>
      <c r="D6303" s="1" t="n">
        <v>45525</v>
      </c>
      <c r="E6303" s="1" t="n">
        <v>46326</v>
      </c>
      <c r="F6303" t="inlineStr">
        <is>
          <t>GÄVLEBORGS LÄN</t>
        </is>
      </c>
      <c r="G6303" t="inlineStr">
        <is>
          <t>NORDANSTIG</t>
        </is>
      </c>
      <c r="H6303" t="inlineStr">
        <is>
          <t>Holmen skog AB</t>
        </is>
      </c>
      <c r="I6303" t="n">
        <v>1.3</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19234-2026</t>
        </is>
      </c>
      <c r="B6304" t="inlineStr">
        <is>
          <t>avverkningsanmälan</t>
        </is>
      </c>
      <c r="C6304" t="inlineStr">
        <is>
          <t>Föryngringsavverkning</t>
        </is>
      </c>
      <c r="D6304" s="1" t="n">
        <v>46132</v>
      </c>
      <c r="E6304" s="1" t="n">
        <v>46326</v>
      </c>
      <c r="F6304" t="inlineStr">
        <is>
          <t>GÄVLEBORGS LÄN</t>
        </is>
      </c>
      <c r="G6304" t="inlineStr">
        <is>
          <t>BOLLNÄS</t>
        </is>
      </c>
      <c r="I6304" t="n">
        <v>2.8</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19333-2026</t>
        </is>
      </c>
      <c r="B6305" t="inlineStr">
        <is>
          <t>avverkningsanmälan</t>
        </is>
      </c>
      <c r="C6305" t="inlineStr">
        <is>
          <t>Föryngringsavverkning</t>
        </is>
      </c>
      <c r="D6305" s="1" t="n">
        <v>46133</v>
      </c>
      <c r="E6305" s="1" t="n">
        <v>46326</v>
      </c>
      <c r="F6305" t="inlineStr">
        <is>
          <t>GÄVLEBORGS LÄN</t>
        </is>
      </c>
      <c r="G6305" t="inlineStr">
        <is>
          <t>BOLLNÄS</t>
        </is>
      </c>
      <c r="H6305" t="inlineStr">
        <is>
          <t>Bergvik skog väst AB</t>
        </is>
      </c>
      <c r="I6305" t="n">
        <v>7.9</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23772-2024</t>
        </is>
      </c>
      <c r="B6306" t="inlineStr">
        <is>
          <t>avverkningsanmälan</t>
        </is>
      </c>
      <c r="C6306" t="inlineStr">
        <is>
          <t>Föryngringsavverkning</t>
        </is>
      </c>
      <c r="D6306" s="1" t="n">
        <v>45455</v>
      </c>
      <c r="E6306" s="1" t="n">
        <v>46326</v>
      </c>
      <c r="F6306" t="inlineStr">
        <is>
          <t>GÄVLEBORGS LÄN</t>
        </is>
      </c>
      <c r="G6306" t="inlineStr">
        <is>
          <t>OCKELBO</t>
        </is>
      </c>
      <c r="I6306" t="n">
        <v>1.3</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36658-2024</t>
        </is>
      </c>
      <c r="B6307" t="inlineStr">
        <is>
          <t>avverkningsanmälan</t>
        </is>
      </c>
      <c r="C6307" t="inlineStr">
        <is>
          <t>Föryngringsavverkning</t>
        </is>
      </c>
      <c r="D6307" s="1" t="n">
        <v>45537</v>
      </c>
      <c r="E6307" s="1" t="n">
        <v>46326</v>
      </c>
      <c r="F6307" t="inlineStr">
        <is>
          <t>GÄVLEBORGS LÄN</t>
        </is>
      </c>
      <c r="G6307" t="inlineStr">
        <is>
          <t>LJUSDAL</t>
        </is>
      </c>
      <c r="H6307" t="inlineStr">
        <is>
          <t>Holmen skog AB</t>
        </is>
      </c>
      <c r="I6307" t="n">
        <v>2.8</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19213-2026</t>
        </is>
      </c>
      <c r="B6308" t="inlineStr">
        <is>
          <t>avverkningsanmälan</t>
        </is>
      </c>
      <c r="C6308" t="inlineStr">
        <is>
          <t>Föryngringsavverkning</t>
        </is>
      </c>
      <c r="D6308" s="1" t="n">
        <v>46132</v>
      </c>
      <c r="E6308" s="1" t="n">
        <v>46326</v>
      </c>
      <c r="F6308" t="inlineStr">
        <is>
          <t>GÄVLEBORGS LÄN</t>
        </is>
      </c>
      <c r="G6308" t="inlineStr">
        <is>
          <t>OCKELBO</t>
        </is>
      </c>
      <c r="H6308" t="inlineStr">
        <is>
          <t>Bergvik skog väst AB</t>
        </is>
      </c>
      <c r="I6308" t="n">
        <v>1</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19271-2026</t>
        </is>
      </c>
      <c r="B6309" t="inlineStr">
        <is>
          <t>avverkningsanmälan</t>
        </is>
      </c>
      <c r="C6309" t="inlineStr">
        <is>
          <t>Föryngringsavverkning</t>
        </is>
      </c>
      <c r="D6309" s="1" t="n">
        <v>46133</v>
      </c>
      <c r="E6309" s="1" t="n">
        <v>46326</v>
      </c>
      <c r="F6309" t="inlineStr">
        <is>
          <t>GÄVLEBORGS LÄN</t>
        </is>
      </c>
      <c r="G6309" t="inlineStr">
        <is>
          <t>OCKELBO</t>
        </is>
      </c>
      <c r="H6309" t="inlineStr">
        <is>
          <t>Bergvik skog väst AB</t>
        </is>
      </c>
      <c r="I6309" t="n">
        <v>1.7</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19276-2026</t>
        </is>
      </c>
      <c r="B6310" t="inlineStr">
        <is>
          <t>avverkningsanmälan</t>
        </is>
      </c>
      <c r="C6310" t="inlineStr">
        <is>
          <t>Föryngringsavverkning</t>
        </is>
      </c>
      <c r="D6310" s="1" t="n">
        <v>46133</v>
      </c>
      <c r="E6310" s="1" t="n">
        <v>46326</v>
      </c>
      <c r="F6310" t="inlineStr">
        <is>
          <t>GÄVLEBORGS LÄN</t>
        </is>
      </c>
      <c r="G6310" t="inlineStr">
        <is>
          <t>BOLLNÄS</t>
        </is>
      </c>
      <c r="I6310" t="n">
        <v>1.9</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19068-2026</t>
        </is>
      </c>
      <c r="B6311" t="inlineStr">
        <is>
          <t>avverkningsanmälan</t>
        </is>
      </c>
      <c r="C6311" t="inlineStr">
        <is>
          <t>Föryngringsavverkning</t>
        </is>
      </c>
      <c r="D6311" s="1" t="n">
        <v>46132</v>
      </c>
      <c r="E6311" s="1" t="n">
        <v>46326</v>
      </c>
      <c r="F6311" t="inlineStr">
        <is>
          <t>GÄVLEBORGS LÄN</t>
        </is>
      </c>
      <c r="G6311" t="inlineStr">
        <is>
          <t>OCKELBO</t>
        </is>
      </c>
      <c r="H6311" t="inlineStr">
        <is>
          <t>Bergvik skog väst AB</t>
        </is>
      </c>
      <c r="I6311" t="n">
        <v>13.8</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36694-2024</t>
        </is>
      </c>
      <c r="B6312" t="inlineStr">
        <is>
          <t>avverkningsanmälan</t>
        </is>
      </c>
      <c r="C6312" t="inlineStr">
        <is>
          <t>Föryngringsavverkning</t>
        </is>
      </c>
      <c r="D6312" s="1" t="n">
        <v>45537</v>
      </c>
      <c r="E6312" s="1" t="n">
        <v>46326</v>
      </c>
      <c r="F6312" t="inlineStr">
        <is>
          <t>GÄVLEBORGS LÄN</t>
        </is>
      </c>
      <c r="G6312" t="inlineStr">
        <is>
          <t>NORDANSTIG</t>
        </is>
      </c>
      <c r="H6312" t="inlineStr">
        <is>
          <t>Holmen skog AB</t>
        </is>
      </c>
      <c r="I6312" t="n">
        <v>1.5</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19277-2026</t>
        </is>
      </c>
      <c r="B6313" t="inlineStr">
        <is>
          <t>avverkningsanmälan</t>
        </is>
      </c>
      <c r="C6313" t="inlineStr">
        <is>
          <t>Föryngringsavverkning</t>
        </is>
      </c>
      <c r="D6313" s="1" t="n">
        <v>46133</v>
      </c>
      <c r="E6313" s="1" t="n">
        <v>46326</v>
      </c>
      <c r="F6313" t="inlineStr">
        <is>
          <t>GÄVLEBORGS LÄN</t>
        </is>
      </c>
      <c r="G6313" t="inlineStr">
        <is>
          <t>OCKELBO</t>
        </is>
      </c>
      <c r="H6313" t="inlineStr">
        <is>
          <t>Bergvik skog väst AB</t>
        </is>
      </c>
      <c r="I6313" t="n">
        <v>6</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5870-2025</t>
        </is>
      </c>
      <c r="B6314" t="inlineStr">
        <is>
          <t>avverkningsanmälan</t>
        </is>
      </c>
      <c r="C6314" t="inlineStr">
        <is>
          <t>Föryngringsavverkning</t>
        </is>
      </c>
      <c r="D6314" s="1" t="n">
        <v>45695</v>
      </c>
      <c r="E6314" s="1" t="n">
        <v>46326</v>
      </c>
      <c r="F6314" t="inlineStr">
        <is>
          <t>GÄVLEBORGS LÄN</t>
        </is>
      </c>
      <c r="G6314" t="inlineStr">
        <is>
          <t>HUDIKSVALL</t>
        </is>
      </c>
      <c r="H6314" t="inlineStr">
        <is>
          <t>Holmen skog AB</t>
        </is>
      </c>
      <c r="I6314" t="n">
        <v>3.9</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19284-2026</t>
        </is>
      </c>
      <c r="B6315" t="inlineStr">
        <is>
          <t>avverkningsanmälan</t>
        </is>
      </c>
      <c r="C6315" t="inlineStr">
        <is>
          <t>Föryngringsavverkning</t>
        </is>
      </c>
      <c r="D6315" s="1" t="n">
        <v>46133</v>
      </c>
      <c r="E6315" s="1" t="n">
        <v>46326</v>
      </c>
      <c r="F6315" t="inlineStr">
        <is>
          <t>GÄVLEBORGS LÄN</t>
        </is>
      </c>
      <c r="G6315" t="inlineStr">
        <is>
          <t>BOLLNÄS</t>
        </is>
      </c>
      <c r="I6315" t="n">
        <v>3.2</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19270-2026</t>
        </is>
      </c>
      <c r="B6316" t="inlineStr">
        <is>
          <t>avverkningsanmälan</t>
        </is>
      </c>
      <c r="C6316" t="inlineStr">
        <is>
          <t>Föryngringsavverkning</t>
        </is>
      </c>
      <c r="D6316" s="1" t="n">
        <v>46133</v>
      </c>
      <c r="E6316" s="1" t="n">
        <v>46326</v>
      </c>
      <c r="F6316" t="inlineStr">
        <is>
          <t>GÄVLEBORGS LÄN</t>
        </is>
      </c>
      <c r="G6316" t="inlineStr">
        <is>
          <t>HUDIKSVALL</t>
        </is>
      </c>
      <c r="I6316" t="n">
        <v>1.3</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19278-2026</t>
        </is>
      </c>
      <c r="B6317" t="inlineStr">
        <is>
          <t>avverkningsanmälan</t>
        </is>
      </c>
      <c r="C6317" t="inlineStr">
        <is>
          <t>Föryngringsavverkning</t>
        </is>
      </c>
      <c r="D6317" s="1" t="n">
        <v>46133</v>
      </c>
      <c r="E6317" s="1" t="n">
        <v>46326</v>
      </c>
      <c r="F6317" t="inlineStr">
        <is>
          <t>GÄVLEBORGS LÄN</t>
        </is>
      </c>
      <c r="G6317" t="inlineStr">
        <is>
          <t>BOLLNÄS</t>
        </is>
      </c>
      <c r="I6317" t="n">
        <v>2.9</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56120-2024</t>
        </is>
      </c>
      <c r="B6318" t="inlineStr">
        <is>
          <t>avverkningsanmälan</t>
        </is>
      </c>
      <c r="C6318" t="inlineStr">
        <is>
          <t>Föryngringsavverkning</t>
        </is>
      </c>
      <c r="D6318" s="1" t="n">
        <v>45624</v>
      </c>
      <c r="E6318" s="1" t="n">
        <v>46326</v>
      </c>
      <c r="F6318" t="inlineStr">
        <is>
          <t>GÄVLEBORGS LÄN</t>
        </is>
      </c>
      <c r="G6318" t="inlineStr">
        <is>
          <t>BOLLNÄS</t>
        </is>
      </c>
      <c r="I6318" t="n">
        <v>0.7</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19348-2026</t>
        </is>
      </c>
      <c r="B6319" t="inlineStr">
        <is>
          <t>avverkningsanmälan</t>
        </is>
      </c>
      <c r="C6319" t="inlineStr">
        <is>
          <t>Föryngringsavverkning</t>
        </is>
      </c>
      <c r="D6319" s="1" t="n">
        <v>46133</v>
      </c>
      <c r="E6319" s="1" t="n">
        <v>46326</v>
      </c>
      <c r="F6319" t="inlineStr">
        <is>
          <t>GÄVLEBORGS LÄN</t>
        </is>
      </c>
      <c r="G6319" t="inlineStr">
        <is>
          <t>HUDIKSVALL</t>
        </is>
      </c>
      <c r="H6319" t="inlineStr">
        <is>
          <t>Kommuner</t>
        </is>
      </c>
      <c r="I6319" t="n">
        <v>1.8</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37693-2023</t>
        </is>
      </c>
      <c r="B6320" t="inlineStr">
        <is>
          <t>avverkningsanmälan</t>
        </is>
      </c>
      <c r="C6320" t="inlineStr">
        <is>
          <t>Föryngringsavverkning</t>
        </is>
      </c>
      <c r="D6320" s="1" t="n">
        <v>45159</v>
      </c>
      <c r="E6320" s="1" t="n">
        <v>46326</v>
      </c>
      <c r="F6320" t="inlineStr">
        <is>
          <t>GÄVLEBORGS LÄN</t>
        </is>
      </c>
      <c r="G6320" t="inlineStr">
        <is>
          <t>HOFORS</t>
        </is>
      </c>
      <c r="I6320" t="n">
        <v>0.6</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37741-2023</t>
        </is>
      </c>
      <c r="B6321" t="inlineStr">
        <is>
          <t>avverkningsanmälan</t>
        </is>
      </c>
      <c r="C6321" t="inlineStr">
        <is>
          <t>Föryngringsavverkning</t>
        </is>
      </c>
      <c r="D6321" s="1" t="n">
        <v>45159</v>
      </c>
      <c r="E6321" s="1" t="n">
        <v>46326</v>
      </c>
      <c r="F6321" t="inlineStr">
        <is>
          <t>GÄVLEBORGS LÄN</t>
        </is>
      </c>
      <c r="G6321" t="inlineStr">
        <is>
          <t>SANDVIKEN</t>
        </is>
      </c>
      <c r="I6321" t="n">
        <v>0.6</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19303-2026</t>
        </is>
      </c>
      <c r="B6322" t="inlineStr">
        <is>
          <t>avverkningsanmälan</t>
        </is>
      </c>
      <c r="C6322" t="inlineStr">
        <is>
          <t>Föryngringsavverkning</t>
        </is>
      </c>
      <c r="D6322" s="1" t="n">
        <v>46133</v>
      </c>
      <c r="E6322" s="1" t="n">
        <v>46326</v>
      </c>
      <c r="F6322" t="inlineStr">
        <is>
          <t>GÄVLEBORGS LÄN</t>
        </is>
      </c>
      <c r="G6322" t="inlineStr">
        <is>
          <t>BOLLNÄS</t>
        </is>
      </c>
      <c r="H6322" t="inlineStr">
        <is>
          <t>Bergvik skog väst AB</t>
        </is>
      </c>
      <c r="I6322" t="n">
        <v>3.9</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19018-2026</t>
        </is>
      </c>
      <c r="B6323" t="inlineStr">
        <is>
          <t>avverkningsanmälan</t>
        </is>
      </c>
      <c r="C6323" t="inlineStr">
        <is>
          <t>Föryngringsavverkning</t>
        </is>
      </c>
      <c r="D6323" s="1" t="n">
        <v>46130</v>
      </c>
      <c r="E6323" s="1" t="n">
        <v>46326</v>
      </c>
      <c r="F6323" t="inlineStr">
        <is>
          <t>GÄVLEBORGS LÄN</t>
        </is>
      </c>
      <c r="G6323" t="inlineStr">
        <is>
          <t>SANDVIKEN</t>
        </is>
      </c>
      <c r="I6323" t="n">
        <v>1.4</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35071-2024</t>
        </is>
      </c>
      <c r="B6324" t="inlineStr">
        <is>
          <t>avverkningsanmälan</t>
        </is>
      </c>
      <c r="C6324" t="inlineStr">
        <is>
          <t>Föryngringsavverkning</t>
        </is>
      </c>
      <c r="D6324" s="1" t="n">
        <v>45527</v>
      </c>
      <c r="E6324" s="1" t="n">
        <v>46326</v>
      </c>
      <c r="F6324" t="inlineStr">
        <is>
          <t>GÄVLEBORGS LÄN</t>
        </is>
      </c>
      <c r="G6324" t="inlineStr">
        <is>
          <t>HUDIKSVALL</t>
        </is>
      </c>
      <c r="H6324" t="inlineStr">
        <is>
          <t>Holmen skog AB</t>
        </is>
      </c>
      <c r="I6324" t="n">
        <v>0.9</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19083-2026</t>
        </is>
      </c>
      <c r="B6325" t="inlineStr">
        <is>
          <t>avverkningsanmälan</t>
        </is>
      </c>
      <c r="C6325" t="inlineStr">
        <is>
          <t>Föryngringsavverkning</t>
        </is>
      </c>
      <c r="D6325" s="1" t="n">
        <v>46132</v>
      </c>
      <c r="E6325" s="1" t="n">
        <v>46326</v>
      </c>
      <c r="F6325" t="inlineStr">
        <is>
          <t>GÄVLEBORGS LÄN</t>
        </is>
      </c>
      <c r="G6325" t="inlineStr">
        <is>
          <t>SANDVIKEN</t>
        </is>
      </c>
      <c r="I6325" t="n">
        <v>0.8</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19088-2026</t>
        </is>
      </c>
      <c r="B6326" t="inlineStr">
        <is>
          <t>avverkningsanmälan</t>
        </is>
      </c>
      <c r="C6326" t="inlineStr">
        <is>
          <t>Föryngringsavverkning</t>
        </is>
      </c>
      <c r="D6326" s="1" t="n">
        <v>46132</v>
      </c>
      <c r="E6326" s="1" t="n">
        <v>46326</v>
      </c>
      <c r="F6326" t="inlineStr">
        <is>
          <t>GÄVLEBORGS LÄN</t>
        </is>
      </c>
      <c r="G6326" t="inlineStr">
        <is>
          <t>GÄVLE</t>
        </is>
      </c>
      <c r="H6326" t="inlineStr">
        <is>
          <t>Bergvik skog öst AB</t>
        </is>
      </c>
      <c r="I6326" t="n">
        <v>0.9</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19097-2026</t>
        </is>
      </c>
      <c r="B6327" t="inlineStr">
        <is>
          <t>avverkningsanmälan</t>
        </is>
      </c>
      <c r="C6327" t="inlineStr">
        <is>
          <t>Föryngringsavverkning</t>
        </is>
      </c>
      <c r="D6327" s="1" t="n">
        <v>46132</v>
      </c>
      <c r="E6327" s="1" t="n">
        <v>46326</v>
      </c>
      <c r="F6327" t="inlineStr">
        <is>
          <t>GÄVLEBORGS LÄN</t>
        </is>
      </c>
      <c r="G6327" t="inlineStr">
        <is>
          <t>LJUSDAL</t>
        </is>
      </c>
      <c r="H6327" t="inlineStr">
        <is>
          <t>Sveaskog</t>
        </is>
      </c>
      <c r="I6327" t="n">
        <v>3.3</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19074-2026</t>
        </is>
      </c>
      <c r="B6328" t="inlineStr">
        <is>
          <t>avverkningsanmälan</t>
        </is>
      </c>
      <c r="C6328" t="inlineStr">
        <is>
          <t>Föryngringsavverkning</t>
        </is>
      </c>
      <c r="D6328" s="1" t="n">
        <v>46132</v>
      </c>
      <c r="E6328" s="1" t="n">
        <v>46326</v>
      </c>
      <c r="F6328" t="inlineStr">
        <is>
          <t>GÄVLEBORGS LÄN</t>
        </is>
      </c>
      <c r="G6328" t="inlineStr">
        <is>
          <t>BOLLNÄS</t>
        </is>
      </c>
      <c r="I6328" t="n">
        <v>4.2</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35081-2024</t>
        </is>
      </c>
      <c r="B6329" t="inlineStr">
        <is>
          <t>avverkningsanmälan</t>
        </is>
      </c>
      <c r="C6329" t="inlineStr">
        <is>
          <t>Föryngringsavverkning</t>
        </is>
      </c>
      <c r="D6329" s="1" t="n">
        <v>45527</v>
      </c>
      <c r="E6329" s="1" t="n">
        <v>46326</v>
      </c>
      <c r="F6329" t="inlineStr">
        <is>
          <t>GÄVLEBORGS LÄN</t>
        </is>
      </c>
      <c r="G6329" t="inlineStr">
        <is>
          <t>HUDIKSVALL</t>
        </is>
      </c>
      <c r="H6329" t="inlineStr">
        <is>
          <t>Holmen skog AB</t>
        </is>
      </c>
      <c r="I6329" t="n">
        <v>1.9</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42876-2023</t>
        </is>
      </c>
      <c r="B6330" t="inlineStr">
        <is>
          <t>avverkningsanmälan</t>
        </is>
      </c>
      <c r="C6330" t="inlineStr">
        <is>
          <t>Föryngringsavverkning</t>
        </is>
      </c>
      <c r="D6330" s="1" t="n">
        <v>45182</v>
      </c>
      <c r="E6330" s="1" t="n">
        <v>46326</v>
      </c>
      <c r="F6330" t="inlineStr">
        <is>
          <t>GÄVLEBORGS LÄN</t>
        </is>
      </c>
      <c r="G6330" t="inlineStr">
        <is>
          <t>GÄVLE</t>
        </is>
      </c>
      <c r="H6330" t="inlineStr">
        <is>
          <t>Bergvik skog väst AB</t>
        </is>
      </c>
      <c r="I6330" t="n">
        <v>22.7</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19138-2026</t>
        </is>
      </c>
      <c r="B6331" t="inlineStr">
        <is>
          <t>avverkningsanmälan</t>
        </is>
      </c>
      <c r="C6331" t="inlineStr">
        <is>
          <t>Föryngringsavverkning</t>
        </is>
      </c>
      <c r="D6331" s="1" t="n">
        <v>46132</v>
      </c>
      <c r="E6331" s="1" t="n">
        <v>46326</v>
      </c>
      <c r="F6331" t="inlineStr">
        <is>
          <t>GÄVLEBORGS LÄN</t>
        </is>
      </c>
      <c r="G6331" t="inlineStr">
        <is>
          <t>OCKELBO</t>
        </is>
      </c>
      <c r="I6331" t="n">
        <v>2.4</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19156-2026</t>
        </is>
      </c>
      <c r="B6332" t="inlineStr">
        <is>
          <t>avverkningsanmälan</t>
        </is>
      </c>
      <c r="C6332" t="inlineStr">
        <is>
          <t>Föryngringsavverkning</t>
        </is>
      </c>
      <c r="D6332" s="1" t="n">
        <v>46132</v>
      </c>
      <c r="E6332" s="1" t="n">
        <v>46326</v>
      </c>
      <c r="F6332" t="inlineStr">
        <is>
          <t>GÄVLEBORGS LÄN</t>
        </is>
      </c>
      <c r="G6332" t="inlineStr">
        <is>
          <t>BOLLNÄS</t>
        </is>
      </c>
      <c r="I6332" t="n">
        <v>1.9</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19175-2026</t>
        </is>
      </c>
      <c r="B6333" t="inlineStr">
        <is>
          <t>avverkningsanmälan</t>
        </is>
      </c>
      <c r="C6333" t="inlineStr">
        <is>
          <t>Föryngringsavverkning</t>
        </is>
      </c>
      <c r="D6333" s="1" t="n">
        <v>46132</v>
      </c>
      <c r="E6333" s="1" t="n">
        <v>46326</v>
      </c>
      <c r="F6333" t="inlineStr">
        <is>
          <t>GÄVLEBORGS LÄN</t>
        </is>
      </c>
      <c r="G6333" t="inlineStr">
        <is>
          <t>SÖDERHAMN</t>
        </is>
      </c>
      <c r="I6333" t="n">
        <v>0.8</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19188-2026</t>
        </is>
      </c>
      <c r="B6334" t="inlineStr">
        <is>
          <t>avverkningsanmälan</t>
        </is>
      </c>
      <c r="C6334" t="inlineStr">
        <is>
          <t>Föryngringsavverkning</t>
        </is>
      </c>
      <c r="D6334" s="1" t="n">
        <v>46132</v>
      </c>
      <c r="E6334" s="1" t="n">
        <v>46326</v>
      </c>
      <c r="F6334" t="inlineStr">
        <is>
          <t>GÄVLEBORGS LÄN</t>
        </is>
      </c>
      <c r="G6334" t="inlineStr">
        <is>
          <t>BOLLNÄS</t>
        </is>
      </c>
      <c r="I6334" t="n">
        <v>1.8</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19040-2026</t>
        </is>
      </c>
      <c r="B6335" t="inlineStr">
        <is>
          <t>avverkningsanmälan</t>
        </is>
      </c>
      <c r="C6335" t="inlineStr">
        <is>
          <t>Föryngringsavverkning</t>
        </is>
      </c>
      <c r="D6335" s="1" t="n">
        <v>46132</v>
      </c>
      <c r="E6335" s="1" t="n">
        <v>46326</v>
      </c>
      <c r="F6335" t="inlineStr">
        <is>
          <t>GÄVLEBORGS LÄN</t>
        </is>
      </c>
      <c r="G6335" t="inlineStr">
        <is>
          <t>OCKELBO</t>
        </is>
      </c>
      <c r="H6335" t="inlineStr">
        <is>
          <t>Bergvik skog väst AB</t>
        </is>
      </c>
      <c r="I6335" t="n">
        <v>11.9</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19085-2026</t>
        </is>
      </c>
      <c r="B6336" t="inlineStr">
        <is>
          <t>avverkningsanmälan</t>
        </is>
      </c>
      <c r="C6336" t="inlineStr">
        <is>
          <t>Föryngringsavverkning</t>
        </is>
      </c>
      <c r="D6336" s="1" t="n">
        <v>46132</v>
      </c>
      <c r="E6336" s="1" t="n">
        <v>46326</v>
      </c>
      <c r="F6336" t="inlineStr">
        <is>
          <t>GÄVLEBORGS LÄN</t>
        </is>
      </c>
      <c r="G6336" t="inlineStr">
        <is>
          <t>GÄVLE</t>
        </is>
      </c>
      <c r="H6336" t="inlineStr">
        <is>
          <t>Bergvik skog öst AB</t>
        </is>
      </c>
      <c r="I6336" t="n">
        <v>2.3</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19106-2026</t>
        </is>
      </c>
      <c r="B6337" t="inlineStr">
        <is>
          <t>avverkningsanmälan</t>
        </is>
      </c>
      <c r="C6337" t="inlineStr">
        <is>
          <t>Föryngringsavverkning</t>
        </is>
      </c>
      <c r="D6337" s="1" t="n">
        <v>46132</v>
      </c>
      <c r="E6337" s="1" t="n">
        <v>46326</v>
      </c>
      <c r="F6337" t="inlineStr">
        <is>
          <t>GÄVLEBORGS LÄN</t>
        </is>
      </c>
      <c r="G6337" t="inlineStr">
        <is>
          <t>OVANÅKER</t>
        </is>
      </c>
      <c r="H6337" t="inlineStr">
        <is>
          <t>Kyrkan</t>
        </is>
      </c>
      <c r="I6337" t="n">
        <v>0.5</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19116-2026</t>
        </is>
      </c>
      <c r="B6338" t="inlineStr">
        <is>
          <t>avverkningsanmälan</t>
        </is>
      </c>
      <c r="C6338" t="inlineStr">
        <is>
          <t>Föryngringsavverkning</t>
        </is>
      </c>
      <c r="D6338" s="1" t="n">
        <v>46132</v>
      </c>
      <c r="E6338" s="1" t="n">
        <v>46326</v>
      </c>
      <c r="F6338" t="inlineStr">
        <is>
          <t>GÄVLEBORGS LÄN</t>
        </is>
      </c>
      <c r="G6338" t="inlineStr">
        <is>
          <t>OVANÅKER</t>
        </is>
      </c>
      <c r="I6338" t="n">
        <v>2.5</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19118-2026</t>
        </is>
      </c>
      <c r="B6339" t="inlineStr">
        <is>
          <t>avverkningsanmälan</t>
        </is>
      </c>
      <c r="C6339" t="inlineStr">
        <is>
          <t>Föryngringsavverkning</t>
        </is>
      </c>
      <c r="D6339" s="1" t="n">
        <v>46132</v>
      </c>
      <c r="E6339" s="1" t="n">
        <v>46326</v>
      </c>
      <c r="F6339" t="inlineStr">
        <is>
          <t>GÄVLEBORGS LÄN</t>
        </is>
      </c>
      <c r="G6339" t="inlineStr">
        <is>
          <t>BOLLNÄS</t>
        </is>
      </c>
      <c r="I6339" t="n">
        <v>2.5</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19124-2026</t>
        </is>
      </c>
      <c r="B6340" t="inlineStr">
        <is>
          <t>avverkningsanmälan</t>
        </is>
      </c>
      <c r="C6340" t="inlineStr">
        <is>
          <t>Föryngringsavverkning</t>
        </is>
      </c>
      <c r="D6340" s="1" t="n">
        <v>46132</v>
      </c>
      <c r="E6340" s="1" t="n">
        <v>46326</v>
      </c>
      <c r="F6340" t="inlineStr">
        <is>
          <t>GÄVLEBORGS LÄN</t>
        </is>
      </c>
      <c r="G6340" t="inlineStr">
        <is>
          <t>BOLLNÄS</t>
        </is>
      </c>
      <c r="I6340" t="n">
        <v>2.3</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19139-2026</t>
        </is>
      </c>
      <c r="B6341" t="inlineStr">
        <is>
          <t>avverkningsanmälan</t>
        </is>
      </c>
      <c r="C6341" t="inlineStr">
        <is>
          <t>Föryngringsavverkning</t>
        </is>
      </c>
      <c r="D6341" s="1" t="n">
        <v>46132</v>
      </c>
      <c r="E6341" s="1" t="n">
        <v>46326</v>
      </c>
      <c r="F6341" t="inlineStr">
        <is>
          <t>GÄVLEBORGS LÄN</t>
        </is>
      </c>
      <c r="G6341" t="inlineStr">
        <is>
          <t>OCKELBO</t>
        </is>
      </c>
      <c r="I6341" t="n">
        <v>3.6</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19161-2026</t>
        </is>
      </c>
      <c r="B6342" t="inlineStr">
        <is>
          <t>avverkningsanmälan</t>
        </is>
      </c>
      <c r="C6342" t="inlineStr">
        <is>
          <t>Föryngringsavverkning</t>
        </is>
      </c>
      <c r="D6342" s="1" t="n">
        <v>46132</v>
      </c>
      <c r="E6342" s="1" t="n">
        <v>46326</v>
      </c>
      <c r="F6342" t="inlineStr">
        <is>
          <t>GÄVLEBORGS LÄN</t>
        </is>
      </c>
      <c r="G6342" t="inlineStr">
        <is>
          <t>OVANÅKER</t>
        </is>
      </c>
      <c r="I6342" t="n">
        <v>1.6</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12732-2026</t>
        </is>
      </c>
      <c r="B6343" t="inlineStr">
        <is>
          <t>avverkningsanmälan</t>
        </is>
      </c>
      <c r="C6343" t="inlineStr">
        <is>
          <t>Föryngringsavverkning</t>
        </is>
      </c>
      <c r="D6343" s="1" t="n">
        <v>46091</v>
      </c>
      <c r="E6343" s="1" t="n">
        <v>46326</v>
      </c>
      <c r="F6343" t="inlineStr">
        <is>
          <t>GÄVLEBORGS LÄN</t>
        </is>
      </c>
      <c r="G6343" t="inlineStr">
        <is>
          <t>SANDVIKEN</t>
        </is>
      </c>
      <c r="H6343" t="inlineStr">
        <is>
          <t>Naturvårdsverket</t>
        </is>
      </c>
      <c r="I6343" t="n">
        <v>3.1</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14010-2022</t>
        </is>
      </c>
      <c r="B6344" t="inlineStr">
        <is>
          <t>avverkningsanmälan</t>
        </is>
      </c>
      <c r="C6344" t="inlineStr">
        <is>
          <t>Föryngringsavverkning</t>
        </is>
      </c>
      <c r="D6344" s="1" t="n">
        <v>44650</v>
      </c>
      <c r="E6344" s="1" t="n">
        <v>46326</v>
      </c>
      <c r="F6344" t="inlineStr">
        <is>
          <t>GÄVLEBORGS LÄN</t>
        </is>
      </c>
      <c r="G6344" t="inlineStr">
        <is>
          <t>LJUSDAL</t>
        </is>
      </c>
      <c r="I6344" t="n">
        <v>1.3</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19371-2026</t>
        </is>
      </c>
      <c r="B6345" t="inlineStr">
        <is>
          <t>avverkningsanmälan</t>
        </is>
      </c>
      <c r="C6345" t="inlineStr">
        <is>
          <t>Föryngringsavverkning</t>
        </is>
      </c>
      <c r="D6345" s="1" t="n">
        <v>46133</v>
      </c>
      <c r="E6345" s="1" t="n">
        <v>46326</v>
      </c>
      <c r="F6345" t="inlineStr">
        <is>
          <t>GÄVLEBORGS LÄN</t>
        </is>
      </c>
      <c r="G6345" t="inlineStr">
        <is>
          <t>GÄVLE</t>
        </is>
      </c>
      <c r="H6345" t="inlineStr">
        <is>
          <t>Bergvik skog öst AB</t>
        </is>
      </c>
      <c r="I6345" t="n">
        <v>0.9</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19424-2026</t>
        </is>
      </c>
      <c r="B6346" t="inlineStr">
        <is>
          <t>avverkningsanmälan</t>
        </is>
      </c>
      <c r="C6346" t="inlineStr">
        <is>
          <t>Föryngringsavverkning</t>
        </is>
      </c>
      <c r="D6346" s="1" t="n">
        <v>46133</v>
      </c>
      <c r="E6346" s="1" t="n">
        <v>46326</v>
      </c>
      <c r="F6346" t="inlineStr">
        <is>
          <t>GÄVLEBORGS LÄN</t>
        </is>
      </c>
      <c r="G6346" t="inlineStr">
        <is>
          <t>OCKELBO</t>
        </is>
      </c>
      <c r="I6346" t="n">
        <v>1.2</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3442-2023</t>
        </is>
      </c>
      <c r="B6347" t="inlineStr">
        <is>
          <t>avverkningsanmälan</t>
        </is>
      </c>
      <c r="C6347" t="inlineStr">
        <is>
          <t>Föryngringsavverkning</t>
        </is>
      </c>
      <c r="D6347" s="1" t="n">
        <v>44949</v>
      </c>
      <c r="E6347" s="1" t="n">
        <v>46326</v>
      </c>
      <c r="F6347" t="inlineStr">
        <is>
          <t>GÄVLEBORGS LÄN</t>
        </is>
      </c>
      <c r="G6347" t="inlineStr">
        <is>
          <t>SANDVIKEN</t>
        </is>
      </c>
      <c r="I6347" t="n">
        <v>4.7</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14108-2026</t>
        </is>
      </c>
      <c r="B6348" t="inlineStr">
        <is>
          <t>avverkningsanmälan</t>
        </is>
      </c>
      <c r="C6348" t="inlineStr">
        <is>
          <t>Föryngringsavverkning</t>
        </is>
      </c>
      <c r="D6348" s="1" t="n">
        <v>46099</v>
      </c>
      <c r="E6348" s="1" t="n">
        <v>46326</v>
      </c>
      <c r="F6348" t="inlineStr">
        <is>
          <t>GÄVLEBORGS LÄN</t>
        </is>
      </c>
      <c r="G6348" t="inlineStr">
        <is>
          <t>HUDIKSVALL</t>
        </is>
      </c>
      <c r="I6348" t="n">
        <v>5.5</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19235-2026</t>
        </is>
      </c>
      <c r="B6349" t="inlineStr">
        <is>
          <t>avverkningsanmälan</t>
        </is>
      </c>
      <c r="C6349" t="inlineStr">
        <is>
          <t>Föryngringsavverkning</t>
        </is>
      </c>
      <c r="D6349" s="1" t="n">
        <v>46132</v>
      </c>
      <c r="E6349" s="1" t="n">
        <v>46326</v>
      </c>
      <c r="F6349" t="inlineStr">
        <is>
          <t>GÄVLEBORGS LÄN</t>
        </is>
      </c>
      <c r="G6349" t="inlineStr">
        <is>
          <t>BOLLNÄS</t>
        </is>
      </c>
      <c r="I6349" t="n">
        <v>1.1</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19248-2026</t>
        </is>
      </c>
      <c r="B6350" t="inlineStr">
        <is>
          <t>avverkningsanmälan</t>
        </is>
      </c>
      <c r="C6350" t="inlineStr">
        <is>
          <t>Föryngringsavverkning</t>
        </is>
      </c>
      <c r="D6350" s="1" t="n">
        <v>46132</v>
      </c>
      <c r="E6350" s="1" t="n">
        <v>46326</v>
      </c>
      <c r="F6350" t="inlineStr">
        <is>
          <t>GÄVLEBORGS LÄN</t>
        </is>
      </c>
      <c r="G6350" t="inlineStr">
        <is>
          <t>OVANÅKER</t>
        </is>
      </c>
      <c r="I6350" t="n">
        <v>1.2</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19269-2026</t>
        </is>
      </c>
      <c r="B6351" t="inlineStr">
        <is>
          <t>avverkningsanmälan</t>
        </is>
      </c>
      <c r="C6351" t="inlineStr">
        <is>
          <t>Föryngringsavverkning</t>
        </is>
      </c>
      <c r="D6351" s="1" t="n">
        <v>46133</v>
      </c>
      <c r="E6351" s="1" t="n">
        <v>46326</v>
      </c>
      <c r="F6351" t="inlineStr">
        <is>
          <t>GÄVLEBORGS LÄN</t>
        </is>
      </c>
      <c r="G6351" t="inlineStr">
        <is>
          <t>BOLLNÄS</t>
        </is>
      </c>
      <c r="I6351" t="n">
        <v>5.3</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19304-2026</t>
        </is>
      </c>
      <c r="B6352" t="inlineStr">
        <is>
          <t>avverkningsanmälan</t>
        </is>
      </c>
      <c r="C6352" t="inlineStr">
        <is>
          <t>Föryngringsavverkning</t>
        </is>
      </c>
      <c r="D6352" s="1" t="n">
        <v>46133</v>
      </c>
      <c r="E6352" s="1" t="n">
        <v>46326</v>
      </c>
      <c r="F6352" t="inlineStr">
        <is>
          <t>GÄVLEBORGS LÄN</t>
        </is>
      </c>
      <c r="G6352" t="inlineStr">
        <is>
          <t>BOLLNÄS</t>
        </is>
      </c>
      <c r="I6352" t="n">
        <v>1.8</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19370-2026</t>
        </is>
      </c>
      <c r="B6353" t="inlineStr">
        <is>
          <t>avverkningsanmälan</t>
        </is>
      </c>
      <c r="C6353" t="inlineStr">
        <is>
          <t>Föryngringsavverkning</t>
        </is>
      </c>
      <c r="D6353" s="1" t="n">
        <v>46133</v>
      </c>
      <c r="E6353" s="1" t="n">
        <v>46326</v>
      </c>
      <c r="F6353" t="inlineStr">
        <is>
          <t>GÄVLEBORGS LÄN</t>
        </is>
      </c>
      <c r="G6353" t="inlineStr">
        <is>
          <t>GÄVLE</t>
        </is>
      </c>
      <c r="H6353" t="inlineStr">
        <is>
          <t>Bergvik skog öst AB</t>
        </is>
      </c>
      <c r="I6353" t="n">
        <v>4.2</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13167-2026</t>
        </is>
      </c>
      <c r="B6354" t="inlineStr">
        <is>
          <t>avverkningsanmälan</t>
        </is>
      </c>
      <c r="C6354" t="inlineStr">
        <is>
          <t>Föryngringsavverkning</t>
        </is>
      </c>
      <c r="D6354" s="1" t="n">
        <v>46093</v>
      </c>
      <c r="E6354" s="1" t="n">
        <v>46326</v>
      </c>
      <c r="F6354" t="inlineStr">
        <is>
          <t>GÄVLEBORGS LÄN</t>
        </is>
      </c>
      <c r="G6354" t="inlineStr">
        <is>
          <t>BOLLNÄS</t>
        </is>
      </c>
      <c r="I6354" t="n">
        <v>7.6</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19432-2026</t>
        </is>
      </c>
      <c r="B6355" t="inlineStr">
        <is>
          <t>avverkningsanmälan</t>
        </is>
      </c>
      <c r="C6355" t="inlineStr">
        <is>
          <t>Föryngringsavverkning</t>
        </is>
      </c>
      <c r="D6355" s="1" t="n">
        <v>46133</v>
      </c>
      <c r="E6355" s="1" t="n">
        <v>46326</v>
      </c>
      <c r="F6355" t="inlineStr">
        <is>
          <t>GÄVLEBORGS LÄN</t>
        </is>
      </c>
      <c r="G6355" t="inlineStr">
        <is>
          <t>OVANÅKER</t>
        </is>
      </c>
      <c r="I6355" t="n">
        <v>1.6</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37697-2024</t>
        </is>
      </c>
      <c r="B6356" t="inlineStr">
        <is>
          <t>avverkningsanmälan</t>
        </is>
      </c>
      <c r="C6356" t="inlineStr">
        <is>
          <t>Föryngringsavverkning</t>
        </is>
      </c>
      <c r="D6356" s="1" t="n">
        <v>45541</v>
      </c>
      <c r="E6356" s="1" t="n">
        <v>46326</v>
      </c>
      <c r="F6356" t="inlineStr">
        <is>
          <t>GÄVLEBORGS LÄN</t>
        </is>
      </c>
      <c r="G6356" t="inlineStr">
        <is>
          <t>HUDIKSVALL</t>
        </is>
      </c>
      <c r="H6356" t="inlineStr">
        <is>
          <t>Kommuner</t>
        </is>
      </c>
      <c r="I6356" t="n">
        <v>2.6</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19467-2026</t>
        </is>
      </c>
      <c r="B6357" t="inlineStr">
        <is>
          <t>avverkningsanmälan</t>
        </is>
      </c>
      <c r="C6357" t="inlineStr">
        <is>
          <t>Föryngringsavverkning</t>
        </is>
      </c>
      <c r="D6357" s="1" t="n">
        <v>46132</v>
      </c>
      <c r="E6357" s="1" t="n">
        <v>46326</v>
      </c>
      <c r="F6357" t="inlineStr">
        <is>
          <t>GÄVLEBORGS LÄN</t>
        </is>
      </c>
      <c r="G6357" t="inlineStr">
        <is>
          <t>SANDVIKEN</t>
        </is>
      </c>
      <c r="I6357" t="n">
        <v>1.4</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19038-2026</t>
        </is>
      </c>
      <c r="B6358" t="inlineStr">
        <is>
          <t>avverkningsanmälan</t>
        </is>
      </c>
      <c r="C6358" t="inlineStr">
        <is>
          <t>Föryngringsavverkning</t>
        </is>
      </c>
      <c r="D6358" s="1" t="n">
        <v>46132</v>
      </c>
      <c r="E6358" s="1" t="n">
        <v>46326</v>
      </c>
      <c r="F6358" t="inlineStr">
        <is>
          <t>GÄVLEBORGS LÄN</t>
        </is>
      </c>
      <c r="G6358" t="inlineStr">
        <is>
          <t>OCKELBO</t>
        </is>
      </c>
      <c r="H6358" t="inlineStr">
        <is>
          <t>Bergvik skog väst AB</t>
        </is>
      </c>
      <c r="I6358" t="n">
        <v>17.7</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19075-2026</t>
        </is>
      </c>
      <c r="B6359" t="inlineStr">
        <is>
          <t>avverkningsanmälan</t>
        </is>
      </c>
      <c r="C6359" t="inlineStr">
        <is>
          <t>Föryngringsavverkning</t>
        </is>
      </c>
      <c r="D6359" s="1" t="n">
        <v>46132</v>
      </c>
      <c r="E6359" s="1" t="n">
        <v>46326</v>
      </c>
      <c r="F6359" t="inlineStr">
        <is>
          <t>GÄVLEBORGS LÄN</t>
        </is>
      </c>
      <c r="G6359" t="inlineStr">
        <is>
          <t>BOLLNÄS</t>
        </is>
      </c>
      <c r="I6359" t="n">
        <v>2</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19273-2026</t>
        </is>
      </c>
      <c r="B6360" t="inlineStr">
        <is>
          <t>avverkningsanmälan</t>
        </is>
      </c>
      <c r="C6360" t="inlineStr">
        <is>
          <t>Föryngringsavverkning</t>
        </is>
      </c>
      <c r="D6360" s="1" t="n">
        <v>46133</v>
      </c>
      <c r="E6360" s="1" t="n">
        <v>46326</v>
      </c>
      <c r="F6360" t="inlineStr">
        <is>
          <t>GÄVLEBORGS LÄN</t>
        </is>
      </c>
      <c r="G6360" t="inlineStr">
        <is>
          <t>SANDVIKEN</t>
        </is>
      </c>
      <c r="H6360" t="inlineStr">
        <is>
          <t>Bergvik skog öst AB</t>
        </is>
      </c>
      <c r="I6360" t="n">
        <v>10.1</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53691-2022</t>
        </is>
      </c>
      <c r="B6361" t="inlineStr">
        <is>
          <t>avverkningsanmälan</t>
        </is>
      </c>
      <c r="C6361" t="inlineStr">
        <is>
          <t>Föryngringsavverkning</t>
        </is>
      </c>
      <c r="D6361" s="1" t="n">
        <v>44880</v>
      </c>
      <c r="E6361" s="1" t="n">
        <v>46326</v>
      </c>
      <c r="F6361" t="inlineStr">
        <is>
          <t>GÄVLEBORGS LÄN</t>
        </is>
      </c>
      <c r="G6361" t="inlineStr">
        <is>
          <t>OVANÅKER</t>
        </is>
      </c>
      <c r="I6361" t="n">
        <v>1.2</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19080-2026</t>
        </is>
      </c>
      <c r="B6362" t="inlineStr">
        <is>
          <t>avverkningsanmälan</t>
        </is>
      </c>
      <c r="C6362" t="inlineStr">
        <is>
          <t>Föryngringsavverkning</t>
        </is>
      </c>
      <c r="D6362" s="1" t="n">
        <v>46132</v>
      </c>
      <c r="E6362" s="1" t="n">
        <v>46326</v>
      </c>
      <c r="F6362" t="inlineStr">
        <is>
          <t>GÄVLEBORGS LÄN</t>
        </is>
      </c>
      <c r="G6362" t="inlineStr">
        <is>
          <t>SANDVIKEN</t>
        </is>
      </c>
      <c r="I6362" t="n">
        <v>1.2</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12675-2026</t>
        </is>
      </c>
      <c r="B6363" t="inlineStr">
        <is>
          <t>avverkningsanmälan</t>
        </is>
      </c>
      <c r="C6363" t="inlineStr">
        <is>
          <t>Föryngringsavverkning</t>
        </is>
      </c>
      <c r="D6363" s="1" t="n">
        <v>46091</v>
      </c>
      <c r="E6363" s="1" t="n">
        <v>46326</v>
      </c>
      <c r="F6363" t="inlineStr">
        <is>
          <t>GÄVLEBORGS LÄN</t>
        </is>
      </c>
      <c r="G6363" t="inlineStr">
        <is>
          <t>SANDVIKEN</t>
        </is>
      </c>
      <c r="H6363" t="inlineStr">
        <is>
          <t>Naturvårdsverket</t>
        </is>
      </c>
      <c r="I6363" t="n">
        <v>0.4</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20787-2024</t>
        </is>
      </c>
      <c r="B6364" t="inlineStr">
        <is>
          <t>avverkningsanmälan</t>
        </is>
      </c>
      <c r="C6364" t="inlineStr">
        <is>
          <t>Föryngringsavverkning</t>
        </is>
      </c>
      <c r="D6364" s="1" t="n">
        <v>45438</v>
      </c>
      <c r="E6364" s="1" t="n">
        <v>46326</v>
      </c>
      <c r="F6364" t="inlineStr">
        <is>
          <t>GÄVLEBORGS LÄN</t>
        </is>
      </c>
      <c r="G6364" t="inlineStr">
        <is>
          <t>LJUSDAL</t>
        </is>
      </c>
      <c r="I6364" t="n">
        <v>1</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19279-2026</t>
        </is>
      </c>
      <c r="B6365" t="inlineStr">
        <is>
          <t>avverkningsanmälan</t>
        </is>
      </c>
      <c r="C6365" t="inlineStr">
        <is>
          <t>Föryngringsavverkning</t>
        </is>
      </c>
      <c r="D6365" s="1" t="n">
        <v>46133</v>
      </c>
      <c r="E6365" s="1" t="n">
        <v>46326</v>
      </c>
      <c r="F6365" t="inlineStr">
        <is>
          <t>GÄVLEBORGS LÄN</t>
        </is>
      </c>
      <c r="G6365" t="inlineStr">
        <is>
          <t>BOLLNÄS</t>
        </is>
      </c>
      <c r="I6365" t="n">
        <v>0.7</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19122-2026</t>
        </is>
      </c>
      <c r="B6366" t="inlineStr">
        <is>
          <t>avverkningsanmälan</t>
        </is>
      </c>
      <c r="C6366" t="inlineStr">
        <is>
          <t>Föryngringsavverkning</t>
        </is>
      </c>
      <c r="D6366" s="1" t="n">
        <v>46132</v>
      </c>
      <c r="E6366" s="1" t="n">
        <v>46326</v>
      </c>
      <c r="F6366" t="inlineStr">
        <is>
          <t>GÄVLEBORGS LÄN</t>
        </is>
      </c>
      <c r="G6366" t="inlineStr">
        <is>
          <t>GÄVLE</t>
        </is>
      </c>
      <c r="I6366" t="n">
        <v>2.5</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19146-2026</t>
        </is>
      </c>
      <c r="B6367" t="inlineStr">
        <is>
          <t>avverkningsanmälan</t>
        </is>
      </c>
      <c r="C6367" t="inlineStr">
        <is>
          <t>Föryngringsavverkning</t>
        </is>
      </c>
      <c r="D6367" s="1" t="n">
        <v>46132</v>
      </c>
      <c r="E6367" s="1" t="n">
        <v>46326</v>
      </c>
      <c r="F6367" t="inlineStr">
        <is>
          <t>GÄVLEBORGS LÄN</t>
        </is>
      </c>
      <c r="G6367" t="inlineStr">
        <is>
          <t>OCKELBO</t>
        </is>
      </c>
      <c r="H6367" t="inlineStr">
        <is>
          <t>Bergvik skog väst AB</t>
        </is>
      </c>
      <c r="I6367" t="n">
        <v>0.9</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19163-2026</t>
        </is>
      </c>
      <c r="B6368" t="inlineStr">
        <is>
          <t>avverkningsanmälan</t>
        </is>
      </c>
      <c r="C6368" t="inlineStr">
        <is>
          <t>Föryngringsavverkning</t>
        </is>
      </c>
      <c r="D6368" s="1" t="n">
        <v>46132</v>
      </c>
      <c r="E6368" s="1" t="n">
        <v>46326</v>
      </c>
      <c r="F6368" t="inlineStr">
        <is>
          <t>GÄVLEBORGS LÄN</t>
        </is>
      </c>
      <c r="G6368" t="inlineStr">
        <is>
          <t>BOLLNÄS</t>
        </is>
      </c>
      <c r="I6368" t="n">
        <v>14.1</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19169-2026</t>
        </is>
      </c>
      <c r="B6369" t="inlineStr">
        <is>
          <t>avverkningsanmälan</t>
        </is>
      </c>
      <c r="C6369" t="inlineStr">
        <is>
          <t>Föryngringsavverkning</t>
        </is>
      </c>
      <c r="D6369" s="1" t="n">
        <v>46132</v>
      </c>
      <c r="E6369" s="1" t="n">
        <v>46326</v>
      </c>
      <c r="F6369" t="inlineStr">
        <is>
          <t>GÄVLEBORGS LÄN</t>
        </is>
      </c>
      <c r="G6369" t="inlineStr">
        <is>
          <t>BOLLNÄS</t>
        </is>
      </c>
      <c r="I6369" t="n">
        <v>1.6</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19115-2026</t>
        </is>
      </c>
      <c r="B6370" t="inlineStr">
        <is>
          <t>avverkningsanmälan</t>
        </is>
      </c>
      <c r="C6370" t="inlineStr">
        <is>
          <t>Föryngringsavverkning</t>
        </is>
      </c>
      <c r="D6370" s="1" t="n">
        <v>46132</v>
      </c>
      <c r="E6370" s="1" t="n">
        <v>46326</v>
      </c>
      <c r="F6370" t="inlineStr">
        <is>
          <t>GÄVLEBORGS LÄN</t>
        </is>
      </c>
      <c r="G6370" t="inlineStr">
        <is>
          <t>BOLLNÄS</t>
        </is>
      </c>
      <c r="I6370" t="n">
        <v>0.4</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19142-2026</t>
        </is>
      </c>
      <c r="B6371" t="inlineStr">
        <is>
          <t>avverkningsanmälan</t>
        </is>
      </c>
      <c r="C6371" t="inlineStr">
        <is>
          <t>Föryngringsavverkning</t>
        </is>
      </c>
      <c r="D6371" s="1" t="n">
        <v>46132</v>
      </c>
      <c r="E6371" s="1" t="n">
        <v>46326</v>
      </c>
      <c r="F6371" t="inlineStr">
        <is>
          <t>GÄVLEBORGS LÄN</t>
        </is>
      </c>
      <c r="G6371" t="inlineStr">
        <is>
          <t>OCKELBO</t>
        </is>
      </c>
      <c r="H6371" t="inlineStr">
        <is>
          <t>Bergvik skog väst AB</t>
        </is>
      </c>
      <c r="I6371" t="n">
        <v>3.7</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19399-2026</t>
        </is>
      </c>
      <c r="B6372" t="inlineStr">
        <is>
          <t>avverkningsanmälan</t>
        </is>
      </c>
      <c r="C6372" t="inlineStr">
        <is>
          <t>Föryngringsavverkning</t>
        </is>
      </c>
      <c r="D6372" s="1" t="n">
        <v>46133</v>
      </c>
      <c r="E6372" s="1" t="n">
        <v>46326</v>
      </c>
      <c r="F6372" t="inlineStr">
        <is>
          <t>GÄVLEBORGS LÄN</t>
        </is>
      </c>
      <c r="G6372" t="inlineStr">
        <is>
          <t>BOLLNÄS</t>
        </is>
      </c>
      <c r="I6372" t="n">
        <v>2.9</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19402-2026</t>
        </is>
      </c>
      <c r="B6373" t="inlineStr">
        <is>
          <t>avverkningsanmälan</t>
        </is>
      </c>
      <c r="C6373" t="inlineStr">
        <is>
          <t>Föryngringsavverkning</t>
        </is>
      </c>
      <c r="D6373" s="1" t="n">
        <v>46133</v>
      </c>
      <c r="E6373" s="1" t="n">
        <v>46326</v>
      </c>
      <c r="F6373" t="inlineStr">
        <is>
          <t>GÄVLEBORGS LÄN</t>
        </is>
      </c>
      <c r="G6373" t="inlineStr">
        <is>
          <t>BOLLNÄS</t>
        </is>
      </c>
      <c r="H6373" t="inlineStr">
        <is>
          <t>Bergvik skog väst AB</t>
        </is>
      </c>
      <c r="I6373" t="n">
        <v>1.9</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19409-2026</t>
        </is>
      </c>
      <c r="B6374" t="inlineStr">
        <is>
          <t>avverkningsanmälan</t>
        </is>
      </c>
      <c r="C6374" t="inlineStr">
        <is>
          <t>Föryngringsavverkning</t>
        </is>
      </c>
      <c r="D6374" s="1" t="n">
        <v>46133</v>
      </c>
      <c r="E6374" s="1" t="n">
        <v>46326</v>
      </c>
      <c r="F6374" t="inlineStr">
        <is>
          <t>GÄVLEBORGS LÄN</t>
        </is>
      </c>
      <c r="G6374" t="inlineStr">
        <is>
          <t>BOLLNÄS</t>
        </is>
      </c>
      <c r="I6374" t="n">
        <v>0.2</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19412-2026</t>
        </is>
      </c>
      <c r="B6375" t="inlineStr">
        <is>
          <t>avverkningsanmälan</t>
        </is>
      </c>
      <c r="C6375" t="inlineStr">
        <is>
          <t>Föryngringsavverkning</t>
        </is>
      </c>
      <c r="D6375" s="1" t="n">
        <v>46133</v>
      </c>
      <c r="E6375" s="1" t="n">
        <v>46326</v>
      </c>
      <c r="F6375" t="inlineStr">
        <is>
          <t>GÄVLEBORGS LÄN</t>
        </is>
      </c>
      <c r="G6375" t="inlineStr">
        <is>
          <t>BOLLNÄS</t>
        </is>
      </c>
      <c r="I6375" t="n">
        <v>2</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19125-2026</t>
        </is>
      </c>
      <c r="B6376" t="inlineStr">
        <is>
          <t>avverkningsanmälan</t>
        </is>
      </c>
      <c r="C6376" t="inlineStr">
        <is>
          <t>Föryngringsavverkning</t>
        </is>
      </c>
      <c r="D6376" s="1" t="n">
        <v>46132</v>
      </c>
      <c r="E6376" s="1" t="n">
        <v>46326</v>
      </c>
      <c r="F6376" t="inlineStr">
        <is>
          <t>GÄVLEBORGS LÄN</t>
        </is>
      </c>
      <c r="G6376" t="inlineStr">
        <is>
          <t>BOLLNÄS</t>
        </is>
      </c>
      <c r="I6376" t="n">
        <v>6.3</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19127-2026</t>
        </is>
      </c>
      <c r="B6377" t="inlineStr">
        <is>
          <t>avverkningsanmälan</t>
        </is>
      </c>
      <c r="C6377" t="inlineStr">
        <is>
          <t>Föryngringsavverkning</t>
        </is>
      </c>
      <c r="D6377" s="1" t="n">
        <v>46132</v>
      </c>
      <c r="E6377" s="1" t="n">
        <v>46326</v>
      </c>
      <c r="F6377" t="inlineStr">
        <is>
          <t>GÄVLEBORGS LÄN</t>
        </is>
      </c>
      <c r="G6377" t="inlineStr">
        <is>
          <t>BOLLNÄS</t>
        </is>
      </c>
      <c r="I6377" t="n">
        <v>0.9</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19168-2026</t>
        </is>
      </c>
      <c r="B6378" t="inlineStr">
        <is>
          <t>avverkningsanmälan</t>
        </is>
      </c>
      <c r="C6378" t="inlineStr">
        <is>
          <t>Föryngringsavverkning</t>
        </is>
      </c>
      <c r="D6378" s="1" t="n">
        <v>46132</v>
      </c>
      <c r="E6378" s="1" t="n">
        <v>46326</v>
      </c>
      <c r="F6378" t="inlineStr">
        <is>
          <t>GÄVLEBORGS LÄN</t>
        </is>
      </c>
      <c r="G6378" t="inlineStr">
        <is>
          <t>BOLLNÄS</t>
        </is>
      </c>
      <c r="I6378" t="n">
        <v>0.5</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13014-2023</t>
        </is>
      </c>
      <c r="B6379" t="inlineStr">
        <is>
          <t>avverkningsanmälan</t>
        </is>
      </c>
      <c r="C6379" t="inlineStr">
        <is>
          <t>Föryngringsavverkning</t>
        </is>
      </c>
      <c r="D6379" s="1" t="n">
        <v>45002</v>
      </c>
      <c r="E6379" s="1" t="n">
        <v>46326</v>
      </c>
      <c r="F6379" t="inlineStr">
        <is>
          <t>GÄVLEBORGS LÄN</t>
        </is>
      </c>
      <c r="G6379" t="inlineStr">
        <is>
          <t>OVANÅKER</t>
        </is>
      </c>
      <c r="I6379" t="n">
        <v>2</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33489-2024</t>
        </is>
      </c>
      <c r="B6380" t="inlineStr">
        <is>
          <t>avverkningsanmälan</t>
        </is>
      </c>
      <c r="C6380" t="inlineStr">
        <is>
          <t>Föryngringsavverkning</t>
        </is>
      </c>
      <c r="D6380" s="1" t="n">
        <v>45519</v>
      </c>
      <c r="E6380" s="1" t="n">
        <v>46326</v>
      </c>
      <c r="F6380" t="inlineStr">
        <is>
          <t>GÄVLEBORGS LÄN</t>
        </is>
      </c>
      <c r="G6380" t="inlineStr">
        <is>
          <t>OVANÅKER</t>
        </is>
      </c>
      <c r="H6380" t="inlineStr">
        <is>
          <t>Bergvik skog öst AB</t>
        </is>
      </c>
      <c r="I6380" t="n">
        <v>1.9</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19555-2026</t>
        </is>
      </c>
      <c r="B6381" t="inlineStr">
        <is>
          <t>avverkningsanmälan</t>
        </is>
      </c>
      <c r="C6381" t="inlineStr">
        <is>
          <t>Föryngringsavverkning</t>
        </is>
      </c>
      <c r="D6381" s="1" t="n">
        <v>46134</v>
      </c>
      <c r="E6381" s="1" t="n">
        <v>46326</v>
      </c>
      <c r="F6381" t="inlineStr">
        <is>
          <t>GÄVLEBORGS LÄN</t>
        </is>
      </c>
      <c r="G6381" t="inlineStr">
        <is>
          <t>LJUSDAL</t>
        </is>
      </c>
      <c r="H6381" t="inlineStr">
        <is>
          <t>Bergvik skog väst AB</t>
        </is>
      </c>
      <c r="I6381" t="n">
        <v>1.6</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19714-2026</t>
        </is>
      </c>
      <c r="B6382" t="inlineStr">
        <is>
          <t>avverkningsanmälan</t>
        </is>
      </c>
      <c r="C6382" t="inlineStr">
        <is>
          <t>Föryngringsavverkning</t>
        </is>
      </c>
      <c r="D6382" s="1" t="n">
        <v>46134</v>
      </c>
      <c r="E6382" s="1" t="n">
        <v>46326</v>
      </c>
      <c r="F6382" t="inlineStr">
        <is>
          <t>GÄVLEBORGS LÄN</t>
        </is>
      </c>
      <c r="G6382" t="inlineStr">
        <is>
          <t>GÄVLE</t>
        </is>
      </c>
      <c r="H6382" t="inlineStr">
        <is>
          <t>Bergvik skog öst AB</t>
        </is>
      </c>
      <c r="I6382" t="n">
        <v>1.2</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19715-2026</t>
        </is>
      </c>
      <c r="B6383" t="inlineStr">
        <is>
          <t>avverkningsanmälan</t>
        </is>
      </c>
      <c r="C6383" t="inlineStr">
        <is>
          <t>Föryngringsavverkning</t>
        </is>
      </c>
      <c r="D6383" s="1" t="n">
        <v>46134</v>
      </c>
      <c r="E6383" s="1" t="n">
        <v>46326</v>
      </c>
      <c r="F6383" t="inlineStr">
        <is>
          <t>GÄVLEBORGS LÄN</t>
        </is>
      </c>
      <c r="G6383" t="inlineStr">
        <is>
          <t>GÄVLE</t>
        </is>
      </c>
      <c r="H6383" t="inlineStr">
        <is>
          <t>Bergvik skog öst AB</t>
        </is>
      </c>
      <c r="I6383" t="n">
        <v>0.3</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10530-2026</t>
        </is>
      </c>
      <c r="B6384" t="inlineStr">
        <is>
          <t>avverkningsanmälan</t>
        </is>
      </c>
      <c r="C6384" t="inlineStr">
        <is>
          <t>Föryngringsavverkning</t>
        </is>
      </c>
      <c r="D6384" s="1" t="n">
        <v>46077</v>
      </c>
      <c r="E6384" s="1" t="n">
        <v>46326</v>
      </c>
      <c r="F6384" t="inlineStr">
        <is>
          <t>GÄVLEBORGS LÄN</t>
        </is>
      </c>
      <c r="G6384" t="inlineStr">
        <is>
          <t>OVANÅKER</t>
        </is>
      </c>
      <c r="I6384" t="n">
        <v>0.5</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12386-2026</t>
        </is>
      </c>
      <c r="B6385" t="inlineStr">
        <is>
          <t>avverkningsanmälan</t>
        </is>
      </c>
      <c r="C6385" t="inlineStr">
        <is>
          <t>Föryngringsavverkning</t>
        </is>
      </c>
      <c r="D6385" s="1" t="n">
        <v>46090</v>
      </c>
      <c r="E6385" s="1" t="n">
        <v>46326</v>
      </c>
      <c r="F6385" t="inlineStr">
        <is>
          <t>GÄVLEBORGS LÄN</t>
        </is>
      </c>
      <c r="G6385" t="inlineStr">
        <is>
          <t>GÄVLE</t>
        </is>
      </c>
      <c r="H6385" t="inlineStr">
        <is>
          <t>Bergvik skog öst AB</t>
        </is>
      </c>
      <c r="I6385" t="n">
        <v>1.7</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10772-2026</t>
        </is>
      </c>
      <c r="B6386" t="inlineStr">
        <is>
          <t>avverkningsanmälan</t>
        </is>
      </c>
      <c r="C6386" t="inlineStr">
        <is>
          <t>Föryngringsavverkning</t>
        </is>
      </c>
      <c r="D6386" s="1" t="n">
        <v>46078</v>
      </c>
      <c r="E6386" s="1" t="n">
        <v>46326</v>
      </c>
      <c r="F6386" t="inlineStr">
        <is>
          <t>GÄVLEBORGS LÄN</t>
        </is>
      </c>
      <c r="G6386" t="inlineStr">
        <is>
          <t>BOLLNÄS</t>
        </is>
      </c>
      <c r="H6386" t="inlineStr">
        <is>
          <t>Bergvik skog väst AB</t>
        </is>
      </c>
      <c r="I6386" t="n">
        <v>0.5</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62439-2023</t>
        </is>
      </c>
      <c r="B6387" t="inlineStr">
        <is>
          <t>avverkningsanmälan</t>
        </is>
      </c>
      <c r="C6387" t="inlineStr">
        <is>
          <t>Föryngringsavverkning</t>
        </is>
      </c>
      <c r="D6387" s="1" t="n">
        <v>45268</v>
      </c>
      <c r="E6387" s="1" t="n">
        <v>46326</v>
      </c>
      <c r="F6387" t="inlineStr">
        <is>
          <t>GÄVLEBORGS LÄN</t>
        </is>
      </c>
      <c r="G6387" t="inlineStr">
        <is>
          <t>HUDIKSVALL</t>
        </is>
      </c>
      <c r="I6387" t="n">
        <v>13.3</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18658-2026</t>
        </is>
      </c>
      <c r="B6388" t="inlineStr">
        <is>
          <t>avverkningsanmälan</t>
        </is>
      </c>
      <c r="C6388" t="inlineStr">
        <is>
          <t>Föryngringsavverkning</t>
        </is>
      </c>
      <c r="D6388" s="1" t="n">
        <v>46128</v>
      </c>
      <c r="E6388" s="1" t="n">
        <v>46326</v>
      </c>
      <c r="F6388" t="inlineStr">
        <is>
          <t>GÄVLEBORGS LÄN</t>
        </is>
      </c>
      <c r="G6388" t="inlineStr">
        <is>
          <t>OVANÅKER</t>
        </is>
      </c>
      <c r="H6388" t="inlineStr">
        <is>
          <t>Bergvik skog väst AB</t>
        </is>
      </c>
      <c r="I6388" t="n">
        <v>0.7</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19413-2026</t>
        </is>
      </c>
      <c r="B6389" t="inlineStr">
        <is>
          <t>avverkningsanmälan</t>
        </is>
      </c>
      <c r="C6389" t="inlineStr">
        <is>
          <t>Föryngringsavverkning</t>
        </is>
      </c>
      <c r="D6389" s="1" t="n">
        <v>46133</v>
      </c>
      <c r="E6389" s="1" t="n">
        <v>46326</v>
      </c>
      <c r="F6389" t="inlineStr">
        <is>
          <t>GÄVLEBORGS LÄN</t>
        </is>
      </c>
      <c r="G6389" t="inlineStr">
        <is>
          <t>BOLLNÄS</t>
        </is>
      </c>
      <c r="I6389" t="n">
        <v>2.5</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19507-2026</t>
        </is>
      </c>
      <c r="B6390" t="inlineStr">
        <is>
          <t>avverkningsanmälan</t>
        </is>
      </c>
      <c r="C6390" t="inlineStr">
        <is>
          <t>Föryngringsavverkning</t>
        </is>
      </c>
      <c r="D6390" s="1" t="n">
        <v>46134</v>
      </c>
      <c r="E6390" s="1" t="n">
        <v>46326</v>
      </c>
      <c r="F6390" t="inlineStr">
        <is>
          <t>GÄVLEBORGS LÄN</t>
        </is>
      </c>
      <c r="G6390" t="inlineStr">
        <is>
          <t>BOLLNÄS</t>
        </is>
      </c>
      <c r="H6390" t="inlineStr">
        <is>
          <t>Bergvik skog väst AB</t>
        </is>
      </c>
      <c r="I6390" t="n">
        <v>0.7</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19534-2026</t>
        </is>
      </c>
      <c r="B6391" t="inlineStr">
        <is>
          <t>avverkningsanmälan</t>
        </is>
      </c>
      <c r="C6391" t="inlineStr">
        <is>
          <t>Föryngringsavverkning</t>
        </is>
      </c>
      <c r="D6391" s="1" t="n">
        <v>46134</v>
      </c>
      <c r="E6391" s="1" t="n">
        <v>46326</v>
      </c>
      <c r="F6391" t="inlineStr">
        <is>
          <t>GÄVLEBORGS LÄN</t>
        </is>
      </c>
      <c r="G6391" t="inlineStr">
        <is>
          <t>BOLLNÄS</t>
        </is>
      </c>
      <c r="H6391" t="inlineStr">
        <is>
          <t>Bergvik skog väst AB</t>
        </is>
      </c>
      <c r="I6391" t="n">
        <v>1.2</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16740-2026</t>
        </is>
      </c>
      <c r="B6392" t="inlineStr">
        <is>
          <t>avverkningsanmälan</t>
        </is>
      </c>
      <c r="C6392" t="inlineStr">
        <is>
          <t>Föryngringsavverkning</t>
        </is>
      </c>
      <c r="D6392" s="1" t="n">
        <v>46112</v>
      </c>
      <c r="E6392" s="1" t="n">
        <v>46326</v>
      </c>
      <c r="F6392" t="inlineStr">
        <is>
          <t>GÄVLEBORGS LÄN</t>
        </is>
      </c>
      <c r="G6392" t="inlineStr">
        <is>
          <t>HUDIKSVALL</t>
        </is>
      </c>
      <c r="I6392" t="n">
        <v>8.4</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6024-2026</t>
        </is>
      </c>
      <c r="B6393" t="inlineStr">
        <is>
          <t>avverkningsanmälan</t>
        </is>
      </c>
      <c r="C6393" t="inlineStr">
        <is>
          <t>Föryngringsavverkning</t>
        </is>
      </c>
      <c r="D6393" s="1" t="n">
        <v>46052</v>
      </c>
      <c r="E6393" s="1" t="n">
        <v>46326</v>
      </c>
      <c r="F6393" t="inlineStr">
        <is>
          <t>GÄVLEBORGS LÄN</t>
        </is>
      </c>
      <c r="G6393" t="inlineStr">
        <is>
          <t>BOLLNÄS</t>
        </is>
      </c>
      <c r="I6393" t="n">
        <v>0.7</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14691-2026</t>
        </is>
      </c>
      <c r="B6394" t="inlineStr">
        <is>
          <t>avverkningsanmälan</t>
        </is>
      </c>
      <c r="C6394" t="inlineStr">
        <is>
          <t>Föryngringsavverkning</t>
        </is>
      </c>
      <c r="D6394" s="1" t="n">
        <v>46101</v>
      </c>
      <c r="E6394" s="1" t="n">
        <v>46326</v>
      </c>
      <c r="F6394" t="inlineStr">
        <is>
          <t>GÄVLEBORGS LÄN</t>
        </is>
      </c>
      <c r="G6394" t="inlineStr">
        <is>
          <t>BOLLNÄS</t>
        </is>
      </c>
      <c r="I6394" t="n">
        <v>5.6</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16659-2026</t>
        </is>
      </c>
      <c r="B6395" t="inlineStr">
        <is>
          <t>avverkningsanmälan</t>
        </is>
      </c>
      <c r="C6395" t="inlineStr">
        <is>
          <t>Föryngringsavverkning</t>
        </is>
      </c>
      <c r="D6395" s="1" t="n">
        <v>46112</v>
      </c>
      <c r="E6395" s="1" t="n">
        <v>46326</v>
      </c>
      <c r="F6395" t="inlineStr">
        <is>
          <t>GÄVLEBORGS LÄN</t>
        </is>
      </c>
      <c r="G6395" t="inlineStr">
        <is>
          <t>NORDANSTIG</t>
        </is>
      </c>
      <c r="I6395" t="n">
        <v>1.7</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19713-2026</t>
        </is>
      </c>
      <c r="B6396" t="inlineStr">
        <is>
          <t>avverkningsanmälan</t>
        </is>
      </c>
      <c r="C6396" t="inlineStr">
        <is>
          <t>Föryngringsavverkning</t>
        </is>
      </c>
      <c r="D6396" s="1" t="n">
        <v>46134</v>
      </c>
      <c r="E6396" s="1" t="n">
        <v>46326</v>
      </c>
      <c r="F6396" t="inlineStr">
        <is>
          <t>GÄVLEBORGS LÄN</t>
        </is>
      </c>
      <c r="G6396" t="inlineStr">
        <is>
          <t>GÄVLE</t>
        </is>
      </c>
      <c r="H6396" t="inlineStr">
        <is>
          <t>Bergvik skog öst AB</t>
        </is>
      </c>
      <c r="I6396" t="n">
        <v>1.2</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19716-2026</t>
        </is>
      </c>
      <c r="B6397" t="inlineStr">
        <is>
          <t>avverkningsanmälan</t>
        </is>
      </c>
      <c r="C6397" t="inlineStr">
        <is>
          <t>Föryngringsavverkning</t>
        </is>
      </c>
      <c r="D6397" s="1" t="n">
        <v>46134</v>
      </c>
      <c r="E6397" s="1" t="n">
        <v>46326</v>
      </c>
      <c r="F6397" t="inlineStr">
        <is>
          <t>GÄVLEBORGS LÄN</t>
        </is>
      </c>
      <c r="G6397" t="inlineStr">
        <is>
          <t>GÄVLE</t>
        </is>
      </c>
      <c r="H6397" t="inlineStr">
        <is>
          <t>Bergvik skog öst AB</t>
        </is>
      </c>
      <c r="I6397" t="n">
        <v>1.4</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19726-2026</t>
        </is>
      </c>
      <c r="B6398" t="inlineStr">
        <is>
          <t>avverkningsanmälan</t>
        </is>
      </c>
      <c r="C6398" t="inlineStr">
        <is>
          <t>Föryngringsavverkning</t>
        </is>
      </c>
      <c r="D6398" s="1" t="n">
        <v>46135</v>
      </c>
      <c r="E6398" s="1" t="n">
        <v>46326</v>
      </c>
      <c r="F6398" t="inlineStr">
        <is>
          <t>GÄVLEBORGS LÄN</t>
        </is>
      </c>
      <c r="G6398" t="inlineStr">
        <is>
          <t>SÖDERHAMN</t>
        </is>
      </c>
      <c r="I6398" t="n">
        <v>1.1</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A 19487-2026</t>
        </is>
      </c>
      <c r="B6399" t="inlineStr">
        <is>
          <t>avverkningsanmälan</t>
        </is>
      </c>
      <c r="C6399" t="inlineStr">
        <is>
          <t>Föryngringsavverkning</t>
        </is>
      </c>
      <c r="D6399" s="1" t="n">
        <v>46134</v>
      </c>
      <c r="E6399" s="1" t="n">
        <v>46326</v>
      </c>
      <c r="F6399" t="inlineStr">
        <is>
          <t>GÄVLEBORGS LÄN</t>
        </is>
      </c>
      <c r="G6399" t="inlineStr">
        <is>
          <t>BOLLNÄS</t>
        </is>
      </c>
      <c r="I6399" t="n">
        <v>3.2</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A 15176-2026</t>
        </is>
      </c>
      <c r="B6400" t="inlineStr">
        <is>
          <t>avverkningsanmälan</t>
        </is>
      </c>
      <c r="C6400" t="inlineStr">
        <is>
          <t>Föryngringsavverkning</t>
        </is>
      </c>
      <c r="D6400" s="1" t="n">
        <v>46105</v>
      </c>
      <c r="E6400" s="1" t="n">
        <v>46326</v>
      </c>
      <c r="F6400" t="inlineStr">
        <is>
          <t>GÄVLEBORGS LÄN</t>
        </is>
      </c>
      <c r="G6400" t="inlineStr">
        <is>
          <t>GÄVLE</t>
        </is>
      </c>
      <c r="H6400" t="inlineStr">
        <is>
          <t>Bergvik skog öst AB</t>
        </is>
      </c>
      <c r="I6400" t="n">
        <v>0.5</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A 16462-2026</t>
        </is>
      </c>
      <c r="B6401" t="inlineStr">
        <is>
          <t>avverkningsanmälan</t>
        </is>
      </c>
      <c r="C6401" t="inlineStr">
        <is>
          <t>Föryngringsavverkning</t>
        </is>
      </c>
      <c r="D6401" s="1" t="n">
        <v>46112</v>
      </c>
      <c r="E6401" s="1" t="n">
        <v>46326</v>
      </c>
      <c r="F6401" t="inlineStr">
        <is>
          <t>GÄVLEBORGS LÄN</t>
        </is>
      </c>
      <c r="G6401" t="inlineStr">
        <is>
          <t>BOLLNÄS</t>
        </is>
      </c>
      <c r="I6401" t="n">
        <v>11.8</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A 16340-2023</t>
        </is>
      </c>
      <c r="B6402" t="inlineStr">
        <is>
          <t>avverkningsanmälan</t>
        </is>
      </c>
      <c r="C6402" t="inlineStr">
        <is>
          <t>Föryngringsavverkning</t>
        </is>
      </c>
      <c r="D6402" s="1" t="n">
        <v>45028</v>
      </c>
      <c r="E6402" s="1" t="n">
        <v>46326</v>
      </c>
      <c r="F6402" t="inlineStr">
        <is>
          <t>GÄVLEBORGS LÄN</t>
        </is>
      </c>
      <c r="G6402" t="inlineStr">
        <is>
          <t>SÖDERHAMN</t>
        </is>
      </c>
      <c r="H6402" t="inlineStr">
        <is>
          <t>Bergvik skog väst AB</t>
        </is>
      </c>
      <c r="I6402" t="n">
        <v>0.5</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A 19395-2026</t>
        </is>
      </c>
      <c r="B6403" t="inlineStr">
        <is>
          <t>avverkningsanmälan</t>
        </is>
      </c>
      <c r="C6403" t="inlineStr">
        <is>
          <t>Föryngringsavverkning</t>
        </is>
      </c>
      <c r="D6403" s="1" t="n">
        <v>46133</v>
      </c>
      <c r="E6403" s="1" t="n">
        <v>46326</v>
      </c>
      <c r="F6403" t="inlineStr">
        <is>
          <t>GÄVLEBORGS LÄN</t>
        </is>
      </c>
      <c r="G6403" t="inlineStr">
        <is>
          <t>BOLLNÄS</t>
        </is>
      </c>
      <c r="I6403" t="n">
        <v>0.8</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A 19323-2026</t>
        </is>
      </c>
      <c r="B6404" t="inlineStr">
        <is>
          <t>avverkningsanmälan</t>
        </is>
      </c>
      <c r="C6404" t="inlineStr">
        <is>
          <t>Föryngringsavverkning</t>
        </is>
      </c>
      <c r="D6404" s="1" t="n">
        <v>46133</v>
      </c>
      <c r="E6404" s="1" t="n">
        <v>46326</v>
      </c>
      <c r="F6404" t="inlineStr">
        <is>
          <t>GÄVLEBORGS LÄN</t>
        </is>
      </c>
      <c r="G6404" t="inlineStr">
        <is>
          <t>BOLLNÄS</t>
        </is>
      </c>
      <c r="I6404" t="n">
        <v>1.8</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A 19838-2026</t>
        </is>
      </c>
      <c r="B6405" t="inlineStr">
        <is>
          <t>avverkningsanmälan</t>
        </is>
      </c>
      <c r="C6405" t="inlineStr">
        <is>
          <t>Föryngringsavverkning</t>
        </is>
      </c>
      <c r="D6405" s="1" t="n">
        <v>46135</v>
      </c>
      <c r="E6405" s="1" t="n">
        <v>46326</v>
      </c>
      <c r="F6405" t="inlineStr">
        <is>
          <t>GÄVLEBORGS LÄN</t>
        </is>
      </c>
      <c r="G6405" t="inlineStr">
        <is>
          <t>BOLLNÄS</t>
        </is>
      </c>
      <c r="I6405" t="n">
        <v>1.9</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A 19865-2026</t>
        </is>
      </c>
      <c r="B6406" t="inlineStr">
        <is>
          <t>avverkningsanmälan</t>
        </is>
      </c>
      <c r="C6406" t="inlineStr">
        <is>
          <t>Föryngringsavverkning</t>
        </is>
      </c>
      <c r="D6406" s="1" t="n">
        <v>46135</v>
      </c>
      <c r="E6406" s="1" t="n">
        <v>46326</v>
      </c>
      <c r="F6406" t="inlineStr">
        <is>
          <t>GÄVLEBORGS LÄN</t>
        </is>
      </c>
      <c r="G6406" t="inlineStr">
        <is>
          <t>SANDVIKEN</t>
        </is>
      </c>
      <c r="H6406" t="inlineStr">
        <is>
          <t>Sveaskog</t>
        </is>
      </c>
      <c r="I6406" t="n">
        <v>2.4</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A 19491-2026</t>
        </is>
      </c>
      <c r="B6407" t="inlineStr">
        <is>
          <t>avverkningsanmälan</t>
        </is>
      </c>
      <c r="C6407" t="inlineStr">
        <is>
          <t>Föryngringsavverkning</t>
        </is>
      </c>
      <c r="D6407" s="1" t="n">
        <v>46134</v>
      </c>
      <c r="E6407" s="1" t="n">
        <v>46326</v>
      </c>
      <c r="F6407" t="inlineStr">
        <is>
          <t>GÄVLEBORGS LÄN</t>
        </is>
      </c>
      <c r="G6407" t="inlineStr">
        <is>
          <t>OCKELBO</t>
        </is>
      </c>
      <c r="I6407" t="n">
        <v>4</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A 10180-2022</t>
        </is>
      </c>
      <c r="B6408" t="inlineStr">
        <is>
          <t>avverkningsanmälan</t>
        </is>
      </c>
      <c r="C6408" t="inlineStr">
        <is>
          <t>Föryngringsavverkning</t>
        </is>
      </c>
      <c r="D6408" s="1" t="n">
        <v>44622</v>
      </c>
      <c r="E6408" s="1" t="n">
        <v>46326</v>
      </c>
      <c r="F6408" t="inlineStr">
        <is>
          <t>GÄVLEBORGS LÄN</t>
        </is>
      </c>
      <c r="G6408" t="inlineStr">
        <is>
          <t>BOLLNÄS</t>
        </is>
      </c>
      <c r="I6408" t="n">
        <v>0.2</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A 16951-2026</t>
        </is>
      </c>
      <c r="B6409" t="inlineStr">
        <is>
          <t>avverkningsanmälan</t>
        </is>
      </c>
      <c r="C6409" t="inlineStr">
        <is>
          <t>Föryngringsavverkning</t>
        </is>
      </c>
      <c r="D6409" s="1" t="n">
        <v>46114</v>
      </c>
      <c r="E6409" s="1" t="n">
        <v>46326</v>
      </c>
      <c r="F6409" t="inlineStr">
        <is>
          <t>GÄVLEBORGS LÄN</t>
        </is>
      </c>
      <c r="G6409" t="inlineStr">
        <is>
          <t>OVANÅKER</t>
        </is>
      </c>
      <c r="H6409" t="inlineStr">
        <is>
          <t>Bergvik skog öst AB</t>
        </is>
      </c>
      <c r="I6409" t="n">
        <v>2.1</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A 19543-2026</t>
        </is>
      </c>
      <c r="B6410" t="inlineStr">
        <is>
          <t>avverkningsanmälan</t>
        </is>
      </c>
      <c r="C6410" t="inlineStr">
        <is>
          <t>Föryngringsavverkning</t>
        </is>
      </c>
      <c r="D6410" s="1" t="n">
        <v>46134</v>
      </c>
      <c r="E6410" s="1" t="n">
        <v>46326</v>
      </c>
      <c r="F6410" t="inlineStr">
        <is>
          <t>GÄVLEBORGS LÄN</t>
        </is>
      </c>
      <c r="G6410" t="inlineStr">
        <is>
          <t>BOLLNÄS</t>
        </is>
      </c>
      <c r="I6410" t="n">
        <v>2.5</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A 7254-2026</t>
        </is>
      </c>
      <c r="B6411" t="inlineStr">
        <is>
          <t>avverkningsanmälan</t>
        </is>
      </c>
      <c r="C6411" t="inlineStr">
        <is>
          <t>Föryngringsavverkning</t>
        </is>
      </c>
      <c r="D6411" s="1" t="n">
        <v>46058</v>
      </c>
      <c r="E6411" s="1" t="n">
        <v>46326</v>
      </c>
      <c r="F6411" t="inlineStr">
        <is>
          <t>GÄVLEBORGS LÄN</t>
        </is>
      </c>
      <c r="G6411" t="inlineStr">
        <is>
          <t>LJUSDAL</t>
        </is>
      </c>
      <c r="I6411" t="n">
        <v>9.1</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A 17401-2025</t>
        </is>
      </c>
      <c r="B6412" t="inlineStr">
        <is>
          <t>avverkningsanmälan</t>
        </is>
      </c>
      <c r="C6412" t="inlineStr">
        <is>
          <t>Föryngringsavverkning</t>
        </is>
      </c>
      <c r="D6412" s="1" t="n">
        <v>45757</v>
      </c>
      <c r="E6412" s="1" t="n">
        <v>46326</v>
      </c>
      <c r="F6412" t="inlineStr">
        <is>
          <t>GÄVLEBORGS LÄN</t>
        </is>
      </c>
      <c r="G6412" t="inlineStr">
        <is>
          <t>BOLLNÄS</t>
        </is>
      </c>
      <c r="I6412" t="n">
        <v>2.6</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A 19781-2026</t>
        </is>
      </c>
      <c r="B6413" t="inlineStr">
        <is>
          <t>avverkningsanmälan</t>
        </is>
      </c>
      <c r="C6413" t="inlineStr">
        <is>
          <t>Föryngringsavverkning</t>
        </is>
      </c>
      <c r="D6413" s="1" t="n">
        <v>46135</v>
      </c>
      <c r="E6413" s="1" t="n">
        <v>46326</v>
      </c>
      <c r="F6413" t="inlineStr">
        <is>
          <t>GÄVLEBORGS LÄN</t>
        </is>
      </c>
      <c r="G6413" t="inlineStr">
        <is>
          <t>HUDIKSVALL</t>
        </is>
      </c>
      <c r="H6413" t="inlineStr">
        <is>
          <t>Holmen skog AB</t>
        </is>
      </c>
      <c r="I6413" t="n">
        <v>2.5</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A 19793-2026</t>
        </is>
      </c>
      <c r="B6414" t="inlineStr">
        <is>
          <t>avverkningsanmälan</t>
        </is>
      </c>
      <c r="C6414" t="inlineStr">
        <is>
          <t>Föryngringsavverkning</t>
        </is>
      </c>
      <c r="D6414" s="1" t="n">
        <v>46135</v>
      </c>
      <c r="E6414" s="1" t="n">
        <v>46326</v>
      </c>
      <c r="F6414" t="inlineStr">
        <is>
          <t>GÄVLEBORGS LÄN</t>
        </is>
      </c>
      <c r="G6414" t="inlineStr">
        <is>
          <t>LJUSDAL</t>
        </is>
      </c>
      <c r="H6414" t="inlineStr">
        <is>
          <t>Bergvik skog väst AB</t>
        </is>
      </c>
      <c r="I6414" t="n">
        <v>0.5</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A 19808-2026</t>
        </is>
      </c>
      <c r="B6415" t="inlineStr">
        <is>
          <t>avverkningsanmälan</t>
        </is>
      </c>
      <c r="C6415" t="inlineStr">
        <is>
          <t>Föryngringsavverkning</t>
        </is>
      </c>
      <c r="D6415" s="1" t="n">
        <v>46135</v>
      </c>
      <c r="E6415" s="1" t="n">
        <v>46326</v>
      </c>
      <c r="F6415" t="inlineStr">
        <is>
          <t>GÄVLEBORGS LÄN</t>
        </is>
      </c>
      <c r="G6415" t="inlineStr">
        <is>
          <t>LJUSDAL</t>
        </is>
      </c>
      <c r="H6415" t="inlineStr">
        <is>
          <t>Bergvik skog väst AB</t>
        </is>
      </c>
      <c r="I6415" t="n">
        <v>0.9</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A 19848-2026</t>
        </is>
      </c>
      <c r="B6416" t="inlineStr">
        <is>
          <t>avverkningsanmälan</t>
        </is>
      </c>
      <c r="C6416" t="inlineStr">
        <is>
          <t>Föryngringsavverkning</t>
        </is>
      </c>
      <c r="D6416" s="1" t="n">
        <v>46135</v>
      </c>
      <c r="E6416" s="1" t="n">
        <v>46326</v>
      </c>
      <c r="F6416" t="inlineStr">
        <is>
          <t>GÄVLEBORGS LÄN</t>
        </is>
      </c>
      <c r="G6416" t="inlineStr">
        <is>
          <t>HUDIKSVALL</t>
        </is>
      </c>
      <c r="I6416" t="n">
        <v>1.3</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A 17404-2025</t>
        </is>
      </c>
      <c r="B6417" t="inlineStr">
        <is>
          <t>avverkningsanmälan</t>
        </is>
      </c>
      <c r="C6417" t="inlineStr">
        <is>
          <t>Föryngringsavverkning</t>
        </is>
      </c>
      <c r="D6417" s="1" t="n">
        <v>45757</v>
      </c>
      <c r="E6417" s="1" t="n">
        <v>46326</v>
      </c>
      <c r="F6417" t="inlineStr">
        <is>
          <t>GÄVLEBORGS LÄN</t>
        </is>
      </c>
      <c r="G6417" t="inlineStr">
        <is>
          <t>GÄVLE</t>
        </is>
      </c>
      <c r="I6417" t="n">
        <v>1</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A 19827-2026</t>
        </is>
      </c>
      <c r="B6418" t="inlineStr">
        <is>
          <t>avverkningsanmälan</t>
        </is>
      </c>
      <c r="C6418" t="inlineStr">
        <is>
          <t>Föryngringsavverkning</t>
        </is>
      </c>
      <c r="D6418" s="1" t="n">
        <v>46135</v>
      </c>
      <c r="E6418" s="1" t="n">
        <v>46326</v>
      </c>
      <c r="F6418" t="inlineStr">
        <is>
          <t>GÄVLEBORGS LÄN</t>
        </is>
      </c>
      <c r="G6418" t="inlineStr">
        <is>
          <t>SANDVIKEN</t>
        </is>
      </c>
      <c r="H6418" t="inlineStr">
        <is>
          <t>Bergvik skog öst AB</t>
        </is>
      </c>
      <c r="I6418" t="n">
        <v>16.4</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A 19862-2026</t>
        </is>
      </c>
      <c r="B6419" t="inlineStr">
        <is>
          <t>avverkningsanmälan</t>
        </is>
      </c>
      <c r="C6419" t="inlineStr">
        <is>
          <t>Föryngringsavverkning</t>
        </is>
      </c>
      <c r="D6419" s="1" t="n">
        <v>46135</v>
      </c>
      <c r="E6419" s="1" t="n">
        <v>46326</v>
      </c>
      <c r="F6419" t="inlineStr">
        <is>
          <t>GÄVLEBORGS LÄN</t>
        </is>
      </c>
      <c r="G6419" t="inlineStr">
        <is>
          <t>BOLLNÄS</t>
        </is>
      </c>
      <c r="I6419" t="n">
        <v>1.7</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A 19864-2026</t>
        </is>
      </c>
      <c r="B6420" t="inlineStr">
        <is>
          <t>avverkningsanmälan</t>
        </is>
      </c>
      <c r="C6420" t="inlineStr">
        <is>
          <t>Föryngringsavverkning</t>
        </is>
      </c>
      <c r="D6420" s="1" t="n">
        <v>46135</v>
      </c>
      <c r="E6420" s="1" t="n">
        <v>46326</v>
      </c>
      <c r="F6420" t="inlineStr">
        <is>
          <t>GÄVLEBORGS LÄN</t>
        </is>
      </c>
      <c r="G6420" t="inlineStr">
        <is>
          <t>HUDIKSVALL</t>
        </is>
      </c>
      <c r="I6420" t="n">
        <v>1</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A 19868-2026</t>
        </is>
      </c>
      <c r="B6421" t="inlineStr">
        <is>
          <t>avverkningsanmälan</t>
        </is>
      </c>
      <c r="C6421" t="inlineStr">
        <is>
          <t>Föryngringsavverkning</t>
        </is>
      </c>
      <c r="D6421" s="1" t="n">
        <v>46135</v>
      </c>
      <c r="E6421" s="1" t="n">
        <v>46326</v>
      </c>
      <c r="F6421" t="inlineStr">
        <is>
          <t>GÄVLEBORGS LÄN</t>
        </is>
      </c>
      <c r="G6421" t="inlineStr">
        <is>
          <t>OVANÅKER</t>
        </is>
      </c>
      <c r="I6421" t="n">
        <v>2</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A 19886-2026</t>
        </is>
      </c>
      <c r="B6422" t="inlineStr">
        <is>
          <t>avverkningsanmälan</t>
        </is>
      </c>
      <c r="C6422" t="inlineStr">
        <is>
          <t>Föryngringsavverkning</t>
        </is>
      </c>
      <c r="D6422" s="1" t="n">
        <v>46135</v>
      </c>
      <c r="E6422" s="1" t="n">
        <v>46326</v>
      </c>
      <c r="F6422" t="inlineStr">
        <is>
          <t>GÄVLEBORGS LÄN</t>
        </is>
      </c>
      <c r="G6422" t="inlineStr">
        <is>
          <t>LJUSDAL</t>
        </is>
      </c>
      <c r="H6422" t="inlineStr">
        <is>
          <t>Sveaskog</t>
        </is>
      </c>
      <c r="I6422" t="n">
        <v>3.6</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A 10532-2026</t>
        </is>
      </c>
      <c r="B6423" t="inlineStr">
        <is>
          <t>avverkningsanmälan</t>
        </is>
      </c>
      <c r="C6423" t="inlineStr">
        <is>
          <t>Föryngringsavverkning</t>
        </is>
      </c>
      <c r="D6423" s="1" t="n">
        <v>46077</v>
      </c>
      <c r="E6423" s="1" t="n">
        <v>46326</v>
      </c>
      <c r="F6423" t="inlineStr">
        <is>
          <t>GÄVLEBORGS LÄN</t>
        </is>
      </c>
      <c r="G6423" t="inlineStr">
        <is>
          <t>OVANÅKER</t>
        </is>
      </c>
      <c r="I6423" t="n">
        <v>13.6</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A 12115-2026</t>
        </is>
      </c>
      <c r="B6424" t="inlineStr">
        <is>
          <t>avverkningsanmälan</t>
        </is>
      </c>
      <c r="C6424" t="inlineStr">
        <is>
          <t>Föryngringsavverkning</t>
        </is>
      </c>
      <c r="D6424" s="1" t="n">
        <v>46086</v>
      </c>
      <c r="E6424" s="1" t="n">
        <v>46326</v>
      </c>
      <c r="F6424" t="inlineStr">
        <is>
          <t>GÄVLEBORGS LÄN</t>
        </is>
      </c>
      <c r="G6424" t="inlineStr">
        <is>
          <t>SANDVIKEN</t>
        </is>
      </c>
      <c r="H6424" t="inlineStr">
        <is>
          <t>Bergvik skog öst AB</t>
        </is>
      </c>
      <c r="I6424" t="n">
        <v>7</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A 19603-2026</t>
        </is>
      </c>
      <c r="B6425" t="inlineStr">
        <is>
          <t>avverkningsanmälan</t>
        </is>
      </c>
      <c r="C6425" t="inlineStr">
        <is>
          <t>Föryngringsavverkning</t>
        </is>
      </c>
      <c r="D6425" s="1" t="n">
        <v>46134</v>
      </c>
      <c r="E6425" s="1" t="n">
        <v>46326</v>
      </c>
      <c r="F6425" t="inlineStr">
        <is>
          <t>GÄVLEBORGS LÄN</t>
        </is>
      </c>
      <c r="G6425" t="inlineStr">
        <is>
          <t>OCKELBO</t>
        </is>
      </c>
      <c r="I6425" t="n">
        <v>5.2</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A 19778-2026</t>
        </is>
      </c>
      <c r="B6426" t="inlineStr">
        <is>
          <t>avverkningsanmälan</t>
        </is>
      </c>
      <c r="C6426" t="inlineStr">
        <is>
          <t>Föryngringsavverkning</t>
        </is>
      </c>
      <c r="D6426" s="1" t="n">
        <v>46135</v>
      </c>
      <c r="E6426" s="1" t="n">
        <v>46326</v>
      </c>
      <c r="F6426" t="inlineStr">
        <is>
          <t>GÄVLEBORGS LÄN</t>
        </is>
      </c>
      <c r="G6426" t="inlineStr">
        <is>
          <t>OVANÅKER</t>
        </is>
      </c>
      <c r="H6426" t="inlineStr">
        <is>
          <t>Bergvik skog väst AB</t>
        </is>
      </c>
      <c r="I6426" t="n">
        <v>1.3</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A 17019-2026</t>
        </is>
      </c>
      <c r="B6427" t="inlineStr">
        <is>
          <t>avverkningsanmälan</t>
        </is>
      </c>
      <c r="C6427" t="inlineStr">
        <is>
          <t>Föryngringsavverkning</t>
        </is>
      </c>
      <c r="D6427" s="1" t="n">
        <v>46114</v>
      </c>
      <c r="E6427" s="1" t="n">
        <v>46326</v>
      </c>
      <c r="F6427" t="inlineStr">
        <is>
          <t>GÄVLEBORGS LÄN</t>
        </is>
      </c>
      <c r="G6427" t="inlineStr">
        <is>
          <t>OVANÅKER</t>
        </is>
      </c>
      <c r="H6427" t="inlineStr">
        <is>
          <t>Bergvik skog öst AB</t>
        </is>
      </c>
      <c r="I6427" t="n">
        <v>11.1</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A 17043-2026</t>
        </is>
      </c>
      <c r="B6428" t="inlineStr">
        <is>
          <t>avverkningsanmälan</t>
        </is>
      </c>
      <c r="C6428" t="inlineStr">
        <is>
          <t>Föryngringsavverkning</t>
        </is>
      </c>
      <c r="D6428" s="1" t="n">
        <v>46114</v>
      </c>
      <c r="E6428" s="1" t="n">
        <v>46326</v>
      </c>
      <c r="F6428" t="inlineStr">
        <is>
          <t>GÄVLEBORGS LÄN</t>
        </is>
      </c>
      <c r="G6428" t="inlineStr">
        <is>
          <t>OVANÅKER</t>
        </is>
      </c>
      <c r="H6428" t="inlineStr">
        <is>
          <t>Bergvik skog öst AB</t>
        </is>
      </c>
      <c r="I6428" t="n">
        <v>9</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A 19654-2026</t>
        </is>
      </c>
      <c r="B6429" t="inlineStr">
        <is>
          <t>avverkningsanmälan</t>
        </is>
      </c>
      <c r="C6429" t="inlineStr">
        <is>
          <t>Föryngringsavverkning</t>
        </is>
      </c>
      <c r="D6429" s="1" t="n">
        <v>46134</v>
      </c>
      <c r="E6429" s="1" t="n">
        <v>46326</v>
      </c>
      <c r="F6429" t="inlineStr">
        <is>
          <t>GÄVLEBORGS LÄN</t>
        </is>
      </c>
      <c r="G6429" t="inlineStr">
        <is>
          <t>BOLLNÄS</t>
        </is>
      </c>
      <c r="I6429" t="n">
        <v>0.8</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A 19695-2026</t>
        </is>
      </c>
      <c r="B6430" t="inlineStr">
        <is>
          <t>avverkningsanmälan</t>
        </is>
      </c>
      <c r="C6430" t="inlineStr">
        <is>
          <t>Föryngringsavverkning</t>
        </is>
      </c>
      <c r="D6430" s="1" t="n">
        <v>46134</v>
      </c>
      <c r="E6430" s="1" t="n">
        <v>46326</v>
      </c>
      <c r="F6430" t="inlineStr">
        <is>
          <t>GÄVLEBORGS LÄN</t>
        </is>
      </c>
      <c r="G6430" t="inlineStr">
        <is>
          <t>OVANÅKER</t>
        </is>
      </c>
      <c r="I6430" t="n">
        <v>4.8</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A 19837-2026</t>
        </is>
      </c>
      <c r="B6431" t="inlineStr">
        <is>
          <t>avverkningsanmälan</t>
        </is>
      </c>
      <c r="C6431" t="inlineStr">
        <is>
          <t>Föryngringsavverkning</t>
        </is>
      </c>
      <c r="D6431" s="1" t="n">
        <v>46135</v>
      </c>
      <c r="E6431" s="1" t="n">
        <v>46326</v>
      </c>
      <c r="F6431" t="inlineStr">
        <is>
          <t>GÄVLEBORGS LÄN</t>
        </is>
      </c>
      <c r="G6431" t="inlineStr">
        <is>
          <t>BOLLNÄS</t>
        </is>
      </c>
      <c r="I6431" t="n">
        <v>0.4</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A 19841-2026</t>
        </is>
      </c>
      <c r="B6432" t="inlineStr">
        <is>
          <t>avverkningsanmälan</t>
        </is>
      </c>
      <c r="C6432" t="inlineStr">
        <is>
          <t>Föryngringsavverkning</t>
        </is>
      </c>
      <c r="D6432" s="1" t="n">
        <v>46135</v>
      </c>
      <c r="E6432" s="1" t="n">
        <v>46326</v>
      </c>
      <c r="F6432" t="inlineStr">
        <is>
          <t>GÄVLEBORGS LÄN</t>
        </is>
      </c>
      <c r="G6432" t="inlineStr">
        <is>
          <t>BOLLNÄS</t>
        </is>
      </c>
      <c r="I6432" t="n">
        <v>5.5</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A 19856-2026</t>
        </is>
      </c>
      <c r="B6433" t="inlineStr">
        <is>
          <t>avverkningsanmälan</t>
        </is>
      </c>
      <c r="C6433" t="inlineStr">
        <is>
          <t>Föryngringsavverkning</t>
        </is>
      </c>
      <c r="D6433" s="1" t="n">
        <v>46135</v>
      </c>
      <c r="E6433" s="1" t="n">
        <v>46326</v>
      </c>
      <c r="F6433" t="inlineStr">
        <is>
          <t>GÄVLEBORGS LÄN</t>
        </is>
      </c>
      <c r="G6433" t="inlineStr">
        <is>
          <t>OVANÅKER</t>
        </is>
      </c>
      <c r="I6433" t="n">
        <v>5</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A 19896-2025</t>
        </is>
      </c>
      <c r="B6434" t="inlineStr">
        <is>
          <t>avverkningsanmälan</t>
        </is>
      </c>
      <c r="C6434" t="inlineStr">
        <is>
          <t>Föryngringsavverkning</t>
        </is>
      </c>
      <c r="D6434" s="1" t="n">
        <v>45771</v>
      </c>
      <c r="E6434" s="1" t="n">
        <v>46326</v>
      </c>
      <c r="F6434" t="inlineStr">
        <is>
          <t>GÄVLEBORGS LÄN</t>
        </is>
      </c>
      <c r="G6434" t="inlineStr">
        <is>
          <t>NORDANSTIG</t>
        </is>
      </c>
      <c r="H6434" t="inlineStr">
        <is>
          <t>Holmen skog AB</t>
        </is>
      </c>
      <c r="I6434" t="n">
        <v>1</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A 19712-2026</t>
        </is>
      </c>
      <c r="B6435" t="inlineStr">
        <is>
          <t>avverkningsanmälan</t>
        </is>
      </c>
      <c r="C6435" t="inlineStr">
        <is>
          <t>Föryngringsavverkning</t>
        </is>
      </c>
      <c r="D6435" s="1" t="n">
        <v>46134</v>
      </c>
      <c r="E6435" s="1" t="n">
        <v>46326</v>
      </c>
      <c r="F6435" t="inlineStr">
        <is>
          <t>GÄVLEBORGS LÄN</t>
        </is>
      </c>
      <c r="G6435" t="inlineStr">
        <is>
          <t>GÄVLE</t>
        </is>
      </c>
      <c r="H6435" t="inlineStr">
        <is>
          <t>Bergvik skog öst AB</t>
        </is>
      </c>
      <c r="I6435" t="n">
        <v>4.8</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A 19624-2026</t>
        </is>
      </c>
      <c r="B6436" t="inlineStr">
        <is>
          <t>avverkningsanmälan</t>
        </is>
      </c>
      <c r="C6436" t="inlineStr">
        <is>
          <t>Föryngringsavverkning</t>
        </is>
      </c>
      <c r="D6436" s="1" t="n">
        <v>46134</v>
      </c>
      <c r="E6436" s="1" t="n">
        <v>46326</v>
      </c>
      <c r="F6436" t="inlineStr">
        <is>
          <t>GÄVLEBORGS LÄN</t>
        </is>
      </c>
      <c r="G6436" t="inlineStr">
        <is>
          <t>BOLLNÄS</t>
        </is>
      </c>
      <c r="I6436" t="n">
        <v>0.5</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A 19404-2026</t>
        </is>
      </c>
      <c r="B6437" t="inlineStr">
        <is>
          <t>avverkningsanmälan</t>
        </is>
      </c>
      <c r="C6437" t="inlineStr">
        <is>
          <t>Föryngringsavverkning</t>
        </is>
      </c>
      <c r="D6437" s="1" t="n">
        <v>46133</v>
      </c>
      <c r="E6437" s="1" t="n">
        <v>46326</v>
      </c>
      <c r="F6437" t="inlineStr">
        <is>
          <t>GÄVLEBORGS LÄN</t>
        </is>
      </c>
      <c r="G6437" t="inlineStr">
        <is>
          <t>BOLLNÄS</t>
        </is>
      </c>
      <c r="I6437" t="n">
        <v>1.2</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A 55523-2024</t>
        </is>
      </c>
      <c r="B6438" t="inlineStr">
        <is>
          <t>avverkningsanmälan</t>
        </is>
      </c>
      <c r="C6438" t="inlineStr">
        <is>
          <t>Föryngringsavverkning</t>
        </is>
      </c>
      <c r="D6438" s="1" t="n">
        <v>45622</v>
      </c>
      <c r="E6438" s="1" t="n">
        <v>46326</v>
      </c>
      <c r="F6438" t="inlineStr">
        <is>
          <t>GÄVLEBORGS LÄN</t>
        </is>
      </c>
      <c r="G6438" t="inlineStr">
        <is>
          <t>NORDANSTIG</t>
        </is>
      </c>
      <c r="I6438" t="n">
        <v>1.3</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A 55538-2024</t>
        </is>
      </c>
      <c r="B6439" t="inlineStr">
        <is>
          <t>avverkningsanmälan</t>
        </is>
      </c>
      <c r="C6439" t="inlineStr">
        <is>
          <t>Föryngringsavverkning</t>
        </is>
      </c>
      <c r="D6439" s="1" t="n">
        <v>45622</v>
      </c>
      <c r="E6439" s="1" t="n">
        <v>46326</v>
      </c>
      <c r="F6439" t="inlineStr">
        <is>
          <t>GÄVLEBORGS LÄN</t>
        </is>
      </c>
      <c r="G6439" t="inlineStr">
        <is>
          <t>NORDANSTIG</t>
        </is>
      </c>
      <c r="I6439" t="n">
        <v>2</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A 1564-2025</t>
        </is>
      </c>
      <c r="B6440" t="inlineStr">
        <is>
          <t>avverkningsanmälan</t>
        </is>
      </c>
      <c r="C6440" t="inlineStr">
        <is>
          <t>Föryngringsavverkning</t>
        </is>
      </c>
      <c r="D6440" s="1" t="n">
        <v>45667</v>
      </c>
      <c r="E6440" s="1" t="n">
        <v>46326</v>
      </c>
      <c r="F6440" t="inlineStr">
        <is>
          <t>GÄVLEBORGS LÄN</t>
        </is>
      </c>
      <c r="G6440" t="inlineStr">
        <is>
          <t>NORDANSTIG</t>
        </is>
      </c>
      <c r="I6440" t="n">
        <v>0.6</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A 1579-2025</t>
        </is>
      </c>
      <c r="B6441" t="inlineStr">
        <is>
          <t>avverkningsanmälan</t>
        </is>
      </c>
      <c r="C6441" t="inlineStr">
        <is>
          <t>Föryngringsavverkning</t>
        </is>
      </c>
      <c r="D6441" s="1" t="n">
        <v>45670</v>
      </c>
      <c r="E6441" s="1" t="n">
        <v>46326</v>
      </c>
      <c r="F6441" t="inlineStr">
        <is>
          <t>GÄVLEBORGS LÄN</t>
        </is>
      </c>
      <c r="G6441" t="inlineStr">
        <is>
          <t>NORDANSTIG</t>
        </is>
      </c>
      <c r="H6441" t="inlineStr">
        <is>
          <t>Holmen skog AB</t>
        </is>
      </c>
      <c r="I6441" t="n">
        <v>0.7</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A 19482-2026</t>
        </is>
      </c>
      <c r="B6442" t="inlineStr">
        <is>
          <t>avverkningsanmälan</t>
        </is>
      </c>
      <c r="C6442" t="inlineStr">
        <is>
          <t>Föryngringsavverkning</t>
        </is>
      </c>
      <c r="D6442" s="1" t="n">
        <v>46134</v>
      </c>
      <c r="E6442" s="1" t="n">
        <v>46326</v>
      </c>
      <c r="F6442" t="inlineStr">
        <is>
          <t>GÄVLEBORGS LÄN</t>
        </is>
      </c>
      <c r="G6442" t="inlineStr">
        <is>
          <t>BOLLNÄS</t>
        </is>
      </c>
      <c r="I6442" t="n">
        <v>0.4</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A 19705-2026</t>
        </is>
      </c>
      <c r="B6443" t="inlineStr">
        <is>
          <t>avverkningsanmälan</t>
        </is>
      </c>
      <c r="C6443" t="inlineStr">
        <is>
          <t>Föryngringsavverkning</t>
        </is>
      </c>
      <c r="D6443" s="1" t="n">
        <v>46134</v>
      </c>
      <c r="E6443" s="1" t="n">
        <v>46326</v>
      </c>
      <c r="F6443" t="inlineStr">
        <is>
          <t>GÄVLEBORGS LÄN</t>
        </is>
      </c>
      <c r="G6443" t="inlineStr">
        <is>
          <t>HUDIKSVALL</t>
        </is>
      </c>
      <c r="H6443" t="inlineStr">
        <is>
          <t>Holmen skog AB</t>
        </is>
      </c>
      <c r="I6443" t="n">
        <v>5.5</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A 8603-2026</t>
        </is>
      </c>
      <c r="B6444" t="inlineStr">
        <is>
          <t>avverkningsanmälan</t>
        </is>
      </c>
      <c r="C6444" t="inlineStr">
        <is>
          <t>Föryngringsavverkning</t>
        </is>
      </c>
      <c r="D6444" s="1" t="n">
        <v>46065</v>
      </c>
      <c r="E6444" s="1" t="n">
        <v>46326</v>
      </c>
      <c r="F6444" t="inlineStr">
        <is>
          <t>GÄVLEBORGS LÄN</t>
        </is>
      </c>
      <c r="G6444" t="inlineStr">
        <is>
          <t>SANDVIKEN</t>
        </is>
      </c>
      <c r="I6444" t="n">
        <v>0.8</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A 14365-2026</t>
        </is>
      </c>
      <c r="B6445" t="inlineStr">
        <is>
          <t>avverkningsanmälan</t>
        </is>
      </c>
      <c r="C6445" t="inlineStr">
        <is>
          <t>Föryngringsavverkning</t>
        </is>
      </c>
      <c r="D6445" s="1" t="n">
        <v>46100</v>
      </c>
      <c r="E6445" s="1" t="n">
        <v>46326</v>
      </c>
      <c r="F6445" t="inlineStr">
        <is>
          <t>GÄVLEBORGS LÄN</t>
        </is>
      </c>
      <c r="G6445" t="inlineStr">
        <is>
          <t>GÄVLE</t>
        </is>
      </c>
      <c r="H6445" t="inlineStr">
        <is>
          <t>Bergvik skog öst AB</t>
        </is>
      </c>
      <c r="I6445" t="n">
        <v>0.4</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A 19372-2026</t>
        </is>
      </c>
      <c r="B6446" t="inlineStr">
        <is>
          <t>avverkningsanmälan</t>
        </is>
      </c>
      <c r="C6446" t="inlineStr">
        <is>
          <t>Föryngringsavverkning</t>
        </is>
      </c>
      <c r="D6446" s="1" t="n">
        <v>46133</v>
      </c>
      <c r="E6446" s="1" t="n">
        <v>46326</v>
      </c>
      <c r="F6446" t="inlineStr">
        <is>
          <t>GÄVLEBORGS LÄN</t>
        </is>
      </c>
      <c r="G6446" t="inlineStr">
        <is>
          <t>GÄVLE</t>
        </is>
      </c>
      <c r="H6446" t="inlineStr">
        <is>
          <t>Bergvik skog öst AB</t>
        </is>
      </c>
      <c r="I6446" t="n">
        <v>3.9</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A 63431-2021</t>
        </is>
      </c>
      <c r="B6447" t="inlineStr">
        <is>
          <t>avverkningsanmälan</t>
        </is>
      </c>
      <c r="C6447" t="inlineStr">
        <is>
          <t>Föryngringsavverkning</t>
        </is>
      </c>
      <c r="D6447" s="1" t="n">
        <v>44508</v>
      </c>
      <c r="E6447" s="1" t="n">
        <v>46326</v>
      </c>
      <c r="F6447" t="inlineStr">
        <is>
          <t>GÄVLEBORGS LÄN</t>
        </is>
      </c>
      <c r="G6447" t="inlineStr">
        <is>
          <t>SÖDERHAMN</t>
        </is>
      </c>
      <c r="H6447" t="inlineStr">
        <is>
          <t>Bergvik skog väst AB</t>
        </is>
      </c>
      <c r="I6447" t="n">
        <v>2.1</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A 16379-2022</t>
        </is>
      </c>
      <c r="B6448" t="inlineStr">
        <is>
          <t>avverkningsanmälan</t>
        </is>
      </c>
      <c r="C6448" t="inlineStr">
        <is>
          <t>Föryngringsavverkning</t>
        </is>
      </c>
      <c r="D6448" s="1" t="n">
        <v>44671</v>
      </c>
      <c r="E6448" s="1" t="n">
        <v>46326</v>
      </c>
      <c r="F6448" t="inlineStr">
        <is>
          <t>GÄVLEBORGS LÄN</t>
        </is>
      </c>
      <c r="G6448" t="inlineStr">
        <is>
          <t>BOLLNÄS</t>
        </is>
      </c>
      <c r="I6448" t="n">
        <v>1.2</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A 19558-2026</t>
        </is>
      </c>
      <c r="B6449" t="inlineStr">
        <is>
          <t>avverkningsanmälan</t>
        </is>
      </c>
      <c r="C6449" t="inlineStr">
        <is>
          <t>Föryngringsavverkning</t>
        </is>
      </c>
      <c r="D6449" s="1" t="n">
        <v>46134</v>
      </c>
      <c r="E6449" s="1" t="n">
        <v>46326</v>
      </c>
      <c r="F6449" t="inlineStr">
        <is>
          <t>GÄVLEBORGS LÄN</t>
        </is>
      </c>
      <c r="G6449" t="inlineStr">
        <is>
          <t>LJUSDAL</t>
        </is>
      </c>
      <c r="H6449" t="inlineStr">
        <is>
          <t>Bergvik skog väst AB</t>
        </is>
      </c>
      <c r="I6449" t="n">
        <v>2.9</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A 19620-2026</t>
        </is>
      </c>
      <c r="B6450" t="inlineStr">
        <is>
          <t>avverkningsanmälan</t>
        </is>
      </c>
      <c r="C6450" t="inlineStr">
        <is>
          <t>Föryngringsavverkning</t>
        </is>
      </c>
      <c r="D6450" s="1" t="n">
        <v>46134</v>
      </c>
      <c r="E6450" s="1" t="n">
        <v>46326</v>
      </c>
      <c r="F6450" t="inlineStr">
        <is>
          <t>GÄVLEBORGS LÄN</t>
        </is>
      </c>
      <c r="G6450" t="inlineStr">
        <is>
          <t>OVANÅKER</t>
        </is>
      </c>
      <c r="H6450" t="inlineStr">
        <is>
          <t>Bergvik skog öst AB</t>
        </is>
      </c>
      <c r="I6450" t="n">
        <v>0.5</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A 58460-2022</t>
        </is>
      </c>
      <c r="B6451" t="inlineStr">
        <is>
          <t>avverkningsanmälan</t>
        </is>
      </c>
      <c r="C6451" t="inlineStr">
        <is>
          <t>Föryngringsavverkning</t>
        </is>
      </c>
      <c r="D6451" s="1" t="n">
        <v>44902</v>
      </c>
      <c r="E6451" s="1" t="n">
        <v>46326</v>
      </c>
      <c r="F6451" t="inlineStr">
        <is>
          <t>GÄVLEBORGS LÄN</t>
        </is>
      </c>
      <c r="G6451" t="inlineStr">
        <is>
          <t>OVANÅKER</t>
        </is>
      </c>
      <c r="H6451" t="inlineStr">
        <is>
          <t>Bergvik skog väst AB</t>
        </is>
      </c>
      <c r="I6451" t="n">
        <v>3.8</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A 19673-2026</t>
        </is>
      </c>
      <c r="B6452" t="inlineStr">
        <is>
          <t>avverkningsanmälan</t>
        </is>
      </c>
      <c r="C6452" t="inlineStr">
        <is>
          <t>Föryngringsavverkning</t>
        </is>
      </c>
      <c r="D6452" s="1" t="n">
        <v>46134</v>
      </c>
      <c r="E6452" s="1" t="n">
        <v>46326</v>
      </c>
      <c r="F6452" t="inlineStr">
        <is>
          <t>GÄVLEBORGS LÄN</t>
        </is>
      </c>
      <c r="G6452" t="inlineStr">
        <is>
          <t>LJUSDAL</t>
        </is>
      </c>
      <c r="I6452" t="n">
        <v>6.4</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A 19682-2026</t>
        </is>
      </c>
      <c r="B6453" t="inlineStr">
        <is>
          <t>avverkningsanmälan</t>
        </is>
      </c>
      <c r="C6453" t="inlineStr">
        <is>
          <t>Föryngringsavverkning</t>
        </is>
      </c>
      <c r="D6453" s="1" t="n">
        <v>46134</v>
      </c>
      <c r="E6453" s="1" t="n">
        <v>46326</v>
      </c>
      <c r="F6453" t="inlineStr">
        <is>
          <t>GÄVLEBORGS LÄN</t>
        </is>
      </c>
      <c r="G6453" t="inlineStr">
        <is>
          <t>NORDANSTIG</t>
        </is>
      </c>
      <c r="H6453" t="inlineStr">
        <is>
          <t>Holmen skog AB</t>
        </is>
      </c>
      <c r="I6453" t="n">
        <v>1.3</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A 65039-2023</t>
        </is>
      </c>
      <c r="B6454" t="inlineStr">
        <is>
          <t>avverkningsanmälan</t>
        </is>
      </c>
      <c r="C6454" t="inlineStr">
        <is>
          <t>Föryngringsavverkning</t>
        </is>
      </c>
      <c r="D6454" s="1" t="n">
        <v>45287</v>
      </c>
      <c r="E6454" s="1" t="n">
        <v>46326</v>
      </c>
      <c r="F6454" t="inlineStr">
        <is>
          <t>GÄVLEBORGS LÄN</t>
        </is>
      </c>
      <c r="G6454" t="inlineStr">
        <is>
          <t>NORDANSTIG</t>
        </is>
      </c>
      <c r="I6454" t="n">
        <v>0.8</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A 17117-2026</t>
        </is>
      </c>
      <c r="B6455" t="inlineStr">
        <is>
          <t>avverkningsanmälan</t>
        </is>
      </c>
      <c r="C6455" t="inlineStr">
        <is>
          <t>Föryngringsavverkning</t>
        </is>
      </c>
      <c r="D6455" s="1" t="n">
        <v>46114</v>
      </c>
      <c r="E6455" s="1" t="n">
        <v>46326</v>
      </c>
      <c r="F6455" t="inlineStr">
        <is>
          <t>GÄVLEBORGS LÄN</t>
        </is>
      </c>
      <c r="G6455" t="inlineStr">
        <is>
          <t>OCKELBO</t>
        </is>
      </c>
      <c r="H6455" t="inlineStr">
        <is>
          <t>Bergvik skog väst AB</t>
        </is>
      </c>
      <c r="I6455" t="n">
        <v>1.1</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A 23770-2024</t>
        </is>
      </c>
      <c r="B6456" t="inlineStr">
        <is>
          <t>avverkningsanmälan</t>
        </is>
      </c>
      <c r="C6456" t="inlineStr">
        <is>
          <t>Föryngringsavverkning</t>
        </is>
      </c>
      <c r="D6456" s="1" t="n">
        <v>45455</v>
      </c>
      <c r="E6456" s="1" t="n">
        <v>46326</v>
      </c>
      <c r="F6456" t="inlineStr">
        <is>
          <t>GÄVLEBORGS LÄN</t>
        </is>
      </c>
      <c r="G6456" t="inlineStr">
        <is>
          <t>NORDANSTIG</t>
        </is>
      </c>
      <c r="H6456" t="inlineStr">
        <is>
          <t>Holmen skog AB</t>
        </is>
      </c>
      <c r="I6456" t="n">
        <v>2</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A 19693-2026</t>
        </is>
      </c>
      <c r="B6457" t="inlineStr">
        <is>
          <t>avverkningsanmälan</t>
        </is>
      </c>
      <c r="C6457" t="inlineStr">
        <is>
          <t>Föryngringsavverkning</t>
        </is>
      </c>
      <c r="D6457" s="1" t="n">
        <v>46134</v>
      </c>
      <c r="E6457" s="1" t="n">
        <v>46326</v>
      </c>
      <c r="F6457" t="inlineStr">
        <is>
          <t>GÄVLEBORGS LÄN</t>
        </is>
      </c>
      <c r="G6457" t="inlineStr">
        <is>
          <t>OVANÅKER</t>
        </is>
      </c>
      <c r="I6457" t="n">
        <v>5.7</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A 17208-2026</t>
        </is>
      </c>
      <c r="B6458" t="inlineStr">
        <is>
          <t>avverkningsanmälan</t>
        </is>
      </c>
      <c r="C6458" t="inlineStr">
        <is>
          <t>Föryngringsavverkning</t>
        </is>
      </c>
      <c r="D6458" s="1" t="n">
        <v>46119</v>
      </c>
      <c r="E6458" s="1" t="n">
        <v>46326</v>
      </c>
      <c r="F6458" t="inlineStr">
        <is>
          <t>GÄVLEBORGS LÄN</t>
        </is>
      </c>
      <c r="G6458" t="inlineStr">
        <is>
          <t>OCKELBO</t>
        </is>
      </c>
      <c r="I6458" t="n">
        <v>1</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A 19568-2026</t>
        </is>
      </c>
      <c r="B6459" t="inlineStr">
        <is>
          <t>avverkningsanmälan</t>
        </is>
      </c>
      <c r="C6459" t="inlineStr">
        <is>
          <t>Föryngringsavverkning</t>
        </is>
      </c>
      <c r="D6459" s="1" t="n">
        <v>46134</v>
      </c>
      <c r="E6459" s="1" t="n">
        <v>46326</v>
      </c>
      <c r="F6459" t="inlineStr">
        <is>
          <t>GÄVLEBORGS LÄN</t>
        </is>
      </c>
      <c r="G6459" t="inlineStr">
        <is>
          <t>HUDIKSVALL</t>
        </is>
      </c>
      <c r="I6459" t="n">
        <v>2</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A 19431-2026</t>
        </is>
      </c>
      <c r="B6460" t="inlineStr">
        <is>
          <t>avverkningsanmälan</t>
        </is>
      </c>
      <c r="C6460" t="inlineStr">
        <is>
          <t>Föryngringsavverkning</t>
        </is>
      </c>
      <c r="D6460" s="1" t="n">
        <v>46133</v>
      </c>
      <c r="E6460" s="1" t="n">
        <v>46326</v>
      </c>
      <c r="F6460" t="inlineStr">
        <is>
          <t>GÄVLEBORGS LÄN</t>
        </is>
      </c>
      <c r="G6460" t="inlineStr">
        <is>
          <t>OCKELBO</t>
        </is>
      </c>
      <c r="I6460" t="n">
        <v>0.7</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A 62095-2023</t>
        </is>
      </c>
      <c r="B6461" t="inlineStr">
        <is>
          <t>avverkningsanmälan</t>
        </is>
      </c>
      <c r="C6461" t="inlineStr">
        <is>
          <t>Avverkning för annat ändamål</t>
        </is>
      </c>
      <c r="D6461" s="1" t="n">
        <v>45266</v>
      </c>
      <c r="E6461" s="1" t="n">
        <v>46326</v>
      </c>
      <c r="F6461" t="inlineStr">
        <is>
          <t>GÄVLEBORGS LÄN</t>
        </is>
      </c>
      <c r="G6461" t="inlineStr">
        <is>
          <t>LJUSDAL</t>
        </is>
      </c>
      <c r="I6461" t="n">
        <v>0.2</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A 19531-2026</t>
        </is>
      </c>
      <c r="B6462" t="inlineStr">
        <is>
          <t>avverkningsanmälan</t>
        </is>
      </c>
      <c r="C6462" t="inlineStr">
        <is>
          <t>Föryngringsavverkning</t>
        </is>
      </c>
      <c r="D6462" s="1" t="n">
        <v>46134</v>
      </c>
      <c r="E6462" s="1" t="n">
        <v>46326</v>
      </c>
      <c r="F6462" t="inlineStr">
        <is>
          <t>GÄVLEBORGS LÄN</t>
        </is>
      </c>
      <c r="G6462" t="inlineStr">
        <is>
          <t>OCKELBO</t>
        </is>
      </c>
      <c r="H6462" t="inlineStr">
        <is>
          <t>Bergvik skog väst AB</t>
        </is>
      </c>
      <c r="I6462" t="n">
        <v>5.7</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A 19535-2026</t>
        </is>
      </c>
      <c r="B6463" t="inlineStr">
        <is>
          <t>avverkningsanmälan</t>
        </is>
      </c>
      <c r="C6463" t="inlineStr">
        <is>
          <t>Föryngringsavverkning</t>
        </is>
      </c>
      <c r="D6463" s="1" t="n">
        <v>46134</v>
      </c>
      <c r="E6463" s="1" t="n">
        <v>46326</v>
      </c>
      <c r="F6463" t="inlineStr">
        <is>
          <t>GÄVLEBORGS LÄN</t>
        </is>
      </c>
      <c r="G6463" t="inlineStr">
        <is>
          <t>HUDIKSVALL</t>
        </is>
      </c>
      <c r="I6463" t="n">
        <v>2.7</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A 13554-2026</t>
        </is>
      </c>
      <c r="B6464" t="inlineStr">
        <is>
          <t>avverkningsanmälan</t>
        </is>
      </c>
      <c r="C6464" t="inlineStr">
        <is>
          <t>Föryngringsavverkning</t>
        </is>
      </c>
      <c r="D6464" s="1" t="n">
        <v>46094</v>
      </c>
      <c r="E6464" s="1" t="n">
        <v>46326</v>
      </c>
      <c r="F6464" t="inlineStr">
        <is>
          <t>GÄVLEBORGS LÄN</t>
        </is>
      </c>
      <c r="G6464" t="inlineStr">
        <is>
          <t>BOLLNÄS</t>
        </is>
      </c>
      <c r="I6464" t="n">
        <v>6.5</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A 19867-2026</t>
        </is>
      </c>
      <c r="B6465" t="inlineStr">
        <is>
          <t>avverkningsanmälan</t>
        </is>
      </c>
      <c r="C6465" t="inlineStr">
        <is>
          <t>Föryngringsavverkning</t>
        </is>
      </c>
      <c r="D6465" s="1" t="n">
        <v>46135</v>
      </c>
      <c r="E6465" s="1" t="n">
        <v>46326</v>
      </c>
      <c r="F6465" t="inlineStr">
        <is>
          <t>GÄVLEBORGS LÄN</t>
        </is>
      </c>
      <c r="G6465" t="inlineStr">
        <is>
          <t>OVANÅKER</t>
        </is>
      </c>
      <c r="I6465" t="n">
        <v>0.7</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A 68730-2021</t>
        </is>
      </c>
      <c r="B6466" t="inlineStr">
        <is>
          <t>avverkningsanmälan</t>
        </is>
      </c>
      <c r="C6466" t="inlineStr">
        <is>
          <t>Föryngringsavverkning</t>
        </is>
      </c>
      <c r="D6466" s="1" t="n">
        <v>44529</v>
      </c>
      <c r="E6466" s="1" t="n">
        <v>46326</v>
      </c>
      <c r="F6466" t="inlineStr">
        <is>
          <t>GÄVLEBORGS LÄN</t>
        </is>
      </c>
      <c r="G6466" t="inlineStr">
        <is>
          <t>HUDIKSVALL</t>
        </is>
      </c>
      <c r="I6466" t="n">
        <v>4.4</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A 13805-2022</t>
        </is>
      </c>
      <c r="B6467" t="inlineStr">
        <is>
          <t>avverkningsanmälan</t>
        </is>
      </c>
      <c r="C6467" t="inlineStr">
        <is>
          <t>Föryngringsavverkning</t>
        </is>
      </c>
      <c r="D6467" s="1" t="n">
        <v>44649</v>
      </c>
      <c r="E6467" s="1" t="n">
        <v>46326</v>
      </c>
      <c r="F6467" t="inlineStr">
        <is>
          <t>GÄVLEBORGS LÄN</t>
        </is>
      </c>
      <c r="G6467" t="inlineStr">
        <is>
          <t>SÖDERHAMN</t>
        </is>
      </c>
      <c r="I6467" t="n">
        <v>4.1</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A 54817-2022</t>
        </is>
      </c>
      <c r="B6468" t="inlineStr">
        <is>
          <t>avverkningsanmälan</t>
        </is>
      </c>
      <c r="C6468" t="inlineStr">
        <is>
          <t>Föryngringsavverkning</t>
        </is>
      </c>
      <c r="D6468" s="1" t="n">
        <v>44883</v>
      </c>
      <c r="E6468" s="1" t="n">
        <v>46326</v>
      </c>
      <c r="F6468" t="inlineStr">
        <is>
          <t>GÄVLEBORGS LÄN</t>
        </is>
      </c>
      <c r="G6468" t="inlineStr">
        <is>
          <t>OCKELBO</t>
        </is>
      </c>
      <c r="H6468" t="inlineStr">
        <is>
          <t>Bergvik skog väst AB</t>
        </is>
      </c>
      <c r="I6468" t="n">
        <v>2.4</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A 4197-2026</t>
        </is>
      </c>
      <c r="B6469" t="inlineStr">
        <is>
          <t>avverkningsanmälan</t>
        </is>
      </c>
      <c r="C6469" t="inlineStr">
        <is>
          <t>Föryngringsavverkning</t>
        </is>
      </c>
      <c r="D6469" s="1" t="n">
        <v>46044</v>
      </c>
      <c r="E6469" s="1" t="n">
        <v>46326</v>
      </c>
      <c r="F6469" t="inlineStr">
        <is>
          <t>GÄVLEBORGS LÄN</t>
        </is>
      </c>
      <c r="G6469" t="inlineStr">
        <is>
          <t>OVANÅKER</t>
        </is>
      </c>
      <c r="I6469" t="n">
        <v>9.1</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A 19506-2026</t>
        </is>
      </c>
      <c r="B6470" t="inlineStr">
        <is>
          <t>avverkningsanmälan</t>
        </is>
      </c>
      <c r="C6470" t="inlineStr">
        <is>
          <t>Föryngringsavverkning</t>
        </is>
      </c>
      <c r="D6470" s="1" t="n">
        <v>46134</v>
      </c>
      <c r="E6470" s="1" t="n">
        <v>46326</v>
      </c>
      <c r="F6470" t="inlineStr">
        <is>
          <t>GÄVLEBORGS LÄN</t>
        </is>
      </c>
      <c r="G6470" t="inlineStr">
        <is>
          <t>LJUSDAL</t>
        </is>
      </c>
      <c r="I6470" t="n">
        <v>1.1</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A 19679-2026</t>
        </is>
      </c>
      <c r="B6471" t="inlineStr">
        <is>
          <t>avverkningsanmälan</t>
        </is>
      </c>
      <c r="C6471" t="inlineStr">
        <is>
          <t>Föryngringsavverkning</t>
        </is>
      </c>
      <c r="D6471" s="1" t="n">
        <v>46134</v>
      </c>
      <c r="E6471" s="1" t="n">
        <v>46326</v>
      </c>
      <c r="F6471" t="inlineStr">
        <is>
          <t>GÄVLEBORGS LÄN</t>
        </is>
      </c>
      <c r="G6471" t="inlineStr">
        <is>
          <t>NORDANSTIG</t>
        </is>
      </c>
      <c r="H6471" t="inlineStr">
        <is>
          <t>Holmen skog AB</t>
        </is>
      </c>
      <c r="I6471" t="n">
        <v>1.1</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A 12382-2026</t>
        </is>
      </c>
      <c r="B6472" t="inlineStr">
        <is>
          <t>avverkningsanmälan</t>
        </is>
      </c>
      <c r="C6472" t="inlineStr">
        <is>
          <t>Föryngringsavverkning</t>
        </is>
      </c>
      <c r="D6472" s="1" t="n">
        <v>46090</v>
      </c>
      <c r="E6472" s="1" t="n">
        <v>46326</v>
      </c>
      <c r="F6472" t="inlineStr">
        <is>
          <t>GÄVLEBORGS LÄN</t>
        </is>
      </c>
      <c r="G6472" t="inlineStr">
        <is>
          <t>SANDVIKEN</t>
        </is>
      </c>
      <c r="H6472" t="inlineStr">
        <is>
          <t>Bergvik skog öst AB</t>
        </is>
      </c>
      <c r="I6472" t="n">
        <v>0.7</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A 19539-2026</t>
        </is>
      </c>
      <c r="B6473" t="inlineStr">
        <is>
          <t>avverkningsanmälan</t>
        </is>
      </c>
      <c r="C6473" t="inlineStr">
        <is>
          <t>Föryngringsavverkning</t>
        </is>
      </c>
      <c r="D6473" s="1" t="n">
        <v>46134</v>
      </c>
      <c r="E6473" s="1" t="n">
        <v>46326</v>
      </c>
      <c r="F6473" t="inlineStr">
        <is>
          <t>GÄVLEBORGS LÄN</t>
        </is>
      </c>
      <c r="G6473" t="inlineStr">
        <is>
          <t>BOLLNÄS</t>
        </is>
      </c>
      <c r="I6473" t="n">
        <v>10.4</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A 14088-2025</t>
        </is>
      </c>
      <c r="B6474" t="inlineStr">
        <is>
          <t>avverkningsanmälan</t>
        </is>
      </c>
      <c r="C6474" t="inlineStr">
        <is>
          <t>Föryngringsavverkning</t>
        </is>
      </c>
      <c r="D6474" s="1" t="n">
        <v>45740</v>
      </c>
      <c r="E6474" s="1" t="n">
        <v>46326</v>
      </c>
      <c r="F6474" t="inlineStr">
        <is>
          <t>GÄVLEBORGS LÄN</t>
        </is>
      </c>
      <c r="G6474" t="inlineStr">
        <is>
          <t>HUDIKSVALL</t>
        </is>
      </c>
      <c r="I6474" t="n">
        <v>12.8</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A 19746-2026</t>
        </is>
      </c>
      <c r="B6475" t="inlineStr">
        <is>
          <t>avverkningsanmälan</t>
        </is>
      </c>
      <c r="C6475" t="inlineStr">
        <is>
          <t>Föryngringsavverkning</t>
        </is>
      </c>
      <c r="D6475" s="1" t="n">
        <v>46135</v>
      </c>
      <c r="E6475" s="1" t="n">
        <v>46326</v>
      </c>
      <c r="F6475" t="inlineStr">
        <is>
          <t>GÄVLEBORGS LÄN</t>
        </is>
      </c>
      <c r="G6475" t="inlineStr">
        <is>
          <t>BOLLNÄS</t>
        </is>
      </c>
      <c r="I6475" t="n">
        <v>0.7</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A 19748-2026</t>
        </is>
      </c>
      <c r="B6476" t="inlineStr">
        <is>
          <t>avverkningsanmälan</t>
        </is>
      </c>
      <c r="C6476" t="inlineStr">
        <is>
          <t>Föryngringsavverkning</t>
        </is>
      </c>
      <c r="D6476" s="1" t="n">
        <v>46135</v>
      </c>
      <c r="E6476" s="1" t="n">
        <v>46326</v>
      </c>
      <c r="F6476" t="inlineStr">
        <is>
          <t>GÄVLEBORGS LÄN</t>
        </is>
      </c>
      <c r="G6476" t="inlineStr">
        <is>
          <t>BOLLNÄS</t>
        </is>
      </c>
      <c r="I6476" t="n">
        <v>2.5</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A 19521-2026</t>
        </is>
      </c>
      <c r="B6477" t="inlineStr">
        <is>
          <t>avverkningsanmälan</t>
        </is>
      </c>
      <c r="C6477" t="inlineStr">
        <is>
          <t>Föryngringsavverkning</t>
        </is>
      </c>
      <c r="D6477" s="1" t="n">
        <v>46134</v>
      </c>
      <c r="E6477" s="1" t="n">
        <v>46326</v>
      </c>
      <c r="F6477" t="inlineStr">
        <is>
          <t>GÄVLEBORGS LÄN</t>
        </is>
      </c>
      <c r="G6477" t="inlineStr">
        <is>
          <t>BOLLNÄS</t>
        </is>
      </c>
      <c r="I6477" t="n">
        <v>3.5</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A 15668-2025</t>
        </is>
      </c>
      <c r="B6478" t="inlineStr">
        <is>
          <t>avverkningsanmälan</t>
        </is>
      </c>
      <c r="C6478" t="inlineStr">
        <is>
          <t>Föryngringsavverkning</t>
        </is>
      </c>
      <c r="D6478" s="1" t="n">
        <v>45748</v>
      </c>
      <c r="E6478" s="1" t="n">
        <v>46326</v>
      </c>
      <c r="F6478" t="inlineStr">
        <is>
          <t>GÄVLEBORGS LÄN</t>
        </is>
      </c>
      <c r="G6478" t="inlineStr">
        <is>
          <t>BOLLNÄS</t>
        </is>
      </c>
      <c r="I6478" t="n">
        <v>0.8</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A 15687-2025</t>
        </is>
      </c>
      <c r="B6479" t="inlineStr">
        <is>
          <t>avverkningsanmälan</t>
        </is>
      </c>
      <c r="C6479" t="inlineStr">
        <is>
          <t>Föryngringsavverkning</t>
        </is>
      </c>
      <c r="D6479" s="1" t="n">
        <v>45748</v>
      </c>
      <c r="E6479" s="1" t="n">
        <v>46326</v>
      </c>
      <c r="F6479" t="inlineStr">
        <is>
          <t>GÄVLEBORGS LÄN</t>
        </is>
      </c>
      <c r="G6479" t="inlineStr">
        <is>
          <t>BOLLNÄS</t>
        </is>
      </c>
      <c r="I6479" t="n">
        <v>2</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A 62650-2021</t>
        </is>
      </c>
      <c r="B6480" t="inlineStr">
        <is>
          <t>avverkningsanmälan</t>
        </is>
      </c>
      <c r="C6480" t="inlineStr">
        <is>
          <t>Föryngringsavverkning</t>
        </is>
      </c>
      <c r="D6480" s="1" t="n">
        <v>44503</v>
      </c>
      <c r="E6480" s="1" t="n">
        <v>46326</v>
      </c>
      <c r="F6480" t="inlineStr">
        <is>
          <t>GÄVLEBORGS LÄN</t>
        </is>
      </c>
      <c r="G6480" t="inlineStr">
        <is>
          <t>LJUSDAL</t>
        </is>
      </c>
      <c r="I6480" t="n">
        <v>0.5</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A 16122-2026</t>
        </is>
      </c>
      <c r="B6481" t="inlineStr">
        <is>
          <t>avverkningsanmälan</t>
        </is>
      </c>
      <c r="C6481" t="inlineStr">
        <is>
          <t>Föryngringsavverkning</t>
        </is>
      </c>
      <c r="D6481" s="1" t="n">
        <v>46108</v>
      </c>
      <c r="E6481" s="1" t="n">
        <v>46326</v>
      </c>
      <c r="F6481" t="inlineStr">
        <is>
          <t>GÄVLEBORGS LÄN</t>
        </is>
      </c>
      <c r="G6481" t="inlineStr">
        <is>
          <t>BOLLNÄS</t>
        </is>
      </c>
      <c r="I6481" t="n">
        <v>6.3</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A 19711-2026</t>
        </is>
      </c>
      <c r="B6482" t="inlineStr">
        <is>
          <t>avverkningsanmälan</t>
        </is>
      </c>
      <c r="C6482" t="inlineStr">
        <is>
          <t>Föryngringsavverkning</t>
        </is>
      </c>
      <c r="D6482" s="1" t="n">
        <v>46134</v>
      </c>
      <c r="E6482" s="1" t="n">
        <v>46326</v>
      </c>
      <c r="F6482" t="inlineStr">
        <is>
          <t>GÄVLEBORGS LÄN</t>
        </is>
      </c>
      <c r="G6482" t="inlineStr">
        <is>
          <t>GÄVLE</t>
        </is>
      </c>
      <c r="H6482" t="inlineStr">
        <is>
          <t>Bergvik skog öst AB</t>
        </is>
      </c>
      <c r="I6482" t="n">
        <v>7.2</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A 61711-2023</t>
        </is>
      </c>
      <c r="B6483" t="inlineStr">
        <is>
          <t>avverkningsanmälan</t>
        </is>
      </c>
      <c r="C6483" t="inlineStr">
        <is>
          <t>Föryngringsavverkning</t>
        </is>
      </c>
      <c r="D6483" s="1" t="n">
        <v>45265</v>
      </c>
      <c r="E6483" s="1" t="n">
        <v>46326</v>
      </c>
      <c r="F6483" t="inlineStr">
        <is>
          <t>GÄVLEBORGS LÄN</t>
        </is>
      </c>
      <c r="G6483" t="inlineStr">
        <is>
          <t>BOLLNÄS</t>
        </is>
      </c>
      <c r="I6483" t="n">
        <v>7.1</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A 5892-2022</t>
        </is>
      </c>
      <c r="B6484" t="inlineStr">
        <is>
          <t>avverkningsanmälan</t>
        </is>
      </c>
      <c r="C6484" t="inlineStr">
        <is>
          <t>Föryngringsavverkning</t>
        </is>
      </c>
      <c r="D6484" s="1" t="n">
        <v>44596</v>
      </c>
      <c r="E6484" s="1" t="n">
        <v>46326</v>
      </c>
      <c r="F6484" t="inlineStr">
        <is>
          <t>GÄVLEBORGS LÄN</t>
        </is>
      </c>
      <c r="G6484" t="inlineStr">
        <is>
          <t>NORDANSTIG</t>
        </is>
      </c>
      <c r="I6484" t="n">
        <v>2.3</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A 19745-2026</t>
        </is>
      </c>
      <c r="B6485" t="inlineStr">
        <is>
          <t>avverkningsanmälan</t>
        </is>
      </c>
      <c r="C6485" t="inlineStr">
        <is>
          <t>Föryngringsavverkning</t>
        </is>
      </c>
      <c r="D6485" s="1" t="n">
        <v>46135</v>
      </c>
      <c r="E6485" s="1" t="n">
        <v>46326</v>
      </c>
      <c r="F6485" t="inlineStr">
        <is>
          <t>GÄVLEBORGS LÄN</t>
        </is>
      </c>
      <c r="G6485" t="inlineStr">
        <is>
          <t>BOLLNÄS</t>
        </is>
      </c>
      <c r="I6485" t="n">
        <v>1.8</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A 35061-2024</t>
        </is>
      </c>
      <c r="B6486" t="inlineStr">
        <is>
          <t>avverkningsanmälan</t>
        </is>
      </c>
      <c r="C6486" t="inlineStr">
        <is>
          <t>Föryngringsavverkning</t>
        </is>
      </c>
      <c r="D6486" s="1" t="n">
        <v>45527</v>
      </c>
      <c r="E6486" s="1" t="n">
        <v>46326</v>
      </c>
      <c r="F6486" t="inlineStr">
        <is>
          <t>GÄVLEBORGS LÄN</t>
        </is>
      </c>
      <c r="G6486" t="inlineStr">
        <is>
          <t>HUDIKSVALL</t>
        </is>
      </c>
      <c r="H6486" t="inlineStr">
        <is>
          <t>Holmen skog AB</t>
        </is>
      </c>
      <c r="I6486" t="n">
        <v>2</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A 19725-2026</t>
        </is>
      </c>
      <c r="B6487" t="inlineStr">
        <is>
          <t>avverkningsanmälan</t>
        </is>
      </c>
      <c r="C6487" t="inlineStr">
        <is>
          <t>Föryngringsavverkning</t>
        </is>
      </c>
      <c r="D6487" s="1" t="n">
        <v>46135</v>
      </c>
      <c r="E6487" s="1" t="n">
        <v>46326</v>
      </c>
      <c r="F6487" t="inlineStr">
        <is>
          <t>GÄVLEBORGS LÄN</t>
        </is>
      </c>
      <c r="G6487" t="inlineStr">
        <is>
          <t>SÖDERHAMN</t>
        </is>
      </c>
      <c r="I6487" t="n">
        <v>1.9</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A 19747-2026</t>
        </is>
      </c>
      <c r="B6488" t="inlineStr">
        <is>
          <t>avverkningsanmälan</t>
        </is>
      </c>
      <c r="C6488" t="inlineStr">
        <is>
          <t>Föryngringsavverkning</t>
        </is>
      </c>
      <c r="D6488" s="1" t="n">
        <v>46135</v>
      </c>
      <c r="E6488" s="1" t="n">
        <v>46326</v>
      </c>
      <c r="F6488" t="inlineStr">
        <is>
          <t>GÄVLEBORGS LÄN</t>
        </is>
      </c>
      <c r="G6488" t="inlineStr">
        <is>
          <t>BOLLNÄS</t>
        </is>
      </c>
      <c r="I6488" t="n">
        <v>0.5</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A 19672-2026</t>
        </is>
      </c>
      <c r="B6489" t="inlineStr">
        <is>
          <t>avverkningsanmälan</t>
        </is>
      </c>
      <c r="C6489" t="inlineStr">
        <is>
          <t>Föryngringsavverkning</t>
        </is>
      </c>
      <c r="D6489" s="1" t="n">
        <v>46134</v>
      </c>
      <c r="E6489" s="1" t="n">
        <v>46326</v>
      </c>
      <c r="F6489" t="inlineStr">
        <is>
          <t>GÄVLEBORGS LÄN</t>
        </is>
      </c>
      <c r="G6489" t="inlineStr">
        <is>
          <t>LJUSDAL</t>
        </is>
      </c>
      <c r="I6489" t="n">
        <v>0.8</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A 2932-2024</t>
        </is>
      </c>
      <c r="B6490" t="inlineStr">
        <is>
          <t>avverkningsanmälan</t>
        </is>
      </c>
      <c r="C6490" t="inlineStr">
        <is>
          <t>Föryngringsavverkning</t>
        </is>
      </c>
      <c r="D6490" s="1" t="n">
        <v>45315</v>
      </c>
      <c r="E6490" s="1" t="n">
        <v>46326</v>
      </c>
      <c r="F6490" t="inlineStr">
        <is>
          <t>GÄVLEBORGS LÄN</t>
        </is>
      </c>
      <c r="G6490" t="inlineStr">
        <is>
          <t>BOLLNÄS</t>
        </is>
      </c>
      <c r="I6490" t="n">
        <v>2.2</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A 37146-2024</t>
        </is>
      </c>
      <c r="B6491" t="inlineStr">
        <is>
          <t>avverkningsanmälan</t>
        </is>
      </c>
      <c r="C6491" t="inlineStr">
        <is>
          <t>Föryngringsavverkning</t>
        </is>
      </c>
      <c r="D6491" s="1" t="n">
        <v>45539</v>
      </c>
      <c r="E6491" s="1" t="n">
        <v>46326</v>
      </c>
      <c r="F6491" t="inlineStr">
        <is>
          <t>GÄVLEBORGS LÄN</t>
        </is>
      </c>
      <c r="G6491" t="inlineStr">
        <is>
          <t>GÄVLE</t>
        </is>
      </c>
      <c r="I6491" t="n">
        <v>9.4</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A 19700-2026</t>
        </is>
      </c>
      <c r="B6492" t="inlineStr">
        <is>
          <t>avverkningsanmälan</t>
        </is>
      </c>
      <c r="C6492" t="inlineStr">
        <is>
          <t>Föryngringsavverkning</t>
        </is>
      </c>
      <c r="D6492" s="1" t="n">
        <v>46134</v>
      </c>
      <c r="E6492" s="1" t="n">
        <v>46326</v>
      </c>
      <c r="F6492" t="inlineStr">
        <is>
          <t>GÄVLEBORGS LÄN</t>
        </is>
      </c>
      <c r="G6492" t="inlineStr">
        <is>
          <t>BOLLNÄS</t>
        </is>
      </c>
      <c r="I6492" t="n">
        <v>2.6</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A 12776-2026</t>
        </is>
      </c>
      <c r="B6493" t="inlineStr">
        <is>
          <t>avverkningsanmälan</t>
        </is>
      </c>
      <c r="C6493" t="inlineStr">
        <is>
          <t>Föryngringsavverkning</t>
        </is>
      </c>
      <c r="D6493" s="1" t="n">
        <v>46091</v>
      </c>
      <c r="E6493" s="1" t="n">
        <v>46326</v>
      </c>
      <c r="F6493" t="inlineStr">
        <is>
          <t>GÄVLEBORGS LÄN</t>
        </is>
      </c>
      <c r="G6493" t="inlineStr">
        <is>
          <t>SANDVIKEN</t>
        </is>
      </c>
      <c r="H6493" t="inlineStr">
        <is>
          <t>Naturvårdsverket</t>
        </is>
      </c>
      <c r="I6493" t="n">
        <v>1.8</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A 19790-2026</t>
        </is>
      </c>
      <c r="B6494" t="inlineStr">
        <is>
          <t>avverkningsanmälan</t>
        </is>
      </c>
      <c r="C6494" t="inlineStr">
        <is>
          <t>Föryngringsavverkning</t>
        </is>
      </c>
      <c r="D6494" s="1" t="n">
        <v>46135</v>
      </c>
      <c r="E6494" s="1" t="n">
        <v>46326</v>
      </c>
      <c r="F6494" t="inlineStr">
        <is>
          <t>GÄVLEBORGS LÄN</t>
        </is>
      </c>
      <c r="G6494" t="inlineStr">
        <is>
          <t>HUDIKSVALL</t>
        </is>
      </c>
      <c r="H6494" t="inlineStr">
        <is>
          <t>Holmen skog AB</t>
        </is>
      </c>
      <c r="I6494" t="n">
        <v>4.1</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A 31317-2023</t>
        </is>
      </c>
      <c r="B6495" t="inlineStr">
        <is>
          <t>avverkningsanmälan</t>
        </is>
      </c>
      <c r="C6495" t="inlineStr">
        <is>
          <t>Föryngringsavverkning</t>
        </is>
      </c>
      <c r="D6495" s="1" t="n">
        <v>45103</v>
      </c>
      <c r="E6495" s="1" t="n">
        <v>46326</v>
      </c>
      <c r="F6495" t="inlineStr">
        <is>
          <t>GÄVLEBORGS LÄN</t>
        </is>
      </c>
      <c r="G6495" t="inlineStr">
        <is>
          <t>SANDVIKEN</t>
        </is>
      </c>
      <c r="I6495" t="n">
        <v>0.4</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A 14498-2023</t>
        </is>
      </c>
      <c r="B6496" t="inlineStr">
        <is>
          <t>avverkningsanmälan</t>
        </is>
      </c>
      <c r="C6496" t="inlineStr">
        <is>
          <t>Föryngringsavverkning</t>
        </is>
      </c>
      <c r="D6496" s="1" t="n">
        <v>45012</v>
      </c>
      <c r="E6496" s="1" t="n">
        <v>46326</v>
      </c>
      <c r="F6496" t="inlineStr">
        <is>
          <t>GÄVLEBORGS LÄN</t>
        </is>
      </c>
      <c r="G6496" t="inlineStr">
        <is>
          <t>SÖDERHAMN</t>
        </is>
      </c>
      <c r="I6496" t="n">
        <v>0.9</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A 11653-2024</t>
        </is>
      </c>
      <c r="B6497" t="inlineStr">
        <is>
          <t>avverkningsanmälan</t>
        </is>
      </c>
      <c r="C6497" t="inlineStr">
        <is>
          <t>Föryngringsavverkning</t>
        </is>
      </c>
      <c r="D6497" s="1" t="n">
        <v>45373</v>
      </c>
      <c r="E6497" s="1" t="n">
        <v>46326</v>
      </c>
      <c r="F6497" t="inlineStr">
        <is>
          <t>GÄVLEBORGS LÄN</t>
        </is>
      </c>
      <c r="G6497" t="inlineStr">
        <is>
          <t>SÖDERHAMN</t>
        </is>
      </c>
      <c r="I6497" t="n">
        <v>1.2</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A 11684-2024</t>
        </is>
      </c>
      <c r="B6498" t="inlineStr">
        <is>
          <t>avverkningsanmälan</t>
        </is>
      </c>
      <c r="C6498" t="inlineStr">
        <is>
          <t>Föryngringsavverkning</t>
        </is>
      </c>
      <c r="D6498" s="1" t="n">
        <v>45373</v>
      </c>
      <c r="E6498" s="1" t="n">
        <v>46326</v>
      </c>
      <c r="F6498" t="inlineStr">
        <is>
          <t>GÄVLEBORGS LÄN</t>
        </is>
      </c>
      <c r="G6498" t="inlineStr">
        <is>
          <t>OVANÅKER</t>
        </is>
      </c>
      <c r="I6498" t="n">
        <v>2.2</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A 6498-2025</t>
        </is>
      </c>
      <c r="B6499" t="inlineStr">
        <is>
          <t>avverkningsanmälan</t>
        </is>
      </c>
      <c r="C6499" t="inlineStr">
        <is>
          <t>Föryngringsavverkning</t>
        </is>
      </c>
      <c r="D6499" s="1" t="n">
        <v>45699</v>
      </c>
      <c r="E6499" s="1" t="n">
        <v>46326</v>
      </c>
      <c r="F6499" t="inlineStr">
        <is>
          <t>GÄVLEBORGS LÄN</t>
        </is>
      </c>
      <c r="G6499" t="inlineStr">
        <is>
          <t>LJUSDAL</t>
        </is>
      </c>
      <c r="H6499" t="inlineStr">
        <is>
          <t>Holmen skog AB</t>
        </is>
      </c>
      <c r="I6499" t="n">
        <v>9.199999999999999</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A 259-2025</t>
        </is>
      </c>
      <c r="B6500" t="inlineStr">
        <is>
          <t>avverkningsanmälan</t>
        </is>
      </c>
      <c r="C6500" t="inlineStr">
        <is>
          <t>Föryngringsavverkning</t>
        </is>
      </c>
      <c r="D6500" s="1" t="n">
        <v>45660</v>
      </c>
      <c r="E6500" s="1" t="n">
        <v>46326</v>
      </c>
      <c r="F6500" t="inlineStr">
        <is>
          <t>GÄVLEBORGS LÄN</t>
        </is>
      </c>
      <c r="G6500" t="inlineStr">
        <is>
          <t>GÄVLE</t>
        </is>
      </c>
      <c r="I6500" t="n">
        <v>0.5</v>
      </c>
      <c r="J6500" t="n">
        <v>0</v>
      </c>
      <c r="K6500" t="n">
        <v>0</v>
      </c>
      <c r="L6500" t="n">
        <v>0</v>
      </c>
      <c r="M6500" t="n">
        <v>0</v>
      </c>
      <c r="N6500" t="n">
        <v>0</v>
      </c>
      <c r="O6500" t="n">
        <v>0</v>
      </c>
      <c r="P6500" t="n">
        <v>0</v>
      </c>
      <c r="Q6500" t="n">
        <v>0</v>
      </c>
      <c r="R6500" t="n">
        <v>0</v>
      </c>
      <c r="S6500" t="n">
        <v>0</v>
      </c>
      <c r="T6500" t="n">
        <v>0</v>
      </c>
      <c r="U6500" t="n">
        <v>0</v>
      </c>
      <c r="V6500" s="2" t="inlineStr"/>
    </row>
    <row r="6501" ht="15" customHeight="1">
      <c r="A6501" t="inlineStr">
        <is>
          <t>A 67923-2021</t>
        </is>
      </c>
      <c r="B6501" t="inlineStr">
        <is>
          <t>avverkningsanmälan</t>
        </is>
      </c>
      <c r="C6501" t="inlineStr">
        <is>
          <t>Föryngringsavverkning</t>
        </is>
      </c>
      <c r="D6501" s="1" t="n">
        <v>44525</v>
      </c>
      <c r="E6501" s="1" t="n">
        <v>46326</v>
      </c>
      <c r="F6501" t="inlineStr">
        <is>
          <t>GÄVLEBORGS LÄN</t>
        </is>
      </c>
      <c r="G6501" t="inlineStr">
        <is>
          <t>LJUSDAL</t>
        </is>
      </c>
      <c r="I6501" t="n">
        <v>2.6</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A 33157-2025</t>
        </is>
      </c>
      <c r="B6502" t="inlineStr">
        <is>
          <t>avverkningsanmälan</t>
        </is>
      </c>
      <c r="C6502" t="inlineStr">
        <is>
          <t>Föryngringsavverkning</t>
        </is>
      </c>
      <c r="D6502" s="1" t="n">
        <v>45840</v>
      </c>
      <c r="E6502" s="1" t="n">
        <v>46326</v>
      </c>
      <c r="F6502" t="inlineStr">
        <is>
          <t>GÄVLEBORGS LÄN</t>
        </is>
      </c>
      <c r="G6502" t="inlineStr">
        <is>
          <t>HUDIKSVALL</t>
        </is>
      </c>
      <c r="H6502" t="inlineStr">
        <is>
          <t>Holmen skog AB</t>
        </is>
      </c>
      <c r="I6502" t="n">
        <v>5.8</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A 4075-2025</t>
        </is>
      </c>
      <c r="B6503" t="inlineStr">
        <is>
          <t>avverkningsanmälan</t>
        </is>
      </c>
      <c r="C6503" t="inlineStr">
        <is>
          <t>Föryngringsavverkning</t>
        </is>
      </c>
      <c r="D6503" s="1" t="n">
        <v>45684</v>
      </c>
      <c r="E6503" s="1" t="n">
        <v>46326</v>
      </c>
      <c r="F6503" t="inlineStr">
        <is>
          <t>GÄVLEBORGS LÄN</t>
        </is>
      </c>
      <c r="G6503" t="inlineStr">
        <is>
          <t>HUDIKSVALL</t>
        </is>
      </c>
      <c r="I6503" t="n">
        <v>1.5</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A 4751-2025</t>
        </is>
      </c>
      <c r="B6504" t="inlineStr">
        <is>
          <t>avverkningsanmälan</t>
        </is>
      </c>
      <c r="C6504" t="inlineStr">
        <is>
          <t>Föryngringsavverkning</t>
        </is>
      </c>
      <c r="D6504" s="1" t="n">
        <v>45688</v>
      </c>
      <c r="E6504" s="1" t="n">
        <v>46326</v>
      </c>
      <c r="F6504" t="inlineStr">
        <is>
          <t>GÄVLEBORGS LÄN</t>
        </is>
      </c>
      <c r="G6504" t="inlineStr">
        <is>
          <t>OVANÅKER</t>
        </is>
      </c>
      <c r="I6504" t="n">
        <v>4.4</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A 22877-2024</t>
        </is>
      </c>
      <c r="B6505" t="inlineStr">
        <is>
          <t>avverkningsanmälan</t>
        </is>
      </c>
      <c r="C6505" t="inlineStr">
        <is>
          <t>Föryngringsavverkning</t>
        </is>
      </c>
      <c r="D6505" s="1" t="n">
        <v>45448</v>
      </c>
      <c r="E6505" s="1" t="n">
        <v>46326</v>
      </c>
      <c r="F6505" t="inlineStr">
        <is>
          <t>GÄVLEBORGS LÄN</t>
        </is>
      </c>
      <c r="G6505" t="inlineStr">
        <is>
          <t>BOLLNÄS</t>
        </is>
      </c>
      <c r="I6505" t="n">
        <v>0.7</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A 57977-2022</t>
        </is>
      </c>
      <c r="B6506" t="inlineStr">
        <is>
          <t>avverkningsanmälan</t>
        </is>
      </c>
      <c r="C6506" t="inlineStr">
        <is>
          <t>Föryngringsavverkning</t>
        </is>
      </c>
      <c r="D6506" s="1" t="n">
        <v>44900</v>
      </c>
      <c r="E6506" s="1" t="n">
        <v>46326</v>
      </c>
      <c r="F6506" t="inlineStr">
        <is>
          <t>GÄVLEBORGS LÄN</t>
        </is>
      </c>
      <c r="G6506" t="inlineStr">
        <is>
          <t>LJUSDAL</t>
        </is>
      </c>
      <c r="H6506" t="inlineStr">
        <is>
          <t>Holmen skog AB</t>
        </is>
      </c>
      <c r="I6506" t="n">
        <v>2.1</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A 5823-2026</t>
        </is>
      </c>
      <c r="B6507" t="inlineStr">
        <is>
          <t>avverkningsanmälan</t>
        </is>
      </c>
      <c r="C6507" t="inlineStr">
        <is>
          <t>Föryngringsavverkning</t>
        </is>
      </c>
      <c r="D6507" s="1" t="n">
        <v>46052</v>
      </c>
      <c r="E6507" s="1" t="n">
        <v>46326</v>
      </c>
      <c r="F6507" t="inlineStr">
        <is>
          <t>GÄVLEBORGS LÄN</t>
        </is>
      </c>
      <c r="G6507" t="inlineStr">
        <is>
          <t>OVANÅKER</t>
        </is>
      </c>
      <c r="I6507" t="n">
        <v>2.4</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A 1800-2026</t>
        </is>
      </c>
      <c r="B6508" t="inlineStr">
        <is>
          <t>avverkningsanmälan</t>
        </is>
      </c>
      <c r="C6508" t="inlineStr">
        <is>
          <t>Föryngringsavverkning</t>
        </is>
      </c>
      <c r="D6508" s="1" t="n">
        <v>46035</v>
      </c>
      <c r="E6508" s="1" t="n">
        <v>46326</v>
      </c>
      <c r="F6508" t="inlineStr">
        <is>
          <t>GÄVLEBORGS LÄN</t>
        </is>
      </c>
      <c r="G6508" t="inlineStr">
        <is>
          <t>BOLLNÄS</t>
        </is>
      </c>
      <c r="I6508" t="n">
        <v>1</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A 624-2026</t>
        </is>
      </c>
      <c r="B6509" t="inlineStr">
        <is>
          <t>avverkningsanmälan</t>
        </is>
      </c>
      <c r="C6509" t="inlineStr">
        <is>
          <t>Föryngringsavverkning</t>
        </is>
      </c>
      <c r="D6509" s="1" t="n">
        <v>46029</v>
      </c>
      <c r="E6509" s="1" t="n">
        <v>46326</v>
      </c>
      <c r="F6509" t="inlineStr">
        <is>
          <t>GÄVLEBORGS LÄN</t>
        </is>
      </c>
      <c r="G6509" t="inlineStr">
        <is>
          <t>SÖDERHAMN</t>
        </is>
      </c>
      <c r="I6509" t="n">
        <v>0.9</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A 69851-2021</t>
        </is>
      </c>
      <c r="B6510" t="inlineStr">
        <is>
          <t>avverkningsanmälan</t>
        </is>
      </c>
      <c r="C6510" t="inlineStr">
        <is>
          <t>Föryngringsavverkning</t>
        </is>
      </c>
      <c r="D6510" s="1" t="n">
        <v>44532</v>
      </c>
      <c r="E6510" s="1" t="n">
        <v>46326</v>
      </c>
      <c r="F6510" t="inlineStr">
        <is>
          <t>GÄVLEBORGS LÄN</t>
        </is>
      </c>
      <c r="G6510" t="inlineStr">
        <is>
          <t>HUDIKSVALL</t>
        </is>
      </c>
      <c r="I6510" t="n">
        <v>1.7</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A 30152-2022</t>
        </is>
      </c>
      <c r="B6511" t="inlineStr">
        <is>
          <t>avverkningsanmälan</t>
        </is>
      </c>
      <c r="C6511" t="inlineStr">
        <is>
          <t>Föryngringsavverkning</t>
        </is>
      </c>
      <c r="D6511" s="1" t="n">
        <v>44757</v>
      </c>
      <c r="E6511" s="1" t="n">
        <v>46326</v>
      </c>
      <c r="F6511" t="inlineStr">
        <is>
          <t>GÄVLEBORGS LÄN</t>
        </is>
      </c>
      <c r="G6511" t="inlineStr">
        <is>
          <t>BOLLNÄS</t>
        </is>
      </c>
      <c r="I6511" t="n">
        <v>1.7</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A 44000-2025</t>
        </is>
      </c>
      <c r="B6512" t="inlineStr">
        <is>
          <t>avverkningsanmälan</t>
        </is>
      </c>
      <c r="C6512" t="inlineStr">
        <is>
          <t>Föryngringsavverkning</t>
        </is>
      </c>
      <c r="D6512" s="1" t="n">
        <v>45915</v>
      </c>
      <c r="E6512" s="1" t="n">
        <v>46326</v>
      </c>
      <c r="F6512" t="inlineStr">
        <is>
          <t>GÄVLEBORGS LÄN</t>
        </is>
      </c>
      <c r="G6512" t="inlineStr">
        <is>
          <t>GÄVLE</t>
        </is>
      </c>
      <c r="H6512" t="inlineStr">
        <is>
          <t>Bergvik skog öst AB</t>
        </is>
      </c>
      <c r="I6512" t="n">
        <v>0.9</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A 14383-2026</t>
        </is>
      </c>
      <c r="B6513" t="inlineStr">
        <is>
          <t>avverkningsanmälan</t>
        </is>
      </c>
      <c r="C6513" t="inlineStr">
        <is>
          <t>Föryngringsavverkning</t>
        </is>
      </c>
      <c r="D6513" s="1" t="n">
        <v>46100</v>
      </c>
      <c r="E6513" s="1" t="n">
        <v>46326</v>
      </c>
      <c r="F6513" t="inlineStr">
        <is>
          <t>GÄVLEBORGS LÄN</t>
        </is>
      </c>
      <c r="G6513" t="inlineStr">
        <is>
          <t>HUDIKSVALL</t>
        </is>
      </c>
      <c r="I6513" t="n">
        <v>1.3</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A 15324-2026</t>
        </is>
      </c>
      <c r="B6514" t="inlineStr">
        <is>
          <t>avverkningsanmälan</t>
        </is>
      </c>
      <c r="C6514" t="inlineStr">
        <is>
          <t>Föryngringsavverkning</t>
        </is>
      </c>
      <c r="D6514" s="1" t="n">
        <v>46105</v>
      </c>
      <c r="E6514" s="1" t="n">
        <v>46326</v>
      </c>
      <c r="F6514" t="inlineStr">
        <is>
          <t>GÄVLEBORGS LÄN</t>
        </is>
      </c>
      <c r="G6514" t="inlineStr">
        <is>
          <t>GÄVLE</t>
        </is>
      </c>
      <c r="H6514" t="inlineStr">
        <is>
          <t>Bergvik skog öst AB</t>
        </is>
      </c>
      <c r="I6514" t="n">
        <v>2.2</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A 497-2026</t>
        </is>
      </c>
      <c r="B6515" t="inlineStr">
        <is>
          <t>avverkningsanmälan</t>
        </is>
      </c>
      <c r="C6515" t="inlineStr">
        <is>
          <t>Föryngringsavverkning</t>
        </is>
      </c>
      <c r="D6515" s="1" t="n">
        <v>46029</v>
      </c>
      <c r="E6515" s="1" t="n">
        <v>46326</v>
      </c>
      <c r="F6515" t="inlineStr">
        <is>
          <t>GÄVLEBORGS LÄN</t>
        </is>
      </c>
      <c r="G6515" t="inlineStr">
        <is>
          <t>GÄVLE</t>
        </is>
      </c>
      <c r="I6515" t="n">
        <v>2.2</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A 9586-2026</t>
        </is>
      </c>
      <c r="B6516" t="inlineStr">
        <is>
          <t>avverkningsanmälan</t>
        </is>
      </c>
      <c r="C6516" t="inlineStr">
        <is>
          <t>Föryngringsavverkning</t>
        </is>
      </c>
      <c r="D6516" s="1" t="n">
        <v>46071</v>
      </c>
      <c r="E6516" s="1" t="n">
        <v>46326</v>
      </c>
      <c r="F6516" t="inlineStr">
        <is>
          <t>GÄVLEBORGS LÄN</t>
        </is>
      </c>
      <c r="G6516" t="inlineStr">
        <is>
          <t>HUDIKSVALL</t>
        </is>
      </c>
      <c r="I6516" t="n">
        <v>3.9</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A 2738-2026</t>
        </is>
      </c>
      <c r="B6517" t="inlineStr">
        <is>
          <t>avverkningsanmälan</t>
        </is>
      </c>
      <c r="C6517" t="inlineStr">
        <is>
          <t>Föryngringsavverkning</t>
        </is>
      </c>
      <c r="D6517" s="1" t="n">
        <v>46038</v>
      </c>
      <c r="E6517" s="1" t="n">
        <v>46326</v>
      </c>
      <c r="F6517" t="inlineStr">
        <is>
          <t>GÄVLEBORGS LÄN</t>
        </is>
      </c>
      <c r="G6517" t="inlineStr">
        <is>
          <t>OVANÅKER</t>
        </is>
      </c>
      <c r="I6517" t="n">
        <v>1.7</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A 13124-2026</t>
        </is>
      </c>
      <c r="B6518" t="inlineStr">
        <is>
          <t>avverkningsanmälan</t>
        </is>
      </c>
      <c r="C6518" t="inlineStr">
        <is>
          <t>Föryngringsavverkning</t>
        </is>
      </c>
      <c r="D6518" s="1" t="n">
        <v>46093</v>
      </c>
      <c r="E6518" s="1" t="n">
        <v>46326</v>
      </c>
      <c r="F6518" t="inlineStr">
        <is>
          <t>GÄVLEBORGS LÄN</t>
        </is>
      </c>
      <c r="G6518" t="inlineStr">
        <is>
          <t>SÖDERHAMN</t>
        </is>
      </c>
      <c r="I6518" t="n">
        <v>1.4</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A 13059-2026</t>
        </is>
      </c>
      <c r="B6519" t="inlineStr">
        <is>
          <t>avverkningsanmälan</t>
        </is>
      </c>
      <c r="C6519" t="inlineStr">
        <is>
          <t>Föryngringsavverkning</t>
        </is>
      </c>
      <c r="D6519" s="1" t="n">
        <v>46093</v>
      </c>
      <c r="E6519" s="1" t="n">
        <v>46326</v>
      </c>
      <c r="F6519" t="inlineStr">
        <is>
          <t>GÄVLEBORGS LÄN</t>
        </is>
      </c>
      <c r="G6519" t="inlineStr">
        <is>
          <t>OVANÅKER</t>
        </is>
      </c>
      <c r="I6519" t="n">
        <v>1.2</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A 13117-2026</t>
        </is>
      </c>
      <c r="B6520" t="inlineStr">
        <is>
          <t>avverkningsanmälan</t>
        </is>
      </c>
      <c r="C6520" t="inlineStr">
        <is>
          <t>Föryngringsavverkning</t>
        </is>
      </c>
      <c r="D6520" s="1" t="n">
        <v>46093</v>
      </c>
      <c r="E6520" s="1" t="n">
        <v>46326</v>
      </c>
      <c r="F6520" t="inlineStr">
        <is>
          <t>GÄVLEBORGS LÄN</t>
        </is>
      </c>
      <c r="G6520" t="inlineStr">
        <is>
          <t>SÖDERHAMN</t>
        </is>
      </c>
      <c r="I6520" t="n">
        <v>2.8</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A 20304-2026</t>
        </is>
      </c>
      <c r="B6521" t="inlineStr">
        <is>
          <t>avverkningsanmälan</t>
        </is>
      </c>
      <c r="C6521" t="inlineStr">
        <is>
          <t>Föryngringsavverkning</t>
        </is>
      </c>
      <c r="D6521" s="1" t="n">
        <v>46139</v>
      </c>
      <c r="E6521" s="1" t="n">
        <v>46326</v>
      </c>
      <c r="F6521" t="inlineStr">
        <is>
          <t>GÄVLEBORGS LÄN</t>
        </is>
      </c>
      <c r="G6521" t="inlineStr">
        <is>
          <t>OVANÅKER</t>
        </is>
      </c>
      <c r="I6521" t="n">
        <v>3.5</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A 17384-2023</t>
        </is>
      </c>
      <c r="B6522" t="inlineStr">
        <is>
          <t>avverkningsanmälan</t>
        </is>
      </c>
      <c r="C6522" t="inlineStr">
        <is>
          <t>Föryngringsavverkning</t>
        </is>
      </c>
      <c r="D6522" s="1" t="n">
        <v>45035</v>
      </c>
      <c r="E6522" s="1" t="n">
        <v>46326</v>
      </c>
      <c r="F6522" t="inlineStr">
        <is>
          <t>GÄVLEBORGS LÄN</t>
        </is>
      </c>
      <c r="G6522" t="inlineStr">
        <is>
          <t>OVANÅKER</t>
        </is>
      </c>
      <c r="I6522" t="n">
        <v>1.6</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A 10413-2026</t>
        </is>
      </c>
      <c r="B6523" t="inlineStr">
        <is>
          <t>avverkningsanmälan</t>
        </is>
      </c>
      <c r="C6523" t="inlineStr">
        <is>
          <t>Föryngringsavverkning</t>
        </is>
      </c>
      <c r="D6523" s="1" t="n">
        <v>46077</v>
      </c>
      <c r="E6523" s="1" t="n">
        <v>46326</v>
      </c>
      <c r="F6523" t="inlineStr">
        <is>
          <t>GÄVLEBORGS LÄN</t>
        </is>
      </c>
      <c r="G6523" t="inlineStr">
        <is>
          <t>BOLLNÄS</t>
        </is>
      </c>
      <c r="I6523" t="n">
        <v>11.6</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A 10043-2026</t>
        </is>
      </c>
      <c r="B6524" t="inlineStr">
        <is>
          <t>avverkningsanmälan</t>
        </is>
      </c>
      <c r="C6524" t="inlineStr">
        <is>
          <t>Föryngringsavverkning</t>
        </is>
      </c>
      <c r="D6524" s="1" t="n">
        <v>46073</v>
      </c>
      <c r="E6524" s="1" t="n">
        <v>46326</v>
      </c>
      <c r="F6524" t="inlineStr">
        <is>
          <t>GÄVLEBORGS LÄN</t>
        </is>
      </c>
      <c r="G6524" t="inlineStr">
        <is>
          <t>BOLLNÄS</t>
        </is>
      </c>
      <c r="I6524" t="n">
        <v>12.2</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A 7604-2026</t>
        </is>
      </c>
      <c r="B6525" t="inlineStr">
        <is>
          <t>avverkningsanmälan</t>
        </is>
      </c>
      <c r="C6525" t="inlineStr">
        <is>
          <t>Föryngringsavverkning</t>
        </is>
      </c>
      <c r="D6525" s="1" t="n">
        <v>46062</v>
      </c>
      <c r="E6525" s="1" t="n">
        <v>46326</v>
      </c>
      <c r="F6525" t="inlineStr">
        <is>
          <t>GÄVLEBORGS LÄN</t>
        </is>
      </c>
      <c r="G6525" t="inlineStr">
        <is>
          <t>OVANÅKER</t>
        </is>
      </c>
      <c r="I6525" t="n">
        <v>1.9</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A 14050-2026</t>
        </is>
      </c>
      <c r="B6526" t="inlineStr">
        <is>
          <t>avverkningsanmälan</t>
        </is>
      </c>
      <c r="C6526" t="inlineStr">
        <is>
          <t>Föryngringsavverkning</t>
        </is>
      </c>
      <c r="D6526" s="1" t="n">
        <v>46099</v>
      </c>
      <c r="E6526" s="1" t="n">
        <v>46326</v>
      </c>
      <c r="F6526" t="inlineStr">
        <is>
          <t>GÄVLEBORGS LÄN</t>
        </is>
      </c>
      <c r="G6526" t="inlineStr">
        <is>
          <t>OVANÅKER</t>
        </is>
      </c>
      <c r="I6526" t="n">
        <v>1.1</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A 20192-2026</t>
        </is>
      </c>
      <c r="B6527" t="inlineStr">
        <is>
          <t>avverkningsanmälan</t>
        </is>
      </c>
      <c r="C6527" t="inlineStr">
        <is>
          <t>Föryngringsavverkning</t>
        </is>
      </c>
      <c r="D6527" s="1" t="n">
        <v>46139</v>
      </c>
      <c r="E6527" s="1" t="n">
        <v>46326</v>
      </c>
      <c r="F6527" t="inlineStr">
        <is>
          <t>GÄVLEBORGS LÄN</t>
        </is>
      </c>
      <c r="G6527" t="inlineStr">
        <is>
          <t>BOLLNÄS</t>
        </is>
      </c>
      <c r="I6527" t="n">
        <v>0.8</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A 48580-2025</t>
        </is>
      </c>
      <c r="B6528" t="inlineStr">
        <is>
          <t>avverkningsanmälan</t>
        </is>
      </c>
      <c r="C6528" t="inlineStr">
        <is>
          <t>Föryngringsavverkning</t>
        </is>
      </c>
      <c r="D6528" s="1" t="n">
        <v>45936</v>
      </c>
      <c r="E6528" s="1" t="n">
        <v>46326</v>
      </c>
      <c r="F6528" t="inlineStr">
        <is>
          <t>GÄVLEBORGS LÄN</t>
        </is>
      </c>
      <c r="G6528" t="inlineStr">
        <is>
          <t>LJUSDAL</t>
        </is>
      </c>
      <c r="I6528" t="n">
        <v>3</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A 8289-2026</t>
        </is>
      </c>
      <c r="B6529" t="inlineStr">
        <is>
          <t>avverkningsanmälan</t>
        </is>
      </c>
      <c r="C6529" t="inlineStr">
        <is>
          <t>Föryngringsavverkning</t>
        </is>
      </c>
      <c r="D6529" s="1" t="n">
        <v>46064</v>
      </c>
      <c r="E6529" s="1" t="n">
        <v>46326</v>
      </c>
      <c r="F6529" t="inlineStr">
        <is>
          <t>GÄVLEBORGS LÄN</t>
        </is>
      </c>
      <c r="G6529" t="inlineStr">
        <is>
          <t>OVANÅKER</t>
        </is>
      </c>
      <c r="I6529" t="n">
        <v>2</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A 7281-2026</t>
        </is>
      </c>
      <c r="B6530" t="inlineStr">
        <is>
          <t>avverkningsanmälan</t>
        </is>
      </c>
      <c r="C6530" t="inlineStr">
        <is>
          <t>Föryngringsavverkning</t>
        </is>
      </c>
      <c r="D6530" s="1" t="n">
        <v>46058</v>
      </c>
      <c r="E6530" s="1" t="n">
        <v>46326</v>
      </c>
      <c r="F6530" t="inlineStr">
        <is>
          <t>GÄVLEBORGS LÄN</t>
        </is>
      </c>
      <c r="G6530" t="inlineStr">
        <is>
          <t>LJUSDAL</t>
        </is>
      </c>
      <c r="I6530" t="n">
        <v>1.2</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A 51986-2024</t>
        </is>
      </c>
      <c r="B6531" t="inlineStr">
        <is>
          <t>avverkningsanmälan</t>
        </is>
      </c>
      <c r="C6531" t="inlineStr">
        <is>
          <t>Föryngringsavverkning</t>
        </is>
      </c>
      <c r="D6531" s="1" t="n">
        <v>45607</v>
      </c>
      <c r="E6531" s="1" t="n">
        <v>46326</v>
      </c>
      <c r="F6531" t="inlineStr">
        <is>
          <t>GÄVLEBORGS LÄN</t>
        </is>
      </c>
      <c r="G6531" t="inlineStr">
        <is>
          <t>SÖDERHAMN</t>
        </is>
      </c>
      <c r="H6531" t="inlineStr">
        <is>
          <t>Bergvik skog väst AB</t>
        </is>
      </c>
      <c r="I6531" t="n">
        <v>5.7</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A 48645-2024</t>
        </is>
      </c>
      <c r="B6532" t="inlineStr">
        <is>
          <t>avverkningsanmälan</t>
        </is>
      </c>
      <c r="C6532" t="inlineStr">
        <is>
          <t>Föryngringsavverkning</t>
        </is>
      </c>
      <c r="D6532" s="1" t="n">
        <v>45593</v>
      </c>
      <c r="E6532" s="1" t="n">
        <v>46326</v>
      </c>
      <c r="F6532" t="inlineStr">
        <is>
          <t>GÄVLEBORGS LÄN</t>
        </is>
      </c>
      <c r="G6532" t="inlineStr">
        <is>
          <t>HUDIKSVALL</t>
        </is>
      </c>
      <c r="I6532" t="n">
        <v>5.9</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A 8914-2026</t>
        </is>
      </c>
      <c r="B6533" t="inlineStr">
        <is>
          <t>avverkningsanmälan</t>
        </is>
      </c>
      <c r="C6533" t="inlineStr">
        <is>
          <t>Föryngringsavverkning</t>
        </is>
      </c>
      <c r="D6533" s="1" t="n">
        <v>46069</v>
      </c>
      <c r="E6533" s="1" t="n">
        <v>46326</v>
      </c>
      <c r="F6533" t="inlineStr">
        <is>
          <t>GÄVLEBORGS LÄN</t>
        </is>
      </c>
      <c r="G6533" t="inlineStr">
        <is>
          <t>BOLLNÄS</t>
        </is>
      </c>
      <c r="I6533" t="n">
        <v>37.3</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A 8264-2026</t>
        </is>
      </c>
      <c r="B6534" t="inlineStr">
        <is>
          <t>avverkningsanmälan</t>
        </is>
      </c>
      <c r="C6534" t="inlineStr">
        <is>
          <t>Föryngringsavverkning</t>
        </is>
      </c>
      <c r="D6534" s="1" t="n">
        <v>46064</v>
      </c>
      <c r="E6534" s="1" t="n">
        <v>46326</v>
      </c>
      <c r="F6534" t="inlineStr">
        <is>
          <t>GÄVLEBORGS LÄN</t>
        </is>
      </c>
      <c r="G6534" t="inlineStr">
        <is>
          <t>HUDIKSVALL</t>
        </is>
      </c>
      <c r="I6534" t="n">
        <v>1.6</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A 56933-2024</t>
        </is>
      </c>
      <c r="B6535" t="inlineStr">
        <is>
          <t>avverkningsanmälan</t>
        </is>
      </c>
      <c r="C6535" t="inlineStr">
        <is>
          <t>Avverkning för annat ändamål</t>
        </is>
      </c>
      <c r="D6535" s="1" t="n">
        <v>45628</v>
      </c>
      <c r="E6535" s="1" t="n">
        <v>46326</v>
      </c>
      <c r="F6535" t="inlineStr">
        <is>
          <t>GÄVLEBORGS LÄN</t>
        </is>
      </c>
      <c r="G6535" t="inlineStr">
        <is>
          <t>SÖDERHAMN</t>
        </is>
      </c>
      <c r="I6535" t="n">
        <v>0.5</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A 27969-2024</t>
        </is>
      </c>
      <c r="B6536" t="inlineStr">
        <is>
          <t>avverkningsanmälan</t>
        </is>
      </c>
      <c r="C6536" t="inlineStr">
        <is>
          <t>Föryngringsavverkning</t>
        </is>
      </c>
      <c r="D6536" s="1" t="n">
        <v>45476</v>
      </c>
      <c r="E6536" s="1" t="n">
        <v>46326</v>
      </c>
      <c r="F6536" t="inlineStr">
        <is>
          <t>GÄVLEBORGS LÄN</t>
        </is>
      </c>
      <c r="G6536" t="inlineStr">
        <is>
          <t>SANDVIKEN</t>
        </is>
      </c>
      <c r="I6536" t="n">
        <v>1.5</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A 3720-2026</t>
        </is>
      </c>
      <c r="B6537" t="inlineStr">
        <is>
          <t>avverkningsanmälan</t>
        </is>
      </c>
      <c r="C6537" t="inlineStr">
        <is>
          <t>Föryngringsavverkning</t>
        </is>
      </c>
      <c r="D6537" s="1" t="n">
        <v>46043</v>
      </c>
      <c r="E6537" s="1" t="n">
        <v>46326</v>
      </c>
      <c r="F6537" t="inlineStr">
        <is>
          <t>GÄVLEBORGS LÄN</t>
        </is>
      </c>
      <c r="G6537" t="inlineStr">
        <is>
          <t>OCKELBO</t>
        </is>
      </c>
      <c r="I6537" t="n">
        <v>2.4</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A 797-2026</t>
        </is>
      </c>
      <c r="B6538" t="inlineStr">
        <is>
          <t>avverkningsanmälan</t>
        </is>
      </c>
      <c r="C6538" t="inlineStr">
        <is>
          <t>Föryngringsavverkning</t>
        </is>
      </c>
      <c r="D6538" s="1" t="n">
        <v>46029</v>
      </c>
      <c r="E6538" s="1" t="n">
        <v>46326</v>
      </c>
      <c r="F6538" t="inlineStr">
        <is>
          <t>GÄVLEBORGS LÄN</t>
        </is>
      </c>
      <c r="G6538" t="inlineStr">
        <is>
          <t>OVANÅKER</t>
        </is>
      </c>
      <c r="I6538" t="n">
        <v>4.5</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A 9391-2026</t>
        </is>
      </c>
      <c r="B6539" t="inlineStr">
        <is>
          <t>avverkningsanmälan</t>
        </is>
      </c>
      <c r="C6539" t="inlineStr">
        <is>
          <t>Föryngringsavverkning</t>
        </is>
      </c>
      <c r="D6539" s="1" t="n">
        <v>46071</v>
      </c>
      <c r="E6539" s="1" t="n">
        <v>46326</v>
      </c>
      <c r="F6539" t="inlineStr">
        <is>
          <t>GÄVLEBORGS LÄN</t>
        </is>
      </c>
      <c r="G6539" t="inlineStr">
        <is>
          <t>OVANÅKER</t>
        </is>
      </c>
      <c r="I6539" t="n">
        <v>2.7</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A 15519-2026</t>
        </is>
      </c>
      <c r="B6540" t="inlineStr">
        <is>
          <t>avverkningsanmälan</t>
        </is>
      </c>
      <c r="C6540" t="inlineStr">
        <is>
          <t>Föryngringsavverkning</t>
        </is>
      </c>
      <c r="D6540" s="1" t="n">
        <v>46106</v>
      </c>
      <c r="E6540" s="1" t="n">
        <v>46326</v>
      </c>
      <c r="F6540" t="inlineStr">
        <is>
          <t>GÄVLEBORGS LÄN</t>
        </is>
      </c>
      <c r="G6540" t="inlineStr">
        <is>
          <t>BOLLNÄS</t>
        </is>
      </c>
      <c r="I6540" t="n">
        <v>2.2</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A 20308-2026</t>
        </is>
      </c>
      <c r="B6541" t="inlineStr">
        <is>
          <t>avverkningsanmälan</t>
        </is>
      </c>
      <c r="C6541" t="inlineStr">
        <is>
          <t>Föryngringsavverkning</t>
        </is>
      </c>
      <c r="D6541" s="1" t="n">
        <v>46139</v>
      </c>
      <c r="E6541" s="1" t="n">
        <v>46326</v>
      </c>
      <c r="F6541" t="inlineStr">
        <is>
          <t>GÄVLEBORGS LÄN</t>
        </is>
      </c>
      <c r="G6541" t="inlineStr">
        <is>
          <t>BOLLNÄS</t>
        </is>
      </c>
      <c r="I6541" t="n">
        <v>1.9</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A 20309-2026</t>
        </is>
      </c>
      <c r="B6542" t="inlineStr">
        <is>
          <t>avverkningsanmälan</t>
        </is>
      </c>
      <c r="C6542" t="inlineStr">
        <is>
          <t>Föryngringsavverkning</t>
        </is>
      </c>
      <c r="D6542" s="1" t="n">
        <v>46139</v>
      </c>
      <c r="E6542" s="1" t="n">
        <v>46326</v>
      </c>
      <c r="F6542" t="inlineStr">
        <is>
          <t>GÄVLEBORGS LÄN</t>
        </is>
      </c>
      <c r="G6542" t="inlineStr">
        <is>
          <t>OVANÅKER</t>
        </is>
      </c>
      <c r="I6542" t="n">
        <v>1.6</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A 20320-2026</t>
        </is>
      </c>
      <c r="B6543" t="inlineStr">
        <is>
          <t>avverkningsanmälan</t>
        </is>
      </c>
      <c r="C6543" t="inlineStr">
        <is>
          <t>Föryngringsavverkning</t>
        </is>
      </c>
      <c r="D6543" s="1" t="n">
        <v>46139</v>
      </c>
      <c r="E6543" s="1" t="n">
        <v>46326</v>
      </c>
      <c r="F6543" t="inlineStr">
        <is>
          <t>GÄVLEBORGS LÄN</t>
        </is>
      </c>
      <c r="G6543" t="inlineStr">
        <is>
          <t>OVANÅKER</t>
        </is>
      </c>
      <c r="I6543" t="n">
        <v>1.8</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A 20361-2026</t>
        </is>
      </c>
      <c r="B6544" t="inlineStr">
        <is>
          <t>avverkningsanmälan</t>
        </is>
      </c>
      <c r="C6544" t="inlineStr">
        <is>
          <t>Föryngringsavverkning</t>
        </is>
      </c>
      <c r="D6544" s="1" t="n">
        <v>46139</v>
      </c>
      <c r="E6544" s="1" t="n">
        <v>46326</v>
      </c>
      <c r="F6544" t="inlineStr">
        <is>
          <t>GÄVLEBORGS LÄN</t>
        </is>
      </c>
      <c r="G6544" t="inlineStr">
        <is>
          <t>BOLLNÄS</t>
        </is>
      </c>
      <c r="I6544" t="n">
        <v>9.300000000000001</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A 19982-2026</t>
        </is>
      </c>
      <c r="B6545" t="inlineStr">
        <is>
          <t>avverkningsanmälan</t>
        </is>
      </c>
      <c r="C6545" t="inlineStr">
        <is>
          <t>Föryngringsavverkning</t>
        </is>
      </c>
      <c r="D6545" s="1" t="n">
        <v>46136</v>
      </c>
      <c r="E6545" s="1" t="n">
        <v>46326</v>
      </c>
      <c r="F6545" t="inlineStr">
        <is>
          <t>GÄVLEBORGS LÄN</t>
        </is>
      </c>
      <c r="G6545" t="inlineStr">
        <is>
          <t>NORDANSTIG</t>
        </is>
      </c>
      <c r="I6545" t="n">
        <v>0.9</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A 54273-2024</t>
        </is>
      </c>
      <c r="B6546" t="inlineStr">
        <is>
          <t>avverkningsanmälan</t>
        </is>
      </c>
      <c r="C6546" t="inlineStr">
        <is>
          <t>Föryngringsavverkning</t>
        </is>
      </c>
      <c r="D6546" s="1" t="n">
        <v>45616</v>
      </c>
      <c r="E6546" s="1" t="n">
        <v>46326</v>
      </c>
      <c r="F6546" t="inlineStr">
        <is>
          <t>GÄVLEBORGS LÄN</t>
        </is>
      </c>
      <c r="G6546" t="inlineStr">
        <is>
          <t>OVANÅKER</t>
        </is>
      </c>
      <c r="I6546" t="n">
        <v>1.7</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A 47059-2024</t>
        </is>
      </c>
      <c r="B6547" t="inlineStr">
        <is>
          <t>avverkningsanmälan</t>
        </is>
      </c>
      <c r="C6547" t="inlineStr">
        <is>
          <t>Föryngringsavverkning</t>
        </is>
      </c>
      <c r="D6547" s="1" t="n">
        <v>45586</v>
      </c>
      <c r="E6547" s="1" t="n">
        <v>46326</v>
      </c>
      <c r="F6547" t="inlineStr">
        <is>
          <t>GÄVLEBORGS LÄN</t>
        </is>
      </c>
      <c r="G6547" t="inlineStr">
        <is>
          <t>HUDIKSVALL</t>
        </is>
      </c>
      <c r="I6547" t="n">
        <v>18.2</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A 9555-2026</t>
        </is>
      </c>
      <c r="B6548" t="inlineStr">
        <is>
          <t>avverkningsanmälan</t>
        </is>
      </c>
      <c r="C6548" t="inlineStr">
        <is>
          <t>Föryngringsavverkning</t>
        </is>
      </c>
      <c r="D6548" s="1" t="n">
        <v>46071</v>
      </c>
      <c r="E6548" s="1" t="n">
        <v>46326</v>
      </c>
      <c r="F6548" t="inlineStr">
        <is>
          <t>GÄVLEBORGS LÄN</t>
        </is>
      </c>
      <c r="G6548" t="inlineStr">
        <is>
          <t>BOLLNÄS</t>
        </is>
      </c>
      <c r="I6548" t="n">
        <v>0.9</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A 20107-2026</t>
        </is>
      </c>
      <c r="B6549" t="inlineStr">
        <is>
          <t>avverkningsanmälan</t>
        </is>
      </c>
      <c r="C6549" t="inlineStr">
        <is>
          <t>Föryngringsavverkning</t>
        </is>
      </c>
      <c r="D6549" s="1" t="n">
        <v>46136</v>
      </c>
      <c r="E6549" s="1" t="n">
        <v>46326</v>
      </c>
      <c r="F6549" t="inlineStr">
        <is>
          <t>GÄVLEBORGS LÄN</t>
        </is>
      </c>
      <c r="G6549" t="inlineStr">
        <is>
          <t>SÖDERHAMN</t>
        </is>
      </c>
      <c r="I6549" t="n">
        <v>3.2</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A 12223-2026</t>
        </is>
      </c>
      <c r="B6550" t="inlineStr">
        <is>
          <t>avverkningsanmälan</t>
        </is>
      </c>
      <c r="C6550" t="inlineStr">
        <is>
          <t>Föryngringsavverkning</t>
        </is>
      </c>
      <c r="D6550" s="1" t="n">
        <v>46087</v>
      </c>
      <c r="E6550" s="1" t="n">
        <v>46326</v>
      </c>
      <c r="F6550" t="inlineStr">
        <is>
          <t>GÄVLEBORGS LÄN</t>
        </is>
      </c>
      <c r="G6550" t="inlineStr">
        <is>
          <t>OVANÅKER</t>
        </is>
      </c>
      <c r="I6550" t="n">
        <v>5.6</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A 15835-2026</t>
        </is>
      </c>
      <c r="B6551" t="inlineStr">
        <is>
          <t>avverkningsanmälan</t>
        </is>
      </c>
      <c r="C6551" t="inlineStr">
        <is>
          <t>Föryngringsavverkning</t>
        </is>
      </c>
      <c r="D6551" s="1" t="n">
        <v>46107</v>
      </c>
      <c r="E6551" s="1" t="n">
        <v>46326</v>
      </c>
      <c r="F6551" t="inlineStr">
        <is>
          <t>GÄVLEBORGS LÄN</t>
        </is>
      </c>
      <c r="G6551" t="inlineStr">
        <is>
          <t>GÄVLE</t>
        </is>
      </c>
      <c r="H6551" t="inlineStr">
        <is>
          <t>Bergvik skog öst AB</t>
        </is>
      </c>
      <c r="I6551" t="n">
        <v>5.2</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A 8343-2026</t>
        </is>
      </c>
      <c r="B6552" t="inlineStr">
        <is>
          <t>avverkningsanmälan</t>
        </is>
      </c>
      <c r="C6552" t="inlineStr">
        <is>
          <t>Föryngringsavverkning</t>
        </is>
      </c>
      <c r="D6552" s="1" t="n">
        <v>46064</v>
      </c>
      <c r="E6552" s="1" t="n">
        <v>46326</v>
      </c>
      <c r="F6552" t="inlineStr">
        <is>
          <t>GÄVLEBORGS LÄN</t>
        </is>
      </c>
      <c r="G6552" t="inlineStr">
        <is>
          <t>OCKELBO</t>
        </is>
      </c>
      <c r="I6552" t="n">
        <v>3.4</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A 25965-2025</t>
        </is>
      </c>
      <c r="B6553" t="inlineStr">
        <is>
          <t>avverkningsanmälan</t>
        </is>
      </c>
      <c r="C6553" t="inlineStr">
        <is>
          <t>Föryngringsavverkning</t>
        </is>
      </c>
      <c r="D6553" s="1" t="n">
        <v>45804</v>
      </c>
      <c r="E6553" s="1" t="n">
        <v>46326</v>
      </c>
      <c r="F6553" t="inlineStr">
        <is>
          <t>GÄVLEBORGS LÄN</t>
        </is>
      </c>
      <c r="G6553" t="inlineStr">
        <is>
          <t>OVANÅKER</t>
        </is>
      </c>
      <c r="I6553" t="n">
        <v>1.4</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A 1057-2026</t>
        </is>
      </c>
      <c r="B6554" t="inlineStr">
        <is>
          <t>avverkningsanmälan</t>
        </is>
      </c>
      <c r="C6554" t="inlineStr">
        <is>
          <t>Föryngringsavverkning</t>
        </is>
      </c>
      <c r="D6554" s="1" t="n">
        <v>46030</v>
      </c>
      <c r="E6554" s="1" t="n">
        <v>46326</v>
      </c>
      <c r="F6554" t="inlineStr">
        <is>
          <t>GÄVLEBORGS LÄN</t>
        </is>
      </c>
      <c r="G6554" t="inlineStr">
        <is>
          <t>NORDANSTIG</t>
        </is>
      </c>
      <c r="I6554" t="n">
        <v>2.7</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A 43476-2025</t>
        </is>
      </c>
      <c r="B6555" t="inlineStr">
        <is>
          <t>avverkningsanmälan</t>
        </is>
      </c>
      <c r="C6555" t="inlineStr">
        <is>
          <t>Föryngringsavverkning</t>
        </is>
      </c>
      <c r="D6555" s="1" t="n">
        <v>45911</v>
      </c>
      <c r="E6555" s="1" t="n">
        <v>46326</v>
      </c>
      <c r="F6555" t="inlineStr">
        <is>
          <t>GÄVLEBORGS LÄN</t>
        </is>
      </c>
      <c r="G6555" t="inlineStr">
        <is>
          <t>HUDIKSVALL</t>
        </is>
      </c>
      <c r="I6555" t="n">
        <v>5.4</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A 9976-2026</t>
        </is>
      </c>
      <c r="B6556" t="inlineStr">
        <is>
          <t>avverkningsanmälan</t>
        </is>
      </c>
      <c r="C6556" t="inlineStr">
        <is>
          <t>Föryngringsavverkning</t>
        </is>
      </c>
      <c r="D6556" s="1" t="n">
        <v>46073</v>
      </c>
      <c r="E6556" s="1" t="n">
        <v>46326</v>
      </c>
      <c r="F6556" t="inlineStr">
        <is>
          <t>GÄVLEBORGS LÄN</t>
        </is>
      </c>
      <c r="G6556" t="inlineStr">
        <is>
          <t>NORDANSTIG</t>
        </is>
      </c>
      <c r="I6556" t="n">
        <v>1.1</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A 3115-2025</t>
        </is>
      </c>
      <c r="B6557" t="inlineStr">
        <is>
          <t>avverkningsanmälan</t>
        </is>
      </c>
      <c r="C6557" t="inlineStr">
        <is>
          <t>Föryngringsavverkning</t>
        </is>
      </c>
      <c r="D6557" s="1" t="n">
        <v>45678</v>
      </c>
      <c r="E6557" s="1" t="n">
        <v>46326</v>
      </c>
      <c r="F6557" t="inlineStr">
        <is>
          <t>GÄVLEBORGS LÄN</t>
        </is>
      </c>
      <c r="G6557" t="inlineStr">
        <is>
          <t>OVANÅKER</t>
        </is>
      </c>
      <c r="I6557" t="n">
        <v>6.2</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A 20257-2026</t>
        </is>
      </c>
      <c r="B6558" t="inlineStr">
        <is>
          <t>avverkningsanmälan</t>
        </is>
      </c>
      <c r="C6558" t="inlineStr">
        <is>
          <t>Föryngringsavverkning</t>
        </is>
      </c>
      <c r="D6558" s="1" t="n">
        <v>46139</v>
      </c>
      <c r="E6558" s="1" t="n">
        <v>46326</v>
      </c>
      <c r="F6558" t="inlineStr">
        <is>
          <t>GÄVLEBORGS LÄN</t>
        </is>
      </c>
      <c r="G6558" t="inlineStr">
        <is>
          <t>BOLLNÄS</t>
        </is>
      </c>
      <c r="H6558" t="inlineStr">
        <is>
          <t>Bergvik skog väst AB</t>
        </is>
      </c>
      <c r="I6558" t="n">
        <v>1.5</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A 7629-2026</t>
        </is>
      </c>
      <c r="B6559" t="inlineStr">
        <is>
          <t>avverkningsanmälan</t>
        </is>
      </c>
      <c r="C6559" t="inlineStr">
        <is>
          <t>Föryngringsavverkning</t>
        </is>
      </c>
      <c r="D6559" s="1" t="n">
        <v>46062</v>
      </c>
      <c r="E6559" s="1" t="n">
        <v>46326</v>
      </c>
      <c r="F6559" t="inlineStr">
        <is>
          <t>GÄVLEBORGS LÄN</t>
        </is>
      </c>
      <c r="G6559" t="inlineStr">
        <is>
          <t>SÖDERHAMN</t>
        </is>
      </c>
      <c r="H6559" t="inlineStr">
        <is>
          <t>Bergvik skog väst AB</t>
        </is>
      </c>
      <c r="I6559" t="n">
        <v>1.7</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A 20151-2026</t>
        </is>
      </c>
      <c r="B6560" t="inlineStr">
        <is>
          <t>avverkningsanmälan</t>
        </is>
      </c>
      <c r="C6560" t="inlineStr">
        <is>
          <t>Föryngringsavverkning</t>
        </is>
      </c>
      <c r="D6560" s="1" t="n">
        <v>46137</v>
      </c>
      <c r="E6560" s="1" t="n">
        <v>46326</v>
      </c>
      <c r="F6560" t="inlineStr">
        <is>
          <t>GÄVLEBORGS LÄN</t>
        </is>
      </c>
      <c r="G6560" t="inlineStr">
        <is>
          <t>OCKELBO</t>
        </is>
      </c>
      <c r="H6560" t="inlineStr">
        <is>
          <t>Bergvik skog väst AB</t>
        </is>
      </c>
      <c r="I6560" t="n">
        <v>3.4</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A 20153-2026</t>
        </is>
      </c>
      <c r="B6561" t="inlineStr">
        <is>
          <t>avverkningsanmälan</t>
        </is>
      </c>
      <c r="C6561" t="inlineStr">
        <is>
          <t>Föryngringsavverkning</t>
        </is>
      </c>
      <c r="D6561" s="1" t="n">
        <v>46138</v>
      </c>
      <c r="E6561" s="1" t="n">
        <v>46326</v>
      </c>
      <c r="F6561" t="inlineStr">
        <is>
          <t>GÄVLEBORGS LÄN</t>
        </is>
      </c>
      <c r="G6561" t="inlineStr">
        <is>
          <t>BOLLNÄS</t>
        </is>
      </c>
      <c r="H6561" t="inlineStr">
        <is>
          <t>Bergvik skog väst AB</t>
        </is>
      </c>
      <c r="I6561" t="n">
        <v>0.9</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A 1255-2026</t>
        </is>
      </c>
      <c r="B6562" t="inlineStr">
        <is>
          <t>avverkningsanmälan</t>
        </is>
      </c>
      <c r="C6562" t="inlineStr">
        <is>
          <t>Föryngringsavverkning</t>
        </is>
      </c>
      <c r="D6562" s="1" t="n">
        <v>46031</v>
      </c>
      <c r="E6562" s="1" t="n">
        <v>46326</v>
      </c>
      <c r="F6562" t="inlineStr">
        <is>
          <t>GÄVLEBORGS LÄN</t>
        </is>
      </c>
      <c r="G6562" t="inlineStr">
        <is>
          <t>HUDIKSVALL</t>
        </is>
      </c>
      <c r="I6562" t="n">
        <v>1.8</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A 3319-2026</t>
        </is>
      </c>
      <c r="B6563" t="inlineStr">
        <is>
          <t>avverkningsanmälan</t>
        </is>
      </c>
      <c r="C6563" t="inlineStr">
        <is>
          <t>Föryngringsavverkning</t>
        </is>
      </c>
      <c r="D6563" s="1" t="n">
        <v>46041</v>
      </c>
      <c r="E6563" s="1" t="n">
        <v>46326</v>
      </c>
      <c r="F6563" t="inlineStr">
        <is>
          <t>GÄVLEBORGS LÄN</t>
        </is>
      </c>
      <c r="G6563" t="inlineStr">
        <is>
          <t>BOLLNÄS</t>
        </is>
      </c>
      <c r="I6563" t="n">
        <v>1.4</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A 10895-2025</t>
        </is>
      </c>
      <c r="B6564" t="inlineStr">
        <is>
          <t>avverkningsanmälan</t>
        </is>
      </c>
      <c r="C6564" t="inlineStr">
        <is>
          <t>Föryngringsavverkning</t>
        </is>
      </c>
      <c r="D6564" s="1" t="n">
        <v>45722</v>
      </c>
      <c r="E6564" s="1" t="n">
        <v>46326</v>
      </c>
      <c r="F6564" t="inlineStr">
        <is>
          <t>GÄVLEBORGS LÄN</t>
        </is>
      </c>
      <c r="G6564" t="inlineStr">
        <is>
          <t>SANDVIKEN</t>
        </is>
      </c>
      <c r="I6564" t="n">
        <v>0.9</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A 4402-2025</t>
        </is>
      </c>
      <c r="B6565" t="inlineStr">
        <is>
          <t>avverkningsanmälan</t>
        </is>
      </c>
      <c r="C6565" t="inlineStr">
        <is>
          <t>Föryngringsavverkning</t>
        </is>
      </c>
      <c r="D6565" s="1" t="n">
        <v>45686</v>
      </c>
      <c r="E6565" s="1" t="n">
        <v>46326</v>
      </c>
      <c r="F6565" t="inlineStr">
        <is>
          <t>GÄVLEBORGS LÄN</t>
        </is>
      </c>
      <c r="G6565" t="inlineStr">
        <is>
          <t>GÄVLE</t>
        </is>
      </c>
      <c r="H6565" t="inlineStr">
        <is>
          <t>Bergvik skog öst AB</t>
        </is>
      </c>
      <c r="I6565" t="n">
        <v>4.8</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A 2189-2026</t>
        </is>
      </c>
      <c r="B6566" t="inlineStr">
        <is>
          <t>avverkningsanmälan</t>
        </is>
      </c>
      <c r="C6566" t="inlineStr">
        <is>
          <t>Föryngringsavverkning</t>
        </is>
      </c>
      <c r="D6566" s="1" t="n">
        <v>46036</v>
      </c>
      <c r="E6566" s="1" t="n">
        <v>46326</v>
      </c>
      <c r="F6566" t="inlineStr">
        <is>
          <t>GÄVLEBORGS LÄN</t>
        </is>
      </c>
      <c r="G6566" t="inlineStr">
        <is>
          <t>SANDVIKEN</t>
        </is>
      </c>
      <c r="I6566" t="n">
        <v>1.5</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A 1619-2026</t>
        </is>
      </c>
      <c r="B6567" t="inlineStr">
        <is>
          <t>avverkningsanmälan</t>
        </is>
      </c>
      <c r="C6567" t="inlineStr">
        <is>
          <t>Föryngringsavverkning</t>
        </is>
      </c>
      <c r="D6567" s="1" t="n">
        <v>46034</v>
      </c>
      <c r="E6567" s="1" t="n">
        <v>46326</v>
      </c>
      <c r="F6567" t="inlineStr">
        <is>
          <t>GÄVLEBORGS LÄN</t>
        </is>
      </c>
      <c r="G6567" t="inlineStr">
        <is>
          <t>OVANÅKER</t>
        </is>
      </c>
      <c r="I6567" t="n">
        <v>2.7</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A 64034-2025</t>
        </is>
      </c>
      <c r="B6568" t="inlineStr">
        <is>
          <t>avverkningsanmälan</t>
        </is>
      </c>
      <c r="C6568" t="inlineStr">
        <is>
          <t>Föryngringsavverkning</t>
        </is>
      </c>
      <c r="D6568" s="1" t="n">
        <v>46021</v>
      </c>
      <c r="E6568" s="1" t="n">
        <v>46326</v>
      </c>
      <c r="F6568" t="inlineStr">
        <is>
          <t>GÄVLEBORGS LÄN</t>
        </is>
      </c>
      <c r="G6568" t="inlineStr">
        <is>
          <t>NORDANSTIG</t>
        </is>
      </c>
      <c r="I6568" t="n">
        <v>1.7</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A 12004-2023</t>
        </is>
      </c>
      <c r="B6569" t="inlineStr">
        <is>
          <t>avverkningsanmälan</t>
        </is>
      </c>
      <c r="C6569" t="inlineStr">
        <is>
          <t>Föryngringsavverkning</t>
        </is>
      </c>
      <c r="D6569" s="1" t="n">
        <v>44995</v>
      </c>
      <c r="E6569" s="1" t="n">
        <v>46326</v>
      </c>
      <c r="F6569" t="inlineStr">
        <is>
          <t>GÄVLEBORGS LÄN</t>
        </is>
      </c>
      <c r="G6569" t="inlineStr">
        <is>
          <t>LJUSDAL</t>
        </is>
      </c>
      <c r="H6569" t="inlineStr">
        <is>
          <t>Holmen skog AB</t>
        </is>
      </c>
      <c r="I6569" t="n">
        <v>2.6</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A 5191-2025</t>
        </is>
      </c>
      <c r="B6570" t="inlineStr">
        <is>
          <t>avverkningsanmälan</t>
        </is>
      </c>
      <c r="C6570" t="inlineStr">
        <is>
          <t>Föryngringsavverkning</t>
        </is>
      </c>
      <c r="D6570" s="1" t="n">
        <v>45691</v>
      </c>
      <c r="E6570" s="1" t="n">
        <v>46326</v>
      </c>
      <c r="F6570" t="inlineStr">
        <is>
          <t>GÄVLEBORGS LÄN</t>
        </is>
      </c>
      <c r="G6570" t="inlineStr">
        <is>
          <t>HUDIKSVALL</t>
        </is>
      </c>
      <c r="I6570" t="n">
        <v>2.3</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A 9-2026</t>
        </is>
      </c>
      <c r="B6571" t="inlineStr">
        <is>
          <t>avverkningsanmälan</t>
        </is>
      </c>
      <c r="C6571" t="inlineStr">
        <is>
          <t>Föryngringsavverkning</t>
        </is>
      </c>
      <c r="D6571" s="1" t="n">
        <v>46023</v>
      </c>
      <c r="E6571" s="1" t="n">
        <v>46326</v>
      </c>
      <c r="F6571" t="inlineStr">
        <is>
          <t>GÄVLEBORGS LÄN</t>
        </is>
      </c>
      <c r="G6571" t="inlineStr">
        <is>
          <t>OVANÅKER</t>
        </is>
      </c>
      <c r="I6571" t="n">
        <v>1.3</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A 31899-2022</t>
        </is>
      </c>
      <c r="B6572" t="inlineStr">
        <is>
          <t>avverkningsanmälan</t>
        </is>
      </c>
      <c r="C6572" t="inlineStr">
        <is>
          <t>Föryngringsavverkning</t>
        </is>
      </c>
      <c r="D6572" s="1" t="n">
        <v>44777</v>
      </c>
      <c r="E6572" s="1" t="n">
        <v>46326</v>
      </c>
      <c r="F6572" t="inlineStr">
        <is>
          <t>GÄVLEBORGS LÄN</t>
        </is>
      </c>
      <c r="G6572" t="inlineStr">
        <is>
          <t>NORDANSTIG</t>
        </is>
      </c>
      <c r="H6572" t="inlineStr">
        <is>
          <t>Holmen skog AB</t>
        </is>
      </c>
      <c r="I6572" t="n">
        <v>1.1</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A 11164-2026</t>
        </is>
      </c>
      <c r="B6573" t="inlineStr">
        <is>
          <t>avverkningsanmälan</t>
        </is>
      </c>
      <c r="C6573" t="inlineStr">
        <is>
          <t>Föryngringsavverkning</t>
        </is>
      </c>
      <c r="D6573" s="1" t="n">
        <v>46080</v>
      </c>
      <c r="E6573" s="1" t="n">
        <v>46326</v>
      </c>
      <c r="F6573" t="inlineStr">
        <is>
          <t>GÄVLEBORGS LÄN</t>
        </is>
      </c>
      <c r="G6573" t="inlineStr">
        <is>
          <t>BOLLNÄS</t>
        </is>
      </c>
      <c r="I6573" t="n">
        <v>2</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A 10204-2026</t>
        </is>
      </c>
      <c r="B6574" t="inlineStr">
        <is>
          <t>avverkningsanmälan</t>
        </is>
      </c>
      <c r="C6574" t="inlineStr">
        <is>
          <t>Föryngringsavverkning</t>
        </is>
      </c>
      <c r="D6574" s="1" t="n">
        <v>46076</v>
      </c>
      <c r="E6574" s="1" t="n">
        <v>46326</v>
      </c>
      <c r="F6574" t="inlineStr">
        <is>
          <t>GÄVLEBORGS LÄN</t>
        </is>
      </c>
      <c r="G6574" t="inlineStr">
        <is>
          <t>BOLLNÄS</t>
        </is>
      </c>
      <c r="I6574" t="n">
        <v>7.1</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A 12227-2026</t>
        </is>
      </c>
      <c r="B6575" t="inlineStr">
        <is>
          <t>avverkningsanmälan</t>
        </is>
      </c>
      <c r="C6575" t="inlineStr">
        <is>
          <t>Föryngringsavverkning</t>
        </is>
      </c>
      <c r="D6575" s="1" t="n">
        <v>46087</v>
      </c>
      <c r="E6575" s="1" t="n">
        <v>46326</v>
      </c>
      <c r="F6575" t="inlineStr">
        <is>
          <t>GÄVLEBORGS LÄN</t>
        </is>
      </c>
      <c r="G6575" t="inlineStr">
        <is>
          <t>SÖDERHAMN</t>
        </is>
      </c>
      <c r="I6575" t="n">
        <v>1.8</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A 43070-2024</t>
        </is>
      </c>
      <c r="B6576" t="inlineStr">
        <is>
          <t>avverkningsanmälan</t>
        </is>
      </c>
      <c r="C6576" t="inlineStr">
        <is>
          <t>Föryngringsavverkning</t>
        </is>
      </c>
      <c r="D6576" s="1" t="n">
        <v>45567</v>
      </c>
      <c r="E6576" s="1" t="n">
        <v>46326</v>
      </c>
      <c r="F6576" t="inlineStr">
        <is>
          <t>GÄVLEBORGS LÄN</t>
        </is>
      </c>
      <c r="G6576" t="inlineStr">
        <is>
          <t>HUDIKSVALL</t>
        </is>
      </c>
      <c r="I6576" t="n">
        <v>3.7</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A 1392-2024</t>
        </is>
      </c>
      <c r="B6577" t="inlineStr">
        <is>
          <t>avverkningsanmälan</t>
        </is>
      </c>
      <c r="C6577" t="inlineStr">
        <is>
          <t>Föryngringsavverkning</t>
        </is>
      </c>
      <c r="D6577" s="1" t="n">
        <v>45303</v>
      </c>
      <c r="E6577" s="1" t="n">
        <v>46326</v>
      </c>
      <c r="F6577" t="inlineStr">
        <is>
          <t>GÄVLEBORGS LÄN</t>
        </is>
      </c>
      <c r="G6577" t="inlineStr">
        <is>
          <t>SANDVIKEN</t>
        </is>
      </c>
      <c r="I6577" t="n">
        <v>3</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A 20383-2025</t>
        </is>
      </c>
      <c r="B6578" t="inlineStr">
        <is>
          <t>avverkningsanmälan</t>
        </is>
      </c>
      <c r="C6578" t="inlineStr">
        <is>
          <t>Föryngringsavverkning</t>
        </is>
      </c>
      <c r="D6578" s="1" t="n">
        <v>45775</v>
      </c>
      <c r="E6578" s="1" t="n">
        <v>46326</v>
      </c>
      <c r="F6578" t="inlineStr">
        <is>
          <t>GÄVLEBORGS LÄN</t>
        </is>
      </c>
      <c r="G6578" t="inlineStr">
        <is>
          <t>HUDIKSVALL</t>
        </is>
      </c>
      <c r="I6578" t="n">
        <v>3.2</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A 25404-2025</t>
        </is>
      </c>
      <c r="B6579" t="inlineStr">
        <is>
          <t>avverkningsanmälan</t>
        </is>
      </c>
      <c r="C6579" t="inlineStr">
        <is>
          <t>Föryngringsavverkning</t>
        </is>
      </c>
      <c r="D6579" s="1" t="n">
        <v>45800</v>
      </c>
      <c r="E6579" s="1" t="n">
        <v>46326</v>
      </c>
      <c r="F6579" t="inlineStr">
        <is>
          <t>GÄVLEBORGS LÄN</t>
        </is>
      </c>
      <c r="G6579" t="inlineStr">
        <is>
          <t>OCKELBO</t>
        </is>
      </c>
      <c r="H6579" t="inlineStr">
        <is>
          <t>Bergvik skog väst AB</t>
        </is>
      </c>
      <c r="I6579" t="n">
        <v>11.1</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A 9697-2025</t>
        </is>
      </c>
      <c r="B6580" t="inlineStr">
        <is>
          <t>avverkningsanmälan</t>
        </is>
      </c>
      <c r="C6580" t="inlineStr">
        <is>
          <t>Föryngringsavverkning</t>
        </is>
      </c>
      <c r="D6580" s="1" t="n">
        <v>45716</v>
      </c>
      <c r="E6580" s="1" t="n">
        <v>46326</v>
      </c>
      <c r="F6580" t="inlineStr">
        <is>
          <t>GÄVLEBORGS LÄN</t>
        </is>
      </c>
      <c r="G6580" t="inlineStr">
        <is>
          <t>BOLLNÄS</t>
        </is>
      </c>
      <c r="I6580" t="n">
        <v>1.1</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A 12243-2026</t>
        </is>
      </c>
      <c r="B6581" t="inlineStr">
        <is>
          <t>avverkningsanmälan</t>
        </is>
      </c>
      <c r="C6581" t="inlineStr">
        <is>
          <t>Föryngringsavverkning</t>
        </is>
      </c>
      <c r="D6581" s="1" t="n">
        <v>46087</v>
      </c>
      <c r="E6581" s="1" t="n">
        <v>46326</v>
      </c>
      <c r="F6581" t="inlineStr">
        <is>
          <t>GÄVLEBORGS LÄN</t>
        </is>
      </c>
      <c r="G6581" t="inlineStr">
        <is>
          <t>BOLLNÄS</t>
        </is>
      </c>
      <c r="I6581" t="n">
        <v>2.5</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A 7339-2026</t>
        </is>
      </c>
      <c r="B6582" t="inlineStr">
        <is>
          <t>avverkningsanmälan</t>
        </is>
      </c>
      <c r="C6582" t="inlineStr">
        <is>
          <t>Föryngringsavverkning</t>
        </is>
      </c>
      <c r="D6582" s="1" t="n">
        <v>46058</v>
      </c>
      <c r="E6582" s="1" t="n">
        <v>46326</v>
      </c>
      <c r="F6582" t="inlineStr">
        <is>
          <t>GÄVLEBORGS LÄN</t>
        </is>
      </c>
      <c r="G6582" t="inlineStr">
        <is>
          <t>BOLLNÄS</t>
        </is>
      </c>
      <c r="I6582" t="n">
        <v>12.1</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A 14783-2026</t>
        </is>
      </c>
      <c r="B6583" t="inlineStr">
        <is>
          <t>avverkningsanmälan</t>
        </is>
      </c>
      <c r="C6583" t="inlineStr">
        <is>
          <t>Föryngringsavverkning</t>
        </is>
      </c>
      <c r="D6583" s="1" t="n">
        <v>46101</v>
      </c>
      <c r="E6583" s="1" t="n">
        <v>46326</v>
      </c>
      <c r="F6583" t="inlineStr">
        <is>
          <t>GÄVLEBORGS LÄN</t>
        </is>
      </c>
      <c r="G6583" t="inlineStr">
        <is>
          <t>BOLLNÄS</t>
        </is>
      </c>
      <c r="I6583" t="n">
        <v>8</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A 50537-2025</t>
        </is>
      </c>
      <c r="B6584" t="inlineStr">
        <is>
          <t>avverkningsanmälan</t>
        </is>
      </c>
      <c r="C6584" t="inlineStr">
        <is>
          <t>Föryngringsavverkning</t>
        </is>
      </c>
      <c r="D6584" s="1" t="n">
        <v>45945</v>
      </c>
      <c r="E6584" s="1" t="n">
        <v>46326</v>
      </c>
      <c r="F6584" t="inlineStr">
        <is>
          <t>GÄVLEBORGS LÄN</t>
        </is>
      </c>
      <c r="G6584" t="inlineStr">
        <is>
          <t>GÄVLE</t>
        </is>
      </c>
      <c r="I6584" t="n">
        <v>4.4</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A 2811-2026</t>
        </is>
      </c>
      <c r="B6585" t="inlineStr">
        <is>
          <t>avverkningsanmälan</t>
        </is>
      </c>
      <c r="C6585" t="inlineStr">
        <is>
          <t>Föryngringsavverkning</t>
        </is>
      </c>
      <c r="D6585" s="1" t="n">
        <v>46038</v>
      </c>
      <c r="E6585" s="1" t="n">
        <v>46326</v>
      </c>
      <c r="F6585" t="inlineStr">
        <is>
          <t>GÄVLEBORGS LÄN</t>
        </is>
      </c>
      <c r="G6585" t="inlineStr">
        <is>
          <t>BOLLNÄS</t>
        </is>
      </c>
      <c r="I6585" t="n">
        <v>8.6</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A 7341-2026</t>
        </is>
      </c>
      <c r="B6586" t="inlineStr">
        <is>
          <t>avverkningsanmälan</t>
        </is>
      </c>
      <c r="C6586" t="inlineStr">
        <is>
          <t>Föryngringsavverkning</t>
        </is>
      </c>
      <c r="D6586" s="1" t="n">
        <v>46058</v>
      </c>
      <c r="E6586" s="1" t="n">
        <v>46326</v>
      </c>
      <c r="F6586" t="inlineStr">
        <is>
          <t>GÄVLEBORGS LÄN</t>
        </is>
      </c>
      <c r="G6586" t="inlineStr">
        <is>
          <t>SÖDERHAMN</t>
        </is>
      </c>
      <c r="I6586" t="n">
        <v>3.3</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A 3782-2026</t>
        </is>
      </c>
      <c r="B6587" t="inlineStr">
        <is>
          <t>avverkningsanmälan</t>
        </is>
      </c>
      <c r="C6587" t="inlineStr">
        <is>
          <t>Föryngringsavverkning</t>
        </is>
      </c>
      <c r="D6587" s="1" t="n">
        <v>46043</v>
      </c>
      <c r="E6587" s="1" t="n">
        <v>46326</v>
      </c>
      <c r="F6587" t="inlineStr">
        <is>
          <t>GÄVLEBORGS LÄN</t>
        </is>
      </c>
      <c r="G6587" t="inlineStr">
        <is>
          <t>OVANÅKER</t>
        </is>
      </c>
      <c r="I6587" t="n">
        <v>3.9</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A 5234-2026</t>
        </is>
      </c>
      <c r="B6588" t="inlineStr">
        <is>
          <t>avverkningsanmälan</t>
        </is>
      </c>
      <c r="C6588" t="inlineStr">
        <is>
          <t>Föryngringsavverkning</t>
        </is>
      </c>
      <c r="D6588" s="1" t="n">
        <v>46049</v>
      </c>
      <c r="E6588" s="1" t="n">
        <v>46326</v>
      </c>
      <c r="F6588" t="inlineStr">
        <is>
          <t>GÄVLEBORGS LÄN</t>
        </is>
      </c>
      <c r="G6588" t="inlineStr">
        <is>
          <t>OCKELBO</t>
        </is>
      </c>
      <c r="H6588" t="inlineStr">
        <is>
          <t>Bergvik skog väst AB</t>
        </is>
      </c>
      <c r="I6588" t="n">
        <v>17.1</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A 15542-2026</t>
        </is>
      </c>
      <c r="B6589" t="inlineStr">
        <is>
          <t>avverkningsanmälan</t>
        </is>
      </c>
      <c r="C6589" t="inlineStr">
        <is>
          <t>Föryngringsavverkning</t>
        </is>
      </c>
      <c r="D6589" s="1" t="n">
        <v>46106</v>
      </c>
      <c r="E6589" s="1" t="n">
        <v>46326</v>
      </c>
      <c r="F6589" t="inlineStr">
        <is>
          <t>GÄVLEBORGS LÄN</t>
        </is>
      </c>
      <c r="G6589" t="inlineStr">
        <is>
          <t>OCKELBO</t>
        </is>
      </c>
      <c r="H6589" t="inlineStr">
        <is>
          <t>Bergvik skog väst AB</t>
        </is>
      </c>
      <c r="I6589" t="n">
        <v>4.9</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A 31356-2022</t>
        </is>
      </c>
      <c r="B6590" t="inlineStr">
        <is>
          <t>avverkningsanmälan</t>
        </is>
      </c>
      <c r="C6590" t="inlineStr">
        <is>
          <t>Föryngringsavverkning</t>
        </is>
      </c>
      <c r="D6590" s="1" t="n">
        <v>44774</v>
      </c>
      <c r="E6590" s="1" t="n">
        <v>46326</v>
      </c>
      <c r="F6590" t="inlineStr">
        <is>
          <t>GÄVLEBORGS LÄN</t>
        </is>
      </c>
      <c r="G6590" t="inlineStr">
        <is>
          <t>OVANÅKER</t>
        </is>
      </c>
      <c r="H6590" t="inlineStr">
        <is>
          <t>Bergvik skog väst AB</t>
        </is>
      </c>
      <c r="I6590" t="n">
        <v>5.8</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A 36257-2024</t>
        </is>
      </c>
      <c r="B6591" t="inlineStr">
        <is>
          <t>avverkningsanmälan</t>
        </is>
      </c>
      <c r="C6591" t="inlineStr">
        <is>
          <t>Avverkning för annat ändamål</t>
        </is>
      </c>
      <c r="D6591" s="1" t="n">
        <v>45534</v>
      </c>
      <c r="E6591" s="1" t="n">
        <v>46326</v>
      </c>
      <c r="F6591" t="inlineStr">
        <is>
          <t>GÄVLEBORGS LÄN</t>
        </is>
      </c>
      <c r="G6591" t="inlineStr">
        <is>
          <t>OVANÅKER</t>
        </is>
      </c>
      <c r="I6591" t="n">
        <v>0.4</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A 44844-2025</t>
        </is>
      </c>
      <c r="B6592" t="inlineStr">
        <is>
          <t>avverkningsanmälan</t>
        </is>
      </c>
      <c r="C6592" t="inlineStr">
        <is>
          <t>Föryngringsavverkning</t>
        </is>
      </c>
      <c r="D6592" s="1" t="n">
        <v>45918</v>
      </c>
      <c r="E6592" s="1" t="n">
        <v>46326</v>
      </c>
      <c r="F6592" t="inlineStr">
        <is>
          <t>GÄVLEBORGS LÄN</t>
        </is>
      </c>
      <c r="G6592" t="inlineStr">
        <is>
          <t>LJUSDAL</t>
        </is>
      </c>
      <c r="I6592" t="n">
        <v>1.3</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A 55713-2024</t>
        </is>
      </c>
      <c r="B6593" t="inlineStr">
        <is>
          <t>avverkningsanmälan</t>
        </is>
      </c>
      <c r="C6593" t="inlineStr">
        <is>
          <t>Föryngringsavverkning</t>
        </is>
      </c>
      <c r="D6593" s="1" t="n">
        <v>45622</v>
      </c>
      <c r="E6593" s="1" t="n">
        <v>46326</v>
      </c>
      <c r="F6593" t="inlineStr">
        <is>
          <t>GÄVLEBORGS LÄN</t>
        </is>
      </c>
      <c r="G6593" t="inlineStr">
        <is>
          <t>SÖDERHAMN</t>
        </is>
      </c>
      <c r="I6593" t="n">
        <v>4.5</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A 55715-2024</t>
        </is>
      </c>
      <c r="B6594" t="inlineStr">
        <is>
          <t>avverkningsanmälan</t>
        </is>
      </c>
      <c r="C6594" t="inlineStr">
        <is>
          <t>Föryngringsavverkning</t>
        </is>
      </c>
      <c r="D6594" s="1" t="n">
        <v>45622</v>
      </c>
      <c r="E6594" s="1" t="n">
        <v>46326</v>
      </c>
      <c r="F6594" t="inlineStr">
        <is>
          <t>GÄVLEBORGS LÄN</t>
        </is>
      </c>
      <c r="G6594" t="inlineStr">
        <is>
          <t>SÖDERHAMN</t>
        </is>
      </c>
      <c r="I6594" t="n">
        <v>1.6</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A 6052-2026</t>
        </is>
      </c>
      <c r="B6595" t="inlineStr">
        <is>
          <t>avverkningsanmälan</t>
        </is>
      </c>
      <c r="C6595" t="inlineStr">
        <is>
          <t>Föryngringsavverkning</t>
        </is>
      </c>
      <c r="D6595" s="1" t="n">
        <v>46052</v>
      </c>
      <c r="E6595" s="1" t="n">
        <v>46326</v>
      </c>
      <c r="F6595" t="inlineStr">
        <is>
          <t>GÄVLEBORGS LÄN</t>
        </is>
      </c>
      <c r="G6595" t="inlineStr">
        <is>
          <t>BOLLNÄS</t>
        </is>
      </c>
      <c r="I6595" t="n">
        <v>9</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A 6850-2026</t>
        </is>
      </c>
      <c r="B6596" t="inlineStr">
        <is>
          <t>avverkningsanmälan</t>
        </is>
      </c>
      <c r="C6596" t="inlineStr">
        <is>
          <t>Föryngringsavverkning</t>
        </is>
      </c>
      <c r="D6596" s="1" t="n">
        <v>46057</v>
      </c>
      <c r="E6596" s="1" t="n">
        <v>46326</v>
      </c>
      <c r="F6596" t="inlineStr">
        <is>
          <t>GÄVLEBORGS LÄN</t>
        </is>
      </c>
      <c r="G6596" t="inlineStr">
        <is>
          <t>BOLLNÄS</t>
        </is>
      </c>
      <c r="I6596" t="n">
        <v>3.8</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A 50742-2025</t>
        </is>
      </c>
      <c r="B6597" t="inlineStr">
        <is>
          <t>avverkningsanmälan</t>
        </is>
      </c>
      <c r="C6597" t="inlineStr">
        <is>
          <t>Föryngringsavverkning</t>
        </is>
      </c>
      <c r="D6597" s="1" t="n">
        <v>45946</v>
      </c>
      <c r="E6597" s="1" t="n">
        <v>46326</v>
      </c>
      <c r="F6597" t="inlineStr">
        <is>
          <t>GÄVLEBORGS LÄN</t>
        </is>
      </c>
      <c r="G6597" t="inlineStr">
        <is>
          <t>OCKELBO</t>
        </is>
      </c>
      <c r="H6597" t="inlineStr">
        <is>
          <t>Bergvik skog väst AB</t>
        </is>
      </c>
      <c r="I6597" t="n">
        <v>4.3</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A 40196-2024</t>
        </is>
      </c>
      <c r="B6598" t="inlineStr">
        <is>
          <t>avverkningsanmälan</t>
        </is>
      </c>
      <c r="C6598" t="inlineStr">
        <is>
          <t>Föryngringsavverkning</t>
        </is>
      </c>
      <c r="D6598" s="1" t="n">
        <v>45554</v>
      </c>
      <c r="E6598" s="1" t="n">
        <v>46326</v>
      </c>
      <c r="F6598" t="inlineStr">
        <is>
          <t>GÄVLEBORGS LÄN</t>
        </is>
      </c>
      <c r="G6598" t="inlineStr">
        <is>
          <t>OCKELBO</t>
        </is>
      </c>
      <c r="H6598" t="inlineStr">
        <is>
          <t>Bergvik skog väst AB</t>
        </is>
      </c>
      <c r="I6598" t="n">
        <v>1.3</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A 7878-2026</t>
        </is>
      </c>
      <c r="B6599" t="inlineStr">
        <is>
          <t>avverkningsanmälan</t>
        </is>
      </c>
      <c r="C6599" t="inlineStr">
        <is>
          <t>Föryngringsavverkning</t>
        </is>
      </c>
      <c r="D6599" s="1" t="n">
        <v>46063</v>
      </c>
      <c r="E6599" s="1" t="n">
        <v>46326</v>
      </c>
      <c r="F6599" t="inlineStr">
        <is>
          <t>GÄVLEBORGS LÄN</t>
        </is>
      </c>
      <c r="G6599" t="inlineStr">
        <is>
          <t>BOLLNÄS</t>
        </is>
      </c>
      <c r="I6599" t="n">
        <v>2</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A 13667-2023</t>
        </is>
      </c>
      <c r="B6600" t="inlineStr">
        <is>
          <t>avverkningsanmälan</t>
        </is>
      </c>
      <c r="C6600" t="inlineStr">
        <is>
          <t>Föryngringsavverkning</t>
        </is>
      </c>
      <c r="D6600" s="1" t="n">
        <v>45006</v>
      </c>
      <c r="E6600" s="1" t="n">
        <v>46326</v>
      </c>
      <c r="F6600" t="inlineStr">
        <is>
          <t>GÄVLEBORGS LÄN</t>
        </is>
      </c>
      <c r="G6600" t="inlineStr">
        <is>
          <t>LJUSDAL</t>
        </is>
      </c>
      <c r="I6600" t="n">
        <v>1.1</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A 12551-2026</t>
        </is>
      </c>
      <c r="B6601" t="inlineStr">
        <is>
          <t>avverkningsanmälan</t>
        </is>
      </c>
      <c r="C6601" t="inlineStr">
        <is>
          <t>Föryngringsavverkning</t>
        </is>
      </c>
      <c r="D6601" s="1" t="n">
        <v>46090</v>
      </c>
      <c r="E6601" s="1" t="n">
        <v>46326</v>
      </c>
      <c r="F6601" t="inlineStr">
        <is>
          <t>GÄVLEBORGS LÄN</t>
        </is>
      </c>
      <c r="G6601" t="inlineStr">
        <is>
          <t>HUDIKSVALL</t>
        </is>
      </c>
      <c r="H6601" t="inlineStr">
        <is>
          <t>Holmen skog AB</t>
        </is>
      </c>
      <c r="I6601" t="n">
        <v>2.9</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A 42822-2025</t>
        </is>
      </c>
      <c r="B6602" t="inlineStr">
        <is>
          <t>avverkningsanmälan</t>
        </is>
      </c>
      <c r="C6602" t="inlineStr">
        <is>
          <t>Föryngringsavverkning</t>
        </is>
      </c>
      <c r="D6602" s="1" t="n">
        <v>45908</v>
      </c>
      <c r="E6602" s="1" t="n">
        <v>46326</v>
      </c>
      <c r="F6602" t="inlineStr">
        <is>
          <t>GÄVLEBORGS LÄN</t>
        </is>
      </c>
      <c r="G6602" t="inlineStr">
        <is>
          <t>LJUSDAL</t>
        </is>
      </c>
      <c r="I6602" t="n">
        <v>3.7</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A 15801-2026</t>
        </is>
      </c>
      <c r="B6603" t="inlineStr">
        <is>
          <t>avverkningsanmälan</t>
        </is>
      </c>
      <c r="C6603" t="inlineStr">
        <is>
          <t>Föryngringsavverkning</t>
        </is>
      </c>
      <c r="D6603" s="1" t="n">
        <v>46107</v>
      </c>
      <c r="E6603" s="1" t="n">
        <v>46326</v>
      </c>
      <c r="F6603" t="inlineStr">
        <is>
          <t>GÄVLEBORGS LÄN</t>
        </is>
      </c>
      <c r="G6603" t="inlineStr">
        <is>
          <t>GÄVLE</t>
        </is>
      </c>
      <c r="H6603" t="inlineStr">
        <is>
          <t>Bergvik skog öst AB</t>
        </is>
      </c>
      <c r="I6603" t="n">
        <v>4.1</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A 15858-2026</t>
        </is>
      </c>
      <c r="B6604" t="inlineStr">
        <is>
          <t>avverkningsanmälan</t>
        </is>
      </c>
      <c r="C6604" t="inlineStr">
        <is>
          <t>Föryngringsavverkning</t>
        </is>
      </c>
      <c r="D6604" s="1" t="n">
        <v>46107</v>
      </c>
      <c r="E6604" s="1" t="n">
        <v>46326</v>
      </c>
      <c r="F6604" t="inlineStr">
        <is>
          <t>GÄVLEBORGS LÄN</t>
        </is>
      </c>
      <c r="G6604" t="inlineStr">
        <is>
          <t>BOLLNÄS</t>
        </is>
      </c>
      <c r="H6604" t="inlineStr">
        <is>
          <t>Bergvik skog väst AB</t>
        </is>
      </c>
      <c r="I6604" t="n">
        <v>6.4</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A 42657-2024</t>
        </is>
      </c>
      <c r="B6605" t="inlineStr">
        <is>
          <t>avverkningsanmälan</t>
        </is>
      </c>
      <c r="C6605" t="inlineStr">
        <is>
          <t>Föryngringsavverkning</t>
        </is>
      </c>
      <c r="D6605" s="1" t="n">
        <v>45566</v>
      </c>
      <c r="E6605" s="1" t="n">
        <v>46326</v>
      </c>
      <c r="F6605" t="inlineStr">
        <is>
          <t>GÄVLEBORGS LÄN</t>
        </is>
      </c>
      <c r="G6605" t="inlineStr">
        <is>
          <t>HUDIKSVALL</t>
        </is>
      </c>
      <c r="H6605" t="inlineStr">
        <is>
          <t>Holmen skog AB</t>
        </is>
      </c>
      <c r="I6605" t="n">
        <v>10</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A 13116-2023</t>
        </is>
      </c>
      <c r="B6606" t="inlineStr">
        <is>
          <t>avverkningsanmälan</t>
        </is>
      </c>
      <c r="C6606" t="inlineStr">
        <is>
          <t>Föryngringsavverkning</t>
        </is>
      </c>
      <c r="D6606" s="1" t="n">
        <v>45002</v>
      </c>
      <c r="E6606" s="1" t="n">
        <v>46326</v>
      </c>
      <c r="F6606" t="inlineStr">
        <is>
          <t>GÄVLEBORGS LÄN</t>
        </is>
      </c>
      <c r="G6606" t="inlineStr">
        <is>
          <t>LJUSDAL</t>
        </is>
      </c>
      <c r="H6606" t="inlineStr">
        <is>
          <t>Allmännings- och besparingsskogar</t>
        </is>
      </c>
      <c r="I6606" t="n">
        <v>8.800000000000001</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A 42796-2024</t>
        </is>
      </c>
      <c r="B6607" t="inlineStr">
        <is>
          <t>avverkningsanmälan</t>
        </is>
      </c>
      <c r="C6607" t="inlineStr">
        <is>
          <t>Föryngringsavverkning</t>
        </is>
      </c>
      <c r="D6607" s="1" t="n">
        <v>45566</v>
      </c>
      <c r="E6607" s="1" t="n">
        <v>46326</v>
      </c>
      <c r="F6607" t="inlineStr">
        <is>
          <t>GÄVLEBORGS LÄN</t>
        </is>
      </c>
      <c r="G6607" t="inlineStr">
        <is>
          <t>NORDANSTIG</t>
        </is>
      </c>
      <c r="I6607" t="n">
        <v>4.4</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A 43121-2023</t>
        </is>
      </c>
      <c r="B6608" t="inlineStr">
        <is>
          <t>avverkningsanmälan</t>
        </is>
      </c>
      <c r="C6608" t="inlineStr">
        <is>
          <t>Föryngringsavverkning</t>
        </is>
      </c>
      <c r="D6608" s="1" t="n">
        <v>45182</v>
      </c>
      <c r="E6608" s="1" t="n">
        <v>46326</v>
      </c>
      <c r="F6608" t="inlineStr">
        <is>
          <t>GÄVLEBORGS LÄN</t>
        </is>
      </c>
      <c r="G6608" t="inlineStr">
        <is>
          <t>LJUSDAL</t>
        </is>
      </c>
      <c r="H6608" t="inlineStr">
        <is>
          <t>SCA</t>
        </is>
      </c>
      <c r="I6608" t="n">
        <v>7.6</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A 42409-2025</t>
        </is>
      </c>
      <c r="B6609" t="inlineStr">
        <is>
          <t>avverkningsanmälan</t>
        </is>
      </c>
      <c r="C6609" t="inlineStr">
        <is>
          <t>Föryngringsavverkning</t>
        </is>
      </c>
      <c r="D6609" s="1" t="n">
        <v>45905</v>
      </c>
      <c r="E6609" s="1" t="n">
        <v>46326</v>
      </c>
      <c r="F6609" t="inlineStr">
        <is>
          <t>GÄVLEBORGS LÄN</t>
        </is>
      </c>
      <c r="G6609" t="inlineStr">
        <is>
          <t>SÖDERHAMN</t>
        </is>
      </c>
      <c r="I6609" t="n">
        <v>2.1</v>
      </c>
      <c r="J6609" t="n">
        <v>0</v>
      </c>
      <c r="K6609" t="n">
        <v>0</v>
      </c>
      <c r="L6609" t="n">
        <v>0</v>
      </c>
      <c r="M6609" t="n">
        <v>0</v>
      </c>
      <c r="N6609" t="n">
        <v>0</v>
      </c>
      <c r="O6609" t="n">
        <v>0</v>
      </c>
      <c r="P6609" t="n">
        <v>0</v>
      </c>
      <c r="Q6609" t="n">
        <v>0</v>
      </c>
      <c r="R6609" t="n">
        <v>0</v>
      </c>
      <c r="S6609" t="n">
        <v>0</v>
      </c>
      <c r="T6609" t="n">
        <v>0</v>
      </c>
      <c r="U6609" t="n">
        <v>0</v>
      </c>
      <c r="V6609" s="2" t="inlineStr"/>
    </row>
    <row r="6610" ht="15" customHeight="1">
      <c r="A6610" t="inlineStr">
        <is>
          <t>A 15694-2022</t>
        </is>
      </c>
      <c r="B6610" t="inlineStr">
        <is>
          <t>avverkningsanmälan</t>
        </is>
      </c>
      <c r="C6610" t="inlineStr">
        <is>
          <t>Föryngringsavverkning</t>
        </is>
      </c>
      <c r="D6610" s="1" t="n">
        <v>44663</v>
      </c>
      <c r="E6610" s="1" t="n">
        <v>46326</v>
      </c>
      <c r="F6610" t="inlineStr">
        <is>
          <t>GÄVLEBORGS LÄN</t>
        </is>
      </c>
      <c r="G6610" t="inlineStr">
        <is>
          <t>OCKELBO</t>
        </is>
      </c>
      <c r="H6610" t="inlineStr">
        <is>
          <t>Bergvik skog väst AB</t>
        </is>
      </c>
      <c r="I6610" t="n">
        <v>2.5</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A 17853-2025</t>
        </is>
      </c>
      <c r="B6611" t="inlineStr">
        <is>
          <t>avverkningsanmälan</t>
        </is>
      </c>
      <c r="C6611" t="inlineStr">
        <is>
          <t>Föryngringsavverkning</t>
        </is>
      </c>
      <c r="D6611" s="1" t="n">
        <v>45758</v>
      </c>
      <c r="E6611" s="1" t="n">
        <v>46326</v>
      </c>
      <c r="F6611" t="inlineStr">
        <is>
          <t>GÄVLEBORGS LÄN</t>
        </is>
      </c>
      <c r="G6611" t="inlineStr">
        <is>
          <t>NORDANSTIG</t>
        </is>
      </c>
      <c r="H6611" t="inlineStr">
        <is>
          <t>Holmen skog AB</t>
        </is>
      </c>
      <c r="I6611" t="n">
        <v>2.8</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A 42949-2023</t>
        </is>
      </c>
      <c r="B6612" t="inlineStr">
        <is>
          <t>avverkningsanmälan</t>
        </is>
      </c>
      <c r="C6612" t="inlineStr">
        <is>
          <t>Föryngringsavverkning</t>
        </is>
      </c>
      <c r="D6612" s="1" t="n">
        <v>45182</v>
      </c>
      <c r="E6612" s="1" t="n">
        <v>46326</v>
      </c>
      <c r="F6612" t="inlineStr">
        <is>
          <t>GÄVLEBORGS LÄN</t>
        </is>
      </c>
      <c r="G6612" t="inlineStr">
        <is>
          <t>LJUSDAL</t>
        </is>
      </c>
      <c r="I6612" t="n">
        <v>10.4</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A 20282-2026</t>
        </is>
      </c>
      <c r="B6613" t="inlineStr">
        <is>
          <t>avverkningsanmälan</t>
        </is>
      </c>
      <c r="C6613" t="inlineStr">
        <is>
          <t>Föryngringsavverkning</t>
        </is>
      </c>
      <c r="D6613" s="1" t="n">
        <v>46139</v>
      </c>
      <c r="E6613" s="1" t="n">
        <v>46326</v>
      </c>
      <c r="F6613" t="inlineStr">
        <is>
          <t>GÄVLEBORGS LÄN</t>
        </is>
      </c>
      <c r="G6613" t="inlineStr">
        <is>
          <t>BOLLNÄS</t>
        </is>
      </c>
      <c r="I6613" t="n">
        <v>0.7</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A 50791-2024</t>
        </is>
      </c>
      <c r="B6614" t="inlineStr">
        <is>
          <t>avverkningsanmälan</t>
        </is>
      </c>
      <c r="C6614" t="inlineStr">
        <is>
          <t>Föryngringsavverkning</t>
        </is>
      </c>
      <c r="D6614" s="1" t="n">
        <v>45602</v>
      </c>
      <c r="E6614" s="1" t="n">
        <v>46326</v>
      </c>
      <c r="F6614" t="inlineStr">
        <is>
          <t>GÄVLEBORGS LÄN</t>
        </is>
      </c>
      <c r="G6614" t="inlineStr">
        <is>
          <t>OVANÅKER</t>
        </is>
      </c>
      <c r="I6614" t="n">
        <v>0.5</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A 4269-2026</t>
        </is>
      </c>
      <c r="B6615" t="inlineStr">
        <is>
          <t>avverkningsanmälan</t>
        </is>
      </c>
      <c r="C6615" t="inlineStr">
        <is>
          <t>Föryngringsavverkning</t>
        </is>
      </c>
      <c r="D6615" s="1" t="n">
        <v>46045</v>
      </c>
      <c r="E6615" s="1" t="n">
        <v>46326</v>
      </c>
      <c r="F6615" t="inlineStr">
        <is>
          <t>GÄVLEBORGS LÄN</t>
        </is>
      </c>
      <c r="G6615" t="inlineStr">
        <is>
          <t>OVANÅKER</t>
        </is>
      </c>
      <c r="I6615" t="n">
        <v>2.1</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A 50842-2024</t>
        </is>
      </c>
      <c r="B6616" t="inlineStr">
        <is>
          <t>avverkningsanmälan</t>
        </is>
      </c>
      <c r="C6616" t="inlineStr">
        <is>
          <t>Föryngringsavverkning</t>
        </is>
      </c>
      <c r="D6616" s="1" t="n">
        <v>45602</v>
      </c>
      <c r="E6616" s="1" t="n">
        <v>46326</v>
      </c>
      <c r="F6616" t="inlineStr">
        <is>
          <t>GÄVLEBORGS LÄN</t>
        </is>
      </c>
      <c r="G6616" t="inlineStr">
        <is>
          <t>SÖDERHAMN</t>
        </is>
      </c>
      <c r="I6616" t="n">
        <v>0.5</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A 51797-2023</t>
        </is>
      </c>
      <c r="B6617" t="inlineStr">
        <is>
          <t>avverkningsanmälan</t>
        </is>
      </c>
      <c r="C6617" t="inlineStr">
        <is>
          <t>Föryngringsavverkning</t>
        </is>
      </c>
      <c r="D6617" s="1" t="n">
        <v>45222</v>
      </c>
      <c r="E6617" s="1" t="n">
        <v>46326</v>
      </c>
      <c r="F6617" t="inlineStr">
        <is>
          <t>GÄVLEBORGS LÄN</t>
        </is>
      </c>
      <c r="G6617" t="inlineStr">
        <is>
          <t>BOLLNÄS</t>
        </is>
      </c>
      <c r="I6617" t="n">
        <v>1.6</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A 2528-2025</t>
        </is>
      </c>
      <c r="B6618" t="inlineStr">
        <is>
          <t>avverkningsanmälan</t>
        </is>
      </c>
      <c r="C6618" t="inlineStr">
        <is>
          <t>Föryngringsavverkning</t>
        </is>
      </c>
      <c r="D6618" s="1" t="n">
        <v>45674</v>
      </c>
      <c r="E6618" s="1" t="n">
        <v>46326</v>
      </c>
      <c r="F6618" t="inlineStr">
        <is>
          <t>GÄVLEBORGS LÄN</t>
        </is>
      </c>
      <c r="G6618" t="inlineStr">
        <is>
          <t>HUDIKSVALL</t>
        </is>
      </c>
      <c r="I6618" t="n">
        <v>3.5</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A 2373-2025</t>
        </is>
      </c>
      <c r="B6619" t="inlineStr">
        <is>
          <t>avverkningsanmälan</t>
        </is>
      </c>
      <c r="C6619" t="inlineStr">
        <is>
          <t>Föryngringsavverkning</t>
        </is>
      </c>
      <c r="D6619" s="1" t="n">
        <v>45673</v>
      </c>
      <c r="E6619" s="1" t="n">
        <v>46326</v>
      </c>
      <c r="F6619" t="inlineStr">
        <is>
          <t>GÄVLEBORGS LÄN</t>
        </is>
      </c>
      <c r="G6619" t="inlineStr">
        <is>
          <t>GÄVLE</t>
        </is>
      </c>
      <c r="I6619" t="n">
        <v>1.2</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A 2374-2025</t>
        </is>
      </c>
      <c r="B6620" t="inlineStr">
        <is>
          <t>avverkningsanmälan</t>
        </is>
      </c>
      <c r="C6620" t="inlineStr">
        <is>
          <t>Föryngringsavverkning</t>
        </is>
      </c>
      <c r="D6620" s="1" t="n">
        <v>45673</v>
      </c>
      <c r="E6620" s="1" t="n">
        <v>46326</v>
      </c>
      <c r="F6620" t="inlineStr">
        <is>
          <t>GÄVLEBORGS LÄN</t>
        </is>
      </c>
      <c r="G6620" t="inlineStr">
        <is>
          <t>GÄVLE</t>
        </is>
      </c>
      <c r="I6620" t="n">
        <v>3.6</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A 15147-2023</t>
        </is>
      </c>
      <c r="B6621" t="inlineStr">
        <is>
          <t>avverkningsanmälan</t>
        </is>
      </c>
      <c r="C6621" t="inlineStr">
        <is>
          <t>Föryngringsavverkning</t>
        </is>
      </c>
      <c r="D6621" s="1" t="n">
        <v>45016</v>
      </c>
      <c r="E6621" s="1" t="n">
        <v>46326</v>
      </c>
      <c r="F6621" t="inlineStr">
        <is>
          <t>GÄVLEBORGS LÄN</t>
        </is>
      </c>
      <c r="G6621" t="inlineStr">
        <is>
          <t>BOLLNÄS</t>
        </is>
      </c>
      <c r="I6621" t="n">
        <v>3.1</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A 19623-2026</t>
        </is>
      </c>
      <c r="B6622" t="inlineStr">
        <is>
          <t>avverkningsanmälan</t>
        </is>
      </c>
      <c r="C6622" t="inlineStr">
        <is>
          <t>Föryngringsavverkning</t>
        </is>
      </c>
      <c r="D6622" s="1" t="n">
        <v>46134</v>
      </c>
      <c r="E6622" s="1" t="n">
        <v>46326</v>
      </c>
      <c r="F6622" t="inlineStr">
        <is>
          <t>GÄVLEBORGS LÄN</t>
        </is>
      </c>
      <c r="G6622" t="inlineStr">
        <is>
          <t>BOLLNÄS</t>
        </is>
      </c>
      <c r="I6622" t="n">
        <v>1.3</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A 49209-2024</t>
        </is>
      </c>
      <c r="B6623" t="inlineStr">
        <is>
          <t>avverkningsanmälan</t>
        </is>
      </c>
      <c r="C6623" t="inlineStr">
        <is>
          <t>Föryngringsavverkning</t>
        </is>
      </c>
      <c r="D6623" s="1" t="n">
        <v>45595</v>
      </c>
      <c r="E6623" s="1" t="n">
        <v>46326</v>
      </c>
      <c r="F6623" t="inlineStr">
        <is>
          <t>GÄVLEBORGS LÄN</t>
        </is>
      </c>
      <c r="G6623" t="inlineStr">
        <is>
          <t>SANDVIKEN</t>
        </is>
      </c>
      <c r="I6623" t="n">
        <v>5.2</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A 14623-2023</t>
        </is>
      </c>
      <c r="B6624" t="inlineStr">
        <is>
          <t>avverkningsanmälan</t>
        </is>
      </c>
      <c r="C6624" t="inlineStr">
        <is>
          <t>Föryngringsavverkning</t>
        </is>
      </c>
      <c r="D6624" s="1" t="n">
        <v>45013</v>
      </c>
      <c r="E6624" s="1" t="n">
        <v>46326</v>
      </c>
      <c r="F6624" t="inlineStr">
        <is>
          <t>GÄVLEBORGS LÄN</t>
        </is>
      </c>
      <c r="G6624" t="inlineStr">
        <is>
          <t>BOLLNÄS</t>
        </is>
      </c>
      <c r="I6624" t="n">
        <v>5.3</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A 46316-2025</t>
        </is>
      </c>
      <c r="B6625" t="inlineStr">
        <is>
          <t>avverkningsanmälan</t>
        </is>
      </c>
      <c r="C6625" t="inlineStr">
        <is>
          <t>Föryngringsavverkning</t>
        </is>
      </c>
      <c r="D6625" s="1" t="n">
        <v>45925</v>
      </c>
      <c r="E6625" s="1" t="n">
        <v>46326</v>
      </c>
      <c r="F6625" t="inlineStr">
        <is>
          <t>GÄVLEBORGS LÄN</t>
        </is>
      </c>
      <c r="G6625" t="inlineStr">
        <is>
          <t>OCKELBO</t>
        </is>
      </c>
      <c r="H6625" t="inlineStr">
        <is>
          <t>Bergvik skog väst AB</t>
        </is>
      </c>
      <c r="I6625" t="n">
        <v>5.4</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A 50637-2025</t>
        </is>
      </c>
      <c r="B6626" t="inlineStr">
        <is>
          <t>avverkningsanmälan</t>
        </is>
      </c>
      <c r="C6626" t="inlineStr">
        <is>
          <t>Föryngringsavverkning</t>
        </is>
      </c>
      <c r="D6626" s="1" t="n">
        <v>45945</v>
      </c>
      <c r="E6626" s="1" t="n">
        <v>46326</v>
      </c>
      <c r="F6626" t="inlineStr">
        <is>
          <t>GÄVLEBORGS LÄN</t>
        </is>
      </c>
      <c r="G6626" t="inlineStr">
        <is>
          <t>HUDIKSVALL</t>
        </is>
      </c>
      <c r="H6626" t="inlineStr">
        <is>
          <t>Holmen skog AB</t>
        </is>
      </c>
      <c r="I6626" t="n">
        <v>2.2</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A 4908-2026</t>
        </is>
      </c>
      <c r="B6627" t="inlineStr">
        <is>
          <t>avverkningsanmälan</t>
        </is>
      </c>
      <c r="C6627" t="inlineStr">
        <is>
          <t>Föryngringsavverkning</t>
        </is>
      </c>
      <c r="D6627" s="1" t="n">
        <v>46048</v>
      </c>
      <c r="E6627" s="1" t="n">
        <v>46326</v>
      </c>
      <c r="F6627" t="inlineStr">
        <is>
          <t>GÄVLEBORGS LÄN</t>
        </is>
      </c>
      <c r="G6627" t="inlineStr">
        <is>
          <t>BOLLNÄS</t>
        </is>
      </c>
      <c r="I6627" t="n">
        <v>2.3</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A 188-2024</t>
        </is>
      </c>
      <c r="B6628" t="inlineStr">
        <is>
          <t>avverkningsanmälan</t>
        </is>
      </c>
      <c r="C6628" t="inlineStr">
        <is>
          <t>Föryngringsavverkning</t>
        </is>
      </c>
      <c r="D6628" s="1" t="n">
        <v>45294</v>
      </c>
      <c r="E6628" s="1" t="n">
        <v>46326</v>
      </c>
      <c r="F6628" t="inlineStr">
        <is>
          <t>GÄVLEBORGS LÄN</t>
        </is>
      </c>
      <c r="G6628" t="inlineStr">
        <is>
          <t>LJUSDAL</t>
        </is>
      </c>
      <c r="I6628" t="n">
        <v>14.3</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A 264-2024</t>
        </is>
      </c>
      <c r="B6629" t="inlineStr">
        <is>
          <t>avverkningsanmälan</t>
        </is>
      </c>
      <c r="C6629" t="inlineStr">
        <is>
          <t>Föryngringsavverkning</t>
        </is>
      </c>
      <c r="D6629" s="1" t="n">
        <v>45295</v>
      </c>
      <c r="E6629" s="1" t="n">
        <v>46326</v>
      </c>
      <c r="F6629" t="inlineStr">
        <is>
          <t>GÄVLEBORGS LÄN</t>
        </is>
      </c>
      <c r="G6629" t="inlineStr">
        <is>
          <t>LJUSDAL</t>
        </is>
      </c>
      <c r="I6629" t="n">
        <v>1.1</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A 42035-2024</t>
        </is>
      </c>
      <c r="B6630" t="inlineStr">
        <is>
          <t>avverkningsanmälan</t>
        </is>
      </c>
      <c r="C6630" t="inlineStr">
        <is>
          <t>Föryngringsavverkning</t>
        </is>
      </c>
      <c r="D6630" s="1" t="n">
        <v>45561</v>
      </c>
      <c r="E6630" s="1" t="n">
        <v>46326</v>
      </c>
      <c r="F6630" t="inlineStr">
        <is>
          <t>GÄVLEBORGS LÄN</t>
        </is>
      </c>
      <c r="G6630" t="inlineStr">
        <is>
          <t>SÖDERHAMN</t>
        </is>
      </c>
      <c r="I6630" t="n">
        <v>0.8</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A 64075-2025</t>
        </is>
      </c>
      <c r="B6631" t="inlineStr">
        <is>
          <t>avverkningsanmälan</t>
        </is>
      </c>
      <c r="C6631" t="inlineStr">
        <is>
          <t>Föryngringsavverkning</t>
        </is>
      </c>
      <c r="D6631" s="1" t="n">
        <v>46021</v>
      </c>
      <c r="E6631" s="1" t="n">
        <v>46326</v>
      </c>
      <c r="F6631" t="inlineStr">
        <is>
          <t>GÄVLEBORGS LÄN</t>
        </is>
      </c>
      <c r="G6631" t="inlineStr">
        <is>
          <t>OVANÅKER</t>
        </is>
      </c>
      <c r="I6631" t="n">
        <v>10.2</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A 4675-2026</t>
        </is>
      </c>
      <c r="B6632" t="inlineStr">
        <is>
          <t>avverkningsanmälan</t>
        </is>
      </c>
      <c r="C6632" t="inlineStr">
        <is>
          <t>Föryngringsavverkning</t>
        </is>
      </c>
      <c r="D6632" s="1" t="n">
        <v>46048</v>
      </c>
      <c r="E6632" s="1" t="n">
        <v>46326</v>
      </c>
      <c r="F6632" t="inlineStr">
        <is>
          <t>GÄVLEBORGS LÄN</t>
        </is>
      </c>
      <c r="G6632" t="inlineStr">
        <is>
          <t>OCKELBO</t>
        </is>
      </c>
      <c r="H6632" t="inlineStr">
        <is>
          <t>Bergvik skog väst AB</t>
        </is>
      </c>
      <c r="I6632" t="n">
        <v>9.1</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A 44347-2023</t>
        </is>
      </c>
      <c r="B6633" t="inlineStr">
        <is>
          <t>avverkningsanmälan</t>
        </is>
      </c>
      <c r="C6633" t="inlineStr">
        <is>
          <t>Föryngringsavverkning</t>
        </is>
      </c>
      <c r="D6633" s="1" t="n">
        <v>45188</v>
      </c>
      <c r="E6633" s="1" t="n">
        <v>46326</v>
      </c>
      <c r="F6633" t="inlineStr">
        <is>
          <t>GÄVLEBORGS LÄN</t>
        </is>
      </c>
      <c r="G6633" t="inlineStr">
        <is>
          <t>OVANÅKER</t>
        </is>
      </c>
      <c r="I6633" t="n">
        <v>4.1</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A 60190-2023</t>
        </is>
      </c>
      <c r="B6634" t="inlineStr">
        <is>
          <t>avverkningsanmälan</t>
        </is>
      </c>
      <c r="C6634" t="inlineStr">
        <is>
          <t>Föryngringsavverkning</t>
        </is>
      </c>
      <c r="D6634" s="1" t="n">
        <v>45258</v>
      </c>
      <c r="E6634" s="1" t="n">
        <v>46326</v>
      </c>
      <c r="F6634" t="inlineStr">
        <is>
          <t>GÄVLEBORGS LÄN</t>
        </is>
      </c>
      <c r="G6634" t="inlineStr">
        <is>
          <t>HUDIKSVALL</t>
        </is>
      </c>
      <c r="H6634" t="inlineStr">
        <is>
          <t>Holmen skog AB</t>
        </is>
      </c>
      <c r="I6634" t="n">
        <v>0.3</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A 10797-2026</t>
        </is>
      </c>
      <c r="B6635" t="inlineStr">
        <is>
          <t>avverkningsanmälan</t>
        </is>
      </c>
      <c r="C6635" t="inlineStr">
        <is>
          <t>Föryngringsavverkning</t>
        </is>
      </c>
      <c r="D6635" s="1" t="n">
        <v>46078</v>
      </c>
      <c r="E6635" s="1" t="n">
        <v>46326</v>
      </c>
      <c r="F6635" t="inlineStr">
        <is>
          <t>GÄVLEBORGS LÄN</t>
        </is>
      </c>
      <c r="G6635" t="inlineStr">
        <is>
          <t>OVANÅKER</t>
        </is>
      </c>
      <c r="I6635" t="n">
        <v>0.7</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A 5876-2026</t>
        </is>
      </c>
      <c r="B6636" t="inlineStr">
        <is>
          <t>avverkningsanmälan</t>
        </is>
      </c>
      <c r="C6636" t="inlineStr">
        <is>
          <t>Föryngringsavverkning</t>
        </is>
      </c>
      <c r="D6636" s="1" t="n">
        <v>46052</v>
      </c>
      <c r="E6636" s="1" t="n">
        <v>46326</v>
      </c>
      <c r="F6636" t="inlineStr">
        <is>
          <t>GÄVLEBORGS LÄN</t>
        </is>
      </c>
      <c r="G6636" t="inlineStr">
        <is>
          <t>BOLLNÄS</t>
        </is>
      </c>
      <c r="I6636" t="n">
        <v>9.9</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A 7309-2026</t>
        </is>
      </c>
      <c r="B6637" t="inlineStr">
        <is>
          <t>avverkningsanmälan</t>
        </is>
      </c>
      <c r="C6637" t="inlineStr">
        <is>
          <t>Föryngringsavverkning</t>
        </is>
      </c>
      <c r="D6637" s="1" t="n">
        <v>46058</v>
      </c>
      <c r="E6637" s="1" t="n">
        <v>46326</v>
      </c>
      <c r="F6637" t="inlineStr">
        <is>
          <t>GÄVLEBORGS LÄN</t>
        </is>
      </c>
      <c r="G6637" t="inlineStr">
        <is>
          <t>BOLLNÄS</t>
        </is>
      </c>
      <c r="I6637" t="n">
        <v>1.6</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A 6386-2026</t>
        </is>
      </c>
      <c r="B6638" t="inlineStr">
        <is>
          <t>avverkningsanmälan</t>
        </is>
      </c>
      <c r="C6638" t="inlineStr">
        <is>
          <t>Föryngringsavverkning</t>
        </is>
      </c>
      <c r="D6638" s="1" t="n">
        <v>46055</v>
      </c>
      <c r="E6638" s="1" t="n">
        <v>46326</v>
      </c>
      <c r="F6638" t="inlineStr">
        <is>
          <t>GÄVLEBORGS LÄN</t>
        </is>
      </c>
      <c r="G6638" t="inlineStr">
        <is>
          <t>OCKELBO</t>
        </is>
      </c>
      <c r="H6638" t="inlineStr">
        <is>
          <t>Bergvik skog väst AB</t>
        </is>
      </c>
      <c r="I6638" t="n">
        <v>7.8</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A 54171-2023</t>
        </is>
      </c>
      <c r="B6639" t="inlineStr">
        <is>
          <t>avverkningsanmälan</t>
        </is>
      </c>
      <c r="C6639" t="inlineStr">
        <is>
          <t>Föryngringsavverkning</t>
        </is>
      </c>
      <c r="D6639" s="1" t="n">
        <v>45232</v>
      </c>
      <c r="E6639" s="1" t="n">
        <v>46326</v>
      </c>
      <c r="F6639" t="inlineStr">
        <is>
          <t>GÄVLEBORGS LÄN</t>
        </is>
      </c>
      <c r="G6639" t="inlineStr">
        <is>
          <t>HUDIKSVALL</t>
        </is>
      </c>
      <c r="I6639" t="n">
        <v>4.6</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A 1047-2026</t>
        </is>
      </c>
      <c r="B6640" t="inlineStr">
        <is>
          <t>avverkningsanmälan</t>
        </is>
      </c>
      <c r="C6640" t="inlineStr">
        <is>
          <t>Föryngringsavverkning</t>
        </is>
      </c>
      <c r="D6640" s="1" t="n">
        <v>46030</v>
      </c>
      <c r="E6640" s="1" t="n">
        <v>46326</v>
      </c>
      <c r="F6640" t="inlineStr">
        <is>
          <t>GÄVLEBORGS LÄN</t>
        </is>
      </c>
      <c r="G6640" t="inlineStr">
        <is>
          <t>BOLLNÄS</t>
        </is>
      </c>
      <c r="I6640" t="n">
        <v>32.1</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A 44075-2025</t>
        </is>
      </c>
      <c r="B6641" t="inlineStr">
        <is>
          <t>avverkningsanmälan</t>
        </is>
      </c>
      <c r="C6641" t="inlineStr">
        <is>
          <t>Föryngringsavverkning</t>
        </is>
      </c>
      <c r="D6641" s="1" t="n">
        <v>45915</v>
      </c>
      <c r="E6641" s="1" t="n">
        <v>46326</v>
      </c>
      <c r="F6641" t="inlineStr">
        <is>
          <t>GÄVLEBORGS LÄN</t>
        </is>
      </c>
      <c r="G6641" t="inlineStr">
        <is>
          <t>NORDANSTIG</t>
        </is>
      </c>
      <c r="I6641" t="n">
        <v>1.5</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A 28955-2025</t>
        </is>
      </c>
      <c r="B6642" t="inlineStr">
        <is>
          <t>avverkningsanmälan</t>
        </is>
      </c>
      <c r="C6642" t="inlineStr">
        <is>
          <t>Föryngringsavverkning</t>
        </is>
      </c>
      <c r="D6642" s="1" t="n">
        <v>45821</v>
      </c>
      <c r="E6642" s="1" t="n">
        <v>46326</v>
      </c>
      <c r="F6642" t="inlineStr">
        <is>
          <t>GÄVLEBORGS LÄN</t>
        </is>
      </c>
      <c r="G6642" t="inlineStr">
        <is>
          <t>LJUSDAL</t>
        </is>
      </c>
      <c r="H6642" t="inlineStr">
        <is>
          <t>Bergvik skog väst AB</t>
        </is>
      </c>
      <c r="I6642" t="n">
        <v>1.2</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A 7649-2026</t>
        </is>
      </c>
      <c r="B6643" t="inlineStr">
        <is>
          <t>avverkningsanmälan</t>
        </is>
      </c>
      <c r="C6643" t="inlineStr">
        <is>
          <t>Föryngringsavverkning</t>
        </is>
      </c>
      <c r="D6643" s="1" t="n">
        <v>46062</v>
      </c>
      <c r="E6643" s="1" t="n">
        <v>46326</v>
      </c>
      <c r="F6643" t="inlineStr">
        <is>
          <t>GÄVLEBORGS LÄN</t>
        </is>
      </c>
      <c r="G6643" t="inlineStr">
        <is>
          <t>OVANÅKER</t>
        </is>
      </c>
      <c r="I6643" t="n">
        <v>14.9</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A 16204-2025</t>
        </is>
      </c>
      <c r="B6644" t="inlineStr">
        <is>
          <t>avverkningsanmälan</t>
        </is>
      </c>
      <c r="C6644" t="inlineStr">
        <is>
          <t>Föryngringsavverkning</t>
        </is>
      </c>
      <c r="D6644" s="1" t="n">
        <v>45750</v>
      </c>
      <c r="E6644" s="1" t="n">
        <v>46326</v>
      </c>
      <c r="F6644" t="inlineStr">
        <is>
          <t>GÄVLEBORGS LÄN</t>
        </is>
      </c>
      <c r="G6644" t="inlineStr">
        <is>
          <t>OVANÅKER</t>
        </is>
      </c>
      <c r="I6644" t="n">
        <v>16.7</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A 7144-2026</t>
        </is>
      </c>
      <c r="B6645" t="inlineStr">
        <is>
          <t>avverkningsanmälan</t>
        </is>
      </c>
      <c r="C6645" t="inlineStr">
        <is>
          <t>Föryngringsavverkning</t>
        </is>
      </c>
      <c r="D6645" s="1" t="n">
        <v>46058</v>
      </c>
      <c r="E6645" s="1" t="n">
        <v>46326</v>
      </c>
      <c r="F6645" t="inlineStr">
        <is>
          <t>GÄVLEBORGS LÄN</t>
        </is>
      </c>
      <c r="G6645" t="inlineStr">
        <is>
          <t>BOLLNÄS</t>
        </is>
      </c>
      <c r="I6645" t="n">
        <v>1</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A 42495-2025</t>
        </is>
      </c>
      <c r="B6646" t="inlineStr">
        <is>
          <t>avverkningsanmälan</t>
        </is>
      </c>
      <c r="C6646" t="inlineStr">
        <is>
          <t>Föryngringsavverkning</t>
        </is>
      </c>
      <c r="D6646" s="1" t="n">
        <v>45905</v>
      </c>
      <c r="E6646" s="1" t="n">
        <v>46326</v>
      </c>
      <c r="F6646" t="inlineStr">
        <is>
          <t>GÄVLEBORGS LÄN</t>
        </is>
      </c>
      <c r="G6646" t="inlineStr">
        <is>
          <t>SANDVIKEN</t>
        </is>
      </c>
      <c r="I6646" t="n">
        <v>2.1</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A 463-2026</t>
        </is>
      </c>
      <c r="B6647" t="inlineStr">
        <is>
          <t>avverkningsanmälan</t>
        </is>
      </c>
      <c r="C6647" t="inlineStr">
        <is>
          <t>Föryngringsavverkning</t>
        </is>
      </c>
      <c r="D6647" s="1" t="n">
        <v>46029</v>
      </c>
      <c r="E6647" s="1" t="n">
        <v>46326</v>
      </c>
      <c r="F6647" t="inlineStr">
        <is>
          <t>GÄVLEBORGS LÄN</t>
        </is>
      </c>
      <c r="G6647" t="inlineStr">
        <is>
          <t>OCKELBO</t>
        </is>
      </c>
      <c r="I6647" t="n">
        <v>6.6</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A 1039-2025</t>
        </is>
      </c>
      <c r="B6648" t="inlineStr">
        <is>
          <t>avverkningsanmälan</t>
        </is>
      </c>
      <c r="C6648" t="inlineStr">
        <is>
          <t>Föryngringsavverkning</t>
        </is>
      </c>
      <c r="D6648" s="1" t="n">
        <v>45666</v>
      </c>
      <c r="E6648" s="1" t="n">
        <v>46326</v>
      </c>
      <c r="F6648" t="inlineStr">
        <is>
          <t>GÄVLEBORGS LÄN</t>
        </is>
      </c>
      <c r="G6648" t="inlineStr">
        <is>
          <t>SANDVIKEN</t>
        </is>
      </c>
      <c r="I6648" t="n">
        <v>3</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A 42575-2024</t>
        </is>
      </c>
      <c r="B6649" t="inlineStr">
        <is>
          <t>avverkningsanmälan</t>
        </is>
      </c>
      <c r="C6649" t="inlineStr">
        <is>
          <t>Föryngringsavverkning</t>
        </is>
      </c>
      <c r="D6649" s="1" t="n">
        <v>45565</v>
      </c>
      <c r="E6649" s="1" t="n">
        <v>46326</v>
      </c>
      <c r="F6649" t="inlineStr">
        <is>
          <t>GÄVLEBORGS LÄN</t>
        </is>
      </c>
      <c r="G6649" t="inlineStr">
        <is>
          <t>BOLLNÄS</t>
        </is>
      </c>
      <c r="I6649" t="n">
        <v>2.8</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A 52-2026</t>
        </is>
      </c>
      <c r="B6650" t="inlineStr">
        <is>
          <t>avverkningsanmälan</t>
        </is>
      </c>
      <c r="C6650" t="inlineStr">
        <is>
          <t>Föryngringsavverkning</t>
        </is>
      </c>
      <c r="D6650" s="1" t="n">
        <v>46024</v>
      </c>
      <c r="E6650" s="1" t="n">
        <v>46326</v>
      </c>
      <c r="F6650" t="inlineStr">
        <is>
          <t>GÄVLEBORGS LÄN</t>
        </is>
      </c>
      <c r="G6650" t="inlineStr">
        <is>
          <t>HUDIKSVALL</t>
        </is>
      </c>
      <c r="I6650" t="n">
        <v>7.3</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A 54896-2024</t>
        </is>
      </c>
      <c r="B6651" t="inlineStr">
        <is>
          <t>avverkningsanmälan</t>
        </is>
      </c>
      <c r="C6651" t="inlineStr">
        <is>
          <t>Föryngringsavverkning</t>
        </is>
      </c>
      <c r="D6651" s="1" t="n">
        <v>45618</v>
      </c>
      <c r="E6651" s="1" t="n">
        <v>46326</v>
      </c>
      <c r="F6651" t="inlineStr">
        <is>
          <t>GÄVLEBORGS LÄN</t>
        </is>
      </c>
      <c r="G6651" t="inlineStr">
        <is>
          <t>NORDANSTIG</t>
        </is>
      </c>
      <c r="H6651" t="inlineStr">
        <is>
          <t>Holmen skog AB</t>
        </is>
      </c>
      <c r="I6651" t="n">
        <v>2.7</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A 8528-2026</t>
        </is>
      </c>
      <c r="B6652" t="inlineStr">
        <is>
          <t>avverkningsanmälan</t>
        </is>
      </c>
      <c r="C6652" t="inlineStr">
        <is>
          <t>Föryngringsavverkning</t>
        </is>
      </c>
      <c r="D6652" s="1" t="n">
        <v>46065</v>
      </c>
      <c r="E6652" s="1" t="n">
        <v>46326</v>
      </c>
      <c r="F6652" t="inlineStr">
        <is>
          <t>GÄVLEBORGS LÄN</t>
        </is>
      </c>
      <c r="G6652" t="inlineStr">
        <is>
          <t>BOLLNÄS</t>
        </is>
      </c>
      <c r="I6652" t="n">
        <v>2.5</v>
      </c>
      <c r="J6652" t="n">
        <v>0</v>
      </c>
      <c r="K6652" t="n">
        <v>0</v>
      </c>
      <c r="L6652" t="n">
        <v>0</v>
      </c>
      <c r="M6652" t="n">
        <v>0</v>
      </c>
      <c r="N6652" t="n">
        <v>0</v>
      </c>
      <c r="O6652" t="n">
        <v>0</v>
      </c>
      <c r="P6652" t="n">
        <v>0</v>
      </c>
      <c r="Q6652" t="n">
        <v>0</v>
      </c>
      <c r="R6652" t="n">
        <v>0</v>
      </c>
      <c r="S6652" t="n">
        <v>0</v>
      </c>
      <c r="T6652" t="n">
        <v>0</v>
      </c>
      <c r="U6652" t="n">
        <v>0</v>
      </c>
      <c r="V6652" s="2" t="inlineStr"/>
    </row>
    <row r="6653" ht="15" customHeight="1">
      <c r="A6653" t="inlineStr">
        <is>
          <t>A 30591-2022</t>
        </is>
      </c>
      <c r="B6653" t="inlineStr">
        <is>
          <t>avverkningsanmälan</t>
        </is>
      </c>
      <c r="C6653" t="inlineStr">
        <is>
          <t>Föryngringsavverkning</t>
        </is>
      </c>
      <c r="D6653" s="1" t="n">
        <v>44762</v>
      </c>
      <c r="E6653" s="1" t="n">
        <v>46326</v>
      </c>
      <c r="F6653" t="inlineStr">
        <is>
          <t>GÄVLEBORGS LÄN</t>
        </is>
      </c>
      <c r="G6653" t="inlineStr">
        <is>
          <t>HUDIKSVALL</t>
        </is>
      </c>
      <c r="H6653" t="inlineStr">
        <is>
          <t>Sveaskog</t>
        </is>
      </c>
      <c r="I6653" t="n">
        <v>2.7</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A 4445-2025</t>
        </is>
      </c>
      <c r="B6654" t="inlineStr">
        <is>
          <t>avverkningsanmälan</t>
        </is>
      </c>
      <c r="C6654" t="inlineStr">
        <is>
          <t>Föryngringsavverkning</t>
        </is>
      </c>
      <c r="D6654" s="1" t="n">
        <v>45686</v>
      </c>
      <c r="E6654" s="1" t="n">
        <v>46326</v>
      </c>
      <c r="F6654" t="inlineStr">
        <is>
          <t>GÄVLEBORGS LÄN</t>
        </is>
      </c>
      <c r="G6654" t="inlineStr">
        <is>
          <t>NORDANSTIG</t>
        </is>
      </c>
      <c r="H6654" t="inlineStr">
        <is>
          <t>Holmen skog AB</t>
        </is>
      </c>
      <c r="I6654" t="n">
        <v>13.4</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A 54977-2024</t>
        </is>
      </c>
      <c r="B6655" t="inlineStr">
        <is>
          <t>avverkningsanmälan</t>
        </is>
      </c>
      <c r="C6655" t="inlineStr">
        <is>
          <t>Föryngringsavverkning</t>
        </is>
      </c>
      <c r="D6655" s="1" t="n">
        <v>45620</v>
      </c>
      <c r="E6655" s="1" t="n">
        <v>46326</v>
      </c>
      <c r="F6655" t="inlineStr">
        <is>
          <t>GÄVLEBORGS LÄN</t>
        </is>
      </c>
      <c r="G6655" t="inlineStr">
        <is>
          <t>OCKELBO</t>
        </is>
      </c>
      <c r="I6655" t="n">
        <v>2.2</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A 36604-2025</t>
        </is>
      </c>
      <c r="B6656" t="inlineStr">
        <is>
          <t>avverkningsanmälan</t>
        </is>
      </c>
      <c r="C6656" t="inlineStr">
        <is>
          <t>Avverkning för att bevara och utveckla /försöksver</t>
        </is>
      </c>
      <c r="D6656" s="1" t="n">
        <v>45870</v>
      </c>
      <c r="E6656" s="1" t="n">
        <v>46326</v>
      </c>
      <c r="F6656" t="inlineStr">
        <is>
          <t>GÄVLEBORGS LÄN</t>
        </is>
      </c>
      <c r="G6656" t="inlineStr">
        <is>
          <t>OCKELBO</t>
        </is>
      </c>
      <c r="I6656" t="n">
        <v>2.8</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A 47674-2023</t>
        </is>
      </c>
      <c r="B6657" t="inlineStr">
        <is>
          <t>avverkningsanmälan</t>
        </is>
      </c>
      <c r="C6657" t="inlineStr">
        <is>
          <t>Föryngringsavverkning</t>
        </is>
      </c>
      <c r="D6657" s="1" t="n">
        <v>45203</v>
      </c>
      <c r="E6657" s="1" t="n">
        <v>46326</v>
      </c>
      <c r="F6657" t="inlineStr">
        <is>
          <t>GÄVLEBORGS LÄN</t>
        </is>
      </c>
      <c r="G6657" t="inlineStr">
        <is>
          <t>OCKELBO</t>
        </is>
      </c>
      <c r="I6657" t="n">
        <v>3</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A 13499-2026</t>
        </is>
      </c>
      <c r="B6658" t="inlineStr">
        <is>
          <t>avverkningsanmälan</t>
        </is>
      </c>
      <c r="C6658" t="inlineStr">
        <is>
          <t>Föryngringsavverkning</t>
        </is>
      </c>
      <c r="D6658" s="1" t="n">
        <v>46094</v>
      </c>
      <c r="E6658" s="1" t="n">
        <v>46326</v>
      </c>
      <c r="F6658" t="inlineStr">
        <is>
          <t>GÄVLEBORGS LÄN</t>
        </is>
      </c>
      <c r="G6658" t="inlineStr">
        <is>
          <t>GÄVLE</t>
        </is>
      </c>
      <c r="H6658" t="inlineStr">
        <is>
          <t>Bergvik skog öst AB</t>
        </is>
      </c>
      <c r="I6658" t="n">
        <v>1.8</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A 6257-2026</t>
        </is>
      </c>
      <c r="B6659" t="inlineStr">
        <is>
          <t>avverkningsanmälan</t>
        </is>
      </c>
      <c r="C6659" t="inlineStr">
        <is>
          <t>Föryngringsavverkning</t>
        </is>
      </c>
      <c r="D6659" s="1" t="n">
        <v>46055</v>
      </c>
      <c r="E6659" s="1" t="n">
        <v>46326</v>
      </c>
      <c r="F6659" t="inlineStr">
        <is>
          <t>GÄVLEBORGS LÄN</t>
        </is>
      </c>
      <c r="G6659" t="inlineStr">
        <is>
          <t>BOLLNÄS</t>
        </is>
      </c>
      <c r="I6659" t="n">
        <v>2.2</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A 36263-2025</t>
        </is>
      </c>
      <c r="B6660" t="inlineStr">
        <is>
          <t>avverkningsanmälan</t>
        </is>
      </c>
      <c r="C6660" t="inlineStr">
        <is>
          <t>Föryngringsavverkning</t>
        </is>
      </c>
      <c r="D6660" s="1" t="n">
        <v>45867</v>
      </c>
      <c r="E6660" s="1" t="n">
        <v>46326</v>
      </c>
      <c r="F6660" t="inlineStr">
        <is>
          <t>GÄVLEBORGS LÄN</t>
        </is>
      </c>
      <c r="G6660" t="inlineStr">
        <is>
          <t>LJUSDAL</t>
        </is>
      </c>
      <c r="H6660" t="inlineStr">
        <is>
          <t>Naturvårdsverket</t>
        </is>
      </c>
      <c r="I6660" t="n">
        <v>1.9</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A 14955-2023</t>
        </is>
      </c>
      <c r="B6661" t="inlineStr">
        <is>
          <t>avverkningsanmälan</t>
        </is>
      </c>
      <c r="C6661" t="inlineStr">
        <is>
          <t>Föryngringsavverkning</t>
        </is>
      </c>
      <c r="D6661" s="1" t="n">
        <v>45015</v>
      </c>
      <c r="E6661" s="1" t="n">
        <v>46326</v>
      </c>
      <c r="F6661" t="inlineStr">
        <is>
          <t>GÄVLEBORGS LÄN</t>
        </is>
      </c>
      <c r="G6661" t="inlineStr">
        <is>
          <t>HUDIKSVALL</t>
        </is>
      </c>
      <c r="I6661" t="n">
        <v>9.699999999999999</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A 3730-2026</t>
        </is>
      </c>
      <c r="B6662" t="inlineStr">
        <is>
          <t>avverkningsanmälan</t>
        </is>
      </c>
      <c r="C6662" t="inlineStr">
        <is>
          <t>Föryngringsavverkning</t>
        </is>
      </c>
      <c r="D6662" s="1" t="n">
        <v>46043</v>
      </c>
      <c r="E6662" s="1" t="n">
        <v>46326</v>
      </c>
      <c r="F6662" t="inlineStr">
        <is>
          <t>GÄVLEBORGS LÄN</t>
        </is>
      </c>
      <c r="G6662" t="inlineStr">
        <is>
          <t>NORDANSTIG</t>
        </is>
      </c>
      <c r="I6662" t="n">
        <v>1.5</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A 4621-2026</t>
        </is>
      </c>
      <c r="B6663" t="inlineStr">
        <is>
          <t>avverkningsanmälan</t>
        </is>
      </c>
      <c r="C6663" t="inlineStr">
        <is>
          <t>Föryngringsavverkning</t>
        </is>
      </c>
      <c r="D6663" s="1" t="n">
        <v>46048</v>
      </c>
      <c r="E6663" s="1" t="n">
        <v>46326</v>
      </c>
      <c r="F6663" t="inlineStr">
        <is>
          <t>GÄVLEBORGS LÄN</t>
        </is>
      </c>
      <c r="G6663" t="inlineStr">
        <is>
          <t>BOLLNÄS</t>
        </is>
      </c>
      <c r="I6663" t="n">
        <v>6.2</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A 8379-2025</t>
        </is>
      </c>
      <c r="B6664" t="inlineStr">
        <is>
          <t>avverkningsanmälan</t>
        </is>
      </c>
      <c r="C6664" t="inlineStr">
        <is>
          <t>Föryngringsavverkning</t>
        </is>
      </c>
      <c r="D6664" s="1" t="n">
        <v>45709</v>
      </c>
      <c r="E6664" s="1" t="n">
        <v>46326</v>
      </c>
      <c r="F6664" t="inlineStr">
        <is>
          <t>GÄVLEBORGS LÄN</t>
        </is>
      </c>
      <c r="G6664" t="inlineStr">
        <is>
          <t>SANDVIKEN</t>
        </is>
      </c>
      <c r="I6664" t="n">
        <v>4.3</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A 644-2026</t>
        </is>
      </c>
      <c r="B6665" t="inlineStr">
        <is>
          <t>avverkningsanmälan</t>
        </is>
      </c>
      <c r="C6665" t="inlineStr">
        <is>
          <t>Föryngringsavverkning</t>
        </is>
      </c>
      <c r="D6665" s="1" t="n">
        <v>46029</v>
      </c>
      <c r="E6665" s="1" t="n">
        <v>46326</v>
      </c>
      <c r="F6665" t="inlineStr">
        <is>
          <t>GÄVLEBORGS LÄN</t>
        </is>
      </c>
      <c r="G6665" t="inlineStr">
        <is>
          <t>BOLLNÄS</t>
        </is>
      </c>
      <c r="I6665" t="n">
        <v>24.2</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A 49931-2023</t>
        </is>
      </c>
      <c r="B6666" t="inlineStr">
        <is>
          <t>avverkningsanmälan</t>
        </is>
      </c>
      <c r="C6666" t="inlineStr">
        <is>
          <t>Föryngringsavverkning</t>
        </is>
      </c>
      <c r="D6666" s="1" t="n">
        <v>45215</v>
      </c>
      <c r="E6666" s="1" t="n">
        <v>46326</v>
      </c>
      <c r="F6666" t="inlineStr">
        <is>
          <t>GÄVLEBORGS LÄN</t>
        </is>
      </c>
      <c r="G6666" t="inlineStr">
        <is>
          <t>BOLLNÄS</t>
        </is>
      </c>
      <c r="I6666" t="n">
        <v>5.1</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A 452-2026</t>
        </is>
      </c>
      <c r="B6667" t="inlineStr">
        <is>
          <t>avverkningsanmälan</t>
        </is>
      </c>
      <c r="C6667" t="inlineStr">
        <is>
          <t>Föryngringsavverkning</t>
        </is>
      </c>
      <c r="D6667" s="1" t="n">
        <v>46029</v>
      </c>
      <c r="E6667" s="1" t="n">
        <v>46326</v>
      </c>
      <c r="F6667" t="inlineStr">
        <is>
          <t>GÄVLEBORGS LÄN</t>
        </is>
      </c>
      <c r="G6667" t="inlineStr">
        <is>
          <t>LJUSDAL</t>
        </is>
      </c>
      <c r="I6667" t="n">
        <v>0.9</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A 8560-2026</t>
        </is>
      </c>
      <c r="B6668" t="inlineStr">
        <is>
          <t>avverkningsanmälan</t>
        </is>
      </c>
      <c r="C6668" t="inlineStr">
        <is>
          <t>Föryngringsavverkning</t>
        </is>
      </c>
      <c r="D6668" s="1" t="n">
        <v>46065</v>
      </c>
      <c r="E6668" s="1" t="n">
        <v>46326</v>
      </c>
      <c r="F6668" t="inlineStr">
        <is>
          <t>GÄVLEBORGS LÄN</t>
        </is>
      </c>
      <c r="G6668" t="inlineStr">
        <is>
          <t>BOLLNÄS</t>
        </is>
      </c>
      <c r="I6668" t="n">
        <v>8.4</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A 5580-2026</t>
        </is>
      </c>
      <c r="B6669" t="inlineStr">
        <is>
          <t>avverkningsanmälan</t>
        </is>
      </c>
      <c r="C6669" t="inlineStr">
        <is>
          <t>Föryngringsavverkning</t>
        </is>
      </c>
      <c r="D6669" s="1" t="n">
        <v>46051</v>
      </c>
      <c r="E6669" s="1" t="n">
        <v>46326</v>
      </c>
      <c r="F6669" t="inlineStr">
        <is>
          <t>GÄVLEBORGS LÄN</t>
        </is>
      </c>
      <c r="G6669" t="inlineStr">
        <is>
          <t>OVANÅKER</t>
        </is>
      </c>
      <c r="I6669" t="n">
        <v>2.4</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A 63786-2025</t>
        </is>
      </c>
      <c r="B6670" t="inlineStr">
        <is>
          <t>avverkningsanmälan</t>
        </is>
      </c>
      <c r="C6670" t="inlineStr">
        <is>
          <t>Föryngringsavverkning</t>
        </is>
      </c>
      <c r="D6670" s="1" t="n">
        <v>46019</v>
      </c>
      <c r="E6670" s="1" t="n">
        <v>46326</v>
      </c>
      <c r="F6670" t="inlineStr">
        <is>
          <t>GÄVLEBORGS LÄN</t>
        </is>
      </c>
      <c r="G6670" t="inlineStr">
        <is>
          <t>NORDANSTIG</t>
        </is>
      </c>
      <c r="I6670" t="n">
        <v>2.7</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A 5271-2023</t>
        </is>
      </c>
      <c r="B6671" t="inlineStr">
        <is>
          <t>avverkningsanmälan</t>
        </is>
      </c>
      <c r="C6671" t="inlineStr">
        <is>
          <t>Föryngringsavverkning</t>
        </is>
      </c>
      <c r="D6671" s="1" t="n">
        <v>44959</v>
      </c>
      <c r="E6671" s="1" t="n">
        <v>46326</v>
      </c>
      <c r="F6671" t="inlineStr">
        <is>
          <t>GÄVLEBORGS LÄN</t>
        </is>
      </c>
      <c r="G6671" t="inlineStr">
        <is>
          <t>OVANÅKER</t>
        </is>
      </c>
      <c r="I6671" t="n">
        <v>1.2</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A 5300-2023</t>
        </is>
      </c>
      <c r="B6672" t="inlineStr">
        <is>
          <t>avverkningsanmälan</t>
        </is>
      </c>
      <c r="C6672" t="inlineStr">
        <is>
          <t>Föryngringsavverkning</t>
        </is>
      </c>
      <c r="D6672" s="1" t="n">
        <v>44959</v>
      </c>
      <c r="E6672" s="1" t="n">
        <v>46326</v>
      </c>
      <c r="F6672" t="inlineStr">
        <is>
          <t>GÄVLEBORGS LÄN</t>
        </is>
      </c>
      <c r="G6672" t="inlineStr">
        <is>
          <t>OVANÅKER</t>
        </is>
      </c>
      <c r="I6672" t="n">
        <v>1.1</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A 4617-2026</t>
        </is>
      </c>
      <c r="B6673" t="inlineStr">
        <is>
          <t>avverkningsanmälan</t>
        </is>
      </c>
      <c r="C6673" t="inlineStr">
        <is>
          <t>Föryngringsavverkning</t>
        </is>
      </c>
      <c r="D6673" s="1" t="n">
        <v>46048</v>
      </c>
      <c r="E6673" s="1" t="n">
        <v>46326</v>
      </c>
      <c r="F6673" t="inlineStr">
        <is>
          <t>GÄVLEBORGS LÄN</t>
        </is>
      </c>
      <c r="G6673" t="inlineStr">
        <is>
          <t>BOLLNÄS</t>
        </is>
      </c>
      <c r="I6673" t="n">
        <v>8</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A 8125-2026</t>
        </is>
      </c>
      <c r="B6674" t="inlineStr">
        <is>
          <t>avverkningsanmälan</t>
        </is>
      </c>
      <c r="C6674" t="inlineStr">
        <is>
          <t>Föryngringsavverkning</t>
        </is>
      </c>
      <c r="D6674" s="1" t="n">
        <v>46064</v>
      </c>
      <c r="E6674" s="1" t="n">
        <v>46326</v>
      </c>
      <c r="F6674" t="inlineStr">
        <is>
          <t>GÄVLEBORGS LÄN</t>
        </is>
      </c>
      <c r="G6674" t="inlineStr">
        <is>
          <t>OVANÅKER</t>
        </is>
      </c>
      <c r="I6674" t="n">
        <v>1.2</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A 35916-2025</t>
        </is>
      </c>
      <c r="B6675" t="inlineStr">
        <is>
          <t>avverkningsanmälan</t>
        </is>
      </c>
      <c r="C6675" t="inlineStr">
        <is>
          <t>Föryngringsavverkning</t>
        </is>
      </c>
      <c r="D6675" s="1" t="n">
        <v>45862</v>
      </c>
      <c r="E6675" s="1" t="n">
        <v>46326</v>
      </c>
      <c r="F6675" t="inlineStr">
        <is>
          <t>GÄVLEBORGS LÄN</t>
        </is>
      </c>
      <c r="G6675" t="inlineStr">
        <is>
          <t>GÄVLE</t>
        </is>
      </c>
      <c r="I6675" t="n">
        <v>1</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A 473-2024</t>
        </is>
      </c>
      <c r="B6676" t="inlineStr">
        <is>
          <t>avverkningsanmälan</t>
        </is>
      </c>
      <c r="C6676" t="inlineStr">
        <is>
          <t>Föryngringsavverkning</t>
        </is>
      </c>
      <c r="D6676" s="1" t="n">
        <v>45297</v>
      </c>
      <c r="E6676" s="1" t="n">
        <v>46326</v>
      </c>
      <c r="F6676" t="inlineStr">
        <is>
          <t>GÄVLEBORGS LÄN</t>
        </is>
      </c>
      <c r="G6676" t="inlineStr">
        <is>
          <t>HUDIKSVALL</t>
        </is>
      </c>
      <c r="H6676" t="inlineStr">
        <is>
          <t>Holmen skog AB</t>
        </is>
      </c>
      <c r="I6676" t="n">
        <v>1.6</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A 25632-2022</t>
        </is>
      </c>
      <c r="B6677" t="inlineStr">
        <is>
          <t>avverkningsanmälan</t>
        </is>
      </c>
      <c r="C6677" t="inlineStr">
        <is>
          <t>Föryngringsavverkning</t>
        </is>
      </c>
      <c r="D6677" s="1" t="n">
        <v>44732</v>
      </c>
      <c r="E6677" s="1" t="n">
        <v>46326</v>
      </c>
      <c r="F6677" t="inlineStr">
        <is>
          <t>GÄVLEBORGS LÄN</t>
        </is>
      </c>
      <c r="G6677" t="inlineStr">
        <is>
          <t>BOLLNÄS</t>
        </is>
      </c>
      <c r="I6677" t="n">
        <v>2.5</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A 6025-2026</t>
        </is>
      </c>
      <c r="B6678" t="inlineStr">
        <is>
          <t>avverkningsanmälan</t>
        </is>
      </c>
      <c r="C6678" t="inlineStr">
        <is>
          <t>Föryngringsavverkning</t>
        </is>
      </c>
      <c r="D6678" s="1" t="n">
        <v>46052</v>
      </c>
      <c r="E6678" s="1" t="n">
        <v>46326</v>
      </c>
      <c r="F6678" t="inlineStr">
        <is>
          <t>GÄVLEBORGS LÄN</t>
        </is>
      </c>
      <c r="G6678" t="inlineStr">
        <is>
          <t>BOLLNÄS</t>
        </is>
      </c>
      <c r="I6678" t="n">
        <v>34.4</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A 1328-2026</t>
        </is>
      </c>
      <c r="B6679" t="inlineStr">
        <is>
          <t>avverkningsanmälan</t>
        </is>
      </c>
      <c r="C6679" t="inlineStr">
        <is>
          <t>Föryngringsavverkning</t>
        </is>
      </c>
      <c r="D6679" s="1" t="n">
        <v>46031</v>
      </c>
      <c r="E6679" s="1" t="n">
        <v>46326</v>
      </c>
      <c r="F6679" t="inlineStr">
        <is>
          <t>GÄVLEBORGS LÄN</t>
        </is>
      </c>
      <c r="G6679" t="inlineStr">
        <is>
          <t>GÄVLE</t>
        </is>
      </c>
      <c r="I6679" t="n">
        <v>1.9</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A 51241-2023</t>
        </is>
      </c>
      <c r="B6680" t="inlineStr">
        <is>
          <t>avverkningsanmälan</t>
        </is>
      </c>
      <c r="C6680" t="inlineStr">
        <is>
          <t>Föryngringsavverkning</t>
        </is>
      </c>
      <c r="D6680" s="1" t="n">
        <v>45219</v>
      </c>
      <c r="E6680" s="1" t="n">
        <v>46326</v>
      </c>
      <c r="F6680" t="inlineStr">
        <is>
          <t>GÄVLEBORGS LÄN</t>
        </is>
      </c>
      <c r="G6680" t="inlineStr">
        <is>
          <t>HUDIKSVALL</t>
        </is>
      </c>
      <c r="I6680" t="n">
        <v>1.6</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A 51247-2023</t>
        </is>
      </c>
      <c r="B6681" t="inlineStr">
        <is>
          <t>avverkningsanmälan</t>
        </is>
      </c>
      <c r="C6681" t="inlineStr">
        <is>
          <t>Föryngringsavverkning</t>
        </is>
      </c>
      <c r="D6681" s="1" t="n">
        <v>45219</v>
      </c>
      <c r="E6681" s="1" t="n">
        <v>46326</v>
      </c>
      <c r="F6681" t="inlineStr">
        <is>
          <t>GÄVLEBORGS LÄN</t>
        </is>
      </c>
      <c r="G6681" t="inlineStr">
        <is>
          <t>BOLLNÄS</t>
        </is>
      </c>
      <c r="I6681" t="n">
        <v>0.5</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A 12853-2025</t>
        </is>
      </c>
      <c r="B6682" t="inlineStr">
        <is>
          <t>avverkningsanmälan</t>
        </is>
      </c>
      <c r="C6682" t="inlineStr">
        <is>
          <t>Föryngringsavverkning</t>
        </is>
      </c>
      <c r="D6682" s="1" t="n">
        <v>45733</v>
      </c>
      <c r="E6682" s="1" t="n">
        <v>46326</v>
      </c>
      <c r="F6682" t="inlineStr">
        <is>
          <t>GÄVLEBORGS LÄN</t>
        </is>
      </c>
      <c r="G6682" t="inlineStr">
        <is>
          <t>BOLLNÄS</t>
        </is>
      </c>
      <c r="I6682" t="n">
        <v>1.9</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A 28179-2023</t>
        </is>
      </c>
      <c r="B6683" t="inlineStr">
        <is>
          <t>avverkningsanmälan</t>
        </is>
      </c>
      <c r="C6683" t="inlineStr">
        <is>
          <t>Föryngringsavverkning</t>
        </is>
      </c>
      <c r="D6683" s="1" t="n">
        <v>45099</v>
      </c>
      <c r="E6683" s="1" t="n">
        <v>46326</v>
      </c>
      <c r="F6683" t="inlineStr">
        <is>
          <t>GÄVLEBORGS LÄN</t>
        </is>
      </c>
      <c r="G6683" t="inlineStr">
        <is>
          <t>BOLLNÄS</t>
        </is>
      </c>
      <c r="I6683" t="n">
        <v>1.1</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A 28472-2025</t>
        </is>
      </c>
      <c r="B6684" t="inlineStr">
        <is>
          <t>avverkningsanmälan</t>
        </is>
      </c>
      <c r="C6684" t="inlineStr">
        <is>
          <t>Föryngringsavverkning</t>
        </is>
      </c>
      <c r="D6684" s="1" t="n">
        <v>45819</v>
      </c>
      <c r="E6684" s="1" t="n">
        <v>46326</v>
      </c>
      <c r="F6684" t="inlineStr">
        <is>
          <t>GÄVLEBORGS LÄN</t>
        </is>
      </c>
      <c r="G6684" t="inlineStr">
        <is>
          <t>HUDIKSVALL</t>
        </is>
      </c>
      <c r="I6684" t="n">
        <v>2.2</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A 24742-2024</t>
        </is>
      </c>
      <c r="B6685" t="inlineStr">
        <is>
          <t>avverkningsanmälan</t>
        </is>
      </c>
      <c r="C6685" t="inlineStr">
        <is>
          <t>Föryngringsavverkning</t>
        </is>
      </c>
      <c r="D6685" s="1" t="n">
        <v>45460</v>
      </c>
      <c r="E6685" s="1" t="n">
        <v>46326</v>
      </c>
      <c r="F6685" t="inlineStr">
        <is>
          <t>GÄVLEBORGS LÄN</t>
        </is>
      </c>
      <c r="G6685" t="inlineStr">
        <is>
          <t>BOLLNÄS</t>
        </is>
      </c>
      <c r="I6685" t="n">
        <v>2.2</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A 11205-2026</t>
        </is>
      </c>
      <c r="B6686" t="inlineStr">
        <is>
          <t>avverkningsanmälan</t>
        </is>
      </c>
      <c r="C6686" t="inlineStr">
        <is>
          <t>Föryngringsavverkning</t>
        </is>
      </c>
      <c r="D6686" s="1" t="n">
        <v>46080</v>
      </c>
      <c r="E6686" s="1" t="n">
        <v>46326</v>
      </c>
      <c r="F6686" t="inlineStr">
        <is>
          <t>GÄVLEBORGS LÄN</t>
        </is>
      </c>
      <c r="G6686" t="inlineStr">
        <is>
          <t>SANDVIKEN</t>
        </is>
      </c>
      <c r="I6686" t="n">
        <v>4</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A 47314-2024</t>
        </is>
      </c>
      <c r="B6687" t="inlineStr">
        <is>
          <t>avverkningsanmälan</t>
        </is>
      </c>
      <c r="C6687" t="inlineStr">
        <is>
          <t>Föryngringsavverkning</t>
        </is>
      </c>
      <c r="D6687" s="1" t="n">
        <v>45587</v>
      </c>
      <c r="E6687" s="1" t="n">
        <v>46326</v>
      </c>
      <c r="F6687" t="inlineStr">
        <is>
          <t>GÄVLEBORGS LÄN</t>
        </is>
      </c>
      <c r="G6687" t="inlineStr">
        <is>
          <t>HUDIKSVALL</t>
        </is>
      </c>
      <c r="I6687" t="n">
        <v>1</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A 36407-2024</t>
        </is>
      </c>
      <c r="B6688" t="inlineStr">
        <is>
          <t>avverkningsanmälan</t>
        </is>
      </c>
      <c r="C6688" t="inlineStr">
        <is>
          <t>Föryngringsavverkning</t>
        </is>
      </c>
      <c r="D6688" s="1" t="n">
        <v>45535</v>
      </c>
      <c r="E6688" s="1" t="n">
        <v>46326</v>
      </c>
      <c r="F6688" t="inlineStr">
        <is>
          <t>GÄVLEBORGS LÄN</t>
        </is>
      </c>
      <c r="G6688" t="inlineStr">
        <is>
          <t>HUDIKSVALL</t>
        </is>
      </c>
      <c r="H6688" t="inlineStr">
        <is>
          <t>Holmen skog AB</t>
        </is>
      </c>
      <c r="I6688" t="n">
        <v>7.7</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A 63528-2021</t>
        </is>
      </c>
      <c r="B6689" t="inlineStr">
        <is>
          <t>avverkningsanmälan</t>
        </is>
      </c>
      <c r="C6689" t="inlineStr">
        <is>
          <t>Föryngringsavverkning</t>
        </is>
      </c>
      <c r="D6689" s="1" t="n">
        <v>44508</v>
      </c>
      <c r="E6689" s="1" t="n">
        <v>46326</v>
      </c>
      <c r="F6689" t="inlineStr">
        <is>
          <t>GÄVLEBORGS LÄN</t>
        </is>
      </c>
      <c r="G6689" t="inlineStr">
        <is>
          <t>LJUSDAL</t>
        </is>
      </c>
      <c r="H6689" t="inlineStr">
        <is>
          <t>Holmen skog AB</t>
        </is>
      </c>
      <c r="I6689" t="n">
        <v>1.5</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A 8540-2026</t>
        </is>
      </c>
      <c r="B6690" t="inlineStr">
        <is>
          <t>avverkningsanmälan</t>
        </is>
      </c>
      <c r="C6690" t="inlineStr">
        <is>
          <t>Föryngringsavverkning</t>
        </is>
      </c>
      <c r="D6690" s="1" t="n">
        <v>46065</v>
      </c>
      <c r="E6690" s="1" t="n">
        <v>46326</v>
      </c>
      <c r="F6690" t="inlineStr">
        <is>
          <t>GÄVLEBORGS LÄN</t>
        </is>
      </c>
      <c r="G6690" t="inlineStr">
        <is>
          <t>OVANÅKER</t>
        </is>
      </c>
      <c r="I6690" t="n">
        <v>3.9</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A 47591-2025</t>
        </is>
      </c>
      <c r="B6691" t="inlineStr">
        <is>
          <t>avverkningsanmälan</t>
        </is>
      </c>
      <c r="C6691" t="inlineStr">
        <is>
          <t>Föryngringsavverkning</t>
        </is>
      </c>
      <c r="D6691" s="1" t="n">
        <v>45931</v>
      </c>
      <c r="E6691" s="1" t="n">
        <v>46326</v>
      </c>
      <c r="F6691" t="inlineStr">
        <is>
          <t>GÄVLEBORGS LÄN</t>
        </is>
      </c>
      <c r="G6691" t="inlineStr">
        <is>
          <t>LJUSDAL</t>
        </is>
      </c>
      <c r="I6691" t="n">
        <v>1</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A 7624-2023</t>
        </is>
      </c>
      <c r="B6692" t="inlineStr">
        <is>
          <t>avverkningsanmälan</t>
        </is>
      </c>
      <c r="C6692" t="inlineStr">
        <is>
          <t>Föryngringsavverkning</t>
        </is>
      </c>
      <c r="D6692" s="1" t="n">
        <v>44972</v>
      </c>
      <c r="E6692" s="1" t="n">
        <v>46326</v>
      </c>
      <c r="F6692" t="inlineStr">
        <is>
          <t>GÄVLEBORGS LÄN</t>
        </is>
      </c>
      <c r="G6692" t="inlineStr">
        <is>
          <t>SANDVIKEN</t>
        </is>
      </c>
      <c r="I6692" t="n">
        <v>4</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A 61501-2024</t>
        </is>
      </c>
      <c r="B6693" t="inlineStr">
        <is>
          <t>avverkningsanmälan</t>
        </is>
      </c>
      <c r="C6693" t="inlineStr">
        <is>
          <t>Föryngringsavverkning</t>
        </is>
      </c>
      <c r="D6693" s="1" t="n">
        <v>45646</v>
      </c>
      <c r="E6693" s="1" t="n">
        <v>46326</v>
      </c>
      <c r="F6693" t="inlineStr">
        <is>
          <t>GÄVLEBORGS LÄN</t>
        </is>
      </c>
      <c r="G6693" t="inlineStr">
        <is>
          <t>GÄVLE</t>
        </is>
      </c>
      <c r="I6693" t="n">
        <v>1</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A 20252-2026</t>
        </is>
      </c>
      <c r="B6694" t="inlineStr">
        <is>
          <t>avverkningsanmälan</t>
        </is>
      </c>
      <c r="C6694" t="inlineStr">
        <is>
          <t>Föryngringsavverkning</t>
        </is>
      </c>
      <c r="D6694" s="1" t="n">
        <v>46139</v>
      </c>
      <c r="E6694" s="1" t="n">
        <v>46326</v>
      </c>
      <c r="F6694" t="inlineStr">
        <is>
          <t>GÄVLEBORGS LÄN</t>
        </is>
      </c>
      <c r="G6694" t="inlineStr">
        <is>
          <t>BOLLNÄS</t>
        </is>
      </c>
      <c r="I6694" t="n">
        <v>6.4</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A 1469-2026</t>
        </is>
      </c>
      <c r="B6695" t="inlineStr">
        <is>
          <t>avverkningsanmälan</t>
        </is>
      </c>
      <c r="C6695" t="inlineStr">
        <is>
          <t>Föryngringsavverkning</t>
        </is>
      </c>
      <c r="D6695" s="1" t="n">
        <v>46033</v>
      </c>
      <c r="E6695" s="1" t="n">
        <v>46326</v>
      </c>
      <c r="F6695" t="inlineStr">
        <is>
          <t>GÄVLEBORGS LÄN</t>
        </is>
      </c>
      <c r="G6695" t="inlineStr">
        <is>
          <t>NORDANSTIG</t>
        </is>
      </c>
      <c r="I6695" t="n">
        <v>1</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A 57378-2024</t>
        </is>
      </c>
      <c r="B6696" t="inlineStr">
        <is>
          <t>avverkningsanmälan</t>
        </is>
      </c>
      <c r="C6696" t="inlineStr">
        <is>
          <t>Föryngringsavverkning</t>
        </is>
      </c>
      <c r="D6696" s="1" t="n">
        <v>45629</v>
      </c>
      <c r="E6696" s="1" t="n">
        <v>46326</v>
      </c>
      <c r="F6696" t="inlineStr">
        <is>
          <t>GÄVLEBORGS LÄN</t>
        </is>
      </c>
      <c r="G6696" t="inlineStr">
        <is>
          <t>BOLLNÄS</t>
        </is>
      </c>
      <c r="I6696" t="n">
        <v>0.4</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A 7408-2026</t>
        </is>
      </c>
      <c r="B6697" t="inlineStr">
        <is>
          <t>avverkningsanmälan</t>
        </is>
      </c>
      <c r="C6697" t="inlineStr">
        <is>
          <t>Föryngringsavverkning</t>
        </is>
      </c>
      <c r="D6697" s="1" t="n">
        <v>46059</v>
      </c>
      <c r="E6697" s="1" t="n">
        <v>46326</v>
      </c>
      <c r="F6697" t="inlineStr">
        <is>
          <t>GÄVLEBORGS LÄN</t>
        </is>
      </c>
      <c r="G6697" t="inlineStr">
        <is>
          <t>BOLLNÄS</t>
        </is>
      </c>
      <c r="I6697" t="n">
        <v>10.8</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A 3416-2026</t>
        </is>
      </c>
      <c r="B6698" t="inlineStr">
        <is>
          <t>avverkningsanmälan</t>
        </is>
      </c>
      <c r="C6698" t="inlineStr">
        <is>
          <t>Föryngringsavverkning</t>
        </is>
      </c>
      <c r="D6698" s="1" t="n">
        <v>46042</v>
      </c>
      <c r="E6698" s="1" t="n">
        <v>46326</v>
      </c>
      <c r="F6698" t="inlineStr">
        <is>
          <t>GÄVLEBORGS LÄN</t>
        </is>
      </c>
      <c r="G6698" t="inlineStr">
        <is>
          <t>OVANÅKER</t>
        </is>
      </c>
      <c r="H6698" t="inlineStr">
        <is>
          <t>Bergvik skog väst AB</t>
        </is>
      </c>
      <c r="I6698" t="n">
        <v>1.6</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A 47458-2022</t>
        </is>
      </c>
      <c r="B6699" t="inlineStr">
        <is>
          <t>avverkningsanmälan</t>
        </is>
      </c>
      <c r="C6699" t="inlineStr">
        <is>
          <t>Föryngringsavverkning</t>
        </is>
      </c>
      <c r="D6699" s="1" t="n">
        <v>44853</v>
      </c>
      <c r="E6699" s="1" t="n">
        <v>46326</v>
      </c>
      <c r="F6699" t="inlineStr">
        <is>
          <t>GÄVLEBORGS LÄN</t>
        </is>
      </c>
      <c r="G6699" t="inlineStr">
        <is>
          <t>GÄVLE</t>
        </is>
      </c>
      <c r="I6699" t="n">
        <v>2</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A 49706-2023</t>
        </is>
      </c>
      <c r="B6700" t="inlineStr">
        <is>
          <t>avverkningsanmälan</t>
        </is>
      </c>
      <c r="C6700" t="inlineStr">
        <is>
          <t>Avverkning för att bevara och utveckla /försöksver</t>
        </is>
      </c>
      <c r="D6700" s="1" t="n">
        <v>45212</v>
      </c>
      <c r="E6700" s="1" t="n">
        <v>46326</v>
      </c>
      <c r="F6700" t="inlineStr">
        <is>
          <t>GÄVLEBORGS LÄN</t>
        </is>
      </c>
      <c r="G6700" t="inlineStr">
        <is>
          <t>SANDVIKEN</t>
        </is>
      </c>
      <c r="H6700" t="inlineStr">
        <is>
          <t>Sveaskog</t>
        </is>
      </c>
      <c r="I6700" t="n">
        <v>0.2</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A 19174-2026</t>
        </is>
      </c>
      <c r="B6701" t="inlineStr">
        <is>
          <t>avverkningsanmälan</t>
        </is>
      </c>
      <c r="C6701" t="inlineStr">
        <is>
          <t>Föryngringsavverkning</t>
        </is>
      </c>
      <c r="D6701" s="1" t="n">
        <v>46132</v>
      </c>
      <c r="E6701" s="1" t="n">
        <v>46326</v>
      </c>
      <c r="F6701" t="inlineStr">
        <is>
          <t>GÄVLEBORGS LÄN</t>
        </is>
      </c>
      <c r="G6701" t="inlineStr">
        <is>
          <t>SÖDERHAMN</t>
        </is>
      </c>
      <c r="H6701" t="inlineStr">
        <is>
          <t>Bergvik skog väst AB</t>
        </is>
      </c>
      <c r="I6701" t="n">
        <v>0.8</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A 14653-2026</t>
        </is>
      </c>
      <c r="B6702" t="inlineStr">
        <is>
          <t>avverkningsanmälan</t>
        </is>
      </c>
      <c r="C6702" t="inlineStr">
        <is>
          <t>Föryngringsavverkning</t>
        </is>
      </c>
      <c r="D6702" s="1" t="n">
        <v>46101</v>
      </c>
      <c r="E6702" s="1" t="n">
        <v>46326</v>
      </c>
      <c r="F6702" t="inlineStr">
        <is>
          <t>GÄVLEBORGS LÄN</t>
        </is>
      </c>
      <c r="G6702" t="inlineStr">
        <is>
          <t>HUDIKSVALL</t>
        </is>
      </c>
      <c r="I6702" t="n">
        <v>1.1</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A 23189-2025</t>
        </is>
      </c>
      <c r="B6703" t="inlineStr">
        <is>
          <t>avverkningsanmälan</t>
        </is>
      </c>
      <c r="C6703" t="inlineStr">
        <is>
          <t>Föryngringsavverkning</t>
        </is>
      </c>
      <c r="D6703" s="1" t="n">
        <v>45791</v>
      </c>
      <c r="E6703" s="1" t="n">
        <v>46326</v>
      </c>
      <c r="F6703" t="inlineStr">
        <is>
          <t>GÄVLEBORGS LÄN</t>
        </is>
      </c>
      <c r="G6703" t="inlineStr">
        <is>
          <t>SÖDERHAMN</t>
        </is>
      </c>
      <c r="I6703" t="n">
        <v>0.7</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A 15101-2025</t>
        </is>
      </c>
      <c r="B6704" t="inlineStr">
        <is>
          <t>avverkningsanmälan</t>
        </is>
      </c>
      <c r="C6704" t="inlineStr">
        <is>
          <t>Föryngringsavverkning</t>
        </is>
      </c>
      <c r="D6704" s="1" t="n">
        <v>45744</v>
      </c>
      <c r="E6704" s="1" t="n">
        <v>46326</v>
      </c>
      <c r="F6704" t="inlineStr">
        <is>
          <t>GÄVLEBORGS LÄN</t>
        </is>
      </c>
      <c r="G6704" t="inlineStr">
        <is>
          <t>GÄVLE</t>
        </is>
      </c>
      <c r="H6704" t="inlineStr">
        <is>
          <t>Bergvik skog öst AB</t>
        </is>
      </c>
      <c r="I6704" t="n">
        <v>1.3</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A 2199-2026</t>
        </is>
      </c>
      <c r="B6705" t="inlineStr">
        <is>
          <t>avverkningsanmälan</t>
        </is>
      </c>
      <c r="C6705" t="inlineStr">
        <is>
          <t>Föryngringsavverkning</t>
        </is>
      </c>
      <c r="D6705" s="1" t="n">
        <v>46036</v>
      </c>
      <c r="E6705" s="1" t="n">
        <v>46326</v>
      </c>
      <c r="F6705" t="inlineStr">
        <is>
          <t>GÄVLEBORGS LÄN</t>
        </is>
      </c>
      <c r="G6705" t="inlineStr">
        <is>
          <t>OVANÅKER</t>
        </is>
      </c>
      <c r="I6705" t="n">
        <v>4.2</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A 10447-2026</t>
        </is>
      </c>
      <c r="B6706" t="inlineStr">
        <is>
          <t>avverkningsanmälan</t>
        </is>
      </c>
      <c r="C6706" t="inlineStr">
        <is>
          <t>Föryngringsavverkning</t>
        </is>
      </c>
      <c r="D6706" s="1" t="n">
        <v>46077</v>
      </c>
      <c r="E6706" s="1" t="n">
        <v>46326</v>
      </c>
      <c r="F6706" t="inlineStr">
        <is>
          <t>GÄVLEBORGS LÄN</t>
        </is>
      </c>
      <c r="G6706" t="inlineStr">
        <is>
          <t>BOLLNÄS</t>
        </is>
      </c>
      <c r="H6706" t="inlineStr">
        <is>
          <t>Bergvik skog väst AB</t>
        </is>
      </c>
      <c r="I6706" t="n">
        <v>1.8</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A 5325-2026</t>
        </is>
      </c>
      <c r="B6707" t="inlineStr">
        <is>
          <t>avverkningsanmälan</t>
        </is>
      </c>
      <c r="C6707" t="inlineStr">
        <is>
          <t>Föryngringsavverkning</t>
        </is>
      </c>
      <c r="D6707" s="1" t="n">
        <v>46050</v>
      </c>
      <c r="E6707" s="1" t="n">
        <v>46326</v>
      </c>
      <c r="F6707" t="inlineStr">
        <is>
          <t>GÄVLEBORGS LÄN</t>
        </is>
      </c>
      <c r="G6707" t="inlineStr">
        <is>
          <t>OCKELBO</t>
        </is>
      </c>
      <c r="H6707" t="inlineStr">
        <is>
          <t>Bergvik skog väst AB</t>
        </is>
      </c>
      <c r="I6707" t="n">
        <v>5.5</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A 5995-2026</t>
        </is>
      </c>
      <c r="B6708" t="inlineStr">
        <is>
          <t>avverkningsanmälan</t>
        </is>
      </c>
      <c r="C6708" t="inlineStr">
        <is>
          <t>Föryngringsavverkning</t>
        </is>
      </c>
      <c r="D6708" s="1" t="n">
        <v>46052</v>
      </c>
      <c r="E6708" s="1" t="n">
        <v>46326</v>
      </c>
      <c r="F6708" t="inlineStr">
        <is>
          <t>GÄVLEBORGS LÄN</t>
        </is>
      </c>
      <c r="G6708" t="inlineStr">
        <is>
          <t>BOLLNÄS</t>
        </is>
      </c>
      <c r="I6708" t="n">
        <v>2.4</v>
      </c>
      <c r="J6708" t="n">
        <v>0</v>
      </c>
      <c r="K6708" t="n">
        <v>0</v>
      </c>
      <c r="L6708" t="n">
        <v>0</v>
      </c>
      <c r="M6708" t="n">
        <v>0</v>
      </c>
      <c r="N6708" t="n">
        <v>0</v>
      </c>
      <c r="O6708" t="n">
        <v>0</v>
      </c>
      <c r="P6708" t="n">
        <v>0</v>
      </c>
      <c r="Q6708" t="n">
        <v>0</v>
      </c>
      <c r="R6708" t="n">
        <v>0</v>
      </c>
      <c r="S6708" t="n">
        <v>0</v>
      </c>
      <c r="T6708" t="n">
        <v>0</v>
      </c>
      <c r="U6708" t="n">
        <v>0</v>
      </c>
      <c r="V6708" s="2" t="inlineStr"/>
    </row>
    <row r="6709" ht="15" customHeight="1">
      <c r="A6709" t="inlineStr">
        <is>
          <t>A 29401-2025</t>
        </is>
      </c>
      <c r="B6709" t="inlineStr">
        <is>
          <t>avverkningsanmälan</t>
        </is>
      </c>
      <c r="C6709" t="inlineStr">
        <is>
          <t>Föryngringsavverkning</t>
        </is>
      </c>
      <c r="D6709" s="1" t="n">
        <v>45824</v>
      </c>
      <c r="E6709" s="1" t="n">
        <v>46326</v>
      </c>
      <c r="F6709" t="inlineStr">
        <is>
          <t>GÄVLEBORGS LÄN</t>
        </is>
      </c>
      <c r="G6709" t="inlineStr">
        <is>
          <t>NORDANSTIG</t>
        </is>
      </c>
      <c r="H6709" t="inlineStr">
        <is>
          <t>Holmen skog AB</t>
        </is>
      </c>
      <c r="I6709" t="n">
        <v>1.2</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A 12511-2026</t>
        </is>
      </c>
      <c r="B6710" t="inlineStr">
        <is>
          <t>avverkningsanmälan</t>
        </is>
      </c>
      <c r="C6710" t="inlineStr">
        <is>
          <t>Föryngringsavverkning</t>
        </is>
      </c>
      <c r="D6710" s="1" t="n">
        <v>46090</v>
      </c>
      <c r="E6710" s="1" t="n">
        <v>46326</v>
      </c>
      <c r="F6710" t="inlineStr">
        <is>
          <t>GÄVLEBORGS LÄN</t>
        </is>
      </c>
      <c r="G6710" t="inlineStr">
        <is>
          <t>HUDIKSVALL</t>
        </is>
      </c>
      <c r="I6710" t="n">
        <v>5.2</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A 1060-2026</t>
        </is>
      </c>
      <c r="B6711" t="inlineStr">
        <is>
          <t>avverkningsanmälan</t>
        </is>
      </c>
      <c r="C6711" t="inlineStr">
        <is>
          <t>Föryngringsavverkning</t>
        </is>
      </c>
      <c r="D6711" s="1" t="n">
        <v>46030</v>
      </c>
      <c r="E6711" s="1" t="n">
        <v>46326</v>
      </c>
      <c r="F6711" t="inlineStr">
        <is>
          <t>GÄVLEBORGS LÄN</t>
        </is>
      </c>
      <c r="G6711" t="inlineStr">
        <is>
          <t>SANDVIKEN</t>
        </is>
      </c>
      <c r="I6711" t="n">
        <v>0.6</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A 36086-2024</t>
        </is>
      </c>
      <c r="B6712" t="inlineStr">
        <is>
          <t>avverkningsanmälan</t>
        </is>
      </c>
      <c r="C6712" t="inlineStr">
        <is>
          <t>Föryngringsavverkning</t>
        </is>
      </c>
      <c r="D6712" s="1" t="n">
        <v>45533</v>
      </c>
      <c r="E6712" s="1" t="n">
        <v>46326</v>
      </c>
      <c r="F6712" t="inlineStr">
        <is>
          <t>GÄVLEBORGS LÄN</t>
        </is>
      </c>
      <c r="G6712" t="inlineStr">
        <is>
          <t>HUDIKSVALL</t>
        </is>
      </c>
      <c r="I6712" t="n">
        <v>2.1</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A 18438-2024</t>
        </is>
      </c>
      <c r="B6713" t="inlineStr">
        <is>
          <t>avverkningsanmälan</t>
        </is>
      </c>
      <c r="C6713" t="inlineStr">
        <is>
          <t>Föryngringsavverkning</t>
        </is>
      </c>
      <c r="D6713" s="1" t="n">
        <v>45425</v>
      </c>
      <c r="E6713" s="1" t="n">
        <v>46326</v>
      </c>
      <c r="F6713" t="inlineStr">
        <is>
          <t>GÄVLEBORGS LÄN</t>
        </is>
      </c>
      <c r="G6713" t="inlineStr">
        <is>
          <t>BOLLNÄS</t>
        </is>
      </c>
      <c r="I6713" t="n">
        <v>0.7</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A 2081-2026</t>
        </is>
      </c>
      <c r="B6714" t="inlineStr">
        <is>
          <t>avverkningsanmälan</t>
        </is>
      </c>
      <c r="C6714" t="inlineStr">
        <is>
          <t>Föryngringsavverkning</t>
        </is>
      </c>
      <c r="D6714" s="1" t="n">
        <v>46036</v>
      </c>
      <c r="E6714" s="1" t="n">
        <v>46326</v>
      </c>
      <c r="F6714" t="inlineStr">
        <is>
          <t>GÄVLEBORGS LÄN</t>
        </is>
      </c>
      <c r="G6714" t="inlineStr">
        <is>
          <t>OVANÅKER</t>
        </is>
      </c>
      <c r="I6714" t="n">
        <v>3</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A 27916-2025</t>
        </is>
      </c>
      <c r="B6715" t="inlineStr">
        <is>
          <t>avverkningsanmälan</t>
        </is>
      </c>
      <c r="C6715" t="inlineStr">
        <is>
          <t>Föryngringsavverkning</t>
        </is>
      </c>
      <c r="D6715" s="1" t="n">
        <v>45817</v>
      </c>
      <c r="E6715" s="1" t="n">
        <v>46326</v>
      </c>
      <c r="F6715" t="inlineStr">
        <is>
          <t>GÄVLEBORGS LÄN</t>
        </is>
      </c>
      <c r="G6715" t="inlineStr">
        <is>
          <t>LJUSDAL</t>
        </is>
      </c>
      <c r="I6715" t="n">
        <v>1.9</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A 9721-2026</t>
        </is>
      </c>
      <c r="B6716" t="inlineStr">
        <is>
          <t>avverkningsanmälan</t>
        </is>
      </c>
      <c r="C6716" t="inlineStr">
        <is>
          <t>Föryngringsavverkning</t>
        </is>
      </c>
      <c r="D6716" s="1" t="n">
        <v>46072</v>
      </c>
      <c r="E6716" s="1" t="n">
        <v>46326</v>
      </c>
      <c r="F6716" t="inlineStr">
        <is>
          <t>GÄVLEBORGS LÄN</t>
        </is>
      </c>
      <c r="G6716" t="inlineStr">
        <is>
          <t>OVANÅKER</t>
        </is>
      </c>
      <c r="I6716" t="n">
        <v>5</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A 61416-2024</t>
        </is>
      </c>
      <c r="B6717" t="inlineStr">
        <is>
          <t>avverkningsanmälan</t>
        </is>
      </c>
      <c r="C6717" t="inlineStr">
        <is>
          <t>Föryngringsavverkning</t>
        </is>
      </c>
      <c r="D6717" s="1" t="n">
        <v>45646</v>
      </c>
      <c r="E6717" s="1" t="n">
        <v>46326</v>
      </c>
      <c r="F6717" t="inlineStr">
        <is>
          <t>GÄVLEBORGS LÄN</t>
        </is>
      </c>
      <c r="G6717" t="inlineStr">
        <is>
          <t>LJUSDAL</t>
        </is>
      </c>
      <c r="H6717" t="inlineStr">
        <is>
          <t>Sveaskog</t>
        </is>
      </c>
      <c r="I6717" t="n">
        <v>0.7</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A 73748-2021</t>
        </is>
      </c>
      <c r="B6718" t="inlineStr">
        <is>
          <t>avverkningsanmälan</t>
        </is>
      </c>
      <c r="C6718" t="inlineStr">
        <is>
          <t>Föryngringsavverkning</t>
        </is>
      </c>
      <c r="D6718" s="1" t="n">
        <v>44552</v>
      </c>
      <c r="E6718" s="1" t="n">
        <v>46326</v>
      </c>
      <c r="F6718" t="inlineStr">
        <is>
          <t>GÄVLEBORGS LÄN</t>
        </is>
      </c>
      <c r="G6718" t="inlineStr">
        <is>
          <t>NORDANSTIG</t>
        </is>
      </c>
      <c r="I6718" t="n">
        <v>1.9</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A 19499-2026</t>
        </is>
      </c>
      <c r="B6719" t="inlineStr">
        <is>
          <t>avverkningsanmälan</t>
        </is>
      </c>
      <c r="C6719" t="inlineStr">
        <is>
          <t>Föryngringsavverkning</t>
        </is>
      </c>
      <c r="D6719" s="1" t="n">
        <v>46134</v>
      </c>
      <c r="E6719" s="1" t="n">
        <v>46326</v>
      </c>
      <c r="F6719" t="inlineStr">
        <is>
          <t>GÄVLEBORGS LÄN</t>
        </is>
      </c>
      <c r="G6719" t="inlineStr">
        <is>
          <t>SANDVIKEN</t>
        </is>
      </c>
      <c r="I6719" t="n">
        <v>2.1</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A 12873-2026</t>
        </is>
      </c>
      <c r="B6720" t="inlineStr">
        <is>
          <t>avverkningsanmälan</t>
        </is>
      </c>
      <c r="C6720" t="inlineStr">
        <is>
          <t>Föryngringsavverkning</t>
        </is>
      </c>
      <c r="D6720" s="1" t="n">
        <v>46092</v>
      </c>
      <c r="E6720" s="1" t="n">
        <v>46326</v>
      </c>
      <c r="F6720" t="inlineStr">
        <is>
          <t>GÄVLEBORGS LÄN</t>
        </is>
      </c>
      <c r="G6720" t="inlineStr">
        <is>
          <t>HUDIKSVALL</t>
        </is>
      </c>
      <c r="I6720" t="n">
        <v>3.4</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A 52695-2024</t>
        </is>
      </c>
      <c r="B6721" t="inlineStr">
        <is>
          <t>avverkningsanmälan</t>
        </is>
      </c>
      <c r="C6721" t="inlineStr">
        <is>
          <t>Föryngringsavverkning</t>
        </is>
      </c>
      <c r="D6721" s="1" t="n">
        <v>45610</v>
      </c>
      <c r="E6721" s="1" t="n">
        <v>46326</v>
      </c>
      <c r="F6721" t="inlineStr">
        <is>
          <t>GÄVLEBORGS LÄN</t>
        </is>
      </c>
      <c r="G6721" t="inlineStr">
        <is>
          <t>NORDANSTIG</t>
        </is>
      </c>
      <c r="H6721" t="inlineStr">
        <is>
          <t>Holmen skog AB</t>
        </is>
      </c>
      <c r="I6721" t="n">
        <v>2.6</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A 42592-2025</t>
        </is>
      </c>
      <c r="B6722" t="inlineStr">
        <is>
          <t>avverkningsanmälan</t>
        </is>
      </c>
      <c r="C6722" t="inlineStr">
        <is>
          <t>Föryngringsavverkning</t>
        </is>
      </c>
      <c r="D6722" s="1" t="n">
        <v>45905</v>
      </c>
      <c r="E6722" s="1" t="n">
        <v>46326</v>
      </c>
      <c r="F6722" t="inlineStr">
        <is>
          <t>GÄVLEBORGS LÄN</t>
        </is>
      </c>
      <c r="G6722" t="inlineStr">
        <is>
          <t>GÄVLE</t>
        </is>
      </c>
      <c r="H6722" t="inlineStr">
        <is>
          <t>Bergvik skog väst AB</t>
        </is>
      </c>
      <c r="I6722" t="n">
        <v>2.6</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A 61207-2022</t>
        </is>
      </c>
      <c r="B6723" t="inlineStr">
        <is>
          <t>avverkningsanmälan</t>
        </is>
      </c>
      <c r="C6723" t="inlineStr">
        <is>
          <t>Föryngringsavverkning</t>
        </is>
      </c>
      <c r="D6723" s="1" t="n">
        <v>44915</v>
      </c>
      <c r="E6723" s="1" t="n">
        <v>46326</v>
      </c>
      <c r="F6723" t="inlineStr">
        <is>
          <t>GÄVLEBORGS LÄN</t>
        </is>
      </c>
      <c r="G6723" t="inlineStr">
        <is>
          <t>HUDIKSVALL</t>
        </is>
      </c>
      <c r="H6723" t="inlineStr">
        <is>
          <t>Holmen skog AB</t>
        </is>
      </c>
      <c r="I6723" t="n">
        <v>4.2</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A 51387-2024</t>
        </is>
      </c>
      <c r="B6724" t="inlineStr">
        <is>
          <t>avverkningsanmälan</t>
        </is>
      </c>
      <c r="C6724" t="inlineStr">
        <is>
          <t>Föryngringsavverkning</t>
        </is>
      </c>
      <c r="D6724" s="1" t="n">
        <v>45604</v>
      </c>
      <c r="E6724" s="1" t="n">
        <v>46326</v>
      </c>
      <c r="F6724" t="inlineStr">
        <is>
          <t>GÄVLEBORGS LÄN</t>
        </is>
      </c>
      <c r="G6724" t="inlineStr">
        <is>
          <t>NORDANSTIG</t>
        </is>
      </c>
      <c r="H6724" t="inlineStr">
        <is>
          <t>Holmen skog AB</t>
        </is>
      </c>
      <c r="I6724" t="n">
        <v>1.3</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A 60931-2023</t>
        </is>
      </c>
      <c r="B6725" t="inlineStr">
        <is>
          <t>avverkningsanmälan</t>
        </is>
      </c>
      <c r="C6725" t="inlineStr">
        <is>
          <t>Föryngringsavverkning</t>
        </is>
      </c>
      <c r="D6725" s="1" t="n">
        <v>45261</v>
      </c>
      <c r="E6725" s="1" t="n">
        <v>46326</v>
      </c>
      <c r="F6725" t="inlineStr">
        <is>
          <t>GÄVLEBORGS LÄN</t>
        </is>
      </c>
      <c r="G6725" t="inlineStr">
        <is>
          <t>HUDIKSVALL</t>
        </is>
      </c>
      <c r="H6725" t="inlineStr">
        <is>
          <t>Holmen skog AB</t>
        </is>
      </c>
      <c r="I6725" t="n">
        <v>2.5</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A 20026-2026</t>
        </is>
      </c>
      <c r="B6726" t="inlineStr">
        <is>
          <t>avverkningsanmälan</t>
        </is>
      </c>
      <c r="C6726" t="inlineStr">
        <is>
          <t>Föryngringsavverkning</t>
        </is>
      </c>
      <c r="D6726" s="1" t="n">
        <v>46136</v>
      </c>
      <c r="E6726" s="1" t="n">
        <v>46326</v>
      </c>
      <c r="F6726" t="inlineStr">
        <is>
          <t>GÄVLEBORGS LÄN</t>
        </is>
      </c>
      <c r="G6726" t="inlineStr">
        <is>
          <t>BOLLNÄS</t>
        </is>
      </c>
      <c r="I6726" t="n">
        <v>1.7</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A 62096-2024</t>
        </is>
      </c>
      <c r="B6727" t="inlineStr">
        <is>
          <t>avverkningsanmälan</t>
        </is>
      </c>
      <c r="C6727" t="inlineStr">
        <is>
          <t>Föryngringsavverkning</t>
        </is>
      </c>
      <c r="D6727" s="1" t="n">
        <v>45656</v>
      </c>
      <c r="E6727" s="1" t="n">
        <v>46326</v>
      </c>
      <c r="F6727" t="inlineStr">
        <is>
          <t>GÄVLEBORGS LÄN</t>
        </is>
      </c>
      <c r="G6727" t="inlineStr">
        <is>
          <t>OCKELBO</t>
        </is>
      </c>
      <c r="I6727" t="n">
        <v>1.7</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A 20247-2026</t>
        </is>
      </c>
      <c r="B6728" t="inlineStr">
        <is>
          <t>avverkningsanmälan</t>
        </is>
      </c>
      <c r="C6728" t="inlineStr">
        <is>
          <t>Föryngringsavverkning</t>
        </is>
      </c>
      <c r="D6728" s="1" t="n">
        <v>46139</v>
      </c>
      <c r="E6728" s="1" t="n">
        <v>46326</v>
      </c>
      <c r="F6728" t="inlineStr">
        <is>
          <t>GÄVLEBORGS LÄN</t>
        </is>
      </c>
      <c r="G6728" t="inlineStr">
        <is>
          <t>BOLLNÄS</t>
        </is>
      </c>
      <c r="H6728" t="inlineStr">
        <is>
          <t>Bergvik skog väst AB</t>
        </is>
      </c>
      <c r="I6728" t="n">
        <v>5.3</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A 27200-2025</t>
        </is>
      </c>
      <c r="B6729" t="inlineStr">
        <is>
          <t>avverkningsanmälan</t>
        </is>
      </c>
      <c r="C6729" t="inlineStr">
        <is>
          <t>Föryngringsavverkning</t>
        </is>
      </c>
      <c r="D6729" s="1" t="n">
        <v>45812</v>
      </c>
      <c r="E6729" s="1" t="n">
        <v>46326</v>
      </c>
      <c r="F6729" t="inlineStr">
        <is>
          <t>GÄVLEBORGS LÄN</t>
        </is>
      </c>
      <c r="G6729" t="inlineStr">
        <is>
          <t>LJUSDAL</t>
        </is>
      </c>
      <c r="I6729" t="n">
        <v>7.7</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A 63877-2025</t>
        </is>
      </c>
      <c r="B6730" t="inlineStr">
        <is>
          <t>avverkningsanmälan</t>
        </is>
      </c>
      <c r="C6730" t="inlineStr">
        <is>
          <t>Föryngringsavverkning</t>
        </is>
      </c>
      <c r="D6730" s="1" t="n">
        <v>46020</v>
      </c>
      <c r="E6730" s="1" t="n">
        <v>46326</v>
      </c>
      <c r="F6730" t="inlineStr">
        <is>
          <t>GÄVLEBORGS LÄN</t>
        </is>
      </c>
      <c r="G6730" t="inlineStr">
        <is>
          <t>BOLLNÄS</t>
        </is>
      </c>
      <c r="I6730" t="n">
        <v>8.800000000000001</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A 450-2026</t>
        </is>
      </c>
      <c r="B6731" t="inlineStr">
        <is>
          <t>avverkningsanmälan</t>
        </is>
      </c>
      <c r="C6731" t="inlineStr">
        <is>
          <t>Föryngringsavverkning</t>
        </is>
      </c>
      <c r="D6731" s="1" t="n">
        <v>46029</v>
      </c>
      <c r="E6731" s="1" t="n">
        <v>46326</v>
      </c>
      <c r="F6731" t="inlineStr">
        <is>
          <t>GÄVLEBORGS LÄN</t>
        </is>
      </c>
      <c r="G6731" t="inlineStr">
        <is>
          <t>SANDVIKEN</t>
        </is>
      </c>
      <c r="I6731" t="n">
        <v>2.2</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A 10575-2025</t>
        </is>
      </c>
      <c r="B6732" t="inlineStr">
        <is>
          <t>avverkningsanmälan</t>
        </is>
      </c>
      <c r="C6732" t="inlineStr">
        <is>
          <t>Föryngringsavverkning</t>
        </is>
      </c>
      <c r="D6732" s="1" t="n">
        <v>45721</v>
      </c>
      <c r="E6732" s="1" t="n">
        <v>46326</v>
      </c>
      <c r="F6732" t="inlineStr">
        <is>
          <t>GÄVLEBORGS LÄN</t>
        </is>
      </c>
      <c r="G6732" t="inlineStr">
        <is>
          <t>SANDVIKEN</t>
        </is>
      </c>
      <c r="H6732" t="inlineStr">
        <is>
          <t>Sveaskog</t>
        </is>
      </c>
      <c r="I6732" t="n">
        <v>3.7</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A 3309-2026</t>
        </is>
      </c>
      <c r="B6733" t="inlineStr">
        <is>
          <t>avverkningsanmälan</t>
        </is>
      </c>
      <c r="C6733" t="inlineStr">
        <is>
          <t>Föryngringsavverkning</t>
        </is>
      </c>
      <c r="D6733" s="1" t="n">
        <v>46041</v>
      </c>
      <c r="E6733" s="1" t="n">
        <v>46326</v>
      </c>
      <c r="F6733" t="inlineStr">
        <is>
          <t>GÄVLEBORGS LÄN</t>
        </is>
      </c>
      <c r="G6733" t="inlineStr">
        <is>
          <t>SÖDERHAMN</t>
        </is>
      </c>
      <c r="I6733" t="n">
        <v>2.7</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A 12595-2026</t>
        </is>
      </c>
      <c r="B6734" t="inlineStr">
        <is>
          <t>avverkningsanmälan</t>
        </is>
      </c>
      <c r="C6734" t="inlineStr">
        <is>
          <t>Föryngringsavverkning</t>
        </is>
      </c>
      <c r="D6734" s="1" t="n">
        <v>46090</v>
      </c>
      <c r="E6734" s="1" t="n">
        <v>46326</v>
      </c>
      <c r="F6734" t="inlineStr">
        <is>
          <t>GÄVLEBORGS LÄN</t>
        </is>
      </c>
      <c r="G6734" t="inlineStr">
        <is>
          <t>BOLLNÄS</t>
        </is>
      </c>
      <c r="I6734" t="n">
        <v>4</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A 10577-2025</t>
        </is>
      </c>
      <c r="B6735" t="inlineStr">
        <is>
          <t>avverkningsanmälan</t>
        </is>
      </c>
      <c r="C6735" t="inlineStr">
        <is>
          <t>Föryngringsavverkning</t>
        </is>
      </c>
      <c r="D6735" s="1" t="n">
        <v>45721</v>
      </c>
      <c r="E6735" s="1" t="n">
        <v>46326</v>
      </c>
      <c r="F6735" t="inlineStr">
        <is>
          <t>GÄVLEBORGS LÄN</t>
        </is>
      </c>
      <c r="G6735" t="inlineStr">
        <is>
          <t>SANDVIKEN</t>
        </is>
      </c>
      <c r="H6735" t="inlineStr">
        <is>
          <t>Sveaskog</t>
        </is>
      </c>
      <c r="I6735" t="n">
        <v>10.9</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A 10580-2025</t>
        </is>
      </c>
      <c r="B6736" t="inlineStr">
        <is>
          <t>avverkningsanmälan</t>
        </is>
      </c>
      <c r="C6736" t="inlineStr">
        <is>
          <t>Föryngringsavverkning</t>
        </is>
      </c>
      <c r="D6736" s="1" t="n">
        <v>45721</v>
      </c>
      <c r="E6736" s="1" t="n">
        <v>46326</v>
      </c>
      <c r="F6736" t="inlineStr">
        <is>
          <t>GÄVLEBORGS LÄN</t>
        </is>
      </c>
      <c r="G6736" t="inlineStr">
        <is>
          <t>SANDVIKEN</t>
        </is>
      </c>
      <c r="H6736" t="inlineStr">
        <is>
          <t>Sveaskog</t>
        </is>
      </c>
      <c r="I6736" t="n">
        <v>2.4</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A 40689-2025</t>
        </is>
      </c>
      <c r="B6737" t="inlineStr">
        <is>
          <t>avverkningsanmälan</t>
        </is>
      </c>
      <c r="C6737" t="inlineStr">
        <is>
          <t>Föryngringsavverkning</t>
        </is>
      </c>
      <c r="D6737" s="1" t="n">
        <v>45896</v>
      </c>
      <c r="E6737" s="1" t="n">
        <v>46326</v>
      </c>
      <c r="F6737" t="inlineStr">
        <is>
          <t>GÄVLEBORGS LÄN</t>
        </is>
      </c>
      <c r="G6737" t="inlineStr">
        <is>
          <t>LJUSDAL</t>
        </is>
      </c>
      <c r="I6737" t="n">
        <v>1.5</v>
      </c>
      <c r="J6737" t="n">
        <v>0</v>
      </c>
      <c r="K6737" t="n">
        <v>0</v>
      </c>
      <c r="L6737" t="n">
        <v>0</v>
      </c>
      <c r="M6737" t="n">
        <v>0</v>
      </c>
      <c r="N6737" t="n">
        <v>0</v>
      </c>
      <c r="O6737" t="n">
        <v>0</v>
      </c>
      <c r="P6737" t="n">
        <v>0</v>
      </c>
      <c r="Q6737" t="n">
        <v>0</v>
      </c>
      <c r="R6737" t="n">
        <v>0</v>
      </c>
      <c r="S6737" t="n">
        <v>0</v>
      </c>
      <c r="T6737" t="n">
        <v>0</v>
      </c>
      <c r="U6737" t="n">
        <v>0</v>
      </c>
      <c r="V6737" s="2" t="inlineStr"/>
    </row>
    <row r="6738" ht="15" customHeight="1">
      <c r="A6738" t="inlineStr">
        <is>
          <t>A 10958-2026</t>
        </is>
      </c>
      <c r="B6738" t="inlineStr">
        <is>
          <t>avverkningsanmälan</t>
        </is>
      </c>
      <c r="C6738" t="inlineStr">
        <is>
          <t>Föryngringsavverkning</t>
        </is>
      </c>
      <c r="D6738" s="1" t="n">
        <v>46079</v>
      </c>
      <c r="E6738" s="1" t="n">
        <v>46326</v>
      </c>
      <c r="F6738" t="inlineStr">
        <is>
          <t>GÄVLEBORGS LÄN</t>
        </is>
      </c>
      <c r="G6738" t="inlineStr">
        <is>
          <t>OVANÅKER</t>
        </is>
      </c>
      <c r="I6738" t="n">
        <v>1.5</v>
      </c>
      <c r="J6738" t="n">
        <v>0</v>
      </c>
      <c r="K6738" t="n">
        <v>0</v>
      </c>
      <c r="L6738" t="n">
        <v>0</v>
      </c>
      <c r="M6738" t="n">
        <v>0</v>
      </c>
      <c r="N6738" t="n">
        <v>0</v>
      </c>
      <c r="O6738" t="n">
        <v>0</v>
      </c>
      <c r="P6738" t="n">
        <v>0</v>
      </c>
      <c r="Q6738" t="n">
        <v>0</v>
      </c>
      <c r="R6738" t="n">
        <v>0</v>
      </c>
      <c r="S6738" t="n">
        <v>0</v>
      </c>
      <c r="T6738" t="n">
        <v>0</v>
      </c>
      <c r="U6738" t="n">
        <v>0</v>
      </c>
      <c r="V6738" s="2" t="inlineStr"/>
    </row>
    <row r="6739" ht="15" customHeight="1">
      <c r="A6739" t="inlineStr">
        <is>
          <t>A 20149-2026</t>
        </is>
      </c>
      <c r="B6739" t="inlineStr">
        <is>
          <t>avverkningsanmälan</t>
        </is>
      </c>
      <c r="C6739" t="inlineStr">
        <is>
          <t>Föryngringsavverkning</t>
        </is>
      </c>
      <c r="D6739" s="1" t="n">
        <v>46137</v>
      </c>
      <c r="E6739" s="1" t="n">
        <v>46326</v>
      </c>
      <c r="F6739" t="inlineStr">
        <is>
          <t>GÄVLEBORGS LÄN</t>
        </is>
      </c>
      <c r="G6739" t="inlineStr">
        <is>
          <t>OCKELBO</t>
        </is>
      </c>
      <c r="H6739" t="inlineStr">
        <is>
          <t>Bergvik skog väst AB</t>
        </is>
      </c>
      <c r="I6739" t="n">
        <v>7.3</v>
      </c>
      <c r="J6739" t="n">
        <v>0</v>
      </c>
      <c r="K6739" t="n">
        <v>0</v>
      </c>
      <c r="L6739" t="n">
        <v>0</v>
      </c>
      <c r="M6739" t="n">
        <v>0</v>
      </c>
      <c r="N6739" t="n">
        <v>0</v>
      </c>
      <c r="O6739" t="n">
        <v>0</v>
      </c>
      <c r="P6739" t="n">
        <v>0</v>
      </c>
      <c r="Q6739" t="n">
        <v>0</v>
      </c>
      <c r="R6739" t="n">
        <v>0</v>
      </c>
      <c r="S6739" t="n">
        <v>0</v>
      </c>
      <c r="T6739" t="n">
        <v>0</v>
      </c>
      <c r="U6739" t="n">
        <v>0</v>
      </c>
      <c r="V6739" s="2" t="inlineStr"/>
    </row>
    <row r="6740" ht="15" customHeight="1">
      <c r="A6740" t="inlineStr">
        <is>
          <t>A 20150-2026</t>
        </is>
      </c>
      <c r="B6740" t="inlineStr">
        <is>
          <t>avverkningsanmälan</t>
        </is>
      </c>
      <c r="C6740" t="inlineStr">
        <is>
          <t>Föryngringsavverkning</t>
        </is>
      </c>
      <c r="D6740" s="1" t="n">
        <v>46137</v>
      </c>
      <c r="E6740" s="1" t="n">
        <v>46326</v>
      </c>
      <c r="F6740" t="inlineStr">
        <is>
          <t>GÄVLEBORGS LÄN</t>
        </is>
      </c>
      <c r="G6740" t="inlineStr">
        <is>
          <t>OCKELBO</t>
        </is>
      </c>
      <c r="H6740" t="inlineStr">
        <is>
          <t>Bergvik skog väst AB</t>
        </is>
      </c>
      <c r="I6740" t="n">
        <v>2.5</v>
      </c>
      <c r="J6740" t="n">
        <v>0</v>
      </c>
      <c r="K6740" t="n">
        <v>0</v>
      </c>
      <c r="L6740" t="n">
        <v>0</v>
      </c>
      <c r="M6740" t="n">
        <v>0</v>
      </c>
      <c r="N6740" t="n">
        <v>0</v>
      </c>
      <c r="O6740" t="n">
        <v>0</v>
      </c>
      <c r="P6740" t="n">
        <v>0</v>
      </c>
      <c r="Q6740" t="n">
        <v>0</v>
      </c>
      <c r="R6740" t="n">
        <v>0</v>
      </c>
      <c r="S6740" t="n">
        <v>0</v>
      </c>
      <c r="T6740" t="n">
        <v>0</v>
      </c>
      <c r="U6740" t="n">
        <v>0</v>
      </c>
      <c r="V6740" s="2" t="inlineStr"/>
    </row>
    <row r="6741" ht="15" customHeight="1">
      <c r="A6741" t="inlineStr">
        <is>
          <t>A 36048-2024</t>
        </is>
      </c>
      <c r="B6741" t="inlineStr">
        <is>
          <t>avverkningsanmälan</t>
        </is>
      </c>
      <c r="C6741" t="inlineStr">
        <is>
          <t>Föryngringsavverkning</t>
        </is>
      </c>
      <c r="D6741" s="1" t="n">
        <v>45533</v>
      </c>
      <c r="E6741" s="1" t="n">
        <v>46326</v>
      </c>
      <c r="F6741" t="inlineStr">
        <is>
          <t>GÄVLEBORGS LÄN</t>
        </is>
      </c>
      <c r="G6741" t="inlineStr">
        <is>
          <t>OVANÅKER</t>
        </is>
      </c>
      <c r="I6741" t="n">
        <v>2.1</v>
      </c>
      <c r="J6741" t="n">
        <v>0</v>
      </c>
      <c r="K6741" t="n">
        <v>0</v>
      </c>
      <c r="L6741" t="n">
        <v>0</v>
      </c>
      <c r="M6741" t="n">
        <v>0</v>
      </c>
      <c r="N6741" t="n">
        <v>0</v>
      </c>
      <c r="O6741" t="n">
        <v>0</v>
      </c>
      <c r="P6741" t="n">
        <v>0</v>
      </c>
      <c r="Q6741" t="n">
        <v>0</v>
      </c>
      <c r="R6741" t="n">
        <v>0</v>
      </c>
      <c r="S6741" t="n">
        <v>0</v>
      </c>
      <c r="T6741" t="n">
        <v>0</v>
      </c>
      <c r="U6741" t="n">
        <v>0</v>
      </c>
      <c r="V6741" s="2" t="inlineStr"/>
    </row>
    <row r="6742" ht="15" customHeight="1">
      <c r="A6742" t="inlineStr">
        <is>
          <t>A 20043-2024</t>
        </is>
      </c>
      <c r="B6742" t="inlineStr">
        <is>
          <t>avverkningsanmälan</t>
        </is>
      </c>
      <c r="C6742" t="inlineStr">
        <is>
          <t>Föryngringsavverkning</t>
        </is>
      </c>
      <c r="D6742" s="1" t="n">
        <v>45434</v>
      </c>
      <c r="E6742" s="1" t="n">
        <v>46326</v>
      </c>
      <c r="F6742" t="inlineStr">
        <is>
          <t>GÄVLEBORGS LÄN</t>
        </is>
      </c>
      <c r="G6742" t="inlineStr">
        <is>
          <t>LJUSDAL</t>
        </is>
      </c>
      <c r="I6742" t="n">
        <v>0.7</v>
      </c>
      <c r="J6742" t="n">
        <v>0</v>
      </c>
      <c r="K6742" t="n">
        <v>0</v>
      </c>
      <c r="L6742" t="n">
        <v>0</v>
      </c>
      <c r="M6742" t="n">
        <v>0</v>
      </c>
      <c r="N6742" t="n">
        <v>0</v>
      </c>
      <c r="O6742" t="n">
        <v>0</v>
      </c>
      <c r="P6742" t="n">
        <v>0</v>
      </c>
      <c r="Q6742" t="n">
        <v>0</v>
      </c>
      <c r="R6742" t="n">
        <v>0</v>
      </c>
      <c r="S6742" t="n">
        <v>0</v>
      </c>
      <c r="T6742" t="n">
        <v>0</v>
      </c>
      <c r="U6742" t="n">
        <v>0</v>
      </c>
      <c r="V6742" s="2" t="inlineStr"/>
    </row>
    <row r="6743" ht="15" customHeight="1">
      <c r="A6743" t="inlineStr">
        <is>
          <t>A 44938-2022</t>
        </is>
      </c>
      <c r="B6743" t="inlineStr">
        <is>
          <t>avverkningsanmälan</t>
        </is>
      </c>
      <c r="C6743" t="inlineStr">
        <is>
          <t>Föryngringsavverkning</t>
        </is>
      </c>
      <c r="D6743" s="1" t="n">
        <v>44841</v>
      </c>
      <c r="E6743" s="1" t="n">
        <v>46326</v>
      </c>
      <c r="F6743" t="inlineStr">
        <is>
          <t>GÄVLEBORGS LÄN</t>
        </is>
      </c>
      <c r="G6743" t="inlineStr">
        <is>
          <t>GÄVLE</t>
        </is>
      </c>
      <c r="I6743" t="n">
        <v>2.1</v>
      </c>
      <c r="J6743" t="n">
        <v>0</v>
      </c>
      <c r="K6743" t="n">
        <v>0</v>
      </c>
      <c r="L6743" t="n">
        <v>0</v>
      </c>
      <c r="M6743" t="n">
        <v>0</v>
      </c>
      <c r="N6743" t="n">
        <v>0</v>
      </c>
      <c r="O6743" t="n">
        <v>0</v>
      </c>
      <c r="P6743" t="n">
        <v>0</v>
      </c>
      <c r="Q6743" t="n">
        <v>0</v>
      </c>
      <c r="R6743" t="n">
        <v>0</v>
      </c>
      <c r="S6743" t="n">
        <v>0</v>
      </c>
      <c r="T6743" t="n">
        <v>0</v>
      </c>
      <c r="U6743" t="n">
        <v>0</v>
      </c>
      <c r="V6743" s="2" t="inlineStr"/>
    </row>
    <row r="6744" ht="15" customHeight="1">
      <c r="A6744" t="inlineStr">
        <is>
          <t>A 4405-2026</t>
        </is>
      </c>
      <c r="B6744" t="inlineStr">
        <is>
          <t>avverkningsanmälan</t>
        </is>
      </c>
      <c r="C6744" t="inlineStr">
        <is>
          <t>Föryngringsavverkning</t>
        </is>
      </c>
      <c r="D6744" s="1" t="n">
        <v>46045</v>
      </c>
      <c r="E6744" s="1" t="n">
        <v>46326</v>
      </c>
      <c r="F6744" t="inlineStr">
        <is>
          <t>GÄVLEBORGS LÄN</t>
        </is>
      </c>
      <c r="G6744" t="inlineStr">
        <is>
          <t>HUDIKSVALL</t>
        </is>
      </c>
      <c r="I6744" t="n">
        <v>3.4</v>
      </c>
      <c r="J6744" t="n">
        <v>0</v>
      </c>
      <c r="K6744" t="n">
        <v>0</v>
      </c>
      <c r="L6744" t="n">
        <v>0</v>
      </c>
      <c r="M6744" t="n">
        <v>0</v>
      </c>
      <c r="N6744" t="n">
        <v>0</v>
      </c>
      <c r="O6744" t="n">
        <v>0</v>
      </c>
      <c r="P6744" t="n">
        <v>0</v>
      </c>
      <c r="Q6744" t="n">
        <v>0</v>
      </c>
      <c r="R6744" t="n">
        <v>0</v>
      </c>
      <c r="S6744" t="n">
        <v>0</v>
      </c>
      <c r="T6744" t="n">
        <v>0</v>
      </c>
      <c r="U6744" t="n">
        <v>0</v>
      </c>
      <c r="V6744" s="2" t="inlineStr"/>
    </row>
    <row r="6745" ht="15" customHeight="1">
      <c r="A6745" t="inlineStr">
        <is>
          <t>A 30673-2025</t>
        </is>
      </c>
      <c r="B6745" t="inlineStr">
        <is>
          <t>avverkningsanmälan</t>
        </is>
      </c>
      <c r="C6745" t="inlineStr">
        <is>
          <t>Föryngringsavverkning</t>
        </is>
      </c>
      <c r="D6745" s="1" t="n">
        <v>45831</v>
      </c>
      <c r="E6745" s="1" t="n">
        <v>46326</v>
      </c>
      <c r="F6745" t="inlineStr">
        <is>
          <t>GÄVLEBORGS LÄN</t>
        </is>
      </c>
      <c r="G6745" t="inlineStr">
        <is>
          <t>LJUSDAL</t>
        </is>
      </c>
      <c r="I6745" t="n">
        <v>3.9</v>
      </c>
      <c r="J6745" t="n">
        <v>0</v>
      </c>
      <c r="K6745" t="n">
        <v>0</v>
      </c>
      <c r="L6745" t="n">
        <v>0</v>
      </c>
      <c r="M6745" t="n">
        <v>0</v>
      </c>
      <c r="N6745" t="n">
        <v>0</v>
      </c>
      <c r="O6745" t="n">
        <v>0</v>
      </c>
      <c r="P6745" t="n">
        <v>0</v>
      </c>
      <c r="Q6745" t="n">
        <v>0</v>
      </c>
      <c r="R6745" t="n">
        <v>0</v>
      </c>
      <c r="S6745" t="n">
        <v>0</v>
      </c>
      <c r="T6745" t="n">
        <v>0</v>
      </c>
      <c r="U6745" t="n">
        <v>0</v>
      </c>
      <c r="V6745" s="2" t="inlineStr"/>
    </row>
    <row r="6746" ht="15" customHeight="1">
      <c r="A6746" t="inlineStr">
        <is>
          <t>A 4291-2026</t>
        </is>
      </c>
      <c r="B6746" t="inlineStr">
        <is>
          <t>avverkningsanmälan</t>
        </is>
      </c>
      <c r="C6746" t="inlineStr">
        <is>
          <t>Föryngringsavverkning</t>
        </is>
      </c>
      <c r="D6746" s="1" t="n">
        <v>46045</v>
      </c>
      <c r="E6746" s="1" t="n">
        <v>46326</v>
      </c>
      <c r="F6746" t="inlineStr">
        <is>
          <t>GÄVLEBORGS LÄN</t>
        </is>
      </c>
      <c r="G6746" t="inlineStr">
        <is>
          <t>BOLLNÄS</t>
        </is>
      </c>
      <c r="I6746" t="n">
        <v>14.4</v>
      </c>
      <c r="J6746" t="n">
        <v>0</v>
      </c>
      <c r="K6746" t="n">
        <v>0</v>
      </c>
      <c r="L6746" t="n">
        <v>0</v>
      </c>
      <c r="M6746" t="n">
        <v>0</v>
      </c>
      <c r="N6746" t="n">
        <v>0</v>
      </c>
      <c r="O6746" t="n">
        <v>0</v>
      </c>
      <c r="P6746" t="n">
        <v>0</v>
      </c>
      <c r="Q6746" t="n">
        <v>0</v>
      </c>
      <c r="R6746" t="n">
        <v>0</v>
      </c>
      <c r="S6746" t="n">
        <v>0</v>
      </c>
      <c r="T6746" t="n">
        <v>0</v>
      </c>
      <c r="U6746" t="n">
        <v>0</v>
      </c>
      <c r="V6746" s="2" t="inlineStr"/>
    </row>
    <row r="6747" ht="15" customHeight="1">
      <c r="A6747" t="inlineStr">
        <is>
          <t>A 147-2024</t>
        </is>
      </c>
      <c r="B6747" t="inlineStr">
        <is>
          <t>avverkningsanmälan</t>
        </is>
      </c>
      <c r="C6747" t="inlineStr">
        <is>
          <t>Föryngringsavverkning</t>
        </is>
      </c>
      <c r="D6747" s="1" t="n">
        <v>45294</v>
      </c>
      <c r="E6747" s="1" t="n">
        <v>46326</v>
      </c>
      <c r="F6747" t="inlineStr">
        <is>
          <t>GÄVLEBORGS LÄN</t>
        </is>
      </c>
      <c r="G6747" t="inlineStr">
        <is>
          <t>LJUSDAL</t>
        </is>
      </c>
      <c r="I6747" t="n">
        <v>9.9</v>
      </c>
      <c r="J6747" t="n">
        <v>0</v>
      </c>
      <c r="K6747" t="n">
        <v>0</v>
      </c>
      <c r="L6747" t="n">
        <v>0</v>
      </c>
      <c r="M6747" t="n">
        <v>0</v>
      </c>
      <c r="N6747" t="n">
        <v>0</v>
      </c>
      <c r="O6747" t="n">
        <v>0</v>
      </c>
      <c r="P6747" t="n">
        <v>0</v>
      </c>
      <c r="Q6747" t="n">
        <v>0</v>
      </c>
      <c r="R6747" t="n">
        <v>0</v>
      </c>
      <c r="S6747" t="n">
        <v>0</v>
      </c>
      <c r="T6747" t="n">
        <v>0</v>
      </c>
      <c r="U6747" t="n">
        <v>0</v>
      </c>
      <c r="V6747" s="2" t="inlineStr"/>
    </row>
    <row r="6748" ht="15" customHeight="1">
      <c r="A6748" t="inlineStr">
        <is>
          <t>A 42350-2022</t>
        </is>
      </c>
      <c r="B6748" t="inlineStr">
        <is>
          <t>avverkningsanmälan</t>
        </is>
      </c>
      <c r="C6748" t="inlineStr">
        <is>
          <t>Föryngringsavverkning</t>
        </is>
      </c>
      <c r="D6748" s="1" t="n">
        <v>44831</v>
      </c>
      <c r="E6748" s="1" t="n">
        <v>46326</v>
      </c>
      <c r="F6748" t="inlineStr">
        <is>
          <t>GÄVLEBORGS LÄN</t>
        </is>
      </c>
      <c r="G6748" t="inlineStr">
        <is>
          <t>BOLLNÄS</t>
        </is>
      </c>
      <c r="I6748" t="n">
        <v>2.6</v>
      </c>
      <c r="J6748" t="n">
        <v>0</v>
      </c>
      <c r="K6748" t="n">
        <v>0</v>
      </c>
      <c r="L6748" t="n">
        <v>0</v>
      </c>
      <c r="M6748" t="n">
        <v>0</v>
      </c>
      <c r="N6748" t="n">
        <v>0</v>
      </c>
      <c r="O6748" t="n">
        <v>0</v>
      </c>
      <c r="P6748" t="n">
        <v>0</v>
      </c>
      <c r="Q6748" t="n">
        <v>0</v>
      </c>
      <c r="R6748" t="n">
        <v>0</v>
      </c>
      <c r="S6748" t="n">
        <v>0</v>
      </c>
      <c r="T6748" t="n">
        <v>0</v>
      </c>
      <c r="U6748" t="n">
        <v>0</v>
      </c>
      <c r="V6748" s="2" t="inlineStr"/>
    </row>
    <row r="6749" ht="15" customHeight="1">
      <c r="A6749" t="inlineStr">
        <is>
          <t>A 20177-2026</t>
        </is>
      </c>
      <c r="B6749" t="inlineStr">
        <is>
          <t>avverkningsanmälan</t>
        </is>
      </c>
      <c r="C6749" t="inlineStr">
        <is>
          <t>Föryngringsavverkning</t>
        </is>
      </c>
      <c r="D6749" s="1" t="n">
        <v>46139</v>
      </c>
      <c r="E6749" s="1" t="n">
        <v>46326</v>
      </c>
      <c r="F6749" t="inlineStr">
        <is>
          <t>GÄVLEBORGS LÄN</t>
        </is>
      </c>
      <c r="G6749" t="inlineStr">
        <is>
          <t>BOLLNÄS</t>
        </is>
      </c>
      <c r="I6749" t="n">
        <v>2.5</v>
      </c>
      <c r="J6749" t="n">
        <v>0</v>
      </c>
      <c r="K6749" t="n">
        <v>0</v>
      </c>
      <c r="L6749" t="n">
        <v>0</v>
      </c>
      <c r="M6749" t="n">
        <v>0</v>
      </c>
      <c r="N6749" t="n">
        <v>0</v>
      </c>
      <c r="O6749" t="n">
        <v>0</v>
      </c>
      <c r="P6749" t="n">
        <v>0</v>
      </c>
      <c r="Q6749" t="n">
        <v>0</v>
      </c>
      <c r="R6749" t="n">
        <v>0</v>
      </c>
      <c r="S6749" t="n">
        <v>0</v>
      </c>
      <c r="T6749" t="n">
        <v>0</v>
      </c>
      <c r="U6749" t="n">
        <v>0</v>
      </c>
      <c r="V6749" s="2" t="inlineStr"/>
    </row>
    <row r="6750" ht="15" customHeight="1">
      <c r="A6750" t="inlineStr">
        <is>
          <t>A 15499-2025</t>
        </is>
      </c>
      <c r="B6750" t="inlineStr">
        <is>
          <t>avverkningsanmälan</t>
        </is>
      </c>
      <c r="C6750" t="inlineStr">
        <is>
          <t>Föryngringsavverkning</t>
        </is>
      </c>
      <c r="D6750" s="1" t="n">
        <v>45747</v>
      </c>
      <c r="E6750" s="1" t="n">
        <v>46326</v>
      </c>
      <c r="F6750" t="inlineStr">
        <is>
          <t>GÄVLEBORGS LÄN</t>
        </is>
      </c>
      <c r="G6750" t="inlineStr">
        <is>
          <t>SÖDERHAMN</t>
        </is>
      </c>
      <c r="I6750" t="n">
        <v>3.5</v>
      </c>
      <c r="J6750" t="n">
        <v>0</v>
      </c>
      <c r="K6750" t="n">
        <v>0</v>
      </c>
      <c r="L6750" t="n">
        <v>0</v>
      </c>
      <c r="M6750" t="n">
        <v>0</v>
      </c>
      <c r="N6750" t="n">
        <v>0</v>
      </c>
      <c r="O6750" t="n">
        <v>0</v>
      </c>
      <c r="P6750" t="n">
        <v>0</v>
      </c>
      <c r="Q6750" t="n">
        <v>0</v>
      </c>
      <c r="R6750" t="n">
        <v>0</v>
      </c>
      <c r="S6750" t="n">
        <v>0</v>
      </c>
      <c r="T6750" t="n">
        <v>0</v>
      </c>
      <c r="U6750" t="n">
        <v>0</v>
      </c>
      <c r="V6750" s="2" t="inlineStr"/>
    </row>
    <row r="6751" ht="15" customHeight="1">
      <c r="A6751" t="inlineStr">
        <is>
          <t>A 15536-2026</t>
        </is>
      </c>
      <c r="B6751" t="inlineStr">
        <is>
          <t>avverkningsanmälan</t>
        </is>
      </c>
      <c r="C6751" t="inlineStr">
        <is>
          <t>Föryngringsavverkning</t>
        </is>
      </c>
      <c r="D6751" s="1" t="n">
        <v>46106</v>
      </c>
      <c r="E6751" s="1" t="n">
        <v>46326</v>
      </c>
      <c r="F6751" t="inlineStr">
        <is>
          <t>GÄVLEBORGS LÄN</t>
        </is>
      </c>
      <c r="G6751" t="inlineStr">
        <is>
          <t>GÄVLE</t>
        </is>
      </c>
      <c r="H6751" t="inlineStr">
        <is>
          <t>Bergvik skog öst AB</t>
        </is>
      </c>
      <c r="I6751" t="n">
        <v>22.4</v>
      </c>
      <c r="J6751" t="n">
        <v>0</v>
      </c>
      <c r="K6751" t="n">
        <v>0</v>
      </c>
      <c r="L6751" t="n">
        <v>0</v>
      </c>
      <c r="M6751" t="n">
        <v>0</v>
      </c>
      <c r="N6751" t="n">
        <v>0</v>
      </c>
      <c r="O6751" t="n">
        <v>0</v>
      </c>
      <c r="P6751" t="n">
        <v>0</v>
      </c>
      <c r="Q6751" t="n">
        <v>0</v>
      </c>
      <c r="R6751" t="n">
        <v>0</v>
      </c>
      <c r="S6751" t="n">
        <v>0</v>
      </c>
      <c r="T6751" t="n">
        <v>0</v>
      </c>
      <c r="U6751" t="n">
        <v>0</v>
      </c>
      <c r="V6751" s="2" t="inlineStr"/>
    </row>
    <row r="6752" ht="15" customHeight="1">
      <c r="A6752" t="inlineStr">
        <is>
          <t>A 50740-2023</t>
        </is>
      </c>
      <c r="B6752" t="inlineStr">
        <is>
          <t>avverkningsanmälan</t>
        </is>
      </c>
      <c r="C6752" t="inlineStr">
        <is>
          <t>Föryngringsavverkning</t>
        </is>
      </c>
      <c r="D6752" s="1" t="n">
        <v>45217</v>
      </c>
      <c r="E6752" s="1" t="n">
        <v>46326</v>
      </c>
      <c r="F6752" t="inlineStr">
        <is>
          <t>GÄVLEBORGS LÄN</t>
        </is>
      </c>
      <c r="G6752" t="inlineStr">
        <is>
          <t>OVANÅKER</t>
        </is>
      </c>
      <c r="I6752" t="n">
        <v>0.9</v>
      </c>
      <c r="J6752" t="n">
        <v>0</v>
      </c>
      <c r="K6752" t="n">
        <v>0</v>
      </c>
      <c r="L6752" t="n">
        <v>0</v>
      </c>
      <c r="M6752" t="n">
        <v>0</v>
      </c>
      <c r="N6752" t="n">
        <v>0</v>
      </c>
      <c r="O6752" t="n">
        <v>0</v>
      </c>
      <c r="P6752" t="n">
        <v>0</v>
      </c>
      <c r="Q6752" t="n">
        <v>0</v>
      </c>
      <c r="R6752" t="n">
        <v>0</v>
      </c>
      <c r="S6752" t="n">
        <v>0</v>
      </c>
      <c r="T6752" t="n">
        <v>0</v>
      </c>
      <c r="U6752" t="n">
        <v>0</v>
      </c>
      <c r="V6752" s="2" t="inlineStr"/>
    </row>
    <row r="6753" ht="15" customHeight="1">
      <c r="A6753" t="inlineStr">
        <is>
          <t>A 58088-2022</t>
        </is>
      </c>
      <c r="B6753" t="inlineStr">
        <is>
          <t>avverkningsanmälan</t>
        </is>
      </c>
      <c r="C6753" t="inlineStr">
        <is>
          <t>Föryngringsavverkning</t>
        </is>
      </c>
      <c r="D6753" s="1" t="n">
        <v>44900</v>
      </c>
      <c r="E6753" s="1" t="n">
        <v>46326</v>
      </c>
      <c r="F6753" t="inlineStr">
        <is>
          <t>GÄVLEBORGS LÄN</t>
        </is>
      </c>
      <c r="G6753" t="inlineStr">
        <is>
          <t>HUDIKSVALL</t>
        </is>
      </c>
      <c r="I6753" t="n">
        <v>7.5</v>
      </c>
      <c r="J6753" t="n">
        <v>0</v>
      </c>
      <c r="K6753" t="n">
        <v>0</v>
      </c>
      <c r="L6753" t="n">
        <v>0</v>
      </c>
      <c r="M6753" t="n">
        <v>0</v>
      </c>
      <c r="N6753" t="n">
        <v>0</v>
      </c>
      <c r="O6753" t="n">
        <v>0</v>
      </c>
      <c r="P6753" t="n">
        <v>0</v>
      </c>
      <c r="Q6753" t="n">
        <v>0</v>
      </c>
      <c r="R6753" t="n">
        <v>0</v>
      </c>
      <c r="S6753" t="n">
        <v>0</v>
      </c>
      <c r="T6753" t="n">
        <v>0</v>
      </c>
      <c r="U6753" t="n">
        <v>0</v>
      </c>
      <c r="V6753" s="2" t="inlineStr"/>
    </row>
    <row r="6754" ht="15" customHeight="1">
      <c r="A6754" t="inlineStr">
        <is>
          <t>A 20024-2026</t>
        </is>
      </c>
      <c r="B6754" t="inlineStr">
        <is>
          <t>avverkningsanmälan</t>
        </is>
      </c>
      <c r="C6754" t="inlineStr">
        <is>
          <t>Föryngringsavverkning</t>
        </is>
      </c>
      <c r="D6754" s="1" t="n">
        <v>46136</v>
      </c>
      <c r="E6754" s="1" t="n">
        <v>46326</v>
      </c>
      <c r="F6754" t="inlineStr">
        <is>
          <t>GÄVLEBORGS LÄN</t>
        </is>
      </c>
      <c r="G6754" t="inlineStr">
        <is>
          <t>BOLLNÄS</t>
        </is>
      </c>
      <c r="I6754" t="n">
        <v>3</v>
      </c>
      <c r="J6754" t="n">
        <v>0</v>
      </c>
      <c r="K6754" t="n">
        <v>0</v>
      </c>
      <c r="L6754" t="n">
        <v>0</v>
      </c>
      <c r="M6754" t="n">
        <v>0</v>
      </c>
      <c r="N6754" t="n">
        <v>0</v>
      </c>
      <c r="O6754" t="n">
        <v>0</v>
      </c>
      <c r="P6754" t="n">
        <v>0</v>
      </c>
      <c r="Q6754" t="n">
        <v>0</v>
      </c>
      <c r="R6754" t="n">
        <v>0</v>
      </c>
      <c r="S6754" t="n">
        <v>0</v>
      </c>
      <c r="T6754" t="n">
        <v>0</v>
      </c>
      <c r="U6754" t="n">
        <v>0</v>
      </c>
      <c r="V6754" s="2" t="inlineStr"/>
    </row>
    <row r="6755" ht="15" customHeight="1">
      <c r="A6755" t="inlineStr">
        <is>
          <t>A 7729-2024</t>
        </is>
      </c>
      <c r="B6755" t="inlineStr">
        <is>
          <t>avverkningsanmälan</t>
        </is>
      </c>
      <c r="C6755" t="inlineStr">
        <is>
          <t>Föryngringsavverkning</t>
        </is>
      </c>
      <c r="D6755" s="1" t="n">
        <v>45349</v>
      </c>
      <c r="E6755" s="1" t="n">
        <v>46326</v>
      </c>
      <c r="F6755" t="inlineStr">
        <is>
          <t>GÄVLEBORGS LÄN</t>
        </is>
      </c>
      <c r="G6755" t="inlineStr">
        <is>
          <t>LJUSDAL</t>
        </is>
      </c>
      <c r="I6755" t="n">
        <v>1.5</v>
      </c>
      <c r="J6755" t="n">
        <v>0</v>
      </c>
      <c r="K6755" t="n">
        <v>0</v>
      </c>
      <c r="L6755" t="n">
        <v>0</v>
      </c>
      <c r="M6755" t="n">
        <v>0</v>
      </c>
      <c r="N6755" t="n">
        <v>0</v>
      </c>
      <c r="O6755" t="n">
        <v>0</v>
      </c>
      <c r="P6755" t="n">
        <v>0</v>
      </c>
      <c r="Q6755" t="n">
        <v>0</v>
      </c>
      <c r="R6755" t="n">
        <v>0</v>
      </c>
      <c r="S6755" t="n">
        <v>0</v>
      </c>
      <c r="T6755" t="n">
        <v>0</v>
      </c>
      <c r="U6755" t="n">
        <v>0</v>
      </c>
      <c r="V6755" s="2" t="inlineStr"/>
    </row>
    <row r="6756" ht="15" customHeight="1">
      <c r="A6756" t="inlineStr">
        <is>
          <t>A 14036-2023</t>
        </is>
      </c>
      <c r="B6756" t="inlineStr">
        <is>
          <t>avverkningsanmälan</t>
        </is>
      </c>
      <c r="C6756" t="inlineStr">
        <is>
          <t>Föryngringsavverkning</t>
        </is>
      </c>
      <c r="D6756" s="1" t="n">
        <v>45008</v>
      </c>
      <c r="E6756" s="1" t="n">
        <v>46326</v>
      </c>
      <c r="F6756" t="inlineStr">
        <is>
          <t>GÄVLEBORGS LÄN</t>
        </is>
      </c>
      <c r="G6756" t="inlineStr">
        <is>
          <t>LJUSDAL</t>
        </is>
      </c>
      <c r="H6756" t="inlineStr">
        <is>
          <t>Holmen skog AB</t>
        </is>
      </c>
      <c r="I6756" t="n">
        <v>1.2</v>
      </c>
      <c r="J6756" t="n">
        <v>0</v>
      </c>
      <c r="K6756" t="n">
        <v>0</v>
      </c>
      <c r="L6756" t="n">
        <v>0</v>
      </c>
      <c r="M6756" t="n">
        <v>0</v>
      </c>
      <c r="N6756" t="n">
        <v>0</v>
      </c>
      <c r="O6756" t="n">
        <v>0</v>
      </c>
      <c r="P6756" t="n">
        <v>0</v>
      </c>
      <c r="Q6756" t="n">
        <v>0</v>
      </c>
      <c r="R6756" t="n">
        <v>0</v>
      </c>
      <c r="S6756" t="n">
        <v>0</v>
      </c>
      <c r="T6756" t="n">
        <v>0</v>
      </c>
      <c r="U6756" t="n">
        <v>0</v>
      </c>
      <c r="V6756" s="2" t="inlineStr"/>
    </row>
    <row r="6757" ht="15" customHeight="1">
      <c r="A6757" t="inlineStr">
        <is>
          <t>A 55539-2023</t>
        </is>
      </c>
      <c r="B6757" t="inlineStr">
        <is>
          <t>avverkningsanmälan</t>
        </is>
      </c>
      <c r="C6757" t="inlineStr">
        <is>
          <t>Föryngringsavverkning</t>
        </is>
      </c>
      <c r="D6757" s="1" t="n">
        <v>45238</v>
      </c>
      <c r="E6757" s="1" t="n">
        <v>46326</v>
      </c>
      <c r="F6757" t="inlineStr">
        <is>
          <t>GÄVLEBORGS LÄN</t>
        </is>
      </c>
      <c r="G6757" t="inlineStr">
        <is>
          <t>SANDVIKEN</t>
        </is>
      </c>
      <c r="I6757" t="n">
        <v>3.6</v>
      </c>
      <c r="J6757" t="n">
        <v>0</v>
      </c>
      <c r="K6757" t="n">
        <v>0</v>
      </c>
      <c r="L6757" t="n">
        <v>0</v>
      </c>
      <c r="M6757" t="n">
        <v>0</v>
      </c>
      <c r="N6757" t="n">
        <v>0</v>
      </c>
      <c r="O6757" t="n">
        <v>0</v>
      </c>
      <c r="P6757" t="n">
        <v>0</v>
      </c>
      <c r="Q6757" t="n">
        <v>0</v>
      </c>
      <c r="R6757" t="n">
        <v>0</v>
      </c>
      <c r="S6757" t="n">
        <v>0</v>
      </c>
      <c r="T6757" t="n">
        <v>0</v>
      </c>
      <c r="U6757" t="n">
        <v>0</v>
      </c>
      <c r="V6757" s="2" t="inlineStr"/>
    </row>
    <row r="6758" ht="15" customHeight="1">
      <c r="A6758" t="inlineStr">
        <is>
          <t>A 55383-2025</t>
        </is>
      </c>
      <c r="B6758" t="inlineStr">
        <is>
          <t>avverkningsanmälan</t>
        </is>
      </c>
      <c r="C6758" t="inlineStr">
        <is>
          <t>Föryngringsavverkning</t>
        </is>
      </c>
      <c r="D6758" s="1" t="n">
        <v>45971</v>
      </c>
      <c r="E6758" s="1" t="n">
        <v>46326</v>
      </c>
      <c r="F6758" t="inlineStr">
        <is>
          <t>GÄVLEBORGS LÄN</t>
        </is>
      </c>
      <c r="G6758" t="inlineStr">
        <is>
          <t>SÖDERHAMN</t>
        </is>
      </c>
      <c r="I6758" t="n">
        <v>2.6</v>
      </c>
      <c r="J6758" t="n">
        <v>0</v>
      </c>
      <c r="K6758" t="n">
        <v>0</v>
      </c>
      <c r="L6758" t="n">
        <v>0</v>
      </c>
      <c r="M6758" t="n">
        <v>0</v>
      </c>
      <c r="N6758" t="n">
        <v>0</v>
      </c>
      <c r="O6758" t="n">
        <v>0</v>
      </c>
      <c r="P6758" t="n">
        <v>0</v>
      </c>
      <c r="Q6758" t="n">
        <v>0</v>
      </c>
      <c r="R6758" t="n">
        <v>0</v>
      </c>
      <c r="S6758" t="n">
        <v>0</v>
      </c>
      <c r="T6758" t="n">
        <v>0</v>
      </c>
      <c r="U6758" t="n">
        <v>0</v>
      </c>
      <c r="V6758" s="2" t="inlineStr"/>
    </row>
    <row r="6759" ht="15" customHeight="1">
      <c r="A6759" t="inlineStr">
        <is>
          <t>A 3166-2026</t>
        </is>
      </c>
      <c r="B6759" t="inlineStr">
        <is>
          <t>avverkningsanmälan</t>
        </is>
      </c>
      <c r="C6759" t="inlineStr">
        <is>
          <t>Föryngringsavverkning</t>
        </is>
      </c>
      <c r="D6759" s="1" t="n">
        <v>46041</v>
      </c>
      <c r="E6759" s="1" t="n">
        <v>46326</v>
      </c>
      <c r="F6759" t="inlineStr">
        <is>
          <t>GÄVLEBORGS LÄN</t>
        </is>
      </c>
      <c r="G6759" t="inlineStr">
        <is>
          <t>OVANÅKER</t>
        </is>
      </c>
      <c r="I6759" t="n">
        <v>3.8</v>
      </c>
      <c r="J6759" t="n">
        <v>0</v>
      </c>
      <c r="K6759" t="n">
        <v>0</v>
      </c>
      <c r="L6759" t="n">
        <v>0</v>
      </c>
      <c r="M6759" t="n">
        <v>0</v>
      </c>
      <c r="N6759" t="n">
        <v>0</v>
      </c>
      <c r="O6759" t="n">
        <v>0</v>
      </c>
      <c r="P6759" t="n">
        <v>0</v>
      </c>
      <c r="Q6759" t="n">
        <v>0</v>
      </c>
      <c r="R6759" t="n">
        <v>0</v>
      </c>
      <c r="S6759" t="n">
        <v>0</v>
      </c>
      <c r="T6759" t="n">
        <v>0</v>
      </c>
      <c r="U6759" t="n">
        <v>0</v>
      </c>
      <c r="V6759" s="2" t="inlineStr"/>
    </row>
    <row r="6760" ht="15" customHeight="1">
      <c r="A6760" t="inlineStr">
        <is>
          <t>A 35115-2022</t>
        </is>
      </c>
      <c r="B6760" t="inlineStr">
        <is>
          <t>avverkningsanmälan</t>
        </is>
      </c>
      <c r="C6760" t="inlineStr">
        <is>
          <t>Föryngringsavverkning</t>
        </is>
      </c>
      <c r="D6760" s="1" t="n">
        <v>44797</v>
      </c>
      <c r="E6760" s="1" t="n">
        <v>46326</v>
      </c>
      <c r="F6760" t="inlineStr">
        <is>
          <t>GÄVLEBORGS LÄN</t>
        </is>
      </c>
      <c r="G6760" t="inlineStr">
        <is>
          <t>NORDANSTIG</t>
        </is>
      </c>
      <c r="H6760" t="inlineStr">
        <is>
          <t>Holmen skog AB</t>
        </is>
      </c>
      <c r="I6760" t="n">
        <v>1.2</v>
      </c>
      <c r="J6760" t="n">
        <v>0</v>
      </c>
      <c r="K6760" t="n">
        <v>0</v>
      </c>
      <c r="L6760" t="n">
        <v>0</v>
      </c>
      <c r="M6760" t="n">
        <v>0</v>
      </c>
      <c r="N6760" t="n">
        <v>0</v>
      </c>
      <c r="O6760" t="n">
        <v>0</v>
      </c>
      <c r="P6760" t="n">
        <v>0</v>
      </c>
      <c r="Q6760" t="n">
        <v>0</v>
      </c>
      <c r="R6760" t="n">
        <v>0</v>
      </c>
      <c r="S6760" t="n">
        <v>0</v>
      </c>
      <c r="T6760" t="n">
        <v>0</v>
      </c>
      <c r="U6760" t="n">
        <v>0</v>
      </c>
      <c r="V6760" s="2" t="inlineStr"/>
    </row>
    <row r="6761" ht="15" customHeight="1">
      <c r="A6761" t="inlineStr">
        <is>
          <t>A 3167-2026</t>
        </is>
      </c>
      <c r="B6761" t="inlineStr">
        <is>
          <t>avverkningsanmälan</t>
        </is>
      </c>
      <c r="C6761" t="inlineStr">
        <is>
          <t>Föryngringsavverkning</t>
        </is>
      </c>
      <c r="D6761" s="1" t="n">
        <v>46041</v>
      </c>
      <c r="E6761" s="1" t="n">
        <v>46326</v>
      </c>
      <c r="F6761" t="inlineStr">
        <is>
          <t>GÄVLEBORGS LÄN</t>
        </is>
      </c>
      <c r="G6761" t="inlineStr">
        <is>
          <t>SÖDERHAMN</t>
        </is>
      </c>
      <c r="I6761" t="n">
        <v>1.4</v>
      </c>
      <c r="J6761" t="n">
        <v>0</v>
      </c>
      <c r="K6761" t="n">
        <v>0</v>
      </c>
      <c r="L6761" t="n">
        <v>0</v>
      </c>
      <c r="M6761" t="n">
        <v>0</v>
      </c>
      <c r="N6761" t="n">
        <v>0</v>
      </c>
      <c r="O6761" t="n">
        <v>0</v>
      </c>
      <c r="P6761" t="n">
        <v>0</v>
      </c>
      <c r="Q6761" t="n">
        <v>0</v>
      </c>
      <c r="R6761" t="n">
        <v>0</v>
      </c>
      <c r="S6761" t="n">
        <v>0</v>
      </c>
      <c r="T6761" t="n">
        <v>0</v>
      </c>
      <c r="U6761" t="n">
        <v>0</v>
      </c>
      <c r="V6761" s="2" t="inlineStr"/>
    </row>
    <row r="6762" ht="15" customHeight="1">
      <c r="A6762" t="inlineStr">
        <is>
          <t>A 7901-2026</t>
        </is>
      </c>
      <c r="B6762" t="inlineStr">
        <is>
          <t>avverkningsanmälan</t>
        </is>
      </c>
      <c r="C6762" t="inlineStr">
        <is>
          <t>Föryngringsavverkning</t>
        </is>
      </c>
      <c r="D6762" s="1" t="n">
        <v>46063</v>
      </c>
      <c r="E6762" s="1" t="n">
        <v>46326</v>
      </c>
      <c r="F6762" t="inlineStr">
        <is>
          <t>GÄVLEBORGS LÄN</t>
        </is>
      </c>
      <c r="G6762" t="inlineStr">
        <is>
          <t>OVANÅKER</t>
        </is>
      </c>
      <c r="I6762" t="n">
        <v>4.7</v>
      </c>
      <c r="J6762" t="n">
        <v>0</v>
      </c>
      <c r="K6762" t="n">
        <v>0</v>
      </c>
      <c r="L6762" t="n">
        <v>0</v>
      </c>
      <c r="M6762" t="n">
        <v>0</v>
      </c>
      <c r="N6762" t="n">
        <v>0</v>
      </c>
      <c r="O6762" t="n">
        <v>0</v>
      </c>
      <c r="P6762" t="n">
        <v>0</v>
      </c>
      <c r="Q6762" t="n">
        <v>0</v>
      </c>
      <c r="R6762" t="n">
        <v>0</v>
      </c>
      <c r="S6762" t="n">
        <v>0</v>
      </c>
      <c r="T6762" t="n">
        <v>0</v>
      </c>
      <c r="U6762" t="n">
        <v>0</v>
      </c>
      <c r="V6762" s="2" t="inlineStr"/>
    </row>
    <row r="6763" ht="15" customHeight="1">
      <c r="A6763" t="inlineStr">
        <is>
          <t>A 49857-2024</t>
        </is>
      </c>
      <c r="B6763" t="inlineStr">
        <is>
          <t>avverkningsanmälan</t>
        </is>
      </c>
      <c r="C6763" t="inlineStr">
        <is>
          <t>Föryngringsavverkning</t>
        </is>
      </c>
      <c r="D6763" s="1" t="n">
        <v>45597</v>
      </c>
      <c r="E6763" s="1" t="n">
        <v>46326</v>
      </c>
      <c r="F6763" t="inlineStr">
        <is>
          <t>GÄVLEBORGS LÄN</t>
        </is>
      </c>
      <c r="G6763" t="inlineStr">
        <is>
          <t>OVANÅKER</t>
        </is>
      </c>
      <c r="I6763" t="n">
        <v>1.9</v>
      </c>
      <c r="J6763" t="n">
        <v>0</v>
      </c>
      <c r="K6763" t="n">
        <v>0</v>
      </c>
      <c r="L6763" t="n">
        <v>0</v>
      </c>
      <c r="M6763" t="n">
        <v>0</v>
      </c>
      <c r="N6763" t="n">
        <v>0</v>
      </c>
      <c r="O6763" t="n">
        <v>0</v>
      </c>
      <c r="P6763" t="n">
        <v>0</v>
      </c>
      <c r="Q6763" t="n">
        <v>0</v>
      </c>
      <c r="R6763" t="n">
        <v>0</v>
      </c>
      <c r="S6763" t="n">
        <v>0</v>
      </c>
      <c r="T6763" t="n">
        <v>0</v>
      </c>
      <c r="U6763" t="n">
        <v>0</v>
      </c>
      <c r="V6763" s="2" t="inlineStr"/>
    </row>
    <row r="6764" ht="15" customHeight="1">
      <c r="A6764" t="inlineStr">
        <is>
          <t>A 10521-2026</t>
        </is>
      </c>
      <c r="B6764" t="inlineStr">
        <is>
          <t>avverkningsanmälan</t>
        </is>
      </c>
      <c r="C6764" t="inlineStr">
        <is>
          <t>Föryngringsavverkning</t>
        </is>
      </c>
      <c r="D6764" s="1" t="n">
        <v>46077</v>
      </c>
      <c r="E6764" s="1" t="n">
        <v>46326</v>
      </c>
      <c r="F6764" t="inlineStr">
        <is>
          <t>GÄVLEBORGS LÄN</t>
        </is>
      </c>
      <c r="G6764" t="inlineStr">
        <is>
          <t>GÄVLE</t>
        </is>
      </c>
      <c r="H6764" t="inlineStr">
        <is>
          <t>Bergvik skog öst AB</t>
        </is>
      </c>
      <c r="I6764" t="n">
        <v>1.9</v>
      </c>
      <c r="J6764" t="n">
        <v>0</v>
      </c>
      <c r="K6764" t="n">
        <v>0</v>
      </c>
      <c r="L6764" t="n">
        <v>0</v>
      </c>
      <c r="M6764" t="n">
        <v>0</v>
      </c>
      <c r="N6764" t="n">
        <v>0</v>
      </c>
      <c r="O6764" t="n">
        <v>0</v>
      </c>
      <c r="P6764" t="n">
        <v>0</v>
      </c>
      <c r="Q6764" t="n">
        <v>0</v>
      </c>
      <c r="R6764" t="n">
        <v>0</v>
      </c>
      <c r="S6764" t="n">
        <v>0</v>
      </c>
      <c r="T6764" t="n">
        <v>0</v>
      </c>
      <c r="U6764" t="n">
        <v>0</v>
      </c>
      <c r="V6764" s="2" t="inlineStr"/>
    </row>
    <row r="6765" ht="15" customHeight="1">
      <c r="A6765" t="inlineStr">
        <is>
          <t>A 15799-2026</t>
        </is>
      </c>
      <c r="B6765" t="inlineStr">
        <is>
          <t>avverkningsanmälan</t>
        </is>
      </c>
      <c r="C6765" t="inlineStr">
        <is>
          <t>Föryngringsavverkning</t>
        </is>
      </c>
      <c r="D6765" s="1" t="n">
        <v>46107</v>
      </c>
      <c r="E6765" s="1" t="n">
        <v>46326</v>
      </c>
      <c r="F6765" t="inlineStr">
        <is>
          <t>GÄVLEBORGS LÄN</t>
        </is>
      </c>
      <c r="G6765" t="inlineStr">
        <is>
          <t>GÄVLE</t>
        </is>
      </c>
      <c r="H6765" t="inlineStr">
        <is>
          <t>Bergvik skog öst AB</t>
        </is>
      </c>
      <c r="I6765" t="n">
        <v>5.6</v>
      </c>
      <c r="J6765" t="n">
        <v>0</v>
      </c>
      <c r="K6765" t="n">
        <v>0</v>
      </c>
      <c r="L6765" t="n">
        <v>0</v>
      </c>
      <c r="M6765" t="n">
        <v>0</v>
      </c>
      <c r="N6765" t="n">
        <v>0</v>
      </c>
      <c r="O6765" t="n">
        <v>0</v>
      </c>
      <c r="P6765" t="n">
        <v>0</v>
      </c>
      <c r="Q6765" t="n">
        <v>0</v>
      </c>
      <c r="R6765" t="n">
        <v>0</v>
      </c>
      <c r="S6765" t="n">
        <v>0</v>
      </c>
      <c r="T6765" t="n">
        <v>0</v>
      </c>
      <c r="U6765" t="n">
        <v>0</v>
      </c>
      <c r="V6765" s="2" t="inlineStr"/>
    </row>
    <row r="6766" ht="15" customHeight="1">
      <c r="A6766" t="inlineStr">
        <is>
          <t>A 15092-2026</t>
        </is>
      </c>
      <c r="B6766" t="inlineStr">
        <is>
          <t>avverkningsanmälan</t>
        </is>
      </c>
      <c r="C6766" t="inlineStr">
        <is>
          <t>Föryngringsavverkning</t>
        </is>
      </c>
      <c r="D6766" s="1" t="n">
        <v>46105</v>
      </c>
      <c r="E6766" s="1" t="n">
        <v>46326</v>
      </c>
      <c r="F6766" t="inlineStr">
        <is>
          <t>GÄVLEBORGS LÄN</t>
        </is>
      </c>
      <c r="G6766" t="inlineStr">
        <is>
          <t>GÄVLE</t>
        </is>
      </c>
      <c r="H6766" t="inlineStr">
        <is>
          <t>Bergvik skog öst AB</t>
        </is>
      </c>
      <c r="I6766" t="n">
        <v>8</v>
      </c>
      <c r="J6766" t="n">
        <v>0</v>
      </c>
      <c r="K6766" t="n">
        <v>0</v>
      </c>
      <c r="L6766" t="n">
        <v>0</v>
      </c>
      <c r="M6766" t="n">
        <v>0</v>
      </c>
      <c r="N6766" t="n">
        <v>0</v>
      </c>
      <c r="O6766" t="n">
        <v>0</v>
      </c>
      <c r="P6766" t="n">
        <v>0</v>
      </c>
      <c r="Q6766" t="n">
        <v>0</v>
      </c>
      <c r="R6766" t="n">
        <v>0</v>
      </c>
      <c r="S6766" t="n">
        <v>0</v>
      </c>
      <c r="T6766" t="n">
        <v>0</v>
      </c>
      <c r="U6766" t="n">
        <v>0</v>
      </c>
      <c r="V6766" s="2" t="inlineStr"/>
    </row>
    <row r="6767" ht="15" customHeight="1">
      <c r="A6767" t="inlineStr">
        <is>
          <t>A 28477-2025</t>
        </is>
      </c>
      <c r="B6767" t="inlineStr">
        <is>
          <t>avverkningsanmälan</t>
        </is>
      </c>
      <c r="C6767" t="inlineStr">
        <is>
          <t>Föryngringsavverkning</t>
        </is>
      </c>
      <c r="D6767" s="1" t="n">
        <v>45819</v>
      </c>
      <c r="E6767" s="1" t="n">
        <v>46326</v>
      </c>
      <c r="F6767" t="inlineStr">
        <is>
          <t>GÄVLEBORGS LÄN</t>
        </is>
      </c>
      <c r="G6767" t="inlineStr">
        <is>
          <t>BOLLNÄS</t>
        </is>
      </c>
      <c r="H6767" t="inlineStr">
        <is>
          <t>Bergvik skog väst AB</t>
        </is>
      </c>
      <c r="I6767" t="n">
        <v>1.9</v>
      </c>
      <c r="J6767" t="n">
        <v>0</v>
      </c>
      <c r="K6767" t="n">
        <v>0</v>
      </c>
      <c r="L6767" t="n">
        <v>0</v>
      </c>
      <c r="M6767" t="n">
        <v>0</v>
      </c>
      <c r="N6767" t="n">
        <v>0</v>
      </c>
      <c r="O6767" t="n">
        <v>0</v>
      </c>
      <c r="P6767" t="n">
        <v>0</v>
      </c>
      <c r="Q6767" t="n">
        <v>0</v>
      </c>
      <c r="R6767" t="n">
        <v>0</v>
      </c>
      <c r="S6767" t="n">
        <v>0</v>
      </c>
      <c r="T6767" t="n">
        <v>0</v>
      </c>
      <c r="U6767" t="n">
        <v>0</v>
      </c>
      <c r="V6767" s="2" t="inlineStr"/>
    </row>
    <row r="6768" ht="15" customHeight="1">
      <c r="A6768" t="inlineStr">
        <is>
          <t>A 20285-2026</t>
        </is>
      </c>
      <c r="B6768" t="inlineStr">
        <is>
          <t>avverkningsanmälan</t>
        </is>
      </c>
      <c r="C6768" t="inlineStr">
        <is>
          <t>Föryngringsavverkning</t>
        </is>
      </c>
      <c r="D6768" s="1" t="n">
        <v>46139</v>
      </c>
      <c r="E6768" s="1" t="n">
        <v>46326</v>
      </c>
      <c r="F6768" t="inlineStr">
        <is>
          <t>GÄVLEBORGS LÄN</t>
        </is>
      </c>
      <c r="G6768" t="inlineStr">
        <is>
          <t>BOLLNÄS</t>
        </is>
      </c>
      <c r="I6768" t="n">
        <v>2.1</v>
      </c>
      <c r="J6768" t="n">
        <v>0</v>
      </c>
      <c r="K6768" t="n">
        <v>0</v>
      </c>
      <c r="L6768" t="n">
        <v>0</v>
      </c>
      <c r="M6768" t="n">
        <v>0</v>
      </c>
      <c r="N6768" t="n">
        <v>0</v>
      </c>
      <c r="O6768" t="n">
        <v>0</v>
      </c>
      <c r="P6768" t="n">
        <v>0</v>
      </c>
      <c r="Q6768" t="n">
        <v>0</v>
      </c>
      <c r="R6768" t="n">
        <v>0</v>
      </c>
      <c r="S6768" t="n">
        <v>0</v>
      </c>
      <c r="T6768" t="n">
        <v>0</v>
      </c>
      <c r="U6768" t="n">
        <v>0</v>
      </c>
      <c r="V6768" s="2" t="inlineStr"/>
    </row>
    <row r="6769" ht="15" customHeight="1">
      <c r="A6769" t="inlineStr">
        <is>
          <t>A 20287-2026</t>
        </is>
      </c>
      <c r="B6769" t="inlineStr">
        <is>
          <t>avverkningsanmälan</t>
        </is>
      </c>
      <c r="C6769" t="inlineStr">
        <is>
          <t>Föryngringsavverkning</t>
        </is>
      </c>
      <c r="D6769" s="1" t="n">
        <v>46139</v>
      </c>
      <c r="E6769" s="1" t="n">
        <v>46326</v>
      </c>
      <c r="F6769" t="inlineStr">
        <is>
          <t>GÄVLEBORGS LÄN</t>
        </is>
      </c>
      <c r="G6769" t="inlineStr">
        <is>
          <t>BOLLNÄS</t>
        </is>
      </c>
      <c r="I6769" t="n">
        <v>6.9</v>
      </c>
      <c r="J6769" t="n">
        <v>0</v>
      </c>
      <c r="K6769" t="n">
        <v>0</v>
      </c>
      <c r="L6769" t="n">
        <v>0</v>
      </c>
      <c r="M6769" t="n">
        <v>0</v>
      </c>
      <c r="N6769" t="n">
        <v>0</v>
      </c>
      <c r="O6769" t="n">
        <v>0</v>
      </c>
      <c r="P6769" t="n">
        <v>0</v>
      </c>
      <c r="Q6769" t="n">
        <v>0</v>
      </c>
      <c r="R6769" t="n">
        <v>0</v>
      </c>
      <c r="S6769" t="n">
        <v>0</v>
      </c>
      <c r="T6769" t="n">
        <v>0</v>
      </c>
      <c r="U6769" t="n">
        <v>0</v>
      </c>
      <c r="V6769" s="2" t="inlineStr"/>
    </row>
    <row r="6770" ht="15" customHeight="1">
      <c r="A6770" t="inlineStr">
        <is>
          <t>A 20295-2026</t>
        </is>
      </c>
      <c r="B6770" t="inlineStr">
        <is>
          <t>avverkningsanmälan</t>
        </is>
      </c>
      <c r="C6770" t="inlineStr">
        <is>
          <t>Föryngringsavverkning</t>
        </is>
      </c>
      <c r="D6770" s="1" t="n">
        <v>46139</v>
      </c>
      <c r="E6770" s="1" t="n">
        <v>46326</v>
      </c>
      <c r="F6770" t="inlineStr">
        <is>
          <t>GÄVLEBORGS LÄN</t>
        </is>
      </c>
      <c r="G6770" t="inlineStr">
        <is>
          <t>OVANÅKER</t>
        </is>
      </c>
      <c r="H6770" t="inlineStr">
        <is>
          <t>Bergvik skog väst AB</t>
        </is>
      </c>
      <c r="I6770" t="n">
        <v>3.5</v>
      </c>
      <c r="J6770" t="n">
        <v>0</v>
      </c>
      <c r="K6770" t="n">
        <v>0</v>
      </c>
      <c r="L6770" t="n">
        <v>0</v>
      </c>
      <c r="M6770" t="n">
        <v>0</v>
      </c>
      <c r="N6770" t="n">
        <v>0</v>
      </c>
      <c r="O6770" t="n">
        <v>0</v>
      </c>
      <c r="P6770" t="n">
        <v>0</v>
      </c>
      <c r="Q6770" t="n">
        <v>0</v>
      </c>
      <c r="R6770" t="n">
        <v>0</v>
      </c>
      <c r="S6770" t="n">
        <v>0</v>
      </c>
      <c r="T6770" t="n">
        <v>0</v>
      </c>
      <c r="U6770" t="n">
        <v>0</v>
      </c>
      <c r="V6770" s="2" t="inlineStr"/>
    </row>
    <row r="6771" ht="15" customHeight="1">
      <c r="A6771" t="inlineStr">
        <is>
          <t>A 7599-2026</t>
        </is>
      </c>
      <c r="B6771" t="inlineStr">
        <is>
          <t>avverkningsanmälan</t>
        </is>
      </c>
      <c r="C6771" t="inlineStr">
        <is>
          <t>Föryngringsavverkning</t>
        </is>
      </c>
      <c r="D6771" s="1" t="n">
        <v>46061</v>
      </c>
      <c r="E6771" s="1" t="n">
        <v>46326</v>
      </c>
      <c r="F6771" t="inlineStr">
        <is>
          <t>GÄVLEBORGS LÄN</t>
        </is>
      </c>
      <c r="G6771" t="inlineStr">
        <is>
          <t>SANDVIKEN</t>
        </is>
      </c>
      <c r="I6771" t="n">
        <v>1.3</v>
      </c>
      <c r="J6771" t="n">
        <v>0</v>
      </c>
      <c r="K6771" t="n">
        <v>0</v>
      </c>
      <c r="L6771" t="n">
        <v>0</v>
      </c>
      <c r="M6771" t="n">
        <v>0</v>
      </c>
      <c r="N6771" t="n">
        <v>0</v>
      </c>
      <c r="O6771" t="n">
        <v>0</v>
      </c>
      <c r="P6771" t="n">
        <v>0</v>
      </c>
      <c r="Q6771" t="n">
        <v>0</v>
      </c>
      <c r="R6771" t="n">
        <v>0</v>
      </c>
      <c r="S6771" t="n">
        <v>0</v>
      </c>
      <c r="T6771" t="n">
        <v>0</v>
      </c>
      <c r="U6771" t="n">
        <v>0</v>
      </c>
      <c r="V6771" s="2" t="inlineStr"/>
    </row>
    <row r="6772" ht="15" customHeight="1">
      <c r="A6772" t="inlineStr">
        <is>
          <t>A 7600-2026</t>
        </is>
      </c>
      <c r="B6772" t="inlineStr">
        <is>
          <t>avverkningsanmälan</t>
        </is>
      </c>
      <c r="C6772" t="inlineStr">
        <is>
          <t>Föryngringsavverkning</t>
        </is>
      </c>
      <c r="D6772" s="1" t="n">
        <v>46062</v>
      </c>
      <c r="E6772" s="1" t="n">
        <v>46326</v>
      </c>
      <c r="F6772" t="inlineStr">
        <is>
          <t>GÄVLEBORGS LÄN</t>
        </is>
      </c>
      <c r="G6772" t="inlineStr">
        <is>
          <t>LJUSDAL</t>
        </is>
      </c>
      <c r="I6772" t="n">
        <v>28.5</v>
      </c>
      <c r="J6772" t="n">
        <v>0</v>
      </c>
      <c r="K6772" t="n">
        <v>0</v>
      </c>
      <c r="L6772" t="n">
        <v>0</v>
      </c>
      <c r="M6772" t="n">
        <v>0</v>
      </c>
      <c r="N6772" t="n">
        <v>0</v>
      </c>
      <c r="O6772" t="n">
        <v>0</v>
      </c>
      <c r="P6772" t="n">
        <v>0</v>
      </c>
      <c r="Q6772" t="n">
        <v>0</v>
      </c>
      <c r="R6772" t="n">
        <v>0</v>
      </c>
      <c r="S6772" t="n">
        <v>0</v>
      </c>
      <c r="T6772" t="n">
        <v>0</v>
      </c>
      <c r="U6772" t="n">
        <v>0</v>
      </c>
      <c r="V6772" s="2" t="inlineStr"/>
    </row>
    <row r="6773" ht="15" customHeight="1">
      <c r="A6773" t="inlineStr">
        <is>
          <t>A 7973-2026</t>
        </is>
      </c>
      <c r="B6773" t="inlineStr">
        <is>
          <t>avverkningsanmälan</t>
        </is>
      </c>
      <c r="C6773" t="inlineStr">
        <is>
          <t>Föryngringsavverkning</t>
        </is>
      </c>
      <c r="D6773" s="1" t="n">
        <v>46063</v>
      </c>
      <c r="E6773" s="1" t="n">
        <v>46326</v>
      </c>
      <c r="F6773" t="inlineStr">
        <is>
          <t>GÄVLEBORGS LÄN</t>
        </is>
      </c>
      <c r="G6773" t="inlineStr">
        <is>
          <t>HUDIKSVALL</t>
        </is>
      </c>
      <c r="I6773" t="n">
        <v>1.2</v>
      </c>
      <c r="J6773" t="n">
        <v>0</v>
      </c>
      <c r="K6773" t="n">
        <v>0</v>
      </c>
      <c r="L6773" t="n">
        <v>0</v>
      </c>
      <c r="M6773" t="n">
        <v>0</v>
      </c>
      <c r="N6773" t="n">
        <v>0</v>
      </c>
      <c r="O6773" t="n">
        <v>0</v>
      </c>
      <c r="P6773" t="n">
        <v>0</v>
      </c>
      <c r="Q6773" t="n">
        <v>0</v>
      </c>
      <c r="R6773" t="n">
        <v>0</v>
      </c>
      <c r="S6773" t="n">
        <v>0</v>
      </c>
      <c r="T6773" t="n">
        <v>0</v>
      </c>
      <c r="U6773" t="n">
        <v>0</v>
      </c>
      <c r="V6773" s="2" t="inlineStr"/>
    </row>
    <row r="6774" ht="15" customHeight="1">
      <c r="A6774" t="inlineStr">
        <is>
          <t>A 6251-2026</t>
        </is>
      </c>
      <c r="B6774" t="inlineStr">
        <is>
          <t>avverkningsanmälan</t>
        </is>
      </c>
      <c r="C6774" t="inlineStr">
        <is>
          <t>Föryngringsavverkning</t>
        </is>
      </c>
      <c r="D6774" s="1" t="n">
        <v>46055</v>
      </c>
      <c r="E6774" s="1" t="n">
        <v>46326</v>
      </c>
      <c r="F6774" t="inlineStr">
        <is>
          <t>GÄVLEBORGS LÄN</t>
        </is>
      </c>
      <c r="G6774" t="inlineStr">
        <is>
          <t>BOLLNÄS</t>
        </is>
      </c>
      <c r="I6774" t="n">
        <v>2.9</v>
      </c>
      <c r="J6774" t="n">
        <v>0</v>
      </c>
      <c r="K6774" t="n">
        <v>0</v>
      </c>
      <c r="L6774" t="n">
        <v>0</v>
      </c>
      <c r="M6774" t="n">
        <v>0</v>
      </c>
      <c r="N6774" t="n">
        <v>0</v>
      </c>
      <c r="O6774" t="n">
        <v>0</v>
      </c>
      <c r="P6774" t="n">
        <v>0</v>
      </c>
      <c r="Q6774" t="n">
        <v>0</v>
      </c>
      <c r="R6774" t="n">
        <v>0</v>
      </c>
      <c r="S6774" t="n">
        <v>0</v>
      </c>
      <c r="T6774" t="n">
        <v>0</v>
      </c>
      <c r="U6774" t="n">
        <v>0</v>
      </c>
      <c r="V6774" s="2" t="inlineStr"/>
    </row>
    <row r="6775" ht="15" customHeight="1">
      <c r="A6775" t="inlineStr">
        <is>
          <t>A 3719-2026</t>
        </is>
      </c>
      <c r="B6775" t="inlineStr">
        <is>
          <t>avverkningsanmälan</t>
        </is>
      </c>
      <c r="C6775" t="inlineStr">
        <is>
          <t>Föryngringsavverkning</t>
        </is>
      </c>
      <c r="D6775" s="1" t="n">
        <v>46043</v>
      </c>
      <c r="E6775" s="1" t="n">
        <v>46326</v>
      </c>
      <c r="F6775" t="inlineStr">
        <is>
          <t>GÄVLEBORGS LÄN</t>
        </is>
      </c>
      <c r="G6775" t="inlineStr">
        <is>
          <t>OCKELBO</t>
        </is>
      </c>
      <c r="I6775" t="n">
        <v>1</v>
      </c>
      <c r="J6775" t="n">
        <v>0</v>
      </c>
      <c r="K6775" t="n">
        <v>0</v>
      </c>
      <c r="L6775" t="n">
        <v>0</v>
      </c>
      <c r="M6775" t="n">
        <v>0</v>
      </c>
      <c r="N6775" t="n">
        <v>0</v>
      </c>
      <c r="O6775" t="n">
        <v>0</v>
      </c>
      <c r="P6775" t="n">
        <v>0</v>
      </c>
      <c r="Q6775" t="n">
        <v>0</v>
      </c>
      <c r="R6775" t="n">
        <v>0</v>
      </c>
      <c r="S6775" t="n">
        <v>0</v>
      </c>
      <c r="T6775" t="n">
        <v>0</v>
      </c>
      <c r="U6775" t="n">
        <v>0</v>
      </c>
      <c r="V6775" s="2" t="inlineStr"/>
    </row>
    <row r="6776" ht="15" customHeight="1">
      <c r="A6776" t="inlineStr">
        <is>
          <t>A 2266-2026</t>
        </is>
      </c>
      <c r="B6776" t="inlineStr">
        <is>
          <t>avverkningsanmälan</t>
        </is>
      </c>
      <c r="C6776" t="inlineStr">
        <is>
          <t>Föryngringsavverkning</t>
        </is>
      </c>
      <c r="D6776" s="1" t="n">
        <v>46036</v>
      </c>
      <c r="E6776" s="1" t="n">
        <v>46326</v>
      </c>
      <c r="F6776" t="inlineStr">
        <is>
          <t>GÄVLEBORGS LÄN</t>
        </is>
      </c>
      <c r="G6776" t="inlineStr">
        <is>
          <t>SÖDERHAMN</t>
        </is>
      </c>
      <c r="I6776" t="n">
        <v>2.3</v>
      </c>
      <c r="J6776" t="n">
        <v>0</v>
      </c>
      <c r="K6776" t="n">
        <v>0</v>
      </c>
      <c r="L6776" t="n">
        <v>0</v>
      </c>
      <c r="M6776" t="n">
        <v>0</v>
      </c>
      <c r="N6776" t="n">
        <v>0</v>
      </c>
      <c r="O6776" t="n">
        <v>0</v>
      </c>
      <c r="P6776" t="n">
        <v>0</v>
      </c>
      <c r="Q6776" t="n">
        <v>0</v>
      </c>
      <c r="R6776" t="n">
        <v>0</v>
      </c>
      <c r="S6776" t="n">
        <v>0</v>
      </c>
      <c r="T6776" t="n">
        <v>0</v>
      </c>
      <c r="U6776" t="n">
        <v>0</v>
      </c>
      <c r="V6776" s="2" t="inlineStr"/>
    </row>
    <row r="6777" ht="15" customHeight="1">
      <c r="A6777" t="inlineStr">
        <is>
          <t>A 20030-2026</t>
        </is>
      </c>
      <c r="B6777" t="inlineStr">
        <is>
          <t>avverkningsanmälan</t>
        </is>
      </c>
      <c r="C6777" t="inlineStr">
        <is>
          <t>Föryngringsavverkning</t>
        </is>
      </c>
      <c r="D6777" s="1" t="n">
        <v>46136</v>
      </c>
      <c r="E6777" s="1" t="n">
        <v>46326</v>
      </c>
      <c r="F6777" t="inlineStr">
        <is>
          <t>GÄVLEBORGS LÄN</t>
        </is>
      </c>
      <c r="G6777" t="inlineStr">
        <is>
          <t>BOLLNÄS</t>
        </is>
      </c>
      <c r="I6777" t="n">
        <v>0.5</v>
      </c>
      <c r="J6777" t="n">
        <v>0</v>
      </c>
      <c r="K6777" t="n">
        <v>0</v>
      </c>
      <c r="L6777" t="n">
        <v>0</v>
      </c>
      <c r="M6777" t="n">
        <v>0</v>
      </c>
      <c r="N6777" t="n">
        <v>0</v>
      </c>
      <c r="O6777" t="n">
        <v>0</v>
      </c>
      <c r="P6777" t="n">
        <v>0</v>
      </c>
      <c r="Q6777" t="n">
        <v>0</v>
      </c>
      <c r="R6777" t="n">
        <v>0</v>
      </c>
      <c r="S6777" t="n">
        <v>0</v>
      </c>
      <c r="T6777" t="n">
        <v>0</v>
      </c>
      <c r="U6777" t="n">
        <v>0</v>
      </c>
      <c r="V6777" s="2" t="inlineStr"/>
    </row>
    <row r="6778" ht="15" customHeight="1">
      <c r="A6778" t="inlineStr">
        <is>
          <t>A 20049-2026</t>
        </is>
      </c>
      <c r="B6778" t="inlineStr">
        <is>
          <t>avverkningsanmälan</t>
        </is>
      </c>
      <c r="C6778" t="inlineStr">
        <is>
          <t>Föryngringsavverkning</t>
        </is>
      </c>
      <c r="D6778" s="1" t="n">
        <v>46136</v>
      </c>
      <c r="E6778" s="1" t="n">
        <v>46326</v>
      </c>
      <c r="F6778" t="inlineStr">
        <is>
          <t>GÄVLEBORGS LÄN</t>
        </is>
      </c>
      <c r="G6778" t="inlineStr">
        <is>
          <t>LJUSDAL</t>
        </is>
      </c>
      <c r="H6778" t="inlineStr">
        <is>
          <t>Sveaskog</t>
        </is>
      </c>
      <c r="I6778" t="n">
        <v>34.2</v>
      </c>
      <c r="J6778" t="n">
        <v>0</v>
      </c>
      <c r="K6778" t="n">
        <v>0</v>
      </c>
      <c r="L6778" t="n">
        <v>0</v>
      </c>
      <c r="M6778" t="n">
        <v>0</v>
      </c>
      <c r="N6778" t="n">
        <v>0</v>
      </c>
      <c r="O6778" t="n">
        <v>0</v>
      </c>
      <c r="P6778" t="n">
        <v>0</v>
      </c>
      <c r="Q6778" t="n">
        <v>0</v>
      </c>
      <c r="R6778" t="n">
        <v>0</v>
      </c>
      <c r="S6778" t="n">
        <v>0</v>
      </c>
      <c r="T6778" t="n">
        <v>0</v>
      </c>
      <c r="U6778" t="n">
        <v>0</v>
      </c>
      <c r="V6778" s="2" t="inlineStr"/>
    </row>
    <row r="6779" ht="15" customHeight="1">
      <c r="A6779" t="inlineStr">
        <is>
          <t>A 12342-2026</t>
        </is>
      </c>
      <c r="B6779" t="inlineStr">
        <is>
          <t>avverkningsanmälan</t>
        </is>
      </c>
      <c r="C6779" t="inlineStr">
        <is>
          <t>Föryngringsavverkning</t>
        </is>
      </c>
      <c r="D6779" s="1" t="n">
        <v>46087</v>
      </c>
      <c r="E6779" s="1" t="n">
        <v>46326</v>
      </c>
      <c r="F6779" t="inlineStr">
        <is>
          <t>GÄVLEBORGS LÄN</t>
        </is>
      </c>
      <c r="G6779" t="inlineStr">
        <is>
          <t>BOLLNÄS</t>
        </is>
      </c>
      <c r="H6779" t="inlineStr">
        <is>
          <t>Kyrkan</t>
        </is>
      </c>
      <c r="I6779" t="n">
        <v>2.5</v>
      </c>
      <c r="J6779" t="n">
        <v>0</v>
      </c>
      <c r="K6779" t="n">
        <v>0</v>
      </c>
      <c r="L6779" t="n">
        <v>0</v>
      </c>
      <c r="M6779" t="n">
        <v>0</v>
      </c>
      <c r="N6779" t="n">
        <v>0</v>
      </c>
      <c r="O6779" t="n">
        <v>0</v>
      </c>
      <c r="P6779" t="n">
        <v>0</v>
      </c>
      <c r="Q6779" t="n">
        <v>0</v>
      </c>
      <c r="R6779" t="n">
        <v>0</v>
      </c>
      <c r="S6779" t="n">
        <v>0</v>
      </c>
      <c r="T6779" t="n">
        <v>0</v>
      </c>
      <c r="U6779" t="n">
        <v>0</v>
      </c>
      <c r="V6779" s="2" t="inlineStr"/>
    </row>
    <row r="6780" ht="15" customHeight="1">
      <c r="A6780" t="inlineStr">
        <is>
          <t>A 420-2026</t>
        </is>
      </c>
      <c r="B6780" t="inlineStr">
        <is>
          <t>avverkningsanmälan</t>
        </is>
      </c>
      <c r="C6780" t="inlineStr">
        <is>
          <t>Föryngringsavverkning</t>
        </is>
      </c>
      <c r="D6780" s="1" t="n">
        <v>46028</v>
      </c>
      <c r="E6780" s="1" t="n">
        <v>46326</v>
      </c>
      <c r="F6780" t="inlineStr">
        <is>
          <t>GÄVLEBORGS LÄN</t>
        </is>
      </c>
      <c r="G6780" t="inlineStr">
        <is>
          <t>HUDIKSVALL</t>
        </is>
      </c>
      <c r="I6780" t="n">
        <v>3</v>
      </c>
      <c r="J6780" t="n">
        <v>0</v>
      </c>
      <c r="K6780" t="n">
        <v>0</v>
      </c>
      <c r="L6780" t="n">
        <v>0</v>
      </c>
      <c r="M6780" t="n">
        <v>0</v>
      </c>
      <c r="N6780" t="n">
        <v>0</v>
      </c>
      <c r="O6780" t="n">
        <v>0</v>
      </c>
      <c r="P6780" t="n">
        <v>0</v>
      </c>
      <c r="Q6780" t="n">
        <v>0</v>
      </c>
      <c r="R6780" t="n">
        <v>0</v>
      </c>
      <c r="S6780" t="n">
        <v>0</v>
      </c>
      <c r="T6780" t="n">
        <v>0</v>
      </c>
      <c r="U6780" t="n">
        <v>0</v>
      </c>
      <c r="V6780" s="2" t="inlineStr"/>
    </row>
    <row r="6781" ht="15" customHeight="1">
      <c r="A6781" t="inlineStr">
        <is>
          <t>A 1912-2026</t>
        </is>
      </c>
      <c r="B6781" t="inlineStr">
        <is>
          <t>avverkningsanmälan</t>
        </is>
      </c>
      <c r="C6781" t="inlineStr">
        <is>
          <t>Föryngringsavverkning</t>
        </is>
      </c>
      <c r="D6781" s="1" t="n">
        <v>46035</v>
      </c>
      <c r="E6781" s="1" t="n">
        <v>46326</v>
      </c>
      <c r="F6781" t="inlineStr">
        <is>
          <t>GÄVLEBORGS LÄN</t>
        </is>
      </c>
      <c r="G6781" t="inlineStr">
        <is>
          <t>OVANÅKER</t>
        </is>
      </c>
      <c r="I6781" t="n">
        <v>2.1</v>
      </c>
      <c r="J6781" t="n">
        <v>0</v>
      </c>
      <c r="K6781" t="n">
        <v>0</v>
      </c>
      <c r="L6781" t="n">
        <v>0</v>
      </c>
      <c r="M6781" t="n">
        <v>0</v>
      </c>
      <c r="N6781" t="n">
        <v>0</v>
      </c>
      <c r="O6781" t="n">
        <v>0</v>
      </c>
      <c r="P6781" t="n">
        <v>0</v>
      </c>
      <c r="Q6781" t="n">
        <v>0</v>
      </c>
      <c r="R6781" t="n">
        <v>0</v>
      </c>
      <c r="S6781" t="n">
        <v>0</v>
      </c>
      <c r="T6781" t="n">
        <v>0</v>
      </c>
      <c r="U6781" t="n">
        <v>0</v>
      </c>
      <c r="V6781" s="2" t="inlineStr"/>
    </row>
    <row r="6782" ht="15" customHeight="1">
      <c r="A6782" t="inlineStr">
        <is>
          <t>A 9321-2026</t>
        </is>
      </c>
      <c r="B6782" t="inlineStr">
        <is>
          <t>avverkningsanmälan</t>
        </is>
      </c>
      <c r="C6782" t="inlineStr">
        <is>
          <t>Föryngringsavverkning</t>
        </is>
      </c>
      <c r="D6782" s="1" t="n">
        <v>46070</v>
      </c>
      <c r="E6782" s="1" t="n">
        <v>46326</v>
      </c>
      <c r="F6782" t="inlineStr">
        <is>
          <t>GÄVLEBORGS LÄN</t>
        </is>
      </c>
      <c r="G6782" t="inlineStr">
        <is>
          <t>HUDIKSVALL</t>
        </is>
      </c>
      <c r="I6782" t="n">
        <v>1.1</v>
      </c>
      <c r="J6782" t="n">
        <v>0</v>
      </c>
      <c r="K6782" t="n">
        <v>0</v>
      </c>
      <c r="L6782" t="n">
        <v>0</v>
      </c>
      <c r="M6782" t="n">
        <v>0</v>
      </c>
      <c r="N6782" t="n">
        <v>0</v>
      </c>
      <c r="O6782" t="n">
        <v>0</v>
      </c>
      <c r="P6782" t="n">
        <v>0</v>
      </c>
      <c r="Q6782" t="n">
        <v>0</v>
      </c>
      <c r="R6782" t="n">
        <v>0</v>
      </c>
      <c r="S6782" t="n">
        <v>0</v>
      </c>
      <c r="T6782" t="n">
        <v>0</v>
      </c>
      <c r="U6782" t="n">
        <v>0</v>
      </c>
      <c r="V6782" s="2" t="inlineStr"/>
    </row>
    <row r="6783" ht="15" customHeight="1">
      <c r="A6783" t="inlineStr">
        <is>
          <t>A 5241-2024</t>
        </is>
      </c>
      <c r="B6783" t="inlineStr">
        <is>
          <t>avverkningsanmälan</t>
        </is>
      </c>
      <c r="C6783" t="inlineStr">
        <is>
          <t>Föryngringsavverkning</t>
        </is>
      </c>
      <c r="D6783" s="1" t="n">
        <v>45330</v>
      </c>
      <c r="E6783" s="1" t="n">
        <v>46326</v>
      </c>
      <c r="F6783" t="inlineStr">
        <is>
          <t>GÄVLEBORGS LÄN</t>
        </is>
      </c>
      <c r="G6783" t="inlineStr">
        <is>
          <t>GÄVLE</t>
        </is>
      </c>
      <c r="I6783" t="n">
        <v>0.5</v>
      </c>
      <c r="J6783" t="n">
        <v>0</v>
      </c>
      <c r="K6783" t="n">
        <v>0</v>
      </c>
      <c r="L6783" t="n">
        <v>0</v>
      </c>
      <c r="M6783" t="n">
        <v>0</v>
      </c>
      <c r="N6783" t="n">
        <v>0</v>
      </c>
      <c r="O6783" t="n">
        <v>0</v>
      </c>
      <c r="P6783" t="n">
        <v>0</v>
      </c>
      <c r="Q6783" t="n">
        <v>0</v>
      </c>
      <c r="R6783" t="n">
        <v>0</v>
      </c>
      <c r="S6783" t="n">
        <v>0</v>
      </c>
      <c r="T6783" t="n">
        <v>0</v>
      </c>
      <c r="U6783" t="n">
        <v>0</v>
      </c>
      <c r="V6783" s="2" t="inlineStr"/>
    </row>
    <row r="6784" ht="15" customHeight="1">
      <c r="A6784" t="inlineStr">
        <is>
          <t>A 18431-2025</t>
        </is>
      </c>
      <c r="B6784" t="inlineStr">
        <is>
          <t>avverkningsanmälan</t>
        </is>
      </c>
      <c r="C6784" t="inlineStr">
        <is>
          <t>Föryngringsavverkning</t>
        </is>
      </c>
      <c r="D6784" s="1" t="n">
        <v>45762</v>
      </c>
      <c r="E6784" s="1" t="n">
        <v>46326</v>
      </c>
      <c r="F6784" t="inlineStr">
        <is>
          <t>GÄVLEBORGS LÄN</t>
        </is>
      </c>
      <c r="G6784" t="inlineStr">
        <is>
          <t>SÖDERHAMN</t>
        </is>
      </c>
      <c r="I6784" t="n">
        <v>0.6</v>
      </c>
      <c r="J6784" t="n">
        <v>0</v>
      </c>
      <c r="K6784" t="n">
        <v>0</v>
      </c>
      <c r="L6784" t="n">
        <v>0</v>
      </c>
      <c r="M6784" t="n">
        <v>0</v>
      </c>
      <c r="N6784" t="n">
        <v>0</v>
      </c>
      <c r="O6784" t="n">
        <v>0</v>
      </c>
      <c r="P6784" t="n">
        <v>0</v>
      </c>
      <c r="Q6784" t="n">
        <v>0</v>
      </c>
      <c r="R6784" t="n">
        <v>0</v>
      </c>
      <c r="S6784" t="n">
        <v>0</v>
      </c>
      <c r="T6784" t="n">
        <v>0</v>
      </c>
      <c r="U6784" t="n">
        <v>0</v>
      </c>
      <c r="V6784" s="2" t="inlineStr"/>
    </row>
    <row r="6785" ht="15" customHeight="1">
      <c r="A6785" t="inlineStr">
        <is>
          <t>A 36233-2022</t>
        </is>
      </c>
      <c r="B6785" t="inlineStr">
        <is>
          <t>avverkningsanmälan</t>
        </is>
      </c>
      <c r="C6785" t="inlineStr">
        <is>
          <t>Föryngringsavverkning</t>
        </is>
      </c>
      <c r="D6785" s="1" t="n">
        <v>44803</v>
      </c>
      <c r="E6785" s="1" t="n">
        <v>46326</v>
      </c>
      <c r="F6785" t="inlineStr">
        <is>
          <t>GÄVLEBORGS LÄN</t>
        </is>
      </c>
      <c r="G6785" t="inlineStr">
        <is>
          <t>LJUSDAL</t>
        </is>
      </c>
      <c r="I6785" t="n">
        <v>4.4</v>
      </c>
      <c r="J6785" t="n">
        <v>0</v>
      </c>
      <c r="K6785" t="n">
        <v>0</v>
      </c>
      <c r="L6785" t="n">
        <v>0</v>
      </c>
      <c r="M6785" t="n">
        <v>0</v>
      </c>
      <c r="N6785" t="n">
        <v>0</v>
      </c>
      <c r="O6785" t="n">
        <v>0</v>
      </c>
      <c r="P6785" t="n">
        <v>0</v>
      </c>
      <c r="Q6785" t="n">
        <v>0</v>
      </c>
      <c r="R6785" t="n">
        <v>0</v>
      </c>
      <c r="S6785" t="n">
        <v>0</v>
      </c>
      <c r="T6785" t="n">
        <v>0</v>
      </c>
      <c r="U6785" t="n">
        <v>0</v>
      </c>
      <c r="V6785" s="2" t="inlineStr"/>
    </row>
    <row r="6786" ht="15" customHeight="1">
      <c r="A6786" t="inlineStr">
        <is>
          <t>A 20028-2026</t>
        </is>
      </c>
      <c r="B6786" t="inlineStr">
        <is>
          <t>avverkningsanmälan</t>
        </is>
      </c>
      <c r="C6786" t="inlineStr">
        <is>
          <t>Föryngringsavverkning</t>
        </is>
      </c>
      <c r="D6786" s="1" t="n">
        <v>46136</v>
      </c>
      <c r="E6786" s="1" t="n">
        <v>46326</v>
      </c>
      <c r="F6786" t="inlineStr">
        <is>
          <t>GÄVLEBORGS LÄN</t>
        </is>
      </c>
      <c r="G6786" t="inlineStr">
        <is>
          <t>BOLLNÄS</t>
        </is>
      </c>
      <c r="I6786" t="n">
        <v>0.5</v>
      </c>
      <c r="J6786" t="n">
        <v>0</v>
      </c>
      <c r="K6786" t="n">
        <v>0</v>
      </c>
      <c r="L6786" t="n">
        <v>0</v>
      </c>
      <c r="M6786" t="n">
        <v>0</v>
      </c>
      <c r="N6786" t="n">
        <v>0</v>
      </c>
      <c r="O6786" t="n">
        <v>0</v>
      </c>
      <c r="P6786" t="n">
        <v>0</v>
      </c>
      <c r="Q6786" t="n">
        <v>0</v>
      </c>
      <c r="R6786" t="n">
        <v>0</v>
      </c>
      <c r="S6786" t="n">
        <v>0</v>
      </c>
      <c r="T6786" t="n">
        <v>0</v>
      </c>
      <c r="U6786" t="n">
        <v>0</v>
      </c>
      <c r="V6786" s="2" t="inlineStr"/>
    </row>
    <row r="6787" ht="15" customHeight="1">
      <c r="A6787" t="inlineStr">
        <is>
          <t>A 43885-2025</t>
        </is>
      </c>
      <c r="B6787" t="inlineStr">
        <is>
          <t>avverkningsanmälan</t>
        </is>
      </c>
      <c r="C6787" t="inlineStr">
        <is>
          <t>Föryngringsavverkning</t>
        </is>
      </c>
      <c r="D6787" s="1" t="n">
        <v>45912</v>
      </c>
      <c r="E6787" s="1" t="n">
        <v>46326</v>
      </c>
      <c r="F6787" t="inlineStr">
        <is>
          <t>GÄVLEBORGS LÄN</t>
        </is>
      </c>
      <c r="G6787" t="inlineStr">
        <is>
          <t>HOFORS</t>
        </is>
      </c>
      <c r="H6787" t="inlineStr">
        <is>
          <t>Sveaskog</t>
        </is>
      </c>
      <c r="I6787" t="n">
        <v>1.6</v>
      </c>
      <c r="J6787" t="n">
        <v>0</v>
      </c>
      <c r="K6787" t="n">
        <v>0</v>
      </c>
      <c r="L6787" t="n">
        <v>0</v>
      </c>
      <c r="M6787" t="n">
        <v>0</v>
      </c>
      <c r="N6787" t="n">
        <v>0</v>
      </c>
      <c r="O6787" t="n">
        <v>0</v>
      </c>
      <c r="P6787" t="n">
        <v>0</v>
      </c>
      <c r="Q6787" t="n">
        <v>0</v>
      </c>
      <c r="R6787" t="n">
        <v>0</v>
      </c>
      <c r="S6787" t="n">
        <v>0</v>
      </c>
      <c r="T6787" t="n">
        <v>0</v>
      </c>
      <c r="U6787" t="n">
        <v>0</v>
      </c>
      <c r="V6787" s="2" t="inlineStr"/>
    </row>
    <row r="6788" ht="15" customHeight="1">
      <c r="A6788" t="inlineStr">
        <is>
          <t>A 6430-2026</t>
        </is>
      </c>
      <c r="B6788" t="inlineStr">
        <is>
          <t>avverkningsanmälan</t>
        </is>
      </c>
      <c r="C6788" t="inlineStr">
        <is>
          <t>Föryngringsavverkning</t>
        </is>
      </c>
      <c r="D6788" s="1" t="n">
        <v>46055</v>
      </c>
      <c r="E6788" s="1" t="n">
        <v>46326</v>
      </c>
      <c r="F6788" t="inlineStr">
        <is>
          <t>GÄVLEBORGS LÄN</t>
        </is>
      </c>
      <c r="G6788" t="inlineStr">
        <is>
          <t>BOLLNÄS</t>
        </is>
      </c>
      <c r="H6788" t="inlineStr">
        <is>
          <t>Kyrkan</t>
        </is>
      </c>
      <c r="I6788" t="n">
        <v>8.6</v>
      </c>
      <c r="J6788" t="n">
        <v>0</v>
      </c>
      <c r="K6788" t="n">
        <v>0</v>
      </c>
      <c r="L6788" t="n">
        <v>0</v>
      </c>
      <c r="M6788" t="n">
        <v>0</v>
      </c>
      <c r="N6788" t="n">
        <v>0</v>
      </c>
      <c r="O6788" t="n">
        <v>0</v>
      </c>
      <c r="P6788" t="n">
        <v>0</v>
      </c>
      <c r="Q6788" t="n">
        <v>0</v>
      </c>
      <c r="R6788" t="n">
        <v>0</v>
      </c>
      <c r="S6788" t="n">
        <v>0</v>
      </c>
      <c r="T6788" t="n">
        <v>0</v>
      </c>
      <c r="U6788" t="n">
        <v>0</v>
      </c>
      <c r="V6788" s="2" t="inlineStr"/>
    </row>
    <row r="6789" ht="15" customHeight="1">
      <c r="A6789" t="inlineStr">
        <is>
          <t>A 35765-2024</t>
        </is>
      </c>
      <c r="B6789" t="inlineStr">
        <is>
          <t>avverkningsanmälan</t>
        </is>
      </c>
      <c r="C6789" t="inlineStr">
        <is>
          <t>Föryngringsavverkning</t>
        </is>
      </c>
      <c r="D6789" s="1" t="n">
        <v>45532</v>
      </c>
      <c r="E6789" s="1" t="n">
        <v>46326</v>
      </c>
      <c r="F6789" t="inlineStr">
        <is>
          <t>GÄVLEBORGS LÄN</t>
        </is>
      </c>
      <c r="G6789" t="inlineStr">
        <is>
          <t>NORDANSTIG</t>
        </is>
      </c>
      <c r="I6789" t="n">
        <v>2.6</v>
      </c>
      <c r="J6789" t="n">
        <v>0</v>
      </c>
      <c r="K6789" t="n">
        <v>0</v>
      </c>
      <c r="L6789" t="n">
        <v>0</v>
      </c>
      <c r="M6789" t="n">
        <v>0</v>
      </c>
      <c r="N6789" t="n">
        <v>0</v>
      </c>
      <c r="O6789" t="n">
        <v>0</v>
      </c>
      <c r="P6789" t="n">
        <v>0</v>
      </c>
      <c r="Q6789" t="n">
        <v>0</v>
      </c>
      <c r="R6789" t="n">
        <v>0</v>
      </c>
      <c r="S6789" t="n">
        <v>0</v>
      </c>
      <c r="T6789" t="n">
        <v>0</v>
      </c>
      <c r="U6789" t="n">
        <v>0</v>
      </c>
      <c r="V6789" s="2" t="inlineStr"/>
    </row>
    <row r="6790" ht="15" customHeight="1">
      <c r="A6790" t="inlineStr">
        <is>
          <t>A 784-2026</t>
        </is>
      </c>
      <c r="B6790" t="inlineStr">
        <is>
          <t>avverkningsanmälan</t>
        </is>
      </c>
      <c r="C6790" t="inlineStr">
        <is>
          <t>Föryngringsavverkning</t>
        </is>
      </c>
      <c r="D6790" s="1" t="n">
        <v>46029</v>
      </c>
      <c r="E6790" s="1" t="n">
        <v>46326</v>
      </c>
      <c r="F6790" t="inlineStr">
        <is>
          <t>GÄVLEBORGS LÄN</t>
        </is>
      </c>
      <c r="G6790" t="inlineStr">
        <is>
          <t>OVANÅKER</t>
        </is>
      </c>
      <c r="I6790" t="n">
        <v>34.7</v>
      </c>
      <c r="J6790" t="n">
        <v>0</v>
      </c>
      <c r="K6790" t="n">
        <v>0</v>
      </c>
      <c r="L6790" t="n">
        <v>0</v>
      </c>
      <c r="M6790" t="n">
        <v>0</v>
      </c>
      <c r="N6790" t="n">
        <v>0</v>
      </c>
      <c r="O6790" t="n">
        <v>0</v>
      </c>
      <c r="P6790" t="n">
        <v>0</v>
      </c>
      <c r="Q6790" t="n">
        <v>0</v>
      </c>
      <c r="R6790" t="n">
        <v>0</v>
      </c>
      <c r="S6790" t="n">
        <v>0</v>
      </c>
      <c r="T6790" t="n">
        <v>0</v>
      </c>
      <c r="U6790" t="n">
        <v>0</v>
      </c>
      <c r="V6790" s="2" t="inlineStr"/>
    </row>
    <row r="6791" ht="15" customHeight="1">
      <c r="A6791" t="inlineStr">
        <is>
          <t>A 840-2026</t>
        </is>
      </c>
      <c r="B6791" t="inlineStr">
        <is>
          <t>avverkningsanmälan</t>
        </is>
      </c>
      <c r="C6791" t="inlineStr">
        <is>
          <t>Föryngringsavverkning</t>
        </is>
      </c>
      <c r="D6791" s="1" t="n">
        <v>46030</v>
      </c>
      <c r="E6791" s="1" t="n">
        <v>46326</v>
      </c>
      <c r="F6791" t="inlineStr">
        <is>
          <t>GÄVLEBORGS LÄN</t>
        </is>
      </c>
      <c r="G6791" t="inlineStr">
        <is>
          <t>BOLLNÄS</t>
        </is>
      </c>
      <c r="I6791" t="n">
        <v>1.2</v>
      </c>
      <c r="J6791" t="n">
        <v>0</v>
      </c>
      <c r="K6791" t="n">
        <v>0</v>
      </c>
      <c r="L6791" t="n">
        <v>0</v>
      </c>
      <c r="M6791" t="n">
        <v>0</v>
      </c>
      <c r="N6791" t="n">
        <v>0</v>
      </c>
      <c r="O6791" t="n">
        <v>0</v>
      </c>
      <c r="P6791" t="n">
        <v>0</v>
      </c>
      <c r="Q6791" t="n">
        <v>0</v>
      </c>
      <c r="R6791" t="n">
        <v>0</v>
      </c>
      <c r="S6791" t="n">
        <v>0</v>
      </c>
      <c r="T6791" t="n">
        <v>0</v>
      </c>
      <c r="U6791" t="n">
        <v>0</v>
      </c>
      <c r="V6791" s="2" t="inlineStr"/>
    </row>
    <row r="6792" ht="15" customHeight="1">
      <c r="A6792" t="inlineStr">
        <is>
          <t>A 845-2026</t>
        </is>
      </c>
      <c r="B6792" t="inlineStr">
        <is>
          <t>avverkningsanmälan</t>
        </is>
      </c>
      <c r="C6792" t="inlineStr">
        <is>
          <t>Föryngringsavverkning</t>
        </is>
      </c>
      <c r="D6792" s="1" t="n">
        <v>46030</v>
      </c>
      <c r="E6792" s="1" t="n">
        <v>46326</v>
      </c>
      <c r="F6792" t="inlineStr">
        <is>
          <t>GÄVLEBORGS LÄN</t>
        </is>
      </c>
      <c r="G6792" t="inlineStr">
        <is>
          <t>HUDIKSVALL</t>
        </is>
      </c>
      <c r="I6792" t="n">
        <v>7.3</v>
      </c>
      <c r="J6792" t="n">
        <v>0</v>
      </c>
      <c r="K6792" t="n">
        <v>0</v>
      </c>
      <c r="L6792" t="n">
        <v>0</v>
      </c>
      <c r="M6792" t="n">
        <v>0</v>
      </c>
      <c r="N6792" t="n">
        <v>0</v>
      </c>
      <c r="O6792" t="n">
        <v>0</v>
      </c>
      <c r="P6792" t="n">
        <v>0</v>
      </c>
      <c r="Q6792" t="n">
        <v>0</v>
      </c>
      <c r="R6792" t="n">
        <v>0</v>
      </c>
      <c r="S6792" t="n">
        <v>0</v>
      </c>
      <c r="T6792" t="n">
        <v>0</v>
      </c>
      <c r="U6792" t="n">
        <v>0</v>
      </c>
      <c r="V6792" s="2" t="inlineStr"/>
    </row>
    <row r="6793" ht="15" customHeight="1">
      <c r="A6793" t="inlineStr">
        <is>
          <t>A 3985-2026</t>
        </is>
      </c>
      <c r="B6793" t="inlineStr">
        <is>
          <t>avverkningsanmälan</t>
        </is>
      </c>
      <c r="C6793" t="inlineStr">
        <is>
          <t>Föryngringsavverkning</t>
        </is>
      </c>
      <c r="D6793" s="1" t="n">
        <v>46044</v>
      </c>
      <c r="E6793" s="1" t="n">
        <v>46326</v>
      </c>
      <c r="F6793" t="inlineStr">
        <is>
          <t>GÄVLEBORGS LÄN</t>
        </is>
      </c>
      <c r="G6793" t="inlineStr">
        <is>
          <t>SÖDERHAMN</t>
        </is>
      </c>
      <c r="I6793" t="n">
        <v>3.9</v>
      </c>
      <c r="J6793" t="n">
        <v>0</v>
      </c>
      <c r="K6793" t="n">
        <v>0</v>
      </c>
      <c r="L6793" t="n">
        <v>0</v>
      </c>
      <c r="M6793" t="n">
        <v>0</v>
      </c>
      <c r="N6793" t="n">
        <v>0</v>
      </c>
      <c r="O6793" t="n">
        <v>0</v>
      </c>
      <c r="P6793" t="n">
        <v>0</v>
      </c>
      <c r="Q6793" t="n">
        <v>0</v>
      </c>
      <c r="R6793" t="n">
        <v>0</v>
      </c>
      <c r="S6793" t="n">
        <v>0</v>
      </c>
      <c r="T6793" t="n">
        <v>0</v>
      </c>
      <c r="U6793" t="n">
        <v>0</v>
      </c>
      <c r="V6793" s="2" t="inlineStr"/>
    </row>
    <row r="6794" ht="15" customHeight="1">
      <c r="A6794" t="inlineStr">
        <is>
          <t>A 11335-2026</t>
        </is>
      </c>
      <c r="B6794" t="inlineStr">
        <is>
          <t>avverkningsanmälan</t>
        </is>
      </c>
      <c r="C6794" t="inlineStr">
        <is>
          <t>Föryngringsavverkning</t>
        </is>
      </c>
      <c r="D6794" s="1" t="n">
        <v>46082</v>
      </c>
      <c r="E6794" s="1" t="n">
        <v>46326</v>
      </c>
      <c r="F6794" t="inlineStr">
        <is>
          <t>GÄVLEBORGS LÄN</t>
        </is>
      </c>
      <c r="G6794" t="inlineStr">
        <is>
          <t>BOLLNÄS</t>
        </is>
      </c>
      <c r="I6794" t="n">
        <v>2.3</v>
      </c>
      <c r="J6794" t="n">
        <v>0</v>
      </c>
      <c r="K6794" t="n">
        <v>0</v>
      </c>
      <c r="L6794" t="n">
        <v>0</v>
      </c>
      <c r="M6794" t="n">
        <v>0</v>
      </c>
      <c r="N6794" t="n">
        <v>0</v>
      </c>
      <c r="O6794" t="n">
        <v>0</v>
      </c>
      <c r="P6794" t="n">
        <v>0</v>
      </c>
      <c r="Q6794" t="n">
        <v>0</v>
      </c>
      <c r="R6794" t="n">
        <v>0</v>
      </c>
      <c r="S6794" t="n">
        <v>0</v>
      </c>
      <c r="T6794" t="n">
        <v>0</v>
      </c>
      <c r="U6794" t="n">
        <v>0</v>
      </c>
      <c r="V6794" s="2" t="inlineStr"/>
    </row>
    <row r="6795" ht="15" customHeight="1">
      <c r="A6795" t="inlineStr">
        <is>
          <t>A 66403-2021</t>
        </is>
      </c>
      <c r="B6795" t="inlineStr">
        <is>
          <t>avverkningsanmälan</t>
        </is>
      </c>
      <c r="C6795" t="inlineStr">
        <is>
          <t>Föryngringsavverkning</t>
        </is>
      </c>
      <c r="D6795" s="1" t="n">
        <v>44518</v>
      </c>
      <c r="E6795" s="1" t="n">
        <v>46326</v>
      </c>
      <c r="F6795" t="inlineStr">
        <is>
          <t>GÄVLEBORGS LÄN</t>
        </is>
      </c>
      <c r="G6795" t="inlineStr">
        <is>
          <t>OVANÅKER</t>
        </is>
      </c>
      <c r="I6795" t="n">
        <v>1</v>
      </c>
      <c r="J6795" t="n">
        <v>0</v>
      </c>
      <c r="K6795" t="n">
        <v>0</v>
      </c>
      <c r="L6795" t="n">
        <v>0</v>
      </c>
      <c r="M6795" t="n">
        <v>0</v>
      </c>
      <c r="N6795" t="n">
        <v>0</v>
      </c>
      <c r="O6795" t="n">
        <v>0</v>
      </c>
      <c r="P6795" t="n">
        <v>0</v>
      </c>
      <c r="Q6795" t="n">
        <v>0</v>
      </c>
      <c r="R6795" t="n">
        <v>0</v>
      </c>
      <c r="S6795" t="n">
        <v>0</v>
      </c>
      <c r="T6795" t="n">
        <v>0</v>
      </c>
      <c r="U6795" t="n">
        <v>0</v>
      </c>
      <c r="V6795" s="2" t="inlineStr"/>
    </row>
    <row r="6796" ht="15" customHeight="1">
      <c r="A6796" t="inlineStr">
        <is>
          <t>A 66418-2021</t>
        </is>
      </c>
      <c r="B6796" t="inlineStr">
        <is>
          <t>avverkningsanmälan</t>
        </is>
      </c>
      <c r="C6796" t="inlineStr">
        <is>
          <t>Föryngringsavverkning</t>
        </is>
      </c>
      <c r="D6796" s="1" t="n">
        <v>44518</v>
      </c>
      <c r="E6796" s="1" t="n">
        <v>46326</v>
      </c>
      <c r="F6796" t="inlineStr">
        <is>
          <t>GÄVLEBORGS LÄN</t>
        </is>
      </c>
      <c r="G6796" t="inlineStr">
        <is>
          <t>HUDIKSVALL</t>
        </is>
      </c>
      <c r="H6796" t="inlineStr">
        <is>
          <t>Holmen skog AB</t>
        </is>
      </c>
      <c r="I6796" t="n">
        <v>2.3</v>
      </c>
      <c r="J6796" t="n">
        <v>0</v>
      </c>
      <c r="K6796" t="n">
        <v>0</v>
      </c>
      <c r="L6796" t="n">
        <v>0</v>
      </c>
      <c r="M6796" t="n">
        <v>0</v>
      </c>
      <c r="N6796" t="n">
        <v>0</v>
      </c>
      <c r="O6796" t="n">
        <v>0</v>
      </c>
      <c r="P6796" t="n">
        <v>0</v>
      </c>
      <c r="Q6796" t="n">
        <v>0</v>
      </c>
      <c r="R6796" t="n">
        <v>0</v>
      </c>
      <c r="S6796" t="n">
        <v>0</v>
      </c>
      <c r="T6796" t="n">
        <v>0</v>
      </c>
      <c r="U6796" t="n">
        <v>0</v>
      </c>
      <c r="V6796" s="2" t="inlineStr"/>
    </row>
    <row r="6797" ht="15" customHeight="1">
      <c r="A6797" t="inlineStr">
        <is>
          <t>A 25564-2025</t>
        </is>
      </c>
      <c r="B6797" t="inlineStr">
        <is>
          <t>avverkningsanmälan</t>
        </is>
      </c>
      <c r="C6797" t="inlineStr">
        <is>
          <t>Föryngringsavverkning</t>
        </is>
      </c>
      <c r="D6797" s="1" t="n">
        <v>45803</v>
      </c>
      <c r="E6797" s="1" t="n">
        <v>46326</v>
      </c>
      <c r="F6797" t="inlineStr">
        <is>
          <t>GÄVLEBORGS LÄN</t>
        </is>
      </c>
      <c r="G6797" t="inlineStr">
        <is>
          <t>OCKELBO</t>
        </is>
      </c>
      <c r="H6797" t="inlineStr">
        <is>
          <t>Bergvik skog väst AB</t>
        </is>
      </c>
      <c r="I6797" t="n">
        <v>11.7</v>
      </c>
      <c r="J6797" t="n">
        <v>0</v>
      </c>
      <c r="K6797" t="n">
        <v>0</v>
      </c>
      <c r="L6797" t="n">
        <v>0</v>
      </c>
      <c r="M6797" t="n">
        <v>0</v>
      </c>
      <c r="N6797" t="n">
        <v>0</v>
      </c>
      <c r="O6797" t="n">
        <v>0</v>
      </c>
      <c r="P6797" t="n">
        <v>0</v>
      </c>
      <c r="Q6797" t="n">
        <v>0</v>
      </c>
      <c r="R6797" t="n">
        <v>0</v>
      </c>
      <c r="S6797" t="n">
        <v>0</v>
      </c>
      <c r="T6797" t="n">
        <v>0</v>
      </c>
      <c r="U6797" t="n">
        <v>0</v>
      </c>
      <c r="V6797" s="2" t="inlineStr"/>
    </row>
    <row r="6798" ht="15" customHeight="1">
      <c r="A6798" t="inlineStr">
        <is>
          <t>A 55681-2023</t>
        </is>
      </c>
      <c r="B6798" t="inlineStr">
        <is>
          <t>avverkningsanmälan</t>
        </is>
      </c>
      <c r="C6798" t="inlineStr">
        <is>
          <t>Föryngringsavverkning</t>
        </is>
      </c>
      <c r="D6798" s="1" t="n">
        <v>45239</v>
      </c>
      <c r="E6798" s="1" t="n">
        <v>46326</v>
      </c>
      <c r="F6798" t="inlineStr">
        <is>
          <t>GÄVLEBORGS LÄN</t>
        </is>
      </c>
      <c r="G6798" t="inlineStr">
        <is>
          <t>LJUSDAL</t>
        </is>
      </c>
      <c r="I6798" t="n">
        <v>0.9</v>
      </c>
      <c r="J6798" t="n">
        <v>0</v>
      </c>
      <c r="K6798" t="n">
        <v>0</v>
      </c>
      <c r="L6798" t="n">
        <v>0</v>
      </c>
      <c r="M6798" t="n">
        <v>0</v>
      </c>
      <c r="N6798" t="n">
        <v>0</v>
      </c>
      <c r="O6798" t="n">
        <v>0</v>
      </c>
      <c r="P6798" t="n">
        <v>0</v>
      </c>
      <c r="Q6798" t="n">
        <v>0</v>
      </c>
      <c r="R6798" t="n">
        <v>0</v>
      </c>
      <c r="S6798" t="n">
        <v>0</v>
      </c>
      <c r="T6798" t="n">
        <v>0</v>
      </c>
      <c r="U6798" t="n">
        <v>0</v>
      </c>
      <c r="V6798" s="2" t="inlineStr"/>
    </row>
    <row r="6799" ht="15" customHeight="1">
      <c r="A6799" t="inlineStr">
        <is>
          <t>A 60847-2022</t>
        </is>
      </c>
      <c r="B6799" t="inlineStr">
        <is>
          <t>avverkningsanmälan</t>
        </is>
      </c>
      <c r="C6799" t="inlineStr">
        <is>
          <t>Föryngringsavverkning</t>
        </is>
      </c>
      <c r="D6799" s="1" t="n">
        <v>44914</v>
      </c>
      <c r="E6799" s="1" t="n">
        <v>46326</v>
      </c>
      <c r="F6799" t="inlineStr">
        <is>
          <t>GÄVLEBORGS LÄN</t>
        </is>
      </c>
      <c r="G6799" t="inlineStr">
        <is>
          <t>HUDIKSVALL</t>
        </is>
      </c>
      <c r="I6799" t="n">
        <v>0.4</v>
      </c>
      <c r="J6799" t="n">
        <v>0</v>
      </c>
      <c r="K6799" t="n">
        <v>0</v>
      </c>
      <c r="L6799" t="n">
        <v>0</v>
      </c>
      <c r="M6799" t="n">
        <v>0</v>
      </c>
      <c r="N6799" t="n">
        <v>0</v>
      </c>
      <c r="O6799" t="n">
        <v>0</v>
      </c>
      <c r="P6799" t="n">
        <v>0</v>
      </c>
      <c r="Q6799" t="n">
        <v>0</v>
      </c>
      <c r="R6799" t="n">
        <v>0</v>
      </c>
      <c r="S6799" t="n">
        <v>0</v>
      </c>
      <c r="T6799" t="n">
        <v>0</v>
      </c>
      <c r="U6799" t="n">
        <v>0</v>
      </c>
      <c r="V6799" s="2" t="inlineStr"/>
    </row>
    <row r="6800" ht="15" customHeight="1">
      <c r="A6800" t="inlineStr">
        <is>
          <t>A 14261-2025</t>
        </is>
      </c>
      <c r="B6800" t="inlineStr">
        <is>
          <t>avverkningsanmälan</t>
        </is>
      </c>
      <c r="C6800" t="inlineStr">
        <is>
          <t>Avverkning för annat ändamål</t>
        </is>
      </c>
      <c r="D6800" s="1" t="n">
        <v>45740</v>
      </c>
      <c r="E6800" s="1" t="n">
        <v>46326</v>
      </c>
      <c r="F6800" t="inlineStr">
        <is>
          <t>GÄVLEBORGS LÄN</t>
        </is>
      </c>
      <c r="G6800" t="inlineStr">
        <is>
          <t>BOLLNÄS</t>
        </is>
      </c>
      <c r="I6800" t="n">
        <v>0.1</v>
      </c>
      <c r="J6800" t="n">
        <v>0</v>
      </c>
      <c r="K6800" t="n">
        <v>0</v>
      </c>
      <c r="L6800" t="n">
        <v>0</v>
      </c>
      <c r="M6800" t="n">
        <v>0</v>
      </c>
      <c r="N6800" t="n">
        <v>0</v>
      </c>
      <c r="O6800" t="n">
        <v>0</v>
      </c>
      <c r="P6800" t="n">
        <v>0</v>
      </c>
      <c r="Q6800" t="n">
        <v>0</v>
      </c>
      <c r="R6800" t="n">
        <v>0</v>
      </c>
      <c r="S6800" t="n">
        <v>0</v>
      </c>
      <c r="T6800" t="n">
        <v>0</v>
      </c>
      <c r="U6800" t="n">
        <v>0</v>
      </c>
      <c r="V6800" s="2" t="inlineStr"/>
    </row>
    <row r="6801" ht="15" customHeight="1">
      <c r="A6801" t="inlineStr">
        <is>
          <t>A 20042-2026</t>
        </is>
      </c>
      <c r="B6801" t="inlineStr">
        <is>
          <t>avverkningsanmälan</t>
        </is>
      </c>
      <c r="C6801" t="inlineStr">
        <is>
          <t>Föryngringsavverkning</t>
        </is>
      </c>
      <c r="D6801" s="1" t="n">
        <v>46136</v>
      </c>
      <c r="E6801" s="1" t="n">
        <v>46326</v>
      </c>
      <c r="F6801" t="inlineStr">
        <is>
          <t>GÄVLEBORGS LÄN</t>
        </is>
      </c>
      <c r="G6801" t="inlineStr">
        <is>
          <t>BOLLNÄS</t>
        </is>
      </c>
      <c r="H6801" t="inlineStr">
        <is>
          <t>Bergvik skog väst AB</t>
        </is>
      </c>
      <c r="I6801" t="n">
        <v>0.5</v>
      </c>
      <c r="J6801" t="n">
        <v>0</v>
      </c>
      <c r="K6801" t="n">
        <v>0</v>
      </c>
      <c r="L6801" t="n">
        <v>0</v>
      </c>
      <c r="M6801" t="n">
        <v>0</v>
      </c>
      <c r="N6801" t="n">
        <v>0</v>
      </c>
      <c r="O6801" t="n">
        <v>0</v>
      </c>
      <c r="P6801" t="n">
        <v>0</v>
      </c>
      <c r="Q6801" t="n">
        <v>0</v>
      </c>
      <c r="R6801" t="n">
        <v>0</v>
      </c>
      <c r="S6801" t="n">
        <v>0</v>
      </c>
      <c r="T6801" t="n">
        <v>0</v>
      </c>
      <c r="U6801" t="n">
        <v>0</v>
      </c>
      <c r="V6801" s="2" t="inlineStr"/>
    </row>
    <row r="6802" ht="15" customHeight="1">
      <c r="A6802" t="inlineStr">
        <is>
          <t>A 30286-2024</t>
        </is>
      </c>
      <c r="B6802" t="inlineStr">
        <is>
          <t>avverkningsanmälan</t>
        </is>
      </c>
      <c r="C6802" t="inlineStr">
        <is>
          <t>Föryngringsavverkning</t>
        </is>
      </c>
      <c r="D6802" s="1" t="n">
        <v>45490</v>
      </c>
      <c r="E6802" s="1" t="n">
        <v>46326</v>
      </c>
      <c r="F6802" t="inlineStr">
        <is>
          <t>GÄVLEBORGS LÄN</t>
        </is>
      </c>
      <c r="G6802" t="inlineStr">
        <is>
          <t>LJUSDAL</t>
        </is>
      </c>
      <c r="I6802" t="n">
        <v>1.4</v>
      </c>
      <c r="J6802" t="n">
        <v>0</v>
      </c>
      <c r="K6802" t="n">
        <v>0</v>
      </c>
      <c r="L6802" t="n">
        <v>0</v>
      </c>
      <c r="M6802" t="n">
        <v>0</v>
      </c>
      <c r="N6802" t="n">
        <v>0</v>
      </c>
      <c r="O6802" t="n">
        <v>0</v>
      </c>
      <c r="P6802" t="n">
        <v>0</v>
      </c>
      <c r="Q6802" t="n">
        <v>0</v>
      </c>
      <c r="R6802" t="n">
        <v>0</v>
      </c>
      <c r="S6802" t="n">
        <v>0</v>
      </c>
      <c r="T6802" t="n">
        <v>0</v>
      </c>
      <c r="U6802" t="n">
        <v>0</v>
      </c>
      <c r="V6802" s="2" t="inlineStr"/>
    </row>
    <row r="6803" ht="15" customHeight="1">
      <c r="A6803" t="inlineStr">
        <is>
          <t>A 52803-2025</t>
        </is>
      </c>
      <c r="B6803" t="inlineStr">
        <is>
          <t>avverkningsanmälan</t>
        </is>
      </c>
      <c r="C6803" t="inlineStr">
        <is>
          <t>Föryngringsavverkning</t>
        </is>
      </c>
      <c r="D6803" s="1" t="n">
        <v>45957</v>
      </c>
      <c r="E6803" s="1" t="n">
        <v>46326</v>
      </c>
      <c r="F6803" t="inlineStr">
        <is>
          <t>GÄVLEBORGS LÄN</t>
        </is>
      </c>
      <c r="G6803" t="inlineStr">
        <is>
          <t>OVANÅKER</t>
        </is>
      </c>
      <c r="I6803" t="n">
        <v>6.7</v>
      </c>
      <c r="J6803" t="n">
        <v>0</v>
      </c>
      <c r="K6803" t="n">
        <v>0</v>
      </c>
      <c r="L6803" t="n">
        <v>0</v>
      </c>
      <c r="M6803" t="n">
        <v>0</v>
      </c>
      <c r="N6803" t="n">
        <v>0</v>
      </c>
      <c r="O6803" t="n">
        <v>0</v>
      </c>
      <c r="P6803" t="n">
        <v>0</v>
      </c>
      <c r="Q6803" t="n">
        <v>0</v>
      </c>
      <c r="R6803" t="n">
        <v>0</v>
      </c>
      <c r="S6803" t="n">
        <v>0</v>
      </c>
      <c r="T6803" t="n">
        <v>0</v>
      </c>
      <c r="U6803" t="n">
        <v>0</v>
      </c>
      <c r="V6803" s="2" t="inlineStr"/>
    </row>
    <row r="6804" ht="15" customHeight="1">
      <c r="A6804" t="inlineStr">
        <is>
          <t>A 7606-2022</t>
        </is>
      </c>
      <c r="B6804" t="inlineStr">
        <is>
          <t>avverkningsanmälan</t>
        </is>
      </c>
      <c r="C6804" t="inlineStr">
        <is>
          <t>Föryngringsavverkning</t>
        </is>
      </c>
      <c r="D6804" s="1" t="n">
        <v>44607</v>
      </c>
      <c r="E6804" s="1" t="n">
        <v>46326</v>
      </c>
      <c r="F6804" t="inlineStr">
        <is>
          <t>GÄVLEBORGS LÄN</t>
        </is>
      </c>
      <c r="G6804" t="inlineStr">
        <is>
          <t>LJUSDAL</t>
        </is>
      </c>
      <c r="H6804" t="inlineStr">
        <is>
          <t>Holmen skog AB</t>
        </is>
      </c>
      <c r="I6804" t="n">
        <v>2</v>
      </c>
      <c r="J6804" t="n">
        <v>0</v>
      </c>
      <c r="K6804" t="n">
        <v>0</v>
      </c>
      <c r="L6804" t="n">
        <v>0</v>
      </c>
      <c r="M6804" t="n">
        <v>0</v>
      </c>
      <c r="N6804" t="n">
        <v>0</v>
      </c>
      <c r="O6804" t="n">
        <v>0</v>
      </c>
      <c r="P6804" t="n">
        <v>0</v>
      </c>
      <c r="Q6804" t="n">
        <v>0</v>
      </c>
      <c r="R6804" t="n">
        <v>0</v>
      </c>
      <c r="S6804" t="n">
        <v>0</v>
      </c>
      <c r="T6804" t="n">
        <v>0</v>
      </c>
      <c r="U6804" t="n">
        <v>0</v>
      </c>
      <c r="V6804" s="2" t="inlineStr"/>
    </row>
    <row r="6805" ht="15" customHeight="1">
      <c r="A6805" t="inlineStr">
        <is>
          <t>A 38159-2022</t>
        </is>
      </c>
      <c r="B6805" t="inlineStr">
        <is>
          <t>avverkningsanmälan</t>
        </is>
      </c>
      <c r="C6805" t="inlineStr">
        <is>
          <t>Föryngringsavverkning</t>
        </is>
      </c>
      <c r="D6805" s="1" t="n">
        <v>44812</v>
      </c>
      <c r="E6805" s="1" t="n">
        <v>46326</v>
      </c>
      <c r="F6805" t="inlineStr">
        <is>
          <t>GÄVLEBORGS LÄN</t>
        </is>
      </c>
      <c r="G6805" t="inlineStr">
        <is>
          <t>NORDANSTIG</t>
        </is>
      </c>
      <c r="H6805" t="inlineStr">
        <is>
          <t>Holmen skog AB</t>
        </is>
      </c>
      <c r="I6805" t="n">
        <v>1.4</v>
      </c>
      <c r="J6805" t="n">
        <v>0</v>
      </c>
      <c r="K6805" t="n">
        <v>0</v>
      </c>
      <c r="L6805" t="n">
        <v>0</v>
      </c>
      <c r="M6805" t="n">
        <v>0</v>
      </c>
      <c r="N6805" t="n">
        <v>0</v>
      </c>
      <c r="O6805" t="n">
        <v>0</v>
      </c>
      <c r="P6805" t="n">
        <v>0</v>
      </c>
      <c r="Q6805" t="n">
        <v>0</v>
      </c>
      <c r="R6805" t="n">
        <v>0</v>
      </c>
      <c r="S6805" t="n">
        <v>0</v>
      </c>
      <c r="T6805" t="n">
        <v>0</v>
      </c>
      <c r="U6805" t="n">
        <v>0</v>
      </c>
      <c r="V6805" s="2" t="inlineStr"/>
    </row>
    <row r="6806" ht="15" customHeight="1">
      <c r="A6806" t="inlineStr">
        <is>
          <t>A 64010-2023</t>
        </is>
      </c>
      <c r="B6806" t="inlineStr">
        <is>
          <t>avverkningsanmälan</t>
        </is>
      </c>
      <c r="C6806" t="inlineStr">
        <is>
          <t>Föryngringsavverkning</t>
        </is>
      </c>
      <c r="D6806" s="1" t="n">
        <v>45278</v>
      </c>
      <c r="E6806" s="1" t="n">
        <v>46326</v>
      </c>
      <c r="F6806" t="inlineStr">
        <is>
          <t>GÄVLEBORGS LÄN</t>
        </is>
      </c>
      <c r="G6806" t="inlineStr">
        <is>
          <t>HUDIKSVALL</t>
        </is>
      </c>
      <c r="I6806" t="n">
        <v>0.9</v>
      </c>
      <c r="J6806" t="n">
        <v>0</v>
      </c>
      <c r="K6806" t="n">
        <v>0</v>
      </c>
      <c r="L6806" t="n">
        <v>0</v>
      </c>
      <c r="M6806" t="n">
        <v>0</v>
      </c>
      <c r="N6806" t="n">
        <v>0</v>
      </c>
      <c r="O6806" t="n">
        <v>0</v>
      </c>
      <c r="P6806" t="n">
        <v>0</v>
      </c>
      <c r="Q6806" t="n">
        <v>0</v>
      </c>
      <c r="R6806" t="n">
        <v>0</v>
      </c>
      <c r="S6806" t="n">
        <v>0</v>
      </c>
      <c r="T6806" t="n">
        <v>0</v>
      </c>
      <c r="U6806" t="n">
        <v>0</v>
      </c>
      <c r="V6806" s="2" t="inlineStr"/>
    </row>
    <row r="6807" ht="15" customHeight="1">
      <c r="A6807" t="inlineStr">
        <is>
          <t>A 15105-2025</t>
        </is>
      </c>
      <c r="B6807" t="inlineStr">
        <is>
          <t>avverkningsanmälan</t>
        </is>
      </c>
      <c r="C6807" t="inlineStr">
        <is>
          <t>Föryngringsavverkning</t>
        </is>
      </c>
      <c r="D6807" s="1" t="n">
        <v>45744</v>
      </c>
      <c r="E6807" s="1" t="n">
        <v>46326</v>
      </c>
      <c r="F6807" t="inlineStr">
        <is>
          <t>GÄVLEBORGS LÄN</t>
        </is>
      </c>
      <c r="G6807" t="inlineStr">
        <is>
          <t>GÄVLE</t>
        </is>
      </c>
      <c r="H6807" t="inlineStr">
        <is>
          <t>Bergvik skog öst AB</t>
        </is>
      </c>
      <c r="I6807" t="n">
        <v>1.5</v>
      </c>
      <c r="J6807" t="n">
        <v>0</v>
      </c>
      <c r="K6807" t="n">
        <v>0</v>
      </c>
      <c r="L6807" t="n">
        <v>0</v>
      </c>
      <c r="M6807" t="n">
        <v>0</v>
      </c>
      <c r="N6807" t="n">
        <v>0</v>
      </c>
      <c r="O6807" t="n">
        <v>0</v>
      </c>
      <c r="P6807" t="n">
        <v>0</v>
      </c>
      <c r="Q6807" t="n">
        <v>0</v>
      </c>
      <c r="R6807" t="n">
        <v>0</v>
      </c>
      <c r="S6807" t="n">
        <v>0</v>
      </c>
      <c r="T6807" t="n">
        <v>0</v>
      </c>
      <c r="U6807" t="n">
        <v>0</v>
      </c>
      <c r="V6807" s="2" t="inlineStr"/>
    </row>
    <row r="6808" ht="15" customHeight="1">
      <c r="A6808" t="inlineStr">
        <is>
          <t>A 47288-2023</t>
        </is>
      </c>
      <c r="B6808" t="inlineStr">
        <is>
          <t>avverkningsanmälan</t>
        </is>
      </c>
      <c r="C6808" t="inlineStr">
        <is>
          <t>Föryngringsavverkning</t>
        </is>
      </c>
      <c r="D6808" s="1" t="n">
        <v>45202</v>
      </c>
      <c r="E6808" s="1" t="n">
        <v>46326</v>
      </c>
      <c r="F6808" t="inlineStr">
        <is>
          <t>GÄVLEBORGS LÄN</t>
        </is>
      </c>
      <c r="G6808" t="inlineStr">
        <is>
          <t>SÖDERHAMN</t>
        </is>
      </c>
      <c r="I6808" t="n">
        <v>0.5</v>
      </c>
      <c r="J6808" t="n">
        <v>0</v>
      </c>
      <c r="K6808" t="n">
        <v>0</v>
      </c>
      <c r="L6808" t="n">
        <v>0</v>
      </c>
      <c r="M6808" t="n">
        <v>0</v>
      </c>
      <c r="N6808" t="n">
        <v>0</v>
      </c>
      <c r="O6808" t="n">
        <v>0</v>
      </c>
      <c r="P6808" t="n">
        <v>0</v>
      </c>
      <c r="Q6808" t="n">
        <v>0</v>
      </c>
      <c r="R6808" t="n">
        <v>0</v>
      </c>
      <c r="S6808" t="n">
        <v>0</v>
      </c>
      <c r="T6808" t="n">
        <v>0</v>
      </c>
      <c r="U6808" t="n">
        <v>0</v>
      </c>
      <c r="V6808" s="2" t="inlineStr"/>
    </row>
    <row r="6809" ht="15" customHeight="1">
      <c r="A6809" t="inlineStr">
        <is>
          <t>A 25168-2025</t>
        </is>
      </c>
      <c r="B6809" t="inlineStr">
        <is>
          <t>avverkningsanmälan</t>
        </is>
      </c>
      <c r="C6809" t="inlineStr">
        <is>
          <t>Föryngringsavverkning</t>
        </is>
      </c>
      <c r="D6809" s="1" t="n">
        <v>45800</v>
      </c>
      <c r="E6809" s="1" t="n">
        <v>46326</v>
      </c>
      <c r="F6809" t="inlineStr">
        <is>
          <t>GÄVLEBORGS LÄN</t>
        </is>
      </c>
      <c r="G6809" t="inlineStr">
        <is>
          <t>OCKELBO</t>
        </is>
      </c>
      <c r="I6809" t="n">
        <v>2.3</v>
      </c>
      <c r="J6809" t="n">
        <v>0</v>
      </c>
      <c r="K6809" t="n">
        <v>0</v>
      </c>
      <c r="L6809" t="n">
        <v>0</v>
      </c>
      <c r="M6809" t="n">
        <v>0</v>
      </c>
      <c r="N6809" t="n">
        <v>0</v>
      </c>
      <c r="O6809" t="n">
        <v>0</v>
      </c>
      <c r="P6809" t="n">
        <v>0</v>
      </c>
      <c r="Q6809" t="n">
        <v>0</v>
      </c>
      <c r="R6809" t="n">
        <v>0</v>
      </c>
      <c r="S6809" t="n">
        <v>0</v>
      </c>
      <c r="T6809" t="n">
        <v>0</v>
      </c>
      <c r="U6809" t="n">
        <v>0</v>
      </c>
      <c r="V6809" s="2" t="inlineStr"/>
    </row>
    <row r="6810" ht="15" customHeight="1">
      <c r="A6810" t="inlineStr">
        <is>
          <t>A 47320-2023</t>
        </is>
      </c>
      <c r="B6810" t="inlineStr">
        <is>
          <t>avverkningsanmälan</t>
        </is>
      </c>
      <c r="C6810" t="inlineStr">
        <is>
          <t>Föryngringsavverkning</t>
        </is>
      </c>
      <c r="D6810" s="1" t="n">
        <v>45202</v>
      </c>
      <c r="E6810" s="1" t="n">
        <v>46326</v>
      </c>
      <c r="F6810" t="inlineStr">
        <is>
          <t>GÄVLEBORGS LÄN</t>
        </is>
      </c>
      <c r="G6810" t="inlineStr">
        <is>
          <t>HUDIKSVALL</t>
        </is>
      </c>
      <c r="H6810" t="inlineStr">
        <is>
          <t>Holmen skog AB</t>
        </is>
      </c>
      <c r="I6810" t="n">
        <v>6</v>
      </c>
      <c r="J6810" t="n">
        <v>0</v>
      </c>
      <c r="K6810" t="n">
        <v>0</v>
      </c>
      <c r="L6810" t="n">
        <v>0</v>
      </c>
      <c r="M6810" t="n">
        <v>0</v>
      </c>
      <c r="N6810" t="n">
        <v>0</v>
      </c>
      <c r="O6810" t="n">
        <v>0</v>
      </c>
      <c r="P6810" t="n">
        <v>0</v>
      </c>
      <c r="Q6810" t="n">
        <v>0</v>
      </c>
      <c r="R6810" t="n">
        <v>0</v>
      </c>
      <c r="S6810" t="n">
        <v>0</v>
      </c>
      <c r="T6810" t="n">
        <v>0</v>
      </c>
      <c r="U6810" t="n">
        <v>0</v>
      </c>
      <c r="V6810" s="2" t="inlineStr"/>
    </row>
    <row r="6811" ht="15" customHeight="1">
      <c r="A6811" t="inlineStr">
        <is>
          <t>A 47335-2023</t>
        </is>
      </c>
      <c r="B6811" t="inlineStr">
        <is>
          <t>avverkningsanmälan</t>
        </is>
      </c>
      <c r="C6811" t="inlineStr">
        <is>
          <t>Föryngringsavverkning</t>
        </is>
      </c>
      <c r="D6811" s="1" t="n">
        <v>45202</v>
      </c>
      <c r="E6811" s="1" t="n">
        <v>46326</v>
      </c>
      <c r="F6811" t="inlineStr">
        <is>
          <t>GÄVLEBORGS LÄN</t>
        </is>
      </c>
      <c r="G6811" t="inlineStr">
        <is>
          <t>HUDIKSVALL</t>
        </is>
      </c>
      <c r="H6811" t="inlineStr">
        <is>
          <t>Holmen skog AB</t>
        </is>
      </c>
      <c r="I6811" t="n">
        <v>4.2</v>
      </c>
      <c r="J6811" t="n">
        <v>0</v>
      </c>
      <c r="K6811" t="n">
        <v>0</v>
      </c>
      <c r="L6811" t="n">
        <v>0</v>
      </c>
      <c r="M6811" t="n">
        <v>0</v>
      </c>
      <c r="N6811" t="n">
        <v>0</v>
      </c>
      <c r="O6811" t="n">
        <v>0</v>
      </c>
      <c r="P6811" t="n">
        <v>0</v>
      </c>
      <c r="Q6811" t="n">
        <v>0</v>
      </c>
      <c r="R6811" t="n">
        <v>0</v>
      </c>
      <c r="S6811" t="n">
        <v>0</v>
      </c>
      <c r="T6811" t="n">
        <v>0</v>
      </c>
      <c r="U6811" t="n">
        <v>0</v>
      </c>
      <c r="V6811" s="2" t="inlineStr"/>
    </row>
    <row r="6812" ht="15" customHeight="1">
      <c r="A6812" t="inlineStr">
        <is>
          <t>A 2627-2026</t>
        </is>
      </c>
      <c r="B6812" t="inlineStr">
        <is>
          <t>avverkningsanmälan</t>
        </is>
      </c>
      <c r="C6812" t="inlineStr">
        <is>
          <t>Föryngringsavverkning</t>
        </is>
      </c>
      <c r="D6812" s="1" t="n">
        <v>46037</v>
      </c>
      <c r="E6812" s="1" t="n">
        <v>46326</v>
      </c>
      <c r="F6812" t="inlineStr">
        <is>
          <t>GÄVLEBORGS LÄN</t>
        </is>
      </c>
      <c r="G6812" t="inlineStr">
        <is>
          <t>SANDVIKEN</t>
        </is>
      </c>
      <c r="I6812" t="n">
        <v>1.2</v>
      </c>
      <c r="J6812" t="n">
        <v>0</v>
      </c>
      <c r="K6812" t="n">
        <v>0</v>
      </c>
      <c r="L6812" t="n">
        <v>0</v>
      </c>
      <c r="M6812" t="n">
        <v>0</v>
      </c>
      <c r="N6812" t="n">
        <v>0</v>
      </c>
      <c r="O6812" t="n">
        <v>0</v>
      </c>
      <c r="P6812" t="n">
        <v>0</v>
      </c>
      <c r="Q6812" t="n">
        <v>0</v>
      </c>
      <c r="R6812" t="n">
        <v>0</v>
      </c>
      <c r="S6812" t="n">
        <v>0</v>
      </c>
      <c r="T6812" t="n">
        <v>0</v>
      </c>
      <c r="U6812" t="n">
        <v>0</v>
      </c>
      <c r="V6812" s="2" t="inlineStr"/>
    </row>
    <row r="6813" ht="15" customHeight="1">
      <c r="A6813" t="inlineStr">
        <is>
          <t>A 16628-2026</t>
        </is>
      </c>
      <c r="B6813" t="inlineStr">
        <is>
          <t>avverkningsanmälan</t>
        </is>
      </c>
      <c r="C6813" t="inlineStr">
        <is>
          <t>Föryngringsavverkning</t>
        </is>
      </c>
      <c r="D6813" s="1" t="n">
        <v>46112</v>
      </c>
      <c r="E6813" s="1" t="n">
        <v>46326</v>
      </c>
      <c r="F6813" t="inlineStr">
        <is>
          <t>GÄVLEBORGS LÄN</t>
        </is>
      </c>
      <c r="G6813" t="inlineStr">
        <is>
          <t>BOLLNÄS</t>
        </is>
      </c>
      <c r="H6813" t="inlineStr">
        <is>
          <t>Bergvik skog väst AB</t>
        </is>
      </c>
      <c r="I6813" t="n">
        <v>0.7</v>
      </c>
      <c r="J6813" t="n">
        <v>0</v>
      </c>
      <c r="K6813" t="n">
        <v>0</v>
      </c>
      <c r="L6813" t="n">
        <v>0</v>
      </c>
      <c r="M6813" t="n">
        <v>0</v>
      </c>
      <c r="N6813" t="n">
        <v>0</v>
      </c>
      <c r="O6813" t="n">
        <v>0</v>
      </c>
      <c r="P6813" t="n">
        <v>0</v>
      </c>
      <c r="Q6813" t="n">
        <v>0</v>
      </c>
      <c r="R6813" t="n">
        <v>0</v>
      </c>
      <c r="S6813" t="n">
        <v>0</v>
      </c>
      <c r="T6813" t="n">
        <v>0</v>
      </c>
      <c r="U6813" t="n">
        <v>0</v>
      </c>
      <c r="V6813" s="2" t="inlineStr"/>
    </row>
    <row r="6814" ht="15" customHeight="1">
      <c r="A6814" t="inlineStr">
        <is>
          <t>A 5950-2026</t>
        </is>
      </c>
      <c r="B6814" t="inlineStr">
        <is>
          <t>avverkningsanmälan</t>
        </is>
      </c>
      <c r="C6814" t="inlineStr">
        <is>
          <t>Föryngringsavverkning</t>
        </is>
      </c>
      <c r="D6814" s="1" t="n">
        <v>46052</v>
      </c>
      <c r="E6814" s="1" t="n">
        <v>46326</v>
      </c>
      <c r="F6814" t="inlineStr">
        <is>
          <t>GÄVLEBORGS LÄN</t>
        </is>
      </c>
      <c r="G6814" t="inlineStr">
        <is>
          <t>OCKELBO</t>
        </is>
      </c>
      <c r="I6814" t="n">
        <v>2.1</v>
      </c>
      <c r="J6814" t="n">
        <v>0</v>
      </c>
      <c r="K6814" t="n">
        <v>0</v>
      </c>
      <c r="L6814" t="n">
        <v>0</v>
      </c>
      <c r="M6814" t="n">
        <v>0</v>
      </c>
      <c r="N6814" t="n">
        <v>0</v>
      </c>
      <c r="O6814" t="n">
        <v>0</v>
      </c>
      <c r="P6814" t="n">
        <v>0</v>
      </c>
      <c r="Q6814" t="n">
        <v>0</v>
      </c>
      <c r="R6814" t="n">
        <v>0</v>
      </c>
      <c r="S6814" t="n">
        <v>0</v>
      </c>
      <c r="T6814" t="n">
        <v>0</v>
      </c>
      <c r="U6814" t="n">
        <v>0</v>
      </c>
      <c r="V6814" s="2" t="inlineStr"/>
    </row>
    <row r="6815" ht="15" customHeight="1">
      <c r="A6815" t="inlineStr">
        <is>
          <t>A 5974-2026</t>
        </is>
      </c>
      <c r="B6815" t="inlineStr">
        <is>
          <t>avverkningsanmälan</t>
        </is>
      </c>
      <c r="C6815" t="inlineStr">
        <is>
          <t>Föryngringsavverkning</t>
        </is>
      </c>
      <c r="D6815" s="1" t="n">
        <v>46052</v>
      </c>
      <c r="E6815" s="1" t="n">
        <v>46326</v>
      </c>
      <c r="F6815" t="inlineStr">
        <is>
          <t>GÄVLEBORGS LÄN</t>
        </is>
      </c>
      <c r="G6815" t="inlineStr">
        <is>
          <t>OCKELBO</t>
        </is>
      </c>
      <c r="H6815" t="inlineStr">
        <is>
          <t>Bergvik skog väst AB</t>
        </is>
      </c>
      <c r="I6815" t="n">
        <v>1.2</v>
      </c>
      <c r="J6815" t="n">
        <v>0</v>
      </c>
      <c r="K6815" t="n">
        <v>0</v>
      </c>
      <c r="L6815" t="n">
        <v>0</v>
      </c>
      <c r="M6815" t="n">
        <v>0</v>
      </c>
      <c r="N6815" t="n">
        <v>0</v>
      </c>
      <c r="O6815" t="n">
        <v>0</v>
      </c>
      <c r="P6815" t="n">
        <v>0</v>
      </c>
      <c r="Q6815" t="n">
        <v>0</v>
      </c>
      <c r="R6815" t="n">
        <v>0</v>
      </c>
      <c r="S6815" t="n">
        <v>0</v>
      </c>
      <c r="T6815" t="n">
        <v>0</v>
      </c>
      <c r="U6815" t="n">
        <v>0</v>
      </c>
      <c r="V6815" s="2" t="inlineStr"/>
    </row>
    <row r="6816" ht="15" customHeight="1">
      <c r="A6816" t="inlineStr">
        <is>
          <t>A 6766-2022</t>
        </is>
      </c>
      <c r="B6816" t="inlineStr">
        <is>
          <t>avverkningsanmälan</t>
        </is>
      </c>
      <c r="C6816" t="inlineStr">
        <is>
          <t>Föryngringsavverkning</t>
        </is>
      </c>
      <c r="D6816" s="1" t="n">
        <v>44602</v>
      </c>
      <c r="E6816" s="1" t="n">
        <v>46326</v>
      </c>
      <c r="F6816" t="inlineStr">
        <is>
          <t>GÄVLEBORGS LÄN</t>
        </is>
      </c>
      <c r="G6816" t="inlineStr">
        <is>
          <t>OVANÅKER</t>
        </is>
      </c>
      <c r="I6816" t="n">
        <v>0.9</v>
      </c>
      <c r="J6816" t="n">
        <v>0</v>
      </c>
      <c r="K6816" t="n">
        <v>0</v>
      </c>
      <c r="L6816" t="n">
        <v>0</v>
      </c>
      <c r="M6816" t="n">
        <v>0</v>
      </c>
      <c r="N6816" t="n">
        <v>0</v>
      </c>
      <c r="O6816" t="n">
        <v>0</v>
      </c>
      <c r="P6816" t="n">
        <v>0</v>
      </c>
      <c r="Q6816" t="n">
        <v>0</v>
      </c>
      <c r="R6816" t="n">
        <v>0</v>
      </c>
      <c r="S6816" t="n">
        <v>0</v>
      </c>
      <c r="T6816" t="n">
        <v>0</v>
      </c>
      <c r="U6816" t="n">
        <v>0</v>
      </c>
      <c r="V6816" s="2" t="inlineStr"/>
    </row>
    <row r="6817" ht="15" customHeight="1">
      <c r="A6817" t="inlineStr">
        <is>
          <t>A 16660-2026</t>
        </is>
      </c>
      <c r="B6817" t="inlineStr">
        <is>
          <t>avverkningsanmälan</t>
        </is>
      </c>
      <c r="C6817" t="inlineStr">
        <is>
          <t>Föryngringsavverkning</t>
        </is>
      </c>
      <c r="D6817" s="1" t="n">
        <v>46112</v>
      </c>
      <c r="E6817" s="1" t="n">
        <v>46326</v>
      </c>
      <c r="F6817" t="inlineStr">
        <is>
          <t>GÄVLEBORGS LÄN</t>
        </is>
      </c>
      <c r="G6817" t="inlineStr">
        <is>
          <t>BOLLNÄS</t>
        </is>
      </c>
      <c r="I6817" t="n">
        <v>2</v>
      </c>
      <c r="J6817" t="n">
        <v>0</v>
      </c>
      <c r="K6817" t="n">
        <v>0</v>
      </c>
      <c r="L6817" t="n">
        <v>0</v>
      </c>
      <c r="M6817" t="n">
        <v>0</v>
      </c>
      <c r="N6817" t="n">
        <v>0</v>
      </c>
      <c r="O6817" t="n">
        <v>0</v>
      </c>
      <c r="P6817" t="n">
        <v>0</v>
      </c>
      <c r="Q6817" t="n">
        <v>0</v>
      </c>
      <c r="R6817" t="n">
        <v>0</v>
      </c>
      <c r="S6817" t="n">
        <v>0</v>
      </c>
      <c r="T6817" t="n">
        <v>0</v>
      </c>
      <c r="U6817" t="n">
        <v>0</v>
      </c>
      <c r="V6817" s="2" t="inlineStr"/>
    </row>
    <row r="6818" ht="15" customHeight="1">
      <c r="A6818" t="inlineStr">
        <is>
          <t>A 2854-2026</t>
        </is>
      </c>
      <c r="B6818" t="inlineStr">
        <is>
          <t>avverkningsanmälan</t>
        </is>
      </c>
      <c r="C6818" t="inlineStr">
        <is>
          <t>Föryngringsavverkning</t>
        </is>
      </c>
      <c r="D6818" s="1" t="n">
        <v>46036</v>
      </c>
      <c r="E6818" s="1" t="n">
        <v>46326</v>
      </c>
      <c r="F6818" t="inlineStr">
        <is>
          <t>GÄVLEBORGS LÄN</t>
        </is>
      </c>
      <c r="G6818" t="inlineStr">
        <is>
          <t>OVANÅKER</t>
        </is>
      </c>
      <c r="I6818" t="n">
        <v>3.8</v>
      </c>
      <c r="J6818" t="n">
        <v>0</v>
      </c>
      <c r="K6818" t="n">
        <v>0</v>
      </c>
      <c r="L6818" t="n">
        <v>0</v>
      </c>
      <c r="M6818" t="n">
        <v>0</v>
      </c>
      <c r="N6818" t="n">
        <v>0</v>
      </c>
      <c r="O6818" t="n">
        <v>0</v>
      </c>
      <c r="P6818" t="n">
        <v>0</v>
      </c>
      <c r="Q6818" t="n">
        <v>0</v>
      </c>
      <c r="R6818" t="n">
        <v>0</v>
      </c>
      <c r="S6818" t="n">
        <v>0</v>
      </c>
      <c r="T6818" t="n">
        <v>0</v>
      </c>
      <c r="U6818" t="n">
        <v>0</v>
      </c>
      <c r="V6818" s="2" t="inlineStr"/>
    </row>
    <row r="6819" ht="15" customHeight="1">
      <c r="A6819" t="inlineStr">
        <is>
          <t>A 3908-2026</t>
        </is>
      </c>
      <c r="B6819" t="inlineStr">
        <is>
          <t>avverkningsanmälan</t>
        </is>
      </c>
      <c r="C6819" t="inlineStr">
        <is>
          <t>Föryngringsavverkning</t>
        </is>
      </c>
      <c r="D6819" s="1" t="n">
        <v>46043</v>
      </c>
      <c r="E6819" s="1" t="n">
        <v>46326</v>
      </c>
      <c r="F6819" t="inlineStr">
        <is>
          <t>GÄVLEBORGS LÄN</t>
        </is>
      </c>
      <c r="G6819" t="inlineStr">
        <is>
          <t>BOLLNÄS</t>
        </is>
      </c>
      <c r="I6819" t="n">
        <v>2.1</v>
      </c>
      <c r="J6819" t="n">
        <v>0</v>
      </c>
      <c r="K6819" t="n">
        <v>0</v>
      </c>
      <c r="L6819" t="n">
        <v>0</v>
      </c>
      <c r="M6819" t="n">
        <v>0</v>
      </c>
      <c r="N6819" t="n">
        <v>0</v>
      </c>
      <c r="O6819" t="n">
        <v>0</v>
      </c>
      <c r="P6819" t="n">
        <v>0</v>
      </c>
      <c r="Q6819" t="n">
        <v>0</v>
      </c>
      <c r="R6819" t="n">
        <v>0</v>
      </c>
      <c r="S6819" t="n">
        <v>0</v>
      </c>
      <c r="T6819" t="n">
        <v>0</v>
      </c>
      <c r="U6819" t="n">
        <v>0</v>
      </c>
      <c r="V6819" s="2" t="inlineStr"/>
    </row>
    <row r="6820" ht="15" customHeight="1">
      <c r="A6820" t="inlineStr">
        <is>
          <t>A 5328-2026</t>
        </is>
      </c>
      <c r="B6820" t="inlineStr">
        <is>
          <t>avverkningsanmälan</t>
        </is>
      </c>
      <c r="C6820" t="inlineStr">
        <is>
          <t>Föryngringsavverkning</t>
        </is>
      </c>
      <c r="D6820" s="1" t="n">
        <v>46050</v>
      </c>
      <c r="E6820" s="1" t="n">
        <v>46326</v>
      </c>
      <c r="F6820" t="inlineStr">
        <is>
          <t>GÄVLEBORGS LÄN</t>
        </is>
      </c>
      <c r="G6820" t="inlineStr">
        <is>
          <t>SÖDERHAMN</t>
        </is>
      </c>
      <c r="I6820" t="n">
        <v>1.7</v>
      </c>
      <c r="J6820" t="n">
        <v>0</v>
      </c>
      <c r="K6820" t="n">
        <v>0</v>
      </c>
      <c r="L6820" t="n">
        <v>0</v>
      </c>
      <c r="M6820" t="n">
        <v>0</v>
      </c>
      <c r="N6820" t="n">
        <v>0</v>
      </c>
      <c r="O6820" t="n">
        <v>0</v>
      </c>
      <c r="P6820" t="n">
        <v>0</v>
      </c>
      <c r="Q6820" t="n">
        <v>0</v>
      </c>
      <c r="R6820" t="n">
        <v>0</v>
      </c>
      <c r="S6820" t="n">
        <v>0</v>
      </c>
      <c r="T6820" t="n">
        <v>0</v>
      </c>
      <c r="U6820" t="n">
        <v>0</v>
      </c>
      <c r="V6820" s="2" t="inlineStr"/>
    </row>
    <row r="6821" ht="15" customHeight="1">
      <c r="A6821" t="inlineStr">
        <is>
          <t>A 63933-2025</t>
        </is>
      </c>
      <c r="B6821" t="inlineStr">
        <is>
          <t>avverkningsanmälan</t>
        </is>
      </c>
      <c r="C6821" t="inlineStr">
        <is>
          <t>Föryngringsavverkning</t>
        </is>
      </c>
      <c r="D6821" s="1" t="n">
        <v>46020</v>
      </c>
      <c r="E6821" s="1" t="n">
        <v>46326</v>
      </c>
      <c r="F6821" t="inlineStr">
        <is>
          <t>GÄVLEBORGS LÄN</t>
        </is>
      </c>
      <c r="G6821" t="inlineStr">
        <is>
          <t>HUDIKSVALL</t>
        </is>
      </c>
      <c r="I6821" t="n">
        <v>3.4</v>
      </c>
      <c r="J6821" t="n">
        <v>0</v>
      </c>
      <c r="K6821" t="n">
        <v>0</v>
      </c>
      <c r="L6821" t="n">
        <v>0</v>
      </c>
      <c r="M6821" t="n">
        <v>0</v>
      </c>
      <c r="N6821" t="n">
        <v>0</v>
      </c>
      <c r="O6821" t="n">
        <v>0</v>
      </c>
      <c r="P6821" t="n">
        <v>0</v>
      </c>
      <c r="Q6821" t="n">
        <v>0</v>
      </c>
      <c r="R6821" t="n">
        <v>0</v>
      </c>
      <c r="S6821" t="n">
        <v>0</v>
      </c>
      <c r="T6821" t="n">
        <v>0</v>
      </c>
      <c r="U6821" t="n">
        <v>0</v>
      </c>
      <c r="V6821" s="2" t="inlineStr"/>
    </row>
    <row r="6822" ht="15" customHeight="1">
      <c r="A6822" t="inlineStr">
        <is>
          <t>A 50752-2023</t>
        </is>
      </c>
      <c r="B6822" t="inlineStr">
        <is>
          <t>avverkningsanmälan</t>
        </is>
      </c>
      <c r="C6822" t="inlineStr">
        <is>
          <t>Föryngringsavverkning</t>
        </is>
      </c>
      <c r="D6822" s="1" t="n">
        <v>45217</v>
      </c>
      <c r="E6822" s="1" t="n">
        <v>46326</v>
      </c>
      <c r="F6822" t="inlineStr">
        <is>
          <t>GÄVLEBORGS LÄN</t>
        </is>
      </c>
      <c r="G6822" t="inlineStr">
        <is>
          <t>OVANÅKER</t>
        </is>
      </c>
      <c r="H6822" t="inlineStr">
        <is>
          <t>Bergvik skog väst AB</t>
        </is>
      </c>
      <c r="I6822" t="n">
        <v>3.3</v>
      </c>
      <c r="J6822" t="n">
        <v>0</v>
      </c>
      <c r="K6822" t="n">
        <v>0</v>
      </c>
      <c r="L6822" t="n">
        <v>0</v>
      </c>
      <c r="M6822" t="n">
        <v>0</v>
      </c>
      <c r="N6822" t="n">
        <v>0</v>
      </c>
      <c r="O6822" t="n">
        <v>0</v>
      </c>
      <c r="P6822" t="n">
        <v>0</v>
      </c>
      <c r="Q6822" t="n">
        <v>0</v>
      </c>
      <c r="R6822" t="n">
        <v>0</v>
      </c>
      <c r="S6822" t="n">
        <v>0</v>
      </c>
      <c r="T6822" t="n">
        <v>0</v>
      </c>
      <c r="U6822" t="n">
        <v>0</v>
      </c>
      <c r="V6822" s="2" t="inlineStr"/>
      <c r="Z6822">
        <f>HYPERLINK("https://klasma.github.io/Logging_2121/knärot/A 50752-2023 karta knärot.png", "A 50752-2023")</f>
        <v/>
      </c>
      <c r="AA6822">
        <f>HYPERLINK("https://klasma.github.io/Logging_2121/klagomål/A 50752-2023 FSC-klagomål.docx", "A 50752-2023")</f>
        <v/>
      </c>
      <c r="AB6822">
        <f>HYPERLINK("https://klasma.github.io/Logging_2121/klagomålsmail/A 50752-2023 FSC-klagomål mail.docx", "A 50752-2023")</f>
        <v/>
      </c>
      <c r="AC6822">
        <f>HYPERLINK("https://klasma.github.io/Logging_2121/tillsyn/A 50752-2023 tillsynsbegäran.docx", "A 50752-2023")</f>
        <v/>
      </c>
      <c r="AD6822">
        <f>HYPERLINK("https://klasma.github.io/Logging_2121/tillsynsmail/A 50752-2023 tillsynsbegäran mail.docx", "A 50752-2023")</f>
        <v/>
      </c>
    </row>
    <row r="6823" ht="15" customHeight="1">
      <c r="A6823" t="inlineStr">
        <is>
          <t>A 13882-2025</t>
        </is>
      </c>
      <c r="B6823" t="inlineStr">
        <is>
          <t>avverkningsanmälan</t>
        </is>
      </c>
      <c r="C6823" t="inlineStr">
        <is>
          <t>Föryngringsavverkning</t>
        </is>
      </c>
      <c r="D6823" s="1" t="n">
        <v>45737</v>
      </c>
      <c r="E6823" s="1" t="n">
        <v>46326</v>
      </c>
      <c r="F6823" t="inlineStr">
        <is>
          <t>GÄVLEBORGS LÄN</t>
        </is>
      </c>
      <c r="G6823" t="inlineStr">
        <is>
          <t>LJUSDAL</t>
        </is>
      </c>
      <c r="I6823" t="n">
        <v>0.8</v>
      </c>
      <c r="J6823" t="n">
        <v>0</v>
      </c>
      <c r="K6823" t="n">
        <v>0</v>
      </c>
      <c r="L6823" t="n">
        <v>0</v>
      </c>
      <c r="M6823" t="n">
        <v>0</v>
      </c>
      <c r="N6823" t="n">
        <v>0</v>
      </c>
      <c r="O6823" t="n">
        <v>0</v>
      </c>
      <c r="P6823" t="n">
        <v>0</v>
      </c>
      <c r="Q6823" t="n">
        <v>0</v>
      </c>
      <c r="R6823" t="n">
        <v>0</v>
      </c>
      <c r="S6823" t="n">
        <v>0</v>
      </c>
      <c r="T6823" t="n">
        <v>0</v>
      </c>
      <c r="U6823" t="n">
        <v>0</v>
      </c>
      <c r="V6823" s="2" t="inlineStr"/>
    </row>
    <row r="6824" ht="15" customHeight="1">
      <c r="A6824" t="inlineStr">
        <is>
          <t>A 252-2026</t>
        </is>
      </c>
      <c r="B6824" t="inlineStr">
        <is>
          <t>avverkningsanmälan</t>
        </is>
      </c>
      <c r="C6824" t="inlineStr">
        <is>
          <t>Föryngringsavverkning</t>
        </is>
      </c>
      <c r="D6824" s="1" t="n">
        <v>46027</v>
      </c>
      <c r="E6824" s="1" t="n">
        <v>46326</v>
      </c>
      <c r="F6824" t="inlineStr">
        <is>
          <t>GÄVLEBORGS LÄN</t>
        </is>
      </c>
      <c r="G6824" t="inlineStr">
        <is>
          <t>BOLLNÄS</t>
        </is>
      </c>
      <c r="I6824" t="n">
        <v>1.3</v>
      </c>
      <c r="J6824" t="n">
        <v>0</v>
      </c>
      <c r="K6824" t="n">
        <v>0</v>
      </c>
      <c r="L6824" t="n">
        <v>0</v>
      </c>
      <c r="M6824" t="n">
        <v>0</v>
      </c>
      <c r="N6824" t="n">
        <v>0</v>
      </c>
      <c r="O6824" t="n">
        <v>0</v>
      </c>
      <c r="P6824" t="n">
        <v>0</v>
      </c>
      <c r="Q6824" t="n">
        <v>0</v>
      </c>
      <c r="R6824" t="n">
        <v>0</v>
      </c>
      <c r="S6824" t="n">
        <v>0</v>
      </c>
      <c r="T6824" t="n">
        <v>0</v>
      </c>
      <c r="U6824" t="n">
        <v>0</v>
      </c>
      <c r="V6824" s="2" t="inlineStr"/>
    </row>
    <row r="6825" ht="15" customHeight="1">
      <c r="A6825" t="inlineStr">
        <is>
          <t>A 1172-2026</t>
        </is>
      </c>
      <c r="B6825" t="inlineStr">
        <is>
          <t>avverkningsanmälan</t>
        </is>
      </c>
      <c r="C6825" t="inlineStr">
        <is>
          <t>Föryngringsavverkning</t>
        </is>
      </c>
      <c r="D6825" s="1" t="n">
        <v>46031</v>
      </c>
      <c r="E6825" s="1" t="n">
        <v>46326</v>
      </c>
      <c r="F6825" t="inlineStr">
        <is>
          <t>GÄVLEBORGS LÄN</t>
        </is>
      </c>
      <c r="G6825" t="inlineStr">
        <is>
          <t>BOLLNÄS</t>
        </is>
      </c>
      <c r="I6825" t="n">
        <v>1.5</v>
      </c>
      <c r="J6825" t="n">
        <v>0</v>
      </c>
      <c r="K6825" t="n">
        <v>0</v>
      </c>
      <c r="L6825" t="n">
        <v>0</v>
      </c>
      <c r="M6825" t="n">
        <v>0</v>
      </c>
      <c r="N6825" t="n">
        <v>0</v>
      </c>
      <c r="O6825" t="n">
        <v>0</v>
      </c>
      <c r="P6825" t="n">
        <v>0</v>
      </c>
      <c r="Q6825" t="n">
        <v>0</v>
      </c>
      <c r="R6825" t="n">
        <v>0</v>
      </c>
      <c r="S6825" t="n">
        <v>0</v>
      </c>
      <c r="T6825" t="n">
        <v>0</v>
      </c>
      <c r="U6825" t="n">
        <v>0</v>
      </c>
      <c r="V6825" s="2" t="inlineStr"/>
    </row>
    <row r="6826" ht="15" customHeight="1">
      <c r="A6826" t="inlineStr">
        <is>
          <t>A 14937-2024</t>
        </is>
      </c>
      <c r="B6826" t="inlineStr">
        <is>
          <t>avverkningsanmälan</t>
        </is>
      </c>
      <c r="C6826" t="inlineStr">
        <is>
          <t>Föryngringsavverkning</t>
        </is>
      </c>
      <c r="D6826" s="1" t="n">
        <v>45398</v>
      </c>
      <c r="E6826" s="1" t="n">
        <v>46326</v>
      </c>
      <c r="F6826" t="inlineStr">
        <is>
          <t>GÄVLEBORGS LÄN</t>
        </is>
      </c>
      <c r="G6826" t="inlineStr">
        <is>
          <t>OCKELBO</t>
        </is>
      </c>
      <c r="I6826" t="n">
        <v>1.6</v>
      </c>
      <c r="J6826" t="n">
        <v>0</v>
      </c>
      <c r="K6826" t="n">
        <v>0</v>
      </c>
      <c r="L6826" t="n">
        <v>0</v>
      </c>
      <c r="M6826" t="n">
        <v>0</v>
      </c>
      <c r="N6826" t="n">
        <v>0</v>
      </c>
      <c r="O6826" t="n">
        <v>0</v>
      </c>
      <c r="P6826" t="n">
        <v>0</v>
      </c>
      <c r="Q6826" t="n">
        <v>0</v>
      </c>
      <c r="R6826" t="n">
        <v>0</v>
      </c>
      <c r="S6826" t="n">
        <v>0</v>
      </c>
      <c r="T6826" t="n">
        <v>0</v>
      </c>
      <c r="U6826" t="n">
        <v>0</v>
      </c>
      <c r="V6826" s="2" t="inlineStr"/>
    </row>
    <row r="6827" ht="15" customHeight="1">
      <c r="A6827" t="inlineStr">
        <is>
          <t>A 61335-2022</t>
        </is>
      </c>
      <c r="B6827" t="inlineStr">
        <is>
          <t>avverkningsanmälan</t>
        </is>
      </c>
      <c r="C6827" t="inlineStr">
        <is>
          <t>Föryngringsavverkning</t>
        </is>
      </c>
      <c r="D6827" s="1" t="n">
        <v>44915</v>
      </c>
      <c r="E6827" s="1" t="n">
        <v>46326</v>
      </c>
      <c r="F6827" t="inlineStr">
        <is>
          <t>GÄVLEBORGS LÄN</t>
        </is>
      </c>
      <c r="G6827" t="inlineStr">
        <is>
          <t>OCKELBO</t>
        </is>
      </c>
      <c r="I6827" t="n">
        <v>8.5</v>
      </c>
      <c r="J6827" t="n">
        <v>0</v>
      </c>
      <c r="K6827" t="n">
        <v>0</v>
      </c>
      <c r="L6827" t="n">
        <v>0</v>
      </c>
      <c r="M6827" t="n">
        <v>0</v>
      </c>
      <c r="N6827" t="n">
        <v>0</v>
      </c>
      <c r="O6827" t="n">
        <v>0</v>
      </c>
      <c r="P6827" t="n">
        <v>0</v>
      </c>
      <c r="Q6827" t="n">
        <v>0</v>
      </c>
      <c r="R6827" t="n">
        <v>0</v>
      </c>
      <c r="S6827" t="n">
        <v>0</v>
      </c>
      <c r="T6827" t="n">
        <v>0</v>
      </c>
      <c r="U6827" t="n">
        <v>0</v>
      </c>
      <c r="V6827" s="2" t="inlineStr"/>
    </row>
    <row r="6828" ht="15" customHeight="1">
      <c r="A6828" t="inlineStr">
        <is>
          <t>A 28966-2025</t>
        </is>
      </c>
      <c r="B6828" t="inlineStr">
        <is>
          <t>avverkningsanmälan</t>
        </is>
      </c>
      <c r="C6828" t="inlineStr">
        <is>
          <t>Föryngringsavverkning</t>
        </is>
      </c>
      <c r="D6828" s="1" t="n">
        <v>45821</v>
      </c>
      <c r="E6828" s="1" t="n">
        <v>46326</v>
      </c>
      <c r="F6828" t="inlineStr">
        <is>
          <t>GÄVLEBORGS LÄN</t>
        </is>
      </c>
      <c r="G6828" t="inlineStr">
        <is>
          <t>OCKELBO</t>
        </is>
      </c>
      <c r="I6828" t="n">
        <v>2.6</v>
      </c>
      <c r="J6828" t="n">
        <v>0</v>
      </c>
      <c r="K6828" t="n">
        <v>0</v>
      </c>
      <c r="L6828" t="n">
        <v>0</v>
      </c>
      <c r="M6828" t="n">
        <v>0</v>
      </c>
      <c r="N6828" t="n">
        <v>0</v>
      </c>
      <c r="O6828" t="n">
        <v>0</v>
      </c>
      <c r="P6828" t="n">
        <v>0</v>
      </c>
      <c r="Q6828" t="n">
        <v>0</v>
      </c>
      <c r="R6828" t="n">
        <v>0</v>
      </c>
      <c r="S6828" t="n">
        <v>0</v>
      </c>
      <c r="T6828" t="n">
        <v>0</v>
      </c>
      <c r="U6828" t="n">
        <v>0</v>
      </c>
      <c r="V6828" s="2" t="inlineStr"/>
    </row>
    <row r="6829" ht="15" customHeight="1">
      <c r="A6829" t="inlineStr">
        <is>
          <t>A 23162-2023</t>
        </is>
      </c>
      <c r="B6829" t="inlineStr">
        <is>
          <t>avverkningsanmälan</t>
        </is>
      </c>
      <c r="C6829" t="inlineStr">
        <is>
          <t>Föryngringsavverkning</t>
        </is>
      </c>
      <c r="D6829" s="1" t="n">
        <v>45075</v>
      </c>
      <c r="E6829" s="1" t="n">
        <v>46326</v>
      </c>
      <c r="F6829" t="inlineStr">
        <is>
          <t>GÄVLEBORGS LÄN</t>
        </is>
      </c>
      <c r="G6829" t="inlineStr">
        <is>
          <t>SANDVIKEN</t>
        </is>
      </c>
      <c r="H6829" t="inlineStr">
        <is>
          <t>Bergvik skog öst AB</t>
        </is>
      </c>
      <c r="I6829" t="n">
        <v>6.3</v>
      </c>
      <c r="J6829" t="n">
        <v>0</v>
      </c>
      <c r="K6829" t="n">
        <v>0</v>
      </c>
      <c r="L6829" t="n">
        <v>0</v>
      </c>
      <c r="M6829" t="n">
        <v>0</v>
      </c>
      <c r="N6829" t="n">
        <v>0</v>
      </c>
      <c r="O6829" t="n">
        <v>0</v>
      </c>
      <c r="P6829" t="n">
        <v>0</v>
      </c>
      <c r="Q6829" t="n">
        <v>0</v>
      </c>
      <c r="R6829" t="n">
        <v>0</v>
      </c>
      <c r="S6829" t="n">
        <v>0</v>
      </c>
      <c r="T6829" t="n">
        <v>0</v>
      </c>
      <c r="U6829" t="n">
        <v>0</v>
      </c>
      <c r="V6829" s="2" t="inlineStr"/>
    </row>
    <row r="6830" ht="15" customHeight="1">
      <c r="A6830" t="inlineStr">
        <is>
          <t>A 3132-2026</t>
        </is>
      </c>
      <c r="B6830" t="inlineStr">
        <is>
          <t>avverkningsanmälan</t>
        </is>
      </c>
      <c r="C6830" t="inlineStr">
        <is>
          <t>Föryngringsavverkning</t>
        </is>
      </c>
      <c r="D6830" s="1" t="n">
        <v>46041</v>
      </c>
      <c r="E6830" s="1" t="n">
        <v>46326</v>
      </c>
      <c r="F6830" t="inlineStr">
        <is>
          <t>GÄVLEBORGS LÄN</t>
        </is>
      </c>
      <c r="G6830" t="inlineStr">
        <is>
          <t>OVANÅKER</t>
        </is>
      </c>
      <c r="I6830" t="n">
        <v>1.8</v>
      </c>
      <c r="J6830" t="n">
        <v>0</v>
      </c>
      <c r="K6830" t="n">
        <v>0</v>
      </c>
      <c r="L6830" t="n">
        <v>0</v>
      </c>
      <c r="M6830" t="n">
        <v>0</v>
      </c>
      <c r="N6830" t="n">
        <v>0</v>
      </c>
      <c r="O6830" t="n">
        <v>0</v>
      </c>
      <c r="P6830" t="n">
        <v>0</v>
      </c>
      <c r="Q6830" t="n">
        <v>0</v>
      </c>
      <c r="R6830" t="n">
        <v>0</v>
      </c>
      <c r="S6830" t="n">
        <v>0</v>
      </c>
      <c r="T6830" t="n">
        <v>0</v>
      </c>
      <c r="U6830" t="n">
        <v>0</v>
      </c>
      <c r="V6830" s="2" t="inlineStr"/>
    </row>
    <row r="6831" ht="15" customHeight="1">
      <c r="A6831" t="inlineStr">
        <is>
          <t>A 14256-2026</t>
        </is>
      </c>
      <c r="B6831" t="inlineStr">
        <is>
          <t>avverkningsanmälan</t>
        </is>
      </c>
      <c r="C6831" t="inlineStr">
        <is>
          <t>Föryngringsavverkning</t>
        </is>
      </c>
      <c r="D6831" s="1" t="n">
        <v>46099</v>
      </c>
      <c r="E6831" s="1" t="n">
        <v>46326</v>
      </c>
      <c r="F6831" t="inlineStr">
        <is>
          <t>GÄVLEBORGS LÄN</t>
        </is>
      </c>
      <c r="G6831" t="inlineStr">
        <is>
          <t>BOLLNÄS</t>
        </is>
      </c>
      <c r="I6831" t="n">
        <v>5.3</v>
      </c>
      <c r="J6831" t="n">
        <v>0</v>
      </c>
      <c r="K6831" t="n">
        <v>0</v>
      </c>
      <c r="L6831" t="n">
        <v>0</v>
      </c>
      <c r="M6831" t="n">
        <v>0</v>
      </c>
      <c r="N6831" t="n">
        <v>0</v>
      </c>
      <c r="O6831" t="n">
        <v>0</v>
      </c>
      <c r="P6831" t="n">
        <v>0</v>
      </c>
      <c r="Q6831" t="n">
        <v>0</v>
      </c>
      <c r="R6831" t="n">
        <v>0</v>
      </c>
      <c r="S6831" t="n">
        <v>0</v>
      </c>
      <c r="T6831" t="n">
        <v>0</v>
      </c>
      <c r="U6831" t="n">
        <v>0</v>
      </c>
      <c r="V6831" s="2" t="inlineStr"/>
    </row>
    <row r="6832" ht="15" customHeight="1">
      <c r="A6832" t="inlineStr">
        <is>
          <t>A 5999-2026</t>
        </is>
      </c>
      <c r="B6832" t="inlineStr">
        <is>
          <t>avverkningsanmälan</t>
        </is>
      </c>
      <c r="C6832" t="inlineStr">
        <is>
          <t>Föryngringsavverkning</t>
        </is>
      </c>
      <c r="D6832" s="1" t="n">
        <v>46052</v>
      </c>
      <c r="E6832" s="1" t="n">
        <v>46326</v>
      </c>
      <c r="F6832" t="inlineStr">
        <is>
          <t>GÄVLEBORGS LÄN</t>
        </is>
      </c>
      <c r="G6832" t="inlineStr">
        <is>
          <t>BOLLNÄS</t>
        </is>
      </c>
      <c r="I6832" t="n">
        <v>2.6</v>
      </c>
      <c r="J6832" t="n">
        <v>0</v>
      </c>
      <c r="K6832" t="n">
        <v>0</v>
      </c>
      <c r="L6832" t="n">
        <v>0</v>
      </c>
      <c r="M6832" t="n">
        <v>0</v>
      </c>
      <c r="N6832" t="n">
        <v>0</v>
      </c>
      <c r="O6832" t="n">
        <v>0</v>
      </c>
      <c r="P6832" t="n">
        <v>0</v>
      </c>
      <c r="Q6832" t="n">
        <v>0</v>
      </c>
      <c r="R6832" t="n">
        <v>0</v>
      </c>
      <c r="S6832" t="n">
        <v>0</v>
      </c>
      <c r="T6832" t="n">
        <v>0</v>
      </c>
      <c r="U6832" t="n">
        <v>0</v>
      </c>
      <c r="V6832" s="2" t="inlineStr"/>
    </row>
    <row r="6833" ht="15" customHeight="1">
      <c r="A6833" t="inlineStr">
        <is>
          <t>A 11656-2026</t>
        </is>
      </c>
      <c r="B6833" t="inlineStr">
        <is>
          <t>avverkningsanmälan</t>
        </is>
      </c>
      <c r="C6833" t="inlineStr">
        <is>
          <t>Föryngringsavverkning</t>
        </is>
      </c>
      <c r="D6833" s="1" t="n">
        <v>46084</v>
      </c>
      <c r="E6833" s="1" t="n">
        <v>46326</v>
      </c>
      <c r="F6833" t="inlineStr">
        <is>
          <t>GÄVLEBORGS LÄN</t>
        </is>
      </c>
      <c r="G6833" t="inlineStr">
        <is>
          <t>BOLLNÄS</t>
        </is>
      </c>
      <c r="I6833" t="n">
        <v>7.1</v>
      </c>
      <c r="J6833" t="n">
        <v>0</v>
      </c>
      <c r="K6833" t="n">
        <v>0</v>
      </c>
      <c r="L6833" t="n">
        <v>0</v>
      </c>
      <c r="M6833" t="n">
        <v>0</v>
      </c>
      <c r="N6833" t="n">
        <v>0</v>
      </c>
      <c r="O6833" t="n">
        <v>0</v>
      </c>
      <c r="P6833" t="n">
        <v>0</v>
      </c>
      <c r="Q6833" t="n">
        <v>0</v>
      </c>
      <c r="R6833" t="n">
        <v>0</v>
      </c>
      <c r="S6833" t="n">
        <v>0</v>
      </c>
      <c r="T6833" t="n">
        <v>0</v>
      </c>
      <c r="U6833" t="n">
        <v>0</v>
      </c>
      <c r="V6833" s="2" t="inlineStr"/>
    </row>
    <row r="6834" ht="15" customHeight="1">
      <c r="A6834" t="inlineStr">
        <is>
          <t>A 20227-2026</t>
        </is>
      </c>
      <c r="B6834" t="inlineStr">
        <is>
          <t>avverkningsanmälan</t>
        </is>
      </c>
      <c r="C6834" t="inlineStr">
        <is>
          <t>Föryngringsavverkning</t>
        </is>
      </c>
      <c r="D6834" s="1" t="n">
        <v>46139</v>
      </c>
      <c r="E6834" s="1" t="n">
        <v>46326</v>
      </c>
      <c r="F6834" t="inlineStr">
        <is>
          <t>GÄVLEBORGS LÄN</t>
        </is>
      </c>
      <c r="G6834" t="inlineStr">
        <is>
          <t>BOLLNÄS</t>
        </is>
      </c>
      <c r="H6834" t="inlineStr">
        <is>
          <t>Bergvik skog öst AB</t>
        </is>
      </c>
      <c r="I6834" t="n">
        <v>2.2</v>
      </c>
      <c r="J6834" t="n">
        <v>0</v>
      </c>
      <c r="K6834" t="n">
        <v>0</v>
      </c>
      <c r="L6834" t="n">
        <v>0</v>
      </c>
      <c r="M6834" t="n">
        <v>0</v>
      </c>
      <c r="N6834" t="n">
        <v>0</v>
      </c>
      <c r="O6834" t="n">
        <v>0</v>
      </c>
      <c r="P6834" t="n">
        <v>0</v>
      </c>
      <c r="Q6834" t="n">
        <v>0</v>
      </c>
      <c r="R6834" t="n">
        <v>0</v>
      </c>
      <c r="S6834" t="n">
        <v>0</v>
      </c>
      <c r="T6834" t="n">
        <v>0</v>
      </c>
      <c r="U6834" t="n">
        <v>0</v>
      </c>
      <c r="V6834" s="2" t="inlineStr"/>
    </row>
    <row r="6835" ht="15" customHeight="1">
      <c r="A6835" t="inlineStr">
        <is>
          <t>A 19921-2026</t>
        </is>
      </c>
      <c r="B6835" t="inlineStr">
        <is>
          <t>avverkningsanmälan</t>
        </is>
      </c>
      <c r="C6835" t="inlineStr">
        <is>
          <t>Föryngringsavverkning</t>
        </is>
      </c>
      <c r="D6835" s="1" t="n">
        <v>46136</v>
      </c>
      <c r="E6835" s="1" t="n">
        <v>46326</v>
      </c>
      <c r="F6835" t="inlineStr">
        <is>
          <t>GÄVLEBORGS LÄN</t>
        </is>
      </c>
      <c r="G6835" t="inlineStr">
        <is>
          <t>BOLLNÄS</t>
        </is>
      </c>
      <c r="H6835" t="inlineStr">
        <is>
          <t>Bergvik skog öst AB</t>
        </is>
      </c>
      <c r="I6835" t="n">
        <v>7.4</v>
      </c>
      <c r="J6835" t="n">
        <v>0</v>
      </c>
      <c r="K6835" t="n">
        <v>0</v>
      </c>
      <c r="L6835" t="n">
        <v>0</v>
      </c>
      <c r="M6835" t="n">
        <v>0</v>
      </c>
      <c r="N6835" t="n">
        <v>0</v>
      </c>
      <c r="O6835" t="n">
        <v>0</v>
      </c>
      <c r="P6835" t="n">
        <v>0</v>
      </c>
      <c r="Q6835" t="n">
        <v>0</v>
      </c>
      <c r="R6835" t="n">
        <v>0</v>
      </c>
      <c r="S6835" t="n">
        <v>0</v>
      </c>
      <c r="T6835" t="n">
        <v>0</v>
      </c>
      <c r="U6835" t="n">
        <v>0</v>
      </c>
      <c r="V6835" s="2" t="inlineStr"/>
    </row>
    <row r="6836" ht="15" customHeight="1">
      <c r="A6836" t="inlineStr">
        <is>
          <t>A 26547-2024</t>
        </is>
      </c>
      <c r="B6836" t="inlineStr">
        <is>
          <t>avverkningsanmälan</t>
        </is>
      </c>
      <c r="C6836" t="inlineStr">
        <is>
          <t>Föryngringsavverkning</t>
        </is>
      </c>
      <c r="D6836" s="1" t="n">
        <v>45469</v>
      </c>
      <c r="E6836" s="1" t="n">
        <v>46326</v>
      </c>
      <c r="F6836" t="inlineStr">
        <is>
          <t>GÄVLEBORGS LÄN</t>
        </is>
      </c>
      <c r="G6836" t="inlineStr">
        <is>
          <t>HUDIKSVALL</t>
        </is>
      </c>
      <c r="H6836" t="inlineStr">
        <is>
          <t>Holmen skog AB</t>
        </is>
      </c>
      <c r="I6836" t="n">
        <v>4</v>
      </c>
      <c r="J6836" t="n">
        <v>0</v>
      </c>
      <c r="K6836" t="n">
        <v>0</v>
      </c>
      <c r="L6836" t="n">
        <v>0</v>
      </c>
      <c r="M6836" t="n">
        <v>0</v>
      </c>
      <c r="N6836" t="n">
        <v>0</v>
      </c>
      <c r="O6836" t="n">
        <v>0</v>
      </c>
      <c r="P6836" t="n">
        <v>0</v>
      </c>
      <c r="Q6836" t="n">
        <v>0</v>
      </c>
      <c r="R6836" t="n">
        <v>0</v>
      </c>
      <c r="S6836" t="n">
        <v>0</v>
      </c>
      <c r="T6836" t="n">
        <v>0</v>
      </c>
      <c r="U6836" t="n">
        <v>0</v>
      </c>
      <c r="V6836" s="2" t="inlineStr"/>
    </row>
    <row r="6837" ht="15" customHeight="1">
      <c r="A6837" t="inlineStr">
        <is>
          <t>A 6078-2026</t>
        </is>
      </c>
      <c r="B6837" t="inlineStr">
        <is>
          <t>avverkningsanmälan</t>
        </is>
      </c>
      <c r="C6837" t="inlineStr">
        <is>
          <t>Föryngringsavverkning</t>
        </is>
      </c>
      <c r="D6837" s="1" t="n">
        <v>46052</v>
      </c>
      <c r="E6837" s="1" t="n">
        <v>46326</v>
      </c>
      <c r="F6837" t="inlineStr">
        <is>
          <t>GÄVLEBORGS LÄN</t>
        </is>
      </c>
      <c r="G6837" t="inlineStr">
        <is>
          <t>SANDVIKEN</t>
        </is>
      </c>
      <c r="I6837" t="n">
        <v>1.9</v>
      </c>
      <c r="J6837" t="n">
        <v>0</v>
      </c>
      <c r="K6837" t="n">
        <v>0</v>
      </c>
      <c r="L6837" t="n">
        <v>0</v>
      </c>
      <c r="M6837" t="n">
        <v>0</v>
      </c>
      <c r="N6837" t="n">
        <v>0</v>
      </c>
      <c r="O6837" t="n">
        <v>0</v>
      </c>
      <c r="P6837" t="n">
        <v>0</v>
      </c>
      <c r="Q6837" t="n">
        <v>0</v>
      </c>
      <c r="R6837" t="n">
        <v>0</v>
      </c>
      <c r="S6837" t="n">
        <v>0</v>
      </c>
      <c r="T6837" t="n">
        <v>0</v>
      </c>
      <c r="U6837" t="n">
        <v>0</v>
      </c>
      <c r="V6837" s="2" t="inlineStr"/>
    </row>
    <row r="6838" ht="15" customHeight="1">
      <c r="A6838" t="inlineStr">
        <is>
          <t>A 7898-2026</t>
        </is>
      </c>
      <c r="B6838" t="inlineStr">
        <is>
          <t>avverkningsanmälan</t>
        </is>
      </c>
      <c r="C6838" t="inlineStr">
        <is>
          <t>Föryngringsavverkning</t>
        </is>
      </c>
      <c r="D6838" s="1" t="n">
        <v>46063</v>
      </c>
      <c r="E6838" s="1" t="n">
        <v>46326</v>
      </c>
      <c r="F6838" t="inlineStr">
        <is>
          <t>GÄVLEBORGS LÄN</t>
        </is>
      </c>
      <c r="G6838" t="inlineStr">
        <is>
          <t>SANDVIKEN</t>
        </is>
      </c>
      <c r="I6838" t="n">
        <v>5.6</v>
      </c>
      <c r="J6838" t="n">
        <v>0</v>
      </c>
      <c r="K6838" t="n">
        <v>0</v>
      </c>
      <c r="L6838" t="n">
        <v>0</v>
      </c>
      <c r="M6838" t="n">
        <v>0</v>
      </c>
      <c r="N6838" t="n">
        <v>0</v>
      </c>
      <c r="O6838" t="n">
        <v>0</v>
      </c>
      <c r="P6838" t="n">
        <v>0</v>
      </c>
      <c r="Q6838" t="n">
        <v>0</v>
      </c>
      <c r="R6838" t="n">
        <v>0</v>
      </c>
      <c r="S6838" t="n">
        <v>0</v>
      </c>
      <c r="T6838" t="n">
        <v>0</v>
      </c>
      <c r="U6838" t="n">
        <v>0</v>
      </c>
      <c r="V6838" s="2" t="inlineStr"/>
    </row>
    <row r="6839" ht="15" customHeight="1">
      <c r="A6839" t="inlineStr">
        <is>
          <t>A 33880-2023</t>
        </is>
      </c>
      <c r="B6839" t="inlineStr">
        <is>
          <t>avverkningsanmälan</t>
        </is>
      </c>
      <c r="C6839" t="inlineStr">
        <is>
          <t>Föryngringsavverkning</t>
        </is>
      </c>
      <c r="D6839" s="1" t="n">
        <v>45134</v>
      </c>
      <c r="E6839" s="1" t="n">
        <v>46326</v>
      </c>
      <c r="F6839" t="inlineStr">
        <is>
          <t>GÄVLEBORGS LÄN</t>
        </is>
      </c>
      <c r="G6839" t="inlineStr">
        <is>
          <t>OCKELBO</t>
        </is>
      </c>
      <c r="H6839" t="inlineStr">
        <is>
          <t>Bergvik skog väst AB</t>
        </is>
      </c>
      <c r="I6839" t="n">
        <v>1</v>
      </c>
      <c r="J6839" t="n">
        <v>0</v>
      </c>
      <c r="K6839" t="n">
        <v>0</v>
      </c>
      <c r="L6839" t="n">
        <v>0</v>
      </c>
      <c r="M6839" t="n">
        <v>0</v>
      </c>
      <c r="N6839" t="n">
        <v>0</v>
      </c>
      <c r="O6839" t="n">
        <v>0</v>
      </c>
      <c r="P6839" t="n">
        <v>0</v>
      </c>
      <c r="Q6839" t="n">
        <v>0</v>
      </c>
      <c r="R6839" t="n">
        <v>0</v>
      </c>
      <c r="S6839" t="n">
        <v>0</v>
      </c>
      <c r="T6839" t="n">
        <v>0</v>
      </c>
      <c r="U6839" t="n">
        <v>0</v>
      </c>
      <c r="V6839" s="2" t="inlineStr"/>
    </row>
    <row r="6840" ht="15" customHeight="1">
      <c r="A6840" t="inlineStr">
        <is>
          <t>A 33881-2023</t>
        </is>
      </c>
      <c r="B6840" t="inlineStr">
        <is>
          <t>avverkningsanmälan</t>
        </is>
      </c>
      <c r="C6840" t="inlineStr">
        <is>
          <t>Föryngringsavverkning</t>
        </is>
      </c>
      <c r="D6840" s="1" t="n">
        <v>45134</v>
      </c>
      <c r="E6840" s="1" t="n">
        <v>46326</v>
      </c>
      <c r="F6840" t="inlineStr">
        <is>
          <t>GÄVLEBORGS LÄN</t>
        </is>
      </c>
      <c r="G6840" t="inlineStr">
        <is>
          <t>OCKELBO</t>
        </is>
      </c>
      <c r="H6840" t="inlineStr">
        <is>
          <t>Bergvik skog väst AB</t>
        </is>
      </c>
      <c r="I6840" t="n">
        <v>2.1</v>
      </c>
      <c r="J6840" t="n">
        <v>0</v>
      </c>
      <c r="K6840" t="n">
        <v>0</v>
      </c>
      <c r="L6840" t="n">
        <v>0</v>
      </c>
      <c r="M6840" t="n">
        <v>0</v>
      </c>
      <c r="N6840" t="n">
        <v>0</v>
      </c>
      <c r="O6840" t="n">
        <v>0</v>
      </c>
      <c r="P6840" t="n">
        <v>0</v>
      </c>
      <c r="Q6840" t="n">
        <v>0</v>
      </c>
      <c r="R6840" t="n">
        <v>0</v>
      </c>
      <c r="S6840" t="n">
        <v>0</v>
      </c>
      <c r="T6840" t="n">
        <v>0</v>
      </c>
      <c r="U6840" t="n">
        <v>0</v>
      </c>
      <c r="V6840" s="2" t="inlineStr"/>
    </row>
    <row r="6841" ht="15" customHeight="1">
      <c r="A6841" t="inlineStr">
        <is>
          <t>A 58059-2025</t>
        </is>
      </c>
      <c r="B6841" t="inlineStr">
        <is>
          <t>avverkningsanmälan</t>
        </is>
      </c>
      <c r="C6841" t="inlineStr">
        <is>
          <t>Föryngringsavverkning</t>
        </is>
      </c>
      <c r="D6841" s="1" t="n">
        <v>45982</v>
      </c>
      <c r="E6841" s="1" t="n">
        <v>46326</v>
      </c>
      <c r="F6841" t="inlineStr">
        <is>
          <t>GÄVLEBORGS LÄN</t>
        </is>
      </c>
      <c r="G6841" t="inlineStr">
        <is>
          <t>HUDIKSVALL</t>
        </is>
      </c>
      <c r="I6841" t="n">
        <v>1</v>
      </c>
      <c r="J6841" t="n">
        <v>0</v>
      </c>
      <c r="K6841" t="n">
        <v>0</v>
      </c>
      <c r="L6841" t="n">
        <v>0</v>
      </c>
      <c r="M6841" t="n">
        <v>0</v>
      </c>
      <c r="N6841" t="n">
        <v>0</v>
      </c>
      <c r="O6841" t="n">
        <v>0</v>
      </c>
      <c r="P6841" t="n">
        <v>0</v>
      </c>
      <c r="Q6841" t="n">
        <v>0</v>
      </c>
      <c r="R6841" t="n">
        <v>0</v>
      </c>
      <c r="S6841" t="n">
        <v>0</v>
      </c>
      <c r="T6841" t="n">
        <v>0</v>
      </c>
      <c r="U6841" t="n">
        <v>0</v>
      </c>
      <c r="V6841" s="2" t="inlineStr"/>
    </row>
    <row r="6842" ht="15" customHeight="1">
      <c r="A6842" t="inlineStr">
        <is>
          <t>A 17762-2022</t>
        </is>
      </c>
      <c r="B6842" t="inlineStr">
        <is>
          <t>avverkningsanmälan</t>
        </is>
      </c>
      <c r="C6842" t="inlineStr">
        <is>
          <t>Avverkning för att bevara och utveckla /försöksver</t>
        </is>
      </c>
      <c r="D6842" s="1" t="n">
        <v>44680</v>
      </c>
      <c r="E6842" s="1" t="n">
        <v>46326</v>
      </c>
      <c r="F6842" t="inlineStr">
        <is>
          <t>GÄVLEBORGS LÄN</t>
        </is>
      </c>
      <c r="G6842" t="inlineStr">
        <is>
          <t>HOFORS</t>
        </is>
      </c>
      <c r="I6842" t="n">
        <v>1</v>
      </c>
      <c r="J6842" t="n">
        <v>0</v>
      </c>
      <c r="K6842" t="n">
        <v>0</v>
      </c>
      <c r="L6842" t="n">
        <v>0</v>
      </c>
      <c r="M6842" t="n">
        <v>0</v>
      </c>
      <c r="N6842" t="n">
        <v>0</v>
      </c>
      <c r="O6842" t="n">
        <v>0</v>
      </c>
      <c r="P6842" t="n">
        <v>0</v>
      </c>
      <c r="Q6842" t="n">
        <v>0</v>
      </c>
      <c r="R6842" t="n">
        <v>0</v>
      </c>
      <c r="S6842" t="n">
        <v>0</v>
      </c>
      <c r="T6842" t="n">
        <v>0</v>
      </c>
      <c r="U6842" t="n">
        <v>0</v>
      </c>
      <c r="V6842" s="2" t="inlineStr"/>
    </row>
    <row r="6843" ht="15" customHeight="1">
      <c r="A6843" t="inlineStr">
        <is>
          <t>A 63988-2025</t>
        </is>
      </c>
      <c r="B6843" t="inlineStr">
        <is>
          <t>avverkningsanmälan</t>
        </is>
      </c>
      <c r="C6843" t="inlineStr">
        <is>
          <t>Föryngringsavverkning</t>
        </is>
      </c>
      <c r="D6843" s="1" t="n">
        <v>46021</v>
      </c>
      <c r="E6843" s="1" t="n">
        <v>46326</v>
      </c>
      <c r="F6843" t="inlineStr">
        <is>
          <t>GÄVLEBORGS LÄN</t>
        </is>
      </c>
      <c r="G6843" t="inlineStr">
        <is>
          <t>LJUSDAL</t>
        </is>
      </c>
      <c r="I6843" t="n">
        <v>1.4</v>
      </c>
      <c r="J6843" t="n">
        <v>0</v>
      </c>
      <c r="K6843" t="n">
        <v>0</v>
      </c>
      <c r="L6843" t="n">
        <v>0</v>
      </c>
      <c r="M6843" t="n">
        <v>0</v>
      </c>
      <c r="N6843" t="n">
        <v>0</v>
      </c>
      <c r="O6843" t="n">
        <v>0</v>
      </c>
      <c r="P6843" t="n">
        <v>0</v>
      </c>
      <c r="Q6843" t="n">
        <v>0</v>
      </c>
      <c r="R6843" t="n">
        <v>0</v>
      </c>
      <c r="S6843" t="n">
        <v>0</v>
      </c>
      <c r="T6843" t="n">
        <v>0</v>
      </c>
      <c r="U6843" t="n">
        <v>0</v>
      </c>
      <c r="V6843" s="2" t="inlineStr"/>
    </row>
    <row r="6844" ht="15" customHeight="1">
      <c r="A6844" t="inlineStr">
        <is>
          <t>A 12555-2023</t>
        </is>
      </c>
      <c r="B6844" t="inlineStr">
        <is>
          <t>avverkningsanmälan</t>
        </is>
      </c>
      <c r="C6844" t="inlineStr">
        <is>
          <t>Föryngringsavverkning</t>
        </is>
      </c>
      <c r="D6844" s="1" t="n">
        <v>45000</v>
      </c>
      <c r="E6844" s="1" t="n">
        <v>46326</v>
      </c>
      <c r="F6844" t="inlineStr">
        <is>
          <t>GÄVLEBORGS LÄN</t>
        </is>
      </c>
      <c r="G6844" t="inlineStr">
        <is>
          <t>LJUSDAL</t>
        </is>
      </c>
      <c r="I6844" t="n">
        <v>8.4</v>
      </c>
      <c r="J6844" t="n">
        <v>0</v>
      </c>
      <c r="K6844" t="n">
        <v>0</v>
      </c>
      <c r="L6844" t="n">
        <v>0</v>
      </c>
      <c r="M6844" t="n">
        <v>0</v>
      </c>
      <c r="N6844" t="n">
        <v>0</v>
      </c>
      <c r="O6844" t="n">
        <v>0</v>
      </c>
      <c r="P6844" t="n">
        <v>0</v>
      </c>
      <c r="Q6844" t="n">
        <v>0</v>
      </c>
      <c r="R6844" t="n">
        <v>0</v>
      </c>
      <c r="S6844" t="n">
        <v>0</v>
      </c>
      <c r="T6844" t="n">
        <v>0</v>
      </c>
      <c r="U6844" t="n">
        <v>0</v>
      </c>
      <c r="V6844" s="2" t="inlineStr"/>
    </row>
    <row r="6845" ht="15" customHeight="1">
      <c r="A6845" t="inlineStr">
        <is>
          <t>A 51553-2024</t>
        </is>
      </c>
      <c r="B6845" t="inlineStr">
        <is>
          <t>avverkningsanmälan</t>
        </is>
      </c>
      <c r="C6845" t="inlineStr">
        <is>
          <t>Föryngringsavverkning</t>
        </is>
      </c>
      <c r="D6845" s="1" t="n">
        <v>45604</v>
      </c>
      <c r="E6845" s="1" t="n">
        <v>46326</v>
      </c>
      <c r="F6845" t="inlineStr">
        <is>
          <t>GÄVLEBORGS LÄN</t>
        </is>
      </c>
      <c r="G6845" t="inlineStr">
        <is>
          <t>SÖDERHAMN</t>
        </is>
      </c>
      <c r="I6845" t="n">
        <v>0.6</v>
      </c>
      <c r="J6845" t="n">
        <v>0</v>
      </c>
      <c r="K6845" t="n">
        <v>0</v>
      </c>
      <c r="L6845" t="n">
        <v>0</v>
      </c>
      <c r="M6845" t="n">
        <v>0</v>
      </c>
      <c r="N6845" t="n">
        <v>0</v>
      </c>
      <c r="O6845" t="n">
        <v>0</v>
      </c>
      <c r="P6845" t="n">
        <v>0</v>
      </c>
      <c r="Q6845" t="n">
        <v>0</v>
      </c>
      <c r="R6845" t="n">
        <v>0</v>
      </c>
      <c r="S6845" t="n">
        <v>0</v>
      </c>
      <c r="T6845" t="n">
        <v>0</v>
      </c>
      <c r="U6845" t="n">
        <v>0</v>
      </c>
      <c r="V6845" s="2" t="inlineStr"/>
    </row>
    <row r="6846" ht="15" customHeight="1">
      <c r="A6846" t="inlineStr">
        <is>
          <t>A 3322-2026</t>
        </is>
      </c>
      <c r="B6846" t="inlineStr">
        <is>
          <t>avverkningsanmälan</t>
        </is>
      </c>
      <c r="C6846" t="inlineStr">
        <is>
          <t>Föryngringsavverkning</t>
        </is>
      </c>
      <c r="D6846" s="1" t="n">
        <v>46041</v>
      </c>
      <c r="E6846" s="1" t="n">
        <v>46326</v>
      </c>
      <c r="F6846" t="inlineStr">
        <is>
          <t>GÄVLEBORGS LÄN</t>
        </is>
      </c>
      <c r="G6846" t="inlineStr">
        <is>
          <t>BOLLNÄS</t>
        </is>
      </c>
      <c r="I6846" t="n">
        <v>1.1</v>
      </c>
      <c r="J6846" t="n">
        <v>0</v>
      </c>
      <c r="K6846" t="n">
        <v>0</v>
      </c>
      <c r="L6846" t="n">
        <v>0</v>
      </c>
      <c r="M6846" t="n">
        <v>0</v>
      </c>
      <c r="N6846" t="n">
        <v>0</v>
      </c>
      <c r="O6846" t="n">
        <v>0</v>
      </c>
      <c r="P6846" t="n">
        <v>0</v>
      </c>
      <c r="Q6846" t="n">
        <v>0</v>
      </c>
      <c r="R6846" t="n">
        <v>0</v>
      </c>
      <c r="S6846" t="n">
        <v>0</v>
      </c>
      <c r="T6846" t="n">
        <v>0</v>
      </c>
      <c r="U6846" t="n">
        <v>0</v>
      </c>
      <c r="V6846" s="2" t="inlineStr"/>
    </row>
    <row r="6847" ht="15" customHeight="1">
      <c r="A6847" t="inlineStr">
        <is>
          <t>A 13807-2026</t>
        </is>
      </c>
      <c r="B6847" t="inlineStr">
        <is>
          <t>avverkningsanmälan</t>
        </is>
      </c>
      <c r="C6847" t="inlineStr">
        <is>
          <t>Föryngringsavverkning</t>
        </is>
      </c>
      <c r="D6847" s="1" t="n">
        <v>46098</v>
      </c>
      <c r="E6847" s="1" t="n">
        <v>46326</v>
      </c>
      <c r="F6847" t="inlineStr">
        <is>
          <t>GÄVLEBORGS LÄN</t>
        </is>
      </c>
      <c r="G6847" t="inlineStr">
        <is>
          <t>BOLLNÄS</t>
        </is>
      </c>
      <c r="I6847" t="n">
        <v>4.4</v>
      </c>
      <c r="J6847" t="n">
        <v>0</v>
      </c>
      <c r="K6847" t="n">
        <v>0</v>
      </c>
      <c r="L6847" t="n">
        <v>0</v>
      </c>
      <c r="M6847" t="n">
        <v>0</v>
      </c>
      <c r="N6847" t="n">
        <v>0</v>
      </c>
      <c r="O6847" t="n">
        <v>0</v>
      </c>
      <c r="P6847" t="n">
        <v>0</v>
      </c>
      <c r="Q6847" t="n">
        <v>0</v>
      </c>
      <c r="R6847" t="n">
        <v>0</v>
      </c>
      <c r="S6847" t="n">
        <v>0</v>
      </c>
      <c r="T6847" t="n">
        <v>0</v>
      </c>
      <c r="U6847" t="n">
        <v>0</v>
      </c>
      <c r="V6847" s="2" t="inlineStr"/>
    </row>
    <row r="6848" ht="15" customHeight="1">
      <c r="A6848" t="inlineStr">
        <is>
          <t>A 42107-2024</t>
        </is>
      </c>
      <c r="B6848" t="inlineStr">
        <is>
          <t>avverkningsanmälan</t>
        </is>
      </c>
      <c r="C6848" t="inlineStr">
        <is>
          <t>Föryngringsavverkning</t>
        </is>
      </c>
      <c r="D6848" s="1" t="n">
        <v>45562</v>
      </c>
      <c r="E6848" s="1" t="n">
        <v>46326</v>
      </c>
      <c r="F6848" t="inlineStr">
        <is>
          <t>GÄVLEBORGS LÄN</t>
        </is>
      </c>
      <c r="G6848" t="inlineStr">
        <is>
          <t>SANDVIKEN</t>
        </is>
      </c>
      <c r="I6848" t="n">
        <v>1.9</v>
      </c>
      <c r="J6848" t="n">
        <v>0</v>
      </c>
      <c r="K6848" t="n">
        <v>0</v>
      </c>
      <c r="L6848" t="n">
        <v>0</v>
      </c>
      <c r="M6848" t="n">
        <v>0</v>
      </c>
      <c r="N6848" t="n">
        <v>0</v>
      </c>
      <c r="O6848" t="n">
        <v>0</v>
      </c>
      <c r="P6848" t="n">
        <v>0</v>
      </c>
      <c r="Q6848" t="n">
        <v>0</v>
      </c>
      <c r="R6848" t="n">
        <v>0</v>
      </c>
      <c r="S6848" t="n">
        <v>0</v>
      </c>
      <c r="T6848" t="n">
        <v>0</v>
      </c>
      <c r="U6848" t="n">
        <v>0</v>
      </c>
      <c r="V6848" s="2" t="inlineStr"/>
    </row>
    <row r="6849" ht="15" customHeight="1">
      <c r="A6849" t="inlineStr">
        <is>
          <t>A 50657-2024</t>
        </is>
      </c>
      <c r="B6849" t="inlineStr">
        <is>
          <t>avverkningsanmälan</t>
        </is>
      </c>
      <c r="C6849" t="inlineStr">
        <is>
          <t>Föryngringsavverkning</t>
        </is>
      </c>
      <c r="D6849" s="1" t="n">
        <v>45601</v>
      </c>
      <c r="E6849" s="1" t="n">
        <v>46326</v>
      </c>
      <c r="F6849" t="inlineStr">
        <is>
          <t>GÄVLEBORGS LÄN</t>
        </is>
      </c>
      <c r="G6849" t="inlineStr">
        <is>
          <t>NORDANSTIG</t>
        </is>
      </c>
      <c r="I6849" t="n">
        <v>1.3</v>
      </c>
      <c r="J6849" t="n">
        <v>0</v>
      </c>
      <c r="K6849" t="n">
        <v>0</v>
      </c>
      <c r="L6849" t="n">
        <v>0</v>
      </c>
      <c r="M6849" t="n">
        <v>0</v>
      </c>
      <c r="N6849" t="n">
        <v>0</v>
      </c>
      <c r="O6849" t="n">
        <v>0</v>
      </c>
      <c r="P6849" t="n">
        <v>0</v>
      </c>
      <c r="Q6849" t="n">
        <v>0</v>
      </c>
      <c r="R6849" t="n">
        <v>0</v>
      </c>
      <c r="S6849" t="n">
        <v>0</v>
      </c>
      <c r="T6849" t="n">
        <v>0</v>
      </c>
      <c r="U6849" t="n">
        <v>0</v>
      </c>
      <c r="V6849" s="2" t="inlineStr"/>
    </row>
    <row r="6850" ht="15" customHeight="1">
      <c r="A6850" t="inlineStr">
        <is>
          <t>A 4686-2023</t>
        </is>
      </c>
      <c r="B6850" t="inlineStr">
        <is>
          <t>avverkningsanmälan</t>
        </is>
      </c>
      <c r="C6850" t="inlineStr">
        <is>
          <t>Föryngringsavverkning</t>
        </is>
      </c>
      <c r="D6850" s="1" t="n">
        <v>44957</v>
      </c>
      <c r="E6850" s="1" t="n">
        <v>46326</v>
      </c>
      <c r="F6850" t="inlineStr">
        <is>
          <t>GÄVLEBORGS LÄN</t>
        </is>
      </c>
      <c r="G6850" t="inlineStr">
        <is>
          <t>LJUSDAL</t>
        </is>
      </c>
      <c r="H6850" t="inlineStr">
        <is>
          <t>Holmen skog AB</t>
        </is>
      </c>
      <c r="I6850" t="n">
        <v>0.8</v>
      </c>
      <c r="J6850" t="n">
        <v>0</v>
      </c>
      <c r="K6850" t="n">
        <v>0</v>
      </c>
      <c r="L6850" t="n">
        <v>0</v>
      </c>
      <c r="M6850" t="n">
        <v>0</v>
      </c>
      <c r="N6850" t="n">
        <v>0</v>
      </c>
      <c r="O6850" t="n">
        <v>0</v>
      </c>
      <c r="P6850" t="n">
        <v>0</v>
      </c>
      <c r="Q6850" t="n">
        <v>0</v>
      </c>
      <c r="R6850" t="n">
        <v>0</v>
      </c>
      <c r="S6850" t="n">
        <v>0</v>
      </c>
      <c r="T6850" t="n">
        <v>0</v>
      </c>
      <c r="U6850" t="n">
        <v>0</v>
      </c>
      <c r="V6850" s="2" t="inlineStr"/>
    </row>
    <row r="6851" ht="15" customHeight="1">
      <c r="A6851" t="inlineStr">
        <is>
          <t>A 20007-2026</t>
        </is>
      </c>
      <c r="B6851" t="inlineStr">
        <is>
          <t>avverkningsanmälan</t>
        </is>
      </c>
      <c r="C6851" t="inlineStr">
        <is>
          <t>Föryngringsavverkning</t>
        </is>
      </c>
      <c r="D6851" s="1" t="n">
        <v>46136</v>
      </c>
      <c r="E6851" s="1" t="n">
        <v>46326</v>
      </c>
      <c r="F6851" t="inlineStr">
        <is>
          <t>GÄVLEBORGS LÄN</t>
        </is>
      </c>
      <c r="G6851" t="inlineStr">
        <is>
          <t>OVANÅKER</t>
        </is>
      </c>
      <c r="I6851" t="n">
        <v>1.1</v>
      </c>
      <c r="J6851" t="n">
        <v>0</v>
      </c>
      <c r="K6851" t="n">
        <v>0</v>
      </c>
      <c r="L6851" t="n">
        <v>0</v>
      </c>
      <c r="M6851" t="n">
        <v>0</v>
      </c>
      <c r="N6851" t="n">
        <v>0</v>
      </c>
      <c r="O6851" t="n">
        <v>0</v>
      </c>
      <c r="P6851" t="n">
        <v>0</v>
      </c>
      <c r="Q6851" t="n">
        <v>0</v>
      </c>
      <c r="R6851" t="n">
        <v>0</v>
      </c>
      <c r="S6851" t="n">
        <v>0</v>
      </c>
      <c r="T6851" t="n">
        <v>0</v>
      </c>
      <c r="U6851" t="n">
        <v>0</v>
      </c>
      <c r="V6851" s="2" t="inlineStr"/>
    </row>
    <row r="6852" ht="15" customHeight="1">
      <c r="A6852" t="inlineStr">
        <is>
          <t>A 15503-2026</t>
        </is>
      </c>
      <c r="B6852" t="inlineStr">
        <is>
          <t>avverkningsanmälan</t>
        </is>
      </c>
      <c r="C6852" t="inlineStr">
        <is>
          <t>Föryngringsavverkning</t>
        </is>
      </c>
      <c r="D6852" s="1" t="n">
        <v>46106</v>
      </c>
      <c r="E6852" s="1" t="n">
        <v>46326</v>
      </c>
      <c r="F6852" t="inlineStr">
        <is>
          <t>GÄVLEBORGS LÄN</t>
        </is>
      </c>
      <c r="G6852" t="inlineStr">
        <is>
          <t>OVANÅKER</t>
        </is>
      </c>
      <c r="H6852" t="inlineStr">
        <is>
          <t>Bergvik skog öst AB</t>
        </is>
      </c>
      <c r="I6852" t="n">
        <v>1.3</v>
      </c>
      <c r="J6852" t="n">
        <v>0</v>
      </c>
      <c r="K6852" t="n">
        <v>0</v>
      </c>
      <c r="L6852" t="n">
        <v>0</v>
      </c>
      <c r="M6852" t="n">
        <v>0</v>
      </c>
      <c r="N6852" t="n">
        <v>0</v>
      </c>
      <c r="O6852" t="n">
        <v>0</v>
      </c>
      <c r="P6852" t="n">
        <v>0</v>
      </c>
      <c r="Q6852" t="n">
        <v>0</v>
      </c>
      <c r="R6852" t="n">
        <v>0</v>
      </c>
      <c r="S6852" t="n">
        <v>0</v>
      </c>
      <c r="T6852" t="n">
        <v>0</v>
      </c>
      <c r="U6852" t="n">
        <v>0</v>
      </c>
      <c r="V6852" s="2" t="inlineStr"/>
    </row>
    <row r="6853" ht="15" customHeight="1">
      <c r="A6853" t="inlineStr">
        <is>
          <t>A 36342-2025</t>
        </is>
      </c>
      <c r="B6853" t="inlineStr">
        <is>
          <t>avverkningsanmälan</t>
        </is>
      </c>
      <c r="C6853" t="inlineStr">
        <is>
          <t>Föryngringsavverkning</t>
        </is>
      </c>
      <c r="D6853" s="1" t="n">
        <v>45868</v>
      </c>
      <c r="E6853" s="1" t="n">
        <v>46326</v>
      </c>
      <c r="F6853" t="inlineStr">
        <is>
          <t>GÄVLEBORGS LÄN</t>
        </is>
      </c>
      <c r="G6853" t="inlineStr">
        <is>
          <t>HUDIKSVALL</t>
        </is>
      </c>
      <c r="I6853" t="n">
        <v>4.2</v>
      </c>
      <c r="J6853" t="n">
        <v>0</v>
      </c>
      <c r="K6853" t="n">
        <v>0</v>
      </c>
      <c r="L6853" t="n">
        <v>0</v>
      </c>
      <c r="M6853" t="n">
        <v>0</v>
      </c>
      <c r="N6853" t="n">
        <v>0</v>
      </c>
      <c r="O6853" t="n">
        <v>0</v>
      </c>
      <c r="P6853" t="n">
        <v>0</v>
      </c>
      <c r="Q6853" t="n">
        <v>0</v>
      </c>
      <c r="R6853" t="n">
        <v>0</v>
      </c>
      <c r="S6853" t="n">
        <v>0</v>
      </c>
      <c r="T6853" t="n">
        <v>0</v>
      </c>
      <c r="U6853" t="n">
        <v>0</v>
      </c>
      <c r="V6853" s="2" t="inlineStr"/>
    </row>
    <row r="6854" ht="15" customHeight="1">
      <c r="A6854" t="inlineStr">
        <is>
          <t>A 29296-2024</t>
        </is>
      </c>
      <c r="B6854" t="inlineStr">
        <is>
          <t>avverkningsanmälan</t>
        </is>
      </c>
      <c r="C6854" t="inlineStr">
        <is>
          <t>Föryngringsavverkning</t>
        </is>
      </c>
      <c r="D6854" s="1" t="n">
        <v>45483</v>
      </c>
      <c r="E6854" s="1" t="n">
        <v>46326</v>
      </c>
      <c r="F6854" t="inlineStr">
        <is>
          <t>GÄVLEBORGS LÄN</t>
        </is>
      </c>
      <c r="G6854" t="inlineStr">
        <is>
          <t>SANDVIKEN</t>
        </is>
      </c>
      <c r="I6854" t="n">
        <v>1.9</v>
      </c>
      <c r="J6854" t="n">
        <v>0</v>
      </c>
      <c r="K6854" t="n">
        <v>0</v>
      </c>
      <c r="L6854" t="n">
        <v>0</v>
      </c>
      <c r="M6854" t="n">
        <v>0</v>
      </c>
      <c r="N6854" t="n">
        <v>0</v>
      </c>
      <c r="O6854" t="n">
        <v>0</v>
      </c>
      <c r="P6854" t="n">
        <v>0</v>
      </c>
      <c r="Q6854" t="n">
        <v>0</v>
      </c>
      <c r="R6854" t="n">
        <v>0</v>
      </c>
      <c r="S6854" t="n">
        <v>0</v>
      </c>
      <c r="T6854" t="n">
        <v>0</v>
      </c>
      <c r="U6854" t="n">
        <v>0</v>
      </c>
      <c r="V6854" s="2" t="inlineStr"/>
    </row>
    <row r="6855" ht="15" customHeight="1">
      <c r="A6855" t="inlineStr">
        <is>
          <t>A 2591-2026</t>
        </is>
      </c>
      <c r="B6855" t="inlineStr">
        <is>
          <t>avverkningsanmälan</t>
        </is>
      </c>
      <c r="C6855" t="inlineStr">
        <is>
          <t>Föryngringsavverkning</t>
        </is>
      </c>
      <c r="D6855" s="1" t="n">
        <v>46037</v>
      </c>
      <c r="E6855" s="1" t="n">
        <v>46326</v>
      </c>
      <c r="F6855" t="inlineStr">
        <is>
          <t>GÄVLEBORGS LÄN</t>
        </is>
      </c>
      <c r="G6855" t="inlineStr">
        <is>
          <t>OVANÅKER</t>
        </is>
      </c>
      <c r="I6855" t="n">
        <v>6.9</v>
      </c>
      <c r="J6855" t="n">
        <v>0</v>
      </c>
      <c r="K6855" t="n">
        <v>0</v>
      </c>
      <c r="L6855" t="n">
        <v>0</v>
      </c>
      <c r="M6855" t="n">
        <v>0</v>
      </c>
      <c r="N6855" t="n">
        <v>0</v>
      </c>
      <c r="O6855" t="n">
        <v>0</v>
      </c>
      <c r="P6855" t="n">
        <v>0</v>
      </c>
      <c r="Q6855" t="n">
        <v>0</v>
      </c>
      <c r="R6855" t="n">
        <v>0</v>
      </c>
      <c r="S6855" t="n">
        <v>0</v>
      </c>
      <c r="T6855" t="n">
        <v>0</v>
      </c>
      <c r="U6855" t="n">
        <v>0</v>
      </c>
      <c r="V6855" s="2" t="inlineStr"/>
    </row>
    <row r="6856" ht="15" customHeight="1">
      <c r="A6856" t="inlineStr">
        <is>
          <t>A 2646-2026</t>
        </is>
      </c>
      <c r="B6856" t="inlineStr">
        <is>
          <t>avverkningsanmälan</t>
        </is>
      </c>
      <c r="C6856" t="inlineStr">
        <is>
          <t>Föryngringsavverkning</t>
        </is>
      </c>
      <c r="D6856" s="1" t="n">
        <v>46037</v>
      </c>
      <c r="E6856" s="1" t="n">
        <v>46326</v>
      </c>
      <c r="F6856" t="inlineStr">
        <is>
          <t>GÄVLEBORGS LÄN</t>
        </is>
      </c>
      <c r="G6856" t="inlineStr">
        <is>
          <t>OVANÅKER</t>
        </is>
      </c>
      <c r="I6856" t="n">
        <v>8.6</v>
      </c>
      <c r="J6856" t="n">
        <v>0</v>
      </c>
      <c r="K6856" t="n">
        <v>0</v>
      </c>
      <c r="L6856" t="n">
        <v>0</v>
      </c>
      <c r="M6856" t="n">
        <v>0</v>
      </c>
      <c r="N6856" t="n">
        <v>0</v>
      </c>
      <c r="O6856" t="n">
        <v>0</v>
      </c>
      <c r="P6856" t="n">
        <v>0</v>
      </c>
      <c r="Q6856" t="n">
        <v>0</v>
      </c>
      <c r="R6856" t="n">
        <v>0</v>
      </c>
      <c r="S6856" t="n">
        <v>0</v>
      </c>
      <c r="T6856" t="n">
        <v>0</v>
      </c>
      <c r="U6856" t="n">
        <v>0</v>
      </c>
      <c r="V6856" s="2" t="inlineStr"/>
    </row>
    <row r="6857" ht="15" customHeight="1">
      <c r="A6857" t="inlineStr">
        <is>
          <t>A 9331-2026</t>
        </is>
      </c>
      <c r="B6857" t="inlineStr">
        <is>
          <t>avverkningsanmälan</t>
        </is>
      </c>
      <c r="C6857" t="inlineStr">
        <is>
          <t>Föryngringsavverkning</t>
        </is>
      </c>
      <c r="D6857" s="1" t="n">
        <v>46070</v>
      </c>
      <c r="E6857" s="1" t="n">
        <v>46326</v>
      </c>
      <c r="F6857" t="inlineStr">
        <is>
          <t>GÄVLEBORGS LÄN</t>
        </is>
      </c>
      <c r="G6857" t="inlineStr">
        <is>
          <t>GÄVLE</t>
        </is>
      </c>
      <c r="I6857" t="n">
        <v>1.3</v>
      </c>
      <c r="J6857" t="n">
        <v>0</v>
      </c>
      <c r="K6857" t="n">
        <v>0</v>
      </c>
      <c r="L6857" t="n">
        <v>0</v>
      </c>
      <c r="M6857" t="n">
        <v>0</v>
      </c>
      <c r="N6857" t="n">
        <v>0</v>
      </c>
      <c r="O6857" t="n">
        <v>0</v>
      </c>
      <c r="P6857" t="n">
        <v>0</v>
      </c>
      <c r="Q6857" t="n">
        <v>0</v>
      </c>
      <c r="R6857" t="n">
        <v>0</v>
      </c>
      <c r="S6857" t="n">
        <v>0</v>
      </c>
      <c r="T6857" t="n">
        <v>0</v>
      </c>
      <c r="U6857" t="n">
        <v>0</v>
      </c>
      <c r="V6857" s="2" t="inlineStr"/>
    </row>
    <row r="6858" ht="15" customHeight="1">
      <c r="A6858" t="inlineStr">
        <is>
          <t>A 10715-2026</t>
        </is>
      </c>
      <c r="B6858" t="inlineStr">
        <is>
          <t>avverkningsanmälan</t>
        </is>
      </c>
      <c r="C6858" t="inlineStr">
        <is>
          <t>Föryngringsavverkning</t>
        </is>
      </c>
      <c r="D6858" s="1" t="n">
        <v>46078</v>
      </c>
      <c r="E6858" s="1" t="n">
        <v>46326</v>
      </c>
      <c r="F6858" t="inlineStr">
        <is>
          <t>GÄVLEBORGS LÄN</t>
        </is>
      </c>
      <c r="G6858" t="inlineStr">
        <is>
          <t>OVANÅKER</t>
        </is>
      </c>
      <c r="H6858" t="inlineStr">
        <is>
          <t>Bergvik skog väst AB</t>
        </is>
      </c>
      <c r="I6858" t="n">
        <v>1</v>
      </c>
      <c r="J6858" t="n">
        <v>0</v>
      </c>
      <c r="K6858" t="n">
        <v>0</v>
      </c>
      <c r="L6858" t="n">
        <v>0</v>
      </c>
      <c r="M6858" t="n">
        <v>0</v>
      </c>
      <c r="N6858" t="n">
        <v>0</v>
      </c>
      <c r="O6858" t="n">
        <v>0</v>
      </c>
      <c r="P6858" t="n">
        <v>0</v>
      </c>
      <c r="Q6858" t="n">
        <v>0</v>
      </c>
      <c r="R6858" t="n">
        <v>0</v>
      </c>
      <c r="S6858" t="n">
        <v>0</v>
      </c>
      <c r="T6858" t="n">
        <v>0</v>
      </c>
      <c r="U6858" t="n">
        <v>0</v>
      </c>
      <c r="V6858" s="2" t="inlineStr"/>
    </row>
    <row r="6859" ht="15" customHeight="1">
      <c r="A6859" t="inlineStr">
        <is>
          <t>A 10783-2026</t>
        </is>
      </c>
      <c r="B6859" t="inlineStr">
        <is>
          <t>avverkningsanmälan</t>
        </is>
      </c>
      <c r="C6859" t="inlineStr">
        <is>
          <t>Föryngringsavverkning</t>
        </is>
      </c>
      <c r="D6859" s="1" t="n">
        <v>46078</v>
      </c>
      <c r="E6859" s="1" t="n">
        <v>46326</v>
      </c>
      <c r="F6859" t="inlineStr">
        <is>
          <t>GÄVLEBORGS LÄN</t>
        </is>
      </c>
      <c r="G6859" t="inlineStr">
        <is>
          <t>OVANÅKER</t>
        </is>
      </c>
      <c r="I6859" t="n">
        <v>5</v>
      </c>
      <c r="J6859" t="n">
        <v>0</v>
      </c>
      <c r="K6859" t="n">
        <v>0</v>
      </c>
      <c r="L6859" t="n">
        <v>0</v>
      </c>
      <c r="M6859" t="n">
        <v>0</v>
      </c>
      <c r="N6859" t="n">
        <v>0</v>
      </c>
      <c r="O6859" t="n">
        <v>0</v>
      </c>
      <c r="P6859" t="n">
        <v>0</v>
      </c>
      <c r="Q6859" t="n">
        <v>0</v>
      </c>
      <c r="R6859" t="n">
        <v>0</v>
      </c>
      <c r="S6859" t="n">
        <v>0</v>
      </c>
      <c r="T6859" t="n">
        <v>0</v>
      </c>
      <c r="U6859" t="n">
        <v>0</v>
      </c>
      <c r="V6859" s="2" t="inlineStr"/>
    </row>
    <row r="6860" ht="15" customHeight="1">
      <c r="A6860" t="inlineStr">
        <is>
          <t>A 16564-2026</t>
        </is>
      </c>
      <c r="B6860" t="inlineStr">
        <is>
          <t>avverkningsanmälan</t>
        </is>
      </c>
      <c r="C6860" t="inlineStr">
        <is>
          <t>Föryngringsavverkning</t>
        </is>
      </c>
      <c r="D6860" s="1" t="n">
        <v>46112</v>
      </c>
      <c r="E6860" s="1" t="n">
        <v>46326</v>
      </c>
      <c r="F6860" t="inlineStr">
        <is>
          <t>GÄVLEBORGS LÄN</t>
        </is>
      </c>
      <c r="G6860" t="inlineStr">
        <is>
          <t>BOLLNÄS</t>
        </is>
      </c>
      <c r="I6860" t="n">
        <v>3.7</v>
      </c>
      <c r="J6860" t="n">
        <v>0</v>
      </c>
      <c r="K6860" t="n">
        <v>0</v>
      </c>
      <c r="L6860" t="n">
        <v>0</v>
      </c>
      <c r="M6860" t="n">
        <v>0</v>
      </c>
      <c r="N6860" t="n">
        <v>0</v>
      </c>
      <c r="O6860" t="n">
        <v>0</v>
      </c>
      <c r="P6860" t="n">
        <v>0</v>
      </c>
      <c r="Q6860" t="n">
        <v>0</v>
      </c>
      <c r="R6860" t="n">
        <v>0</v>
      </c>
      <c r="S6860" t="n">
        <v>0</v>
      </c>
      <c r="T6860" t="n">
        <v>0</v>
      </c>
      <c r="U6860" t="n">
        <v>0</v>
      </c>
      <c r="V6860" s="2" t="inlineStr"/>
    </row>
    <row r="6861" ht="15" customHeight="1">
      <c r="A6861" t="inlineStr">
        <is>
          <t>A 1787-2026</t>
        </is>
      </c>
      <c r="B6861" t="inlineStr">
        <is>
          <t>avverkningsanmälan</t>
        </is>
      </c>
      <c r="C6861" t="inlineStr">
        <is>
          <t>Föryngringsavverkning</t>
        </is>
      </c>
      <c r="D6861" s="1" t="n">
        <v>46034</v>
      </c>
      <c r="E6861" s="1" t="n">
        <v>46326</v>
      </c>
      <c r="F6861" t="inlineStr">
        <is>
          <t>GÄVLEBORGS LÄN</t>
        </is>
      </c>
      <c r="G6861" t="inlineStr">
        <is>
          <t>OVANÅKER</t>
        </is>
      </c>
      <c r="I6861" t="n">
        <v>3.5</v>
      </c>
      <c r="J6861" t="n">
        <v>0</v>
      </c>
      <c r="K6861" t="n">
        <v>0</v>
      </c>
      <c r="L6861" t="n">
        <v>0</v>
      </c>
      <c r="M6861" t="n">
        <v>0</v>
      </c>
      <c r="N6861" t="n">
        <v>0</v>
      </c>
      <c r="O6861" t="n">
        <v>0</v>
      </c>
      <c r="P6861" t="n">
        <v>0</v>
      </c>
      <c r="Q6861" t="n">
        <v>0</v>
      </c>
      <c r="R6861" t="n">
        <v>0</v>
      </c>
      <c r="S6861" t="n">
        <v>0</v>
      </c>
      <c r="T6861" t="n">
        <v>0</v>
      </c>
      <c r="U6861" t="n">
        <v>0</v>
      </c>
      <c r="V6861" s="2" t="inlineStr"/>
    </row>
    <row r="6862" ht="15" customHeight="1">
      <c r="A6862" t="inlineStr">
        <is>
          <t>A 14910-2026</t>
        </is>
      </c>
      <c r="B6862" t="inlineStr">
        <is>
          <t>avverkningsanmälan</t>
        </is>
      </c>
      <c r="C6862" t="inlineStr">
        <is>
          <t>Föryngringsavverkning</t>
        </is>
      </c>
      <c r="D6862" s="1" t="n">
        <v>46104</v>
      </c>
      <c r="E6862" s="1" t="n">
        <v>46326</v>
      </c>
      <c r="F6862" t="inlineStr">
        <is>
          <t>GÄVLEBORGS LÄN</t>
        </is>
      </c>
      <c r="G6862" t="inlineStr">
        <is>
          <t>SANDVIKEN</t>
        </is>
      </c>
      <c r="I6862" t="n">
        <v>1</v>
      </c>
      <c r="J6862" t="n">
        <v>0</v>
      </c>
      <c r="K6862" t="n">
        <v>0</v>
      </c>
      <c r="L6862" t="n">
        <v>0</v>
      </c>
      <c r="M6862" t="n">
        <v>0</v>
      </c>
      <c r="N6862" t="n">
        <v>0</v>
      </c>
      <c r="O6862" t="n">
        <v>0</v>
      </c>
      <c r="P6862" t="n">
        <v>0</v>
      </c>
      <c r="Q6862" t="n">
        <v>0</v>
      </c>
      <c r="R6862" t="n">
        <v>0</v>
      </c>
      <c r="S6862" t="n">
        <v>0</v>
      </c>
      <c r="T6862" t="n">
        <v>0</v>
      </c>
      <c r="U6862" t="n">
        <v>0</v>
      </c>
      <c r="V6862" s="2" t="inlineStr"/>
    </row>
    <row r="6863" ht="15" customHeight="1">
      <c r="A6863" t="inlineStr">
        <is>
          <t>A 10198-2026</t>
        </is>
      </c>
      <c r="B6863" t="inlineStr">
        <is>
          <t>avverkningsanmälan</t>
        </is>
      </c>
      <c r="C6863" t="inlineStr">
        <is>
          <t>Föryngringsavverkning</t>
        </is>
      </c>
      <c r="D6863" s="1" t="n">
        <v>46076</v>
      </c>
      <c r="E6863" s="1" t="n">
        <v>46326</v>
      </c>
      <c r="F6863" t="inlineStr">
        <is>
          <t>GÄVLEBORGS LÄN</t>
        </is>
      </c>
      <c r="G6863" t="inlineStr">
        <is>
          <t>BOLLNÄS</t>
        </is>
      </c>
      <c r="I6863" t="n">
        <v>15.9</v>
      </c>
      <c r="J6863" t="n">
        <v>0</v>
      </c>
      <c r="K6863" t="n">
        <v>0</v>
      </c>
      <c r="L6863" t="n">
        <v>0</v>
      </c>
      <c r="M6863" t="n">
        <v>0</v>
      </c>
      <c r="N6863" t="n">
        <v>0</v>
      </c>
      <c r="O6863" t="n">
        <v>0</v>
      </c>
      <c r="P6863" t="n">
        <v>0</v>
      </c>
      <c r="Q6863" t="n">
        <v>0</v>
      </c>
      <c r="R6863" t="n">
        <v>0</v>
      </c>
      <c r="S6863" t="n">
        <v>0</v>
      </c>
      <c r="T6863" t="n">
        <v>0</v>
      </c>
      <c r="U6863" t="n">
        <v>0</v>
      </c>
      <c r="V6863" s="2" t="inlineStr"/>
    </row>
    <row r="6864" ht="15" customHeight="1">
      <c r="A6864" t="inlineStr">
        <is>
          <t>A 5901-2025</t>
        </is>
      </c>
      <c r="B6864" t="inlineStr">
        <is>
          <t>avverkningsanmälan</t>
        </is>
      </c>
      <c r="C6864" t="inlineStr">
        <is>
          <t>Föryngringsavverkning</t>
        </is>
      </c>
      <c r="D6864" s="1" t="n">
        <v>45695</v>
      </c>
      <c r="E6864" s="1" t="n">
        <v>46326</v>
      </c>
      <c r="F6864" t="inlineStr">
        <is>
          <t>GÄVLEBORGS LÄN</t>
        </is>
      </c>
      <c r="G6864" t="inlineStr">
        <is>
          <t>HUDIKSVALL</t>
        </is>
      </c>
      <c r="H6864" t="inlineStr">
        <is>
          <t>Holmen skog AB</t>
        </is>
      </c>
      <c r="I6864" t="n">
        <v>3.2</v>
      </c>
      <c r="J6864" t="n">
        <v>0</v>
      </c>
      <c r="K6864" t="n">
        <v>0</v>
      </c>
      <c r="L6864" t="n">
        <v>0</v>
      </c>
      <c r="M6864" t="n">
        <v>0</v>
      </c>
      <c r="N6864" t="n">
        <v>0</v>
      </c>
      <c r="O6864" t="n">
        <v>0</v>
      </c>
      <c r="P6864" t="n">
        <v>0</v>
      </c>
      <c r="Q6864" t="n">
        <v>0</v>
      </c>
      <c r="R6864" t="n">
        <v>0</v>
      </c>
      <c r="S6864" t="n">
        <v>0</v>
      </c>
      <c r="T6864" t="n">
        <v>0</v>
      </c>
      <c r="U6864" t="n">
        <v>0</v>
      </c>
      <c r="V6864" s="2" t="inlineStr"/>
    </row>
    <row r="6865" ht="15" customHeight="1">
      <c r="A6865" t="inlineStr">
        <is>
          <t>A 20004-2026</t>
        </is>
      </c>
      <c r="B6865" t="inlineStr">
        <is>
          <t>avverkningsanmälan</t>
        </is>
      </c>
      <c r="C6865" t="inlineStr">
        <is>
          <t>Föryngringsavverkning</t>
        </is>
      </c>
      <c r="D6865" s="1" t="n">
        <v>46136</v>
      </c>
      <c r="E6865" s="1" t="n">
        <v>46326</v>
      </c>
      <c r="F6865" t="inlineStr">
        <is>
          <t>GÄVLEBORGS LÄN</t>
        </is>
      </c>
      <c r="G6865" t="inlineStr">
        <is>
          <t>OVANÅKER</t>
        </is>
      </c>
      <c r="I6865" t="n">
        <v>2.2</v>
      </c>
      <c r="J6865" t="n">
        <v>0</v>
      </c>
      <c r="K6865" t="n">
        <v>0</v>
      </c>
      <c r="L6865" t="n">
        <v>0</v>
      </c>
      <c r="M6865" t="n">
        <v>0</v>
      </c>
      <c r="N6865" t="n">
        <v>0</v>
      </c>
      <c r="O6865" t="n">
        <v>0</v>
      </c>
      <c r="P6865" t="n">
        <v>0</v>
      </c>
      <c r="Q6865" t="n">
        <v>0</v>
      </c>
      <c r="R6865" t="n">
        <v>0</v>
      </c>
      <c r="S6865" t="n">
        <v>0</v>
      </c>
      <c r="T6865" t="n">
        <v>0</v>
      </c>
      <c r="U6865" t="n">
        <v>0</v>
      </c>
      <c r="V6865" s="2" t="inlineStr"/>
    </row>
    <row r="6866" ht="15" customHeight="1">
      <c r="A6866" t="inlineStr">
        <is>
          <t>A 1147-2026</t>
        </is>
      </c>
      <c r="B6866" t="inlineStr">
        <is>
          <t>avverkningsanmälan</t>
        </is>
      </c>
      <c r="C6866" t="inlineStr">
        <is>
          <t>Föryngringsavverkning</t>
        </is>
      </c>
      <c r="D6866" s="1" t="n">
        <v>46030</v>
      </c>
      <c r="E6866" s="1" t="n">
        <v>46326</v>
      </c>
      <c r="F6866" t="inlineStr">
        <is>
          <t>GÄVLEBORGS LÄN</t>
        </is>
      </c>
      <c r="G6866" t="inlineStr">
        <is>
          <t>OVANÅKER</t>
        </is>
      </c>
      <c r="I6866" t="n">
        <v>6.3</v>
      </c>
      <c r="J6866" t="n">
        <v>0</v>
      </c>
      <c r="K6866" t="n">
        <v>0</v>
      </c>
      <c r="L6866" t="n">
        <v>0</v>
      </c>
      <c r="M6866" t="n">
        <v>0</v>
      </c>
      <c r="N6866" t="n">
        <v>0</v>
      </c>
      <c r="O6866" t="n">
        <v>0</v>
      </c>
      <c r="P6866" t="n">
        <v>0</v>
      </c>
      <c r="Q6866" t="n">
        <v>0</v>
      </c>
      <c r="R6866" t="n">
        <v>0</v>
      </c>
      <c r="S6866" t="n">
        <v>0</v>
      </c>
      <c r="T6866" t="n">
        <v>0</v>
      </c>
      <c r="U6866" t="n">
        <v>0</v>
      </c>
      <c r="V6866" s="2" t="inlineStr"/>
    </row>
    <row r="6867" ht="15" customHeight="1">
      <c r="A6867" t="inlineStr">
        <is>
          <t>A 20312-2025</t>
        </is>
      </c>
      <c r="B6867" t="inlineStr">
        <is>
          <t>avverkningsanmälan</t>
        </is>
      </c>
      <c r="C6867" t="inlineStr">
        <is>
          <t>Föryngringsavverkning</t>
        </is>
      </c>
      <c r="D6867" s="1" t="n">
        <v>45775</v>
      </c>
      <c r="E6867" s="1" t="n">
        <v>46326</v>
      </c>
      <c r="F6867" t="inlineStr">
        <is>
          <t>GÄVLEBORGS LÄN</t>
        </is>
      </c>
      <c r="G6867" t="inlineStr">
        <is>
          <t>SÖDERHAMN</t>
        </is>
      </c>
      <c r="I6867" t="n">
        <v>1.4</v>
      </c>
      <c r="J6867" t="n">
        <v>0</v>
      </c>
      <c r="K6867" t="n">
        <v>0</v>
      </c>
      <c r="L6867" t="n">
        <v>0</v>
      </c>
      <c r="M6867" t="n">
        <v>0</v>
      </c>
      <c r="N6867" t="n">
        <v>0</v>
      </c>
      <c r="O6867" t="n">
        <v>0</v>
      </c>
      <c r="P6867" t="n">
        <v>0</v>
      </c>
      <c r="Q6867" t="n">
        <v>0</v>
      </c>
      <c r="R6867" t="n">
        <v>0</v>
      </c>
      <c r="S6867" t="n">
        <v>0</v>
      </c>
      <c r="T6867" t="n">
        <v>0</v>
      </c>
      <c r="U6867" t="n">
        <v>0</v>
      </c>
      <c r="V6867" s="2" t="inlineStr"/>
    </row>
    <row r="6868" ht="15" customHeight="1">
      <c r="A6868" t="inlineStr">
        <is>
          <t>A 17137-2024</t>
        </is>
      </c>
      <c r="B6868" t="inlineStr">
        <is>
          <t>avverkningsanmälan</t>
        </is>
      </c>
      <c r="C6868" t="inlineStr">
        <is>
          <t>Föryngringsavverkning</t>
        </is>
      </c>
      <c r="D6868" s="1" t="n">
        <v>45412</v>
      </c>
      <c r="E6868" s="1" t="n">
        <v>46326</v>
      </c>
      <c r="F6868" t="inlineStr">
        <is>
          <t>GÄVLEBORGS LÄN</t>
        </is>
      </c>
      <c r="G6868" t="inlineStr">
        <is>
          <t>OVANÅKER</t>
        </is>
      </c>
      <c r="I6868" t="n">
        <v>0.5</v>
      </c>
      <c r="J6868" t="n">
        <v>0</v>
      </c>
      <c r="K6868" t="n">
        <v>0</v>
      </c>
      <c r="L6868" t="n">
        <v>0</v>
      </c>
      <c r="M6868" t="n">
        <v>0</v>
      </c>
      <c r="N6868" t="n">
        <v>0</v>
      </c>
      <c r="O6868" t="n">
        <v>0</v>
      </c>
      <c r="P6868" t="n">
        <v>0</v>
      </c>
      <c r="Q6868" t="n">
        <v>0</v>
      </c>
      <c r="R6868" t="n">
        <v>0</v>
      </c>
      <c r="S6868" t="n">
        <v>0</v>
      </c>
      <c r="T6868" t="n">
        <v>0</v>
      </c>
      <c r="U6868" t="n">
        <v>0</v>
      </c>
      <c r="V6868" s="2" t="inlineStr"/>
    </row>
    <row r="6869" ht="15" customHeight="1">
      <c r="A6869" t="inlineStr">
        <is>
          <t>A 8568-2026</t>
        </is>
      </c>
      <c r="B6869" t="inlineStr">
        <is>
          <t>avverkningsanmälan</t>
        </is>
      </c>
      <c r="C6869" t="inlineStr">
        <is>
          <t>Föryngringsavverkning</t>
        </is>
      </c>
      <c r="D6869" s="1" t="n">
        <v>46065</v>
      </c>
      <c r="E6869" s="1" t="n">
        <v>46326</v>
      </c>
      <c r="F6869" t="inlineStr">
        <is>
          <t>GÄVLEBORGS LÄN</t>
        </is>
      </c>
      <c r="G6869" t="inlineStr">
        <is>
          <t>GÄVLE</t>
        </is>
      </c>
      <c r="I6869" t="n">
        <v>9.5</v>
      </c>
      <c r="J6869" t="n">
        <v>0</v>
      </c>
      <c r="K6869" t="n">
        <v>0</v>
      </c>
      <c r="L6869" t="n">
        <v>0</v>
      </c>
      <c r="M6869" t="n">
        <v>0</v>
      </c>
      <c r="N6869" t="n">
        <v>0</v>
      </c>
      <c r="O6869" t="n">
        <v>0</v>
      </c>
      <c r="P6869" t="n">
        <v>0</v>
      </c>
      <c r="Q6869" t="n">
        <v>0</v>
      </c>
      <c r="R6869" t="n">
        <v>0</v>
      </c>
      <c r="S6869" t="n">
        <v>0</v>
      </c>
      <c r="T6869" t="n">
        <v>0</v>
      </c>
      <c r="U6869" t="n">
        <v>0</v>
      </c>
      <c r="V6869" s="2" t="inlineStr"/>
    </row>
    <row r="6870" ht="15" customHeight="1">
      <c r="A6870" t="inlineStr">
        <is>
          <t>A 2334-2026</t>
        </is>
      </c>
      <c r="B6870" t="inlineStr">
        <is>
          <t>avverkningsanmälan</t>
        </is>
      </c>
      <c r="C6870" t="inlineStr">
        <is>
          <t>Föryngringsavverkning</t>
        </is>
      </c>
      <c r="D6870" s="1" t="n">
        <v>46036</v>
      </c>
      <c r="E6870" s="1" t="n">
        <v>46326</v>
      </c>
      <c r="F6870" t="inlineStr">
        <is>
          <t>GÄVLEBORGS LÄN</t>
        </is>
      </c>
      <c r="G6870" t="inlineStr">
        <is>
          <t>OVANÅKER</t>
        </is>
      </c>
      <c r="I6870" t="n">
        <v>2</v>
      </c>
      <c r="J6870" t="n">
        <v>0</v>
      </c>
      <c r="K6870" t="n">
        <v>0</v>
      </c>
      <c r="L6870" t="n">
        <v>0</v>
      </c>
      <c r="M6870" t="n">
        <v>0</v>
      </c>
      <c r="N6870" t="n">
        <v>0</v>
      </c>
      <c r="O6870" t="n">
        <v>0</v>
      </c>
      <c r="P6870" t="n">
        <v>0</v>
      </c>
      <c r="Q6870" t="n">
        <v>0</v>
      </c>
      <c r="R6870" t="n">
        <v>0</v>
      </c>
      <c r="S6870" t="n">
        <v>0</v>
      </c>
      <c r="T6870" t="n">
        <v>0</v>
      </c>
      <c r="U6870" t="n">
        <v>0</v>
      </c>
      <c r="V6870" s="2" t="inlineStr"/>
    </row>
    <row r="6871" ht="15" customHeight="1">
      <c r="A6871" t="inlineStr">
        <is>
          <t>A 2353-2026</t>
        </is>
      </c>
      <c r="B6871" t="inlineStr">
        <is>
          <t>avverkningsanmälan</t>
        </is>
      </c>
      <c r="C6871" t="inlineStr">
        <is>
          <t>Föryngringsavverkning</t>
        </is>
      </c>
      <c r="D6871" s="1" t="n">
        <v>46036</v>
      </c>
      <c r="E6871" s="1" t="n">
        <v>46326</v>
      </c>
      <c r="F6871" t="inlineStr">
        <is>
          <t>GÄVLEBORGS LÄN</t>
        </is>
      </c>
      <c r="G6871" t="inlineStr">
        <is>
          <t>OCKELBO</t>
        </is>
      </c>
      <c r="I6871" t="n">
        <v>5.4</v>
      </c>
      <c r="J6871" t="n">
        <v>0</v>
      </c>
      <c r="K6871" t="n">
        <v>0</v>
      </c>
      <c r="L6871" t="n">
        <v>0</v>
      </c>
      <c r="M6871" t="n">
        <v>0</v>
      </c>
      <c r="N6871" t="n">
        <v>0</v>
      </c>
      <c r="O6871" t="n">
        <v>0</v>
      </c>
      <c r="P6871" t="n">
        <v>0</v>
      </c>
      <c r="Q6871" t="n">
        <v>0</v>
      </c>
      <c r="R6871" t="n">
        <v>0</v>
      </c>
      <c r="S6871" t="n">
        <v>0</v>
      </c>
      <c r="T6871" t="n">
        <v>0</v>
      </c>
      <c r="U6871" t="n">
        <v>0</v>
      </c>
      <c r="V6871" s="2" t="inlineStr"/>
    </row>
    <row r="6872" ht="15" customHeight="1">
      <c r="A6872" t="inlineStr">
        <is>
          <t>A 39597-2024</t>
        </is>
      </c>
      <c r="B6872" t="inlineStr">
        <is>
          <t>avverkningsanmälan</t>
        </is>
      </c>
      <c r="C6872" t="inlineStr">
        <is>
          <t>Föryngringsavverkning</t>
        </is>
      </c>
      <c r="D6872" s="1" t="n">
        <v>45552</v>
      </c>
      <c r="E6872" s="1" t="n">
        <v>46326</v>
      </c>
      <c r="F6872" t="inlineStr">
        <is>
          <t>GÄVLEBORGS LÄN</t>
        </is>
      </c>
      <c r="G6872" t="inlineStr">
        <is>
          <t>LJUSDAL</t>
        </is>
      </c>
      <c r="I6872" t="n">
        <v>0.9</v>
      </c>
      <c r="J6872" t="n">
        <v>0</v>
      </c>
      <c r="K6872" t="n">
        <v>0</v>
      </c>
      <c r="L6872" t="n">
        <v>0</v>
      </c>
      <c r="M6872" t="n">
        <v>0</v>
      </c>
      <c r="N6872" t="n">
        <v>0</v>
      </c>
      <c r="O6872" t="n">
        <v>0</v>
      </c>
      <c r="P6872" t="n">
        <v>0</v>
      </c>
      <c r="Q6872" t="n">
        <v>0</v>
      </c>
      <c r="R6872" t="n">
        <v>0</v>
      </c>
      <c r="S6872" t="n">
        <v>0</v>
      </c>
      <c r="T6872" t="n">
        <v>0</v>
      </c>
      <c r="U6872" t="n">
        <v>0</v>
      </c>
      <c r="V6872" s="2" t="inlineStr"/>
    </row>
    <row r="6873" ht="15" customHeight="1">
      <c r="A6873" t="inlineStr">
        <is>
          <t>A 61456-2024</t>
        </is>
      </c>
      <c r="B6873" t="inlineStr">
        <is>
          <t>avverkningsanmälan</t>
        </is>
      </c>
      <c r="C6873" t="inlineStr">
        <is>
          <t>Föryngringsavverkning</t>
        </is>
      </c>
      <c r="D6873" s="1" t="n">
        <v>45646</v>
      </c>
      <c r="E6873" s="1" t="n">
        <v>46326</v>
      </c>
      <c r="F6873" t="inlineStr">
        <is>
          <t>GÄVLEBORGS LÄN</t>
        </is>
      </c>
      <c r="G6873" t="inlineStr">
        <is>
          <t>OCKELBO</t>
        </is>
      </c>
      <c r="I6873" t="n">
        <v>1.7</v>
      </c>
      <c r="J6873" t="n">
        <v>0</v>
      </c>
      <c r="K6873" t="n">
        <v>0</v>
      </c>
      <c r="L6873" t="n">
        <v>0</v>
      </c>
      <c r="M6873" t="n">
        <v>0</v>
      </c>
      <c r="N6873" t="n">
        <v>0</v>
      </c>
      <c r="O6873" t="n">
        <v>0</v>
      </c>
      <c r="P6873" t="n">
        <v>0</v>
      </c>
      <c r="Q6873" t="n">
        <v>0</v>
      </c>
      <c r="R6873" t="n">
        <v>0</v>
      </c>
      <c r="S6873" t="n">
        <v>0</v>
      </c>
      <c r="T6873" t="n">
        <v>0</v>
      </c>
      <c r="U6873" t="n">
        <v>0</v>
      </c>
      <c r="V6873" s="2" t="inlineStr"/>
    </row>
    <row r="6874" ht="15" customHeight="1">
      <c r="A6874" t="inlineStr">
        <is>
          <t>A 18912-2025</t>
        </is>
      </c>
      <c r="B6874" t="inlineStr">
        <is>
          <t>avverkningsanmälan</t>
        </is>
      </c>
      <c r="C6874" t="inlineStr">
        <is>
          <t>Föryngringsavverkning</t>
        </is>
      </c>
      <c r="D6874" s="1" t="n">
        <v>45764</v>
      </c>
      <c r="E6874" s="1" t="n">
        <v>46326</v>
      </c>
      <c r="F6874" t="inlineStr">
        <is>
          <t>GÄVLEBORGS LÄN</t>
        </is>
      </c>
      <c r="G6874" t="inlineStr">
        <is>
          <t>HUDIKSVALL</t>
        </is>
      </c>
      <c r="H6874" t="inlineStr">
        <is>
          <t>Holmen skog AB</t>
        </is>
      </c>
      <c r="I6874" t="n">
        <v>16</v>
      </c>
      <c r="J6874" t="n">
        <v>0</v>
      </c>
      <c r="K6874" t="n">
        <v>0</v>
      </c>
      <c r="L6874" t="n">
        <v>0</v>
      </c>
      <c r="M6874" t="n">
        <v>0</v>
      </c>
      <c r="N6874" t="n">
        <v>0</v>
      </c>
      <c r="O6874" t="n">
        <v>0</v>
      </c>
      <c r="P6874" t="n">
        <v>0</v>
      </c>
      <c r="Q6874" t="n">
        <v>0</v>
      </c>
      <c r="R6874" t="n">
        <v>0</v>
      </c>
      <c r="S6874" t="n">
        <v>0</v>
      </c>
      <c r="T6874" t="n">
        <v>0</v>
      </c>
      <c r="U6874" t="n">
        <v>0</v>
      </c>
      <c r="V6874" s="2" t="inlineStr"/>
    </row>
    <row r="6875" ht="15" customHeight="1">
      <c r="A6875" t="inlineStr">
        <is>
          <t>A 18920-2025</t>
        </is>
      </c>
      <c r="B6875" t="inlineStr">
        <is>
          <t>avverkningsanmälan</t>
        </is>
      </c>
      <c r="C6875" t="inlineStr">
        <is>
          <t>Föryngringsavverkning</t>
        </is>
      </c>
      <c r="D6875" s="1" t="n">
        <v>45764</v>
      </c>
      <c r="E6875" s="1" t="n">
        <v>46326</v>
      </c>
      <c r="F6875" t="inlineStr">
        <is>
          <t>GÄVLEBORGS LÄN</t>
        </is>
      </c>
      <c r="G6875" t="inlineStr">
        <is>
          <t>SÖDERHAMN</t>
        </is>
      </c>
      <c r="H6875" t="inlineStr">
        <is>
          <t>Kommuner</t>
        </is>
      </c>
      <c r="I6875" t="n">
        <v>2.9</v>
      </c>
      <c r="J6875" t="n">
        <v>0</v>
      </c>
      <c r="K6875" t="n">
        <v>0</v>
      </c>
      <c r="L6875" t="n">
        <v>0</v>
      </c>
      <c r="M6875" t="n">
        <v>0</v>
      </c>
      <c r="N6875" t="n">
        <v>0</v>
      </c>
      <c r="O6875" t="n">
        <v>0</v>
      </c>
      <c r="P6875" t="n">
        <v>0</v>
      </c>
      <c r="Q6875" t="n">
        <v>0</v>
      </c>
      <c r="R6875" t="n">
        <v>0</v>
      </c>
      <c r="S6875" t="n">
        <v>0</v>
      </c>
      <c r="T6875" t="n">
        <v>0</v>
      </c>
      <c r="U6875" t="n">
        <v>0</v>
      </c>
      <c r="V6875" s="2" t="inlineStr"/>
    </row>
    <row r="6876" ht="15" customHeight="1">
      <c r="A6876" t="inlineStr">
        <is>
          <t>A 18971-2025</t>
        </is>
      </c>
      <c r="B6876" t="inlineStr">
        <is>
          <t>avverkningsanmälan</t>
        </is>
      </c>
      <c r="C6876" t="inlineStr">
        <is>
          <t>Föryngringsavverkning</t>
        </is>
      </c>
      <c r="D6876" s="1" t="n">
        <v>45764</v>
      </c>
      <c r="E6876" s="1" t="n">
        <v>46326</v>
      </c>
      <c r="F6876" t="inlineStr">
        <is>
          <t>GÄVLEBORGS LÄN</t>
        </is>
      </c>
      <c r="G6876" t="inlineStr">
        <is>
          <t>LJUSDAL</t>
        </is>
      </c>
      <c r="H6876" t="inlineStr">
        <is>
          <t>Sveaskog</t>
        </is>
      </c>
      <c r="I6876" t="n">
        <v>2.6</v>
      </c>
      <c r="J6876" t="n">
        <v>0</v>
      </c>
      <c r="K6876" t="n">
        <v>0</v>
      </c>
      <c r="L6876" t="n">
        <v>0</v>
      </c>
      <c r="M6876" t="n">
        <v>0</v>
      </c>
      <c r="N6876" t="n">
        <v>0</v>
      </c>
      <c r="O6876" t="n">
        <v>0</v>
      </c>
      <c r="P6876" t="n">
        <v>0</v>
      </c>
      <c r="Q6876" t="n">
        <v>0</v>
      </c>
      <c r="R6876" t="n">
        <v>0</v>
      </c>
      <c r="S6876" t="n">
        <v>0</v>
      </c>
      <c r="T6876" t="n">
        <v>0</v>
      </c>
      <c r="U6876" t="n">
        <v>0</v>
      </c>
      <c r="V6876" s="2" t="inlineStr"/>
    </row>
    <row r="6877" ht="15" customHeight="1">
      <c r="A6877" t="inlineStr">
        <is>
          <t>A 11989-2026</t>
        </is>
      </c>
      <c r="B6877" t="inlineStr">
        <is>
          <t>avverkningsanmälan</t>
        </is>
      </c>
      <c r="C6877" t="inlineStr">
        <is>
          <t>Föryngringsavverkning</t>
        </is>
      </c>
      <c r="D6877" s="1" t="n">
        <v>46085</v>
      </c>
      <c r="E6877" s="1" t="n">
        <v>46326</v>
      </c>
      <c r="F6877" t="inlineStr">
        <is>
          <t>GÄVLEBORGS LÄN</t>
        </is>
      </c>
      <c r="G6877" t="inlineStr">
        <is>
          <t>BOLLNÄS</t>
        </is>
      </c>
      <c r="I6877" t="n">
        <v>1.9</v>
      </c>
      <c r="J6877" t="n">
        <v>0</v>
      </c>
      <c r="K6877" t="n">
        <v>0</v>
      </c>
      <c r="L6877" t="n">
        <v>0</v>
      </c>
      <c r="M6877" t="n">
        <v>0</v>
      </c>
      <c r="N6877" t="n">
        <v>0</v>
      </c>
      <c r="O6877" t="n">
        <v>0</v>
      </c>
      <c r="P6877" t="n">
        <v>0</v>
      </c>
      <c r="Q6877" t="n">
        <v>0</v>
      </c>
      <c r="R6877" t="n">
        <v>0</v>
      </c>
      <c r="S6877" t="n">
        <v>0</v>
      </c>
      <c r="T6877" t="n">
        <v>0</v>
      </c>
      <c r="U6877" t="n">
        <v>0</v>
      </c>
      <c r="V6877" s="2" t="inlineStr"/>
    </row>
    <row r="6878" ht="15" customHeight="1">
      <c r="A6878" t="inlineStr">
        <is>
          <t>A 19910-2026</t>
        </is>
      </c>
      <c r="B6878" t="inlineStr">
        <is>
          <t>avverkningsanmälan</t>
        </is>
      </c>
      <c r="C6878" t="inlineStr">
        <is>
          <t>Föryngringsavverkning</t>
        </is>
      </c>
      <c r="D6878" s="1" t="n">
        <v>46136</v>
      </c>
      <c r="E6878" s="1" t="n">
        <v>46326</v>
      </c>
      <c r="F6878" t="inlineStr">
        <is>
          <t>GÄVLEBORGS LÄN</t>
        </is>
      </c>
      <c r="G6878" t="inlineStr">
        <is>
          <t>SANDVIKEN</t>
        </is>
      </c>
      <c r="H6878" t="inlineStr">
        <is>
          <t>Bergvik skog öst AB</t>
        </is>
      </c>
      <c r="I6878" t="n">
        <v>2</v>
      </c>
      <c r="J6878" t="n">
        <v>0</v>
      </c>
      <c r="K6878" t="n">
        <v>0</v>
      </c>
      <c r="L6878" t="n">
        <v>0</v>
      </c>
      <c r="M6878" t="n">
        <v>0</v>
      </c>
      <c r="N6878" t="n">
        <v>0</v>
      </c>
      <c r="O6878" t="n">
        <v>0</v>
      </c>
      <c r="P6878" t="n">
        <v>0</v>
      </c>
      <c r="Q6878" t="n">
        <v>0</v>
      </c>
      <c r="R6878" t="n">
        <v>0</v>
      </c>
      <c r="S6878" t="n">
        <v>0</v>
      </c>
      <c r="T6878" t="n">
        <v>0</v>
      </c>
      <c r="U6878" t="n">
        <v>0</v>
      </c>
      <c r="V6878" s="2" t="inlineStr"/>
    </row>
    <row r="6879" ht="15" customHeight="1">
      <c r="A6879" t="inlineStr">
        <is>
          <t>A 8906-2026</t>
        </is>
      </c>
      <c r="B6879" t="inlineStr">
        <is>
          <t>avverkningsanmälan</t>
        </is>
      </c>
      <c r="C6879" t="inlineStr">
        <is>
          <t>Föryngringsavverkning</t>
        </is>
      </c>
      <c r="D6879" s="1" t="n">
        <v>46069</v>
      </c>
      <c r="E6879" s="1" t="n">
        <v>46326</v>
      </c>
      <c r="F6879" t="inlineStr">
        <is>
          <t>GÄVLEBORGS LÄN</t>
        </is>
      </c>
      <c r="G6879" t="inlineStr">
        <is>
          <t>BOLLNÄS</t>
        </is>
      </c>
      <c r="I6879" t="n">
        <v>9.300000000000001</v>
      </c>
      <c r="J6879" t="n">
        <v>0</v>
      </c>
      <c r="K6879" t="n">
        <v>0</v>
      </c>
      <c r="L6879" t="n">
        <v>0</v>
      </c>
      <c r="M6879" t="n">
        <v>0</v>
      </c>
      <c r="N6879" t="n">
        <v>0</v>
      </c>
      <c r="O6879" t="n">
        <v>0</v>
      </c>
      <c r="P6879" t="n">
        <v>0</v>
      </c>
      <c r="Q6879" t="n">
        <v>0</v>
      </c>
      <c r="R6879" t="n">
        <v>0</v>
      </c>
      <c r="S6879" t="n">
        <v>0</v>
      </c>
      <c r="T6879" t="n">
        <v>0</v>
      </c>
      <c r="U6879" t="n">
        <v>0</v>
      </c>
      <c r="V6879" s="2" t="inlineStr"/>
    </row>
    <row r="6880" ht="15" customHeight="1">
      <c r="A6880" t="inlineStr">
        <is>
          <t>A 5147-2026</t>
        </is>
      </c>
      <c r="B6880" t="inlineStr">
        <is>
          <t>avverkningsanmälan</t>
        </is>
      </c>
      <c r="C6880" t="inlineStr">
        <is>
          <t>Föryngringsavverkning</t>
        </is>
      </c>
      <c r="D6880" s="1" t="n">
        <v>46049</v>
      </c>
      <c r="E6880" s="1" t="n">
        <v>46326</v>
      </c>
      <c r="F6880" t="inlineStr">
        <is>
          <t>GÄVLEBORGS LÄN</t>
        </is>
      </c>
      <c r="G6880" t="inlineStr">
        <is>
          <t>BOLLNÄS</t>
        </is>
      </c>
      <c r="I6880" t="n">
        <v>1.3</v>
      </c>
      <c r="J6880" t="n">
        <v>0</v>
      </c>
      <c r="K6880" t="n">
        <v>0</v>
      </c>
      <c r="L6880" t="n">
        <v>0</v>
      </c>
      <c r="M6880" t="n">
        <v>0</v>
      </c>
      <c r="N6880" t="n">
        <v>0</v>
      </c>
      <c r="O6880" t="n">
        <v>0</v>
      </c>
      <c r="P6880" t="n">
        <v>0</v>
      </c>
      <c r="Q6880" t="n">
        <v>0</v>
      </c>
      <c r="R6880" t="n">
        <v>0</v>
      </c>
      <c r="S6880" t="n">
        <v>0</v>
      </c>
      <c r="T6880" t="n">
        <v>0</v>
      </c>
      <c r="U6880" t="n">
        <v>0</v>
      </c>
      <c r="V6880" s="2" t="inlineStr"/>
    </row>
    <row r="6881" ht="15" customHeight="1">
      <c r="A6881" t="inlineStr">
        <is>
          <t>A 13258-2026</t>
        </is>
      </c>
      <c r="B6881" t="inlineStr">
        <is>
          <t>avverkningsanmälan</t>
        </is>
      </c>
      <c r="C6881" t="inlineStr">
        <is>
          <t>Föryngringsavverkning</t>
        </is>
      </c>
      <c r="D6881" s="1" t="n">
        <v>46093</v>
      </c>
      <c r="E6881" s="1" t="n">
        <v>46326</v>
      </c>
      <c r="F6881" t="inlineStr">
        <is>
          <t>GÄVLEBORGS LÄN</t>
        </is>
      </c>
      <c r="G6881" t="inlineStr">
        <is>
          <t>SANDVIKEN</t>
        </is>
      </c>
      <c r="H6881" t="inlineStr">
        <is>
          <t>Bergvik skog öst AB</t>
        </is>
      </c>
      <c r="I6881" t="n">
        <v>6.6</v>
      </c>
      <c r="J6881" t="n">
        <v>0</v>
      </c>
      <c r="K6881" t="n">
        <v>0</v>
      </c>
      <c r="L6881" t="n">
        <v>0</v>
      </c>
      <c r="M6881" t="n">
        <v>0</v>
      </c>
      <c r="N6881" t="n">
        <v>0</v>
      </c>
      <c r="O6881" t="n">
        <v>0</v>
      </c>
      <c r="P6881" t="n">
        <v>0</v>
      </c>
      <c r="Q6881" t="n">
        <v>0</v>
      </c>
      <c r="R6881" t="n">
        <v>0</v>
      </c>
      <c r="S6881" t="n">
        <v>0</v>
      </c>
      <c r="T6881" t="n">
        <v>0</v>
      </c>
      <c r="U6881" t="n">
        <v>0</v>
      </c>
      <c r="V6881" s="2" t="inlineStr"/>
    </row>
    <row r="6882" ht="15" customHeight="1">
      <c r="A6882" t="inlineStr">
        <is>
          <t>A 255-2026</t>
        </is>
      </c>
      <c r="B6882" t="inlineStr">
        <is>
          <t>avverkningsanmälan</t>
        </is>
      </c>
      <c r="C6882" t="inlineStr">
        <is>
          <t>Föryngringsavverkning</t>
        </is>
      </c>
      <c r="D6882" s="1" t="n">
        <v>46027</v>
      </c>
      <c r="E6882" s="1" t="n">
        <v>46326</v>
      </c>
      <c r="F6882" t="inlineStr">
        <is>
          <t>GÄVLEBORGS LÄN</t>
        </is>
      </c>
      <c r="G6882" t="inlineStr">
        <is>
          <t>BOLLNÄS</t>
        </is>
      </c>
      <c r="I6882" t="n">
        <v>1.5</v>
      </c>
      <c r="J6882" t="n">
        <v>0</v>
      </c>
      <c r="K6882" t="n">
        <v>0</v>
      </c>
      <c r="L6882" t="n">
        <v>0</v>
      </c>
      <c r="M6882" t="n">
        <v>0</v>
      </c>
      <c r="N6882" t="n">
        <v>0</v>
      </c>
      <c r="O6882" t="n">
        <v>0</v>
      </c>
      <c r="P6882" t="n">
        <v>0</v>
      </c>
      <c r="Q6882" t="n">
        <v>0</v>
      </c>
      <c r="R6882" t="n">
        <v>0</v>
      </c>
      <c r="S6882" t="n">
        <v>0</v>
      </c>
      <c r="T6882" t="n">
        <v>0</v>
      </c>
      <c r="U6882" t="n">
        <v>0</v>
      </c>
      <c r="V6882" s="2" t="inlineStr"/>
    </row>
    <row r="6883" ht="15" customHeight="1">
      <c r="A6883" t="inlineStr">
        <is>
          <t>A 20154-2026</t>
        </is>
      </c>
      <c r="B6883" t="inlineStr">
        <is>
          <t>avverkningsanmälan</t>
        </is>
      </c>
      <c r="C6883" t="inlineStr">
        <is>
          <t>Föryngringsavverkning</t>
        </is>
      </c>
      <c r="D6883" s="1" t="n">
        <v>46138</v>
      </c>
      <c r="E6883" s="1" t="n">
        <v>46326</v>
      </c>
      <c r="F6883" t="inlineStr">
        <is>
          <t>GÄVLEBORGS LÄN</t>
        </is>
      </c>
      <c r="G6883" t="inlineStr">
        <is>
          <t>BOLLNÄS</t>
        </is>
      </c>
      <c r="H6883" t="inlineStr">
        <is>
          <t>Bergvik skog väst AB</t>
        </is>
      </c>
      <c r="I6883" t="n">
        <v>1.5</v>
      </c>
      <c r="J6883" t="n">
        <v>0</v>
      </c>
      <c r="K6883" t="n">
        <v>0</v>
      </c>
      <c r="L6883" t="n">
        <v>0</v>
      </c>
      <c r="M6883" t="n">
        <v>0</v>
      </c>
      <c r="N6883" t="n">
        <v>0</v>
      </c>
      <c r="O6883" t="n">
        <v>0</v>
      </c>
      <c r="P6883" t="n">
        <v>0</v>
      </c>
      <c r="Q6883" t="n">
        <v>0</v>
      </c>
      <c r="R6883" t="n">
        <v>0</v>
      </c>
      <c r="S6883" t="n">
        <v>0</v>
      </c>
      <c r="T6883" t="n">
        <v>0</v>
      </c>
      <c r="U6883" t="n">
        <v>0</v>
      </c>
      <c r="V6883" s="2" t="inlineStr"/>
    </row>
    <row r="6884" ht="15" customHeight="1">
      <c r="A6884" t="inlineStr">
        <is>
          <t>A 25904-2024</t>
        </is>
      </c>
      <c r="B6884" t="inlineStr">
        <is>
          <t>avverkningsanmälan</t>
        </is>
      </c>
      <c r="C6884" t="inlineStr">
        <is>
          <t>Föryngringsavverkning</t>
        </is>
      </c>
      <c r="D6884" s="1" t="n">
        <v>45467</v>
      </c>
      <c r="E6884" s="1" t="n">
        <v>46326</v>
      </c>
      <c r="F6884" t="inlineStr">
        <is>
          <t>GÄVLEBORGS LÄN</t>
        </is>
      </c>
      <c r="G6884" t="inlineStr">
        <is>
          <t>SÖDERHAMN</t>
        </is>
      </c>
      <c r="I6884" t="n">
        <v>0.5</v>
      </c>
      <c r="J6884" t="n">
        <v>0</v>
      </c>
      <c r="K6884" t="n">
        <v>0</v>
      </c>
      <c r="L6884" t="n">
        <v>0</v>
      </c>
      <c r="M6884" t="n">
        <v>0</v>
      </c>
      <c r="N6884" t="n">
        <v>0</v>
      </c>
      <c r="O6884" t="n">
        <v>0</v>
      </c>
      <c r="P6884" t="n">
        <v>0</v>
      </c>
      <c r="Q6884" t="n">
        <v>0</v>
      </c>
      <c r="R6884" t="n">
        <v>0</v>
      </c>
      <c r="S6884" t="n">
        <v>0</v>
      </c>
      <c r="T6884" t="n">
        <v>0</v>
      </c>
      <c r="U6884" t="n">
        <v>0</v>
      </c>
      <c r="V6884" s="2" t="inlineStr"/>
    </row>
    <row r="6885" ht="15" customHeight="1">
      <c r="A6885" t="inlineStr">
        <is>
          <t>A 20263-2026</t>
        </is>
      </c>
      <c r="B6885" t="inlineStr">
        <is>
          <t>avverkningsanmälan</t>
        </is>
      </c>
      <c r="C6885" t="inlineStr">
        <is>
          <t>Föryngringsavverkning</t>
        </is>
      </c>
      <c r="D6885" s="1" t="n">
        <v>46139</v>
      </c>
      <c r="E6885" s="1" t="n">
        <v>46326</v>
      </c>
      <c r="F6885" t="inlineStr">
        <is>
          <t>GÄVLEBORGS LÄN</t>
        </is>
      </c>
      <c r="G6885" t="inlineStr">
        <is>
          <t>BOLLNÄS</t>
        </is>
      </c>
      <c r="I6885" t="n">
        <v>0.9</v>
      </c>
      <c r="J6885" t="n">
        <v>0</v>
      </c>
      <c r="K6885" t="n">
        <v>0</v>
      </c>
      <c r="L6885" t="n">
        <v>0</v>
      </c>
      <c r="M6885" t="n">
        <v>0</v>
      </c>
      <c r="N6885" t="n">
        <v>0</v>
      </c>
      <c r="O6885" t="n">
        <v>0</v>
      </c>
      <c r="P6885" t="n">
        <v>0</v>
      </c>
      <c r="Q6885" t="n">
        <v>0</v>
      </c>
      <c r="R6885" t="n">
        <v>0</v>
      </c>
      <c r="S6885" t="n">
        <v>0</v>
      </c>
      <c r="T6885" t="n">
        <v>0</v>
      </c>
      <c r="U6885" t="n">
        <v>0</v>
      </c>
      <c r="V6885" s="2" t="inlineStr"/>
    </row>
    <row r="6886" ht="15" customHeight="1">
      <c r="A6886" t="inlineStr">
        <is>
          <t>A 8698-2024</t>
        </is>
      </c>
      <c r="B6886" t="inlineStr">
        <is>
          <t>avverkningsanmälan</t>
        </is>
      </c>
      <c r="C6886" t="inlineStr">
        <is>
          <t>Föryngringsavverkning</t>
        </is>
      </c>
      <c r="D6886" s="1" t="n">
        <v>45356</v>
      </c>
      <c r="E6886" s="1" t="n">
        <v>46326</v>
      </c>
      <c r="F6886" t="inlineStr">
        <is>
          <t>GÄVLEBORGS LÄN</t>
        </is>
      </c>
      <c r="G6886" t="inlineStr">
        <is>
          <t>SANDVIKEN</t>
        </is>
      </c>
      <c r="I6886" t="n">
        <v>2.7</v>
      </c>
      <c r="J6886" t="n">
        <v>0</v>
      </c>
      <c r="K6886" t="n">
        <v>0</v>
      </c>
      <c r="L6886" t="n">
        <v>0</v>
      </c>
      <c r="M6886" t="n">
        <v>0</v>
      </c>
      <c r="N6886" t="n">
        <v>0</v>
      </c>
      <c r="O6886" t="n">
        <v>0</v>
      </c>
      <c r="P6886" t="n">
        <v>0</v>
      </c>
      <c r="Q6886" t="n">
        <v>0</v>
      </c>
      <c r="R6886" t="n">
        <v>0</v>
      </c>
      <c r="S6886" t="n">
        <v>0</v>
      </c>
      <c r="T6886" t="n">
        <v>0</v>
      </c>
      <c r="U6886" t="n">
        <v>0</v>
      </c>
      <c r="V6886" s="2" t="inlineStr"/>
    </row>
    <row r="6887" ht="15" customHeight="1">
      <c r="A6887" t="inlineStr">
        <is>
          <t>A 47403-2024</t>
        </is>
      </c>
      <c r="B6887" t="inlineStr">
        <is>
          <t>avverkningsanmälan</t>
        </is>
      </c>
      <c r="C6887" t="inlineStr">
        <is>
          <t>Föryngringsavverkning</t>
        </is>
      </c>
      <c r="D6887" s="1" t="n">
        <v>45587</v>
      </c>
      <c r="E6887" s="1" t="n">
        <v>46326</v>
      </c>
      <c r="F6887" t="inlineStr">
        <is>
          <t>GÄVLEBORGS LÄN</t>
        </is>
      </c>
      <c r="G6887" t="inlineStr">
        <is>
          <t>LJUSDAL</t>
        </is>
      </c>
      <c r="H6887" t="inlineStr">
        <is>
          <t>Bergvik skog väst AB</t>
        </is>
      </c>
      <c r="I6887" t="n">
        <v>0.4</v>
      </c>
      <c r="J6887" t="n">
        <v>0</v>
      </c>
      <c r="K6887" t="n">
        <v>0</v>
      </c>
      <c r="L6887" t="n">
        <v>0</v>
      </c>
      <c r="M6887" t="n">
        <v>0</v>
      </c>
      <c r="N6887" t="n">
        <v>0</v>
      </c>
      <c r="O6887" t="n">
        <v>0</v>
      </c>
      <c r="P6887" t="n">
        <v>0</v>
      </c>
      <c r="Q6887" t="n">
        <v>0</v>
      </c>
      <c r="R6887" t="n">
        <v>0</v>
      </c>
      <c r="S6887" t="n">
        <v>0</v>
      </c>
      <c r="T6887" t="n">
        <v>0</v>
      </c>
      <c r="U6887" t="n">
        <v>0</v>
      </c>
      <c r="V6887" s="2" t="inlineStr"/>
    </row>
    <row r="6888" ht="15" customHeight="1">
      <c r="A6888" t="inlineStr">
        <is>
          <t>A 15689-2026</t>
        </is>
      </c>
      <c r="B6888" t="inlineStr">
        <is>
          <t>avverkningsanmälan</t>
        </is>
      </c>
      <c r="C6888" t="inlineStr">
        <is>
          <t>Föryngringsavverkning</t>
        </is>
      </c>
      <c r="D6888" s="1" t="n">
        <v>46107</v>
      </c>
      <c r="E6888" s="1" t="n">
        <v>46326</v>
      </c>
      <c r="F6888" t="inlineStr">
        <is>
          <t>GÄVLEBORGS LÄN</t>
        </is>
      </c>
      <c r="G6888" t="inlineStr">
        <is>
          <t>GÄVLE</t>
        </is>
      </c>
      <c r="H6888" t="inlineStr">
        <is>
          <t>Bergvik skog öst AB</t>
        </is>
      </c>
      <c r="I6888" t="n">
        <v>5</v>
      </c>
      <c r="J6888" t="n">
        <v>0</v>
      </c>
      <c r="K6888" t="n">
        <v>0</v>
      </c>
      <c r="L6888" t="n">
        <v>0</v>
      </c>
      <c r="M6888" t="n">
        <v>0</v>
      </c>
      <c r="N6888" t="n">
        <v>0</v>
      </c>
      <c r="O6888" t="n">
        <v>0</v>
      </c>
      <c r="P6888" t="n">
        <v>0</v>
      </c>
      <c r="Q6888" t="n">
        <v>0</v>
      </c>
      <c r="R6888" t="n">
        <v>0</v>
      </c>
      <c r="S6888" t="n">
        <v>0</v>
      </c>
      <c r="T6888" t="n">
        <v>0</v>
      </c>
      <c r="U6888" t="n">
        <v>0</v>
      </c>
      <c r="V6888" s="2" t="inlineStr"/>
    </row>
    <row r="6889" ht="15" customHeight="1">
      <c r="A6889" t="inlineStr">
        <is>
          <t>A 40653-2023</t>
        </is>
      </c>
      <c r="B6889" t="inlineStr">
        <is>
          <t>avverkningsanmälan</t>
        </is>
      </c>
      <c r="C6889" t="inlineStr">
        <is>
          <t>Föryngringsavverkning</t>
        </is>
      </c>
      <c r="D6889" s="1" t="n">
        <v>45169</v>
      </c>
      <c r="E6889" s="1" t="n">
        <v>46326</v>
      </c>
      <c r="F6889" t="inlineStr">
        <is>
          <t>GÄVLEBORGS LÄN</t>
        </is>
      </c>
      <c r="G6889" t="inlineStr">
        <is>
          <t>BOLLNÄS</t>
        </is>
      </c>
      <c r="I6889" t="n">
        <v>3.5</v>
      </c>
      <c r="J6889" t="n">
        <v>0</v>
      </c>
      <c r="K6889" t="n">
        <v>0</v>
      </c>
      <c r="L6889" t="n">
        <v>0</v>
      </c>
      <c r="M6889" t="n">
        <v>0</v>
      </c>
      <c r="N6889" t="n">
        <v>0</v>
      </c>
      <c r="O6889" t="n">
        <v>0</v>
      </c>
      <c r="P6889" t="n">
        <v>0</v>
      </c>
      <c r="Q6889" t="n">
        <v>0</v>
      </c>
      <c r="R6889" t="n">
        <v>0</v>
      </c>
      <c r="S6889" t="n">
        <v>0</v>
      </c>
      <c r="T6889" t="n">
        <v>0</v>
      </c>
      <c r="U6889" t="n">
        <v>0</v>
      </c>
      <c r="V6889" s="2" t="inlineStr"/>
    </row>
    <row r="6890" ht="15" customHeight="1">
      <c r="A6890" t="inlineStr">
        <is>
          <t>A 30919-2024</t>
        </is>
      </c>
      <c r="B6890" t="inlineStr">
        <is>
          <t>avverkningsanmälan</t>
        </is>
      </c>
      <c r="C6890" t="inlineStr">
        <is>
          <t>Föryngringsavverkning</t>
        </is>
      </c>
      <c r="D6890" s="1" t="n">
        <v>45498</v>
      </c>
      <c r="E6890" s="1" t="n">
        <v>46326</v>
      </c>
      <c r="F6890" t="inlineStr">
        <is>
          <t>GÄVLEBORGS LÄN</t>
        </is>
      </c>
      <c r="G6890" t="inlineStr">
        <is>
          <t>OVANÅKER</t>
        </is>
      </c>
      <c r="H6890" t="inlineStr">
        <is>
          <t>Bergvik skog öst AB</t>
        </is>
      </c>
      <c r="I6890" t="n">
        <v>4</v>
      </c>
      <c r="J6890" t="n">
        <v>0</v>
      </c>
      <c r="K6890" t="n">
        <v>0</v>
      </c>
      <c r="L6890" t="n">
        <v>0</v>
      </c>
      <c r="M6890" t="n">
        <v>0</v>
      </c>
      <c r="N6890" t="n">
        <v>0</v>
      </c>
      <c r="O6890" t="n">
        <v>0</v>
      </c>
      <c r="P6890" t="n">
        <v>0</v>
      </c>
      <c r="Q6890" t="n">
        <v>0</v>
      </c>
      <c r="R6890" t="n">
        <v>0</v>
      </c>
      <c r="S6890" t="n">
        <v>0</v>
      </c>
      <c r="T6890" t="n">
        <v>0</v>
      </c>
      <c r="U6890" t="n">
        <v>0</v>
      </c>
      <c r="V6890" s="2" t="inlineStr"/>
    </row>
    <row r="6891" ht="15" customHeight="1">
      <c r="A6891" t="inlineStr">
        <is>
          <t>A 30978-2024</t>
        </is>
      </c>
      <c r="B6891" t="inlineStr">
        <is>
          <t>avverkningsanmälan</t>
        </is>
      </c>
      <c r="C6891" t="inlineStr">
        <is>
          <t>Föryngringsavverkning</t>
        </is>
      </c>
      <c r="D6891" s="1" t="n">
        <v>45499</v>
      </c>
      <c r="E6891" s="1" t="n">
        <v>46326</v>
      </c>
      <c r="F6891" t="inlineStr">
        <is>
          <t>GÄVLEBORGS LÄN</t>
        </is>
      </c>
      <c r="G6891" t="inlineStr">
        <is>
          <t>NORDANSTIG</t>
        </is>
      </c>
      <c r="I6891" t="n">
        <v>1.5</v>
      </c>
      <c r="J6891" t="n">
        <v>0</v>
      </c>
      <c r="K6891" t="n">
        <v>0</v>
      </c>
      <c r="L6891" t="n">
        <v>0</v>
      </c>
      <c r="M6891" t="n">
        <v>0</v>
      </c>
      <c r="N6891" t="n">
        <v>0</v>
      </c>
      <c r="O6891" t="n">
        <v>0</v>
      </c>
      <c r="P6891" t="n">
        <v>0</v>
      </c>
      <c r="Q6891" t="n">
        <v>0</v>
      </c>
      <c r="R6891" t="n">
        <v>0</v>
      </c>
      <c r="S6891" t="n">
        <v>0</v>
      </c>
      <c r="T6891" t="n">
        <v>0</v>
      </c>
      <c r="U6891" t="n">
        <v>0</v>
      </c>
      <c r="V6891" s="2" t="inlineStr"/>
    </row>
    <row r="6892" ht="15" customHeight="1">
      <c r="A6892" t="inlineStr">
        <is>
          <t>A 30982-2024</t>
        </is>
      </c>
      <c r="B6892" t="inlineStr">
        <is>
          <t>avverkningsanmälan</t>
        </is>
      </c>
      <c r="C6892" t="inlineStr">
        <is>
          <t>Föryngringsavverkning</t>
        </is>
      </c>
      <c r="D6892" s="1" t="n">
        <v>45499</v>
      </c>
      <c r="E6892" s="1" t="n">
        <v>46326</v>
      </c>
      <c r="F6892" t="inlineStr">
        <is>
          <t>GÄVLEBORGS LÄN</t>
        </is>
      </c>
      <c r="G6892" t="inlineStr">
        <is>
          <t>HUDIKSVALL</t>
        </is>
      </c>
      <c r="I6892" t="n">
        <v>2</v>
      </c>
      <c r="J6892" t="n">
        <v>0</v>
      </c>
      <c r="K6892" t="n">
        <v>0</v>
      </c>
      <c r="L6892" t="n">
        <v>0</v>
      </c>
      <c r="M6892" t="n">
        <v>0</v>
      </c>
      <c r="N6892" t="n">
        <v>0</v>
      </c>
      <c r="O6892" t="n">
        <v>0</v>
      </c>
      <c r="P6892" t="n">
        <v>0</v>
      </c>
      <c r="Q6892" t="n">
        <v>0</v>
      </c>
      <c r="R6892" t="n">
        <v>0</v>
      </c>
      <c r="S6892" t="n">
        <v>0</v>
      </c>
      <c r="T6892" t="n">
        <v>0</v>
      </c>
      <c r="U6892" t="n">
        <v>0</v>
      </c>
      <c r="V6892" s="2" t="inlineStr"/>
    </row>
    <row r="6893" ht="15" customHeight="1">
      <c r="A6893" t="inlineStr">
        <is>
          <t>A 8746-2026</t>
        </is>
      </c>
      <c r="B6893" t="inlineStr">
        <is>
          <t>avverkningsanmälan</t>
        </is>
      </c>
      <c r="C6893" t="inlineStr">
        <is>
          <t>Föryngringsavverkning</t>
        </is>
      </c>
      <c r="D6893" s="1" t="n">
        <v>46066</v>
      </c>
      <c r="E6893" s="1" t="n">
        <v>46326</v>
      </c>
      <c r="F6893" t="inlineStr">
        <is>
          <t>GÄVLEBORGS LÄN</t>
        </is>
      </c>
      <c r="G6893" t="inlineStr">
        <is>
          <t>LJUSDAL</t>
        </is>
      </c>
      <c r="H6893" t="inlineStr">
        <is>
          <t>Holmen skog AB</t>
        </is>
      </c>
      <c r="I6893" t="n">
        <v>1.7</v>
      </c>
      <c r="J6893" t="n">
        <v>0</v>
      </c>
      <c r="K6893" t="n">
        <v>0</v>
      </c>
      <c r="L6893" t="n">
        <v>0</v>
      </c>
      <c r="M6893" t="n">
        <v>0</v>
      </c>
      <c r="N6893" t="n">
        <v>0</v>
      </c>
      <c r="O6893" t="n">
        <v>0</v>
      </c>
      <c r="P6893" t="n">
        <v>0</v>
      </c>
      <c r="Q6893" t="n">
        <v>0</v>
      </c>
      <c r="R6893" t="n">
        <v>0</v>
      </c>
      <c r="S6893" t="n">
        <v>0</v>
      </c>
      <c r="T6893" t="n">
        <v>0</v>
      </c>
      <c r="U6893" t="n">
        <v>0</v>
      </c>
      <c r="V6893" s="2" t="inlineStr"/>
    </row>
    <row r="6894" ht="15" customHeight="1">
      <c r="A6894" t="inlineStr">
        <is>
          <t>A 15275-2026</t>
        </is>
      </c>
      <c r="B6894" t="inlineStr">
        <is>
          <t>avverkningsanmälan</t>
        </is>
      </c>
      <c r="C6894" t="inlineStr">
        <is>
          <t>Föryngringsavverkning</t>
        </is>
      </c>
      <c r="D6894" s="1" t="n">
        <v>46105</v>
      </c>
      <c r="E6894" s="1" t="n">
        <v>46326</v>
      </c>
      <c r="F6894" t="inlineStr">
        <is>
          <t>GÄVLEBORGS LÄN</t>
        </is>
      </c>
      <c r="G6894" t="inlineStr">
        <is>
          <t>GÄVLE</t>
        </is>
      </c>
      <c r="H6894" t="inlineStr">
        <is>
          <t>Bergvik skog öst AB</t>
        </is>
      </c>
      <c r="I6894" t="n">
        <v>15.2</v>
      </c>
      <c r="J6894" t="n">
        <v>0</v>
      </c>
      <c r="K6894" t="n">
        <v>0</v>
      </c>
      <c r="L6894" t="n">
        <v>0</v>
      </c>
      <c r="M6894" t="n">
        <v>0</v>
      </c>
      <c r="N6894" t="n">
        <v>0</v>
      </c>
      <c r="O6894" t="n">
        <v>0</v>
      </c>
      <c r="P6894" t="n">
        <v>0</v>
      </c>
      <c r="Q6894" t="n">
        <v>0</v>
      </c>
      <c r="R6894" t="n">
        <v>0</v>
      </c>
      <c r="S6894" t="n">
        <v>0</v>
      </c>
      <c r="T6894" t="n">
        <v>0</v>
      </c>
      <c r="U6894" t="n">
        <v>0</v>
      </c>
      <c r="V6894" s="2" t="inlineStr"/>
    </row>
    <row r="6895" ht="15" customHeight="1">
      <c r="A6895" t="inlineStr">
        <is>
          <t>A 34560-2023</t>
        </is>
      </c>
      <c r="B6895" t="inlineStr">
        <is>
          <t>avverkningsanmälan</t>
        </is>
      </c>
      <c r="C6895" t="inlineStr">
        <is>
          <t>Föryngringsavverkning</t>
        </is>
      </c>
      <c r="D6895" s="1" t="n">
        <v>45140</v>
      </c>
      <c r="E6895" s="1" t="n">
        <v>46326</v>
      </c>
      <c r="F6895" t="inlineStr">
        <is>
          <t>GÄVLEBORGS LÄN</t>
        </is>
      </c>
      <c r="G6895" t="inlineStr">
        <is>
          <t>NORDANSTIG</t>
        </is>
      </c>
      <c r="I6895" t="n">
        <v>2.4</v>
      </c>
      <c r="J6895" t="n">
        <v>0</v>
      </c>
      <c r="K6895" t="n">
        <v>0</v>
      </c>
      <c r="L6895" t="n">
        <v>0</v>
      </c>
      <c r="M6895" t="n">
        <v>0</v>
      </c>
      <c r="N6895" t="n">
        <v>0</v>
      </c>
      <c r="O6895" t="n">
        <v>0</v>
      </c>
      <c r="P6895" t="n">
        <v>0</v>
      </c>
      <c r="Q6895" t="n">
        <v>0</v>
      </c>
      <c r="R6895" t="n">
        <v>0</v>
      </c>
      <c r="S6895" t="n">
        <v>0</v>
      </c>
      <c r="T6895" t="n">
        <v>0</v>
      </c>
      <c r="U6895" t="n">
        <v>0</v>
      </c>
      <c r="V6895" s="2" t="inlineStr"/>
    </row>
    <row r="6896" ht="15" customHeight="1">
      <c r="A6896" t="inlineStr">
        <is>
          <t>A 3451-2026</t>
        </is>
      </c>
      <c r="B6896" t="inlineStr">
        <is>
          <t>avverkningsanmälan</t>
        </is>
      </c>
      <c r="C6896" t="inlineStr">
        <is>
          <t>Föryngringsavverkning</t>
        </is>
      </c>
      <c r="D6896" s="1" t="n">
        <v>46042</v>
      </c>
      <c r="E6896" s="1" t="n">
        <v>46326</v>
      </c>
      <c r="F6896" t="inlineStr">
        <is>
          <t>GÄVLEBORGS LÄN</t>
        </is>
      </c>
      <c r="G6896" t="inlineStr">
        <is>
          <t>BOLLNÄS</t>
        </is>
      </c>
      <c r="I6896" t="n">
        <v>1.1</v>
      </c>
      <c r="J6896" t="n">
        <v>0</v>
      </c>
      <c r="K6896" t="n">
        <v>0</v>
      </c>
      <c r="L6896" t="n">
        <v>0</v>
      </c>
      <c r="M6896" t="n">
        <v>0</v>
      </c>
      <c r="N6896" t="n">
        <v>0</v>
      </c>
      <c r="O6896" t="n">
        <v>0</v>
      </c>
      <c r="P6896" t="n">
        <v>0</v>
      </c>
      <c r="Q6896" t="n">
        <v>0</v>
      </c>
      <c r="R6896" t="n">
        <v>0</v>
      </c>
      <c r="S6896" t="n">
        <v>0</v>
      </c>
      <c r="T6896" t="n">
        <v>0</v>
      </c>
      <c r="U6896" t="n">
        <v>0</v>
      </c>
      <c r="V6896" s="2" t="inlineStr"/>
    </row>
    <row r="6897" ht="15" customHeight="1">
      <c r="A6897" t="inlineStr">
        <is>
          <t>A 16106-2023</t>
        </is>
      </c>
      <c r="B6897" t="inlineStr">
        <is>
          <t>avverkningsanmälan</t>
        </is>
      </c>
      <c r="C6897" t="inlineStr">
        <is>
          <t>Föryngringsavverkning</t>
        </is>
      </c>
      <c r="D6897" s="1" t="n">
        <v>45027</v>
      </c>
      <c r="E6897" s="1" t="n">
        <v>46326</v>
      </c>
      <c r="F6897" t="inlineStr">
        <is>
          <t>GÄVLEBORGS LÄN</t>
        </is>
      </c>
      <c r="G6897" t="inlineStr">
        <is>
          <t>SÖDERHAMN</t>
        </is>
      </c>
      <c r="I6897" t="n">
        <v>2.2</v>
      </c>
      <c r="J6897" t="n">
        <v>0</v>
      </c>
      <c r="K6897" t="n">
        <v>0</v>
      </c>
      <c r="L6897" t="n">
        <v>0</v>
      </c>
      <c r="M6897" t="n">
        <v>0</v>
      </c>
      <c r="N6897" t="n">
        <v>0</v>
      </c>
      <c r="O6897" t="n">
        <v>0</v>
      </c>
      <c r="P6897" t="n">
        <v>0</v>
      </c>
      <c r="Q6897" t="n">
        <v>0</v>
      </c>
      <c r="R6897" t="n">
        <v>0</v>
      </c>
      <c r="S6897" t="n">
        <v>0</v>
      </c>
      <c r="T6897" t="n">
        <v>0</v>
      </c>
      <c r="U6897" t="n">
        <v>0</v>
      </c>
      <c r="V6897" s="2" t="inlineStr"/>
    </row>
    <row r="6898" ht="15" customHeight="1">
      <c r="A6898" t="inlineStr">
        <is>
          <t>A 2404-2026</t>
        </is>
      </c>
      <c r="B6898" t="inlineStr">
        <is>
          <t>avverkningsanmälan</t>
        </is>
      </c>
      <c r="C6898" t="inlineStr">
        <is>
          <t>Föryngringsavverkning</t>
        </is>
      </c>
      <c r="D6898" s="1" t="n">
        <v>46036</v>
      </c>
      <c r="E6898" s="1" t="n">
        <v>46326</v>
      </c>
      <c r="F6898" t="inlineStr">
        <is>
          <t>GÄVLEBORGS LÄN</t>
        </is>
      </c>
      <c r="G6898" t="inlineStr">
        <is>
          <t>BOLLNÄS</t>
        </is>
      </c>
      <c r="I6898" t="n">
        <v>3.4</v>
      </c>
      <c r="J6898" t="n">
        <v>0</v>
      </c>
      <c r="K6898" t="n">
        <v>0</v>
      </c>
      <c r="L6898" t="n">
        <v>0</v>
      </c>
      <c r="M6898" t="n">
        <v>0</v>
      </c>
      <c r="N6898" t="n">
        <v>0</v>
      </c>
      <c r="O6898" t="n">
        <v>0</v>
      </c>
      <c r="P6898" t="n">
        <v>0</v>
      </c>
      <c r="Q6898" t="n">
        <v>0</v>
      </c>
      <c r="R6898" t="n">
        <v>0</v>
      </c>
      <c r="S6898" t="n">
        <v>0</v>
      </c>
      <c r="T6898" t="n">
        <v>0</v>
      </c>
      <c r="U6898" t="n">
        <v>0</v>
      </c>
      <c r="V6898" s="2" t="inlineStr"/>
    </row>
    <row r="6899" ht="15" customHeight="1">
      <c r="A6899" t="inlineStr">
        <is>
          <t>A 5689-2026</t>
        </is>
      </c>
      <c r="B6899" t="inlineStr">
        <is>
          <t>avverkningsanmälan</t>
        </is>
      </c>
      <c r="C6899" t="inlineStr">
        <is>
          <t>Föryngringsavverkning</t>
        </is>
      </c>
      <c r="D6899" s="1" t="n">
        <v>46051</v>
      </c>
      <c r="E6899" s="1" t="n">
        <v>46326</v>
      </c>
      <c r="F6899" t="inlineStr">
        <is>
          <t>GÄVLEBORGS LÄN</t>
        </is>
      </c>
      <c r="G6899" t="inlineStr">
        <is>
          <t>OVANÅKER</t>
        </is>
      </c>
      <c r="I6899" t="n">
        <v>1.8</v>
      </c>
      <c r="J6899" t="n">
        <v>0</v>
      </c>
      <c r="K6899" t="n">
        <v>0</v>
      </c>
      <c r="L6899" t="n">
        <v>0</v>
      </c>
      <c r="M6899" t="n">
        <v>0</v>
      </c>
      <c r="N6899" t="n">
        <v>0</v>
      </c>
      <c r="O6899" t="n">
        <v>0</v>
      </c>
      <c r="P6899" t="n">
        <v>0</v>
      </c>
      <c r="Q6899" t="n">
        <v>0</v>
      </c>
      <c r="R6899" t="n">
        <v>0</v>
      </c>
      <c r="S6899" t="n">
        <v>0</v>
      </c>
      <c r="T6899" t="n">
        <v>0</v>
      </c>
      <c r="U6899" t="n">
        <v>0</v>
      </c>
      <c r="V6899" s="2" t="inlineStr"/>
    </row>
    <row r="6900" ht="15" customHeight="1">
      <c r="A6900" t="inlineStr">
        <is>
          <t>A 2605-2026</t>
        </is>
      </c>
      <c r="B6900" t="inlineStr">
        <is>
          <t>avverkningsanmälan</t>
        </is>
      </c>
      <c r="C6900" t="inlineStr">
        <is>
          <t>Föryngringsavverkning</t>
        </is>
      </c>
      <c r="D6900" s="1" t="n">
        <v>46037</v>
      </c>
      <c r="E6900" s="1" t="n">
        <v>46326</v>
      </c>
      <c r="F6900" t="inlineStr">
        <is>
          <t>GÄVLEBORGS LÄN</t>
        </is>
      </c>
      <c r="G6900" t="inlineStr">
        <is>
          <t>OVANÅKER</t>
        </is>
      </c>
      <c r="I6900" t="n">
        <v>8.4</v>
      </c>
      <c r="J6900" t="n">
        <v>0</v>
      </c>
      <c r="K6900" t="n">
        <v>0</v>
      </c>
      <c r="L6900" t="n">
        <v>0</v>
      </c>
      <c r="M6900" t="n">
        <v>0</v>
      </c>
      <c r="N6900" t="n">
        <v>0</v>
      </c>
      <c r="O6900" t="n">
        <v>0</v>
      </c>
      <c r="P6900" t="n">
        <v>0</v>
      </c>
      <c r="Q6900" t="n">
        <v>0</v>
      </c>
      <c r="R6900" t="n">
        <v>0</v>
      </c>
      <c r="S6900" t="n">
        <v>0</v>
      </c>
      <c r="T6900" t="n">
        <v>0</v>
      </c>
      <c r="U6900" t="n">
        <v>0</v>
      </c>
      <c r="V6900" s="2" t="inlineStr"/>
    </row>
    <row r="6901" ht="15" customHeight="1">
      <c r="A6901" t="inlineStr">
        <is>
          <t>A 2655-2026</t>
        </is>
      </c>
      <c r="B6901" t="inlineStr">
        <is>
          <t>avverkningsanmälan</t>
        </is>
      </c>
      <c r="C6901" t="inlineStr">
        <is>
          <t>Föryngringsavverkning</t>
        </is>
      </c>
      <c r="D6901" s="1" t="n">
        <v>46037</v>
      </c>
      <c r="E6901" s="1" t="n">
        <v>46326</v>
      </c>
      <c r="F6901" t="inlineStr">
        <is>
          <t>GÄVLEBORGS LÄN</t>
        </is>
      </c>
      <c r="G6901" t="inlineStr">
        <is>
          <t>OVANÅKER</t>
        </is>
      </c>
      <c r="I6901" t="n">
        <v>4.8</v>
      </c>
      <c r="J6901" t="n">
        <v>0</v>
      </c>
      <c r="K6901" t="n">
        <v>0</v>
      </c>
      <c r="L6901" t="n">
        <v>0</v>
      </c>
      <c r="M6901" t="n">
        <v>0</v>
      </c>
      <c r="N6901" t="n">
        <v>0</v>
      </c>
      <c r="O6901" t="n">
        <v>0</v>
      </c>
      <c r="P6901" t="n">
        <v>0</v>
      </c>
      <c r="Q6901" t="n">
        <v>0</v>
      </c>
      <c r="R6901" t="n">
        <v>0</v>
      </c>
      <c r="S6901" t="n">
        <v>0</v>
      </c>
      <c r="T6901" t="n">
        <v>0</v>
      </c>
      <c r="U6901" t="n">
        <v>0</v>
      </c>
      <c r="V6901" s="2" t="inlineStr"/>
    </row>
    <row r="6902" ht="15" customHeight="1">
      <c r="A6902" t="inlineStr">
        <is>
          <t>A 29-2026</t>
        </is>
      </c>
      <c r="B6902" t="inlineStr">
        <is>
          <t>avverkningsanmälan</t>
        </is>
      </c>
      <c r="C6902" t="inlineStr">
        <is>
          <t>Föryngringsavverkning</t>
        </is>
      </c>
      <c r="D6902" s="1" t="n">
        <v>46024</v>
      </c>
      <c r="E6902" s="1" t="n">
        <v>46326</v>
      </c>
      <c r="F6902" t="inlineStr">
        <is>
          <t>GÄVLEBORGS LÄN</t>
        </is>
      </c>
      <c r="G6902" t="inlineStr">
        <is>
          <t>LJUSDAL</t>
        </is>
      </c>
      <c r="I6902" t="n">
        <v>1.7</v>
      </c>
      <c r="J6902" t="n">
        <v>0</v>
      </c>
      <c r="K6902" t="n">
        <v>0</v>
      </c>
      <c r="L6902" t="n">
        <v>0</v>
      </c>
      <c r="M6902" t="n">
        <v>0</v>
      </c>
      <c r="N6902" t="n">
        <v>0</v>
      </c>
      <c r="O6902" t="n">
        <v>0</v>
      </c>
      <c r="P6902" t="n">
        <v>0</v>
      </c>
      <c r="Q6902" t="n">
        <v>0</v>
      </c>
      <c r="R6902" t="n">
        <v>0</v>
      </c>
      <c r="S6902" t="n">
        <v>0</v>
      </c>
      <c r="T6902" t="n">
        <v>0</v>
      </c>
      <c r="U6902" t="n">
        <v>0</v>
      </c>
      <c r="V6902" s="2" t="inlineStr"/>
    </row>
    <row r="6903" ht="15" customHeight="1">
      <c r="A6903" t="inlineStr">
        <is>
          <t>A 3159-2026</t>
        </is>
      </c>
      <c r="B6903" t="inlineStr">
        <is>
          <t>avverkningsanmälan</t>
        </is>
      </c>
      <c r="C6903" t="inlineStr">
        <is>
          <t>Föryngringsavverkning</t>
        </is>
      </c>
      <c r="D6903" s="1" t="n">
        <v>46041</v>
      </c>
      <c r="E6903" s="1" t="n">
        <v>46326</v>
      </c>
      <c r="F6903" t="inlineStr">
        <is>
          <t>GÄVLEBORGS LÄN</t>
        </is>
      </c>
      <c r="G6903" t="inlineStr">
        <is>
          <t>OVANÅKER</t>
        </is>
      </c>
      <c r="I6903" t="n">
        <v>4.3</v>
      </c>
      <c r="J6903" t="n">
        <v>0</v>
      </c>
      <c r="K6903" t="n">
        <v>0</v>
      </c>
      <c r="L6903" t="n">
        <v>0</v>
      </c>
      <c r="M6903" t="n">
        <v>0</v>
      </c>
      <c r="N6903" t="n">
        <v>0</v>
      </c>
      <c r="O6903" t="n">
        <v>0</v>
      </c>
      <c r="P6903" t="n">
        <v>0</v>
      </c>
      <c r="Q6903" t="n">
        <v>0</v>
      </c>
      <c r="R6903" t="n">
        <v>0</v>
      </c>
      <c r="S6903" t="n">
        <v>0</v>
      </c>
      <c r="T6903" t="n">
        <v>0</v>
      </c>
      <c r="U6903" t="n">
        <v>0</v>
      </c>
      <c r="V6903" s="2" t="inlineStr"/>
    </row>
    <row r="6904" ht="15" customHeight="1">
      <c r="A6904" t="inlineStr">
        <is>
          <t>A 2064-2026</t>
        </is>
      </c>
      <c r="B6904" t="inlineStr">
        <is>
          <t>avverkningsanmälan</t>
        </is>
      </c>
      <c r="C6904" t="inlineStr">
        <is>
          <t>Föryngringsavverkning</t>
        </is>
      </c>
      <c r="D6904" s="1" t="n">
        <v>46035</v>
      </c>
      <c r="E6904" s="1" t="n">
        <v>46326</v>
      </c>
      <c r="F6904" t="inlineStr">
        <is>
          <t>GÄVLEBORGS LÄN</t>
        </is>
      </c>
      <c r="G6904" t="inlineStr">
        <is>
          <t>BOLLNÄS</t>
        </is>
      </c>
      <c r="H6904" t="inlineStr">
        <is>
          <t>Bergvik skog väst AB</t>
        </is>
      </c>
      <c r="I6904" t="n">
        <v>22.7</v>
      </c>
      <c r="J6904" t="n">
        <v>0</v>
      </c>
      <c r="K6904" t="n">
        <v>0</v>
      </c>
      <c r="L6904" t="n">
        <v>0</v>
      </c>
      <c r="M6904" t="n">
        <v>0</v>
      </c>
      <c r="N6904" t="n">
        <v>0</v>
      </c>
      <c r="O6904" t="n">
        <v>0</v>
      </c>
      <c r="P6904" t="n">
        <v>0</v>
      </c>
      <c r="Q6904" t="n">
        <v>0</v>
      </c>
      <c r="R6904" t="n">
        <v>0</v>
      </c>
      <c r="S6904" t="n">
        <v>0</v>
      </c>
      <c r="T6904" t="n">
        <v>0</v>
      </c>
      <c r="U6904" t="n">
        <v>0</v>
      </c>
      <c r="V6904" s="2" t="inlineStr"/>
    </row>
    <row r="6905" ht="15" customHeight="1">
      <c r="A6905" t="inlineStr">
        <is>
          <t>A 8916-2026</t>
        </is>
      </c>
      <c r="B6905" t="inlineStr">
        <is>
          <t>avverkningsanmälan</t>
        </is>
      </c>
      <c r="C6905" t="inlineStr">
        <is>
          <t>Föryngringsavverkning</t>
        </is>
      </c>
      <c r="D6905" s="1" t="n">
        <v>46069</v>
      </c>
      <c r="E6905" s="1" t="n">
        <v>46326</v>
      </c>
      <c r="F6905" t="inlineStr">
        <is>
          <t>GÄVLEBORGS LÄN</t>
        </is>
      </c>
      <c r="G6905" t="inlineStr">
        <is>
          <t>BOLLNÄS</t>
        </is>
      </c>
      <c r="I6905" t="n">
        <v>3.4</v>
      </c>
      <c r="J6905" t="n">
        <v>0</v>
      </c>
      <c r="K6905" t="n">
        <v>0</v>
      </c>
      <c r="L6905" t="n">
        <v>0</v>
      </c>
      <c r="M6905" t="n">
        <v>0</v>
      </c>
      <c r="N6905" t="n">
        <v>0</v>
      </c>
      <c r="O6905" t="n">
        <v>0</v>
      </c>
      <c r="P6905" t="n">
        <v>0</v>
      </c>
      <c r="Q6905" t="n">
        <v>0</v>
      </c>
      <c r="R6905" t="n">
        <v>0</v>
      </c>
      <c r="S6905" t="n">
        <v>0</v>
      </c>
      <c r="T6905" t="n">
        <v>0</v>
      </c>
      <c r="U6905" t="n">
        <v>0</v>
      </c>
      <c r="V6905" s="2" t="inlineStr"/>
    </row>
    <row r="6906" ht="15" customHeight="1">
      <c r="A6906" t="inlineStr">
        <is>
          <t>A 6732-2026</t>
        </is>
      </c>
      <c r="B6906" t="inlineStr">
        <is>
          <t>avverkningsanmälan</t>
        </is>
      </c>
      <c r="C6906" t="inlineStr">
        <is>
          <t>Föryngringsavverkning</t>
        </is>
      </c>
      <c r="D6906" s="1" t="n">
        <v>46056</v>
      </c>
      <c r="E6906" s="1" t="n">
        <v>46326</v>
      </c>
      <c r="F6906" t="inlineStr">
        <is>
          <t>GÄVLEBORGS LÄN</t>
        </is>
      </c>
      <c r="G6906" t="inlineStr">
        <is>
          <t>HUDIKSVALL</t>
        </is>
      </c>
      <c r="I6906" t="n">
        <v>3.7</v>
      </c>
      <c r="J6906" t="n">
        <v>0</v>
      </c>
      <c r="K6906" t="n">
        <v>0</v>
      </c>
      <c r="L6906" t="n">
        <v>0</v>
      </c>
      <c r="M6906" t="n">
        <v>0</v>
      </c>
      <c r="N6906" t="n">
        <v>0</v>
      </c>
      <c r="O6906" t="n">
        <v>0</v>
      </c>
      <c r="P6906" t="n">
        <v>0</v>
      </c>
      <c r="Q6906" t="n">
        <v>0</v>
      </c>
      <c r="R6906" t="n">
        <v>0</v>
      </c>
      <c r="S6906" t="n">
        <v>0</v>
      </c>
      <c r="T6906" t="n">
        <v>0</v>
      </c>
      <c r="U6906" t="n">
        <v>0</v>
      </c>
      <c r="V6906" s="2" t="inlineStr"/>
    </row>
    <row r="6907" ht="15" customHeight="1">
      <c r="A6907" t="inlineStr">
        <is>
          <t>A 11026-2026</t>
        </is>
      </c>
      <c r="B6907" t="inlineStr">
        <is>
          <t>avverkningsanmälan</t>
        </is>
      </c>
      <c r="C6907" t="inlineStr">
        <is>
          <t>Föryngringsavverkning</t>
        </is>
      </c>
      <c r="D6907" s="1" t="n">
        <v>46079</v>
      </c>
      <c r="E6907" s="1" t="n">
        <v>46326</v>
      </c>
      <c r="F6907" t="inlineStr">
        <is>
          <t>GÄVLEBORGS LÄN</t>
        </is>
      </c>
      <c r="G6907" t="inlineStr">
        <is>
          <t>OVANÅKER</t>
        </is>
      </c>
      <c r="I6907" t="n">
        <v>1.6</v>
      </c>
      <c r="J6907" t="n">
        <v>0</v>
      </c>
      <c r="K6907" t="n">
        <v>0</v>
      </c>
      <c r="L6907" t="n">
        <v>0</v>
      </c>
      <c r="M6907" t="n">
        <v>0</v>
      </c>
      <c r="N6907" t="n">
        <v>0</v>
      </c>
      <c r="O6907" t="n">
        <v>0</v>
      </c>
      <c r="P6907" t="n">
        <v>0</v>
      </c>
      <c r="Q6907" t="n">
        <v>0</v>
      </c>
      <c r="R6907" t="n">
        <v>0</v>
      </c>
      <c r="S6907" t="n">
        <v>0</v>
      </c>
      <c r="T6907" t="n">
        <v>0</v>
      </c>
      <c r="U6907" t="n">
        <v>0</v>
      </c>
      <c r="V6907" s="2" t="inlineStr"/>
    </row>
    <row r="6908" ht="15" customHeight="1">
      <c r="A6908" t="inlineStr">
        <is>
          <t>A 33945-2024</t>
        </is>
      </c>
      <c r="B6908" t="inlineStr">
        <is>
          <t>avverkningsanmälan</t>
        </is>
      </c>
      <c r="C6908" t="inlineStr">
        <is>
          <t>Föryngringsavverkning</t>
        </is>
      </c>
      <c r="D6908" s="1" t="n">
        <v>45523</v>
      </c>
      <c r="E6908" s="1" t="n">
        <v>46326</v>
      </c>
      <c r="F6908" t="inlineStr">
        <is>
          <t>GÄVLEBORGS LÄN</t>
        </is>
      </c>
      <c r="G6908" t="inlineStr">
        <is>
          <t>OVANÅKER</t>
        </is>
      </c>
      <c r="I6908" t="n">
        <v>1.2</v>
      </c>
      <c r="J6908" t="n">
        <v>0</v>
      </c>
      <c r="K6908" t="n">
        <v>0</v>
      </c>
      <c r="L6908" t="n">
        <v>0</v>
      </c>
      <c r="M6908" t="n">
        <v>0</v>
      </c>
      <c r="N6908" t="n">
        <v>0</v>
      </c>
      <c r="O6908" t="n">
        <v>0</v>
      </c>
      <c r="P6908" t="n">
        <v>0</v>
      </c>
      <c r="Q6908" t="n">
        <v>0</v>
      </c>
      <c r="R6908" t="n">
        <v>0</v>
      </c>
      <c r="S6908" t="n">
        <v>0</v>
      </c>
      <c r="T6908" t="n">
        <v>0</v>
      </c>
      <c r="U6908" t="n">
        <v>0</v>
      </c>
      <c r="V6908" s="2" t="inlineStr"/>
    </row>
    <row r="6909" ht="15" customHeight="1">
      <c r="A6909" t="inlineStr">
        <is>
          <t>A 29777-2025</t>
        </is>
      </c>
      <c r="B6909" t="inlineStr">
        <is>
          <t>avverkningsanmälan</t>
        </is>
      </c>
      <c r="C6909" t="inlineStr">
        <is>
          <t>Föryngringsavverkning</t>
        </is>
      </c>
      <c r="D6909" s="1" t="n">
        <v>45825</v>
      </c>
      <c r="E6909" s="1" t="n">
        <v>46326</v>
      </c>
      <c r="F6909" t="inlineStr">
        <is>
          <t>GÄVLEBORGS LÄN</t>
        </is>
      </c>
      <c r="G6909" t="inlineStr">
        <is>
          <t>BOLLNÄS</t>
        </is>
      </c>
      <c r="I6909" t="n">
        <v>2.7</v>
      </c>
      <c r="J6909" t="n">
        <v>0</v>
      </c>
      <c r="K6909" t="n">
        <v>0</v>
      </c>
      <c r="L6909" t="n">
        <v>0</v>
      </c>
      <c r="M6909" t="n">
        <v>0</v>
      </c>
      <c r="N6909" t="n">
        <v>0</v>
      </c>
      <c r="O6909" t="n">
        <v>0</v>
      </c>
      <c r="P6909" t="n">
        <v>0</v>
      </c>
      <c r="Q6909" t="n">
        <v>0</v>
      </c>
      <c r="R6909" t="n">
        <v>0</v>
      </c>
      <c r="S6909" t="n">
        <v>0</v>
      </c>
      <c r="T6909" t="n">
        <v>0</v>
      </c>
      <c r="U6909" t="n">
        <v>0</v>
      </c>
      <c r="V6909" s="2" t="inlineStr"/>
    </row>
    <row r="6910" ht="15" customHeight="1">
      <c r="A6910" t="inlineStr">
        <is>
          <t>A 4539-2026</t>
        </is>
      </c>
      <c r="B6910" t="inlineStr">
        <is>
          <t>avverkningsanmälan</t>
        </is>
      </c>
      <c r="C6910" t="inlineStr">
        <is>
          <t>Föryngringsavverkning</t>
        </is>
      </c>
      <c r="D6910" s="1" t="n">
        <v>46046</v>
      </c>
      <c r="E6910" s="1" t="n">
        <v>46326</v>
      </c>
      <c r="F6910" t="inlineStr">
        <is>
          <t>GÄVLEBORGS LÄN</t>
        </is>
      </c>
      <c r="G6910" t="inlineStr">
        <is>
          <t>SANDVIKEN</t>
        </is>
      </c>
      <c r="I6910" t="n">
        <v>1</v>
      </c>
      <c r="J6910" t="n">
        <v>0</v>
      </c>
      <c r="K6910" t="n">
        <v>0</v>
      </c>
      <c r="L6910" t="n">
        <v>0</v>
      </c>
      <c r="M6910" t="n">
        <v>0</v>
      </c>
      <c r="N6910" t="n">
        <v>0</v>
      </c>
      <c r="O6910" t="n">
        <v>0</v>
      </c>
      <c r="P6910" t="n">
        <v>0</v>
      </c>
      <c r="Q6910" t="n">
        <v>0</v>
      </c>
      <c r="R6910" t="n">
        <v>0</v>
      </c>
      <c r="S6910" t="n">
        <v>0</v>
      </c>
      <c r="T6910" t="n">
        <v>0</v>
      </c>
      <c r="U6910" t="n">
        <v>0</v>
      </c>
      <c r="V6910" s="2" t="inlineStr"/>
    </row>
    <row r="6911" ht="15" customHeight="1">
      <c r="A6911" t="inlineStr">
        <is>
          <t>A 39850-2023</t>
        </is>
      </c>
      <c r="B6911" t="inlineStr">
        <is>
          <t>avverkningsanmälan</t>
        </is>
      </c>
      <c r="C6911" t="inlineStr">
        <is>
          <t>Föryngringsavverkning</t>
        </is>
      </c>
      <c r="D6911" s="1" t="n">
        <v>45168</v>
      </c>
      <c r="E6911" s="1" t="n">
        <v>46326</v>
      </c>
      <c r="F6911" t="inlineStr">
        <is>
          <t>GÄVLEBORGS LÄN</t>
        </is>
      </c>
      <c r="G6911" t="inlineStr">
        <is>
          <t>OVANÅKER</t>
        </is>
      </c>
      <c r="I6911" t="n">
        <v>1.5</v>
      </c>
      <c r="J6911" t="n">
        <v>0</v>
      </c>
      <c r="K6911" t="n">
        <v>0</v>
      </c>
      <c r="L6911" t="n">
        <v>0</v>
      </c>
      <c r="M6911" t="n">
        <v>0</v>
      </c>
      <c r="N6911" t="n">
        <v>0</v>
      </c>
      <c r="O6911" t="n">
        <v>0</v>
      </c>
      <c r="P6911" t="n">
        <v>0</v>
      </c>
      <c r="Q6911" t="n">
        <v>0</v>
      </c>
      <c r="R6911" t="n">
        <v>0</v>
      </c>
      <c r="S6911" t="n">
        <v>0</v>
      </c>
      <c r="T6911" t="n">
        <v>0</v>
      </c>
      <c r="U6911" t="n">
        <v>0</v>
      </c>
      <c r="V6911" s="2" t="inlineStr"/>
    </row>
    <row r="6912" ht="15" customHeight="1">
      <c r="A6912" t="inlineStr">
        <is>
          <t>A 20219-2026</t>
        </is>
      </c>
      <c r="B6912" t="inlineStr">
        <is>
          <t>avverkningsanmälan</t>
        </is>
      </c>
      <c r="C6912" t="inlineStr">
        <is>
          <t>Föryngringsavverkning</t>
        </is>
      </c>
      <c r="D6912" s="1" t="n">
        <v>46139</v>
      </c>
      <c r="E6912" s="1" t="n">
        <v>46326</v>
      </c>
      <c r="F6912" t="inlineStr">
        <is>
          <t>GÄVLEBORGS LÄN</t>
        </is>
      </c>
      <c r="G6912" t="inlineStr">
        <is>
          <t>BOLLNÄS</t>
        </is>
      </c>
      <c r="H6912" t="inlineStr">
        <is>
          <t>Bergvik skog öst AB</t>
        </is>
      </c>
      <c r="I6912" t="n">
        <v>6</v>
      </c>
      <c r="J6912" t="n">
        <v>0</v>
      </c>
      <c r="K6912" t="n">
        <v>0</v>
      </c>
      <c r="L6912" t="n">
        <v>0</v>
      </c>
      <c r="M6912" t="n">
        <v>0</v>
      </c>
      <c r="N6912" t="n">
        <v>0</v>
      </c>
      <c r="O6912" t="n">
        <v>0</v>
      </c>
      <c r="P6912" t="n">
        <v>0</v>
      </c>
      <c r="Q6912" t="n">
        <v>0</v>
      </c>
      <c r="R6912" t="n">
        <v>0</v>
      </c>
      <c r="S6912" t="n">
        <v>0</v>
      </c>
      <c r="T6912" t="n">
        <v>0</v>
      </c>
      <c r="U6912" t="n">
        <v>0</v>
      </c>
      <c r="V6912" s="2" t="inlineStr"/>
    </row>
    <row r="6913" ht="15" customHeight="1">
      <c r="A6913" t="inlineStr">
        <is>
          <t>A 20283-2026</t>
        </is>
      </c>
      <c r="B6913" t="inlineStr">
        <is>
          <t>avverkningsanmälan</t>
        </is>
      </c>
      <c r="C6913" t="inlineStr">
        <is>
          <t>Föryngringsavverkning</t>
        </is>
      </c>
      <c r="D6913" s="1" t="n">
        <v>46139</v>
      </c>
      <c r="E6913" s="1" t="n">
        <v>46326</v>
      </c>
      <c r="F6913" t="inlineStr">
        <is>
          <t>GÄVLEBORGS LÄN</t>
        </is>
      </c>
      <c r="G6913" t="inlineStr">
        <is>
          <t>BOLLNÄS</t>
        </is>
      </c>
      <c r="I6913" t="n">
        <v>1.2</v>
      </c>
      <c r="J6913" t="n">
        <v>0</v>
      </c>
      <c r="K6913" t="n">
        <v>0</v>
      </c>
      <c r="L6913" t="n">
        <v>0</v>
      </c>
      <c r="M6913" t="n">
        <v>0</v>
      </c>
      <c r="N6913" t="n">
        <v>0</v>
      </c>
      <c r="O6913" t="n">
        <v>0</v>
      </c>
      <c r="P6913" t="n">
        <v>0</v>
      </c>
      <c r="Q6913" t="n">
        <v>0</v>
      </c>
      <c r="R6913" t="n">
        <v>0</v>
      </c>
      <c r="S6913" t="n">
        <v>0</v>
      </c>
      <c r="T6913" t="n">
        <v>0</v>
      </c>
      <c r="U6913" t="n">
        <v>0</v>
      </c>
      <c r="V6913" s="2" t="inlineStr"/>
    </row>
    <row r="6914" ht="15" customHeight="1">
      <c r="A6914" t="inlineStr">
        <is>
          <t>A 20288-2026</t>
        </is>
      </c>
      <c r="B6914" t="inlineStr">
        <is>
          <t>avverkningsanmälan</t>
        </is>
      </c>
      <c r="C6914" t="inlineStr">
        <is>
          <t>Föryngringsavverkning</t>
        </is>
      </c>
      <c r="D6914" s="1" t="n">
        <v>46139</v>
      </c>
      <c r="E6914" s="1" t="n">
        <v>46326</v>
      </c>
      <c r="F6914" t="inlineStr">
        <is>
          <t>GÄVLEBORGS LÄN</t>
        </is>
      </c>
      <c r="G6914" t="inlineStr">
        <is>
          <t>NORDANSTIG</t>
        </is>
      </c>
      <c r="I6914" t="n">
        <v>3.5</v>
      </c>
      <c r="J6914" t="n">
        <v>0</v>
      </c>
      <c r="K6914" t="n">
        <v>0</v>
      </c>
      <c r="L6914" t="n">
        <v>0</v>
      </c>
      <c r="M6914" t="n">
        <v>0</v>
      </c>
      <c r="N6914" t="n">
        <v>0</v>
      </c>
      <c r="O6914" t="n">
        <v>0</v>
      </c>
      <c r="P6914" t="n">
        <v>0</v>
      </c>
      <c r="Q6914" t="n">
        <v>0</v>
      </c>
      <c r="R6914" t="n">
        <v>0</v>
      </c>
      <c r="S6914" t="n">
        <v>0</v>
      </c>
      <c r="T6914" t="n">
        <v>0</v>
      </c>
      <c r="U6914" t="n">
        <v>0</v>
      </c>
      <c r="V6914" s="2" t="inlineStr"/>
    </row>
    <row r="6915" ht="15" customHeight="1">
      <c r="A6915" t="inlineStr">
        <is>
          <t>A 20289-2026</t>
        </is>
      </c>
      <c r="B6915" t="inlineStr">
        <is>
          <t>avverkningsanmälan</t>
        </is>
      </c>
      <c r="C6915" t="inlineStr">
        <is>
          <t>Föryngringsavverkning</t>
        </is>
      </c>
      <c r="D6915" s="1" t="n">
        <v>46139</v>
      </c>
      <c r="E6915" s="1" t="n">
        <v>46326</v>
      </c>
      <c r="F6915" t="inlineStr">
        <is>
          <t>GÄVLEBORGS LÄN</t>
        </is>
      </c>
      <c r="G6915" t="inlineStr">
        <is>
          <t>SÖDERHAMN</t>
        </is>
      </c>
      <c r="I6915" t="n">
        <v>3.6</v>
      </c>
      <c r="J6915" t="n">
        <v>0</v>
      </c>
      <c r="K6915" t="n">
        <v>0</v>
      </c>
      <c r="L6915" t="n">
        <v>0</v>
      </c>
      <c r="M6915" t="n">
        <v>0</v>
      </c>
      <c r="N6915" t="n">
        <v>0</v>
      </c>
      <c r="O6915" t="n">
        <v>0</v>
      </c>
      <c r="P6915" t="n">
        <v>0</v>
      </c>
      <c r="Q6915" t="n">
        <v>0</v>
      </c>
      <c r="R6915" t="n">
        <v>0</v>
      </c>
      <c r="S6915" t="n">
        <v>0</v>
      </c>
      <c r="T6915" t="n">
        <v>0</v>
      </c>
      <c r="U6915" t="n">
        <v>0</v>
      </c>
      <c r="V6915" s="2" t="inlineStr"/>
    </row>
    <row r="6916" ht="15" customHeight="1">
      <c r="A6916" t="inlineStr">
        <is>
          <t>A 20292-2026</t>
        </is>
      </c>
      <c r="B6916" t="inlineStr">
        <is>
          <t>avverkningsanmälan</t>
        </is>
      </c>
      <c r="C6916" t="inlineStr">
        <is>
          <t>Föryngringsavverkning</t>
        </is>
      </c>
      <c r="D6916" s="1" t="n">
        <v>46139</v>
      </c>
      <c r="E6916" s="1" t="n">
        <v>46326</v>
      </c>
      <c r="F6916" t="inlineStr">
        <is>
          <t>GÄVLEBORGS LÄN</t>
        </is>
      </c>
      <c r="G6916" t="inlineStr">
        <is>
          <t>BOLLNÄS</t>
        </is>
      </c>
      <c r="I6916" t="n">
        <v>5.5</v>
      </c>
      <c r="J6916" t="n">
        <v>0</v>
      </c>
      <c r="K6916" t="n">
        <v>0</v>
      </c>
      <c r="L6916" t="n">
        <v>0</v>
      </c>
      <c r="M6916" t="n">
        <v>0</v>
      </c>
      <c r="N6916" t="n">
        <v>0</v>
      </c>
      <c r="O6916" t="n">
        <v>0</v>
      </c>
      <c r="P6916" t="n">
        <v>0</v>
      </c>
      <c r="Q6916" t="n">
        <v>0</v>
      </c>
      <c r="R6916" t="n">
        <v>0</v>
      </c>
      <c r="S6916" t="n">
        <v>0</v>
      </c>
      <c r="T6916" t="n">
        <v>0</v>
      </c>
      <c r="U6916" t="n">
        <v>0</v>
      </c>
      <c r="V6916" s="2" t="inlineStr"/>
    </row>
    <row r="6917" ht="15" customHeight="1">
      <c r="A6917" t="inlineStr">
        <is>
          <t>A 2906-2025</t>
        </is>
      </c>
      <c r="B6917" t="inlineStr">
        <is>
          <t>avverkningsanmälan</t>
        </is>
      </c>
      <c r="C6917" t="inlineStr">
        <is>
          <t>Föryngringsavverkning</t>
        </is>
      </c>
      <c r="D6917" s="1" t="n">
        <v>45677</v>
      </c>
      <c r="E6917" s="1" t="n">
        <v>46326</v>
      </c>
      <c r="F6917" t="inlineStr">
        <is>
          <t>GÄVLEBORGS LÄN</t>
        </is>
      </c>
      <c r="G6917" t="inlineStr">
        <is>
          <t>HUDIKSVALL</t>
        </is>
      </c>
      <c r="H6917" t="inlineStr">
        <is>
          <t>Holmen skog AB</t>
        </is>
      </c>
      <c r="I6917" t="n">
        <v>22.5</v>
      </c>
      <c r="J6917" t="n">
        <v>0</v>
      </c>
      <c r="K6917" t="n">
        <v>0</v>
      </c>
      <c r="L6917" t="n">
        <v>0</v>
      </c>
      <c r="M6917" t="n">
        <v>0</v>
      </c>
      <c r="N6917" t="n">
        <v>0</v>
      </c>
      <c r="O6917" t="n">
        <v>0</v>
      </c>
      <c r="P6917" t="n">
        <v>0</v>
      </c>
      <c r="Q6917" t="n">
        <v>0</v>
      </c>
      <c r="R6917" t="n">
        <v>0</v>
      </c>
      <c r="S6917" t="n">
        <v>0</v>
      </c>
      <c r="T6917" t="n">
        <v>0</v>
      </c>
      <c r="U6917" t="n">
        <v>0</v>
      </c>
      <c r="V6917" s="2" t="inlineStr"/>
    </row>
    <row r="6918" ht="15" customHeight="1">
      <c r="A6918" t="inlineStr">
        <is>
          <t>A 2937-2025</t>
        </is>
      </c>
      <c r="B6918" t="inlineStr">
        <is>
          <t>avverkningsanmälan</t>
        </is>
      </c>
      <c r="C6918" t="inlineStr">
        <is>
          <t>Föryngringsavverkning</t>
        </is>
      </c>
      <c r="D6918" s="1" t="n">
        <v>45678</v>
      </c>
      <c r="E6918" s="1" t="n">
        <v>46326</v>
      </c>
      <c r="F6918" t="inlineStr">
        <is>
          <t>GÄVLEBORGS LÄN</t>
        </is>
      </c>
      <c r="G6918" t="inlineStr">
        <is>
          <t>LJUSDAL</t>
        </is>
      </c>
      <c r="H6918" t="inlineStr">
        <is>
          <t>Holmen skog AB</t>
        </is>
      </c>
      <c r="I6918" t="n">
        <v>20.2</v>
      </c>
      <c r="J6918" t="n">
        <v>0</v>
      </c>
      <c r="K6918" t="n">
        <v>0</v>
      </c>
      <c r="L6918" t="n">
        <v>0</v>
      </c>
      <c r="M6918" t="n">
        <v>0</v>
      </c>
      <c r="N6918" t="n">
        <v>0</v>
      </c>
      <c r="O6918" t="n">
        <v>0</v>
      </c>
      <c r="P6918" t="n">
        <v>0</v>
      </c>
      <c r="Q6918" t="n">
        <v>0</v>
      </c>
      <c r="R6918" t="n">
        <v>0</v>
      </c>
      <c r="S6918" t="n">
        <v>0</v>
      </c>
      <c r="T6918" t="n">
        <v>0</v>
      </c>
      <c r="U6918" t="n">
        <v>0</v>
      </c>
      <c r="V6918" s="2" t="inlineStr"/>
    </row>
    <row r="6919" ht="15" customHeight="1">
      <c r="A6919" t="inlineStr">
        <is>
          <t>A 35782-2023</t>
        </is>
      </c>
      <c r="B6919" t="inlineStr">
        <is>
          <t>avverkningsanmälan</t>
        </is>
      </c>
      <c r="C6919" t="inlineStr">
        <is>
          <t>Föryngringsavverkning</t>
        </is>
      </c>
      <c r="D6919" s="1" t="n">
        <v>45148</v>
      </c>
      <c r="E6919" s="1" t="n">
        <v>46326</v>
      </c>
      <c r="F6919" t="inlineStr">
        <is>
          <t>GÄVLEBORGS LÄN</t>
        </is>
      </c>
      <c r="G6919" t="inlineStr">
        <is>
          <t>LJUSDAL</t>
        </is>
      </c>
      <c r="I6919" t="n">
        <v>3</v>
      </c>
      <c r="J6919" t="n">
        <v>0</v>
      </c>
      <c r="K6919" t="n">
        <v>0</v>
      </c>
      <c r="L6919" t="n">
        <v>0</v>
      </c>
      <c r="M6919" t="n">
        <v>0</v>
      </c>
      <c r="N6919" t="n">
        <v>0</v>
      </c>
      <c r="O6919" t="n">
        <v>0</v>
      </c>
      <c r="P6919" t="n">
        <v>0</v>
      </c>
      <c r="Q6919" t="n">
        <v>0</v>
      </c>
      <c r="R6919" t="n">
        <v>0</v>
      </c>
      <c r="S6919" t="n">
        <v>0</v>
      </c>
      <c r="T6919" t="n">
        <v>0</v>
      </c>
      <c r="U6919" t="n">
        <v>0</v>
      </c>
      <c r="V6919" s="2" t="inlineStr"/>
    </row>
    <row r="6920" ht="15" customHeight="1">
      <c r="A6920" t="inlineStr">
        <is>
          <t>A 23930-2025</t>
        </is>
      </c>
      <c r="B6920" t="inlineStr">
        <is>
          <t>avverkningsanmälan</t>
        </is>
      </c>
      <c r="C6920" t="inlineStr">
        <is>
          <t>Föryngringsavverkning</t>
        </is>
      </c>
      <c r="D6920" s="1" t="n">
        <v>45795</v>
      </c>
      <c r="E6920" s="1" t="n">
        <v>46326</v>
      </c>
      <c r="F6920" t="inlineStr">
        <is>
          <t>GÄVLEBORGS LÄN</t>
        </is>
      </c>
      <c r="G6920" t="inlineStr">
        <is>
          <t>BOLLNÄS</t>
        </is>
      </c>
      <c r="I6920" t="n">
        <v>7.9</v>
      </c>
      <c r="J6920" t="n">
        <v>0</v>
      </c>
      <c r="K6920" t="n">
        <v>0</v>
      </c>
      <c r="L6920" t="n">
        <v>0</v>
      </c>
      <c r="M6920" t="n">
        <v>0</v>
      </c>
      <c r="N6920" t="n">
        <v>0</v>
      </c>
      <c r="O6920" t="n">
        <v>0</v>
      </c>
      <c r="P6920" t="n">
        <v>0</v>
      </c>
      <c r="Q6920" t="n">
        <v>0</v>
      </c>
      <c r="R6920" t="n">
        <v>0</v>
      </c>
      <c r="S6920" t="n">
        <v>0</v>
      </c>
      <c r="T6920" t="n">
        <v>0</v>
      </c>
      <c r="U6920" t="n">
        <v>0</v>
      </c>
      <c r="V6920" s="2" t="inlineStr"/>
    </row>
    <row r="6921" ht="15" customHeight="1">
      <c r="A6921" t="inlineStr">
        <is>
          <t>A 5480-2026</t>
        </is>
      </c>
      <c r="B6921" t="inlineStr">
        <is>
          <t>avverkningsanmälan</t>
        </is>
      </c>
      <c r="C6921" t="inlineStr">
        <is>
          <t>Föryngringsavverkning</t>
        </is>
      </c>
      <c r="D6921" s="1" t="n">
        <v>46050</v>
      </c>
      <c r="E6921" s="1" t="n">
        <v>46326</v>
      </c>
      <c r="F6921" t="inlineStr">
        <is>
          <t>GÄVLEBORGS LÄN</t>
        </is>
      </c>
      <c r="G6921" t="inlineStr">
        <is>
          <t>OVANÅKER</t>
        </is>
      </c>
      <c r="I6921" t="n">
        <v>6.5</v>
      </c>
      <c r="J6921" t="n">
        <v>0</v>
      </c>
      <c r="K6921" t="n">
        <v>0</v>
      </c>
      <c r="L6921" t="n">
        <v>0</v>
      </c>
      <c r="M6921" t="n">
        <v>0</v>
      </c>
      <c r="N6921" t="n">
        <v>0</v>
      </c>
      <c r="O6921" t="n">
        <v>0</v>
      </c>
      <c r="P6921" t="n">
        <v>0</v>
      </c>
      <c r="Q6921" t="n">
        <v>0</v>
      </c>
      <c r="R6921" t="n">
        <v>0</v>
      </c>
      <c r="S6921" t="n">
        <v>0</v>
      </c>
      <c r="T6921" t="n">
        <v>0</v>
      </c>
      <c r="U6921" t="n">
        <v>0</v>
      </c>
      <c r="V6921" s="2" t="inlineStr"/>
    </row>
    <row r="6922" ht="15" customHeight="1">
      <c r="A6922" t="inlineStr">
        <is>
          <t>A 4472-2026</t>
        </is>
      </c>
      <c r="B6922" t="inlineStr">
        <is>
          <t>avverkningsanmälan</t>
        </is>
      </c>
      <c r="C6922" t="inlineStr">
        <is>
          <t>Föryngringsavverkning</t>
        </is>
      </c>
      <c r="D6922" s="1" t="n">
        <v>46045</v>
      </c>
      <c r="E6922" s="1" t="n">
        <v>46326</v>
      </c>
      <c r="F6922" t="inlineStr">
        <is>
          <t>GÄVLEBORGS LÄN</t>
        </is>
      </c>
      <c r="G6922" t="inlineStr">
        <is>
          <t>OVANÅKER</t>
        </is>
      </c>
      <c r="I6922" t="n">
        <v>1.9</v>
      </c>
      <c r="J6922" t="n">
        <v>0</v>
      </c>
      <c r="K6922" t="n">
        <v>0</v>
      </c>
      <c r="L6922" t="n">
        <v>0</v>
      </c>
      <c r="M6922" t="n">
        <v>0</v>
      </c>
      <c r="N6922" t="n">
        <v>0</v>
      </c>
      <c r="O6922" t="n">
        <v>0</v>
      </c>
      <c r="P6922" t="n">
        <v>0</v>
      </c>
      <c r="Q6922" t="n">
        <v>0</v>
      </c>
      <c r="R6922" t="n">
        <v>0</v>
      </c>
      <c r="S6922" t="n">
        <v>0</v>
      </c>
      <c r="T6922" t="n">
        <v>0</v>
      </c>
      <c r="U6922" t="n">
        <v>0</v>
      </c>
      <c r="V6922" s="2" t="inlineStr"/>
    </row>
    <row r="6923" ht="15" customHeight="1">
      <c r="A6923" t="inlineStr">
        <is>
          <t>A 4584-2026</t>
        </is>
      </c>
      <c r="B6923" t="inlineStr">
        <is>
          <t>avverkningsanmälan</t>
        </is>
      </c>
      <c r="C6923" t="inlineStr">
        <is>
          <t>Föryngringsavverkning</t>
        </is>
      </c>
      <c r="D6923" s="1" t="n">
        <v>46048</v>
      </c>
      <c r="E6923" s="1" t="n">
        <v>46326</v>
      </c>
      <c r="F6923" t="inlineStr">
        <is>
          <t>GÄVLEBORGS LÄN</t>
        </is>
      </c>
      <c r="G6923" t="inlineStr">
        <is>
          <t>NORDANSTIG</t>
        </is>
      </c>
      <c r="H6923" t="inlineStr">
        <is>
          <t>Holmen skog AB</t>
        </is>
      </c>
      <c r="I6923" t="n">
        <v>2.3</v>
      </c>
      <c r="J6923" t="n">
        <v>0</v>
      </c>
      <c r="K6923" t="n">
        <v>0</v>
      </c>
      <c r="L6923" t="n">
        <v>0</v>
      </c>
      <c r="M6923" t="n">
        <v>0</v>
      </c>
      <c r="N6923" t="n">
        <v>0</v>
      </c>
      <c r="O6923" t="n">
        <v>0</v>
      </c>
      <c r="P6923" t="n">
        <v>0</v>
      </c>
      <c r="Q6923" t="n">
        <v>0</v>
      </c>
      <c r="R6923" t="n">
        <v>0</v>
      </c>
      <c r="S6923" t="n">
        <v>0</v>
      </c>
      <c r="T6923" t="n">
        <v>0</v>
      </c>
      <c r="U6923" t="n">
        <v>0</v>
      </c>
      <c r="V6923" s="2" t="inlineStr"/>
    </row>
    <row r="6924" ht="15" customHeight="1">
      <c r="A6924" t="inlineStr">
        <is>
          <t>A 50582-2023</t>
        </is>
      </c>
      <c r="B6924" t="inlineStr">
        <is>
          <t>avverkningsanmälan</t>
        </is>
      </c>
      <c r="C6924" t="inlineStr">
        <is>
          <t>Föryngringsavverkning</t>
        </is>
      </c>
      <c r="D6924" s="1" t="n">
        <v>45217</v>
      </c>
      <c r="E6924" s="1" t="n">
        <v>46326</v>
      </c>
      <c r="F6924" t="inlineStr">
        <is>
          <t>GÄVLEBORGS LÄN</t>
        </is>
      </c>
      <c r="G6924" t="inlineStr">
        <is>
          <t>GÄVLE</t>
        </is>
      </c>
      <c r="I6924" t="n">
        <v>1.8</v>
      </c>
      <c r="J6924" t="n">
        <v>0</v>
      </c>
      <c r="K6924" t="n">
        <v>0</v>
      </c>
      <c r="L6924" t="n">
        <v>0</v>
      </c>
      <c r="M6924" t="n">
        <v>0</v>
      </c>
      <c r="N6924" t="n">
        <v>0</v>
      </c>
      <c r="O6924" t="n">
        <v>0</v>
      </c>
      <c r="P6924" t="n">
        <v>0</v>
      </c>
      <c r="Q6924" t="n">
        <v>0</v>
      </c>
      <c r="R6924" t="n">
        <v>0</v>
      </c>
      <c r="S6924" t="n">
        <v>0</v>
      </c>
      <c r="T6924" t="n">
        <v>0</v>
      </c>
      <c r="U6924" t="n">
        <v>0</v>
      </c>
      <c r="V6924" s="2" t="inlineStr"/>
    </row>
    <row r="6925" ht="15" customHeight="1">
      <c r="A6925" t="inlineStr">
        <is>
          <t>A 63977-2025</t>
        </is>
      </c>
      <c r="B6925" t="inlineStr">
        <is>
          <t>avverkningsanmälan</t>
        </is>
      </c>
      <c r="C6925" t="inlineStr">
        <is>
          <t>Föryngringsavverkning</t>
        </is>
      </c>
      <c r="D6925" s="1" t="n">
        <v>46021</v>
      </c>
      <c r="E6925" s="1" t="n">
        <v>46326</v>
      </c>
      <c r="F6925" t="inlineStr">
        <is>
          <t>GÄVLEBORGS LÄN</t>
        </is>
      </c>
      <c r="G6925" t="inlineStr">
        <is>
          <t>OCKELBO</t>
        </is>
      </c>
      <c r="I6925" t="n">
        <v>18</v>
      </c>
      <c r="J6925" t="n">
        <v>0</v>
      </c>
      <c r="K6925" t="n">
        <v>0</v>
      </c>
      <c r="L6925" t="n">
        <v>0</v>
      </c>
      <c r="M6925" t="n">
        <v>0</v>
      </c>
      <c r="N6925" t="n">
        <v>0</v>
      </c>
      <c r="O6925" t="n">
        <v>0</v>
      </c>
      <c r="P6925" t="n">
        <v>0</v>
      </c>
      <c r="Q6925" t="n">
        <v>0</v>
      </c>
      <c r="R6925" t="n">
        <v>0</v>
      </c>
      <c r="S6925" t="n">
        <v>0</v>
      </c>
      <c r="T6925" t="n">
        <v>0</v>
      </c>
      <c r="U6925" t="n">
        <v>0</v>
      </c>
      <c r="V6925" s="2" t="inlineStr"/>
    </row>
    <row r="6926" ht="15" customHeight="1">
      <c r="A6926" t="inlineStr">
        <is>
          <t>A 62196-2023</t>
        </is>
      </c>
      <c r="B6926" t="inlineStr">
        <is>
          <t>avverkningsanmälan</t>
        </is>
      </c>
      <c r="C6926" t="inlineStr">
        <is>
          <t>Föryngringsavverkning</t>
        </is>
      </c>
      <c r="D6926" s="1" t="n">
        <v>45267</v>
      </c>
      <c r="E6926" s="1" t="n">
        <v>46326</v>
      </c>
      <c r="F6926" t="inlineStr">
        <is>
          <t>GÄVLEBORGS LÄN</t>
        </is>
      </c>
      <c r="G6926" t="inlineStr">
        <is>
          <t>OVANÅKER</t>
        </is>
      </c>
      <c r="I6926" t="n">
        <v>0.7</v>
      </c>
      <c r="J6926" t="n">
        <v>0</v>
      </c>
      <c r="K6926" t="n">
        <v>0</v>
      </c>
      <c r="L6926" t="n">
        <v>0</v>
      </c>
      <c r="M6926" t="n">
        <v>0</v>
      </c>
      <c r="N6926" t="n">
        <v>0</v>
      </c>
      <c r="O6926" t="n">
        <v>0</v>
      </c>
      <c r="P6926" t="n">
        <v>0</v>
      </c>
      <c r="Q6926" t="n">
        <v>0</v>
      </c>
      <c r="R6926" t="n">
        <v>0</v>
      </c>
      <c r="S6926" t="n">
        <v>0</v>
      </c>
      <c r="T6926" t="n">
        <v>0</v>
      </c>
      <c r="U6926" t="n">
        <v>0</v>
      </c>
      <c r="V6926" s="2" t="inlineStr"/>
    </row>
    <row r="6927" ht="15" customHeight="1">
      <c r="A6927" t="inlineStr">
        <is>
          <t>A 33086-2022</t>
        </is>
      </c>
      <c r="B6927" t="inlineStr">
        <is>
          <t>avverkningsanmälan</t>
        </is>
      </c>
      <c r="C6927" t="inlineStr">
        <is>
          <t>Föryngringsavverkning</t>
        </is>
      </c>
      <c r="D6927" s="1" t="n">
        <v>44785</v>
      </c>
      <c r="E6927" s="1" t="n">
        <v>46326</v>
      </c>
      <c r="F6927" t="inlineStr">
        <is>
          <t>GÄVLEBORGS LÄN</t>
        </is>
      </c>
      <c r="G6927" t="inlineStr">
        <is>
          <t>BOLLNÄS</t>
        </is>
      </c>
      <c r="I6927" t="n">
        <v>0.9</v>
      </c>
      <c r="J6927" t="n">
        <v>0</v>
      </c>
      <c r="K6927" t="n">
        <v>0</v>
      </c>
      <c r="L6927" t="n">
        <v>0</v>
      </c>
      <c r="M6927" t="n">
        <v>0</v>
      </c>
      <c r="N6927" t="n">
        <v>0</v>
      </c>
      <c r="O6927" t="n">
        <v>0</v>
      </c>
      <c r="P6927" t="n">
        <v>0</v>
      </c>
      <c r="Q6927" t="n">
        <v>0</v>
      </c>
      <c r="R6927" t="n">
        <v>0</v>
      </c>
      <c r="S6927" t="n">
        <v>0</v>
      </c>
      <c r="T6927" t="n">
        <v>0</v>
      </c>
      <c r="U6927" t="n">
        <v>0</v>
      </c>
      <c r="V6927" s="2" t="inlineStr"/>
    </row>
    <row r="6928" ht="15" customHeight="1">
      <c r="A6928" t="inlineStr">
        <is>
          <t>A 9833-2026</t>
        </is>
      </c>
      <c r="B6928" t="inlineStr">
        <is>
          <t>avverkningsanmälan</t>
        </is>
      </c>
      <c r="C6928" t="inlineStr">
        <is>
          <t>Föryngringsavverkning</t>
        </is>
      </c>
      <c r="D6928" s="1" t="n">
        <v>46072</v>
      </c>
      <c r="E6928" s="1" t="n">
        <v>46326</v>
      </c>
      <c r="F6928" t="inlineStr">
        <is>
          <t>GÄVLEBORGS LÄN</t>
        </is>
      </c>
      <c r="G6928" t="inlineStr">
        <is>
          <t>LJUSDAL</t>
        </is>
      </c>
      <c r="I6928" t="n">
        <v>1.6</v>
      </c>
      <c r="J6928" t="n">
        <v>0</v>
      </c>
      <c r="K6928" t="n">
        <v>0</v>
      </c>
      <c r="L6928" t="n">
        <v>0</v>
      </c>
      <c r="M6928" t="n">
        <v>0</v>
      </c>
      <c r="N6928" t="n">
        <v>0</v>
      </c>
      <c r="O6928" t="n">
        <v>0</v>
      </c>
      <c r="P6928" t="n">
        <v>0</v>
      </c>
      <c r="Q6928" t="n">
        <v>0</v>
      </c>
      <c r="R6928" t="n">
        <v>0</v>
      </c>
      <c r="S6928" t="n">
        <v>0</v>
      </c>
      <c r="T6928" t="n">
        <v>0</v>
      </c>
      <c r="U6928" t="n">
        <v>0</v>
      </c>
      <c r="V6928" s="2" t="inlineStr"/>
    </row>
    <row r="6929" ht="15" customHeight="1">
      <c r="A6929" t="inlineStr">
        <is>
          <t>A 44281-2022</t>
        </is>
      </c>
      <c r="B6929" t="inlineStr">
        <is>
          <t>avverkningsanmälan</t>
        </is>
      </c>
      <c r="C6929" t="inlineStr">
        <is>
          <t>Föryngringsavverkning</t>
        </is>
      </c>
      <c r="D6929" s="1" t="n">
        <v>44839</v>
      </c>
      <c r="E6929" s="1" t="n">
        <v>46326</v>
      </c>
      <c r="F6929" t="inlineStr">
        <is>
          <t>GÄVLEBORGS LÄN</t>
        </is>
      </c>
      <c r="G6929" t="inlineStr">
        <is>
          <t>OCKELBO</t>
        </is>
      </c>
      <c r="H6929" t="inlineStr">
        <is>
          <t>Bergvik skog väst AB</t>
        </is>
      </c>
      <c r="I6929" t="n">
        <v>3.2</v>
      </c>
      <c r="J6929" t="n">
        <v>0</v>
      </c>
      <c r="K6929" t="n">
        <v>0</v>
      </c>
      <c r="L6929" t="n">
        <v>0</v>
      </c>
      <c r="M6929" t="n">
        <v>0</v>
      </c>
      <c r="N6929" t="n">
        <v>0</v>
      </c>
      <c r="O6929" t="n">
        <v>0</v>
      </c>
      <c r="P6929" t="n">
        <v>0</v>
      </c>
      <c r="Q6929" t="n">
        <v>0</v>
      </c>
      <c r="R6929" t="n">
        <v>0</v>
      </c>
      <c r="S6929" t="n">
        <v>0</v>
      </c>
      <c r="T6929" t="n">
        <v>0</v>
      </c>
      <c r="U6929" t="n">
        <v>0</v>
      </c>
      <c r="V6929" s="2" t="inlineStr"/>
    </row>
    <row r="6930" ht="15" customHeight="1">
      <c r="A6930" t="inlineStr">
        <is>
          <t>A 39232-2025</t>
        </is>
      </c>
      <c r="B6930" t="inlineStr">
        <is>
          <t>avverkningsanmälan</t>
        </is>
      </c>
      <c r="C6930" t="inlineStr">
        <is>
          <t>Föryngringsavverkning</t>
        </is>
      </c>
      <c r="D6930" s="1" t="n">
        <v>45889</v>
      </c>
      <c r="E6930" s="1" t="n">
        <v>46326</v>
      </c>
      <c r="F6930" t="inlineStr">
        <is>
          <t>GÄVLEBORGS LÄN</t>
        </is>
      </c>
      <c r="G6930" t="inlineStr">
        <is>
          <t>HUDIKSVALL</t>
        </is>
      </c>
      <c r="I6930" t="n">
        <v>2</v>
      </c>
      <c r="J6930" t="n">
        <v>0</v>
      </c>
      <c r="K6930" t="n">
        <v>0</v>
      </c>
      <c r="L6930" t="n">
        <v>0</v>
      </c>
      <c r="M6930" t="n">
        <v>0</v>
      </c>
      <c r="N6930" t="n">
        <v>0</v>
      </c>
      <c r="O6930" t="n">
        <v>0</v>
      </c>
      <c r="P6930" t="n">
        <v>0</v>
      </c>
      <c r="Q6930" t="n">
        <v>0</v>
      </c>
      <c r="R6930" t="n">
        <v>0</v>
      </c>
      <c r="S6930" t="n">
        <v>0</v>
      </c>
      <c r="T6930" t="n">
        <v>0</v>
      </c>
      <c r="U6930" t="n">
        <v>0</v>
      </c>
      <c r="V6930" s="2" t="inlineStr"/>
    </row>
    <row r="6931" ht="15" customHeight="1">
      <c r="A6931" t="inlineStr">
        <is>
          <t>A 40745-2024</t>
        </is>
      </c>
      <c r="B6931" t="inlineStr">
        <is>
          <t>avverkningsanmälan</t>
        </is>
      </c>
      <c r="C6931" t="inlineStr">
        <is>
          <t>Föryngringsavverkning</t>
        </is>
      </c>
      <c r="D6931" s="1" t="n">
        <v>45558</v>
      </c>
      <c r="E6931" s="1" t="n">
        <v>46326</v>
      </c>
      <c r="F6931" t="inlineStr">
        <is>
          <t>GÄVLEBORGS LÄN</t>
        </is>
      </c>
      <c r="G6931" t="inlineStr">
        <is>
          <t>SANDVIKEN</t>
        </is>
      </c>
      <c r="I6931" t="n">
        <v>1.9</v>
      </c>
      <c r="J6931" t="n">
        <v>0</v>
      </c>
      <c r="K6931" t="n">
        <v>0</v>
      </c>
      <c r="L6931" t="n">
        <v>0</v>
      </c>
      <c r="M6931" t="n">
        <v>0</v>
      </c>
      <c r="N6931" t="n">
        <v>0</v>
      </c>
      <c r="O6931" t="n">
        <v>0</v>
      </c>
      <c r="P6931" t="n">
        <v>0</v>
      </c>
      <c r="Q6931" t="n">
        <v>0</v>
      </c>
      <c r="R6931" t="n">
        <v>0</v>
      </c>
      <c r="S6931" t="n">
        <v>0</v>
      </c>
      <c r="T6931" t="n">
        <v>0</v>
      </c>
      <c r="U6931" t="n">
        <v>0</v>
      </c>
      <c r="V6931" s="2" t="inlineStr"/>
    </row>
    <row r="6932" ht="15" customHeight="1">
      <c r="A6932" t="inlineStr">
        <is>
          <t>A 20180-2026</t>
        </is>
      </c>
      <c r="B6932" t="inlineStr">
        <is>
          <t>avverkningsanmälan</t>
        </is>
      </c>
      <c r="C6932" t="inlineStr">
        <is>
          <t>Föryngringsavverkning</t>
        </is>
      </c>
      <c r="D6932" s="1" t="n">
        <v>46139</v>
      </c>
      <c r="E6932" s="1" t="n">
        <v>46326</v>
      </c>
      <c r="F6932" t="inlineStr">
        <is>
          <t>GÄVLEBORGS LÄN</t>
        </is>
      </c>
      <c r="G6932" t="inlineStr">
        <is>
          <t>BOLLNÄS</t>
        </is>
      </c>
      <c r="I6932" t="n">
        <v>0.4</v>
      </c>
      <c r="J6932" t="n">
        <v>0</v>
      </c>
      <c r="K6932" t="n">
        <v>0</v>
      </c>
      <c r="L6932" t="n">
        <v>0</v>
      </c>
      <c r="M6932" t="n">
        <v>0</v>
      </c>
      <c r="N6932" t="n">
        <v>0</v>
      </c>
      <c r="O6932" t="n">
        <v>0</v>
      </c>
      <c r="P6932" t="n">
        <v>0</v>
      </c>
      <c r="Q6932" t="n">
        <v>0</v>
      </c>
      <c r="R6932" t="n">
        <v>0</v>
      </c>
      <c r="S6932" t="n">
        <v>0</v>
      </c>
      <c r="T6932" t="n">
        <v>0</v>
      </c>
      <c r="U6932" t="n">
        <v>0</v>
      </c>
      <c r="V6932" s="2" t="inlineStr"/>
    </row>
    <row r="6933" ht="15" customHeight="1">
      <c r="A6933" t="inlineStr">
        <is>
          <t>A 20236-2026</t>
        </is>
      </c>
      <c r="B6933" t="inlineStr">
        <is>
          <t>avverkningsanmälan</t>
        </is>
      </c>
      <c r="C6933" t="inlineStr">
        <is>
          <t>Föryngringsavverkning</t>
        </is>
      </c>
      <c r="D6933" s="1" t="n">
        <v>46139</v>
      </c>
      <c r="E6933" s="1" t="n">
        <v>46326</v>
      </c>
      <c r="F6933" t="inlineStr">
        <is>
          <t>GÄVLEBORGS LÄN</t>
        </is>
      </c>
      <c r="G6933" t="inlineStr">
        <is>
          <t>BOLLNÄS</t>
        </is>
      </c>
      <c r="I6933" t="n">
        <v>1.4</v>
      </c>
      <c r="J6933" t="n">
        <v>0</v>
      </c>
      <c r="K6933" t="n">
        <v>0</v>
      </c>
      <c r="L6933" t="n">
        <v>0</v>
      </c>
      <c r="M6933" t="n">
        <v>0</v>
      </c>
      <c r="N6933" t="n">
        <v>0</v>
      </c>
      <c r="O6933" t="n">
        <v>0</v>
      </c>
      <c r="P6933" t="n">
        <v>0</v>
      </c>
      <c r="Q6933" t="n">
        <v>0</v>
      </c>
      <c r="R6933" t="n">
        <v>0</v>
      </c>
      <c r="S6933" t="n">
        <v>0</v>
      </c>
      <c r="T6933" t="n">
        <v>0</v>
      </c>
      <c r="U6933" t="n">
        <v>0</v>
      </c>
      <c r="V6933" s="2" t="inlineStr"/>
    </row>
    <row r="6934" ht="15" customHeight="1">
      <c r="A6934" t="inlineStr">
        <is>
          <t>A 20251-2026</t>
        </is>
      </c>
      <c r="B6934" t="inlineStr">
        <is>
          <t>avverkningsanmälan</t>
        </is>
      </c>
      <c r="C6934" t="inlineStr">
        <is>
          <t>Föryngringsavverkning</t>
        </is>
      </c>
      <c r="D6934" s="1" t="n">
        <v>46139</v>
      </c>
      <c r="E6934" s="1" t="n">
        <v>46326</v>
      </c>
      <c r="F6934" t="inlineStr">
        <is>
          <t>GÄVLEBORGS LÄN</t>
        </is>
      </c>
      <c r="G6934" t="inlineStr">
        <is>
          <t>OCKELBO</t>
        </is>
      </c>
      <c r="H6934" t="inlineStr">
        <is>
          <t>Bergvik skog väst AB</t>
        </is>
      </c>
      <c r="I6934" t="n">
        <v>1.5</v>
      </c>
      <c r="J6934" t="n">
        <v>0</v>
      </c>
      <c r="K6934" t="n">
        <v>0</v>
      </c>
      <c r="L6934" t="n">
        <v>0</v>
      </c>
      <c r="M6934" t="n">
        <v>0</v>
      </c>
      <c r="N6934" t="n">
        <v>0</v>
      </c>
      <c r="O6934" t="n">
        <v>0</v>
      </c>
      <c r="P6934" t="n">
        <v>0</v>
      </c>
      <c r="Q6934" t="n">
        <v>0</v>
      </c>
      <c r="R6934" t="n">
        <v>0</v>
      </c>
      <c r="S6934" t="n">
        <v>0</v>
      </c>
      <c r="T6934" t="n">
        <v>0</v>
      </c>
      <c r="U6934" t="n">
        <v>0</v>
      </c>
      <c r="V6934" s="2" t="inlineStr"/>
    </row>
    <row r="6935" ht="15" customHeight="1">
      <c r="A6935" t="inlineStr">
        <is>
          <t>A 10373-2026</t>
        </is>
      </c>
      <c r="B6935" t="inlineStr">
        <is>
          <t>avverkningsanmälan</t>
        </is>
      </c>
      <c r="C6935" t="inlineStr">
        <is>
          <t>Föryngringsavverkning</t>
        </is>
      </c>
      <c r="D6935" s="1" t="n">
        <v>46076</v>
      </c>
      <c r="E6935" s="1" t="n">
        <v>46326</v>
      </c>
      <c r="F6935" t="inlineStr">
        <is>
          <t>GÄVLEBORGS LÄN</t>
        </is>
      </c>
      <c r="G6935" t="inlineStr">
        <is>
          <t>HUDIKSVALL</t>
        </is>
      </c>
      <c r="H6935" t="inlineStr">
        <is>
          <t>Holmen skog AB</t>
        </is>
      </c>
      <c r="I6935" t="n">
        <v>1.6</v>
      </c>
      <c r="J6935" t="n">
        <v>0</v>
      </c>
      <c r="K6935" t="n">
        <v>0</v>
      </c>
      <c r="L6935" t="n">
        <v>0</v>
      </c>
      <c r="M6935" t="n">
        <v>0</v>
      </c>
      <c r="N6935" t="n">
        <v>0</v>
      </c>
      <c r="O6935" t="n">
        <v>0</v>
      </c>
      <c r="P6935" t="n">
        <v>0</v>
      </c>
      <c r="Q6935" t="n">
        <v>0</v>
      </c>
      <c r="R6935" t="n">
        <v>0</v>
      </c>
      <c r="S6935" t="n">
        <v>0</v>
      </c>
      <c r="T6935" t="n">
        <v>0</v>
      </c>
      <c r="U6935" t="n">
        <v>0</v>
      </c>
      <c r="V6935" s="2" t="inlineStr"/>
    </row>
    <row r="6936" ht="15" customHeight="1">
      <c r="A6936" t="inlineStr">
        <is>
          <t>A 20267-2026</t>
        </is>
      </c>
      <c r="B6936" t="inlineStr">
        <is>
          <t>avverkningsanmälan</t>
        </is>
      </c>
      <c r="C6936" t="inlineStr">
        <is>
          <t>Föryngringsavverkning</t>
        </is>
      </c>
      <c r="D6936" s="1" t="n">
        <v>46139</v>
      </c>
      <c r="E6936" s="1" t="n">
        <v>46326</v>
      </c>
      <c r="F6936" t="inlineStr">
        <is>
          <t>GÄVLEBORGS LÄN</t>
        </is>
      </c>
      <c r="G6936" t="inlineStr">
        <is>
          <t>OVANÅKER</t>
        </is>
      </c>
      <c r="I6936" t="n">
        <v>0.9</v>
      </c>
      <c r="J6936" t="n">
        <v>0</v>
      </c>
      <c r="K6936" t="n">
        <v>0</v>
      </c>
      <c r="L6936" t="n">
        <v>0</v>
      </c>
      <c r="M6936" t="n">
        <v>0</v>
      </c>
      <c r="N6936" t="n">
        <v>0</v>
      </c>
      <c r="O6936" t="n">
        <v>0</v>
      </c>
      <c r="P6936" t="n">
        <v>0</v>
      </c>
      <c r="Q6936" t="n">
        <v>0</v>
      </c>
      <c r="R6936" t="n">
        <v>0</v>
      </c>
      <c r="S6936" t="n">
        <v>0</v>
      </c>
      <c r="T6936" t="n">
        <v>0</v>
      </c>
      <c r="U6936" t="n">
        <v>0</v>
      </c>
      <c r="V6936" s="2" t="inlineStr"/>
    </row>
    <row r="6937" ht="15" customHeight="1">
      <c r="A6937" t="inlineStr">
        <is>
          <t>A 20019-2026</t>
        </is>
      </c>
      <c r="B6937" t="inlineStr">
        <is>
          <t>avverkningsanmälan</t>
        </is>
      </c>
      <c r="C6937" t="inlineStr">
        <is>
          <t>Föryngringsavverkning</t>
        </is>
      </c>
      <c r="D6937" s="1" t="n">
        <v>46136</v>
      </c>
      <c r="E6937" s="1" t="n">
        <v>46326</v>
      </c>
      <c r="F6937" t="inlineStr">
        <is>
          <t>GÄVLEBORGS LÄN</t>
        </is>
      </c>
      <c r="G6937" t="inlineStr">
        <is>
          <t>NORDANSTIG</t>
        </is>
      </c>
      <c r="I6937" t="n">
        <v>2.8</v>
      </c>
      <c r="J6937" t="n">
        <v>0</v>
      </c>
      <c r="K6937" t="n">
        <v>0</v>
      </c>
      <c r="L6937" t="n">
        <v>0</v>
      </c>
      <c r="M6937" t="n">
        <v>0</v>
      </c>
      <c r="N6937" t="n">
        <v>0</v>
      </c>
      <c r="O6937" t="n">
        <v>0</v>
      </c>
      <c r="P6937" t="n">
        <v>0</v>
      </c>
      <c r="Q6937" t="n">
        <v>0</v>
      </c>
      <c r="R6937" t="n">
        <v>0</v>
      </c>
      <c r="S6937" t="n">
        <v>0</v>
      </c>
      <c r="T6937" t="n">
        <v>0</v>
      </c>
      <c r="U6937" t="n">
        <v>0</v>
      </c>
      <c r="V6937" s="2" t="inlineStr"/>
    </row>
    <row r="6938" ht="15" customHeight="1">
      <c r="A6938" t="inlineStr">
        <is>
          <t>A 9026-2023</t>
        </is>
      </c>
      <c r="B6938" t="inlineStr">
        <is>
          <t>avverkningsanmälan</t>
        </is>
      </c>
      <c r="C6938" t="inlineStr">
        <is>
          <t>Föryngringsavverkning</t>
        </is>
      </c>
      <c r="D6938" s="1" t="n">
        <v>44979</v>
      </c>
      <c r="E6938" s="1" t="n">
        <v>46326</v>
      </c>
      <c r="F6938" t="inlineStr">
        <is>
          <t>GÄVLEBORGS LÄN</t>
        </is>
      </c>
      <c r="G6938" t="inlineStr">
        <is>
          <t>HUDIKSVALL</t>
        </is>
      </c>
      <c r="H6938" t="inlineStr">
        <is>
          <t>Holmen skog AB</t>
        </is>
      </c>
      <c r="I6938" t="n">
        <v>10</v>
      </c>
      <c r="J6938" t="n">
        <v>0</v>
      </c>
      <c r="K6938" t="n">
        <v>0</v>
      </c>
      <c r="L6938" t="n">
        <v>0</v>
      </c>
      <c r="M6938" t="n">
        <v>0</v>
      </c>
      <c r="N6938" t="n">
        <v>0</v>
      </c>
      <c r="O6938" t="n">
        <v>0</v>
      </c>
      <c r="P6938" t="n">
        <v>0</v>
      </c>
      <c r="Q6938" t="n">
        <v>0</v>
      </c>
      <c r="R6938" t="n">
        <v>0</v>
      </c>
      <c r="S6938" t="n">
        <v>0</v>
      </c>
      <c r="T6938" t="n">
        <v>0</v>
      </c>
      <c r="U6938" t="n">
        <v>0</v>
      </c>
      <c r="V6938" s="2" t="inlineStr"/>
    </row>
    <row r="6939" ht="15" customHeight="1">
      <c r="A6939" t="inlineStr">
        <is>
          <t>A 50900-2024</t>
        </is>
      </c>
      <c r="B6939" t="inlineStr">
        <is>
          <t>avverkningsanmälan</t>
        </is>
      </c>
      <c r="C6939" t="inlineStr">
        <is>
          <t>Föryngringsavverkning</t>
        </is>
      </c>
      <c r="D6939" s="1" t="n">
        <v>45602</v>
      </c>
      <c r="E6939" s="1" t="n">
        <v>46326</v>
      </c>
      <c r="F6939" t="inlineStr">
        <is>
          <t>GÄVLEBORGS LÄN</t>
        </is>
      </c>
      <c r="G6939" t="inlineStr">
        <is>
          <t>SANDVIKEN</t>
        </is>
      </c>
      <c r="I6939" t="n">
        <v>2.7</v>
      </c>
      <c r="J6939" t="n">
        <v>0</v>
      </c>
      <c r="K6939" t="n">
        <v>0</v>
      </c>
      <c r="L6939" t="n">
        <v>0</v>
      </c>
      <c r="M6939" t="n">
        <v>0</v>
      </c>
      <c r="N6939" t="n">
        <v>0</v>
      </c>
      <c r="O6939" t="n">
        <v>0</v>
      </c>
      <c r="P6939" t="n">
        <v>0</v>
      </c>
      <c r="Q6939" t="n">
        <v>0</v>
      </c>
      <c r="R6939" t="n">
        <v>0</v>
      </c>
      <c r="S6939" t="n">
        <v>0</v>
      </c>
      <c r="T6939" t="n">
        <v>0</v>
      </c>
      <c r="U6939" t="n">
        <v>0</v>
      </c>
      <c r="V6939" s="2" t="inlineStr"/>
    </row>
    <row r="6940" ht="15" customHeight="1">
      <c r="A6940" t="inlineStr">
        <is>
          <t>A 9235-2022</t>
        </is>
      </c>
      <c r="B6940" t="inlineStr">
        <is>
          <t>avverkningsanmälan</t>
        </is>
      </c>
      <c r="C6940" t="inlineStr">
        <is>
          <t>Föryngringsavverkning</t>
        </is>
      </c>
      <c r="D6940" s="1" t="n">
        <v>44616</v>
      </c>
      <c r="E6940" s="1" t="n">
        <v>46326</v>
      </c>
      <c r="F6940" t="inlineStr">
        <is>
          <t>GÄVLEBORGS LÄN</t>
        </is>
      </c>
      <c r="G6940" t="inlineStr">
        <is>
          <t>GÄVLE</t>
        </is>
      </c>
      <c r="I6940" t="n">
        <v>4.2</v>
      </c>
      <c r="J6940" t="n">
        <v>0</v>
      </c>
      <c r="K6940" t="n">
        <v>0</v>
      </c>
      <c r="L6940" t="n">
        <v>0</v>
      </c>
      <c r="M6940" t="n">
        <v>0</v>
      </c>
      <c r="N6940" t="n">
        <v>0</v>
      </c>
      <c r="O6940" t="n">
        <v>0</v>
      </c>
      <c r="P6940" t="n">
        <v>0</v>
      </c>
      <c r="Q6940" t="n">
        <v>0</v>
      </c>
      <c r="R6940" t="n">
        <v>0</v>
      </c>
      <c r="S6940" t="n">
        <v>0</v>
      </c>
      <c r="T6940" t="n">
        <v>0</v>
      </c>
      <c r="U6940" t="n">
        <v>0</v>
      </c>
      <c r="V6940" s="2" t="inlineStr"/>
    </row>
    <row r="6941" ht="15" customHeight="1">
      <c r="A6941" t="inlineStr">
        <is>
          <t>A 9025-2026</t>
        </is>
      </c>
      <c r="B6941" t="inlineStr">
        <is>
          <t>avverkningsanmälan</t>
        </is>
      </c>
      <c r="C6941" t="inlineStr">
        <is>
          <t>Föryngringsavverkning</t>
        </is>
      </c>
      <c r="D6941" s="1" t="n">
        <v>46069</v>
      </c>
      <c r="E6941" s="1" t="n">
        <v>46326</v>
      </c>
      <c r="F6941" t="inlineStr">
        <is>
          <t>GÄVLEBORGS LÄN</t>
        </is>
      </c>
      <c r="G6941" t="inlineStr">
        <is>
          <t>GÄVLE</t>
        </is>
      </c>
      <c r="I6941" t="n">
        <v>12.7</v>
      </c>
      <c r="J6941" t="n">
        <v>0</v>
      </c>
      <c r="K6941" t="n">
        <v>0</v>
      </c>
      <c r="L6941" t="n">
        <v>0</v>
      </c>
      <c r="M6941" t="n">
        <v>0</v>
      </c>
      <c r="N6941" t="n">
        <v>0</v>
      </c>
      <c r="O6941" t="n">
        <v>0</v>
      </c>
      <c r="P6941" t="n">
        <v>0</v>
      </c>
      <c r="Q6941" t="n">
        <v>0</v>
      </c>
      <c r="R6941" t="n">
        <v>0</v>
      </c>
      <c r="S6941" t="n">
        <v>0</v>
      </c>
      <c r="T6941" t="n">
        <v>0</v>
      </c>
      <c r="U6941" t="n">
        <v>0</v>
      </c>
      <c r="V6941" s="2" t="inlineStr"/>
    </row>
    <row r="6942" ht="15" customHeight="1">
      <c r="A6942" t="inlineStr">
        <is>
          <t>A 58040-2025</t>
        </is>
      </c>
      <c r="B6942" t="inlineStr">
        <is>
          <t>avverkningsanmälan</t>
        </is>
      </c>
      <c r="C6942" t="inlineStr">
        <is>
          <t>Föryngringsavverkning</t>
        </is>
      </c>
      <c r="D6942" s="1" t="n">
        <v>45982</v>
      </c>
      <c r="E6942" s="1" t="n">
        <v>46326</v>
      </c>
      <c r="F6942" t="inlineStr">
        <is>
          <t>GÄVLEBORGS LÄN</t>
        </is>
      </c>
      <c r="G6942" t="inlineStr">
        <is>
          <t>HUDIKSVALL</t>
        </is>
      </c>
      <c r="I6942" t="n">
        <v>2.7</v>
      </c>
      <c r="J6942" t="n">
        <v>0</v>
      </c>
      <c r="K6942" t="n">
        <v>0</v>
      </c>
      <c r="L6942" t="n">
        <v>0</v>
      </c>
      <c r="M6942" t="n">
        <v>0</v>
      </c>
      <c r="N6942" t="n">
        <v>0</v>
      </c>
      <c r="O6942" t="n">
        <v>0</v>
      </c>
      <c r="P6942" t="n">
        <v>0</v>
      </c>
      <c r="Q6942" t="n">
        <v>0</v>
      </c>
      <c r="R6942" t="n">
        <v>0</v>
      </c>
      <c r="S6942" t="n">
        <v>0</v>
      </c>
      <c r="T6942" t="n">
        <v>0</v>
      </c>
      <c r="U6942" t="n">
        <v>0</v>
      </c>
      <c r="V6942" s="2" t="inlineStr"/>
    </row>
    <row r="6943" ht="15" customHeight="1">
      <c r="A6943" t="inlineStr">
        <is>
          <t>A 15739-2026</t>
        </is>
      </c>
      <c r="B6943" t="inlineStr">
        <is>
          <t>avverkningsanmälan</t>
        </is>
      </c>
      <c r="C6943" t="inlineStr">
        <is>
          <t>Föryngringsavverkning</t>
        </is>
      </c>
      <c r="D6943" s="1" t="n">
        <v>46107</v>
      </c>
      <c r="E6943" s="1" t="n">
        <v>46326</v>
      </c>
      <c r="F6943" t="inlineStr">
        <is>
          <t>GÄVLEBORGS LÄN</t>
        </is>
      </c>
      <c r="G6943" t="inlineStr">
        <is>
          <t>OCKELBO</t>
        </is>
      </c>
      <c r="H6943" t="inlineStr">
        <is>
          <t>Bergvik skog väst AB</t>
        </is>
      </c>
      <c r="I6943" t="n">
        <v>20.4</v>
      </c>
      <c r="J6943" t="n">
        <v>0</v>
      </c>
      <c r="K6943" t="n">
        <v>0</v>
      </c>
      <c r="L6943" t="n">
        <v>0</v>
      </c>
      <c r="M6943" t="n">
        <v>0</v>
      </c>
      <c r="N6943" t="n">
        <v>0</v>
      </c>
      <c r="O6943" t="n">
        <v>0</v>
      </c>
      <c r="P6943" t="n">
        <v>0</v>
      </c>
      <c r="Q6943" t="n">
        <v>0</v>
      </c>
      <c r="R6943" t="n">
        <v>0</v>
      </c>
      <c r="S6943" t="n">
        <v>0</v>
      </c>
      <c r="T6943" t="n">
        <v>0</v>
      </c>
      <c r="U6943" t="n">
        <v>0</v>
      </c>
      <c r="V6943" s="2" t="inlineStr"/>
    </row>
    <row r="6944" ht="15" customHeight="1">
      <c r="A6944" t="inlineStr">
        <is>
          <t>A 8595-2023</t>
        </is>
      </c>
      <c r="B6944" t="inlineStr">
        <is>
          <t>avverkningsanmälan</t>
        </is>
      </c>
      <c r="C6944" t="inlineStr">
        <is>
          <t>Föryngringsavverkning</t>
        </is>
      </c>
      <c r="D6944" s="1" t="n">
        <v>44977</v>
      </c>
      <c r="E6944" s="1" t="n">
        <v>46326</v>
      </c>
      <c r="F6944" t="inlineStr">
        <is>
          <t>GÄVLEBORGS LÄN</t>
        </is>
      </c>
      <c r="G6944" t="inlineStr">
        <is>
          <t>HUDIKSVALL</t>
        </is>
      </c>
      <c r="I6944" t="n">
        <v>0.4</v>
      </c>
      <c r="J6944" t="n">
        <v>0</v>
      </c>
      <c r="K6944" t="n">
        <v>0</v>
      </c>
      <c r="L6944" t="n">
        <v>0</v>
      </c>
      <c r="M6944" t="n">
        <v>0</v>
      </c>
      <c r="N6944" t="n">
        <v>0</v>
      </c>
      <c r="O6944" t="n">
        <v>0</v>
      </c>
      <c r="P6944" t="n">
        <v>0</v>
      </c>
      <c r="Q6944" t="n">
        <v>0</v>
      </c>
      <c r="R6944" t="n">
        <v>0</v>
      </c>
      <c r="S6944" t="n">
        <v>0</v>
      </c>
      <c r="T6944" t="n">
        <v>0</v>
      </c>
      <c r="U6944" t="n">
        <v>0</v>
      </c>
      <c r="V6944" s="2" t="inlineStr"/>
    </row>
    <row r="6945" ht="15" customHeight="1">
      <c r="A6945" t="inlineStr">
        <is>
          <t>A 19066-2025</t>
        </is>
      </c>
      <c r="B6945" t="inlineStr">
        <is>
          <t>avverkningsanmälan</t>
        </is>
      </c>
      <c r="C6945" t="inlineStr">
        <is>
          <t>Föryngringsavverkning</t>
        </is>
      </c>
      <c r="D6945" s="1" t="n">
        <v>45765</v>
      </c>
      <c r="E6945" s="1" t="n">
        <v>46326</v>
      </c>
      <c r="F6945" t="inlineStr">
        <is>
          <t>GÄVLEBORGS LÄN</t>
        </is>
      </c>
      <c r="G6945" t="inlineStr">
        <is>
          <t>LJUSDAL</t>
        </is>
      </c>
      <c r="H6945" t="inlineStr">
        <is>
          <t>SCA</t>
        </is>
      </c>
      <c r="I6945" t="n">
        <v>3.5</v>
      </c>
      <c r="J6945" t="n">
        <v>0</v>
      </c>
      <c r="K6945" t="n">
        <v>0</v>
      </c>
      <c r="L6945" t="n">
        <v>0</v>
      </c>
      <c r="M6945" t="n">
        <v>0</v>
      </c>
      <c r="N6945" t="n">
        <v>0</v>
      </c>
      <c r="O6945" t="n">
        <v>0</v>
      </c>
      <c r="P6945" t="n">
        <v>0</v>
      </c>
      <c r="Q6945" t="n">
        <v>0</v>
      </c>
      <c r="R6945" t="n">
        <v>0</v>
      </c>
      <c r="S6945" t="n">
        <v>0</v>
      </c>
      <c r="T6945" t="n">
        <v>0</v>
      </c>
      <c r="U6945" t="n">
        <v>0</v>
      </c>
      <c r="V6945" s="2" t="inlineStr"/>
    </row>
    <row r="6946" ht="15" customHeight="1">
      <c r="A6946" t="inlineStr">
        <is>
          <t>A 37978-2025</t>
        </is>
      </c>
      <c r="B6946" t="inlineStr">
        <is>
          <t>avverkningsanmälan</t>
        </is>
      </c>
      <c r="C6946" t="inlineStr">
        <is>
          <t>Föryngringsavverkning</t>
        </is>
      </c>
      <c r="D6946" s="1" t="n">
        <v>45881</v>
      </c>
      <c r="E6946" s="1" t="n">
        <v>46326</v>
      </c>
      <c r="F6946" t="inlineStr">
        <is>
          <t>GÄVLEBORGS LÄN</t>
        </is>
      </c>
      <c r="G6946" t="inlineStr">
        <is>
          <t>LJUSDAL</t>
        </is>
      </c>
      <c r="I6946" t="n">
        <v>1.7</v>
      </c>
      <c r="J6946" t="n">
        <v>0</v>
      </c>
      <c r="K6946" t="n">
        <v>0</v>
      </c>
      <c r="L6946" t="n">
        <v>0</v>
      </c>
      <c r="M6946" t="n">
        <v>0</v>
      </c>
      <c r="N6946" t="n">
        <v>0</v>
      </c>
      <c r="O6946" t="n">
        <v>0</v>
      </c>
      <c r="P6946" t="n">
        <v>0</v>
      </c>
      <c r="Q6946" t="n">
        <v>0</v>
      </c>
      <c r="R6946" t="n">
        <v>0</v>
      </c>
      <c r="S6946" t="n">
        <v>0</v>
      </c>
      <c r="T6946" t="n">
        <v>0</v>
      </c>
      <c r="U6946" t="n">
        <v>0</v>
      </c>
      <c r="V6946" s="2" t="inlineStr"/>
    </row>
    <row r="6947" ht="15" customHeight="1">
      <c r="A6947" t="inlineStr">
        <is>
          <t>A 37983-2025</t>
        </is>
      </c>
      <c r="B6947" t="inlineStr">
        <is>
          <t>avverkningsanmälan</t>
        </is>
      </c>
      <c r="C6947" t="inlineStr">
        <is>
          <t>Föryngringsavverkning</t>
        </is>
      </c>
      <c r="D6947" s="1" t="n">
        <v>45881</v>
      </c>
      <c r="E6947" s="1" t="n">
        <v>46326</v>
      </c>
      <c r="F6947" t="inlineStr">
        <is>
          <t>GÄVLEBORGS LÄN</t>
        </is>
      </c>
      <c r="G6947" t="inlineStr">
        <is>
          <t>BOLLNÄS</t>
        </is>
      </c>
      <c r="I6947" t="n">
        <v>7.5</v>
      </c>
      <c r="J6947" t="n">
        <v>0</v>
      </c>
      <c r="K6947" t="n">
        <v>0</v>
      </c>
      <c r="L6947" t="n">
        <v>0</v>
      </c>
      <c r="M6947" t="n">
        <v>0</v>
      </c>
      <c r="N6947" t="n">
        <v>0</v>
      </c>
      <c r="O6947" t="n">
        <v>0</v>
      </c>
      <c r="P6947" t="n">
        <v>0</v>
      </c>
      <c r="Q6947" t="n">
        <v>0</v>
      </c>
      <c r="R6947" t="n">
        <v>0</v>
      </c>
      <c r="S6947" t="n">
        <v>0</v>
      </c>
      <c r="T6947" t="n">
        <v>0</v>
      </c>
      <c r="U6947" t="n">
        <v>0</v>
      </c>
      <c r="V6947" s="2" t="inlineStr"/>
    </row>
    <row r="6948" ht="15" customHeight="1">
      <c r="A6948" t="inlineStr">
        <is>
          <t>A 11277-2026</t>
        </is>
      </c>
      <c r="B6948" t="inlineStr">
        <is>
          <t>avverkningsanmälan</t>
        </is>
      </c>
      <c r="C6948" t="inlineStr">
        <is>
          <t>Föryngringsavverkning</t>
        </is>
      </c>
      <c r="D6948" s="1" t="n">
        <v>46080</v>
      </c>
      <c r="E6948" s="1" t="n">
        <v>46326</v>
      </c>
      <c r="F6948" t="inlineStr">
        <is>
          <t>GÄVLEBORGS LÄN</t>
        </is>
      </c>
      <c r="G6948" t="inlineStr">
        <is>
          <t>HOFORS</t>
        </is>
      </c>
      <c r="H6948" t="inlineStr">
        <is>
          <t>Sveaskog</t>
        </is>
      </c>
      <c r="I6948" t="n">
        <v>2.1</v>
      </c>
      <c r="J6948" t="n">
        <v>0</v>
      </c>
      <c r="K6948" t="n">
        <v>0</v>
      </c>
      <c r="L6948" t="n">
        <v>0</v>
      </c>
      <c r="M6948" t="n">
        <v>0</v>
      </c>
      <c r="N6948" t="n">
        <v>0</v>
      </c>
      <c r="O6948" t="n">
        <v>0</v>
      </c>
      <c r="P6948" t="n">
        <v>0</v>
      </c>
      <c r="Q6948" t="n">
        <v>0</v>
      </c>
      <c r="R6948" t="n">
        <v>0</v>
      </c>
      <c r="S6948" t="n">
        <v>0</v>
      </c>
      <c r="T6948" t="n">
        <v>0</v>
      </c>
      <c r="U6948" t="n">
        <v>0</v>
      </c>
      <c r="V6948" s="2" t="inlineStr"/>
    </row>
    <row r="6949" ht="15" customHeight="1">
      <c r="A6949" t="inlineStr">
        <is>
          <t>A 20016-2026</t>
        </is>
      </c>
      <c r="B6949" t="inlineStr">
        <is>
          <t>avverkningsanmälan</t>
        </is>
      </c>
      <c r="C6949" t="inlineStr">
        <is>
          <t>Föryngringsavverkning</t>
        </is>
      </c>
      <c r="D6949" s="1" t="n">
        <v>46136</v>
      </c>
      <c r="E6949" s="1" t="n">
        <v>46326</v>
      </c>
      <c r="F6949" t="inlineStr">
        <is>
          <t>GÄVLEBORGS LÄN</t>
        </is>
      </c>
      <c r="G6949" t="inlineStr">
        <is>
          <t>HUDIKSVALL</t>
        </is>
      </c>
      <c r="H6949" t="inlineStr">
        <is>
          <t>Holmen skog AB</t>
        </is>
      </c>
      <c r="I6949" t="n">
        <v>25</v>
      </c>
      <c r="J6949" t="n">
        <v>0</v>
      </c>
      <c r="K6949" t="n">
        <v>0</v>
      </c>
      <c r="L6949" t="n">
        <v>0</v>
      </c>
      <c r="M6949" t="n">
        <v>0</v>
      </c>
      <c r="N6949" t="n">
        <v>0</v>
      </c>
      <c r="O6949" t="n">
        <v>0</v>
      </c>
      <c r="P6949" t="n">
        <v>0</v>
      </c>
      <c r="Q6949" t="n">
        <v>0</v>
      </c>
      <c r="R6949" t="n">
        <v>0</v>
      </c>
      <c r="S6949" t="n">
        <v>0</v>
      </c>
      <c r="T6949" t="n">
        <v>0</v>
      </c>
      <c r="U6949" t="n">
        <v>0</v>
      </c>
      <c r="V6949" s="2" t="inlineStr"/>
    </row>
    <row r="6950" ht="15" customHeight="1">
      <c r="A6950" t="inlineStr">
        <is>
          <t>A 26456-2023</t>
        </is>
      </c>
      <c r="B6950" t="inlineStr">
        <is>
          <t>avverkningsanmälan</t>
        </is>
      </c>
      <c r="C6950" t="inlineStr">
        <is>
          <t>Föryngringsavverkning</t>
        </is>
      </c>
      <c r="D6950" s="1" t="n">
        <v>45092</v>
      </c>
      <c r="E6950" s="1" t="n">
        <v>46326</v>
      </c>
      <c r="F6950" t="inlineStr">
        <is>
          <t>GÄVLEBORGS LÄN</t>
        </is>
      </c>
      <c r="G6950" t="inlineStr">
        <is>
          <t>HUDIKSVALL</t>
        </is>
      </c>
      <c r="I6950" t="n">
        <v>0.6</v>
      </c>
      <c r="J6950" t="n">
        <v>0</v>
      </c>
      <c r="K6950" t="n">
        <v>0</v>
      </c>
      <c r="L6950" t="n">
        <v>0</v>
      </c>
      <c r="M6950" t="n">
        <v>0</v>
      </c>
      <c r="N6950" t="n">
        <v>0</v>
      </c>
      <c r="O6950" t="n">
        <v>0</v>
      </c>
      <c r="P6950" t="n">
        <v>0</v>
      </c>
      <c r="Q6950" t="n">
        <v>0</v>
      </c>
      <c r="R6950" t="n">
        <v>0</v>
      </c>
      <c r="S6950" t="n">
        <v>0</v>
      </c>
      <c r="T6950" t="n">
        <v>0</v>
      </c>
      <c r="U6950" t="n">
        <v>0</v>
      </c>
      <c r="V6950" s="2" t="inlineStr"/>
    </row>
    <row r="6951" ht="15" customHeight="1">
      <c r="A6951" t="inlineStr">
        <is>
          <t>A 2053-2026</t>
        </is>
      </c>
      <c r="B6951" t="inlineStr">
        <is>
          <t>avverkningsanmälan</t>
        </is>
      </c>
      <c r="C6951" t="inlineStr">
        <is>
          <t>Föryngringsavverkning</t>
        </is>
      </c>
      <c r="D6951" s="1" t="n">
        <v>46031</v>
      </c>
      <c r="E6951" s="1" t="n">
        <v>46326</v>
      </c>
      <c r="F6951" t="inlineStr">
        <is>
          <t>GÄVLEBORGS LÄN</t>
        </is>
      </c>
      <c r="G6951" t="inlineStr">
        <is>
          <t>OVANÅKER</t>
        </is>
      </c>
      <c r="I6951" t="n">
        <v>6.1</v>
      </c>
      <c r="J6951" t="n">
        <v>0</v>
      </c>
      <c r="K6951" t="n">
        <v>0</v>
      </c>
      <c r="L6951" t="n">
        <v>0</v>
      </c>
      <c r="M6951" t="n">
        <v>0</v>
      </c>
      <c r="N6951" t="n">
        <v>0</v>
      </c>
      <c r="O6951" t="n">
        <v>0</v>
      </c>
      <c r="P6951" t="n">
        <v>0</v>
      </c>
      <c r="Q6951" t="n">
        <v>0</v>
      </c>
      <c r="R6951" t="n">
        <v>0</v>
      </c>
      <c r="S6951" t="n">
        <v>0</v>
      </c>
      <c r="T6951" t="n">
        <v>0</v>
      </c>
      <c r="U6951" t="n">
        <v>0</v>
      </c>
      <c r="V6951" s="2" t="inlineStr"/>
    </row>
    <row r="6952" ht="15" customHeight="1">
      <c r="A6952" t="inlineStr">
        <is>
          <t>A 14796-2023</t>
        </is>
      </c>
      <c r="B6952" t="inlineStr">
        <is>
          <t>avverkningsanmälan</t>
        </is>
      </c>
      <c r="C6952" t="inlineStr">
        <is>
          <t>Föryngringsavverkning</t>
        </is>
      </c>
      <c r="D6952" s="1" t="n">
        <v>45014</v>
      </c>
      <c r="E6952" s="1" t="n">
        <v>46326</v>
      </c>
      <c r="F6952" t="inlineStr">
        <is>
          <t>GÄVLEBORGS LÄN</t>
        </is>
      </c>
      <c r="G6952" t="inlineStr">
        <is>
          <t>HUDIKSVALL</t>
        </is>
      </c>
      <c r="H6952" t="inlineStr">
        <is>
          <t>Holmen skog AB</t>
        </is>
      </c>
      <c r="I6952" t="n">
        <v>10.4</v>
      </c>
      <c r="J6952" t="n">
        <v>0</v>
      </c>
      <c r="K6952" t="n">
        <v>0</v>
      </c>
      <c r="L6952" t="n">
        <v>0</v>
      </c>
      <c r="M6952" t="n">
        <v>0</v>
      </c>
      <c r="N6952" t="n">
        <v>0</v>
      </c>
      <c r="O6952" t="n">
        <v>0</v>
      </c>
      <c r="P6952" t="n">
        <v>0</v>
      </c>
      <c r="Q6952" t="n">
        <v>0</v>
      </c>
      <c r="R6952" t="n">
        <v>0</v>
      </c>
      <c r="S6952" t="n">
        <v>0</v>
      </c>
      <c r="T6952" t="n">
        <v>0</v>
      </c>
      <c r="U6952" t="n">
        <v>0</v>
      </c>
      <c r="V6952" s="2" t="inlineStr"/>
    </row>
    <row r="6953" ht="15" customHeight="1">
      <c r="A6953" t="inlineStr">
        <is>
          <t>A 7576-2026</t>
        </is>
      </c>
      <c r="B6953" t="inlineStr">
        <is>
          <t>avverkningsanmälan</t>
        </is>
      </c>
      <c r="C6953" t="inlineStr">
        <is>
          <t>Föryngringsavverkning</t>
        </is>
      </c>
      <c r="D6953" s="1" t="n">
        <v>46061</v>
      </c>
      <c r="E6953" s="1" t="n">
        <v>46326</v>
      </c>
      <c r="F6953" t="inlineStr">
        <is>
          <t>GÄVLEBORGS LÄN</t>
        </is>
      </c>
      <c r="G6953" t="inlineStr">
        <is>
          <t>BOLLNÄS</t>
        </is>
      </c>
      <c r="I6953" t="n">
        <v>1</v>
      </c>
      <c r="J6953" t="n">
        <v>0</v>
      </c>
      <c r="K6953" t="n">
        <v>0</v>
      </c>
      <c r="L6953" t="n">
        <v>0</v>
      </c>
      <c r="M6953" t="n">
        <v>0</v>
      </c>
      <c r="N6953" t="n">
        <v>0</v>
      </c>
      <c r="O6953" t="n">
        <v>0</v>
      </c>
      <c r="P6953" t="n">
        <v>0</v>
      </c>
      <c r="Q6953" t="n">
        <v>0</v>
      </c>
      <c r="R6953" t="n">
        <v>0</v>
      </c>
      <c r="S6953" t="n">
        <v>0</v>
      </c>
      <c r="T6953" t="n">
        <v>0</v>
      </c>
      <c r="U6953" t="n">
        <v>0</v>
      </c>
      <c r="V6953" s="2" t="inlineStr"/>
    </row>
    <row r="6954" ht="15" customHeight="1">
      <c r="A6954" t="inlineStr">
        <is>
          <t>A 3764-2026</t>
        </is>
      </c>
      <c r="B6954" t="inlineStr">
        <is>
          <t>avverkningsanmälan</t>
        </is>
      </c>
      <c r="C6954" t="inlineStr">
        <is>
          <t>Föryngringsavverkning</t>
        </is>
      </c>
      <c r="D6954" s="1" t="n">
        <v>46043</v>
      </c>
      <c r="E6954" s="1" t="n">
        <v>46326</v>
      </c>
      <c r="F6954" t="inlineStr">
        <is>
          <t>GÄVLEBORGS LÄN</t>
        </is>
      </c>
      <c r="G6954" t="inlineStr">
        <is>
          <t>NORDANSTIG</t>
        </is>
      </c>
      <c r="I6954" t="n">
        <v>1</v>
      </c>
      <c r="J6954" t="n">
        <v>0</v>
      </c>
      <c r="K6954" t="n">
        <v>0</v>
      </c>
      <c r="L6954" t="n">
        <v>0</v>
      </c>
      <c r="M6954" t="n">
        <v>0</v>
      </c>
      <c r="N6954" t="n">
        <v>0</v>
      </c>
      <c r="O6954" t="n">
        <v>0</v>
      </c>
      <c r="P6954" t="n">
        <v>0</v>
      </c>
      <c r="Q6954" t="n">
        <v>0</v>
      </c>
      <c r="R6954" t="n">
        <v>0</v>
      </c>
      <c r="S6954" t="n">
        <v>0</v>
      </c>
      <c r="T6954" t="n">
        <v>0</v>
      </c>
      <c r="U6954" t="n">
        <v>0</v>
      </c>
      <c r="V6954" s="2" t="inlineStr"/>
    </row>
    <row r="6955" ht="15" customHeight="1">
      <c r="A6955" t="inlineStr">
        <is>
          <t>A 2643-2026</t>
        </is>
      </c>
      <c r="B6955" t="inlineStr">
        <is>
          <t>avverkningsanmälan</t>
        </is>
      </c>
      <c r="C6955" t="inlineStr">
        <is>
          <t>Föryngringsavverkning</t>
        </is>
      </c>
      <c r="D6955" s="1" t="n">
        <v>46037</v>
      </c>
      <c r="E6955" s="1" t="n">
        <v>46326</v>
      </c>
      <c r="F6955" t="inlineStr">
        <is>
          <t>GÄVLEBORGS LÄN</t>
        </is>
      </c>
      <c r="G6955" t="inlineStr">
        <is>
          <t>BOLLNÄS</t>
        </is>
      </c>
      <c r="I6955" t="n">
        <v>4.2</v>
      </c>
      <c r="J6955" t="n">
        <v>0</v>
      </c>
      <c r="K6955" t="n">
        <v>0</v>
      </c>
      <c r="L6955" t="n">
        <v>0</v>
      </c>
      <c r="M6955" t="n">
        <v>0</v>
      </c>
      <c r="N6955" t="n">
        <v>0</v>
      </c>
      <c r="O6955" t="n">
        <v>0</v>
      </c>
      <c r="P6955" t="n">
        <v>0</v>
      </c>
      <c r="Q6955" t="n">
        <v>0</v>
      </c>
      <c r="R6955" t="n">
        <v>0</v>
      </c>
      <c r="S6955" t="n">
        <v>0</v>
      </c>
      <c r="T6955" t="n">
        <v>0</v>
      </c>
      <c r="U6955" t="n">
        <v>0</v>
      </c>
      <c r="V6955" s="2" t="inlineStr"/>
    </row>
    <row r="6956" ht="15" customHeight="1">
      <c r="A6956" t="inlineStr">
        <is>
          <t>A 53082-2022</t>
        </is>
      </c>
      <c r="B6956" t="inlineStr">
        <is>
          <t>avverkningsanmälan</t>
        </is>
      </c>
      <c r="C6956" t="inlineStr">
        <is>
          <t>Föryngringsavverkning</t>
        </is>
      </c>
      <c r="D6956" s="1" t="n">
        <v>44876</v>
      </c>
      <c r="E6956" s="1" t="n">
        <v>46326</v>
      </c>
      <c r="F6956" t="inlineStr">
        <is>
          <t>GÄVLEBORGS LÄN</t>
        </is>
      </c>
      <c r="G6956" t="inlineStr">
        <is>
          <t>GÄVLE</t>
        </is>
      </c>
      <c r="I6956" t="n">
        <v>4.1</v>
      </c>
      <c r="J6956" t="n">
        <v>0</v>
      </c>
      <c r="K6956" t="n">
        <v>0</v>
      </c>
      <c r="L6956" t="n">
        <v>0</v>
      </c>
      <c r="M6956" t="n">
        <v>0</v>
      </c>
      <c r="N6956" t="n">
        <v>0</v>
      </c>
      <c r="O6956" t="n">
        <v>0</v>
      </c>
      <c r="P6956" t="n">
        <v>0</v>
      </c>
      <c r="Q6956" t="n">
        <v>0</v>
      </c>
      <c r="R6956" t="n">
        <v>0</v>
      </c>
      <c r="S6956" t="n">
        <v>0</v>
      </c>
      <c r="T6956" t="n">
        <v>0</v>
      </c>
      <c r="U6956" t="n">
        <v>0</v>
      </c>
      <c r="V6956" s="2" t="inlineStr"/>
    </row>
    <row r="6957" ht="15" customHeight="1">
      <c r="A6957" t="inlineStr">
        <is>
          <t>A 8008-2026</t>
        </is>
      </c>
      <c r="B6957" t="inlineStr">
        <is>
          <t>avverkningsanmälan</t>
        </is>
      </c>
      <c r="C6957" t="inlineStr">
        <is>
          <t>Föryngringsavverkning</t>
        </is>
      </c>
      <c r="D6957" s="1" t="n">
        <v>46063</v>
      </c>
      <c r="E6957" s="1" t="n">
        <v>46326</v>
      </c>
      <c r="F6957" t="inlineStr">
        <is>
          <t>GÄVLEBORGS LÄN</t>
        </is>
      </c>
      <c r="G6957" t="inlineStr">
        <is>
          <t>BOLLNÄS</t>
        </is>
      </c>
      <c r="I6957" t="n">
        <v>14.6</v>
      </c>
      <c r="J6957" t="n">
        <v>0</v>
      </c>
      <c r="K6957" t="n">
        <v>0</v>
      </c>
      <c r="L6957" t="n">
        <v>0</v>
      </c>
      <c r="M6957" t="n">
        <v>0</v>
      </c>
      <c r="N6957" t="n">
        <v>0</v>
      </c>
      <c r="O6957" t="n">
        <v>0</v>
      </c>
      <c r="P6957" t="n">
        <v>0</v>
      </c>
      <c r="Q6957" t="n">
        <v>0</v>
      </c>
      <c r="R6957" t="n">
        <v>0</v>
      </c>
      <c r="S6957" t="n">
        <v>0</v>
      </c>
      <c r="T6957" t="n">
        <v>0</v>
      </c>
      <c r="U6957" t="n">
        <v>0</v>
      </c>
      <c r="V6957" s="2" t="inlineStr"/>
    </row>
    <row r="6958" ht="15" customHeight="1">
      <c r="A6958" t="inlineStr">
        <is>
          <t>A 8902-2026</t>
        </is>
      </c>
      <c r="B6958" t="inlineStr">
        <is>
          <t>avverkningsanmälan</t>
        </is>
      </c>
      <c r="C6958" t="inlineStr">
        <is>
          <t>Föryngringsavverkning</t>
        </is>
      </c>
      <c r="D6958" s="1" t="n">
        <v>46068</v>
      </c>
      <c r="E6958" s="1" t="n">
        <v>46326</v>
      </c>
      <c r="F6958" t="inlineStr">
        <is>
          <t>GÄVLEBORGS LÄN</t>
        </is>
      </c>
      <c r="G6958" t="inlineStr">
        <is>
          <t>BOLLNÄS</t>
        </is>
      </c>
      <c r="I6958" t="n">
        <v>3.6</v>
      </c>
      <c r="J6958" t="n">
        <v>0</v>
      </c>
      <c r="K6958" t="n">
        <v>0</v>
      </c>
      <c r="L6958" t="n">
        <v>0</v>
      </c>
      <c r="M6958" t="n">
        <v>0</v>
      </c>
      <c r="N6958" t="n">
        <v>0</v>
      </c>
      <c r="O6958" t="n">
        <v>0</v>
      </c>
      <c r="P6958" t="n">
        <v>0</v>
      </c>
      <c r="Q6958" t="n">
        <v>0</v>
      </c>
      <c r="R6958" t="n">
        <v>0</v>
      </c>
      <c r="S6958" t="n">
        <v>0</v>
      </c>
      <c r="T6958" t="n">
        <v>0</v>
      </c>
      <c r="U6958" t="n">
        <v>0</v>
      </c>
      <c r="V6958" s="2" t="inlineStr"/>
    </row>
    <row r="6959" ht="15" customHeight="1">
      <c r="A6959" t="inlineStr">
        <is>
          <t>A 13194-2025</t>
        </is>
      </c>
      <c r="B6959" t="inlineStr">
        <is>
          <t>avverkningsanmälan</t>
        </is>
      </c>
      <c r="C6959" t="inlineStr">
        <is>
          <t>Föryngringsavverkning</t>
        </is>
      </c>
      <c r="D6959" s="1" t="n">
        <v>45735</v>
      </c>
      <c r="E6959" s="1" t="n">
        <v>46326</v>
      </c>
      <c r="F6959" t="inlineStr">
        <is>
          <t>GÄVLEBORGS LÄN</t>
        </is>
      </c>
      <c r="G6959" t="inlineStr">
        <is>
          <t>SANDVIKEN</t>
        </is>
      </c>
      <c r="I6959" t="n">
        <v>0.9</v>
      </c>
      <c r="J6959" t="n">
        <v>0</v>
      </c>
      <c r="K6959" t="n">
        <v>0</v>
      </c>
      <c r="L6959" t="n">
        <v>0</v>
      </c>
      <c r="M6959" t="n">
        <v>0</v>
      </c>
      <c r="N6959" t="n">
        <v>0</v>
      </c>
      <c r="O6959" t="n">
        <v>0</v>
      </c>
      <c r="P6959" t="n">
        <v>0</v>
      </c>
      <c r="Q6959" t="n">
        <v>0</v>
      </c>
      <c r="R6959" t="n">
        <v>0</v>
      </c>
      <c r="S6959" t="n">
        <v>0</v>
      </c>
      <c r="T6959" t="n">
        <v>0</v>
      </c>
      <c r="U6959" t="n">
        <v>0</v>
      </c>
      <c r="V6959" s="2" t="inlineStr"/>
    </row>
    <row r="6960" ht="15" customHeight="1">
      <c r="A6960" t="inlineStr">
        <is>
          <t>A 9601-2026</t>
        </is>
      </c>
      <c r="B6960" t="inlineStr">
        <is>
          <t>avverkningsanmälan</t>
        </is>
      </c>
      <c r="C6960" t="inlineStr">
        <is>
          <t>Föryngringsavverkning</t>
        </is>
      </c>
      <c r="D6960" s="1" t="n">
        <v>46071</v>
      </c>
      <c r="E6960" s="1" t="n">
        <v>46326</v>
      </c>
      <c r="F6960" t="inlineStr">
        <is>
          <t>GÄVLEBORGS LÄN</t>
        </is>
      </c>
      <c r="G6960" t="inlineStr">
        <is>
          <t>SANDVIKEN</t>
        </is>
      </c>
      <c r="I6960" t="n">
        <v>1.1</v>
      </c>
      <c r="J6960" t="n">
        <v>0</v>
      </c>
      <c r="K6960" t="n">
        <v>0</v>
      </c>
      <c r="L6960" t="n">
        <v>0</v>
      </c>
      <c r="M6960" t="n">
        <v>0</v>
      </c>
      <c r="N6960" t="n">
        <v>0</v>
      </c>
      <c r="O6960" t="n">
        <v>0</v>
      </c>
      <c r="P6960" t="n">
        <v>0</v>
      </c>
      <c r="Q6960" t="n">
        <v>0</v>
      </c>
      <c r="R6960" t="n">
        <v>0</v>
      </c>
      <c r="S6960" t="n">
        <v>0</v>
      </c>
      <c r="T6960" t="n">
        <v>0</v>
      </c>
      <c r="U6960" t="n">
        <v>0</v>
      </c>
      <c r="V6960" s="2" t="inlineStr"/>
    </row>
    <row r="6961" ht="15" customHeight="1">
      <c r="A6961" t="inlineStr">
        <is>
          <t>A 10379-2026</t>
        </is>
      </c>
      <c r="B6961" t="inlineStr">
        <is>
          <t>avverkningsanmälan</t>
        </is>
      </c>
      <c r="C6961" t="inlineStr">
        <is>
          <t>Föryngringsavverkning</t>
        </is>
      </c>
      <c r="D6961" s="1" t="n">
        <v>46076</v>
      </c>
      <c r="E6961" s="1" t="n">
        <v>46326</v>
      </c>
      <c r="F6961" t="inlineStr">
        <is>
          <t>GÄVLEBORGS LÄN</t>
        </is>
      </c>
      <c r="G6961" t="inlineStr">
        <is>
          <t>HUDIKSVALL</t>
        </is>
      </c>
      <c r="I6961" t="n">
        <v>3.3</v>
      </c>
      <c r="J6961" t="n">
        <v>0</v>
      </c>
      <c r="K6961" t="n">
        <v>0</v>
      </c>
      <c r="L6961" t="n">
        <v>0</v>
      </c>
      <c r="M6961" t="n">
        <v>0</v>
      </c>
      <c r="N6961" t="n">
        <v>0</v>
      </c>
      <c r="O6961" t="n">
        <v>0</v>
      </c>
      <c r="P6961" t="n">
        <v>0</v>
      </c>
      <c r="Q6961" t="n">
        <v>0</v>
      </c>
      <c r="R6961" t="n">
        <v>0</v>
      </c>
      <c r="S6961" t="n">
        <v>0</v>
      </c>
      <c r="T6961" t="n">
        <v>0</v>
      </c>
      <c r="U6961" t="n">
        <v>0</v>
      </c>
      <c r="V6961" s="2" t="inlineStr"/>
    </row>
    <row r="6962" ht="15" customHeight="1">
      <c r="A6962" t="inlineStr">
        <is>
          <t>A 19904-2026</t>
        </is>
      </c>
      <c r="B6962" t="inlineStr">
        <is>
          <t>avverkningsanmälan</t>
        </is>
      </c>
      <c r="C6962" t="inlineStr">
        <is>
          <t>Föryngringsavverkning</t>
        </is>
      </c>
      <c r="D6962" s="1" t="n">
        <v>46136</v>
      </c>
      <c r="E6962" s="1" t="n">
        <v>46326</v>
      </c>
      <c r="F6962" t="inlineStr">
        <is>
          <t>GÄVLEBORGS LÄN</t>
        </is>
      </c>
      <c r="G6962" t="inlineStr">
        <is>
          <t>SANDVIKEN</t>
        </is>
      </c>
      <c r="H6962" t="inlineStr">
        <is>
          <t>Bergvik skog öst AB</t>
        </is>
      </c>
      <c r="I6962" t="n">
        <v>10.9</v>
      </c>
      <c r="J6962" t="n">
        <v>0</v>
      </c>
      <c r="K6962" t="n">
        <v>0</v>
      </c>
      <c r="L6962" t="n">
        <v>0</v>
      </c>
      <c r="M6962" t="n">
        <v>0</v>
      </c>
      <c r="N6962" t="n">
        <v>0</v>
      </c>
      <c r="O6962" t="n">
        <v>0</v>
      </c>
      <c r="P6962" t="n">
        <v>0</v>
      </c>
      <c r="Q6962" t="n">
        <v>0</v>
      </c>
      <c r="R6962" t="n">
        <v>0</v>
      </c>
      <c r="S6962" t="n">
        <v>0</v>
      </c>
      <c r="T6962" t="n">
        <v>0</v>
      </c>
      <c r="U6962" t="n">
        <v>0</v>
      </c>
      <c r="V6962" s="2" t="inlineStr"/>
    </row>
    <row r="6963" ht="15" customHeight="1">
      <c r="A6963" t="inlineStr">
        <is>
          <t>A 19942-2025</t>
        </is>
      </c>
      <c r="B6963" t="inlineStr">
        <is>
          <t>avverkningsanmälan</t>
        </is>
      </c>
      <c r="C6963" t="inlineStr">
        <is>
          <t>Föryngringsavverkning</t>
        </is>
      </c>
      <c r="D6963" s="1" t="n">
        <v>45771</v>
      </c>
      <c r="E6963" s="1" t="n">
        <v>46326</v>
      </c>
      <c r="F6963" t="inlineStr">
        <is>
          <t>GÄVLEBORGS LÄN</t>
        </is>
      </c>
      <c r="G6963" t="inlineStr">
        <is>
          <t>HUDIKSVALL</t>
        </is>
      </c>
      <c r="I6963" t="n">
        <v>1.1</v>
      </c>
      <c r="J6963" t="n">
        <v>0</v>
      </c>
      <c r="K6963" t="n">
        <v>0</v>
      </c>
      <c r="L6963" t="n">
        <v>0</v>
      </c>
      <c r="M6963" t="n">
        <v>0</v>
      </c>
      <c r="N6963" t="n">
        <v>0</v>
      </c>
      <c r="O6963" t="n">
        <v>0</v>
      </c>
      <c r="P6963" t="n">
        <v>0</v>
      </c>
      <c r="Q6963" t="n">
        <v>0</v>
      </c>
      <c r="R6963" t="n">
        <v>0</v>
      </c>
      <c r="S6963" t="n">
        <v>0</v>
      </c>
      <c r="T6963" t="n">
        <v>0</v>
      </c>
      <c r="U6963" t="n">
        <v>0</v>
      </c>
      <c r="V6963" s="2" t="inlineStr"/>
    </row>
    <row r="6964" ht="15" customHeight="1">
      <c r="A6964" t="inlineStr">
        <is>
          <t>A 30224-2023</t>
        </is>
      </c>
      <c r="B6964" t="inlineStr">
        <is>
          <t>avverkningsanmälan</t>
        </is>
      </c>
      <c r="C6964" t="inlineStr">
        <is>
          <t>Föryngringsavverkning</t>
        </is>
      </c>
      <c r="D6964" s="1" t="n">
        <v>45110</v>
      </c>
      <c r="E6964" s="1" t="n">
        <v>46326</v>
      </c>
      <c r="F6964" t="inlineStr">
        <is>
          <t>GÄVLEBORGS LÄN</t>
        </is>
      </c>
      <c r="G6964" t="inlineStr">
        <is>
          <t>BOLLNÄS</t>
        </is>
      </c>
      <c r="I6964" t="n">
        <v>5.2</v>
      </c>
      <c r="J6964" t="n">
        <v>0</v>
      </c>
      <c r="K6964" t="n">
        <v>0</v>
      </c>
      <c r="L6964" t="n">
        <v>0</v>
      </c>
      <c r="M6964" t="n">
        <v>0</v>
      </c>
      <c r="N6964" t="n">
        <v>0</v>
      </c>
      <c r="O6964" t="n">
        <v>0</v>
      </c>
      <c r="P6964" t="n">
        <v>0</v>
      </c>
      <c r="Q6964" t="n">
        <v>0</v>
      </c>
      <c r="R6964" t="n">
        <v>0</v>
      </c>
      <c r="S6964" t="n">
        <v>0</v>
      </c>
      <c r="T6964" t="n">
        <v>0</v>
      </c>
      <c r="U6964" t="n">
        <v>0</v>
      </c>
      <c r="V6964" s="2" t="inlineStr"/>
    </row>
    <row r="6965" ht="15" customHeight="1">
      <c r="A6965" t="inlineStr">
        <is>
          <t>A 53988-2023</t>
        </is>
      </c>
      <c r="B6965" t="inlineStr">
        <is>
          <t>avverkningsanmälan</t>
        </is>
      </c>
      <c r="C6965" t="inlineStr">
        <is>
          <t>Föryngringsavverkning</t>
        </is>
      </c>
      <c r="D6965" s="1" t="n">
        <v>45231</v>
      </c>
      <c r="E6965" s="1" t="n">
        <v>46326</v>
      </c>
      <c r="F6965" t="inlineStr">
        <is>
          <t>GÄVLEBORGS LÄN</t>
        </is>
      </c>
      <c r="G6965" t="inlineStr">
        <is>
          <t>NORDANSTIG</t>
        </is>
      </c>
      <c r="I6965" t="n">
        <v>6.2</v>
      </c>
      <c r="J6965" t="n">
        <v>0</v>
      </c>
      <c r="K6965" t="n">
        <v>0</v>
      </c>
      <c r="L6965" t="n">
        <v>0</v>
      </c>
      <c r="M6965" t="n">
        <v>0</v>
      </c>
      <c r="N6965" t="n">
        <v>0</v>
      </c>
      <c r="O6965" t="n">
        <v>0</v>
      </c>
      <c r="P6965" t="n">
        <v>0</v>
      </c>
      <c r="Q6965" t="n">
        <v>0</v>
      </c>
      <c r="R6965" t="n">
        <v>0</v>
      </c>
      <c r="S6965" t="n">
        <v>0</v>
      </c>
      <c r="T6965" t="n">
        <v>0</v>
      </c>
      <c r="U6965" t="n">
        <v>0</v>
      </c>
      <c r="V6965" s="2" t="inlineStr"/>
    </row>
    <row r="6966" ht="15" customHeight="1">
      <c r="A6966" t="inlineStr">
        <is>
          <t>A 19924-2026</t>
        </is>
      </c>
      <c r="B6966" t="inlineStr">
        <is>
          <t>avverkningsanmälan</t>
        </is>
      </c>
      <c r="C6966" t="inlineStr">
        <is>
          <t>Föryngringsavverkning</t>
        </is>
      </c>
      <c r="D6966" s="1" t="n">
        <v>46136</v>
      </c>
      <c r="E6966" s="1" t="n">
        <v>46326</v>
      </c>
      <c r="F6966" t="inlineStr">
        <is>
          <t>GÄVLEBORGS LÄN</t>
        </is>
      </c>
      <c r="G6966" t="inlineStr">
        <is>
          <t>OCKELBO</t>
        </is>
      </c>
      <c r="I6966" t="n">
        <v>0.4</v>
      </c>
      <c r="J6966" t="n">
        <v>0</v>
      </c>
      <c r="K6966" t="n">
        <v>0</v>
      </c>
      <c r="L6966" t="n">
        <v>0</v>
      </c>
      <c r="M6966" t="n">
        <v>0</v>
      </c>
      <c r="N6966" t="n">
        <v>0</v>
      </c>
      <c r="O6966" t="n">
        <v>0</v>
      </c>
      <c r="P6966" t="n">
        <v>0</v>
      </c>
      <c r="Q6966" t="n">
        <v>0</v>
      </c>
      <c r="R6966" t="n">
        <v>0</v>
      </c>
      <c r="S6966" t="n">
        <v>0</v>
      </c>
      <c r="T6966" t="n">
        <v>0</v>
      </c>
      <c r="U6966" t="n">
        <v>0</v>
      </c>
      <c r="V6966" s="2" t="inlineStr"/>
    </row>
    <row r="6967" ht="15" customHeight="1">
      <c r="A6967" t="inlineStr">
        <is>
          <t>A 9139-2026</t>
        </is>
      </c>
      <c r="B6967" t="inlineStr">
        <is>
          <t>avverkningsanmälan</t>
        </is>
      </c>
      <c r="C6967" t="inlineStr">
        <is>
          <t>Föryngringsavverkning</t>
        </is>
      </c>
      <c r="D6967" s="1" t="n">
        <v>46069</v>
      </c>
      <c r="E6967" s="1" t="n">
        <v>46326</v>
      </c>
      <c r="F6967" t="inlineStr">
        <is>
          <t>GÄVLEBORGS LÄN</t>
        </is>
      </c>
      <c r="G6967" t="inlineStr">
        <is>
          <t>SANDVIKEN</t>
        </is>
      </c>
      <c r="I6967" t="n">
        <v>0.7</v>
      </c>
      <c r="J6967" t="n">
        <v>0</v>
      </c>
      <c r="K6967" t="n">
        <v>0</v>
      </c>
      <c r="L6967" t="n">
        <v>0</v>
      </c>
      <c r="M6967" t="n">
        <v>0</v>
      </c>
      <c r="N6967" t="n">
        <v>0</v>
      </c>
      <c r="O6967" t="n">
        <v>0</v>
      </c>
      <c r="P6967" t="n">
        <v>0</v>
      </c>
      <c r="Q6967" t="n">
        <v>0</v>
      </c>
      <c r="R6967" t="n">
        <v>0</v>
      </c>
      <c r="S6967" t="n">
        <v>0</v>
      </c>
      <c r="T6967" t="n">
        <v>0</v>
      </c>
      <c r="U6967" t="n">
        <v>0</v>
      </c>
      <c r="V6967" s="2" t="inlineStr"/>
    </row>
    <row r="6968" ht="15" customHeight="1">
      <c r="A6968" t="inlineStr">
        <is>
          <t>A 19945-2026</t>
        </is>
      </c>
      <c r="B6968" t="inlineStr">
        <is>
          <t>avverkningsanmälan</t>
        </is>
      </c>
      <c r="C6968" t="inlineStr">
        <is>
          <t>Föryngringsavverkning</t>
        </is>
      </c>
      <c r="D6968" s="1" t="n">
        <v>46136</v>
      </c>
      <c r="E6968" s="1" t="n">
        <v>46326</v>
      </c>
      <c r="F6968" t="inlineStr">
        <is>
          <t>GÄVLEBORGS LÄN</t>
        </is>
      </c>
      <c r="G6968" t="inlineStr">
        <is>
          <t>OCKELBO</t>
        </is>
      </c>
      <c r="I6968" t="n">
        <v>2.1</v>
      </c>
      <c r="J6968" t="n">
        <v>0</v>
      </c>
      <c r="K6968" t="n">
        <v>0</v>
      </c>
      <c r="L6968" t="n">
        <v>0</v>
      </c>
      <c r="M6968" t="n">
        <v>0</v>
      </c>
      <c r="N6968" t="n">
        <v>0</v>
      </c>
      <c r="O6968" t="n">
        <v>0</v>
      </c>
      <c r="P6968" t="n">
        <v>0</v>
      </c>
      <c r="Q6968" t="n">
        <v>0</v>
      </c>
      <c r="R6968" t="n">
        <v>0</v>
      </c>
      <c r="S6968" t="n">
        <v>0</v>
      </c>
      <c r="T6968" t="n">
        <v>0</v>
      </c>
      <c r="U6968" t="n">
        <v>0</v>
      </c>
      <c r="V6968" s="2" t="inlineStr"/>
    </row>
    <row r="6969" ht="15" customHeight="1">
      <c r="A6969" t="inlineStr">
        <is>
          <t>A 19970-2026</t>
        </is>
      </c>
      <c r="B6969" t="inlineStr">
        <is>
          <t>avverkningsanmälan</t>
        </is>
      </c>
      <c r="C6969" t="inlineStr">
        <is>
          <t>Föryngringsavverkning</t>
        </is>
      </c>
      <c r="D6969" s="1" t="n">
        <v>46136</v>
      </c>
      <c r="E6969" s="1" t="n">
        <v>46326</v>
      </c>
      <c r="F6969" t="inlineStr">
        <is>
          <t>GÄVLEBORGS LÄN</t>
        </is>
      </c>
      <c r="G6969" t="inlineStr">
        <is>
          <t>NORDANSTIG</t>
        </is>
      </c>
      <c r="I6969" t="n">
        <v>1.2</v>
      </c>
      <c r="J6969" t="n">
        <v>0</v>
      </c>
      <c r="K6969" t="n">
        <v>0</v>
      </c>
      <c r="L6969" t="n">
        <v>0</v>
      </c>
      <c r="M6969" t="n">
        <v>0</v>
      </c>
      <c r="N6969" t="n">
        <v>0</v>
      </c>
      <c r="O6969" t="n">
        <v>0</v>
      </c>
      <c r="P6969" t="n">
        <v>0</v>
      </c>
      <c r="Q6969" t="n">
        <v>0</v>
      </c>
      <c r="R6969" t="n">
        <v>0</v>
      </c>
      <c r="S6969" t="n">
        <v>0</v>
      </c>
      <c r="T6969" t="n">
        <v>0</v>
      </c>
      <c r="U6969" t="n">
        <v>0</v>
      </c>
      <c r="V6969" s="2" t="inlineStr"/>
    </row>
    <row r="6970" ht="15" customHeight="1">
      <c r="A6970" t="inlineStr">
        <is>
          <t>A 20077-2026</t>
        </is>
      </c>
      <c r="B6970" t="inlineStr">
        <is>
          <t>avverkningsanmälan</t>
        </is>
      </c>
      <c r="C6970" t="inlineStr">
        <is>
          <t>Föryngringsavverkning</t>
        </is>
      </c>
      <c r="D6970" s="1" t="n">
        <v>46136</v>
      </c>
      <c r="E6970" s="1" t="n">
        <v>46326</v>
      </c>
      <c r="F6970" t="inlineStr">
        <is>
          <t>GÄVLEBORGS LÄN</t>
        </is>
      </c>
      <c r="G6970" t="inlineStr">
        <is>
          <t>LJUSDAL</t>
        </is>
      </c>
      <c r="H6970" t="inlineStr">
        <is>
          <t>Sveaskog</t>
        </is>
      </c>
      <c r="I6970" t="n">
        <v>38.9</v>
      </c>
      <c r="J6970" t="n">
        <v>0</v>
      </c>
      <c r="K6970" t="n">
        <v>0</v>
      </c>
      <c r="L6970" t="n">
        <v>0</v>
      </c>
      <c r="M6970" t="n">
        <v>0</v>
      </c>
      <c r="N6970" t="n">
        <v>0</v>
      </c>
      <c r="O6970" t="n">
        <v>0</v>
      </c>
      <c r="P6970" t="n">
        <v>0</v>
      </c>
      <c r="Q6970" t="n">
        <v>0</v>
      </c>
      <c r="R6970" t="n">
        <v>0</v>
      </c>
      <c r="S6970" t="n">
        <v>0</v>
      </c>
      <c r="T6970" t="n">
        <v>0</v>
      </c>
      <c r="U6970" t="n">
        <v>0</v>
      </c>
      <c r="V6970" s="2" t="inlineStr"/>
    </row>
    <row r="6971" ht="15" customHeight="1">
      <c r="A6971" t="inlineStr">
        <is>
          <t>A 25474-2024</t>
        </is>
      </c>
      <c r="B6971" t="inlineStr">
        <is>
          <t>avverkningsanmälan</t>
        </is>
      </c>
      <c r="C6971" t="inlineStr">
        <is>
          <t>Föryngringsavverkning</t>
        </is>
      </c>
      <c r="D6971" s="1" t="n">
        <v>45463</v>
      </c>
      <c r="E6971" s="1" t="n">
        <v>46326</v>
      </c>
      <c r="F6971" t="inlineStr">
        <is>
          <t>GÄVLEBORGS LÄN</t>
        </is>
      </c>
      <c r="G6971" t="inlineStr">
        <is>
          <t>HOFORS</t>
        </is>
      </c>
      <c r="H6971" t="inlineStr">
        <is>
          <t>Sveaskog</t>
        </is>
      </c>
      <c r="I6971" t="n">
        <v>0.9</v>
      </c>
      <c r="J6971" t="n">
        <v>0</v>
      </c>
      <c r="K6971" t="n">
        <v>0</v>
      </c>
      <c r="L6971" t="n">
        <v>0</v>
      </c>
      <c r="M6971" t="n">
        <v>0</v>
      </c>
      <c r="N6971" t="n">
        <v>0</v>
      </c>
      <c r="O6971" t="n">
        <v>0</v>
      </c>
      <c r="P6971" t="n">
        <v>0</v>
      </c>
      <c r="Q6971" t="n">
        <v>0</v>
      </c>
      <c r="R6971" t="n">
        <v>0</v>
      </c>
      <c r="S6971" t="n">
        <v>0</v>
      </c>
      <c r="T6971" t="n">
        <v>0</v>
      </c>
      <c r="U6971" t="n">
        <v>0</v>
      </c>
      <c r="V6971" s="2" t="inlineStr"/>
    </row>
    <row r="6972" ht="15" customHeight="1">
      <c r="A6972" t="inlineStr">
        <is>
          <t>A 31040-2025</t>
        </is>
      </c>
      <c r="B6972" t="inlineStr">
        <is>
          <t>avverkningsanmälan</t>
        </is>
      </c>
      <c r="C6972" t="inlineStr">
        <is>
          <t>Föryngringsavverkning</t>
        </is>
      </c>
      <c r="D6972" s="1" t="n">
        <v>45832</v>
      </c>
      <c r="E6972" s="1" t="n">
        <v>46326</v>
      </c>
      <c r="F6972" t="inlineStr">
        <is>
          <t>GÄVLEBORGS LÄN</t>
        </is>
      </c>
      <c r="G6972" t="inlineStr">
        <is>
          <t>LJUSDAL</t>
        </is>
      </c>
      <c r="I6972" t="n">
        <v>1.9</v>
      </c>
      <c r="J6972" t="n">
        <v>0</v>
      </c>
      <c r="K6972" t="n">
        <v>0</v>
      </c>
      <c r="L6972" t="n">
        <v>0</v>
      </c>
      <c r="M6972" t="n">
        <v>0</v>
      </c>
      <c r="N6972" t="n">
        <v>0</v>
      </c>
      <c r="O6972" t="n">
        <v>0</v>
      </c>
      <c r="P6972" t="n">
        <v>0</v>
      </c>
      <c r="Q6972" t="n">
        <v>0</v>
      </c>
      <c r="R6972" t="n">
        <v>0</v>
      </c>
      <c r="S6972" t="n">
        <v>0</v>
      </c>
      <c r="T6972" t="n">
        <v>0</v>
      </c>
      <c r="U6972" t="n">
        <v>0</v>
      </c>
      <c r="V6972" s="2" t="inlineStr"/>
    </row>
    <row r="6973" ht="15" customHeight="1">
      <c r="A6973" t="inlineStr">
        <is>
          <t>A 43090-2023</t>
        </is>
      </c>
      <c r="B6973" t="inlineStr">
        <is>
          <t>avverkningsanmälan</t>
        </is>
      </c>
      <c r="C6973" t="inlineStr">
        <is>
          <t>Föryngringsavverkning</t>
        </is>
      </c>
      <c r="D6973" s="1" t="n">
        <v>45182</v>
      </c>
      <c r="E6973" s="1" t="n">
        <v>46326</v>
      </c>
      <c r="F6973" t="inlineStr">
        <is>
          <t>GÄVLEBORGS LÄN</t>
        </is>
      </c>
      <c r="G6973" t="inlineStr">
        <is>
          <t>SANDVIKEN</t>
        </is>
      </c>
      <c r="I6973" t="n">
        <v>1.2</v>
      </c>
      <c r="J6973" t="n">
        <v>0</v>
      </c>
      <c r="K6973" t="n">
        <v>0</v>
      </c>
      <c r="L6973" t="n">
        <v>0</v>
      </c>
      <c r="M6973" t="n">
        <v>0</v>
      </c>
      <c r="N6973" t="n">
        <v>0</v>
      </c>
      <c r="O6973" t="n">
        <v>0</v>
      </c>
      <c r="P6973" t="n">
        <v>0</v>
      </c>
      <c r="Q6973" t="n">
        <v>0</v>
      </c>
      <c r="R6973" t="n">
        <v>0</v>
      </c>
      <c r="S6973" t="n">
        <v>0</v>
      </c>
      <c r="T6973" t="n">
        <v>0</v>
      </c>
      <c r="U6973" t="n">
        <v>0</v>
      </c>
      <c r="V6973" s="2" t="inlineStr"/>
    </row>
    <row r="6974" ht="15" customHeight="1">
      <c r="A6974" t="inlineStr">
        <is>
          <t>A 19898-2026</t>
        </is>
      </c>
      <c r="B6974" t="inlineStr">
        <is>
          <t>avverkningsanmälan</t>
        </is>
      </c>
      <c r="C6974" t="inlineStr">
        <is>
          <t>Föryngringsavverkning</t>
        </is>
      </c>
      <c r="D6974" s="1" t="n">
        <v>46135</v>
      </c>
      <c r="E6974" s="1" t="n">
        <v>46326</v>
      </c>
      <c r="F6974" t="inlineStr">
        <is>
          <t>GÄVLEBORGS LÄN</t>
        </is>
      </c>
      <c r="G6974" t="inlineStr">
        <is>
          <t>NORDANSTIG</t>
        </is>
      </c>
      <c r="I6974" t="n">
        <v>2.1</v>
      </c>
      <c r="J6974" t="n">
        <v>0</v>
      </c>
      <c r="K6974" t="n">
        <v>0</v>
      </c>
      <c r="L6974" t="n">
        <v>0</v>
      </c>
      <c r="M6974" t="n">
        <v>0</v>
      </c>
      <c r="N6974" t="n">
        <v>0</v>
      </c>
      <c r="O6974" t="n">
        <v>0</v>
      </c>
      <c r="P6974" t="n">
        <v>0</v>
      </c>
      <c r="Q6974" t="n">
        <v>0</v>
      </c>
      <c r="R6974" t="n">
        <v>0</v>
      </c>
      <c r="S6974" t="n">
        <v>0</v>
      </c>
      <c r="T6974" t="n">
        <v>0</v>
      </c>
      <c r="U6974" t="n">
        <v>0</v>
      </c>
      <c r="V6974" s="2" t="inlineStr"/>
    </row>
    <row r="6975" ht="15" customHeight="1">
      <c r="A6975" t="inlineStr">
        <is>
          <t>A 19014-2024</t>
        </is>
      </c>
      <c r="B6975" t="inlineStr">
        <is>
          <t>avverkningsanmälan</t>
        </is>
      </c>
      <c r="C6975" t="inlineStr">
        <is>
          <t>Föryngringsavverkning</t>
        </is>
      </c>
      <c r="D6975" s="1" t="n">
        <v>45427</v>
      </c>
      <c r="E6975" s="1" t="n">
        <v>46326</v>
      </c>
      <c r="F6975" t="inlineStr">
        <is>
          <t>GÄVLEBORGS LÄN</t>
        </is>
      </c>
      <c r="G6975" t="inlineStr">
        <is>
          <t>HUDIKSVALL</t>
        </is>
      </c>
      <c r="H6975" t="inlineStr">
        <is>
          <t>Holmen skog AB</t>
        </is>
      </c>
      <c r="I6975" t="n">
        <v>17.7</v>
      </c>
      <c r="J6975" t="n">
        <v>0</v>
      </c>
      <c r="K6975" t="n">
        <v>0</v>
      </c>
      <c r="L6975" t="n">
        <v>0</v>
      </c>
      <c r="M6975" t="n">
        <v>0</v>
      </c>
      <c r="N6975" t="n">
        <v>0</v>
      </c>
      <c r="O6975" t="n">
        <v>0</v>
      </c>
      <c r="P6975" t="n">
        <v>0</v>
      </c>
      <c r="Q6975" t="n">
        <v>0</v>
      </c>
      <c r="R6975" t="n">
        <v>0</v>
      </c>
      <c r="S6975" t="n">
        <v>0</v>
      </c>
      <c r="T6975" t="n">
        <v>0</v>
      </c>
      <c r="U6975" t="n">
        <v>0</v>
      </c>
      <c r="V6975" s="2" t="inlineStr"/>
    </row>
    <row r="6976" ht="15" customHeight="1">
      <c r="A6976" t="inlineStr">
        <is>
          <t>A 3855-2026</t>
        </is>
      </c>
      <c r="B6976" t="inlineStr">
        <is>
          <t>avverkningsanmälan</t>
        </is>
      </c>
      <c r="C6976" t="inlineStr">
        <is>
          <t>Föryngringsavverkning</t>
        </is>
      </c>
      <c r="D6976" s="1" t="n">
        <v>46043</v>
      </c>
      <c r="E6976" s="1" t="n">
        <v>46326</v>
      </c>
      <c r="F6976" t="inlineStr">
        <is>
          <t>GÄVLEBORGS LÄN</t>
        </is>
      </c>
      <c r="G6976" t="inlineStr">
        <is>
          <t>SÖDERHAMN</t>
        </is>
      </c>
      <c r="I6976" t="n">
        <v>1.7</v>
      </c>
      <c r="J6976" t="n">
        <v>0</v>
      </c>
      <c r="K6976" t="n">
        <v>0</v>
      </c>
      <c r="L6976" t="n">
        <v>0</v>
      </c>
      <c r="M6976" t="n">
        <v>0</v>
      </c>
      <c r="N6976" t="n">
        <v>0</v>
      </c>
      <c r="O6976" t="n">
        <v>0</v>
      </c>
      <c r="P6976" t="n">
        <v>0</v>
      </c>
      <c r="Q6976" t="n">
        <v>0</v>
      </c>
      <c r="R6976" t="n">
        <v>0</v>
      </c>
      <c r="S6976" t="n">
        <v>0</v>
      </c>
      <c r="T6976" t="n">
        <v>0</v>
      </c>
      <c r="U6976" t="n">
        <v>0</v>
      </c>
      <c r="V6976" s="2" t="inlineStr"/>
    </row>
    <row r="6977" ht="15" customHeight="1">
      <c r="A6977" t="inlineStr">
        <is>
          <t>A 4547-2026</t>
        </is>
      </c>
      <c r="B6977" t="inlineStr">
        <is>
          <t>avverkningsanmälan</t>
        </is>
      </c>
      <c r="C6977" t="inlineStr">
        <is>
          <t>Föryngringsavverkning</t>
        </is>
      </c>
      <c r="D6977" s="1" t="n">
        <v>46047</v>
      </c>
      <c r="E6977" s="1" t="n">
        <v>46326</v>
      </c>
      <c r="F6977" t="inlineStr">
        <is>
          <t>GÄVLEBORGS LÄN</t>
        </is>
      </c>
      <c r="G6977" t="inlineStr">
        <is>
          <t>OVANÅKER</t>
        </is>
      </c>
      <c r="I6977" t="n">
        <v>5.5</v>
      </c>
      <c r="J6977" t="n">
        <v>0</v>
      </c>
      <c r="K6977" t="n">
        <v>0</v>
      </c>
      <c r="L6977" t="n">
        <v>0</v>
      </c>
      <c r="M6977" t="n">
        <v>0</v>
      </c>
      <c r="N6977" t="n">
        <v>0</v>
      </c>
      <c r="O6977" t="n">
        <v>0</v>
      </c>
      <c r="P6977" t="n">
        <v>0</v>
      </c>
      <c r="Q6977" t="n">
        <v>0</v>
      </c>
      <c r="R6977" t="n">
        <v>0</v>
      </c>
      <c r="S6977" t="n">
        <v>0</v>
      </c>
      <c r="T6977" t="n">
        <v>0</v>
      </c>
      <c r="U6977" t="n">
        <v>0</v>
      </c>
      <c r="V6977" s="2" t="inlineStr"/>
    </row>
    <row r="6978" ht="15" customHeight="1">
      <c r="A6978" t="inlineStr">
        <is>
          <t>A 43131-2024</t>
        </is>
      </c>
      <c r="B6978" t="inlineStr">
        <is>
          <t>avverkningsanmälan</t>
        </is>
      </c>
      <c r="C6978" t="inlineStr">
        <is>
          <t>Föryngringsavverkning</t>
        </is>
      </c>
      <c r="D6978" s="1" t="n">
        <v>45567</v>
      </c>
      <c r="E6978" s="1" t="n">
        <v>46326</v>
      </c>
      <c r="F6978" t="inlineStr">
        <is>
          <t>GÄVLEBORGS LÄN</t>
        </is>
      </c>
      <c r="G6978" t="inlineStr">
        <is>
          <t>BOLLNÄS</t>
        </is>
      </c>
      <c r="I6978" t="n">
        <v>0.5</v>
      </c>
      <c r="J6978" t="n">
        <v>0</v>
      </c>
      <c r="K6978" t="n">
        <v>0</v>
      </c>
      <c r="L6978" t="n">
        <v>0</v>
      </c>
      <c r="M6978" t="n">
        <v>0</v>
      </c>
      <c r="N6978" t="n">
        <v>0</v>
      </c>
      <c r="O6978" t="n">
        <v>0</v>
      </c>
      <c r="P6978" t="n">
        <v>0</v>
      </c>
      <c r="Q6978" t="n">
        <v>0</v>
      </c>
      <c r="R6978" t="n">
        <v>0</v>
      </c>
      <c r="S6978" t="n">
        <v>0</v>
      </c>
      <c r="T6978" t="n">
        <v>0</v>
      </c>
      <c r="U6978" t="n">
        <v>0</v>
      </c>
      <c r="V6978" s="2" t="inlineStr"/>
    </row>
    <row r="6979" ht="15" customHeight="1">
      <c r="A6979" t="inlineStr">
        <is>
          <t>A 8253-2026</t>
        </is>
      </c>
      <c r="B6979" t="inlineStr">
        <is>
          <t>avverkningsanmälan</t>
        </is>
      </c>
      <c r="C6979" t="inlineStr">
        <is>
          <t>Föryngringsavverkning</t>
        </is>
      </c>
      <c r="D6979" s="1" t="n">
        <v>46064</v>
      </c>
      <c r="E6979" s="1" t="n">
        <v>46326</v>
      </c>
      <c r="F6979" t="inlineStr">
        <is>
          <t>GÄVLEBORGS LÄN</t>
        </is>
      </c>
      <c r="G6979" t="inlineStr">
        <is>
          <t>OCKELBO</t>
        </is>
      </c>
      <c r="H6979" t="inlineStr">
        <is>
          <t>Bergvik skog väst AB</t>
        </is>
      </c>
      <c r="I6979" t="n">
        <v>3.4</v>
      </c>
      <c r="J6979" t="n">
        <v>0</v>
      </c>
      <c r="K6979" t="n">
        <v>0</v>
      </c>
      <c r="L6979" t="n">
        <v>0</v>
      </c>
      <c r="M6979" t="n">
        <v>0</v>
      </c>
      <c r="N6979" t="n">
        <v>0</v>
      </c>
      <c r="O6979" t="n">
        <v>0</v>
      </c>
      <c r="P6979" t="n">
        <v>0</v>
      </c>
      <c r="Q6979" t="n">
        <v>0</v>
      </c>
      <c r="R6979" t="n">
        <v>0</v>
      </c>
      <c r="S6979" t="n">
        <v>0</v>
      </c>
      <c r="T6979" t="n">
        <v>0</v>
      </c>
      <c r="U6979" t="n">
        <v>0</v>
      </c>
      <c r="V6979" s="2" t="inlineStr"/>
    </row>
    <row r="6980" ht="15" customHeight="1">
      <c r="A6980" t="inlineStr">
        <is>
          <t>A 72734-2021</t>
        </is>
      </c>
      <c r="B6980" t="inlineStr">
        <is>
          <t>avverkningsanmälan</t>
        </is>
      </c>
      <c r="C6980" t="inlineStr">
        <is>
          <t>Avverkning för annat ändamål</t>
        </is>
      </c>
      <c r="D6980" s="1" t="n">
        <v>44546</v>
      </c>
      <c r="E6980" s="1" t="n">
        <v>46326</v>
      </c>
      <c r="F6980" t="inlineStr">
        <is>
          <t>GÄVLEBORGS LÄN</t>
        </is>
      </c>
      <c r="G6980" t="inlineStr">
        <is>
          <t>GÄVLE</t>
        </is>
      </c>
      <c r="H6980" t="inlineStr">
        <is>
          <t>Kommuner</t>
        </is>
      </c>
      <c r="I6980" t="n">
        <v>2.1</v>
      </c>
      <c r="J6980" t="n">
        <v>0</v>
      </c>
      <c r="K6980" t="n">
        <v>0</v>
      </c>
      <c r="L6980" t="n">
        <v>0</v>
      </c>
      <c r="M6980" t="n">
        <v>0</v>
      </c>
      <c r="N6980" t="n">
        <v>0</v>
      </c>
      <c r="O6980" t="n">
        <v>0</v>
      </c>
      <c r="P6980" t="n">
        <v>0</v>
      </c>
      <c r="Q6980" t="n">
        <v>0</v>
      </c>
      <c r="R6980" t="n">
        <v>0</v>
      </c>
      <c r="S6980" t="n">
        <v>0</v>
      </c>
      <c r="T6980" t="n">
        <v>0</v>
      </c>
      <c r="U6980" t="n">
        <v>0</v>
      </c>
      <c r="V6980" s="2" t="inlineStr"/>
    </row>
    <row r="6981" ht="15" customHeight="1">
      <c r="A6981" t="inlineStr">
        <is>
          <t>A 7182-2023</t>
        </is>
      </c>
      <c r="B6981" t="inlineStr">
        <is>
          <t>avverkningsanmälan</t>
        </is>
      </c>
      <c r="C6981" t="inlineStr">
        <is>
          <t>Föryngringsavverkning</t>
        </is>
      </c>
      <c r="D6981" s="1" t="n">
        <v>44970</v>
      </c>
      <c r="E6981" s="1" t="n">
        <v>46326</v>
      </c>
      <c r="F6981" t="inlineStr">
        <is>
          <t>GÄVLEBORGS LÄN</t>
        </is>
      </c>
      <c r="G6981" t="inlineStr">
        <is>
          <t>LJUSDAL</t>
        </is>
      </c>
      <c r="I6981" t="n">
        <v>7</v>
      </c>
      <c r="J6981" t="n">
        <v>0</v>
      </c>
      <c r="K6981" t="n">
        <v>0</v>
      </c>
      <c r="L6981" t="n">
        <v>0</v>
      </c>
      <c r="M6981" t="n">
        <v>0</v>
      </c>
      <c r="N6981" t="n">
        <v>0</v>
      </c>
      <c r="O6981" t="n">
        <v>0</v>
      </c>
      <c r="P6981" t="n">
        <v>0</v>
      </c>
      <c r="Q6981" t="n">
        <v>0</v>
      </c>
      <c r="R6981" t="n">
        <v>0</v>
      </c>
      <c r="S6981" t="n">
        <v>0</v>
      </c>
      <c r="T6981" t="n">
        <v>0</v>
      </c>
      <c r="U6981" t="n">
        <v>0</v>
      </c>
      <c r="V6981" s="2" t="inlineStr"/>
    </row>
    <row r="6982" ht="15" customHeight="1">
      <c r="A6982" t="inlineStr">
        <is>
          <t>A 7600-2025</t>
        </is>
      </c>
      <c r="B6982" t="inlineStr">
        <is>
          <t>avverkningsanmälan</t>
        </is>
      </c>
      <c r="C6982" t="inlineStr">
        <is>
          <t>Föryngringsavverkning</t>
        </is>
      </c>
      <c r="D6982" s="1" t="n">
        <v>45705</v>
      </c>
      <c r="E6982" s="1" t="n">
        <v>46326</v>
      </c>
      <c r="F6982" t="inlineStr">
        <is>
          <t>GÄVLEBORGS LÄN</t>
        </is>
      </c>
      <c r="G6982" t="inlineStr">
        <is>
          <t>LJUSDAL</t>
        </is>
      </c>
      <c r="I6982" t="n">
        <v>3.9</v>
      </c>
      <c r="J6982" t="n">
        <v>0</v>
      </c>
      <c r="K6982" t="n">
        <v>0</v>
      </c>
      <c r="L6982" t="n">
        <v>0</v>
      </c>
      <c r="M6982" t="n">
        <v>0</v>
      </c>
      <c r="N6982" t="n">
        <v>0</v>
      </c>
      <c r="O6982" t="n">
        <v>0</v>
      </c>
      <c r="P6982" t="n">
        <v>0</v>
      </c>
      <c r="Q6982" t="n">
        <v>0</v>
      </c>
      <c r="R6982" t="n">
        <v>0</v>
      </c>
      <c r="S6982" t="n">
        <v>0</v>
      </c>
      <c r="T6982" t="n">
        <v>0</v>
      </c>
      <c r="U6982" t="n">
        <v>0</v>
      </c>
      <c r="V6982" s="2" t="inlineStr"/>
    </row>
    <row r="6983" ht="15" customHeight="1">
      <c r="A6983" t="inlineStr">
        <is>
          <t>A 20155-2026</t>
        </is>
      </c>
      <c r="B6983" t="inlineStr">
        <is>
          <t>avverkningsanmälan</t>
        </is>
      </c>
      <c r="C6983" t="inlineStr">
        <is>
          <t>Föryngringsavverkning</t>
        </is>
      </c>
      <c r="D6983" s="1" t="n">
        <v>46138</v>
      </c>
      <c r="E6983" s="1" t="n">
        <v>46326</v>
      </c>
      <c r="F6983" t="inlineStr">
        <is>
          <t>GÄVLEBORGS LÄN</t>
        </is>
      </c>
      <c r="G6983" t="inlineStr">
        <is>
          <t>OCKELBO</t>
        </is>
      </c>
      <c r="H6983" t="inlineStr">
        <is>
          <t>Bergvik skog väst AB</t>
        </is>
      </c>
      <c r="I6983" t="n">
        <v>12.7</v>
      </c>
      <c r="J6983" t="n">
        <v>0</v>
      </c>
      <c r="K6983" t="n">
        <v>0</v>
      </c>
      <c r="L6983" t="n">
        <v>0</v>
      </c>
      <c r="M6983" t="n">
        <v>0</v>
      </c>
      <c r="N6983" t="n">
        <v>0</v>
      </c>
      <c r="O6983" t="n">
        <v>0</v>
      </c>
      <c r="P6983" t="n">
        <v>0</v>
      </c>
      <c r="Q6983" t="n">
        <v>0</v>
      </c>
      <c r="R6983" t="n">
        <v>0</v>
      </c>
      <c r="S6983" t="n">
        <v>0</v>
      </c>
      <c r="T6983" t="n">
        <v>0</v>
      </c>
      <c r="U6983" t="n">
        <v>0</v>
      </c>
      <c r="V6983" s="2" t="inlineStr"/>
    </row>
    <row r="6984" ht="15" customHeight="1">
      <c r="A6984" t="inlineStr">
        <is>
          <t>A 20189-2026</t>
        </is>
      </c>
      <c r="B6984" t="inlineStr">
        <is>
          <t>avverkningsanmälan</t>
        </is>
      </c>
      <c r="C6984" t="inlineStr">
        <is>
          <t>Föryngringsavverkning</t>
        </is>
      </c>
      <c r="D6984" s="1" t="n">
        <v>46139</v>
      </c>
      <c r="E6984" s="1" t="n">
        <v>46326</v>
      </c>
      <c r="F6984" t="inlineStr">
        <is>
          <t>GÄVLEBORGS LÄN</t>
        </is>
      </c>
      <c r="G6984" t="inlineStr">
        <is>
          <t>BOLLNÄS</t>
        </is>
      </c>
      <c r="I6984" t="n">
        <v>11.7</v>
      </c>
      <c r="J6984" t="n">
        <v>0</v>
      </c>
      <c r="K6984" t="n">
        <v>0</v>
      </c>
      <c r="L6984" t="n">
        <v>0</v>
      </c>
      <c r="M6984" t="n">
        <v>0</v>
      </c>
      <c r="N6984" t="n">
        <v>0</v>
      </c>
      <c r="O6984" t="n">
        <v>0</v>
      </c>
      <c r="P6984" t="n">
        <v>0</v>
      </c>
      <c r="Q6984" t="n">
        <v>0</v>
      </c>
      <c r="R6984" t="n">
        <v>0</v>
      </c>
      <c r="S6984" t="n">
        <v>0</v>
      </c>
      <c r="T6984" t="n">
        <v>0</v>
      </c>
      <c r="U6984" t="n">
        <v>0</v>
      </c>
      <c r="V6984" s="2" t="inlineStr"/>
    </row>
    <row r="6985" ht="15" customHeight="1">
      <c r="A6985" t="inlineStr">
        <is>
          <t>A 20268-2026</t>
        </is>
      </c>
      <c r="B6985" t="inlineStr">
        <is>
          <t>avverkningsanmälan</t>
        </is>
      </c>
      <c r="C6985" t="inlineStr">
        <is>
          <t>Föryngringsavverkning</t>
        </is>
      </c>
      <c r="D6985" s="1" t="n">
        <v>46139</v>
      </c>
      <c r="E6985" s="1" t="n">
        <v>46326</v>
      </c>
      <c r="F6985" t="inlineStr">
        <is>
          <t>GÄVLEBORGS LÄN</t>
        </is>
      </c>
      <c r="G6985" t="inlineStr">
        <is>
          <t>BOLLNÄS</t>
        </is>
      </c>
      <c r="H6985" t="inlineStr">
        <is>
          <t>Kyrkan</t>
        </is>
      </c>
      <c r="I6985" t="n">
        <v>2</v>
      </c>
      <c r="J6985" t="n">
        <v>0</v>
      </c>
      <c r="K6985" t="n">
        <v>0</v>
      </c>
      <c r="L6985" t="n">
        <v>0</v>
      </c>
      <c r="M6985" t="n">
        <v>0</v>
      </c>
      <c r="N6985" t="n">
        <v>0</v>
      </c>
      <c r="O6985" t="n">
        <v>0</v>
      </c>
      <c r="P6985" t="n">
        <v>0</v>
      </c>
      <c r="Q6985" t="n">
        <v>0</v>
      </c>
      <c r="R6985" t="n">
        <v>0</v>
      </c>
      <c r="S6985" t="n">
        <v>0</v>
      </c>
      <c r="T6985" t="n">
        <v>0</v>
      </c>
      <c r="U6985" t="n">
        <v>0</v>
      </c>
      <c r="V6985" s="2" t="inlineStr"/>
    </row>
    <row r="6986" ht="15" customHeight="1">
      <c r="A6986" t="inlineStr">
        <is>
          <t>A 20271-2026</t>
        </is>
      </c>
      <c r="B6986" t="inlineStr">
        <is>
          <t>avverkningsanmälan</t>
        </is>
      </c>
      <c r="C6986" t="inlineStr">
        <is>
          <t>Föryngringsavverkning</t>
        </is>
      </c>
      <c r="D6986" s="1" t="n">
        <v>46139</v>
      </c>
      <c r="E6986" s="1" t="n">
        <v>46326</v>
      </c>
      <c r="F6986" t="inlineStr">
        <is>
          <t>GÄVLEBORGS LÄN</t>
        </is>
      </c>
      <c r="G6986" t="inlineStr">
        <is>
          <t>BOLLNÄS</t>
        </is>
      </c>
      <c r="H6986" t="inlineStr">
        <is>
          <t>Kyrkan</t>
        </is>
      </c>
      <c r="I6986" t="n">
        <v>1.4</v>
      </c>
      <c r="J6986" t="n">
        <v>0</v>
      </c>
      <c r="K6986" t="n">
        <v>0</v>
      </c>
      <c r="L6986" t="n">
        <v>0</v>
      </c>
      <c r="M6986" t="n">
        <v>0</v>
      </c>
      <c r="N6986" t="n">
        <v>0</v>
      </c>
      <c r="O6986" t="n">
        <v>0</v>
      </c>
      <c r="P6986" t="n">
        <v>0</v>
      </c>
      <c r="Q6986" t="n">
        <v>0</v>
      </c>
      <c r="R6986" t="n">
        <v>0</v>
      </c>
      <c r="S6986" t="n">
        <v>0</v>
      </c>
      <c r="T6986" t="n">
        <v>0</v>
      </c>
      <c r="U6986" t="n">
        <v>0</v>
      </c>
      <c r="V6986" s="2" t="inlineStr"/>
    </row>
    <row r="6987" ht="15" customHeight="1">
      <c r="A6987" t="inlineStr">
        <is>
          <t>A 3484-2026</t>
        </is>
      </c>
      <c r="B6987" t="inlineStr">
        <is>
          <t>avverkningsanmälan</t>
        </is>
      </c>
      <c r="C6987" t="inlineStr">
        <is>
          <t>Föryngringsavverkning</t>
        </is>
      </c>
      <c r="D6987" s="1" t="n">
        <v>46042</v>
      </c>
      <c r="E6987" s="1" t="n">
        <v>46326</v>
      </c>
      <c r="F6987" t="inlineStr">
        <is>
          <t>GÄVLEBORGS LÄN</t>
        </is>
      </c>
      <c r="G6987" t="inlineStr">
        <is>
          <t>OCKELBO</t>
        </is>
      </c>
      <c r="H6987" t="inlineStr">
        <is>
          <t>Bergvik skog väst AB</t>
        </is>
      </c>
      <c r="I6987" t="n">
        <v>5.5</v>
      </c>
      <c r="J6987" t="n">
        <v>0</v>
      </c>
      <c r="K6987" t="n">
        <v>0</v>
      </c>
      <c r="L6987" t="n">
        <v>0</v>
      </c>
      <c r="M6987" t="n">
        <v>0</v>
      </c>
      <c r="N6987" t="n">
        <v>0</v>
      </c>
      <c r="O6987" t="n">
        <v>0</v>
      </c>
      <c r="P6987" t="n">
        <v>0</v>
      </c>
      <c r="Q6987" t="n">
        <v>0</v>
      </c>
      <c r="R6987" t="n">
        <v>0</v>
      </c>
      <c r="S6987" t="n">
        <v>0</v>
      </c>
      <c r="T6987" t="n">
        <v>0</v>
      </c>
      <c r="U6987" t="n">
        <v>0</v>
      </c>
      <c r="V6987" s="2" t="inlineStr"/>
    </row>
    <row r="6988" ht="15" customHeight="1">
      <c r="A6988" t="inlineStr">
        <is>
          <t>A 44717-2025</t>
        </is>
      </c>
      <c r="B6988" t="inlineStr">
        <is>
          <t>avverkningsanmälan</t>
        </is>
      </c>
      <c r="C6988" t="inlineStr">
        <is>
          <t>Föryngringsavverkning</t>
        </is>
      </c>
      <c r="D6988" s="1" t="n">
        <v>45917</v>
      </c>
      <c r="E6988" s="1" t="n">
        <v>46326</v>
      </c>
      <c r="F6988" t="inlineStr">
        <is>
          <t>GÄVLEBORGS LÄN</t>
        </is>
      </c>
      <c r="G6988" t="inlineStr">
        <is>
          <t>SANDVIKEN</t>
        </is>
      </c>
      <c r="I6988" t="n">
        <v>2.3</v>
      </c>
      <c r="J6988" t="n">
        <v>0</v>
      </c>
      <c r="K6988" t="n">
        <v>0</v>
      </c>
      <c r="L6988" t="n">
        <v>0</v>
      </c>
      <c r="M6988" t="n">
        <v>0</v>
      </c>
      <c r="N6988" t="n">
        <v>0</v>
      </c>
      <c r="O6988" t="n">
        <v>0</v>
      </c>
      <c r="P6988" t="n">
        <v>0</v>
      </c>
      <c r="Q6988" t="n">
        <v>0</v>
      </c>
      <c r="R6988" t="n">
        <v>0</v>
      </c>
      <c r="S6988" t="n">
        <v>0</v>
      </c>
      <c r="T6988" t="n">
        <v>0</v>
      </c>
      <c r="U6988" t="n">
        <v>0</v>
      </c>
      <c r="V6988" s="2" t="inlineStr"/>
    </row>
    <row r="6989" ht="15" customHeight="1">
      <c r="A6989" t="inlineStr">
        <is>
          <t>A 20204-2026</t>
        </is>
      </c>
      <c r="B6989" t="inlineStr">
        <is>
          <t>avverkningsanmälan</t>
        </is>
      </c>
      <c r="C6989" t="inlineStr">
        <is>
          <t>Föryngringsavverkning</t>
        </is>
      </c>
      <c r="D6989" s="1" t="n">
        <v>46139</v>
      </c>
      <c r="E6989" s="1" t="n">
        <v>46326</v>
      </c>
      <c r="F6989" t="inlineStr">
        <is>
          <t>GÄVLEBORGS LÄN</t>
        </is>
      </c>
      <c r="G6989" t="inlineStr">
        <is>
          <t>HUDIKSVALL</t>
        </is>
      </c>
      <c r="H6989" t="inlineStr">
        <is>
          <t>Holmen skog AB</t>
        </is>
      </c>
      <c r="I6989" t="n">
        <v>3.6</v>
      </c>
      <c r="J6989" t="n">
        <v>0</v>
      </c>
      <c r="K6989" t="n">
        <v>0</v>
      </c>
      <c r="L6989" t="n">
        <v>0</v>
      </c>
      <c r="M6989" t="n">
        <v>0</v>
      </c>
      <c r="N6989" t="n">
        <v>0</v>
      </c>
      <c r="O6989" t="n">
        <v>0</v>
      </c>
      <c r="P6989" t="n">
        <v>0</v>
      </c>
      <c r="Q6989" t="n">
        <v>0</v>
      </c>
      <c r="R6989" t="n">
        <v>0</v>
      </c>
      <c r="S6989" t="n">
        <v>0</v>
      </c>
      <c r="T6989" t="n">
        <v>0</v>
      </c>
      <c r="U6989" t="n">
        <v>0</v>
      </c>
      <c r="V6989" s="2" t="inlineStr"/>
    </row>
    <row r="6990" ht="15" customHeight="1">
      <c r="A6990" t="inlineStr">
        <is>
          <t>A 5389-2026</t>
        </is>
      </c>
      <c r="B6990" t="inlineStr">
        <is>
          <t>avverkningsanmälan</t>
        </is>
      </c>
      <c r="C6990" t="inlineStr">
        <is>
          <t>Föryngringsavverkning</t>
        </is>
      </c>
      <c r="D6990" s="1" t="n">
        <v>46050</v>
      </c>
      <c r="E6990" s="1" t="n">
        <v>46326</v>
      </c>
      <c r="F6990" t="inlineStr">
        <is>
          <t>GÄVLEBORGS LÄN</t>
        </is>
      </c>
      <c r="G6990" t="inlineStr">
        <is>
          <t>OVANÅKER</t>
        </is>
      </c>
      <c r="I6990" t="n">
        <v>12.4</v>
      </c>
      <c r="J6990" t="n">
        <v>0</v>
      </c>
      <c r="K6990" t="n">
        <v>0</v>
      </c>
      <c r="L6990" t="n">
        <v>0</v>
      </c>
      <c r="M6990" t="n">
        <v>0</v>
      </c>
      <c r="N6990" t="n">
        <v>0</v>
      </c>
      <c r="O6990" t="n">
        <v>0</v>
      </c>
      <c r="P6990" t="n">
        <v>0</v>
      </c>
      <c r="Q6990" t="n">
        <v>0</v>
      </c>
      <c r="R6990" t="n">
        <v>0</v>
      </c>
      <c r="S6990" t="n">
        <v>0</v>
      </c>
      <c r="T6990" t="n">
        <v>0</v>
      </c>
      <c r="U6990" t="n">
        <v>0</v>
      </c>
      <c r="V6990" s="2" t="inlineStr"/>
    </row>
    <row r="6991" ht="15" customHeight="1">
      <c r="A6991" t="inlineStr">
        <is>
          <t>A 5577-2026</t>
        </is>
      </c>
      <c r="B6991" t="inlineStr">
        <is>
          <t>avverkningsanmälan</t>
        </is>
      </c>
      <c r="C6991" t="inlineStr">
        <is>
          <t>Föryngringsavverkning</t>
        </is>
      </c>
      <c r="D6991" s="1" t="n">
        <v>46051</v>
      </c>
      <c r="E6991" s="1" t="n">
        <v>46326</v>
      </c>
      <c r="F6991" t="inlineStr">
        <is>
          <t>GÄVLEBORGS LÄN</t>
        </is>
      </c>
      <c r="G6991" t="inlineStr">
        <is>
          <t>BOLLNÄS</t>
        </is>
      </c>
      <c r="I6991" t="n">
        <v>3.9</v>
      </c>
      <c r="J6991" t="n">
        <v>0</v>
      </c>
      <c r="K6991" t="n">
        <v>0</v>
      </c>
      <c r="L6991" t="n">
        <v>0</v>
      </c>
      <c r="M6991" t="n">
        <v>0</v>
      </c>
      <c r="N6991" t="n">
        <v>0</v>
      </c>
      <c r="O6991" t="n">
        <v>0</v>
      </c>
      <c r="P6991" t="n">
        <v>0</v>
      </c>
      <c r="Q6991" t="n">
        <v>0</v>
      </c>
      <c r="R6991" t="n">
        <v>0</v>
      </c>
      <c r="S6991" t="n">
        <v>0</v>
      </c>
      <c r="T6991" t="n">
        <v>0</v>
      </c>
      <c r="U6991" t="n">
        <v>0</v>
      </c>
      <c r="V6991" s="2" t="inlineStr"/>
    </row>
    <row r="6992" ht="15" customHeight="1">
      <c r="A6992" t="inlineStr">
        <is>
          <t>A 19946-2026</t>
        </is>
      </c>
      <c r="B6992" t="inlineStr">
        <is>
          <t>avverkningsanmälan</t>
        </is>
      </c>
      <c r="C6992" t="inlineStr">
        <is>
          <t>Föryngringsavverkning</t>
        </is>
      </c>
      <c r="D6992" s="1" t="n">
        <v>46136</v>
      </c>
      <c r="E6992" s="1" t="n">
        <v>46326</v>
      </c>
      <c r="F6992" t="inlineStr">
        <is>
          <t>GÄVLEBORGS LÄN</t>
        </is>
      </c>
      <c r="G6992" t="inlineStr">
        <is>
          <t>HUDIKSVALL</t>
        </is>
      </c>
      <c r="I6992" t="n">
        <v>0.9</v>
      </c>
      <c r="J6992" t="n">
        <v>0</v>
      </c>
      <c r="K6992" t="n">
        <v>0</v>
      </c>
      <c r="L6992" t="n">
        <v>0</v>
      </c>
      <c r="M6992" t="n">
        <v>0</v>
      </c>
      <c r="N6992" t="n">
        <v>0</v>
      </c>
      <c r="O6992" t="n">
        <v>0</v>
      </c>
      <c r="P6992" t="n">
        <v>0</v>
      </c>
      <c r="Q6992" t="n">
        <v>0</v>
      </c>
      <c r="R6992" t="n">
        <v>0</v>
      </c>
      <c r="S6992" t="n">
        <v>0</v>
      </c>
      <c r="T6992" t="n">
        <v>0</v>
      </c>
      <c r="U6992" t="n">
        <v>0</v>
      </c>
      <c r="V6992" s="2" t="inlineStr"/>
    </row>
    <row r="6993" ht="15" customHeight="1">
      <c r="A6993" t="inlineStr">
        <is>
          <t>A 19947-2026</t>
        </is>
      </c>
      <c r="B6993" t="inlineStr">
        <is>
          <t>avverkningsanmälan</t>
        </is>
      </c>
      <c r="C6993" t="inlineStr">
        <is>
          <t>Föryngringsavverkning</t>
        </is>
      </c>
      <c r="D6993" s="1" t="n">
        <v>46136</v>
      </c>
      <c r="E6993" s="1" t="n">
        <v>46326</v>
      </c>
      <c r="F6993" t="inlineStr">
        <is>
          <t>GÄVLEBORGS LÄN</t>
        </is>
      </c>
      <c r="G6993" t="inlineStr">
        <is>
          <t>HUDIKSVALL</t>
        </is>
      </c>
      <c r="I6993" t="n">
        <v>1.1</v>
      </c>
      <c r="J6993" t="n">
        <v>0</v>
      </c>
      <c r="K6993" t="n">
        <v>0</v>
      </c>
      <c r="L6993" t="n">
        <v>0</v>
      </c>
      <c r="M6993" t="n">
        <v>0</v>
      </c>
      <c r="N6993" t="n">
        <v>0</v>
      </c>
      <c r="O6993" t="n">
        <v>0</v>
      </c>
      <c r="P6993" t="n">
        <v>0</v>
      </c>
      <c r="Q6993" t="n">
        <v>0</v>
      </c>
      <c r="R6993" t="n">
        <v>0</v>
      </c>
      <c r="S6993" t="n">
        <v>0</v>
      </c>
      <c r="T6993" t="n">
        <v>0</v>
      </c>
      <c r="U6993" t="n">
        <v>0</v>
      </c>
      <c r="V6993" s="2" t="inlineStr"/>
    </row>
    <row r="6994" ht="15" customHeight="1">
      <c r="A6994" t="inlineStr">
        <is>
          <t>A 8521-2026</t>
        </is>
      </c>
      <c r="B6994" t="inlineStr">
        <is>
          <t>avverkningsanmälan</t>
        </is>
      </c>
      <c r="C6994" t="inlineStr">
        <is>
          <t>Föryngringsavverkning</t>
        </is>
      </c>
      <c r="D6994" s="1" t="n">
        <v>46065</v>
      </c>
      <c r="E6994" s="1" t="n">
        <v>46326</v>
      </c>
      <c r="F6994" t="inlineStr">
        <is>
          <t>GÄVLEBORGS LÄN</t>
        </is>
      </c>
      <c r="G6994" t="inlineStr">
        <is>
          <t>OCKELBO</t>
        </is>
      </c>
      <c r="H6994" t="inlineStr">
        <is>
          <t>Bergvik skog väst AB</t>
        </is>
      </c>
      <c r="I6994" t="n">
        <v>12.5</v>
      </c>
      <c r="J6994" t="n">
        <v>0</v>
      </c>
      <c r="K6994" t="n">
        <v>0</v>
      </c>
      <c r="L6994" t="n">
        <v>0</v>
      </c>
      <c r="M6994" t="n">
        <v>0</v>
      </c>
      <c r="N6994" t="n">
        <v>0</v>
      </c>
      <c r="O6994" t="n">
        <v>0</v>
      </c>
      <c r="P6994" t="n">
        <v>0</v>
      </c>
      <c r="Q6994" t="n">
        <v>0</v>
      </c>
      <c r="R6994" t="n">
        <v>0</v>
      </c>
      <c r="S6994" t="n">
        <v>0</v>
      </c>
      <c r="T6994" t="n">
        <v>0</v>
      </c>
      <c r="U6994" t="n">
        <v>0</v>
      </c>
      <c r="V6994" s="2" t="inlineStr"/>
    </row>
    <row r="6995" ht="15" customHeight="1">
      <c r="A6995" t="inlineStr">
        <is>
          <t>A 8594-2026</t>
        </is>
      </c>
      <c r="B6995" t="inlineStr">
        <is>
          <t>avverkningsanmälan</t>
        </is>
      </c>
      <c r="C6995" t="inlineStr">
        <is>
          <t>Föryngringsavverkning</t>
        </is>
      </c>
      <c r="D6995" s="1" t="n">
        <v>46065</v>
      </c>
      <c r="E6995" s="1" t="n">
        <v>46326</v>
      </c>
      <c r="F6995" t="inlineStr">
        <is>
          <t>GÄVLEBORGS LÄN</t>
        </is>
      </c>
      <c r="G6995" t="inlineStr">
        <is>
          <t>BOLLNÄS</t>
        </is>
      </c>
      <c r="I6995" t="n">
        <v>17.2</v>
      </c>
      <c r="J6995" t="n">
        <v>0</v>
      </c>
      <c r="K6995" t="n">
        <v>0</v>
      </c>
      <c r="L6995" t="n">
        <v>0</v>
      </c>
      <c r="M6995" t="n">
        <v>0</v>
      </c>
      <c r="N6995" t="n">
        <v>0</v>
      </c>
      <c r="O6995" t="n">
        <v>0</v>
      </c>
      <c r="P6995" t="n">
        <v>0</v>
      </c>
      <c r="Q6995" t="n">
        <v>0</v>
      </c>
      <c r="R6995" t="n">
        <v>0</v>
      </c>
      <c r="S6995" t="n">
        <v>0</v>
      </c>
      <c r="T6995" t="n">
        <v>0</v>
      </c>
      <c r="U6995" t="n">
        <v>0</v>
      </c>
      <c r="V6995" s="2" t="inlineStr"/>
    </row>
    <row r="6996" ht="15" customHeight="1">
      <c r="A6996" t="inlineStr">
        <is>
          <t>A 15720-2026</t>
        </is>
      </c>
      <c r="B6996" t="inlineStr">
        <is>
          <t>avverkningsanmälan</t>
        </is>
      </c>
      <c r="C6996" t="inlineStr">
        <is>
          <t>Föryngringsavverkning</t>
        </is>
      </c>
      <c r="D6996" s="1" t="n">
        <v>46107</v>
      </c>
      <c r="E6996" s="1" t="n">
        <v>46326</v>
      </c>
      <c r="F6996" t="inlineStr">
        <is>
          <t>GÄVLEBORGS LÄN</t>
        </is>
      </c>
      <c r="G6996" t="inlineStr">
        <is>
          <t>OVANÅKER</t>
        </is>
      </c>
      <c r="I6996" t="n">
        <v>1.2</v>
      </c>
      <c r="J6996" t="n">
        <v>0</v>
      </c>
      <c r="K6996" t="n">
        <v>0</v>
      </c>
      <c r="L6996" t="n">
        <v>0</v>
      </c>
      <c r="M6996" t="n">
        <v>0</v>
      </c>
      <c r="N6996" t="n">
        <v>0</v>
      </c>
      <c r="O6996" t="n">
        <v>0</v>
      </c>
      <c r="P6996" t="n">
        <v>0</v>
      </c>
      <c r="Q6996" t="n">
        <v>0</v>
      </c>
      <c r="R6996" t="n">
        <v>0</v>
      </c>
      <c r="S6996" t="n">
        <v>0</v>
      </c>
      <c r="T6996" t="n">
        <v>0</v>
      </c>
      <c r="U6996" t="n">
        <v>0</v>
      </c>
      <c r="V6996" s="2" t="inlineStr"/>
    </row>
    <row r="6997" ht="15" customHeight="1">
      <c r="A6997" t="inlineStr">
        <is>
          <t>A 9667-2026</t>
        </is>
      </c>
      <c r="B6997" t="inlineStr">
        <is>
          <t>avverkningsanmälan</t>
        </is>
      </c>
      <c r="C6997" t="inlineStr">
        <is>
          <t>Föryngringsavverkning</t>
        </is>
      </c>
      <c r="D6997" s="1" t="n">
        <v>46072</v>
      </c>
      <c r="E6997" s="1" t="n">
        <v>46326</v>
      </c>
      <c r="F6997" t="inlineStr">
        <is>
          <t>GÄVLEBORGS LÄN</t>
        </is>
      </c>
      <c r="G6997" t="inlineStr">
        <is>
          <t>BOLLNÄS</t>
        </is>
      </c>
      <c r="I6997" t="n">
        <v>3.3</v>
      </c>
      <c r="J6997" t="n">
        <v>0</v>
      </c>
      <c r="K6997" t="n">
        <v>0</v>
      </c>
      <c r="L6997" t="n">
        <v>0</v>
      </c>
      <c r="M6997" t="n">
        <v>0</v>
      </c>
      <c r="N6997" t="n">
        <v>0</v>
      </c>
      <c r="O6997" t="n">
        <v>0</v>
      </c>
      <c r="P6997" t="n">
        <v>0</v>
      </c>
      <c r="Q6997" t="n">
        <v>0</v>
      </c>
      <c r="R6997" t="n">
        <v>0</v>
      </c>
      <c r="S6997" t="n">
        <v>0</v>
      </c>
      <c r="T6997" t="n">
        <v>0</v>
      </c>
      <c r="U6997" t="n">
        <v>0</v>
      </c>
      <c r="V6997" s="2" t="inlineStr"/>
    </row>
    <row r="6998" ht="15" customHeight="1">
      <c r="A6998" t="inlineStr">
        <is>
          <t>A 26531-2023</t>
        </is>
      </c>
      <c r="B6998" t="inlineStr">
        <is>
          <t>avverkningsanmälan</t>
        </is>
      </c>
      <c r="C6998" t="inlineStr">
        <is>
          <t>Föryngringsavverkning</t>
        </is>
      </c>
      <c r="D6998" s="1" t="n">
        <v>45092</v>
      </c>
      <c r="E6998" s="1" t="n">
        <v>46326</v>
      </c>
      <c r="F6998" t="inlineStr">
        <is>
          <t>GÄVLEBORGS LÄN</t>
        </is>
      </c>
      <c r="G6998" t="inlineStr">
        <is>
          <t>BOLLNÄS</t>
        </is>
      </c>
      <c r="I6998" t="n">
        <v>1.5</v>
      </c>
      <c r="J6998" t="n">
        <v>0</v>
      </c>
      <c r="K6998" t="n">
        <v>0</v>
      </c>
      <c r="L6998" t="n">
        <v>0</v>
      </c>
      <c r="M6998" t="n">
        <v>0</v>
      </c>
      <c r="N6998" t="n">
        <v>0</v>
      </c>
      <c r="O6998" t="n">
        <v>0</v>
      </c>
      <c r="P6998" t="n">
        <v>0</v>
      </c>
      <c r="Q6998" t="n">
        <v>0</v>
      </c>
      <c r="R6998" t="n">
        <v>0</v>
      </c>
      <c r="S6998" t="n">
        <v>0</v>
      </c>
      <c r="T6998" t="n">
        <v>0</v>
      </c>
      <c r="U6998" t="n">
        <v>0</v>
      </c>
      <c r="V6998" s="2" t="inlineStr"/>
    </row>
    <row r="6999" ht="15" customHeight="1">
      <c r="A6999" t="inlineStr">
        <is>
          <t>A 6949-2026</t>
        </is>
      </c>
      <c r="B6999" t="inlineStr">
        <is>
          <t>avverkningsanmälan</t>
        </is>
      </c>
      <c r="C6999" t="inlineStr">
        <is>
          <t>Föryngringsavverkning</t>
        </is>
      </c>
      <c r="D6999" s="1" t="n">
        <v>46057</v>
      </c>
      <c r="E6999" s="1" t="n">
        <v>46326</v>
      </c>
      <c r="F6999" t="inlineStr">
        <is>
          <t>GÄVLEBORGS LÄN</t>
        </is>
      </c>
      <c r="G6999" t="inlineStr">
        <is>
          <t>LJUSDAL</t>
        </is>
      </c>
      <c r="I6999" t="n">
        <v>1.9</v>
      </c>
      <c r="J6999" t="n">
        <v>0</v>
      </c>
      <c r="K6999" t="n">
        <v>0</v>
      </c>
      <c r="L6999" t="n">
        <v>0</v>
      </c>
      <c r="M6999" t="n">
        <v>0</v>
      </c>
      <c r="N6999" t="n">
        <v>0</v>
      </c>
      <c r="O6999" t="n">
        <v>0</v>
      </c>
      <c r="P6999" t="n">
        <v>0</v>
      </c>
      <c r="Q6999" t="n">
        <v>0</v>
      </c>
      <c r="R6999" t="n">
        <v>0</v>
      </c>
      <c r="S6999" t="n">
        <v>0</v>
      </c>
      <c r="T6999" t="n">
        <v>0</v>
      </c>
      <c r="U6999" t="n">
        <v>0</v>
      </c>
      <c r="V6999" s="2" t="inlineStr"/>
    </row>
    <row r="7000" ht="15" customHeight="1">
      <c r="A7000" t="inlineStr">
        <is>
          <t>A 3353-2026</t>
        </is>
      </c>
      <c r="B7000" t="inlineStr">
        <is>
          <t>avverkningsanmälan</t>
        </is>
      </c>
      <c r="C7000" t="inlineStr">
        <is>
          <t>Föryngringsavverkning</t>
        </is>
      </c>
      <c r="D7000" s="1" t="n">
        <v>46042</v>
      </c>
      <c r="E7000" s="1" t="n">
        <v>46326</v>
      </c>
      <c r="F7000" t="inlineStr">
        <is>
          <t>GÄVLEBORGS LÄN</t>
        </is>
      </c>
      <c r="G7000" t="inlineStr">
        <is>
          <t>BOLLNÄS</t>
        </is>
      </c>
      <c r="I7000" t="n">
        <v>5.5</v>
      </c>
      <c r="J7000" t="n">
        <v>0</v>
      </c>
      <c r="K7000" t="n">
        <v>0</v>
      </c>
      <c r="L7000" t="n">
        <v>0</v>
      </c>
      <c r="M7000" t="n">
        <v>0</v>
      </c>
      <c r="N7000" t="n">
        <v>0</v>
      </c>
      <c r="O7000" t="n">
        <v>0</v>
      </c>
      <c r="P7000" t="n">
        <v>0</v>
      </c>
      <c r="Q7000" t="n">
        <v>0</v>
      </c>
      <c r="R7000" t="n">
        <v>0</v>
      </c>
      <c r="S7000" t="n">
        <v>0</v>
      </c>
      <c r="T7000" t="n">
        <v>0</v>
      </c>
      <c r="U7000" t="n">
        <v>0</v>
      </c>
      <c r="V7000" s="2" t="inlineStr"/>
    </row>
    <row r="7001" ht="15" customHeight="1">
      <c r="A7001" t="inlineStr">
        <is>
          <t>A 27628-2025</t>
        </is>
      </c>
      <c r="B7001" t="inlineStr">
        <is>
          <t>avverkningsanmälan</t>
        </is>
      </c>
      <c r="C7001" t="inlineStr">
        <is>
          <t>Föryngringsavverkning</t>
        </is>
      </c>
      <c r="D7001" s="1" t="n">
        <v>45813</v>
      </c>
      <c r="E7001" s="1" t="n">
        <v>46326</v>
      </c>
      <c r="F7001" t="inlineStr">
        <is>
          <t>GÄVLEBORGS LÄN</t>
        </is>
      </c>
      <c r="G7001" t="inlineStr">
        <is>
          <t>OVANÅKER</t>
        </is>
      </c>
      <c r="H7001" t="inlineStr">
        <is>
          <t>Bergvik skog väst AB</t>
        </is>
      </c>
      <c r="I7001" t="n">
        <v>5.8</v>
      </c>
      <c r="J7001" t="n">
        <v>0</v>
      </c>
      <c r="K7001" t="n">
        <v>0</v>
      </c>
      <c r="L7001" t="n">
        <v>0</v>
      </c>
      <c r="M7001" t="n">
        <v>0</v>
      </c>
      <c r="N7001" t="n">
        <v>0</v>
      </c>
      <c r="O7001" t="n">
        <v>0</v>
      </c>
      <c r="P7001" t="n">
        <v>0</v>
      </c>
      <c r="Q7001" t="n">
        <v>0</v>
      </c>
      <c r="R7001" t="n">
        <v>0</v>
      </c>
      <c r="S7001" t="n">
        <v>0</v>
      </c>
      <c r="T7001" t="n">
        <v>0</v>
      </c>
      <c r="U7001" t="n">
        <v>0</v>
      </c>
      <c r="V7001" s="2" t="inlineStr"/>
    </row>
    <row r="7002" ht="15" customHeight="1">
      <c r="A7002" t="inlineStr">
        <is>
          <t>A 903-2026</t>
        </is>
      </c>
      <c r="B7002" t="inlineStr">
        <is>
          <t>avverkningsanmälan</t>
        </is>
      </c>
      <c r="C7002" t="inlineStr">
        <is>
          <t>Föryngringsavverkning</t>
        </is>
      </c>
      <c r="D7002" s="1" t="n">
        <v>46030</v>
      </c>
      <c r="E7002" s="1" t="n">
        <v>46326</v>
      </c>
      <c r="F7002" t="inlineStr">
        <is>
          <t>GÄVLEBORGS LÄN</t>
        </is>
      </c>
      <c r="G7002" t="inlineStr">
        <is>
          <t>OVANÅKER</t>
        </is>
      </c>
      <c r="I7002" t="n">
        <v>1.4</v>
      </c>
      <c r="J7002" t="n">
        <v>0</v>
      </c>
      <c r="K7002" t="n">
        <v>0</v>
      </c>
      <c r="L7002" t="n">
        <v>0</v>
      </c>
      <c r="M7002" t="n">
        <v>0</v>
      </c>
      <c r="N7002" t="n">
        <v>0</v>
      </c>
      <c r="O7002" t="n">
        <v>0</v>
      </c>
      <c r="P7002" t="n">
        <v>0</v>
      </c>
      <c r="Q7002" t="n">
        <v>0</v>
      </c>
      <c r="R7002" t="n">
        <v>0</v>
      </c>
      <c r="S7002" t="n">
        <v>0</v>
      </c>
      <c r="T7002" t="n">
        <v>0</v>
      </c>
      <c r="U7002" t="n">
        <v>0</v>
      </c>
      <c r="V7002" s="2" t="inlineStr"/>
    </row>
    <row r="7003" ht="15" customHeight="1">
      <c r="A7003" t="inlineStr">
        <is>
          <t>A 304-2026</t>
        </is>
      </c>
      <c r="B7003" t="inlineStr">
        <is>
          <t>avverkningsanmälan</t>
        </is>
      </c>
      <c r="C7003" t="inlineStr">
        <is>
          <t>Föryngringsavverkning</t>
        </is>
      </c>
      <c r="D7003" s="1" t="n">
        <v>46027</v>
      </c>
      <c r="E7003" s="1" t="n">
        <v>46326</v>
      </c>
      <c r="F7003" t="inlineStr">
        <is>
          <t>GÄVLEBORGS LÄN</t>
        </is>
      </c>
      <c r="G7003" t="inlineStr">
        <is>
          <t>LJUSDAL</t>
        </is>
      </c>
      <c r="I7003" t="n">
        <v>4.9</v>
      </c>
      <c r="J7003" t="n">
        <v>0</v>
      </c>
      <c r="K7003" t="n">
        <v>0</v>
      </c>
      <c r="L7003" t="n">
        <v>0</v>
      </c>
      <c r="M7003" t="n">
        <v>0</v>
      </c>
      <c r="N7003" t="n">
        <v>0</v>
      </c>
      <c r="O7003" t="n">
        <v>0</v>
      </c>
      <c r="P7003" t="n">
        <v>0</v>
      </c>
      <c r="Q7003" t="n">
        <v>0</v>
      </c>
      <c r="R7003" t="n">
        <v>0</v>
      </c>
      <c r="S7003" t="n">
        <v>0</v>
      </c>
      <c r="T7003" t="n">
        <v>0</v>
      </c>
      <c r="U7003" t="n">
        <v>0</v>
      </c>
      <c r="V7003" s="2" t="inlineStr"/>
    </row>
    <row r="7004" ht="15" customHeight="1">
      <c r="A7004" t="inlineStr">
        <is>
          <t>A 543-2026</t>
        </is>
      </c>
      <c r="B7004" t="inlineStr">
        <is>
          <t>avverkningsanmälan</t>
        </is>
      </c>
      <c r="C7004" t="inlineStr">
        <is>
          <t>Föryngringsavverkning</t>
        </is>
      </c>
      <c r="D7004" s="1" t="n">
        <v>46029</v>
      </c>
      <c r="E7004" s="1" t="n">
        <v>46326</v>
      </c>
      <c r="F7004" t="inlineStr">
        <is>
          <t>GÄVLEBORGS LÄN</t>
        </is>
      </c>
      <c r="G7004" t="inlineStr">
        <is>
          <t>BOLLNÄS</t>
        </is>
      </c>
      <c r="I7004" t="n">
        <v>2.7</v>
      </c>
      <c r="J7004" t="n">
        <v>0</v>
      </c>
      <c r="K7004" t="n">
        <v>0</v>
      </c>
      <c r="L7004" t="n">
        <v>0</v>
      </c>
      <c r="M7004" t="n">
        <v>0</v>
      </c>
      <c r="N7004" t="n">
        <v>0</v>
      </c>
      <c r="O7004" t="n">
        <v>0</v>
      </c>
      <c r="P7004" t="n">
        <v>0</v>
      </c>
      <c r="Q7004" t="n">
        <v>0</v>
      </c>
      <c r="R7004" t="n">
        <v>0</v>
      </c>
      <c r="S7004" t="n">
        <v>0</v>
      </c>
      <c r="T7004" t="n">
        <v>0</v>
      </c>
      <c r="U7004" t="n">
        <v>0</v>
      </c>
      <c r="V7004" s="2" t="inlineStr"/>
    </row>
    <row r="7005" ht="15" customHeight="1">
      <c r="A7005" t="inlineStr">
        <is>
          <t>A 5081-2026</t>
        </is>
      </c>
      <c r="B7005" t="inlineStr">
        <is>
          <t>avverkningsanmälan</t>
        </is>
      </c>
      <c r="C7005" t="inlineStr">
        <is>
          <t>Föryngringsavverkning</t>
        </is>
      </c>
      <c r="D7005" s="1" t="n">
        <v>46049</v>
      </c>
      <c r="E7005" s="1" t="n">
        <v>46326</v>
      </c>
      <c r="F7005" t="inlineStr">
        <is>
          <t>GÄVLEBORGS LÄN</t>
        </is>
      </c>
      <c r="G7005" t="inlineStr">
        <is>
          <t>OVANÅKER</t>
        </is>
      </c>
      <c r="I7005" t="n">
        <v>0.9</v>
      </c>
      <c r="J7005" t="n">
        <v>0</v>
      </c>
      <c r="K7005" t="n">
        <v>0</v>
      </c>
      <c r="L7005" t="n">
        <v>0</v>
      </c>
      <c r="M7005" t="n">
        <v>0</v>
      </c>
      <c r="N7005" t="n">
        <v>0</v>
      </c>
      <c r="O7005" t="n">
        <v>0</v>
      </c>
      <c r="P7005" t="n">
        <v>0</v>
      </c>
      <c r="Q7005" t="n">
        <v>0</v>
      </c>
      <c r="R7005" t="n">
        <v>0</v>
      </c>
      <c r="S7005" t="n">
        <v>0</v>
      </c>
      <c r="T7005" t="n">
        <v>0</v>
      </c>
      <c r="U7005" t="n">
        <v>0</v>
      </c>
      <c r="V7005" s="2" t="inlineStr"/>
    </row>
    <row r="7006" ht="15" customHeight="1">
      <c r="A7006" t="inlineStr">
        <is>
          <t>A 15826-2026</t>
        </is>
      </c>
      <c r="B7006" t="inlineStr">
        <is>
          <t>avverkningsanmälan</t>
        </is>
      </c>
      <c r="C7006" t="inlineStr">
        <is>
          <t>Föryngringsavverkning</t>
        </is>
      </c>
      <c r="D7006" s="1" t="n">
        <v>46107</v>
      </c>
      <c r="E7006" s="1" t="n">
        <v>46326</v>
      </c>
      <c r="F7006" t="inlineStr">
        <is>
          <t>GÄVLEBORGS LÄN</t>
        </is>
      </c>
      <c r="G7006" t="inlineStr">
        <is>
          <t>BOLLNÄS</t>
        </is>
      </c>
      <c r="H7006" t="inlineStr">
        <is>
          <t>Bergvik skog väst AB</t>
        </is>
      </c>
      <c r="I7006" t="n">
        <v>0.8</v>
      </c>
      <c r="J7006" t="n">
        <v>0</v>
      </c>
      <c r="K7006" t="n">
        <v>0</v>
      </c>
      <c r="L7006" t="n">
        <v>0</v>
      </c>
      <c r="M7006" t="n">
        <v>0</v>
      </c>
      <c r="N7006" t="n">
        <v>0</v>
      </c>
      <c r="O7006" t="n">
        <v>0</v>
      </c>
      <c r="P7006" t="n">
        <v>0</v>
      </c>
      <c r="Q7006" t="n">
        <v>0</v>
      </c>
      <c r="R7006" t="n">
        <v>0</v>
      </c>
      <c r="S7006" t="n">
        <v>0</v>
      </c>
      <c r="T7006" t="n">
        <v>0</v>
      </c>
      <c r="U7006" t="n">
        <v>0</v>
      </c>
      <c r="V7006" s="2" t="inlineStr"/>
    </row>
    <row r="7007" ht="15" customHeight="1">
      <c r="A7007" t="inlineStr">
        <is>
          <t>A 36512-2025</t>
        </is>
      </c>
      <c r="B7007" t="inlineStr">
        <is>
          <t>avverkningsanmälan</t>
        </is>
      </c>
      <c r="C7007" t="inlineStr">
        <is>
          <t>Föryngringsavverkning</t>
        </is>
      </c>
      <c r="D7007" s="1" t="n">
        <v>45869</v>
      </c>
      <c r="E7007" s="1" t="n">
        <v>46326</v>
      </c>
      <c r="F7007" t="inlineStr">
        <is>
          <t>GÄVLEBORGS LÄN</t>
        </is>
      </c>
      <c r="G7007" t="inlineStr">
        <is>
          <t>GÄVLE</t>
        </is>
      </c>
      <c r="I7007" t="n">
        <v>2.4</v>
      </c>
      <c r="J7007" t="n">
        <v>0</v>
      </c>
      <c r="K7007" t="n">
        <v>0</v>
      </c>
      <c r="L7007" t="n">
        <v>0</v>
      </c>
      <c r="M7007" t="n">
        <v>0</v>
      </c>
      <c r="N7007" t="n">
        <v>0</v>
      </c>
      <c r="O7007" t="n">
        <v>0</v>
      </c>
      <c r="P7007" t="n">
        <v>0</v>
      </c>
      <c r="Q7007" t="n">
        <v>0</v>
      </c>
      <c r="R7007" t="n">
        <v>0</v>
      </c>
      <c r="S7007" t="n">
        <v>0</v>
      </c>
      <c r="T7007" t="n">
        <v>0</v>
      </c>
      <c r="U7007" t="n">
        <v>0</v>
      </c>
      <c r="V7007" s="2" t="inlineStr"/>
    </row>
    <row r="7008" ht="15" customHeight="1">
      <c r="A7008" t="inlineStr">
        <is>
          <t>A 44681-2024</t>
        </is>
      </c>
      <c r="B7008" t="inlineStr">
        <is>
          <t>avverkningsanmälan</t>
        </is>
      </c>
      <c r="C7008" t="inlineStr">
        <is>
          <t>Föryngringsavverkning</t>
        </is>
      </c>
      <c r="D7008" s="1" t="n">
        <v>45574</v>
      </c>
      <c r="E7008" s="1" t="n">
        <v>46326</v>
      </c>
      <c r="F7008" t="inlineStr">
        <is>
          <t>GÄVLEBORGS LÄN</t>
        </is>
      </c>
      <c r="G7008" t="inlineStr">
        <is>
          <t>SÖDERHAMN</t>
        </is>
      </c>
      <c r="I7008" t="n">
        <v>1</v>
      </c>
      <c r="J7008" t="n">
        <v>0</v>
      </c>
      <c r="K7008" t="n">
        <v>0</v>
      </c>
      <c r="L7008" t="n">
        <v>0</v>
      </c>
      <c r="M7008" t="n">
        <v>0</v>
      </c>
      <c r="N7008" t="n">
        <v>0</v>
      </c>
      <c r="O7008" t="n">
        <v>0</v>
      </c>
      <c r="P7008" t="n">
        <v>0</v>
      </c>
      <c r="Q7008" t="n">
        <v>0</v>
      </c>
      <c r="R7008" t="n">
        <v>0</v>
      </c>
      <c r="S7008" t="n">
        <v>0</v>
      </c>
      <c r="T7008" t="n">
        <v>0</v>
      </c>
      <c r="U7008" t="n">
        <v>0</v>
      </c>
      <c r="V7008" s="2" t="inlineStr"/>
    </row>
    <row r="7009" ht="15" customHeight="1">
      <c r="A7009" t="inlineStr">
        <is>
          <t>A 20222-2026</t>
        </is>
      </c>
      <c r="B7009" t="inlineStr">
        <is>
          <t>avverkningsanmälan</t>
        </is>
      </c>
      <c r="C7009" t="inlineStr">
        <is>
          <t>Föryngringsavverkning</t>
        </is>
      </c>
      <c r="D7009" s="1" t="n">
        <v>46139</v>
      </c>
      <c r="E7009" s="1" t="n">
        <v>46326</v>
      </c>
      <c r="F7009" t="inlineStr">
        <is>
          <t>GÄVLEBORGS LÄN</t>
        </is>
      </c>
      <c r="G7009" t="inlineStr">
        <is>
          <t>BOLLNÄS</t>
        </is>
      </c>
      <c r="I7009" t="n">
        <v>18.3</v>
      </c>
      <c r="J7009" t="n">
        <v>0</v>
      </c>
      <c r="K7009" t="n">
        <v>0</v>
      </c>
      <c r="L7009" t="n">
        <v>0</v>
      </c>
      <c r="M7009" t="n">
        <v>0</v>
      </c>
      <c r="N7009" t="n">
        <v>0</v>
      </c>
      <c r="O7009" t="n">
        <v>0</v>
      </c>
      <c r="P7009" t="n">
        <v>0</v>
      </c>
      <c r="Q7009" t="n">
        <v>0</v>
      </c>
      <c r="R7009" t="n">
        <v>0</v>
      </c>
      <c r="S7009" t="n">
        <v>0</v>
      </c>
      <c r="T7009" t="n">
        <v>0</v>
      </c>
      <c r="U7009" t="n">
        <v>0</v>
      </c>
      <c r="V7009" s="2" t="inlineStr"/>
    </row>
    <row r="7010" ht="15" customHeight="1">
      <c r="A7010" t="inlineStr">
        <is>
          <t>A 8662-2025</t>
        </is>
      </c>
      <c r="B7010" t="inlineStr">
        <is>
          <t>avverkningsanmälan</t>
        </is>
      </c>
      <c r="C7010" t="inlineStr">
        <is>
          <t>Föryngringsavverkning</t>
        </is>
      </c>
      <c r="D7010" s="1" t="n">
        <v>45712</v>
      </c>
      <c r="E7010" s="1" t="n">
        <v>46326</v>
      </c>
      <c r="F7010" t="inlineStr">
        <is>
          <t>GÄVLEBORGS LÄN</t>
        </is>
      </c>
      <c r="G7010" t="inlineStr">
        <is>
          <t>OCKELBO</t>
        </is>
      </c>
      <c r="I7010" t="n">
        <v>14.7</v>
      </c>
      <c r="J7010" t="n">
        <v>0</v>
      </c>
      <c r="K7010" t="n">
        <v>0</v>
      </c>
      <c r="L7010" t="n">
        <v>0</v>
      </c>
      <c r="M7010" t="n">
        <v>0</v>
      </c>
      <c r="N7010" t="n">
        <v>0</v>
      </c>
      <c r="O7010" t="n">
        <v>0</v>
      </c>
      <c r="P7010" t="n">
        <v>0</v>
      </c>
      <c r="Q7010" t="n">
        <v>0</v>
      </c>
      <c r="R7010" t="n">
        <v>0</v>
      </c>
      <c r="S7010" t="n">
        <v>0</v>
      </c>
      <c r="T7010" t="n">
        <v>0</v>
      </c>
      <c r="U7010" t="n">
        <v>0</v>
      </c>
      <c r="V7010" s="2" t="inlineStr"/>
    </row>
    <row r="7011" ht="15" customHeight="1">
      <c r="A7011" t="inlineStr">
        <is>
          <t>A 32685-2025</t>
        </is>
      </c>
      <c r="B7011" t="inlineStr">
        <is>
          <t>avverkningsanmälan</t>
        </is>
      </c>
      <c r="C7011" t="inlineStr">
        <is>
          <t>Föryngringsavverkning</t>
        </is>
      </c>
      <c r="D7011" s="1" t="n">
        <v>45838</v>
      </c>
      <c r="E7011" s="1" t="n">
        <v>46326</v>
      </c>
      <c r="F7011" t="inlineStr">
        <is>
          <t>GÄVLEBORGS LÄN</t>
        </is>
      </c>
      <c r="G7011" t="inlineStr">
        <is>
          <t>HUDIKSVALL</t>
        </is>
      </c>
      <c r="H7011" t="inlineStr">
        <is>
          <t>Holmen skog AB</t>
        </is>
      </c>
      <c r="I7011" t="n">
        <v>3.7</v>
      </c>
      <c r="J7011" t="n">
        <v>0</v>
      </c>
      <c r="K7011" t="n">
        <v>0</v>
      </c>
      <c r="L7011" t="n">
        <v>0</v>
      </c>
      <c r="M7011" t="n">
        <v>0</v>
      </c>
      <c r="N7011" t="n">
        <v>0</v>
      </c>
      <c r="O7011" t="n">
        <v>0</v>
      </c>
      <c r="P7011" t="n">
        <v>0</v>
      </c>
      <c r="Q7011" t="n">
        <v>0</v>
      </c>
      <c r="R7011" t="n">
        <v>0</v>
      </c>
      <c r="S7011" t="n">
        <v>0</v>
      </c>
      <c r="T7011" t="n">
        <v>0</v>
      </c>
      <c r="U7011" t="n">
        <v>0</v>
      </c>
      <c r="V7011" s="2" t="inlineStr"/>
    </row>
    <row r="7012" ht="15" customHeight="1">
      <c r="A7012" t="inlineStr">
        <is>
          <t>A 45102-2022</t>
        </is>
      </c>
      <c r="B7012" t="inlineStr">
        <is>
          <t>avverkningsanmälan</t>
        </is>
      </c>
      <c r="C7012" t="inlineStr">
        <is>
          <t>Föryngringsavverkning</t>
        </is>
      </c>
      <c r="D7012" s="1" t="n">
        <v>44843</v>
      </c>
      <c r="E7012" s="1" t="n">
        <v>46326</v>
      </c>
      <c r="F7012" t="inlineStr">
        <is>
          <t>GÄVLEBORGS LÄN</t>
        </is>
      </c>
      <c r="G7012" t="inlineStr">
        <is>
          <t>SANDVIKEN</t>
        </is>
      </c>
      <c r="I7012" t="n">
        <v>3.6</v>
      </c>
      <c r="J7012" t="n">
        <v>0</v>
      </c>
      <c r="K7012" t="n">
        <v>0</v>
      </c>
      <c r="L7012" t="n">
        <v>0</v>
      </c>
      <c r="M7012" t="n">
        <v>0</v>
      </c>
      <c r="N7012" t="n">
        <v>0</v>
      </c>
      <c r="O7012" t="n">
        <v>0</v>
      </c>
      <c r="P7012" t="n">
        <v>0</v>
      </c>
      <c r="Q7012" t="n">
        <v>0</v>
      </c>
      <c r="R7012" t="n">
        <v>0</v>
      </c>
      <c r="S7012" t="n">
        <v>0</v>
      </c>
      <c r="T7012" t="n">
        <v>0</v>
      </c>
      <c r="U7012" t="n">
        <v>0</v>
      </c>
      <c r="V7012" s="2" t="inlineStr"/>
    </row>
    <row r="7013" ht="15" customHeight="1">
      <c r="A7013" t="inlineStr">
        <is>
          <t>A 1860-2025</t>
        </is>
      </c>
      <c r="B7013" t="inlineStr">
        <is>
          <t>avverkningsanmälan</t>
        </is>
      </c>
      <c r="C7013" t="inlineStr">
        <is>
          <t>Föryngringsavverkning</t>
        </is>
      </c>
      <c r="D7013" s="1" t="n">
        <v>45671</v>
      </c>
      <c r="E7013" s="1" t="n">
        <v>46326</v>
      </c>
      <c r="F7013" t="inlineStr">
        <is>
          <t>GÄVLEBORGS LÄN</t>
        </is>
      </c>
      <c r="G7013" t="inlineStr">
        <is>
          <t>NORDANSTIG</t>
        </is>
      </c>
      <c r="H7013" t="inlineStr">
        <is>
          <t>Holmen skog AB</t>
        </is>
      </c>
      <c r="I7013" t="n">
        <v>5.2</v>
      </c>
      <c r="J7013" t="n">
        <v>0</v>
      </c>
      <c r="K7013" t="n">
        <v>0</v>
      </c>
      <c r="L7013" t="n">
        <v>0</v>
      </c>
      <c r="M7013" t="n">
        <v>0</v>
      </c>
      <c r="N7013" t="n">
        <v>0</v>
      </c>
      <c r="O7013" t="n">
        <v>0</v>
      </c>
      <c r="P7013" t="n">
        <v>0</v>
      </c>
      <c r="Q7013" t="n">
        <v>0</v>
      </c>
      <c r="R7013" t="n">
        <v>0</v>
      </c>
      <c r="S7013" t="n">
        <v>0</v>
      </c>
      <c r="T7013" t="n">
        <v>0</v>
      </c>
      <c r="U7013" t="n">
        <v>0</v>
      </c>
      <c r="V7013" s="2" t="inlineStr"/>
    </row>
    <row r="7014" ht="15" customHeight="1">
      <c r="A7014" t="inlineStr">
        <is>
          <t>A 14843-2026</t>
        </is>
      </c>
      <c r="B7014" t="inlineStr">
        <is>
          <t>avverkningsanmälan</t>
        </is>
      </c>
      <c r="C7014" t="inlineStr">
        <is>
          <t>Föryngringsavverkning</t>
        </is>
      </c>
      <c r="D7014" s="1" t="n">
        <v>46104</v>
      </c>
      <c r="E7014" s="1" t="n">
        <v>46326</v>
      </c>
      <c r="F7014" t="inlineStr">
        <is>
          <t>GÄVLEBORGS LÄN</t>
        </is>
      </c>
      <c r="G7014" t="inlineStr">
        <is>
          <t>LJUSDAL</t>
        </is>
      </c>
      <c r="I7014" t="n">
        <v>2</v>
      </c>
      <c r="J7014" t="n">
        <v>0</v>
      </c>
      <c r="K7014" t="n">
        <v>0</v>
      </c>
      <c r="L7014" t="n">
        <v>0</v>
      </c>
      <c r="M7014" t="n">
        <v>0</v>
      </c>
      <c r="N7014" t="n">
        <v>0</v>
      </c>
      <c r="O7014" t="n">
        <v>0</v>
      </c>
      <c r="P7014" t="n">
        <v>0</v>
      </c>
      <c r="Q7014" t="n">
        <v>0</v>
      </c>
      <c r="R7014" t="n">
        <v>0</v>
      </c>
      <c r="S7014" t="n">
        <v>0</v>
      </c>
      <c r="T7014" t="n">
        <v>0</v>
      </c>
      <c r="U7014" t="n">
        <v>0</v>
      </c>
      <c r="V7014" s="2" t="inlineStr"/>
    </row>
    <row r="7015" ht="15" customHeight="1">
      <c r="A7015" t="inlineStr">
        <is>
          <t>A 1774-2026</t>
        </is>
      </c>
      <c r="B7015" t="inlineStr">
        <is>
          <t>avverkningsanmälan</t>
        </is>
      </c>
      <c r="C7015" t="inlineStr">
        <is>
          <t>Föryngringsavverkning</t>
        </is>
      </c>
      <c r="D7015" s="1" t="n">
        <v>46034</v>
      </c>
      <c r="E7015" s="1" t="n">
        <v>46326</v>
      </c>
      <c r="F7015" t="inlineStr">
        <is>
          <t>GÄVLEBORGS LÄN</t>
        </is>
      </c>
      <c r="G7015" t="inlineStr">
        <is>
          <t>HUDIKSVALL</t>
        </is>
      </c>
      <c r="I7015" t="n">
        <v>1.4</v>
      </c>
      <c r="J7015" t="n">
        <v>0</v>
      </c>
      <c r="K7015" t="n">
        <v>0</v>
      </c>
      <c r="L7015" t="n">
        <v>0</v>
      </c>
      <c r="M7015" t="n">
        <v>0</v>
      </c>
      <c r="N7015" t="n">
        <v>0</v>
      </c>
      <c r="O7015" t="n">
        <v>0</v>
      </c>
      <c r="P7015" t="n">
        <v>0</v>
      </c>
      <c r="Q7015" t="n">
        <v>0</v>
      </c>
      <c r="R7015" t="n">
        <v>0</v>
      </c>
      <c r="S7015" t="n">
        <v>0</v>
      </c>
      <c r="T7015" t="n">
        <v>0</v>
      </c>
      <c r="U7015" t="n">
        <v>0</v>
      </c>
      <c r="V7015" s="2" t="inlineStr"/>
    </row>
    <row r="7016" ht="15" customHeight="1">
      <c r="A7016" t="inlineStr">
        <is>
          <t>A 31724-2024</t>
        </is>
      </c>
      <c r="B7016" t="inlineStr">
        <is>
          <t>avverkningsanmälan</t>
        </is>
      </c>
      <c r="C7016" t="inlineStr">
        <is>
          <t>Föryngringsavverkning</t>
        </is>
      </c>
      <c r="D7016" s="1" t="n">
        <v>45509</v>
      </c>
      <c r="E7016" s="1" t="n">
        <v>46326</v>
      </c>
      <c r="F7016" t="inlineStr">
        <is>
          <t>GÄVLEBORGS LÄN</t>
        </is>
      </c>
      <c r="G7016" t="inlineStr">
        <is>
          <t>NORDANSTIG</t>
        </is>
      </c>
      <c r="I7016" t="n">
        <v>1.1</v>
      </c>
      <c r="J7016" t="n">
        <v>0</v>
      </c>
      <c r="K7016" t="n">
        <v>0</v>
      </c>
      <c r="L7016" t="n">
        <v>0</v>
      </c>
      <c r="M7016" t="n">
        <v>0</v>
      </c>
      <c r="N7016" t="n">
        <v>0</v>
      </c>
      <c r="O7016" t="n">
        <v>0</v>
      </c>
      <c r="P7016" t="n">
        <v>0</v>
      </c>
      <c r="Q7016" t="n">
        <v>0</v>
      </c>
      <c r="R7016" t="n">
        <v>0</v>
      </c>
      <c r="S7016" t="n">
        <v>0</v>
      </c>
      <c r="T7016" t="n">
        <v>0</v>
      </c>
      <c r="U7016" t="n">
        <v>0</v>
      </c>
      <c r="V7016" s="2" t="inlineStr"/>
    </row>
    <row r="7017" ht="15" customHeight="1">
      <c r="A7017" t="inlineStr">
        <is>
          <t>A 20099-2026</t>
        </is>
      </c>
      <c r="B7017" t="inlineStr">
        <is>
          <t>avverkningsanmälan</t>
        </is>
      </c>
      <c r="C7017" t="inlineStr">
        <is>
          <t>Föryngringsavverkning</t>
        </is>
      </c>
      <c r="D7017" s="1" t="n">
        <v>46136</v>
      </c>
      <c r="E7017" s="1" t="n">
        <v>46326</v>
      </c>
      <c r="F7017" t="inlineStr">
        <is>
          <t>GÄVLEBORGS LÄN</t>
        </is>
      </c>
      <c r="G7017" t="inlineStr">
        <is>
          <t>OVANÅKER</t>
        </is>
      </c>
      <c r="I7017" t="n">
        <v>1.5</v>
      </c>
      <c r="J7017" t="n">
        <v>0</v>
      </c>
      <c r="K7017" t="n">
        <v>0</v>
      </c>
      <c r="L7017" t="n">
        <v>0</v>
      </c>
      <c r="M7017" t="n">
        <v>0</v>
      </c>
      <c r="N7017" t="n">
        <v>0</v>
      </c>
      <c r="O7017" t="n">
        <v>0</v>
      </c>
      <c r="P7017" t="n">
        <v>0</v>
      </c>
      <c r="Q7017" t="n">
        <v>0</v>
      </c>
      <c r="R7017" t="n">
        <v>0</v>
      </c>
      <c r="S7017" t="n">
        <v>0</v>
      </c>
      <c r="T7017" t="n">
        <v>0</v>
      </c>
      <c r="U7017" t="n">
        <v>0</v>
      </c>
      <c r="V7017" s="2" t="inlineStr"/>
    </row>
    <row r="7018" ht="15" customHeight="1">
      <c r="A7018" t="inlineStr">
        <is>
          <t>A 35826-2023</t>
        </is>
      </c>
      <c r="B7018" t="inlineStr">
        <is>
          <t>avverkningsanmälan</t>
        </is>
      </c>
      <c r="C7018" t="inlineStr">
        <is>
          <t>Föryngringsavverkning</t>
        </is>
      </c>
      <c r="D7018" s="1" t="n">
        <v>45148</v>
      </c>
      <c r="E7018" s="1" t="n">
        <v>46326</v>
      </c>
      <c r="F7018" t="inlineStr">
        <is>
          <t>GÄVLEBORGS LÄN</t>
        </is>
      </c>
      <c r="G7018" t="inlineStr">
        <is>
          <t>LJUSDAL</t>
        </is>
      </c>
      <c r="H7018" t="inlineStr">
        <is>
          <t>Kommuner</t>
        </is>
      </c>
      <c r="I7018" t="n">
        <v>4.2</v>
      </c>
      <c r="J7018" t="n">
        <v>0</v>
      </c>
      <c r="K7018" t="n">
        <v>0</v>
      </c>
      <c r="L7018" t="n">
        <v>0</v>
      </c>
      <c r="M7018" t="n">
        <v>0</v>
      </c>
      <c r="N7018" t="n">
        <v>0</v>
      </c>
      <c r="O7018" t="n">
        <v>0</v>
      </c>
      <c r="P7018" t="n">
        <v>0</v>
      </c>
      <c r="Q7018" t="n">
        <v>0</v>
      </c>
      <c r="R7018" t="n">
        <v>0</v>
      </c>
      <c r="S7018" t="n">
        <v>0</v>
      </c>
      <c r="T7018" t="n">
        <v>0</v>
      </c>
      <c r="U7018" t="n">
        <v>0</v>
      </c>
      <c r="V7018" s="2" t="inlineStr"/>
    </row>
    <row r="7019" ht="15" customHeight="1">
      <c r="A7019" t="inlineStr">
        <is>
          <t>A 31890-2022</t>
        </is>
      </c>
      <c r="B7019" t="inlineStr">
        <is>
          <t>avverkningsanmälan</t>
        </is>
      </c>
      <c r="C7019" t="inlineStr">
        <is>
          <t>Föryngringsavverkning</t>
        </is>
      </c>
      <c r="D7019" s="1" t="n">
        <v>44777</v>
      </c>
      <c r="E7019" s="1" t="n">
        <v>46326</v>
      </c>
      <c r="F7019" t="inlineStr">
        <is>
          <t>GÄVLEBORGS LÄN</t>
        </is>
      </c>
      <c r="G7019" t="inlineStr">
        <is>
          <t>LJUSDAL</t>
        </is>
      </c>
      <c r="I7019" t="n">
        <v>2.1</v>
      </c>
      <c r="J7019" t="n">
        <v>0</v>
      </c>
      <c r="K7019" t="n">
        <v>0</v>
      </c>
      <c r="L7019" t="n">
        <v>0</v>
      </c>
      <c r="M7019" t="n">
        <v>0</v>
      </c>
      <c r="N7019" t="n">
        <v>0</v>
      </c>
      <c r="O7019" t="n">
        <v>0</v>
      </c>
      <c r="P7019" t="n">
        <v>0</v>
      </c>
      <c r="Q7019" t="n">
        <v>0</v>
      </c>
      <c r="R7019" t="n">
        <v>0</v>
      </c>
      <c r="S7019" t="n">
        <v>0</v>
      </c>
      <c r="T7019" t="n">
        <v>0</v>
      </c>
      <c r="U7019" t="n">
        <v>0</v>
      </c>
      <c r="V7019" s="2" t="inlineStr"/>
    </row>
    <row r="7020" ht="15" customHeight="1">
      <c r="A7020" t="inlineStr">
        <is>
          <t>A 57478-2024</t>
        </is>
      </c>
      <c r="B7020" t="inlineStr">
        <is>
          <t>avverkningsanmälan</t>
        </is>
      </c>
      <c r="C7020" t="inlineStr">
        <is>
          <t>Föryngringsavverkning</t>
        </is>
      </c>
      <c r="D7020" s="1" t="n">
        <v>45630</v>
      </c>
      <c r="E7020" s="1" t="n">
        <v>46326</v>
      </c>
      <c r="F7020" t="inlineStr">
        <is>
          <t>GÄVLEBORGS LÄN</t>
        </is>
      </c>
      <c r="G7020" t="inlineStr">
        <is>
          <t>OVANÅKER</t>
        </is>
      </c>
      <c r="I7020" t="n">
        <v>0.6</v>
      </c>
      <c r="J7020" t="n">
        <v>0</v>
      </c>
      <c r="K7020" t="n">
        <v>0</v>
      </c>
      <c r="L7020" t="n">
        <v>0</v>
      </c>
      <c r="M7020" t="n">
        <v>0</v>
      </c>
      <c r="N7020" t="n">
        <v>0</v>
      </c>
      <c r="O7020" t="n">
        <v>0</v>
      </c>
      <c r="P7020" t="n">
        <v>0</v>
      </c>
      <c r="Q7020" t="n">
        <v>0</v>
      </c>
      <c r="R7020" t="n">
        <v>0</v>
      </c>
      <c r="S7020" t="n">
        <v>0</v>
      </c>
      <c r="T7020" t="n">
        <v>0</v>
      </c>
      <c r="U7020" t="n">
        <v>0</v>
      </c>
      <c r="V7020" s="2" t="inlineStr"/>
    </row>
    <row r="7021" ht="15" customHeight="1">
      <c r="A7021" t="inlineStr">
        <is>
          <t>A 6990-2025</t>
        </is>
      </c>
      <c r="B7021" t="inlineStr">
        <is>
          <t>avverkningsanmälan</t>
        </is>
      </c>
      <c r="C7021" t="inlineStr">
        <is>
          <t>Föryngringsavverkning</t>
        </is>
      </c>
      <c r="D7021" s="1" t="n">
        <v>45701</v>
      </c>
      <c r="E7021" s="1" t="n">
        <v>46326</v>
      </c>
      <c r="F7021" t="inlineStr">
        <is>
          <t>GÄVLEBORGS LÄN</t>
        </is>
      </c>
      <c r="G7021" t="inlineStr">
        <is>
          <t>HUDIKSVALL</t>
        </is>
      </c>
      <c r="I7021" t="n">
        <v>7.2</v>
      </c>
      <c r="J7021" t="n">
        <v>0</v>
      </c>
      <c r="K7021" t="n">
        <v>0</v>
      </c>
      <c r="L7021" t="n">
        <v>0</v>
      </c>
      <c r="M7021" t="n">
        <v>0</v>
      </c>
      <c r="N7021" t="n">
        <v>0</v>
      </c>
      <c r="O7021" t="n">
        <v>0</v>
      </c>
      <c r="P7021" t="n">
        <v>0</v>
      </c>
      <c r="Q7021" t="n">
        <v>0</v>
      </c>
      <c r="R7021" t="n">
        <v>0</v>
      </c>
      <c r="S7021" t="n">
        <v>0</v>
      </c>
      <c r="T7021" t="n">
        <v>0</v>
      </c>
      <c r="U7021" t="n">
        <v>0</v>
      </c>
      <c r="V7021" s="2" t="inlineStr"/>
    </row>
    <row r="7022" ht="15" customHeight="1">
      <c r="A7022" t="inlineStr">
        <is>
          <t>A 13808-2026</t>
        </is>
      </c>
      <c r="B7022" t="inlineStr">
        <is>
          <t>avverkningsanmälan</t>
        </is>
      </c>
      <c r="C7022" t="inlineStr">
        <is>
          <t>Föryngringsavverkning</t>
        </is>
      </c>
      <c r="D7022" s="1" t="n">
        <v>46098</v>
      </c>
      <c r="E7022" s="1" t="n">
        <v>46326</v>
      </c>
      <c r="F7022" t="inlineStr">
        <is>
          <t>GÄVLEBORGS LÄN</t>
        </is>
      </c>
      <c r="G7022" t="inlineStr">
        <is>
          <t>BOLLNÄS</t>
        </is>
      </c>
      <c r="I7022" t="n">
        <v>2.3</v>
      </c>
      <c r="J7022" t="n">
        <v>0</v>
      </c>
      <c r="K7022" t="n">
        <v>0</v>
      </c>
      <c r="L7022" t="n">
        <v>0</v>
      </c>
      <c r="M7022" t="n">
        <v>0</v>
      </c>
      <c r="N7022" t="n">
        <v>0</v>
      </c>
      <c r="O7022" t="n">
        <v>0</v>
      </c>
      <c r="P7022" t="n">
        <v>0</v>
      </c>
      <c r="Q7022" t="n">
        <v>0</v>
      </c>
      <c r="R7022" t="n">
        <v>0</v>
      </c>
      <c r="S7022" t="n">
        <v>0</v>
      </c>
      <c r="T7022" t="n">
        <v>0</v>
      </c>
      <c r="U7022" t="n">
        <v>0</v>
      </c>
      <c r="V7022" s="2" t="inlineStr"/>
    </row>
    <row r="7023" ht="15" customHeight="1">
      <c r="A7023" t="inlineStr">
        <is>
          <t>A 58322-2024</t>
        </is>
      </c>
      <c r="B7023" t="inlineStr">
        <is>
          <t>avverkningsanmälan</t>
        </is>
      </c>
      <c r="C7023" t="inlineStr">
        <is>
          <t>Föryngringsavverkning</t>
        </is>
      </c>
      <c r="D7023" s="1" t="n">
        <v>45632</v>
      </c>
      <c r="E7023" s="1" t="n">
        <v>46326</v>
      </c>
      <c r="F7023" t="inlineStr">
        <is>
          <t>GÄVLEBORGS LÄN</t>
        </is>
      </c>
      <c r="G7023" t="inlineStr">
        <is>
          <t>LJUSDAL</t>
        </is>
      </c>
      <c r="I7023" t="n">
        <v>0.6</v>
      </c>
      <c r="J7023" t="n">
        <v>0</v>
      </c>
      <c r="K7023" t="n">
        <v>0</v>
      </c>
      <c r="L7023" t="n">
        <v>0</v>
      </c>
      <c r="M7023" t="n">
        <v>0</v>
      </c>
      <c r="N7023" t="n">
        <v>0</v>
      </c>
      <c r="O7023" t="n">
        <v>0</v>
      </c>
      <c r="P7023" t="n">
        <v>0</v>
      </c>
      <c r="Q7023" t="n">
        <v>0</v>
      </c>
      <c r="R7023" t="n">
        <v>0</v>
      </c>
      <c r="S7023" t="n">
        <v>0</v>
      </c>
      <c r="T7023" t="n">
        <v>0</v>
      </c>
      <c r="U7023" t="n">
        <v>0</v>
      </c>
      <c r="V7023" s="2" t="inlineStr"/>
    </row>
    <row r="7024" ht="15" customHeight="1">
      <c r="A7024" t="inlineStr">
        <is>
          <t>A 4312-2026</t>
        </is>
      </c>
      <c r="B7024" t="inlineStr">
        <is>
          <t>avverkningsanmälan</t>
        </is>
      </c>
      <c r="C7024" t="inlineStr">
        <is>
          <t>Föryngringsavverkning</t>
        </is>
      </c>
      <c r="D7024" s="1" t="n">
        <v>46045</v>
      </c>
      <c r="E7024" s="1" t="n">
        <v>46326</v>
      </c>
      <c r="F7024" t="inlineStr">
        <is>
          <t>GÄVLEBORGS LÄN</t>
        </is>
      </c>
      <c r="G7024" t="inlineStr">
        <is>
          <t>HUDIKSVALL</t>
        </is>
      </c>
      <c r="H7024" t="inlineStr">
        <is>
          <t>Holmen skog AB</t>
        </is>
      </c>
      <c r="I7024" t="n">
        <v>2.5</v>
      </c>
      <c r="J7024" t="n">
        <v>0</v>
      </c>
      <c r="K7024" t="n">
        <v>0</v>
      </c>
      <c r="L7024" t="n">
        <v>0</v>
      </c>
      <c r="M7024" t="n">
        <v>0</v>
      </c>
      <c r="N7024" t="n">
        <v>0</v>
      </c>
      <c r="O7024" t="n">
        <v>0</v>
      </c>
      <c r="P7024" t="n">
        <v>0</v>
      </c>
      <c r="Q7024" t="n">
        <v>0</v>
      </c>
      <c r="R7024" t="n">
        <v>0</v>
      </c>
      <c r="S7024" t="n">
        <v>0</v>
      </c>
      <c r="T7024" t="n">
        <v>0</v>
      </c>
      <c r="U7024" t="n">
        <v>0</v>
      </c>
      <c r="V7024" s="2" t="inlineStr"/>
    </row>
    <row r="7025" ht="15" customHeight="1">
      <c r="A7025" t="inlineStr">
        <is>
          <t>A 825-2026</t>
        </is>
      </c>
      <c r="B7025" t="inlineStr">
        <is>
          <t>avverkningsanmälan</t>
        </is>
      </c>
      <c r="C7025" t="inlineStr">
        <is>
          <t>Föryngringsavverkning</t>
        </is>
      </c>
      <c r="D7025" s="1" t="n">
        <v>46030</v>
      </c>
      <c r="E7025" s="1" t="n">
        <v>46326</v>
      </c>
      <c r="F7025" t="inlineStr">
        <is>
          <t>GÄVLEBORGS LÄN</t>
        </is>
      </c>
      <c r="G7025" t="inlineStr">
        <is>
          <t>BOLLNÄS</t>
        </is>
      </c>
      <c r="I7025" t="n">
        <v>0.8</v>
      </c>
      <c r="J7025" t="n">
        <v>0</v>
      </c>
      <c r="K7025" t="n">
        <v>0</v>
      </c>
      <c r="L7025" t="n">
        <v>0</v>
      </c>
      <c r="M7025" t="n">
        <v>0</v>
      </c>
      <c r="N7025" t="n">
        <v>0</v>
      </c>
      <c r="O7025" t="n">
        <v>0</v>
      </c>
      <c r="P7025" t="n">
        <v>0</v>
      </c>
      <c r="Q7025" t="n">
        <v>0</v>
      </c>
      <c r="R7025" t="n">
        <v>0</v>
      </c>
      <c r="S7025" t="n">
        <v>0</v>
      </c>
      <c r="T7025" t="n">
        <v>0</v>
      </c>
      <c r="U7025" t="n">
        <v>0</v>
      </c>
      <c r="V7025" s="2" t="inlineStr"/>
    </row>
    <row r="7026" ht="15" customHeight="1">
      <c r="A7026" t="inlineStr">
        <is>
          <t>A 7295-2026</t>
        </is>
      </c>
      <c r="B7026" t="inlineStr">
        <is>
          <t>avverkningsanmälan</t>
        </is>
      </c>
      <c r="C7026" t="inlineStr">
        <is>
          <t>Föryngringsavverkning</t>
        </is>
      </c>
      <c r="D7026" s="1" t="n">
        <v>46058</v>
      </c>
      <c r="E7026" s="1" t="n">
        <v>46326</v>
      </c>
      <c r="F7026" t="inlineStr">
        <is>
          <t>GÄVLEBORGS LÄN</t>
        </is>
      </c>
      <c r="G7026" t="inlineStr">
        <is>
          <t>HUDIKSVALL</t>
        </is>
      </c>
      <c r="I7026" t="n">
        <v>1.1</v>
      </c>
      <c r="J7026" t="n">
        <v>0</v>
      </c>
      <c r="K7026" t="n">
        <v>0</v>
      </c>
      <c r="L7026" t="n">
        <v>0</v>
      </c>
      <c r="M7026" t="n">
        <v>0</v>
      </c>
      <c r="N7026" t="n">
        <v>0</v>
      </c>
      <c r="O7026" t="n">
        <v>0</v>
      </c>
      <c r="P7026" t="n">
        <v>0</v>
      </c>
      <c r="Q7026" t="n">
        <v>0</v>
      </c>
      <c r="R7026" t="n">
        <v>0</v>
      </c>
      <c r="S7026" t="n">
        <v>0</v>
      </c>
      <c r="T7026" t="n">
        <v>0</v>
      </c>
      <c r="U7026" t="n">
        <v>0</v>
      </c>
      <c r="V7026" s="2" t="inlineStr"/>
    </row>
    <row r="7027" ht="15" customHeight="1">
      <c r="A7027" t="inlineStr">
        <is>
          <t>A 9138-2026</t>
        </is>
      </c>
      <c r="B7027" t="inlineStr">
        <is>
          <t>avverkningsanmälan</t>
        </is>
      </c>
      <c r="C7027" t="inlineStr">
        <is>
          <t>Föryngringsavverkning</t>
        </is>
      </c>
      <c r="D7027" s="1" t="n">
        <v>46069</v>
      </c>
      <c r="E7027" s="1" t="n">
        <v>46326</v>
      </c>
      <c r="F7027" t="inlineStr">
        <is>
          <t>GÄVLEBORGS LÄN</t>
        </is>
      </c>
      <c r="G7027" t="inlineStr">
        <is>
          <t>HUDIKSVALL</t>
        </is>
      </c>
      <c r="I7027" t="n">
        <v>1.1</v>
      </c>
      <c r="J7027" t="n">
        <v>0</v>
      </c>
      <c r="K7027" t="n">
        <v>0</v>
      </c>
      <c r="L7027" t="n">
        <v>0</v>
      </c>
      <c r="M7027" t="n">
        <v>0</v>
      </c>
      <c r="N7027" t="n">
        <v>0</v>
      </c>
      <c r="O7027" t="n">
        <v>0</v>
      </c>
      <c r="P7027" t="n">
        <v>0</v>
      </c>
      <c r="Q7027" t="n">
        <v>0</v>
      </c>
      <c r="R7027" t="n">
        <v>0</v>
      </c>
      <c r="S7027" t="n">
        <v>0</v>
      </c>
      <c r="T7027" t="n">
        <v>0</v>
      </c>
      <c r="U7027" t="n">
        <v>0</v>
      </c>
      <c r="V7027" s="2" t="inlineStr"/>
    </row>
    <row r="7028" ht="15" customHeight="1">
      <c r="A7028" t="inlineStr">
        <is>
          <t>A 4882-2026</t>
        </is>
      </c>
      <c r="B7028" t="inlineStr">
        <is>
          <t>avverkningsanmälan</t>
        </is>
      </c>
      <c r="C7028" t="inlineStr">
        <is>
          <t>Föryngringsavverkning</t>
        </is>
      </c>
      <c r="D7028" s="1" t="n">
        <v>46048</v>
      </c>
      <c r="E7028" s="1" t="n">
        <v>46326</v>
      </c>
      <c r="F7028" t="inlineStr">
        <is>
          <t>GÄVLEBORGS LÄN</t>
        </is>
      </c>
      <c r="G7028" t="inlineStr">
        <is>
          <t>SANDVIKEN</t>
        </is>
      </c>
      <c r="H7028" t="inlineStr">
        <is>
          <t>Kommuner</t>
        </is>
      </c>
      <c r="I7028" t="n">
        <v>1.1</v>
      </c>
      <c r="J7028" t="n">
        <v>0</v>
      </c>
      <c r="K7028" t="n">
        <v>0</v>
      </c>
      <c r="L7028" t="n">
        <v>0</v>
      </c>
      <c r="M7028" t="n">
        <v>0</v>
      </c>
      <c r="N7028" t="n">
        <v>0</v>
      </c>
      <c r="O7028" t="n">
        <v>0</v>
      </c>
      <c r="P7028" t="n">
        <v>0</v>
      </c>
      <c r="Q7028" t="n">
        <v>0</v>
      </c>
      <c r="R7028" t="n">
        <v>0</v>
      </c>
      <c r="S7028" t="n">
        <v>0</v>
      </c>
      <c r="T7028" t="n">
        <v>0</v>
      </c>
      <c r="U7028" t="n">
        <v>0</v>
      </c>
      <c r="V7028" s="2" t="inlineStr"/>
    </row>
    <row r="7029" ht="15" customHeight="1">
      <c r="A7029" t="inlineStr">
        <is>
          <t>A 20186-2026</t>
        </is>
      </c>
      <c r="B7029" t="inlineStr">
        <is>
          <t>avverkningsanmälan</t>
        </is>
      </c>
      <c r="C7029" t="inlineStr">
        <is>
          <t>Föryngringsavverkning</t>
        </is>
      </c>
      <c r="D7029" s="1" t="n">
        <v>46139</v>
      </c>
      <c r="E7029" s="1" t="n">
        <v>46326</v>
      </c>
      <c r="F7029" t="inlineStr">
        <is>
          <t>GÄVLEBORGS LÄN</t>
        </is>
      </c>
      <c r="G7029" t="inlineStr">
        <is>
          <t>BOLLNÄS</t>
        </is>
      </c>
      <c r="I7029" t="n">
        <v>0.4</v>
      </c>
      <c r="J7029" t="n">
        <v>0</v>
      </c>
      <c r="K7029" t="n">
        <v>0</v>
      </c>
      <c r="L7029" t="n">
        <v>0</v>
      </c>
      <c r="M7029" t="n">
        <v>0</v>
      </c>
      <c r="N7029" t="n">
        <v>0</v>
      </c>
      <c r="O7029" t="n">
        <v>0</v>
      </c>
      <c r="P7029" t="n">
        <v>0</v>
      </c>
      <c r="Q7029" t="n">
        <v>0</v>
      </c>
      <c r="R7029" t="n">
        <v>0</v>
      </c>
      <c r="S7029" t="n">
        <v>0</v>
      </c>
      <c r="T7029" t="n">
        <v>0</v>
      </c>
      <c r="U7029" t="n">
        <v>0</v>
      </c>
      <c r="V7029" s="2" t="inlineStr"/>
    </row>
    <row r="7030" ht="15" customHeight="1">
      <c r="A7030" t="inlineStr">
        <is>
          <t>A 11823-2026</t>
        </is>
      </c>
      <c r="B7030" t="inlineStr">
        <is>
          <t>avverkningsanmälan</t>
        </is>
      </c>
      <c r="C7030" t="inlineStr">
        <is>
          <t>Föryngringsavverkning</t>
        </is>
      </c>
      <c r="D7030" s="1" t="n">
        <v>46085</v>
      </c>
      <c r="E7030" s="1" t="n">
        <v>46326</v>
      </c>
      <c r="F7030" t="inlineStr">
        <is>
          <t>GÄVLEBORGS LÄN</t>
        </is>
      </c>
      <c r="G7030" t="inlineStr">
        <is>
          <t>SÖDERHAMN</t>
        </is>
      </c>
      <c r="I7030" t="n">
        <v>5.2</v>
      </c>
      <c r="J7030" t="n">
        <v>0</v>
      </c>
      <c r="K7030" t="n">
        <v>0</v>
      </c>
      <c r="L7030" t="n">
        <v>0</v>
      </c>
      <c r="M7030" t="n">
        <v>0</v>
      </c>
      <c r="N7030" t="n">
        <v>0</v>
      </c>
      <c r="O7030" t="n">
        <v>0</v>
      </c>
      <c r="P7030" t="n">
        <v>0</v>
      </c>
      <c r="Q7030" t="n">
        <v>0</v>
      </c>
      <c r="R7030" t="n">
        <v>0</v>
      </c>
      <c r="S7030" t="n">
        <v>0</v>
      </c>
      <c r="T7030" t="n">
        <v>0</v>
      </c>
      <c r="U7030" t="n">
        <v>0</v>
      </c>
      <c r="V7030" s="2" t="inlineStr"/>
    </row>
    <row r="7031" ht="15" customHeight="1">
      <c r="A7031" t="inlineStr">
        <is>
          <t>A 6783-2026</t>
        </is>
      </c>
      <c r="B7031" t="inlineStr">
        <is>
          <t>avverkningsanmälan</t>
        </is>
      </c>
      <c r="C7031" t="inlineStr">
        <is>
          <t>Föryngringsavverkning</t>
        </is>
      </c>
      <c r="D7031" s="1" t="n">
        <v>46057</v>
      </c>
      <c r="E7031" s="1" t="n">
        <v>46326</v>
      </c>
      <c r="F7031" t="inlineStr">
        <is>
          <t>GÄVLEBORGS LÄN</t>
        </is>
      </c>
      <c r="G7031" t="inlineStr">
        <is>
          <t>BOLLNÄS</t>
        </is>
      </c>
      <c r="I7031" t="n">
        <v>1</v>
      </c>
      <c r="J7031" t="n">
        <v>0</v>
      </c>
      <c r="K7031" t="n">
        <v>0</v>
      </c>
      <c r="L7031" t="n">
        <v>0</v>
      </c>
      <c r="M7031" t="n">
        <v>0</v>
      </c>
      <c r="N7031" t="n">
        <v>0</v>
      </c>
      <c r="O7031" t="n">
        <v>0</v>
      </c>
      <c r="P7031" t="n">
        <v>0</v>
      </c>
      <c r="Q7031" t="n">
        <v>0</v>
      </c>
      <c r="R7031" t="n">
        <v>0</v>
      </c>
      <c r="S7031" t="n">
        <v>0</v>
      </c>
      <c r="T7031" t="n">
        <v>0</v>
      </c>
      <c r="U7031" t="n">
        <v>0</v>
      </c>
      <c r="V7031" s="2" t="inlineStr"/>
    </row>
    <row r="7032" ht="15" customHeight="1">
      <c r="A7032" t="inlineStr">
        <is>
          <t>A 430-2026</t>
        </is>
      </c>
      <c r="B7032" t="inlineStr">
        <is>
          <t>avverkningsanmälan</t>
        </is>
      </c>
      <c r="C7032" t="inlineStr">
        <is>
          <t>Föryngringsavverkning</t>
        </is>
      </c>
      <c r="D7032" s="1" t="n">
        <v>46029</v>
      </c>
      <c r="E7032" s="1" t="n">
        <v>46326</v>
      </c>
      <c r="F7032" t="inlineStr">
        <is>
          <t>GÄVLEBORGS LÄN</t>
        </is>
      </c>
      <c r="G7032" t="inlineStr">
        <is>
          <t>OVANÅKER</t>
        </is>
      </c>
      <c r="I7032" t="n">
        <v>1.4</v>
      </c>
      <c r="J7032" t="n">
        <v>0</v>
      </c>
      <c r="K7032" t="n">
        <v>0</v>
      </c>
      <c r="L7032" t="n">
        <v>0</v>
      </c>
      <c r="M7032" t="n">
        <v>0</v>
      </c>
      <c r="N7032" t="n">
        <v>0</v>
      </c>
      <c r="O7032" t="n">
        <v>0</v>
      </c>
      <c r="P7032" t="n">
        <v>0</v>
      </c>
      <c r="Q7032" t="n">
        <v>0</v>
      </c>
      <c r="R7032" t="n">
        <v>0</v>
      </c>
      <c r="S7032" t="n">
        <v>0</v>
      </c>
      <c r="T7032" t="n">
        <v>0</v>
      </c>
      <c r="U7032" t="n">
        <v>0</v>
      </c>
      <c r="V7032" s="2" t="inlineStr"/>
    </row>
    <row r="7033" ht="15" customHeight="1">
      <c r="A7033" t="inlineStr">
        <is>
          <t>A 36656-2024</t>
        </is>
      </c>
      <c r="B7033" t="inlineStr">
        <is>
          <t>avverkningsanmälan</t>
        </is>
      </c>
      <c r="C7033" t="inlineStr">
        <is>
          <t>Föryngringsavverkning</t>
        </is>
      </c>
      <c r="D7033" s="1" t="n">
        <v>45537</v>
      </c>
      <c r="E7033" s="1" t="n">
        <v>46326</v>
      </c>
      <c r="F7033" t="inlineStr">
        <is>
          <t>GÄVLEBORGS LÄN</t>
        </is>
      </c>
      <c r="G7033" t="inlineStr">
        <is>
          <t>SANDVIKEN</t>
        </is>
      </c>
      <c r="I7033" t="n">
        <v>2.5</v>
      </c>
      <c r="J7033" t="n">
        <v>0</v>
      </c>
      <c r="K7033" t="n">
        <v>0</v>
      </c>
      <c r="L7033" t="n">
        <v>0</v>
      </c>
      <c r="M7033" t="n">
        <v>0</v>
      </c>
      <c r="N7033" t="n">
        <v>0</v>
      </c>
      <c r="O7033" t="n">
        <v>0</v>
      </c>
      <c r="P7033" t="n">
        <v>0</v>
      </c>
      <c r="Q7033" t="n">
        <v>0</v>
      </c>
      <c r="R7033" t="n">
        <v>0</v>
      </c>
      <c r="S7033" t="n">
        <v>0</v>
      </c>
      <c r="T7033" t="n">
        <v>0</v>
      </c>
      <c r="U7033" t="n">
        <v>0</v>
      </c>
      <c r="V7033" s="2" t="inlineStr"/>
    </row>
    <row r="7034" ht="15" customHeight="1">
      <c r="A7034" t="inlineStr">
        <is>
          <t>A 21178-2025</t>
        </is>
      </c>
      <c r="B7034" t="inlineStr">
        <is>
          <t>avverkningsanmälan</t>
        </is>
      </c>
      <c r="C7034" t="inlineStr">
        <is>
          <t>Föryngringsavverkning</t>
        </is>
      </c>
      <c r="D7034" s="1" t="n">
        <v>45779</v>
      </c>
      <c r="E7034" s="1" t="n">
        <v>46326</v>
      </c>
      <c r="F7034" t="inlineStr">
        <is>
          <t>GÄVLEBORGS LÄN</t>
        </is>
      </c>
      <c r="G7034" t="inlineStr">
        <is>
          <t>SANDVIKEN</t>
        </is>
      </c>
      <c r="I7034" t="n">
        <v>1.7</v>
      </c>
      <c r="J7034" t="n">
        <v>0</v>
      </c>
      <c r="K7034" t="n">
        <v>0</v>
      </c>
      <c r="L7034" t="n">
        <v>0</v>
      </c>
      <c r="M7034" t="n">
        <v>0</v>
      </c>
      <c r="N7034" t="n">
        <v>0</v>
      </c>
      <c r="O7034" t="n">
        <v>0</v>
      </c>
      <c r="P7034" t="n">
        <v>0</v>
      </c>
      <c r="Q7034" t="n">
        <v>0</v>
      </c>
      <c r="R7034" t="n">
        <v>0</v>
      </c>
      <c r="S7034" t="n">
        <v>0</v>
      </c>
      <c r="T7034" t="n">
        <v>0</v>
      </c>
      <c r="U7034" t="n">
        <v>0</v>
      </c>
      <c r="V7034" s="2" t="inlineStr"/>
    </row>
    <row r="7035" ht="15" customHeight="1">
      <c r="A7035" t="inlineStr">
        <is>
          <t>A 11838-2024</t>
        </is>
      </c>
      <c r="B7035" t="inlineStr">
        <is>
          <t>avverkningsanmälan</t>
        </is>
      </c>
      <c r="C7035" t="inlineStr">
        <is>
          <t>Föryngringsavverkning</t>
        </is>
      </c>
      <c r="D7035" s="1" t="n">
        <v>45376</v>
      </c>
      <c r="E7035" s="1" t="n">
        <v>46326</v>
      </c>
      <c r="F7035" t="inlineStr">
        <is>
          <t>GÄVLEBORGS LÄN</t>
        </is>
      </c>
      <c r="G7035" t="inlineStr">
        <is>
          <t>LJUSDAL</t>
        </is>
      </c>
      <c r="I7035" t="n">
        <v>2.1</v>
      </c>
      <c r="J7035" t="n">
        <v>0</v>
      </c>
      <c r="K7035" t="n">
        <v>0</v>
      </c>
      <c r="L7035" t="n">
        <v>0</v>
      </c>
      <c r="M7035" t="n">
        <v>0</v>
      </c>
      <c r="N7035" t="n">
        <v>0</v>
      </c>
      <c r="O7035" t="n">
        <v>0</v>
      </c>
      <c r="P7035" t="n">
        <v>0</v>
      </c>
      <c r="Q7035" t="n">
        <v>0</v>
      </c>
      <c r="R7035" t="n">
        <v>0</v>
      </c>
      <c r="S7035" t="n">
        <v>0</v>
      </c>
      <c r="T7035" t="n">
        <v>0</v>
      </c>
      <c r="U7035" t="n">
        <v>0</v>
      </c>
      <c r="V7035" s="2" t="inlineStr"/>
    </row>
    <row r="7036" ht="15" customHeight="1">
      <c r="A7036" t="inlineStr">
        <is>
          <t>A 20176-2026</t>
        </is>
      </c>
      <c r="B7036" t="inlineStr">
        <is>
          <t>avverkningsanmälan</t>
        </is>
      </c>
      <c r="C7036" t="inlineStr">
        <is>
          <t>Föryngringsavverkning</t>
        </is>
      </c>
      <c r="D7036" s="1" t="n">
        <v>46139</v>
      </c>
      <c r="E7036" s="1" t="n">
        <v>46326</v>
      </c>
      <c r="F7036" t="inlineStr">
        <is>
          <t>GÄVLEBORGS LÄN</t>
        </is>
      </c>
      <c r="G7036" t="inlineStr">
        <is>
          <t>BOLLNÄS</t>
        </is>
      </c>
      <c r="H7036" t="inlineStr">
        <is>
          <t>Kyrkan</t>
        </is>
      </c>
      <c r="I7036" t="n">
        <v>4.7</v>
      </c>
      <c r="J7036" t="n">
        <v>0</v>
      </c>
      <c r="K7036" t="n">
        <v>0</v>
      </c>
      <c r="L7036" t="n">
        <v>0</v>
      </c>
      <c r="M7036" t="n">
        <v>0</v>
      </c>
      <c r="N7036" t="n">
        <v>0</v>
      </c>
      <c r="O7036" t="n">
        <v>0</v>
      </c>
      <c r="P7036" t="n">
        <v>0</v>
      </c>
      <c r="Q7036" t="n">
        <v>0</v>
      </c>
      <c r="R7036" t="n">
        <v>0</v>
      </c>
      <c r="S7036" t="n">
        <v>0</v>
      </c>
      <c r="T7036" t="n">
        <v>0</v>
      </c>
      <c r="U7036" t="n">
        <v>0</v>
      </c>
      <c r="V7036" s="2" t="inlineStr"/>
    </row>
    <row r="7037" ht="15" customHeight="1">
      <c r="A7037" t="inlineStr">
        <is>
          <t>A 4502-2024</t>
        </is>
      </c>
      <c r="B7037" t="inlineStr">
        <is>
          <t>avverkningsanmälan</t>
        </is>
      </c>
      <c r="C7037" t="inlineStr">
        <is>
          <t>Föryngringsavverkning</t>
        </is>
      </c>
      <c r="D7037" s="1" t="n">
        <v>45327</v>
      </c>
      <c r="E7037" s="1" t="n">
        <v>46326</v>
      </c>
      <c r="F7037" t="inlineStr">
        <is>
          <t>GÄVLEBORGS LÄN</t>
        </is>
      </c>
      <c r="G7037" t="inlineStr">
        <is>
          <t>SANDVIKEN</t>
        </is>
      </c>
      <c r="I7037" t="n">
        <v>0.2</v>
      </c>
      <c r="J7037" t="n">
        <v>0</v>
      </c>
      <c r="K7037" t="n">
        <v>0</v>
      </c>
      <c r="L7037" t="n">
        <v>0</v>
      </c>
      <c r="M7037" t="n">
        <v>0</v>
      </c>
      <c r="N7037" t="n">
        <v>0</v>
      </c>
      <c r="O7037" t="n">
        <v>0</v>
      </c>
      <c r="P7037" t="n">
        <v>0</v>
      </c>
      <c r="Q7037" t="n">
        <v>0</v>
      </c>
      <c r="R7037" t="n">
        <v>0</v>
      </c>
      <c r="S7037" t="n">
        <v>0</v>
      </c>
      <c r="T7037" t="n">
        <v>0</v>
      </c>
      <c r="U7037" t="n">
        <v>0</v>
      </c>
      <c r="V7037" s="2" t="inlineStr"/>
    </row>
    <row r="7038" ht="15" customHeight="1">
      <c r="A7038" t="inlineStr">
        <is>
          <t>A 4505-2024</t>
        </is>
      </c>
      <c r="B7038" t="inlineStr">
        <is>
          <t>avverkningsanmälan</t>
        </is>
      </c>
      <c r="C7038" t="inlineStr">
        <is>
          <t>Avverkning för annat ändamål</t>
        </is>
      </c>
      <c r="D7038" s="1" t="n">
        <v>45327</v>
      </c>
      <c r="E7038" s="1" t="n">
        <v>46326</v>
      </c>
      <c r="F7038" t="inlineStr">
        <is>
          <t>GÄVLEBORGS LÄN</t>
        </is>
      </c>
      <c r="G7038" t="inlineStr">
        <is>
          <t>HUDIKSVALL</t>
        </is>
      </c>
      <c r="I7038" t="n">
        <v>0.1</v>
      </c>
      <c r="J7038" t="n">
        <v>0</v>
      </c>
      <c r="K7038" t="n">
        <v>0</v>
      </c>
      <c r="L7038" t="n">
        <v>0</v>
      </c>
      <c r="M7038" t="n">
        <v>0</v>
      </c>
      <c r="N7038" t="n">
        <v>0</v>
      </c>
      <c r="O7038" t="n">
        <v>0</v>
      </c>
      <c r="P7038" t="n">
        <v>0</v>
      </c>
      <c r="Q7038" t="n">
        <v>0</v>
      </c>
      <c r="R7038" t="n">
        <v>0</v>
      </c>
      <c r="S7038" t="n">
        <v>0</v>
      </c>
      <c r="T7038" t="n">
        <v>0</v>
      </c>
      <c r="U7038" t="n">
        <v>0</v>
      </c>
      <c r="V7038" s="2" t="inlineStr"/>
    </row>
    <row r="7039" ht="15" customHeight="1">
      <c r="A7039" t="inlineStr">
        <is>
          <t>A 4768-2026</t>
        </is>
      </c>
      <c r="B7039" t="inlineStr">
        <is>
          <t>avverkningsanmälan</t>
        </is>
      </c>
      <c r="C7039" t="inlineStr">
        <is>
          <t>Föryngringsavverkning</t>
        </is>
      </c>
      <c r="D7039" s="1" t="n">
        <v>46048</v>
      </c>
      <c r="E7039" s="1" t="n">
        <v>46326</v>
      </c>
      <c r="F7039" t="inlineStr">
        <is>
          <t>GÄVLEBORGS LÄN</t>
        </is>
      </c>
      <c r="G7039" t="inlineStr">
        <is>
          <t>SANDVIKEN</t>
        </is>
      </c>
      <c r="H7039" t="inlineStr">
        <is>
          <t>Kommuner</t>
        </is>
      </c>
      <c r="I7039" t="n">
        <v>1.1</v>
      </c>
      <c r="J7039" t="n">
        <v>0</v>
      </c>
      <c r="K7039" t="n">
        <v>0</v>
      </c>
      <c r="L7039" t="n">
        <v>0</v>
      </c>
      <c r="M7039" t="n">
        <v>0</v>
      </c>
      <c r="N7039" t="n">
        <v>0</v>
      </c>
      <c r="O7039" t="n">
        <v>0</v>
      </c>
      <c r="P7039" t="n">
        <v>0</v>
      </c>
      <c r="Q7039" t="n">
        <v>0</v>
      </c>
      <c r="R7039" t="n">
        <v>0</v>
      </c>
      <c r="S7039" t="n">
        <v>0</v>
      </c>
      <c r="T7039" t="n">
        <v>0</v>
      </c>
      <c r="U7039" t="n">
        <v>0</v>
      </c>
      <c r="V7039" s="2" t="inlineStr"/>
    </row>
    <row r="7040" ht="15" customHeight="1">
      <c r="A7040" t="inlineStr">
        <is>
          <t>A 35154-2023</t>
        </is>
      </c>
      <c r="B7040" t="inlineStr">
        <is>
          <t>avverkningsanmälan</t>
        </is>
      </c>
      <c r="C7040" t="inlineStr">
        <is>
          <t>Föryngringsavverkning</t>
        </is>
      </c>
      <c r="D7040" s="1" t="n">
        <v>45145</v>
      </c>
      <c r="E7040" s="1" t="n">
        <v>46326</v>
      </c>
      <c r="F7040" t="inlineStr">
        <is>
          <t>GÄVLEBORGS LÄN</t>
        </is>
      </c>
      <c r="G7040" t="inlineStr">
        <is>
          <t>LJUSDAL</t>
        </is>
      </c>
      <c r="I7040" t="n">
        <v>2.3</v>
      </c>
      <c r="J7040" t="n">
        <v>0</v>
      </c>
      <c r="K7040" t="n">
        <v>0</v>
      </c>
      <c r="L7040" t="n">
        <v>0</v>
      </c>
      <c r="M7040" t="n">
        <v>0</v>
      </c>
      <c r="N7040" t="n">
        <v>0</v>
      </c>
      <c r="O7040" t="n">
        <v>0</v>
      </c>
      <c r="P7040" t="n">
        <v>0</v>
      </c>
      <c r="Q7040" t="n">
        <v>0</v>
      </c>
      <c r="R7040" t="n">
        <v>0</v>
      </c>
      <c r="S7040" t="n">
        <v>0</v>
      </c>
      <c r="T7040" t="n">
        <v>0</v>
      </c>
      <c r="U7040" t="n">
        <v>0</v>
      </c>
      <c r="V7040" s="2" t="inlineStr"/>
    </row>
    <row r="7041" ht="15" customHeight="1">
      <c r="A7041" t="inlineStr">
        <is>
          <t>A 14355-2026</t>
        </is>
      </c>
      <c r="B7041" t="inlineStr">
        <is>
          <t>avverkningsanmälan</t>
        </is>
      </c>
      <c r="C7041" t="inlineStr">
        <is>
          <t>Föryngringsavverkning</t>
        </is>
      </c>
      <c r="D7041" s="1" t="n">
        <v>46100</v>
      </c>
      <c r="E7041" s="1" t="n">
        <v>46326</v>
      </c>
      <c r="F7041" t="inlineStr">
        <is>
          <t>GÄVLEBORGS LÄN</t>
        </is>
      </c>
      <c r="G7041" t="inlineStr">
        <is>
          <t>GÄVLE</t>
        </is>
      </c>
      <c r="H7041" t="inlineStr">
        <is>
          <t>Bergvik skog öst AB</t>
        </is>
      </c>
      <c r="I7041" t="n">
        <v>0.3</v>
      </c>
      <c r="J7041" t="n">
        <v>0</v>
      </c>
      <c r="K7041" t="n">
        <v>0</v>
      </c>
      <c r="L7041" t="n">
        <v>0</v>
      </c>
      <c r="M7041" t="n">
        <v>0</v>
      </c>
      <c r="N7041" t="n">
        <v>0</v>
      </c>
      <c r="O7041" t="n">
        <v>0</v>
      </c>
      <c r="P7041" t="n">
        <v>0</v>
      </c>
      <c r="Q7041" t="n">
        <v>0</v>
      </c>
      <c r="R7041" t="n">
        <v>0</v>
      </c>
      <c r="S7041" t="n">
        <v>0</v>
      </c>
      <c r="T7041" t="n">
        <v>0</v>
      </c>
      <c r="U7041" t="n">
        <v>0</v>
      </c>
      <c r="V7041" s="2" t="inlineStr"/>
    </row>
    <row r="7042" ht="15" customHeight="1">
      <c r="A7042" t="inlineStr">
        <is>
          <t>A 1722-2026</t>
        </is>
      </c>
      <c r="B7042" t="inlineStr">
        <is>
          <t>avverkningsanmälan</t>
        </is>
      </c>
      <c r="C7042" t="inlineStr">
        <is>
          <t>Föryngringsavverkning</t>
        </is>
      </c>
      <c r="D7042" s="1" t="n">
        <v>46034</v>
      </c>
      <c r="E7042" s="1" t="n">
        <v>46326</v>
      </c>
      <c r="F7042" t="inlineStr">
        <is>
          <t>GÄVLEBORGS LÄN</t>
        </is>
      </c>
      <c r="G7042" t="inlineStr">
        <is>
          <t>OCKELBO</t>
        </is>
      </c>
      <c r="H7042" t="inlineStr">
        <is>
          <t>Bergvik skog väst AB</t>
        </is>
      </c>
      <c r="I7042" t="n">
        <v>2.7</v>
      </c>
      <c r="J7042" t="n">
        <v>0</v>
      </c>
      <c r="K7042" t="n">
        <v>0</v>
      </c>
      <c r="L7042" t="n">
        <v>0</v>
      </c>
      <c r="M7042" t="n">
        <v>0</v>
      </c>
      <c r="N7042" t="n">
        <v>0</v>
      </c>
      <c r="O7042" t="n">
        <v>0</v>
      </c>
      <c r="P7042" t="n">
        <v>0</v>
      </c>
      <c r="Q7042" t="n">
        <v>0</v>
      </c>
      <c r="R7042" t="n">
        <v>0</v>
      </c>
      <c r="S7042" t="n">
        <v>0</v>
      </c>
      <c r="T7042" t="n">
        <v>0</v>
      </c>
      <c r="U7042" t="n">
        <v>0</v>
      </c>
      <c r="V7042" s="2" t="inlineStr"/>
    </row>
    <row r="7043" ht="15" customHeight="1">
      <c r="A7043" t="inlineStr">
        <is>
          <t>A 37064-2025</t>
        </is>
      </c>
      <c r="B7043" t="inlineStr">
        <is>
          <t>avverkningsanmälan</t>
        </is>
      </c>
      <c r="C7043" t="inlineStr">
        <is>
          <t>Föryngringsavverkning</t>
        </is>
      </c>
      <c r="D7043" s="1" t="n">
        <v>45875</v>
      </c>
      <c r="E7043" s="1" t="n">
        <v>46326</v>
      </c>
      <c r="F7043" t="inlineStr">
        <is>
          <t>GÄVLEBORGS LÄN</t>
        </is>
      </c>
      <c r="G7043" t="inlineStr">
        <is>
          <t>LJUSDAL</t>
        </is>
      </c>
      <c r="H7043" t="inlineStr">
        <is>
          <t>SCA</t>
        </is>
      </c>
      <c r="I7043" t="n">
        <v>2.5</v>
      </c>
      <c r="J7043" t="n">
        <v>0</v>
      </c>
      <c r="K7043" t="n">
        <v>0</v>
      </c>
      <c r="L7043" t="n">
        <v>0</v>
      </c>
      <c r="M7043" t="n">
        <v>0</v>
      </c>
      <c r="N7043" t="n">
        <v>0</v>
      </c>
      <c r="O7043" t="n">
        <v>0</v>
      </c>
      <c r="P7043" t="n">
        <v>0</v>
      </c>
      <c r="Q7043" t="n">
        <v>0</v>
      </c>
      <c r="R7043" t="n">
        <v>0</v>
      </c>
      <c r="S7043" t="n">
        <v>0</v>
      </c>
      <c r="T7043" t="n">
        <v>0</v>
      </c>
      <c r="U7043" t="n">
        <v>0</v>
      </c>
      <c r="V7043" s="2" t="inlineStr"/>
    </row>
    <row r="7044" ht="15" customHeight="1">
      <c r="A7044" t="inlineStr">
        <is>
          <t>A 50325-2025</t>
        </is>
      </c>
      <c r="B7044" t="inlineStr">
        <is>
          <t>avverkningsanmälan</t>
        </is>
      </c>
      <c r="C7044" t="inlineStr">
        <is>
          <t>Föryngringsavverkning</t>
        </is>
      </c>
      <c r="D7044" s="1" t="n">
        <v>45944</v>
      </c>
      <c r="E7044" s="1" t="n">
        <v>46326</v>
      </c>
      <c r="F7044" t="inlineStr">
        <is>
          <t>GÄVLEBORGS LÄN</t>
        </is>
      </c>
      <c r="G7044" t="inlineStr">
        <is>
          <t>HUDIKSVALL</t>
        </is>
      </c>
      <c r="I7044" t="n">
        <v>2.8</v>
      </c>
      <c r="J7044" t="n">
        <v>0</v>
      </c>
      <c r="K7044" t="n">
        <v>0</v>
      </c>
      <c r="L7044" t="n">
        <v>0</v>
      </c>
      <c r="M7044" t="n">
        <v>0</v>
      </c>
      <c r="N7044" t="n">
        <v>0</v>
      </c>
      <c r="O7044" t="n">
        <v>0</v>
      </c>
      <c r="P7044" t="n">
        <v>0</v>
      </c>
      <c r="Q7044" t="n">
        <v>0</v>
      </c>
      <c r="R7044" t="n">
        <v>0</v>
      </c>
      <c r="S7044" t="n">
        <v>0</v>
      </c>
      <c r="T7044" t="n">
        <v>0</v>
      </c>
      <c r="U7044" t="n">
        <v>0</v>
      </c>
      <c r="V7044" s="2" t="inlineStr"/>
    </row>
    <row r="7045" ht="15" customHeight="1">
      <c r="A7045" t="inlineStr">
        <is>
          <t>A 3616-2026</t>
        </is>
      </c>
      <c r="B7045" t="inlineStr">
        <is>
          <t>avverkningsanmälan</t>
        </is>
      </c>
      <c r="C7045" t="inlineStr">
        <is>
          <t>Föryngringsavverkning</t>
        </is>
      </c>
      <c r="D7045" s="1" t="n">
        <v>46042</v>
      </c>
      <c r="E7045" s="1" t="n">
        <v>46326</v>
      </c>
      <c r="F7045" t="inlineStr">
        <is>
          <t>GÄVLEBORGS LÄN</t>
        </is>
      </c>
      <c r="G7045" t="inlineStr">
        <is>
          <t>SANDVIKEN</t>
        </is>
      </c>
      <c r="I7045" t="n">
        <v>1.8</v>
      </c>
      <c r="J7045" t="n">
        <v>0</v>
      </c>
      <c r="K7045" t="n">
        <v>0</v>
      </c>
      <c r="L7045" t="n">
        <v>0</v>
      </c>
      <c r="M7045" t="n">
        <v>0</v>
      </c>
      <c r="N7045" t="n">
        <v>0</v>
      </c>
      <c r="O7045" t="n">
        <v>0</v>
      </c>
      <c r="P7045" t="n">
        <v>0</v>
      </c>
      <c r="Q7045" t="n">
        <v>0</v>
      </c>
      <c r="R7045" t="n">
        <v>0</v>
      </c>
      <c r="S7045" t="n">
        <v>0</v>
      </c>
      <c r="T7045" t="n">
        <v>0</v>
      </c>
      <c r="U7045" t="n">
        <v>0</v>
      </c>
      <c r="V7045" s="2" t="inlineStr"/>
    </row>
    <row r="7046" ht="15" customHeight="1">
      <c r="A7046" t="inlineStr">
        <is>
          <t>A 33079-2025</t>
        </is>
      </c>
      <c r="B7046" t="inlineStr">
        <is>
          <t>avverkningsanmälan</t>
        </is>
      </c>
      <c r="C7046" t="inlineStr">
        <is>
          <t>Föryngringsavverkning</t>
        </is>
      </c>
      <c r="D7046" s="1" t="n">
        <v>45840</v>
      </c>
      <c r="E7046" s="1" t="n">
        <v>46326</v>
      </c>
      <c r="F7046" t="inlineStr">
        <is>
          <t>GÄVLEBORGS LÄN</t>
        </is>
      </c>
      <c r="G7046" t="inlineStr">
        <is>
          <t>OCKELBO</t>
        </is>
      </c>
      <c r="H7046" t="inlineStr">
        <is>
          <t>Bergvik skog väst AB</t>
        </is>
      </c>
      <c r="I7046" t="n">
        <v>0.9</v>
      </c>
      <c r="J7046" t="n">
        <v>0</v>
      </c>
      <c r="K7046" t="n">
        <v>0</v>
      </c>
      <c r="L7046" t="n">
        <v>0</v>
      </c>
      <c r="M7046" t="n">
        <v>0</v>
      </c>
      <c r="N7046" t="n">
        <v>0</v>
      </c>
      <c r="O7046" t="n">
        <v>0</v>
      </c>
      <c r="P7046" t="n">
        <v>0</v>
      </c>
      <c r="Q7046" t="n">
        <v>0</v>
      </c>
      <c r="R7046" t="n">
        <v>0</v>
      </c>
      <c r="S7046" t="n">
        <v>0</v>
      </c>
      <c r="T7046" t="n">
        <v>0</v>
      </c>
      <c r="U7046" t="n">
        <v>0</v>
      </c>
      <c r="V7046" s="2" t="inlineStr"/>
    </row>
    <row r="7047" ht="15" customHeight="1">
      <c r="A7047" t="inlineStr">
        <is>
          <t>A 1672-2026</t>
        </is>
      </c>
      <c r="B7047" t="inlineStr">
        <is>
          <t>avverkningsanmälan</t>
        </is>
      </c>
      <c r="C7047" t="inlineStr">
        <is>
          <t>Föryngringsavverkning</t>
        </is>
      </c>
      <c r="D7047" s="1" t="n">
        <v>46034</v>
      </c>
      <c r="E7047" s="1" t="n">
        <v>46326</v>
      </c>
      <c r="F7047" t="inlineStr">
        <is>
          <t>GÄVLEBORGS LÄN</t>
        </is>
      </c>
      <c r="G7047" t="inlineStr">
        <is>
          <t>BOLLNÄS</t>
        </is>
      </c>
      <c r="I7047" t="n">
        <v>5.4</v>
      </c>
      <c r="J7047" t="n">
        <v>0</v>
      </c>
      <c r="K7047" t="n">
        <v>0</v>
      </c>
      <c r="L7047" t="n">
        <v>0</v>
      </c>
      <c r="M7047" t="n">
        <v>0</v>
      </c>
      <c r="N7047" t="n">
        <v>0</v>
      </c>
      <c r="O7047" t="n">
        <v>0</v>
      </c>
      <c r="P7047" t="n">
        <v>0</v>
      </c>
      <c r="Q7047" t="n">
        <v>0</v>
      </c>
      <c r="R7047" t="n">
        <v>0</v>
      </c>
      <c r="S7047" t="n">
        <v>0</v>
      </c>
      <c r="T7047" t="n">
        <v>0</v>
      </c>
      <c r="U7047" t="n">
        <v>0</v>
      </c>
      <c r="V7047" s="2" t="inlineStr"/>
    </row>
    <row r="7048" ht="15" customHeight="1">
      <c r="A7048" t="inlineStr">
        <is>
          <t>A 13853-2025</t>
        </is>
      </c>
      <c r="B7048" t="inlineStr">
        <is>
          <t>avverkningsanmälan</t>
        </is>
      </c>
      <c r="C7048" t="inlineStr">
        <is>
          <t>Föryngringsavverkning</t>
        </is>
      </c>
      <c r="D7048" s="1" t="n">
        <v>45737</v>
      </c>
      <c r="E7048" s="1" t="n">
        <v>46326</v>
      </c>
      <c r="F7048" t="inlineStr">
        <is>
          <t>GÄVLEBORGS LÄN</t>
        </is>
      </c>
      <c r="G7048" t="inlineStr">
        <is>
          <t>HUDIKSVALL</t>
        </is>
      </c>
      <c r="I7048" t="n">
        <v>7</v>
      </c>
      <c r="J7048" t="n">
        <v>0</v>
      </c>
      <c r="K7048" t="n">
        <v>0</v>
      </c>
      <c r="L7048" t="n">
        <v>0</v>
      </c>
      <c r="M7048" t="n">
        <v>0</v>
      </c>
      <c r="N7048" t="n">
        <v>0</v>
      </c>
      <c r="O7048" t="n">
        <v>0</v>
      </c>
      <c r="P7048" t="n">
        <v>0</v>
      </c>
      <c r="Q7048" t="n">
        <v>0</v>
      </c>
      <c r="R7048" t="n">
        <v>0</v>
      </c>
      <c r="S7048" t="n">
        <v>0</v>
      </c>
      <c r="T7048" t="n">
        <v>0</v>
      </c>
      <c r="U7048" t="n">
        <v>0</v>
      </c>
      <c r="V7048" s="2" t="inlineStr"/>
    </row>
    <row r="7049" ht="15" customHeight="1">
      <c r="A7049" t="inlineStr">
        <is>
          <t>A 57-2024</t>
        </is>
      </c>
      <c r="B7049" t="inlineStr">
        <is>
          <t>avverkningsanmälan</t>
        </is>
      </c>
      <c r="C7049" t="inlineStr">
        <is>
          <t>Föryngringsavverkning</t>
        </is>
      </c>
      <c r="D7049" s="1" t="n">
        <v>45293</v>
      </c>
      <c r="E7049" s="1" t="n">
        <v>46326</v>
      </c>
      <c r="F7049" t="inlineStr">
        <is>
          <t>GÄVLEBORGS LÄN</t>
        </is>
      </c>
      <c r="G7049" t="inlineStr">
        <is>
          <t>LJUSDAL</t>
        </is>
      </c>
      <c r="H7049" t="inlineStr">
        <is>
          <t>Holmen skog AB</t>
        </is>
      </c>
      <c r="I7049" t="n">
        <v>5.8</v>
      </c>
      <c r="J7049" t="n">
        <v>0</v>
      </c>
      <c r="K7049" t="n">
        <v>0</v>
      </c>
      <c r="L7049" t="n">
        <v>0</v>
      </c>
      <c r="M7049" t="n">
        <v>0</v>
      </c>
      <c r="N7049" t="n">
        <v>0</v>
      </c>
      <c r="O7049" t="n">
        <v>0</v>
      </c>
      <c r="P7049" t="n">
        <v>0</v>
      </c>
      <c r="Q7049" t="n">
        <v>0</v>
      </c>
      <c r="R7049" t="n">
        <v>0</v>
      </c>
      <c r="S7049" t="n">
        <v>0</v>
      </c>
      <c r="T7049" t="n">
        <v>0</v>
      </c>
      <c r="U7049" t="n">
        <v>0</v>
      </c>
      <c r="V7049" s="2" t="inlineStr"/>
    </row>
    <row r="7050" ht="15" customHeight="1">
      <c r="A7050" t="inlineStr">
        <is>
          <t>A 11967-2025</t>
        </is>
      </c>
      <c r="B7050" t="inlineStr">
        <is>
          <t>avverkningsanmälan</t>
        </is>
      </c>
      <c r="C7050" t="inlineStr">
        <is>
          <t>Föryngringsavverkning</t>
        </is>
      </c>
      <c r="D7050" s="1" t="n">
        <v>45728</v>
      </c>
      <c r="E7050" s="1" t="n">
        <v>46326</v>
      </c>
      <c r="F7050" t="inlineStr">
        <is>
          <t>GÄVLEBORGS LÄN</t>
        </is>
      </c>
      <c r="G7050" t="inlineStr">
        <is>
          <t>SANDVIKEN</t>
        </is>
      </c>
      <c r="I7050" t="n">
        <v>1.4</v>
      </c>
      <c r="J7050" t="n">
        <v>0</v>
      </c>
      <c r="K7050" t="n">
        <v>0</v>
      </c>
      <c r="L7050" t="n">
        <v>0</v>
      </c>
      <c r="M7050" t="n">
        <v>0</v>
      </c>
      <c r="N7050" t="n">
        <v>0</v>
      </c>
      <c r="O7050" t="n">
        <v>0</v>
      </c>
      <c r="P7050" t="n">
        <v>0</v>
      </c>
      <c r="Q7050" t="n">
        <v>0</v>
      </c>
      <c r="R7050" t="n">
        <v>0</v>
      </c>
      <c r="S7050" t="n">
        <v>0</v>
      </c>
      <c r="T7050" t="n">
        <v>0</v>
      </c>
      <c r="U7050" t="n">
        <v>0</v>
      </c>
      <c r="V7050" s="2" t="inlineStr"/>
    </row>
    <row r="7051" ht="15" customHeight="1">
      <c r="A7051" t="inlineStr">
        <is>
          <t>A 6956-2026</t>
        </is>
      </c>
      <c r="B7051" t="inlineStr">
        <is>
          <t>avverkningsanmälan</t>
        </is>
      </c>
      <c r="C7051" t="inlineStr">
        <is>
          <t>Föryngringsavverkning</t>
        </is>
      </c>
      <c r="D7051" s="1" t="n">
        <v>46057</v>
      </c>
      <c r="E7051" s="1" t="n">
        <v>46326</v>
      </c>
      <c r="F7051" t="inlineStr">
        <is>
          <t>GÄVLEBORGS LÄN</t>
        </is>
      </c>
      <c r="G7051" t="inlineStr">
        <is>
          <t>SANDVIKEN</t>
        </is>
      </c>
      <c r="I7051" t="n">
        <v>2</v>
      </c>
      <c r="J7051" t="n">
        <v>0</v>
      </c>
      <c r="K7051" t="n">
        <v>0</v>
      </c>
      <c r="L7051" t="n">
        <v>0</v>
      </c>
      <c r="M7051" t="n">
        <v>0</v>
      </c>
      <c r="N7051" t="n">
        <v>0</v>
      </c>
      <c r="O7051" t="n">
        <v>0</v>
      </c>
      <c r="P7051" t="n">
        <v>0</v>
      </c>
      <c r="Q7051" t="n">
        <v>0</v>
      </c>
      <c r="R7051" t="n">
        <v>0</v>
      </c>
      <c r="S7051" t="n">
        <v>0</v>
      </c>
      <c r="T7051" t="n">
        <v>0</v>
      </c>
      <c r="U7051" t="n">
        <v>0</v>
      </c>
      <c r="V7051" s="2" t="inlineStr"/>
    </row>
    <row r="7052" ht="15" customHeight="1">
      <c r="A7052" t="inlineStr">
        <is>
          <t>A 20328-2026</t>
        </is>
      </c>
      <c r="B7052" t="inlineStr">
        <is>
          <t>avverkningsanmälan</t>
        </is>
      </c>
      <c r="C7052" t="inlineStr">
        <is>
          <t>Föryngringsavverkning</t>
        </is>
      </c>
      <c r="D7052" s="1" t="n">
        <v>46139</v>
      </c>
      <c r="E7052" s="1" t="n">
        <v>46326</v>
      </c>
      <c r="F7052" t="inlineStr">
        <is>
          <t>GÄVLEBORGS LÄN</t>
        </is>
      </c>
      <c r="G7052" t="inlineStr">
        <is>
          <t>OVANÅKER</t>
        </is>
      </c>
      <c r="H7052" t="inlineStr">
        <is>
          <t>Bergvik skog väst AB</t>
        </is>
      </c>
      <c r="I7052" t="n">
        <v>0.6</v>
      </c>
      <c r="J7052" t="n">
        <v>0</v>
      </c>
      <c r="K7052" t="n">
        <v>0</v>
      </c>
      <c r="L7052" t="n">
        <v>0</v>
      </c>
      <c r="M7052" t="n">
        <v>0</v>
      </c>
      <c r="N7052" t="n">
        <v>0</v>
      </c>
      <c r="O7052" t="n">
        <v>0</v>
      </c>
      <c r="P7052" t="n">
        <v>0</v>
      </c>
      <c r="Q7052" t="n">
        <v>0</v>
      </c>
      <c r="R7052" t="n">
        <v>0</v>
      </c>
      <c r="S7052" t="n">
        <v>0</v>
      </c>
      <c r="T7052" t="n">
        <v>0</v>
      </c>
      <c r="U7052" t="n">
        <v>0</v>
      </c>
      <c r="V7052" s="2" t="inlineStr"/>
    </row>
    <row r="7053" ht="15" customHeight="1">
      <c r="A7053" t="inlineStr">
        <is>
          <t>A 9873-2026</t>
        </is>
      </c>
      <c r="B7053" t="inlineStr">
        <is>
          <t>avverkningsanmälan</t>
        </is>
      </c>
      <c r="C7053" t="inlineStr">
        <is>
          <t>Föryngringsavverkning</t>
        </is>
      </c>
      <c r="D7053" s="1" t="n">
        <v>46073</v>
      </c>
      <c r="E7053" s="1" t="n">
        <v>46326</v>
      </c>
      <c r="F7053" t="inlineStr">
        <is>
          <t>GÄVLEBORGS LÄN</t>
        </is>
      </c>
      <c r="G7053" t="inlineStr">
        <is>
          <t>BOLLNÄS</t>
        </is>
      </c>
      <c r="I7053" t="n">
        <v>1.2</v>
      </c>
      <c r="J7053" t="n">
        <v>0</v>
      </c>
      <c r="K7053" t="n">
        <v>0</v>
      </c>
      <c r="L7053" t="n">
        <v>0</v>
      </c>
      <c r="M7053" t="n">
        <v>0</v>
      </c>
      <c r="N7053" t="n">
        <v>0</v>
      </c>
      <c r="O7053" t="n">
        <v>0</v>
      </c>
      <c r="P7053" t="n">
        <v>0</v>
      </c>
      <c r="Q7053" t="n">
        <v>0</v>
      </c>
      <c r="R7053" t="n">
        <v>0</v>
      </c>
      <c r="S7053" t="n">
        <v>0</v>
      </c>
      <c r="T7053" t="n">
        <v>0</v>
      </c>
      <c r="U7053" t="n">
        <v>0</v>
      </c>
      <c r="V7053" s="2" t="inlineStr"/>
    </row>
    <row r="7054" ht="15" customHeight="1">
      <c r="A7054" t="inlineStr">
        <is>
          <t>A 9876-2026</t>
        </is>
      </c>
      <c r="B7054" t="inlineStr">
        <is>
          <t>avverkningsanmälan</t>
        </is>
      </c>
      <c r="C7054" t="inlineStr">
        <is>
          <t>Föryngringsavverkning</t>
        </is>
      </c>
      <c r="D7054" s="1" t="n">
        <v>46073</v>
      </c>
      <c r="E7054" s="1" t="n">
        <v>46326</v>
      </c>
      <c r="F7054" t="inlineStr">
        <is>
          <t>GÄVLEBORGS LÄN</t>
        </is>
      </c>
      <c r="G7054" t="inlineStr">
        <is>
          <t>OVANÅKER</t>
        </is>
      </c>
      <c r="I7054" t="n">
        <v>1.2</v>
      </c>
      <c r="J7054" t="n">
        <v>0</v>
      </c>
      <c r="K7054" t="n">
        <v>0</v>
      </c>
      <c r="L7054" t="n">
        <v>0</v>
      </c>
      <c r="M7054" t="n">
        <v>0</v>
      </c>
      <c r="N7054" t="n">
        <v>0</v>
      </c>
      <c r="O7054" t="n">
        <v>0</v>
      </c>
      <c r="P7054" t="n">
        <v>0</v>
      </c>
      <c r="Q7054" t="n">
        <v>0</v>
      </c>
      <c r="R7054" t="n">
        <v>0</v>
      </c>
      <c r="S7054" t="n">
        <v>0</v>
      </c>
      <c r="T7054" t="n">
        <v>0</v>
      </c>
      <c r="U7054" t="n">
        <v>0</v>
      </c>
      <c r="V7054" s="2" t="inlineStr"/>
    </row>
    <row r="7055" ht="15" customHeight="1">
      <c r="A7055" t="inlineStr">
        <is>
          <t>A 5982-2026</t>
        </is>
      </c>
      <c r="B7055" t="inlineStr">
        <is>
          <t>avverkningsanmälan</t>
        </is>
      </c>
      <c r="C7055" t="inlineStr">
        <is>
          <t>Föryngringsavverkning</t>
        </is>
      </c>
      <c r="D7055" s="1" t="n">
        <v>46052</v>
      </c>
      <c r="E7055" s="1" t="n">
        <v>46326</v>
      </c>
      <c r="F7055" t="inlineStr">
        <is>
          <t>GÄVLEBORGS LÄN</t>
        </is>
      </c>
      <c r="G7055" t="inlineStr">
        <is>
          <t>OCKELBO</t>
        </is>
      </c>
      <c r="H7055" t="inlineStr">
        <is>
          <t>Bergvik skog väst AB</t>
        </is>
      </c>
      <c r="I7055" t="n">
        <v>3.5</v>
      </c>
      <c r="J7055" t="n">
        <v>0</v>
      </c>
      <c r="K7055" t="n">
        <v>0</v>
      </c>
      <c r="L7055" t="n">
        <v>0</v>
      </c>
      <c r="M7055" t="n">
        <v>0</v>
      </c>
      <c r="N7055" t="n">
        <v>0</v>
      </c>
      <c r="O7055" t="n">
        <v>0</v>
      </c>
      <c r="P7055" t="n">
        <v>0</v>
      </c>
      <c r="Q7055" t="n">
        <v>0</v>
      </c>
      <c r="R7055" t="n">
        <v>0</v>
      </c>
      <c r="S7055" t="n">
        <v>0</v>
      </c>
      <c r="T7055" t="n">
        <v>0</v>
      </c>
      <c r="U7055" t="n">
        <v>0</v>
      </c>
      <c r="V7055" s="2" t="inlineStr"/>
    </row>
    <row r="7056" ht="15" customHeight="1">
      <c r="A7056" t="inlineStr">
        <is>
          <t>A 10193-2023</t>
        </is>
      </c>
      <c r="B7056" t="inlineStr">
        <is>
          <t>avverkningsanmälan</t>
        </is>
      </c>
      <c r="C7056" t="inlineStr">
        <is>
          <t>Föryngringsavverkning</t>
        </is>
      </c>
      <c r="D7056" s="1" t="n">
        <v>44986</v>
      </c>
      <c r="E7056" s="1" t="n">
        <v>46326</v>
      </c>
      <c r="F7056" t="inlineStr">
        <is>
          <t>GÄVLEBORGS LÄN</t>
        </is>
      </c>
      <c r="G7056" t="inlineStr">
        <is>
          <t>HUDIKSVALL</t>
        </is>
      </c>
      <c r="I7056" t="n">
        <v>1.7</v>
      </c>
      <c r="J7056" t="n">
        <v>0</v>
      </c>
      <c r="K7056" t="n">
        <v>0</v>
      </c>
      <c r="L7056" t="n">
        <v>0</v>
      </c>
      <c r="M7056" t="n">
        <v>0</v>
      </c>
      <c r="N7056" t="n">
        <v>0</v>
      </c>
      <c r="O7056" t="n">
        <v>0</v>
      </c>
      <c r="P7056" t="n">
        <v>0</v>
      </c>
      <c r="Q7056" t="n">
        <v>0</v>
      </c>
      <c r="R7056" t="n">
        <v>0</v>
      </c>
      <c r="S7056" t="n">
        <v>0</v>
      </c>
      <c r="T7056" t="n">
        <v>0</v>
      </c>
      <c r="U7056" t="n">
        <v>0</v>
      </c>
      <c r="V7056" s="2" t="inlineStr"/>
    </row>
    <row r="7057" ht="15" customHeight="1">
      <c r="A7057" t="inlineStr">
        <is>
          <t>A 28003-2025</t>
        </is>
      </c>
      <c r="B7057" t="inlineStr">
        <is>
          <t>avverkningsanmälan</t>
        </is>
      </c>
      <c r="C7057" t="inlineStr">
        <is>
          <t>Föryngringsavverkning</t>
        </is>
      </c>
      <c r="D7057" s="1" t="n">
        <v>45817</v>
      </c>
      <c r="E7057" s="1" t="n">
        <v>46326</v>
      </c>
      <c r="F7057" t="inlineStr">
        <is>
          <t>GÄVLEBORGS LÄN</t>
        </is>
      </c>
      <c r="G7057" t="inlineStr">
        <is>
          <t>SÖDERHAMN</t>
        </is>
      </c>
      <c r="I7057" t="n">
        <v>3.9</v>
      </c>
      <c r="J7057" t="n">
        <v>0</v>
      </c>
      <c r="K7057" t="n">
        <v>0</v>
      </c>
      <c r="L7057" t="n">
        <v>0</v>
      </c>
      <c r="M7057" t="n">
        <v>0</v>
      </c>
      <c r="N7057" t="n">
        <v>0</v>
      </c>
      <c r="O7057" t="n">
        <v>0</v>
      </c>
      <c r="P7057" t="n">
        <v>0</v>
      </c>
      <c r="Q7057" t="n">
        <v>0</v>
      </c>
      <c r="R7057" t="n">
        <v>0</v>
      </c>
      <c r="S7057" t="n">
        <v>0</v>
      </c>
      <c r="T7057" t="n">
        <v>0</v>
      </c>
      <c r="U7057" t="n">
        <v>0</v>
      </c>
      <c r="V7057" s="2" t="inlineStr"/>
    </row>
    <row r="7058" ht="15" customHeight="1">
      <c r="A7058" t="inlineStr">
        <is>
          <t>A 20346-2026</t>
        </is>
      </c>
      <c r="B7058" t="inlineStr">
        <is>
          <t>avverkningsanmälan</t>
        </is>
      </c>
      <c r="C7058" t="inlineStr">
        <is>
          <t>Föryngringsavverkning</t>
        </is>
      </c>
      <c r="D7058" s="1" t="n">
        <v>46139</v>
      </c>
      <c r="E7058" s="1" t="n">
        <v>46326</v>
      </c>
      <c r="F7058" t="inlineStr">
        <is>
          <t>GÄVLEBORGS LÄN</t>
        </is>
      </c>
      <c r="G7058" t="inlineStr">
        <is>
          <t>OVANÅKER</t>
        </is>
      </c>
      <c r="I7058" t="n">
        <v>4</v>
      </c>
      <c r="J7058" t="n">
        <v>0</v>
      </c>
      <c r="K7058" t="n">
        <v>0</v>
      </c>
      <c r="L7058" t="n">
        <v>0</v>
      </c>
      <c r="M7058" t="n">
        <v>0</v>
      </c>
      <c r="N7058" t="n">
        <v>0</v>
      </c>
      <c r="O7058" t="n">
        <v>0</v>
      </c>
      <c r="P7058" t="n">
        <v>0</v>
      </c>
      <c r="Q7058" t="n">
        <v>0</v>
      </c>
      <c r="R7058" t="n">
        <v>0</v>
      </c>
      <c r="S7058" t="n">
        <v>0</v>
      </c>
      <c r="T7058" t="n">
        <v>0</v>
      </c>
      <c r="U7058" t="n">
        <v>0</v>
      </c>
      <c r="V7058" s="2" t="inlineStr"/>
    </row>
    <row r="7059" ht="15" customHeight="1">
      <c r="A7059" t="inlineStr">
        <is>
          <t>A 8742-2026</t>
        </is>
      </c>
      <c r="B7059" t="inlineStr">
        <is>
          <t>avverkningsanmälan</t>
        </is>
      </c>
      <c r="C7059" t="inlineStr">
        <is>
          <t>Föryngringsavverkning</t>
        </is>
      </c>
      <c r="D7059" s="1" t="n">
        <v>46066</v>
      </c>
      <c r="E7059" s="1" t="n">
        <v>46326</v>
      </c>
      <c r="F7059" t="inlineStr">
        <is>
          <t>GÄVLEBORGS LÄN</t>
        </is>
      </c>
      <c r="G7059" t="inlineStr">
        <is>
          <t>OVANÅKER</t>
        </is>
      </c>
      <c r="I7059" t="n">
        <v>1.3</v>
      </c>
      <c r="J7059" t="n">
        <v>0</v>
      </c>
      <c r="K7059" t="n">
        <v>0</v>
      </c>
      <c r="L7059" t="n">
        <v>0</v>
      </c>
      <c r="M7059" t="n">
        <v>0</v>
      </c>
      <c r="N7059" t="n">
        <v>0</v>
      </c>
      <c r="O7059" t="n">
        <v>0</v>
      </c>
      <c r="P7059" t="n">
        <v>0</v>
      </c>
      <c r="Q7059" t="n">
        <v>0</v>
      </c>
      <c r="R7059" t="n">
        <v>0</v>
      </c>
      <c r="S7059" t="n">
        <v>0</v>
      </c>
      <c r="T7059" t="n">
        <v>0</v>
      </c>
      <c r="U7059" t="n">
        <v>0</v>
      </c>
      <c r="V7059" s="2" t="inlineStr"/>
    </row>
    <row r="7060" ht="15" customHeight="1">
      <c r="A7060" t="inlineStr">
        <is>
          <t>A 11132-2026</t>
        </is>
      </c>
      <c r="B7060" t="inlineStr">
        <is>
          <t>avverkningsanmälan</t>
        </is>
      </c>
      <c r="C7060" t="inlineStr">
        <is>
          <t>Föryngringsavverkning</t>
        </is>
      </c>
      <c r="D7060" s="1" t="n">
        <v>46079</v>
      </c>
      <c r="E7060" s="1" t="n">
        <v>46326</v>
      </c>
      <c r="F7060" t="inlineStr">
        <is>
          <t>GÄVLEBORGS LÄN</t>
        </is>
      </c>
      <c r="G7060" t="inlineStr">
        <is>
          <t>HUDIKSVALL</t>
        </is>
      </c>
      <c r="I7060" t="n">
        <v>3.6</v>
      </c>
      <c r="J7060" t="n">
        <v>0</v>
      </c>
      <c r="K7060" t="n">
        <v>0</v>
      </c>
      <c r="L7060" t="n">
        <v>0</v>
      </c>
      <c r="M7060" t="n">
        <v>0</v>
      </c>
      <c r="N7060" t="n">
        <v>0</v>
      </c>
      <c r="O7060" t="n">
        <v>0</v>
      </c>
      <c r="P7060" t="n">
        <v>0</v>
      </c>
      <c r="Q7060" t="n">
        <v>0</v>
      </c>
      <c r="R7060" t="n">
        <v>0</v>
      </c>
      <c r="S7060" t="n">
        <v>0</v>
      </c>
      <c r="T7060" t="n">
        <v>0</v>
      </c>
      <c r="U7060" t="n">
        <v>0</v>
      </c>
      <c r="V7060" s="2" t="inlineStr"/>
    </row>
    <row r="7061" ht="15" customHeight="1">
      <c r="A7061" t="inlineStr">
        <is>
          <t>A 36594-2023</t>
        </is>
      </c>
      <c r="B7061" t="inlineStr">
        <is>
          <t>avverkningsanmälan</t>
        </is>
      </c>
      <c r="C7061" t="inlineStr">
        <is>
          <t>Föryngringsavverkning</t>
        </is>
      </c>
      <c r="D7061" s="1" t="n">
        <v>45153</v>
      </c>
      <c r="E7061" s="1" t="n">
        <v>46326</v>
      </c>
      <c r="F7061" t="inlineStr">
        <is>
          <t>GÄVLEBORGS LÄN</t>
        </is>
      </c>
      <c r="G7061" t="inlineStr">
        <is>
          <t>BOLLNÄS</t>
        </is>
      </c>
      <c r="I7061" t="n">
        <v>2.6</v>
      </c>
      <c r="J7061" t="n">
        <v>0</v>
      </c>
      <c r="K7061" t="n">
        <v>0</v>
      </c>
      <c r="L7061" t="n">
        <v>0</v>
      </c>
      <c r="M7061" t="n">
        <v>0</v>
      </c>
      <c r="N7061" t="n">
        <v>0</v>
      </c>
      <c r="O7061" t="n">
        <v>0</v>
      </c>
      <c r="P7061" t="n">
        <v>0</v>
      </c>
      <c r="Q7061" t="n">
        <v>0</v>
      </c>
      <c r="R7061" t="n">
        <v>0</v>
      </c>
      <c r="S7061" t="n">
        <v>0</v>
      </c>
      <c r="T7061" t="n">
        <v>0</v>
      </c>
      <c r="U7061" t="n">
        <v>0</v>
      </c>
      <c r="V7061" s="2" t="inlineStr"/>
    </row>
    <row r="7062" ht="15" customHeight="1">
      <c r="A7062" t="inlineStr">
        <is>
          <t>A 1398-2026</t>
        </is>
      </c>
      <c r="B7062" t="inlineStr">
        <is>
          <t>avverkningsanmälan</t>
        </is>
      </c>
      <c r="C7062" t="inlineStr">
        <is>
          <t>Föryngringsavverkning</t>
        </is>
      </c>
      <c r="D7062" s="1" t="n">
        <v>46031</v>
      </c>
      <c r="E7062" s="1" t="n">
        <v>46326</v>
      </c>
      <c r="F7062" t="inlineStr">
        <is>
          <t>GÄVLEBORGS LÄN</t>
        </is>
      </c>
      <c r="G7062" t="inlineStr">
        <is>
          <t>LJUSDAL</t>
        </is>
      </c>
      <c r="I7062" t="n">
        <v>1.4</v>
      </c>
      <c r="J7062" t="n">
        <v>0</v>
      </c>
      <c r="K7062" t="n">
        <v>0</v>
      </c>
      <c r="L7062" t="n">
        <v>0</v>
      </c>
      <c r="M7062" t="n">
        <v>0</v>
      </c>
      <c r="N7062" t="n">
        <v>0</v>
      </c>
      <c r="O7062" t="n">
        <v>0</v>
      </c>
      <c r="P7062" t="n">
        <v>0</v>
      </c>
      <c r="Q7062" t="n">
        <v>0</v>
      </c>
      <c r="R7062" t="n">
        <v>0</v>
      </c>
      <c r="S7062" t="n">
        <v>0</v>
      </c>
      <c r="T7062" t="n">
        <v>0</v>
      </c>
      <c r="U7062" t="n">
        <v>0</v>
      </c>
      <c r="V7062" s="2" t="inlineStr"/>
    </row>
    <row r="7063" ht="15" customHeight="1">
      <c r="A7063" t="inlineStr">
        <is>
          <t>A 16944-2026</t>
        </is>
      </c>
      <c r="B7063" t="inlineStr">
        <is>
          <t>avverkningsanmälan</t>
        </is>
      </c>
      <c r="C7063" t="inlineStr">
        <is>
          <t>Föryngringsavverkning</t>
        </is>
      </c>
      <c r="D7063" s="1" t="n">
        <v>46113</v>
      </c>
      <c r="E7063" s="1" t="n">
        <v>46326</v>
      </c>
      <c r="F7063" t="inlineStr">
        <is>
          <t>GÄVLEBORGS LÄN</t>
        </is>
      </c>
      <c r="G7063" t="inlineStr">
        <is>
          <t>BOLLNÄS</t>
        </is>
      </c>
      <c r="I7063" t="n">
        <v>5.3</v>
      </c>
      <c r="J7063" t="n">
        <v>0</v>
      </c>
      <c r="K7063" t="n">
        <v>0</v>
      </c>
      <c r="L7063" t="n">
        <v>0</v>
      </c>
      <c r="M7063" t="n">
        <v>0</v>
      </c>
      <c r="N7063" t="n">
        <v>0</v>
      </c>
      <c r="O7063" t="n">
        <v>0</v>
      </c>
      <c r="P7063" t="n">
        <v>0</v>
      </c>
      <c r="Q7063" t="n">
        <v>0</v>
      </c>
      <c r="R7063" t="n">
        <v>0</v>
      </c>
      <c r="S7063" t="n">
        <v>0</v>
      </c>
      <c r="T7063" t="n">
        <v>0</v>
      </c>
      <c r="U7063" t="n">
        <v>0</v>
      </c>
      <c r="V7063" s="2" t="inlineStr"/>
    </row>
    <row r="7064" ht="15" customHeight="1">
      <c r="A7064" t="inlineStr">
        <is>
          <t>A 20286-2023</t>
        </is>
      </c>
      <c r="B7064" t="inlineStr">
        <is>
          <t>avverkningsanmälan</t>
        </is>
      </c>
      <c r="C7064" t="inlineStr">
        <is>
          <t>Föryngringsavverkning</t>
        </is>
      </c>
      <c r="D7064" s="1" t="n">
        <v>45056</v>
      </c>
      <c r="E7064" s="1" t="n">
        <v>46326</v>
      </c>
      <c r="F7064" t="inlineStr">
        <is>
          <t>GÄVLEBORGS LÄN</t>
        </is>
      </c>
      <c r="G7064" t="inlineStr">
        <is>
          <t>SÖDERHAMN</t>
        </is>
      </c>
      <c r="H7064" t="inlineStr">
        <is>
          <t>Bergvik skog väst AB</t>
        </is>
      </c>
      <c r="I7064" t="n">
        <v>2</v>
      </c>
      <c r="J7064" t="n">
        <v>0</v>
      </c>
      <c r="K7064" t="n">
        <v>0</v>
      </c>
      <c r="L7064" t="n">
        <v>0</v>
      </c>
      <c r="M7064" t="n">
        <v>0</v>
      </c>
      <c r="N7064" t="n">
        <v>0</v>
      </c>
      <c r="O7064" t="n">
        <v>0</v>
      </c>
      <c r="P7064" t="n">
        <v>0</v>
      </c>
      <c r="Q7064" t="n">
        <v>0</v>
      </c>
      <c r="R7064" t="n">
        <v>0</v>
      </c>
      <c r="S7064" t="n">
        <v>0</v>
      </c>
      <c r="T7064" t="n">
        <v>0</v>
      </c>
      <c r="U7064" t="n">
        <v>0</v>
      </c>
      <c r="V7064" s="2" t="inlineStr"/>
    </row>
    <row r="7065" ht="15" customHeight="1">
      <c r="A7065" t="inlineStr">
        <is>
          <t>A 20331-2023</t>
        </is>
      </c>
      <c r="B7065" t="inlineStr">
        <is>
          <t>avverkningsanmälan</t>
        </is>
      </c>
      <c r="C7065" t="inlineStr">
        <is>
          <t>Föryngringsavverkning</t>
        </is>
      </c>
      <c r="D7065" s="1" t="n">
        <v>45056</v>
      </c>
      <c r="E7065" s="1" t="n">
        <v>46326</v>
      </c>
      <c r="F7065" t="inlineStr">
        <is>
          <t>GÄVLEBORGS LÄN</t>
        </is>
      </c>
      <c r="G7065" t="inlineStr">
        <is>
          <t>OVANÅKER</t>
        </is>
      </c>
      <c r="I7065" t="n">
        <v>5.1</v>
      </c>
      <c r="J7065" t="n">
        <v>0</v>
      </c>
      <c r="K7065" t="n">
        <v>0</v>
      </c>
      <c r="L7065" t="n">
        <v>0</v>
      </c>
      <c r="M7065" t="n">
        <v>0</v>
      </c>
      <c r="N7065" t="n">
        <v>0</v>
      </c>
      <c r="O7065" t="n">
        <v>0</v>
      </c>
      <c r="P7065" t="n">
        <v>0</v>
      </c>
      <c r="Q7065" t="n">
        <v>0</v>
      </c>
      <c r="R7065" t="n">
        <v>0</v>
      </c>
      <c r="S7065" t="n">
        <v>0</v>
      </c>
      <c r="T7065" t="n">
        <v>0</v>
      </c>
      <c r="U7065" t="n">
        <v>0</v>
      </c>
      <c r="V7065" s="2" t="inlineStr"/>
    </row>
    <row r="7066" ht="15" customHeight="1">
      <c r="A7066" t="inlineStr">
        <is>
          <t>A 15539-2026</t>
        </is>
      </c>
      <c r="B7066" t="inlineStr">
        <is>
          <t>avverkningsanmälan</t>
        </is>
      </c>
      <c r="C7066" t="inlineStr">
        <is>
          <t>Föryngringsavverkning</t>
        </is>
      </c>
      <c r="D7066" s="1" t="n">
        <v>46106</v>
      </c>
      <c r="E7066" s="1" t="n">
        <v>46326</v>
      </c>
      <c r="F7066" t="inlineStr">
        <is>
          <t>GÄVLEBORGS LÄN</t>
        </is>
      </c>
      <c r="G7066" t="inlineStr">
        <is>
          <t>OVANÅKER</t>
        </is>
      </c>
      <c r="H7066" t="inlineStr">
        <is>
          <t>Bergvik skog öst AB</t>
        </is>
      </c>
      <c r="I7066" t="n">
        <v>0.7</v>
      </c>
      <c r="J7066" t="n">
        <v>0</v>
      </c>
      <c r="K7066" t="n">
        <v>0</v>
      </c>
      <c r="L7066" t="n">
        <v>0</v>
      </c>
      <c r="M7066" t="n">
        <v>0</v>
      </c>
      <c r="N7066" t="n">
        <v>0</v>
      </c>
      <c r="O7066" t="n">
        <v>0</v>
      </c>
      <c r="P7066" t="n">
        <v>0</v>
      </c>
      <c r="Q7066" t="n">
        <v>0</v>
      </c>
      <c r="R7066" t="n">
        <v>0</v>
      </c>
      <c r="S7066" t="n">
        <v>0</v>
      </c>
      <c r="T7066" t="n">
        <v>0</v>
      </c>
      <c r="U7066" t="n">
        <v>0</v>
      </c>
      <c r="V7066" s="2" t="inlineStr"/>
    </row>
    <row r="7067" ht="15" customHeight="1">
      <c r="A7067" t="inlineStr">
        <is>
          <t>A 19547-2024</t>
        </is>
      </c>
      <c r="B7067" t="inlineStr">
        <is>
          <t>avverkningsanmälan</t>
        </is>
      </c>
      <c r="C7067" t="inlineStr">
        <is>
          <t>Föryngringsavverkning</t>
        </is>
      </c>
      <c r="D7067" s="1" t="n">
        <v>45429</v>
      </c>
      <c r="E7067" s="1" t="n">
        <v>46326</v>
      </c>
      <c r="F7067" t="inlineStr">
        <is>
          <t>GÄVLEBORGS LÄN</t>
        </is>
      </c>
      <c r="G7067" t="inlineStr">
        <is>
          <t>OVANÅKER</t>
        </is>
      </c>
      <c r="I7067" t="n">
        <v>11.9</v>
      </c>
      <c r="J7067" t="n">
        <v>0</v>
      </c>
      <c r="K7067" t="n">
        <v>0</v>
      </c>
      <c r="L7067" t="n">
        <v>0</v>
      </c>
      <c r="M7067" t="n">
        <v>0</v>
      </c>
      <c r="N7067" t="n">
        <v>0</v>
      </c>
      <c r="O7067" t="n">
        <v>0</v>
      </c>
      <c r="P7067" t="n">
        <v>0</v>
      </c>
      <c r="Q7067" t="n">
        <v>0</v>
      </c>
      <c r="R7067" t="n">
        <v>0</v>
      </c>
      <c r="S7067" t="n">
        <v>0</v>
      </c>
      <c r="T7067" t="n">
        <v>0</v>
      </c>
      <c r="U7067" t="n">
        <v>0</v>
      </c>
      <c r="V7067" s="2" t="inlineStr"/>
    </row>
    <row r="7068" ht="15" customHeight="1">
      <c r="A7068" t="inlineStr">
        <is>
          <t>A 40793-2024</t>
        </is>
      </c>
      <c r="B7068" t="inlineStr">
        <is>
          <t>avverkningsanmälan</t>
        </is>
      </c>
      <c r="C7068" t="inlineStr">
        <is>
          <t>Föryngringsavverkning</t>
        </is>
      </c>
      <c r="D7068" s="1" t="n">
        <v>45558</v>
      </c>
      <c r="E7068" s="1" t="n">
        <v>46326</v>
      </c>
      <c r="F7068" t="inlineStr">
        <is>
          <t>GÄVLEBORGS LÄN</t>
        </is>
      </c>
      <c r="G7068" t="inlineStr">
        <is>
          <t>SÖDERHAMN</t>
        </is>
      </c>
      <c r="I7068" t="n">
        <v>1</v>
      </c>
      <c r="J7068" t="n">
        <v>0</v>
      </c>
      <c r="K7068" t="n">
        <v>0</v>
      </c>
      <c r="L7068" t="n">
        <v>0</v>
      </c>
      <c r="M7068" t="n">
        <v>0</v>
      </c>
      <c r="N7068" t="n">
        <v>0</v>
      </c>
      <c r="O7068" t="n">
        <v>0</v>
      </c>
      <c r="P7068" t="n">
        <v>0</v>
      </c>
      <c r="Q7068" t="n">
        <v>0</v>
      </c>
      <c r="R7068" t="n">
        <v>0</v>
      </c>
      <c r="S7068" t="n">
        <v>0</v>
      </c>
      <c r="T7068" t="n">
        <v>0</v>
      </c>
      <c r="U7068" t="n">
        <v>0</v>
      </c>
      <c r="V7068" s="2" t="inlineStr"/>
    </row>
    <row r="7069" ht="15" customHeight="1">
      <c r="A7069" t="inlineStr">
        <is>
          <t>A 49486-2025</t>
        </is>
      </c>
      <c r="B7069" t="inlineStr">
        <is>
          <t>avverkningsanmälan</t>
        </is>
      </c>
      <c r="C7069" t="inlineStr">
        <is>
          <t>Föryngringsavverkning</t>
        </is>
      </c>
      <c r="D7069" s="1" t="n">
        <v>45939</v>
      </c>
      <c r="E7069" s="1" t="n">
        <v>46326</v>
      </c>
      <c r="F7069" t="inlineStr">
        <is>
          <t>GÄVLEBORGS LÄN</t>
        </is>
      </c>
      <c r="G7069" t="inlineStr">
        <is>
          <t>OVANÅKER</t>
        </is>
      </c>
      <c r="I7069" t="n">
        <v>3.8</v>
      </c>
      <c r="J7069" t="n">
        <v>0</v>
      </c>
      <c r="K7069" t="n">
        <v>0</v>
      </c>
      <c r="L7069" t="n">
        <v>0</v>
      </c>
      <c r="M7069" t="n">
        <v>0</v>
      </c>
      <c r="N7069" t="n">
        <v>0</v>
      </c>
      <c r="O7069" t="n">
        <v>0</v>
      </c>
      <c r="P7069" t="n">
        <v>0</v>
      </c>
      <c r="Q7069" t="n">
        <v>0</v>
      </c>
      <c r="R7069" t="n">
        <v>0</v>
      </c>
      <c r="S7069" t="n">
        <v>0</v>
      </c>
      <c r="T7069" t="n">
        <v>0</v>
      </c>
      <c r="U7069" t="n">
        <v>0</v>
      </c>
      <c r="V7069" s="2" t="inlineStr"/>
    </row>
    <row r="7070" ht="15" customHeight="1">
      <c r="A7070" t="inlineStr">
        <is>
          <t>A 6479-2026</t>
        </is>
      </c>
      <c r="B7070" t="inlineStr">
        <is>
          <t>avverkningsanmälan</t>
        </is>
      </c>
      <c r="C7070" t="inlineStr">
        <is>
          <t>Föryngringsavverkning</t>
        </is>
      </c>
      <c r="D7070" s="1" t="n">
        <v>46056</v>
      </c>
      <c r="E7070" s="1" t="n">
        <v>46326</v>
      </c>
      <c r="F7070" t="inlineStr">
        <is>
          <t>GÄVLEBORGS LÄN</t>
        </is>
      </c>
      <c r="G7070" t="inlineStr">
        <is>
          <t>BOLLNÄS</t>
        </is>
      </c>
      <c r="I7070" t="n">
        <v>3</v>
      </c>
      <c r="J7070" t="n">
        <v>0</v>
      </c>
      <c r="K7070" t="n">
        <v>0</v>
      </c>
      <c r="L7070" t="n">
        <v>0</v>
      </c>
      <c r="M7070" t="n">
        <v>0</v>
      </c>
      <c r="N7070" t="n">
        <v>0</v>
      </c>
      <c r="O7070" t="n">
        <v>0</v>
      </c>
      <c r="P7070" t="n">
        <v>0</v>
      </c>
      <c r="Q7070" t="n">
        <v>0</v>
      </c>
      <c r="R7070" t="n">
        <v>0</v>
      </c>
      <c r="S7070" t="n">
        <v>0</v>
      </c>
      <c r="T7070" t="n">
        <v>0</v>
      </c>
      <c r="U7070" t="n">
        <v>0</v>
      </c>
      <c r="V7070" s="2" t="inlineStr"/>
    </row>
    <row r="7071" ht="15" customHeight="1">
      <c r="A7071" t="inlineStr">
        <is>
          <t>A 25345-2024</t>
        </is>
      </c>
      <c r="B7071" t="inlineStr">
        <is>
          <t>avverkningsanmälan</t>
        </is>
      </c>
      <c r="C7071" t="inlineStr">
        <is>
          <t>Föryngringsavverkning</t>
        </is>
      </c>
      <c r="D7071" s="1" t="n">
        <v>45462</v>
      </c>
      <c r="E7071" s="1" t="n">
        <v>46326</v>
      </c>
      <c r="F7071" t="inlineStr">
        <is>
          <t>GÄVLEBORGS LÄN</t>
        </is>
      </c>
      <c r="G7071" t="inlineStr">
        <is>
          <t>OVANÅKER</t>
        </is>
      </c>
      <c r="I7071" t="n">
        <v>2.1</v>
      </c>
      <c r="J7071" t="n">
        <v>0</v>
      </c>
      <c r="K7071" t="n">
        <v>0</v>
      </c>
      <c r="L7071" t="n">
        <v>0</v>
      </c>
      <c r="M7071" t="n">
        <v>0</v>
      </c>
      <c r="N7071" t="n">
        <v>0</v>
      </c>
      <c r="O7071" t="n">
        <v>0</v>
      </c>
      <c r="P7071" t="n">
        <v>0</v>
      </c>
      <c r="Q7071" t="n">
        <v>0</v>
      </c>
      <c r="R7071" t="n">
        <v>0</v>
      </c>
      <c r="S7071" t="n">
        <v>0</v>
      </c>
      <c r="T7071" t="n">
        <v>0</v>
      </c>
      <c r="U7071" t="n">
        <v>0</v>
      </c>
      <c r="V7071" s="2" t="inlineStr"/>
    </row>
    <row r="7072" ht="15" customHeight="1">
      <c r="A7072" t="inlineStr">
        <is>
          <t>A 34094-2023</t>
        </is>
      </c>
      <c r="B7072" t="inlineStr">
        <is>
          <t>avverkningsanmälan</t>
        </is>
      </c>
      <c r="C7072" t="inlineStr">
        <is>
          <t>Föryngringsavverkning</t>
        </is>
      </c>
      <c r="D7072" s="1" t="n">
        <v>45135</v>
      </c>
      <c r="E7072" s="1" t="n">
        <v>46326</v>
      </c>
      <c r="F7072" t="inlineStr">
        <is>
          <t>GÄVLEBORGS LÄN</t>
        </is>
      </c>
      <c r="G7072" t="inlineStr">
        <is>
          <t>LJUSDAL</t>
        </is>
      </c>
      <c r="H7072" t="inlineStr">
        <is>
          <t>Holmen skog AB</t>
        </is>
      </c>
      <c r="I7072" t="n">
        <v>1.7</v>
      </c>
      <c r="J7072" t="n">
        <v>0</v>
      </c>
      <c r="K7072" t="n">
        <v>0</v>
      </c>
      <c r="L7072" t="n">
        <v>0</v>
      </c>
      <c r="M7072" t="n">
        <v>0</v>
      </c>
      <c r="N7072" t="n">
        <v>0</v>
      </c>
      <c r="O7072" t="n">
        <v>0</v>
      </c>
      <c r="P7072" t="n">
        <v>0</v>
      </c>
      <c r="Q7072" t="n">
        <v>0</v>
      </c>
      <c r="R7072" t="n">
        <v>0</v>
      </c>
      <c r="S7072" t="n">
        <v>0</v>
      </c>
      <c r="T7072" t="n">
        <v>0</v>
      </c>
      <c r="U7072" t="n">
        <v>0</v>
      </c>
      <c r="V7072" s="2" t="inlineStr"/>
    </row>
    <row r="7073" ht="15" customHeight="1">
      <c r="A7073" t="inlineStr">
        <is>
          <t>A 55240-2024</t>
        </is>
      </c>
      <c r="B7073" t="inlineStr">
        <is>
          <t>avverkningsanmälan</t>
        </is>
      </c>
      <c r="C7073" t="inlineStr">
        <is>
          <t>Avverkning för annat ändamål</t>
        </is>
      </c>
      <c r="D7073" s="1" t="n">
        <v>45621</v>
      </c>
      <c r="E7073" s="1" t="n">
        <v>46326</v>
      </c>
      <c r="F7073" t="inlineStr">
        <is>
          <t>GÄVLEBORGS LÄN</t>
        </is>
      </c>
      <c r="G7073" t="inlineStr">
        <is>
          <t>SÖDERHAMN</t>
        </is>
      </c>
      <c r="I7073" t="n">
        <v>2.3</v>
      </c>
      <c r="J7073" t="n">
        <v>0</v>
      </c>
      <c r="K7073" t="n">
        <v>0</v>
      </c>
      <c r="L7073" t="n">
        <v>0</v>
      </c>
      <c r="M7073" t="n">
        <v>0</v>
      </c>
      <c r="N7073" t="n">
        <v>0</v>
      </c>
      <c r="O7073" t="n">
        <v>0</v>
      </c>
      <c r="P7073" t="n">
        <v>0</v>
      </c>
      <c r="Q7073" t="n">
        <v>0</v>
      </c>
      <c r="R7073" t="n">
        <v>0</v>
      </c>
      <c r="S7073" t="n">
        <v>0</v>
      </c>
      <c r="T7073" t="n">
        <v>0</v>
      </c>
      <c r="U7073" t="n">
        <v>0</v>
      </c>
      <c r="V7073" s="2" t="inlineStr"/>
    </row>
    <row r="7074" ht="15" customHeight="1">
      <c r="A7074" t="inlineStr">
        <is>
          <t>A 53583-2025</t>
        </is>
      </c>
      <c r="B7074" t="inlineStr">
        <is>
          <t>avverkningsanmälan</t>
        </is>
      </c>
      <c r="C7074" t="inlineStr">
        <is>
          <t>Föryngringsavverkning</t>
        </is>
      </c>
      <c r="D7074" s="1" t="n">
        <v>45960</v>
      </c>
      <c r="E7074" s="1" t="n">
        <v>46326</v>
      </c>
      <c r="F7074" t="inlineStr">
        <is>
          <t>GÄVLEBORGS LÄN</t>
        </is>
      </c>
      <c r="G7074" t="inlineStr">
        <is>
          <t>SÖDERHAMN</t>
        </is>
      </c>
      <c r="I7074" t="n">
        <v>1.1</v>
      </c>
      <c r="J7074" t="n">
        <v>0</v>
      </c>
      <c r="K7074" t="n">
        <v>0</v>
      </c>
      <c r="L7074" t="n">
        <v>0</v>
      </c>
      <c r="M7074" t="n">
        <v>0</v>
      </c>
      <c r="N7074" t="n">
        <v>0</v>
      </c>
      <c r="O7074" t="n">
        <v>0</v>
      </c>
      <c r="P7074" t="n">
        <v>0</v>
      </c>
      <c r="Q7074" t="n">
        <v>0</v>
      </c>
      <c r="R7074" t="n">
        <v>0</v>
      </c>
      <c r="S7074" t="n">
        <v>0</v>
      </c>
      <c r="T7074" t="n">
        <v>0</v>
      </c>
      <c r="U7074" t="n">
        <v>0</v>
      </c>
      <c r="V7074" s="2" t="inlineStr"/>
    </row>
    <row r="7075" ht="15" customHeight="1">
      <c r="A7075" t="inlineStr">
        <is>
          <t>A 57189-2024</t>
        </is>
      </c>
      <c r="B7075" t="inlineStr">
        <is>
          <t>avverkningsanmälan</t>
        </is>
      </c>
      <c r="C7075" t="inlineStr">
        <is>
          <t>Avverkning för annat ändamål</t>
        </is>
      </c>
      <c r="D7075" s="1" t="n">
        <v>45629</v>
      </c>
      <c r="E7075" s="1" t="n">
        <v>46326</v>
      </c>
      <c r="F7075" t="inlineStr">
        <is>
          <t>GÄVLEBORGS LÄN</t>
        </is>
      </c>
      <c r="G7075" t="inlineStr">
        <is>
          <t>LJUSDAL</t>
        </is>
      </c>
      <c r="H7075" t="inlineStr">
        <is>
          <t>Holmen skog AB</t>
        </is>
      </c>
      <c r="I7075" t="n">
        <v>0.3</v>
      </c>
      <c r="J7075" t="n">
        <v>0</v>
      </c>
      <c r="K7075" t="n">
        <v>0</v>
      </c>
      <c r="L7075" t="n">
        <v>0</v>
      </c>
      <c r="M7075" t="n">
        <v>0</v>
      </c>
      <c r="N7075" t="n">
        <v>0</v>
      </c>
      <c r="O7075" t="n">
        <v>0</v>
      </c>
      <c r="P7075" t="n">
        <v>0</v>
      </c>
      <c r="Q7075" t="n">
        <v>0</v>
      </c>
      <c r="R7075" t="n">
        <v>0</v>
      </c>
      <c r="S7075" t="n">
        <v>0</v>
      </c>
      <c r="T7075" t="n">
        <v>0</v>
      </c>
      <c r="U7075" t="n">
        <v>0</v>
      </c>
      <c r="V7075" s="2" t="inlineStr"/>
    </row>
    <row r="7076" ht="15" customHeight="1">
      <c r="A7076" t="inlineStr">
        <is>
          <t>A 25946-2023</t>
        </is>
      </c>
      <c r="B7076" t="inlineStr">
        <is>
          <t>avverkningsanmälan</t>
        </is>
      </c>
      <c r="C7076" t="inlineStr">
        <is>
          <t>Föryngringsavverkning</t>
        </is>
      </c>
      <c r="D7076" s="1" t="n">
        <v>45090</v>
      </c>
      <c r="E7076" s="1" t="n">
        <v>46326</v>
      </c>
      <c r="F7076" t="inlineStr">
        <is>
          <t>GÄVLEBORGS LÄN</t>
        </is>
      </c>
      <c r="G7076" t="inlineStr">
        <is>
          <t>NORDANSTIG</t>
        </is>
      </c>
      <c r="I7076" t="n">
        <v>2</v>
      </c>
      <c r="J7076" t="n">
        <v>0</v>
      </c>
      <c r="K7076" t="n">
        <v>0</v>
      </c>
      <c r="L7076" t="n">
        <v>0</v>
      </c>
      <c r="M7076" t="n">
        <v>0</v>
      </c>
      <c r="N7076" t="n">
        <v>0</v>
      </c>
      <c r="O7076" t="n">
        <v>0</v>
      </c>
      <c r="P7076" t="n">
        <v>0</v>
      </c>
      <c r="Q7076" t="n">
        <v>0</v>
      </c>
      <c r="R7076" t="n">
        <v>0</v>
      </c>
      <c r="S7076" t="n">
        <v>0</v>
      </c>
      <c r="T7076" t="n">
        <v>0</v>
      </c>
      <c r="U7076" t="n">
        <v>0</v>
      </c>
      <c r="V7076" s="2" t="inlineStr"/>
    </row>
    <row r="7077" ht="15" customHeight="1">
      <c r="A7077" t="inlineStr">
        <is>
          <t>A 27862-2023</t>
        </is>
      </c>
      <c r="B7077" t="inlineStr">
        <is>
          <t>avverkningsanmälan</t>
        </is>
      </c>
      <c r="C7077" t="inlineStr">
        <is>
          <t>Föryngringsavverkning</t>
        </is>
      </c>
      <c r="D7077" s="1" t="n">
        <v>45098</v>
      </c>
      <c r="E7077" s="1" t="n">
        <v>46326</v>
      </c>
      <c r="F7077" t="inlineStr">
        <is>
          <t>GÄVLEBORGS LÄN</t>
        </is>
      </c>
      <c r="G7077" t="inlineStr">
        <is>
          <t>SÖDERHAMN</t>
        </is>
      </c>
      <c r="I7077" t="n">
        <v>2.1</v>
      </c>
      <c r="J7077" t="n">
        <v>0</v>
      </c>
      <c r="K7077" t="n">
        <v>0</v>
      </c>
      <c r="L7077" t="n">
        <v>0</v>
      </c>
      <c r="M7077" t="n">
        <v>0</v>
      </c>
      <c r="N7077" t="n">
        <v>0</v>
      </c>
      <c r="O7077" t="n">
        <v>0</v>
      </c>
      <c r="P7077" t="n">
        <v>0</v>
      </c>
      <c r="Q7077" t="n">
        <v>0</v>
      </c>
      <c r="R7077" t="n">
        <v>0</v>
      </c>
      <c r="S7077" t="n">
        <v>0</v>
      </c>
      <c r="T7077" t="n">
        <v>0</v>
      </c>
      <c r="U7077" t="n">
        <v>0</v>
      </c>
      <c r="V7077" s="2" t="inlineStr"/>
    </row>
    <row r="7078" ht="15" customHeight="1">
      <c r="A7078" t="inlineStr">
        <is>
          <t>A 20264-2026</t>
        </is>
      </c>
      <c r="B7078" t="inlineStr">
        <is>
          <t>avverkningsanmälan</t>
        </is>
      </c>
      <c r="C7078" t="inlineStr">
        <is>
          <t>Föryngringsavverkning</t>
        </is>
      </c>
      <c r="D7078" s="1" t="n">
        <v>46139</v>
      </c>
      <c r="E7078" s="1" t="n">
        <v>46326</v>
      </c>
      <c r="F7078" t="inlineStr">
        <is>
          <t>GÄVLEBORGS LÄN</t>
        </is>
      </c>
      <c r="G7078" t="inlineStr">
        <is>
          <t>BOLLNÄS</t>
        </is>
      </c>
      <c r="I7078" t="n">
        <v>0.6</v>
      </c>
      <c r="J7078" t="n">
        <v>0</v>
      </c>
      <c r="K7078" t="n">
        <v>0</v>
      </c>
      <c r="L7078" t="n">
        <v>0</v>
      </c>
      <c r="M7078" t="n">
        <v>0</v>
      </c>
      <c r="N7078" t="n">
        <v>0</v>
      </c>
      <c r="O7078" t="n">
        <v>0</v>
      </c>
      <c r="P7078" t="n">
        <v>0</v>
      </c>
      <c r="Q7078" t="n">
        <v>0</v>
      </c>
      <c r="R7078" t="n">
        <v>0</v>
      </c>
      <c r="S7078" t="n">
        <v>0</v>
      </c>
      <c r="T7078" t="n">
        <v>0</v>
      </c>
      <c r="U7078" t="n">
        <v>0</v>
      </c>
      <c r="V7078" s="2" t="inlineStr"/>
    </row>
    <row r="7079" ht="15" customHeight="1">
      <c r="A7079" t="inlineStr">
        <is>
          <t>A 6782-2026</t>
        </is>
      </c>
      <c r="B7079" t="inlineStr">
        <is>
          <t>avverkningsanmälan</t>
        </is>
      </c>
      <c r="C7079" t="inlineStr">
        <is>
          <t>Föryngringsavverkning</t>
        </is>
      </c>
      <c r="D7079" s="1" t="n">
        <v>46057</v>
      </c>
      <c r="E7079" s="1" t="n">
        <v>46326</v>
      </c>
      <c r="F7079" t="inlineStr">
        <is>
          <t>GÄVLEBORGS LÄN</t>
        </is>
      </c>
      <c r="G7079" t="inlineStr">
        <is>
          <t>BOLLNÄS</t>
        </is>
      </c>
      <c r="I7079" t="n">
        <v>4.1</v>
      </c>
      <c r="J7079" t="n">
        <v>0</v>
      </c>
      <c r="K7079" t="n">
        <v>0</v>
      </c>
      <c r="L7079" t="n">
        <v>0</v>
      </c>
      <c r="M7079" t="n">
        <v>0</v>
      </c>
      <c r="N7079" t="n">
        <v>0</v>
      </c>
      <c r="O7079" t="n">
        <v>0</v>
      </c>
      <c r="P7079" t="n">
        <v>0</v>
      </c>
      <c r="Q7079" t="n">
        <v>0</v>
      </c>
      <c r="R7079" t="n">
        <v>0</v>
      </c>
      <c r="S7079" t="n">
        <v>0</v>
      </c>
      <c r="T7079" t="n">
        <v>0</v>
      </c>
      <c r="U7079" t="n">
        <v>0</v>
      </c>
      <c r="V7079" s="2" t="inlineStr"/>
    </row>
    <row r="7080" ht="15" customHeight="1">
      <c r="A7080" t="inlineStr">
        <is>
          <t>A 8850-2026</t>
        </is>
      </c>
      <c r="B7080" t="inlineStr">
        <is>
          <t>avverkningsanmälan</t>
        </is>
      </c>
      <c r="C7080" t="inlineStr">
        <is>
          <t>Föryngringsavverkning</t>
        </is>
      </c>
      <c r="D7080" s="1" t="n">
        <v>46066</v>
      </c>
      <c r="E7080" s="1" t="n">
        <v>46326</v>
      </c>
      <c r="F7080" t="inlineStr">
        <is>
          <t>GÄVLEBORGS LÄN</t>
        </is>
      </c>
      <c r="G7080" t="inlineStr">
        <is>
          <t>LJUSDAL</t>
        </is>
      </c>
      <c r="I7080" t="n">
        <v>1.6</v>
      </c>
      <c r="J7080" t="n">
        <v>0</v>
      </c>
      <c r="K7080" t="n">
        <v>0</v>
      </c>
      <c r="L7080" t="n">
        <v>0</v>
      </c>
      <c r="M7080" t="n">
        <v>0</v>
      </c>
      <c r="N7080" t="n">
        <v>0</v>
      </c>
      <c r="O7080" t="n">
        <v>0</v>
      </c>
      <c r="P7080" t="n">
        <v>0</v>
      </c>
      <c r="Q7080" t="n">
        <v>0</v>
      </c>
      <c r="R7080" t="n">
        <v>0</v>
      </c>
      <c r="S7080" t="n">
        <v>0</v>
      </c>
      <c r="T7080" t="n">
        <v>0</v>
      </c>
      <c r="U7080" t="n">
        <v>0</v>
      </c>
      <c r="V7080" s="2" t="inlineStr"/>
    </row>
    <row r="7081" ht="15" customHeight="1">
      <c r="A7081" t="inlineStr">
        <is>
          <t>A 35070-2022</t>
        </is>
      </c>
      <c r="B7081" t="inlineStr">
        <is>
          <t>avverkningsanmälan</t>
        </is>
      </c>
      <c r="C7081" t="inlineStr">
        <is>
          <t>Föryngringsavverkning</t>
        </is>
      </c>
      <c r="D7081" s="1" t="n">
        <v>44797</v>
      </c>
      <c r="E7081" s="1" t="n">
        <v>46326</v>
      </c>
      <c r="F7081" t="inlineStr">
        <is>
          <t>GÄVLEBORGS LÄN</t>
        </is>
      </c>
      <c r="G7081" t="inlineStr">
        <is>
          <t>NORDANSTIG</t>
        </is>
      </c>
      <c r="H7081" t="inlineStr">
        <is>
          <t>Holmen skog AB</t>
        </is>
      </c>
      <c r="I7081" t="n">
        <v>1.7</v>
      </c>
      <c r="J7081" t="n">
        <v>0</v>
      </c>
      <c r="K7081" t="n">
        <v>0</v>
      </c>
      <c r="L7081" t="n">
        <v>0</v>
      </c>
      <c r="M7081" t="n">
        <v>0</v>
      </c>
      <c r="N7081" t="n">
        <v>0</v>
      </c>
      <c r="O7081" t="n">
        <v>0</v>
      </c>
      <c r="P7081" t="n">
        <v>0</v>
      </c>
      <c r="Q7081" t="n">
        <v>0</v>
      </c>
      <c r="R7081" t="n">
        <v>0</v>
      </c>
      <c r="S7081" t="n">
        <v>0</v>
      </c>
      <c r="T7081" t="n">
        <v>0</v>
      </c>
      <c r="U7081" t="n">
        <v>0</v>
      </c>
      <c r="V7081" s="2" t="inlineStr"/>
    </row>
    <row r="7082" ht="15" customHeight="1">
      <c r="A7082" t="inlineStr">
        <is>
          <t>A 20604-2026</t>
        </is>
      </c>
      <c r="B7082" t="inlineStr">
        <is>
          <t>avverkningsanmälan</t>
        </is>
      </c>
      <c r="C7082" t="inlineStr">
        <is>
          <t>Föryngringsavverkning</t>
        </is>
      </c>
      <c r="D7082" s="1" t="n">
        <v>46140</v>
      </c>
      <c r="E7082" s="1" t="n">
        <v>46326</v>
      </c>
      <c r="F7082" t="inlineStr">
        <is>
          <t>GÄVLEBORGS LÄN</t>
        </is>
      </c>
      <c r="G7082" t="inlineStr">
        <is>
          <t>OCKELBO</t>
        </is>
      </c>
      <c r="I7082" t="n">
        <v>1.4</v>
      </c>
      <c r="J7082" t="n">
        <v>0</v>
      </c>
      <c r="K7082" t="n">
        <v>0</v>
      </c>
      <c r="L7082" t="n">
        <v>0</v>
      </c>
      <c r="M7082" t="n">
        <v>0</v>
      </c>
      <c r="N7082" t="n">
        <v>0</v>
      </c>
      <c r="O7082" t="n">
        <v>0</v>
      </c>
      <c r="P7082" t="n">
        <v>0</v>
      </c>
      <c r="Q7082" t="n">
        <v>0</v>
      </c>
      <c r="R7082" t="n">
        <v>0</v>
      </c>
      <c r="S7082" t="n">
        <v>0</v>
      </c>
      <c r="T7082" t="n">
        <v>0</v>
      </c>
      <c r="U7082" t="n">
        <v>0</v>
      </c>
      <c r="V7082" s="2" t="inlineStr"/>
    </row>
    <row r="7083" ht="15" customHeight="1">
      <c r="A7083" t="inlineStr">
        <is>
          <t>A 20611-2026</t>
        </is>
      </c>
      <c r="B7083" t="inlineStr">
        <is>
          <t>avverkningsanmälan</t>
        </is>
      </c>
      <c r="C7083" t="inlineStr">
        <is>
          <t>Avverkning för att bevara och utveckla /försöksver</t>
        </is>
      </c>
      <c r="D7083" s="1" t="n">
        <v>46140</v>
      </c>
      <c r="E7083" s="1" t="n">
        <v>46326</v>
      </c>
      <c r="F7083" t="inlineStr">
        <is>
          <t>GÄVLEBORGS LÄN</t>
        </is>
      </c>
      <c r="G7083" t="inlineStr">
        <is>
          <t>BOLLNÄS</t>
        </is>
      </c>
      <c r="I7083" t="n">
        <v>1</v>
      </c>
      <c r="J7083" t="n">
        <v>0</v>
      </c>
      <c r="K7083" t="n">
        <v>0</v>
      </c>
      <c r="L7083" t="n">
        <v>0</v>
      </c>
      <c r="M7083" t="n">
        <v>0</v>
      </c>
      <c r="N7083" t="n">
        <v>0</v>
      </c>
      <c r="O7083" t="n">
        <v>0</v>
      </c>
      <c r="P7083" t="n">
        <v>0</v>
      </c>
      <c r="Q7083" t="n">
        <v>0</v>
      </c>
      <c r="R7083" t="n">
        <v>0</v>
      </c>
      <c r="S7083" t="n">
        <v>0</v>
      </c>
      <c r="T7083" t="n">
        <v>0</v>
      </c>
      <c r="U7083" t="n">
        <v>0</v>
      </c>
      <c r="V7083" s="2" t="inlineStr"/>
    </row>
    <row r="7084" ht="15" customHeight="1">
      <c r="A7084" t="inlineStr">
        <is>
          <t>A 8124-2026</t>
        </is>
      </c>
      <c r="B7084" t="inlineStr">
        <is>
          <t>avverkningsanmälan</t>
        </is>
      </c>
      <c r="C7084" t="inlineStr">
        <is>
          <t>Föryngringsavverkning</t>
        </is>
      </c>
      <c r="D7084" s="1" t="n">
        <v>46063</v>
      </c>
      <c r="E7084" s="1" t="n">
        <v>46326</v>
      </c>
      <c r="F7084" t="inlineStr">
        <is>
          <t>GÄVLEBORGS LÄN</t>
        </is>
      </c>
      <c r="G7084" t="inlineStr">
        <is>
          <t>HUDIKSVALL</t>
        </is>
      </c>
      <c r="I7084" t="n">
        <v>1.2</v>
      </c>
      <c r="J7084" t="n">
        <v>0</v>
      </c>
      <c r="K7084" t="n">
        <v>0</v>
      </c>
      <c r="L7084" t="n">
        <v>0</v>
      </c>
      <c r="M7084" t="n">
        <v>0</v>
      </c>
      <c r="N7084" t="n">
        <v>0</v>
      </c>
      <c r="O7084" t="n">
        <v>0</v>
      </c>
      <c r="P7084" t="n">
        <v>0</v>
      </c>
      <c r="Q7084" t="n">
        <v>0</v>
      </c>
      <c r="R7084" t="n">
        <v>0</v>
      </c>
      <c r="S7084" t="n">
        <v>0</v>
      </c>
      <c r="T7084" t="n">
        <v>0</v>
      </c>
      <c r="U7084" t="n">
        <v>0</v>
      </c>
      <c r="V7084" s="2" t="inlineStr"/>
    </row>
    <row r="7085" ht="15" customHeight="1">
      <c r="A7085" t="inlineStr">
        <is>
          <t>A 14870-2026</t>
        </is>
      </c>
      <c r="B7085" t="inlineStr">
        <is>
          <t>avverkningsanmälan</t>
        </is>
      </c>
      <c r="C7085" t="inlineStr">
        <is>
          <t>Föryngringsavverkning</t>
        </is>
      </c>
      <c r="D7085" s="1" t="n">
        <v>46104</v>
      </c>
      <c r="E7085" s="1" t="n">
        <v>46326</v>
      </c>
      <c r="F7085" t="inlineStr">
        <is>
          <t>GÄVLEBORGS LÄN</t>
        </is>
      </c>
      <c r="G7085" t="inlineStr">
        <is>
          <t>BOLLNÄS</t>
        </is>
      </c>
      <c r="I7085" t="n">
        <v>5.8</v>
      </c>
      <c r="J7085" t="n">
        <v>0</v>
      </c>
      <c r="K7085" t="n">
        <v>0</v>
      </c>
      <c r="L7085" t="n">
        <v>0</v>
      </c>
      <c r="M7085" t="n">
        <v>0</v>
      </c>
      <c r="N7085" t="n">
        <v>0</v>
      </c>
      <c r="O7085" t="n">
        <v>0</v>
      </c>
      <c r="P7085" t="n">
        <v>0</v>
      </c>
      <c r="Q7085" t="n">
        <v>0</v>
      </c>
      <c r="R7085" t="n">
        <v>0</v>
      </c>
      <c r="S7085" t="n">
        <v>0</v>
      </c>
      <c r="T7085" t="n">
        <v>0</v>
      </c>
      <c r="U7085" t="n">
        <v>0</v>
      </c>
      <c r="V7085" s="2" t="inlineStr"/>
    </row>
    <row r="7086" ht="15" customHeight="1">
      <c r="A7086" t="inlineStr">
        <is>
          <t>A 15484-2026</t>
        </is>
      </c>
      <c r="B7086" t="inlineStr">
        <is>
          <t>avverkningsanmälan</t>
        </is>
      </c>
      <c r="C7086" t="inlineStr">
        <is>
          <t>Föryngringsavverkning</t>
        </is>
      </c>
      <c r="D7086" s="1" t="n">
        <v>46106</v>
      </c>
      <c r="E7086" s="1" t="n">
        <v>46326</v>
      </c>
      <c r="F7086" t="inlineStr">
        <is>
          <t>GÄVLEBORGS LÄN</t>
        </is>
      </c>
      <c r="G7086" t="inlineStr">
        <is>
          <t>OCKELBO</t>
        </is>
      </c>
      <c r="H7086" t="inlineStr">
        <is>
          <t>Bergvik skog väst AB</t>
        </is>
      </c>
      <c r="I7086" t="n">
        <v>4</v>
      </c>
      <c r="J7086" t="n">
        <v>0</v>
      </c>
      <c r="K7086" t="n">
        <v>0</v>
      </c>
      <c r="L7086" t="n">
        <v>0</v>
      </c>
      <c r="M7086" t="n">
        <v>0</v>
      </c>
      <c r="N7086" t="n">
        <v>0</v>
      </c>
      <c r="O7086" t="n">
        <v>0</v>
      </c>
      <c r="P7086" t="n">
        <v>0</v>
      </c>
      <c r="Q7086" t="n">
        <v>0</v>
      </c>
      <c r="R7086" t="n">
        <v>0</v>
      </c>
      <c r="S7086" t="n">
        <v>0</v>
      </c>
      <c r="T7086" t="n">
        <v>0</v>
      </c>
      <c r="U7086" t="n">
        <v>0</v>
      </c>
      <c r="V7086" s="2" t="inlineStr"/>
    </row>
    <row r="7087" ht="15" customHeight="1">
      <c r="A7087" t="inlineStr">
        <is>
          <t>A 8268-2026</t>
        </is>
      </c>
      <c r="B7087" t="inlineStr">
        <is>
          <t>avverkningsanmälan</t>
        </is>
      </c>
      <c r="C7087" t="inlineStr">
        <is>
          <t>Föryngringsavverkning</t>
        </is>
      </c>
      <c r="D7087" s="1" t="n">
        <v>46064</v>
      </c>
      <c r="E7087" s="1" t="n">
        <v>46326</v>
      </c>
      <c r="F7087" t="inlineStr">
        <is>
          <t>GÄVLEBORGS LÄN</t>
        </is>
      </c>
      <c r="G7087" t="inlineStr">
        <is>
          <t>BOLLNÄS</t>
        </is>
      </c>
      <c r="I7087" t="n">
        <v>1.3</v>
      </c>
      <c r="J7087" t="n">
        <v>0</v>
      </c>
      <c r="K7087" t="n">
        <v>0</v>
      </c>
      <c r="L7087" t="n">
        <v>0</v>
      </c>
      <c r="M7087" t="n">
        <v>0</v>
      </c>
      <c r="N7087" t="n">
        <v>0</v>
      </c>
      <c r="O7087" t="n">
        <v>0</v>
      </c>
      <c r="P7087" t="n">
        <v>0</v>
      </c>
      <c r="Q7087" t="n">
        <v>0</v>
      </c>
      <c r="R7087" t="n">
        <v>0</v>
      </c>
      <c r="S7087" t="n">
        <v>0</v>
      </c>
      <c r="T7087" t="n">
        <v>0</v>
      </c>
      <c r="U7087" t="n">
        <v>0</v>
      </c>
      <c r="V7087" s="2" t="inlineStr"/>
    </row>
    <row r="7088" ht="15" customHeight="1">
      <c r="A7088" t="inlineStr">
        <is>
          <t>A 24328-2024</t>
        </is>
      </c>
      <c r="B7088" t="inlineStr">
        <is>
          <t>avverkningsanmälan</t>
        </is>
      </c>
      <c r="C7088" t="inlineStr">
        <is>
          <t>Föryngringsavverkning</t>
        </is>
      </c>
      <c r="D7088" s="1" t="n">
        <v>45457</v>
      </c>
      <c r="E7088" s="1" t="n">
        <v>46326</v>
      </c>
      <c r="F7088" t="inlineStr">
        <is>
          <t>GÄVLEBORGS LÄN</t>
        </is>
      </c>
      <c r="G7088" t="inlineStr">
        <is>
          <t>BOLLNÄS</t>
        </is>
      </c>
      <c r="I7088" t="n">
        <v>5.1</v>
      </c>
      <c r="J7088" t="n">
        <v>0</v>
      </c>
      <c r="K7088" t="n">
        <v>0</v>
      </c>
      <c r="L7088" t="n">
        <v>0</v>
      </c>
      <c r="M7088" t="n">
        <v>0</v>
      </c>
      <c r="N7088" t="n">
        <v>0</v>
      </c>
      <c r="O7088" t="n">
        <v>0</v>
      </c>
      <c r="P7088" t="n">
        <v>0</v>
      </c>
      <c r="Q7088" t="n">
        <v>0</v>
      </c>
      <c r="R7088" t="n">
        <v>0</v>
      </c>
      <c r="S7088" t="n">
        <v>0</v>
      </c>
      <c r="T7088" t="n">
        <v>0</v>
      </c>
      <c r="U7088" t="n">
        <v>0</v>
      </c>
      <c r="V7088" s="2" t="inlineStr"/>
    </row>
    <row r="7089" ht="15" customHeight="1">
      <c r="A7089" t="inlineStr">
        <is>
          <t>A 37338-2024</t>
        </is>
      </c>
      <c r="B7089" t="inlineStr">
        <is>
          <t>avverkningsanmälan</t>
        </is>
      </c>
      <c r="C7089" t="inlineStr">
        <is>
          <t>Föryngringsavverkning</t>
        </is>
      </c>
      <c r="D7089" s="1" t="n">
        <v>45540</v>
      </c>
      <c r="E7089" s="1" t="n">
        <v>46326</v>
      </c>
      <c r="F7089" t="inlineStr">
        <is>
          <t>GÄVLEBORGS LÄN</t>
        </is>
      </c>
      <c r="G7089" t="inlineStr">
        <is>
          <t>OVANÅKER</t>
        </is>
      </c>
      <c r="I7089" t="n">
        <v>1</v>
      </c>
      <c r="J7089" t="n">
        <v>0</v>
      </c>
      <c r="K7089" t="n">
        <v>0</v>
      </c>
      <c r="L7089" t="n">
        <v>0</v>
      </c>
      <c r="M7089" t="n">
        <v>0</v>
      </c>
      <c r="N7089" t="n">
        <v>0</v>
      </c>
      <c r="O7089" t="n">
        <v>0</v>
      </c>
      <c r="P7089" t="n">
        <v>0</v>
      </c>
      <c r="Q7089" t="n">
        <v>0</v>
      </c>
      <c r="R7089" t="n">
        <v>0</v>
      </c>
      <c r="S7089" t="n">
        <v>0</v>
      </c>
      <c r="T7089" t="n">
        <v>0</v>
      </c>
      <c r="U7089" t="n">
        <v>0</v>
      </c>
      <c r="V7089" s="2" t="inlineStr"/>
    </row>
    <row r="7090" ht="15" customHeight="1">
      <c r="A7090" t="inlineStr">
        <is>
          <t>A 2054-2026</t>
        </is>
      </c>
      <c r="B7090" t="inlineStr">
        <is>
          <t>avverkningsanmälan</t>
        </is>
      </c>
      <c r="C7090" t="inlineStr">
        <is>
          <t>Föryngringsavverkning</t>
        </is>
      </c>
      <c r="D7090" s="1" t="n">
        <v>46031</v>
      </c>
      <c r="E7090" s="1" t="n">
        <v>46326</v>
      </c>
      <c r="F7090" t="inlineStr">
        <is>
          <t>GÄVLEBORGS LÄN</t>
        </is>
      </c>
      <c r="G7090" t="inlineStr">
        <is>
          <t>OVANÅKER</t>
        </is>
      </c>
      <c r="I7090" t="n">
        <v>2</v>
      </c>
      <c r="J7090" t="n">
        <v>0</v>
      </c>
      <c r="K7090" t="n">
        <v>0</v>
      </c>
      <c r="L7090" t="n">
        <v>0</v>
      </c>
      <c r="M7090" t="n">
        <v>0</v>
      </c>
      <c r="N7090" t="n">
        <v>0</v>
      </c>
      <c r="O7090" t="n">
        <v>0</v>
      </c>
      <c r="P7090" t="n">
        <v>0</v>
      </c>
      <c r="Q7090" t="n">
        <v>0</v>
      </c>
      <c r="R7090" t="n">
        <v>0</v>
      </c>
      <c r="S7090" t="n">
        <v>0</v>
      </c>
      <c r="T7090" t="n">
        <v>0</v>
      </c>
      <c r="U7090" t="n">
        <v>0</v>
      </c>
      <c r="V7090" s="2" t="inlineStr"/>
    </row>
    <row r="7091" ht="15" customHeight="1">
      <c r="A7091" t="inlineStr">
        <is>
          <t>A 42629-2024</t>
        </is>
      </c>
      <c r="B7091" t="inlineStr">
        <is>
          <t>avverkningsanmälan</t>
        </is>
      </c>
      <c r="C7091" t="inlineStr">
        <is>
          <t>Föryngringsavverkning</t>
        </is>
      </c>
      <c r="D7091" s="1" t="n">
        <v>45565</v>
      </c>
      <c r="E7091" s="1" t="n">
        <v>46326</v>
      </c>
      <c r="F7091" t="inlineStr">
        <is>
          <t>GÄVLEBORGS LÄN</t>
        </is>
      </c>
      <c r="G7091" t="inlineStr">
        <is>
          <t>HUDIKSVALL</t>
        </is>
      </c>
      <c r="I7091" t="n">
        <v>1.1</v>
      </c>
      <c r="J7091" t="n">
        <v>0</v>
      </c>
      <c r="K7091" t="n">
        <v>0</v>
      </c>
      <c r="L7091" t="n">
        <v>0</v>
      </c>
      <c r="M7091" t="n">
        <v>0</v>
      </c>
      <c r="N7091" t="n">
        <v>0</v>
      </c>
      <c r="O7091" t="n">
        <v>0</v>
      </c>
      <c r="P7091" t="n">
        <v>0</v>
      </c>
      <c r="Q7091" t="n">
        <v>0</v>
      </c>
      <c r="R7091" t="n">
        <v>0</v>
      </c>
      <c r="S7091" t="n">
        <v>0</v>
      </c>
      <c r="T7091" t="n">
        <v>0</v>
      </c>
      <c r="U7091" t="n">
        <v>0</v>
      </c>
      <c r="V7091" s="2" t="inlineStr"/>
    </row>
    <row r="7092" ht="15" customHeight="1">
      <c r="A7092" t="inlineStr">
        <is>
          <t>A 13613-2026</t>
        </is>
      </c>
      <c r="B7092" t="inlineStr">
        <is>
          <t>avverkningsanmälan</t>
        </is>
      </c>
      <c r="C7092" t="inlineStr">
        <is>
          <t>Föryngringsavverkning</t>
        </is>
      </c>
      <c r="D7092" s="1" t="n">
        <v>46097</v>
      </c>
      <c r="E7092" s="1" t="n">
        <v>46326</v>
      </c>
      <c r="F7092" t="inlineStr">
        <is>
          <t>GÄVLEBORGS LÄN</t>
        </is>
      </c>
      <c r="G7092" t="inlineStr">
        <is>
          <t>BOLLNÄS</t>
        </is>
      </c>
      <c r="H7092" t="inlineStr">
        <is>
          <t>Kyrkan</t>
        </is>
      </c>
      <c r="I7092" t="n">
        <v>7.1</v>
      </c>
      <c r="J7092" t="n">
        <v>0</v>
      </c>
      <c r="K7092" t="n">
        <v>0</v>
      </c>
      <c r="L7092" t="n">
        <v>0</v>
      </c>
      <c r="M7092" t="n">
        <v>0</v>
      </c>
      <c r="N7092" t="n">
        <v>0</v>
      </c>
      <c r="O7092" t="n">
        <v>0</v>
      </c>
      <c r="P7092" t="n">
        <v>0</v>
      </c>
      <c r="Q7092" t="n">
        <v>0</v>
      </c>
      <c r="R7092" t="n">
        <v>0</v>
      </c>
      <c r="S7092" t="n">
        <v>0</v>
      </c>
      <c r="T7092" t="n">
        <v>0</v>
      </c>
      <c r="U7092" t="n">
        <v>0</v>
      </c>
      <c r="V7092" s="2" t="inlineStr"/>
    </row>
    <row r="7093" ht="15" customHeight="1">
      <c r="A7093" t="inlineStr">
        <is>
          <t>A 14371-2026</t>
        </is>
      </c>
      <c r="B7093" t="inlineStr">
        <is>
          <t>avverkningsanmälan</t>
        </is>
      </c>
      <c r="C7093" t="inlineStr">
        <is>
          <t>Föryngringsavverkning</t>
        </is>
      </c>
      <c r="D7093" s="1" t="n">
        <v>46100</v>
      </c>
      <c r="E7093" s="1" t="n">
        <v>46326</v>
      </c>
      <c r="F7093" t="inlineStr">
        <is>
          <t>GÄVLEBORGS LÄN</t>
        </is>
      </c>
      <c r="G7093" t="inlineStr">
        <is>
          <t>BOLLNÄS</t>
        </is>
      </c>
      <c r="I7093" t="n">
        <v>22.8</v>
      </c>
      <c r="J7093" t="n">
        <v>0</v>
      </c>
      <c r="K7093" t="n">
        <v>0</v>
      </c>
      <c r="L7093" t="n">
        <v>0</v>
      </c>
      <c r="M7093" t="n">
        <v>0</v>
      </c>
      <c r="N7093" t="n">
        <v>0</v>
      </c>
      <c r="O7093" t="n">
        <v>0</v>
      </c>
      <c r="P7093" t="n">
        <v>0</v>
      </c>
      <c r="Q7093" t="n">
        <v>0</v>
      </c>
      <c r="R7093" t="n">
        <v>0</v>
      </c>
      <c r="S7093" t="n">
        <v>0</v>
      </c>
      <c r="T7093" t="n">
        <v>0</v>
      </c>
      <c r="U7093" t="n">
        <v>0</v>
      </c>
      <c r="V7093" s="2" t="inlineStr"/>
    </row>
    <row r="7094" ht="15" customHeight="1">
      <c r="A7094" t="inlineStr">
        <is>
          <t>A 59875-2023</t>
        </is>
      </c>
      <c r="B7094" t="inlineStr">
        <is>
          <t>avverkningsanmälan</t>
        </is>
      </c>
      <c r="C7094" t="inlineStr">
        <is>
          <t>Föryngringsavverkning</t>
        </is>
      </c>
      <c r="D7094" s="1" t="n">
        <v>45257</v>
      </c>
      <c r="E7094" s="1" t="n">
        <v>46326</v>
      </c>
      <c r="F7094" t="inlineStr">
        <is>
          <t>GÄVLEBORGS LÄN</t>
        </is>
      </c>
      <c r="G7094" t="inlineStr">
        <is>
          <t>HUDIKSVALL</t>
        </is>
      </c>
      <c r="I7094" t="n">
        <v>3.9</v>
      </c>
      <c r="J7094" t="n">
        <v>0</v>
      </c>
      <c r="K7094" t="n">
        <v>0</v>
      </c>
      <c r="L7094" t="n">
        <v>0</v>
      </c>
      <c r="M7094" t="n">
        <v>0</v>
      </c>
      <c r="N7094" t="n">
        <v>0</v>
      </c>
      <c r="O7094" t="n">
        <v>0</v>
      </c>
      <c r="P7094" t="n">
        <v>0</v>
      </c>
      <c r="Q7094" t="n">
        <v>0</v>
      </c>
      <c r="R7094" t="n">
        <v>0</v>
      </c>
      <c r="S7094" t="n">
        <v>0</v>
      </c>
      <c r="T7094" t="n">
        <v>0</v>
      </c>
      <c r="U7094" t="n">
        <v>0</v>
      </c>
      <c r="V7094" s="2" t="inlineStr"/>
    </row>
    <row r="7095" ht="15" customHeight="1">
      <c r="A7095" t="inlineStr">
        <is>
          <t>A 4816-2026</t>
        </is>
      </c>
      <c r="B7095" t="inlineStr">
        <is>
          <t>avverkningsanmälan</t>
        </is>
      </c>
      <c r="C7095" t="inlineStr">
        <is>
          <t>Föryngringsavverkning</t>
        </is>
      </c>
      <c r="D7095" s="1" t="n">
        <v>46048</v>
      </c>
      <c r="E7095" s="1" t="n">
        <v>46326</v>
      </c>
      <c r="F7095" t="inlineStr">
        <is>
          <t>GÄVLEBORGS LÄN</t>
        </is>
      </c>
      <c r="G7095" t="inlineStr">
        <is>
          <t>LJUSDAL</t>
        </is>
      </c>
      <c r="I7095" t="n">
        <v>6.8</v>
      </c>
      <c r="J7095" t="n">
        <v>0</v>
      </c>
      <c r="K7095" t="n">
        <v>0</v>
      </c>
      <c r="L7095" t="n">
        <v>0</v>
      </c>
      <c r="M7095" t="n">
        <v>0</v>
      </c>
      <c r="N7095" t="n">
        <v>0</v>
      </c>
      <c r="O7095" t="n">
        <v>0</v>
      </c>
      <c r="P7095" t="n">
        <v>0</v>
      </c>
      <c r="Q7095" t="n">
        <v>0</v>
      </c>
      <c r="R7095" t="n">
        <v>0</v>
      </c>
      <c r="S7095" t="n">
        <v>0</v>
      </c>
      <c r="T7095" t="n">
        <v>0</v>
      </c>
      <c r="U7095" t="n">
        <v>0</v>
      </c>
      <c r="V7095" s="2" t="inlineStr"/>
    </row>
    <row r="7096" ht="15" customHeight="1">
      <c r="A7096" t="inlineStr">
        <is>
          <t>A 6396-2025</t>
        </is>
      </c>
      <c r="B7096" t="inlineStr">
        <is>
          <t>avverkningsanmälan</t>
        </is>
      </c>
      <c r="C7096" t="inlineStr">
        <is>
          <t>Föryngringsavverkning</t>
        </is>
      </c>
      <c r="D7096" s="1" t="n">
        <v>45699</v>
      </c>
      <c r="E7096" s="1" t="n">
        <v>46326</v>
      </c>
      <c r="F7096" t="inlineStr">
        <is>
          <t>GÄVLEBORGS LÄN</t>
        </is>
      </c>
      <c r="G7096" t="inlineStr">
        <is>
          <t>OCKELBO</t>
        </is>
      </c>
      <c r="H7096" t="inlineStr">
        <is>
          <t>Bergvik skog väst AB</t>
        </is>
      </c>
      <c r="I7096" t="n">
        <v>4.1</v>
      </c>
      <c r="J7096" t="n">
        <v>0</v>
      </c>
      <c r="K7096" t="n">
        <v>0</v>
      </c>
      <c r="L7096" t="n">
        <v>0</v>
      </c>
      <c r="M7096" t="n">
        <v>0</v>
      </c>
      <c r="N7096" t="n">
        <v>0</v>
      </c>
      <c r="O7096" t="n">
        <v>0</v>
      </c>
      <c r="P7096" t="n">
        <v>0</v>
      </c>
      <c r="Q7096" t="n">
        <v>0</v>
      </c>
      <c r="R7096" t="n">
        <v>0</v>
      </c>
      <c r="S7096" t="n">
        <v>0</v>
      </c>
      <c r="T7096" t="n">
        <v>0</v>
      </c>
      <c r="U7096" t="n">
        <v>0</v>
      </c>
      <c r="V7096" s="2" t="inlineStr"/>
    </row>
    <row r="7097" ht="15" customHeight="1">
      <c r="A7097" t="inlineStr">
        <is>
          <t>A 11293-2026</t>
        </is>
      </c>
      <c r="B7097" t="inlineStr">
        <is>
          <t>avverkningsanmälan</t>
        </is>
      </c>
      <c r="C7097" t="inlineStr">
        <is>
          <t>Föryngringsavverkning</t>
        </is>
      </c>
      <c r="D7097" s="1" t="n">
        <v>46080</v>
      </c>
      <c r="E7097" s="1" t="n">
        <v>46326</v>
      </c>
      <c r="F7097" t="inlineStr">
        <is>
          <t>GÄVLEBORGS LÄN</t>
        </is>
      </c>
      <c r="G7097" t="inlineStr">
        <is>
          <t>BOLLNÄS</t>
        </is>
      </c>
      <c r="I7097" t="n">
        <v>1.2</v>
      </c>
      <c r="J7097" t="n">
        <v>0</v>
      </c>
      <c r="K7097" t="n">
        <v>0</v>
      </c>
      <c r="L7097" t="n">
        <v>0</v>
      </c>
      <c r="M7097" t="n">
        <v>0</v>
      </c>
      <c r="N7097" t="n">
        <v>0</v>
      </c>
      <c r="O7097" t="n">
        <v>0</v>
      </c>
      <c r="P7097" t="n">
        <v>0</v>
      </c>
      <c r="Q7097" t="n">
        <v>0</v>
      </c>
      <c r="R7097" t="n">
        <v>0</v>
      </c>
      <c r="S7097" t="n">
        <v>0</v>
      </c>
      <c r="T7097" t="n">
        <v>0</v>
      </c>
      <c r="U7097" t="n">
        <v>0</v>
      </c>
      <c r="V7097" s="2" t="inlineStr"/>
    </row>
    <row r="7098" ht="15" customHeight="1">
      <c r="A7098" t="inlineStr">
        <is>
          <t>A 4986-2026</t>
        </is>
      </c>
      <c r="B7098" t="inlineStr">
        <is>
          <t>avverkningsanmälan</t>
        </is>
      </c>
      <c r="C7098" t="inlineStr">
        <is>
          <t>Föryngringsavverkning</t>
        </is>
      </c>
      <c r="D7098" s="1" t="n">
        <v>46049</v>
      </c>
      <c r="E7098" s="1" t="n">
        <v>46326</v>
      </c>
      <c r="F7098" t="inlineStr">
        <is>
          <t>GÄVLEBORGS LÄN</t>
        </is>
      </c>
      <c r="G7098" t="inlineStr">
        <is>
          <t>BOLLNÄS</t>
        </is>
      </c>
      <c r="I7098" t="n">
        <v>3.3</v>
      </c>
      <c r="J7098" t="n">
        <v>0</v>
      </c>
      <c r="K7098" t="n">
        <v>0</v>
      </c>
      <c r="L7098" t="n">
        <v>0</v>
      </c>
      <c r="M7098" t="n">
        <v>0</v>
      </c>
      <c r="N7098" t="n">
        <v>0</v>
      </c>
      <c r="O7098" t="n">
        <v>0</v>
      </c>
      <c r="P7098" t="n">
        <v>0</v>
      </c>
      <c r="Q7098" t="n">
        <v>0</v>
      </c>
      <c r="R7098" t="n">
        <v>0</v>
      </c>
      <c r="S7098" t="n">
        <v>0</v>
      </c>
      <c r="T7098" t="n">
        <v>0</v>
      </c>
      <c r="U7098" t="n">
        <v>0</v>
      </c>
      <c r="V7098" s="2" t="inlineStr"/>
    </row>
    <row r="7099" ht="15" customHeight="1">
      <c r="A7099" t="inlineStr">
        <is>
          <t>A 20420-2026</t>
        </is>
      </c>
      <c r="B7099" t="inlineStr">
        <is>
          <t>avverkningsanmälan</t>
        </is>
      </c>
      <c r="C7099" t="inlineStr">
        <is>
          <t>Föryngringsavverkning</t>
        </is>
      </c>
      <c r="D7099" s="1" t="n">
        <v>46140</v>
      </c>
      <c r="E7099" s="1" t="n">
        <v>46326</v>
      </c>
      <c r="F7099" t="inlineStr">
        <is>
          <t>GÄVLEBORGS LÄN</t>
        </is>
      </c>
      <c r="G7099" t="inlineStr">
        <is>
          <t>OVANÅKER</t>
        </is>
      </c>
      <c r="I7099" t="n">
        <v>1.3</v>
      </c>
      <c r="J7099" t="n">
        <v>0</v>
      </c>
      <c r="K7099" t="n">
        <v>0</v>
      </c>
      <c r="L7099" t="n">
        <v>0</v>
      </c>
      <c r="M7099" t="n">
        <v>0</v>
      </c>
      <c r="N7099" t="n">
        <v>0</v>
      </c>
      <c r="O7099" t="n">
        <v>0</v>
      </c>
      <c r="P7099" t="n">
        <v>0</v>
      </c>
      <c r="Q7099" t="n">
        <v>0</v>
      </c>
      <c r="R7099" t="n">
        <v>0</v>
      </c>
      <c r="S7099" t="n">
        <v>0</v>
      </c>
      <c r="T7099" t="n">
        <v>0</v>
      </c>
      <c r="U7099" t="n">
        <v>0</v>
      </c>
      <c r="V7099" s="2" t="inlineStr"/>
    </row>
    <row r="7100" ht="15" customHeight="1">
      <c r="A7100" t="inlineStr">
        <is>
          <t>A 66493-2021</t>
        </is>
      </c>
      <c r="B7100" t="inlineStr">
        <is>
          <t>avverkningsanmälan</t>
        </is>
      </c>
      <c r="C7100" t="inlineStr">
        <is>
          <t>Föryngringsavverkning</t>
        </is>
      </c>
      <c r="D7100" s="1" t="n">
        <v>44519</v>
      </c>
      <c r="E7100" s="1" t="n">
        <v>46326</v>
      </c>
      <c r="F7100" t="inlineStr">
        <is>
          <t>GÄVLEBORGS LÄN</t>
        </is>
      </c>
      <c r="G7100" t="inlineStr">
        <is>
          <t>GÄVLE</t>
        </is>
      </c>
      <c r="I7100" t="n">
        <v>1.3</v>
      </c>
      <c r="J7100" t="n">
        <v>0</v>
      </c>
      <c r="K7100" t="n">
        <v>0</v>
      </c>
      <c r="L7100" t="n">
        <v>0</v>
      </c>
      <c r="M7100" t="n">
        <v>0</v>
      </c>
      <c r="N7100" t="n">
        <v>0</v>
      </c>
      <c r="O7100" t="n">
        <v>0</v>
      </c>
      <c r="P7100" t="n">
        <v>0</v>
      </c>
      <c r="Q7100" t="n">
        <v>0</v>
      </c>
      <c r="R7100" t="n">
        <v>0</v>
      </c>
      <c r="S7100" t="n">
        <v>0</v>
      </c>
      <c r="T7100" t="n">
        <v>0</v>
      </c>
      <c r="U7100" t="n">
        <v>0</v>
      </c>
      <c r="V7100" s="2" t="inlineStr"/>
    </row>
    <row r="7101" ht="15" customHeight="1">
      <c r="A7101" t="inlineStr">
        <is>
          <t>A 6096-2026</t>
        </is>
      </c>
      <c r="B7101" t="inlineStr">
        <is>
          <t>avverkningsanmälan</t>
        </is>
      </c>
      <c r="C7101" t="inlineStr">
        <is>
          <t>Föryngringsavverkning</t>
        </is>
      </c>
      <c r="D7101" s="1" t="n">
        <v>46052</v>
      </c>
      <c r="E7101" s="1" t="n">
        <v>46326</v>
      </c>
      <c r="F7101" t="inlineStr">
        <is>
          <t>GÄVLEBORGS LÄN</t>
        </is>
      </c>
      <c r="G7101" t="inlineStr">
        <is>
          <t>BOLLNÄS</t>
        </is>
      </c>
      <c r="I7101" t="n">
        <v>16.8</v>
      </c>
      <c r="J7101" t="n">
        <v>0</v>
      </c>
      <c r="K7101" t="n">
        <v>0</v>
      </c>
      <c r="L7101" t="n">
        <v>0</v>
      </c>
      <c r="M7101" t="n">
        <v>0</v>
      </c>
      <c r="N7101" t="n">
        <v>0</v>
      </c>
      <c r="O7101" t="n">
        <v>0</v>
      </c>
      <c r="P7101" t="n">
        <v>0</v>
      </c>
      <c r="Q7101" t="n">
        <v>0</v>
      </c>
      <c r="R7101" t="n">
        <v>0</v>
      </c>
      <c r="S7101" t="n">
        <v>0</v>
      </c>
      <c r="T7101" t="n">
        <v>0</v>
      </c>
      <c r="U7101" t="n">
        <v>0</v>
      </c>
      <c r="V7101" s="2" t="inlineStr"/>
    </row>
    <row r="7102" ht="15" customHeight="1">
      <c r="A7102" t="inlineStr">
        <is>
          <t>A 36629-2023</t>
        </is>
      </c>
      <c r="B7102" t="inlineStr">
        <is>
          <t>avverkningsanmälan</t>
        </is>
      </c>
      <c r="C7102" t="inlineStr">
        <is>
          <t>Föryngringsavverkning</t>
        </is>
      </c>
      <c r="D7102" s="1" t="n">
        <v>45153</v>
      </c>
      <c r="E7102" s="1" t="n">
        <v>46326</v>
      </c>
      <c r="F7102" t="inlineStr">
        <is>
          <t>GÄVLEBORGS LÄN</t>
        </is>
      </c>
      <c r="G7102" t="inlineStr">
        <is>
          <t>BOLLNÄS</t>
        </is>
      </c>
      <c r="I7102" t="n">
        <v>0.9</v>
      </c>
      <c r="J7102" t="n">
        <v>0</v>
      </c>
      <c r="K7102" t="n">
        <v>0</v>
      </c>
      <c r="L7102" t="n">
        <v>0</v>
      </c>
      <c r="M7102" t="n">
        <v>0</v>
      </c>
      <c r="N7102" t="n">
        <v>0</v>
      </c>
      <c r="O7102" t="n">
        <v>0</v>
      </c>
      <c r="P7102" t="n">
        <v>0</v>
      </c>
      <c r="Q7102" t="n">
        <v>0</v>
      </c>
      <c r="R7102" t="n">
        <v>0</v>
      </c>
      <c r="S7102" t="n">
        <v>0</v>
      </c>
      <c r="T7102" t="n">
        <v>0</v>
      </c>
      <c r="U7102" t="n">
        <v>0</v>
      </c>
      <c r="V7102" s="2" t="inlineStr"/>
    </row>
    <row r="7103" ht="15" customHeight="1">
      <c r="A7103" t="inlineStr">
        <is>
          <t>A 36699-2023</t>
        </is>
      </c>
      <c r="B7103" t="inlineStr">
        <is>
          <t>avverkningsanmälan</t>
        </is>
      </c>
      <c r="C7103" t="inlineStr">
        <is>
          <t>Föryngringsavverkning</t>
        </is>
      </c>
      <c r="D7103" s="1" t="n">
        <v>45153</v>
      </c>
      <c r="E7103" s="1" t="n">
        <v>46326</v>
      </c>
      <c r="F7103" t="inlineStr">
        <is>
          <t>GÄVLEBORGS LÄN</t>
        </is>
      </c>
      <c r="G7103" t="inlineStr">
        <is>
          <t>BOLLNÄS</t>
        </is>
      </c>
      <c r="I7103" t="n">
        <v>1.3</v>
      </c>
      <c r="J7103" t="n">
        <v>0</v>
      </c>
      <c r="K7103" t="n">
        <v>0</v>
      </c>
      <c r="L7103" t="n">
        <v>0</v>
      </c>
      <c r="M7103" t="n">
        <v>0</v>
      </c>
      <c r="N7103" t="n">
        <v>0</v>
      </c>
      <c r="O7103" t="n">
        <v>0</v>
      </c>
      <c r="P7103" t="n">
        <v>0</v>
      </c>
      <c r="Q7103" t="n">
        <v>0</v>
      </c>
      <c r="R7103" t="n">
        <v>0</v>
      </c>
      <c r="S7103" t="n">
        <v>0</v>
      </c>
      <c r="T7103" t="n">
        <v>0</v>
      </c>
      <c r="U7103" t="n">
        <v>0</v>
      </c>
      <c r="V7103" s="2" t="inlineStr"/>
    </row>
    <row r="7104" ht="15" customHeight="1">
      <c r="A7104" t="inlineStr">
        <is>
          <t>A 8663-2026</t>
        </is>
      </c>
      <c r="B7104" t="inlineStr">
        <is>
          <t>avverkningsanmälan</t>
        </is>
      </c>
      <c r="C7104" t="inlineStr">
        <is>
          <t>Föryngringsavverkning</t>
        </is>
      </c>
      <c r="D7104" s="1" t="n">
        <v>46066</v>
      </c>
      <c r="E7104" s="1" t="n">
        <v>46326</v>
      </c>
      <c r="F7104" t="inlineStr">
        <is>
          <t>GÄVLEBORGS LÄN</t>
        </is>
      </c>
      <c r="G7104" t="inlineStr">
        <is>
          <t>SÖDERHAMN</t>
        </is>
      </c>
      <c r="I7104" t="n">
        <v>1.6</v>
      </c>
      <c r="J7104" t="n">
        <v>0</v>
      </c>
      <c r="K7104" t="n">
        <v>0</v>
      </c>
      <c r="L7104" t="n">
        <v>0</v>
      </c>
      <c r="M7104" t="n">
        <v>0</v>
      </c>
      <c r="N7104" t="n">
        <v>0</v>
      </c>
      <c r="O7104" t="n">
        <v>0</v>
      </c>
      <c r="P7104" t="n">
        <v>0</v>
      </c>
      <c r="Q7104" t="n">
        <v>0</v>
      </c>
      <c r="R7104" t="n">
        <v>0</v>
      </c>
      <c r="S7104" t="n">
        <v>0</v>
      </c>
      <c r="T7104" t="n">
        <v>0</v>
      </c>
      <c r="U7104" t="n">
        <v>0</v>
      </c>
      <c r="V7104" s="2" t="inlineStr"/>
    </row>
    <row r="7105" ht="15" customHeight="1">
      <c r="A7105" t="inlineStr">
        <is>
          <t>A 9603-2026</t>
        </is>
      </c>
      <c r="B7105" t="inlineStr">
        <is>
          <t>avverkningsanmälan</t>
        </is>
      </c>
      <c r="C7105" t="inlineStr">
        <is>
          <t>Föryngringsavverkning</t>
        </is>
      </c>
      <c r="D7105" s="1" t="n">
        <v>46071</v>
      </c>
      <c r="E7105" s="1" t="n">
        <v>46326</v>
      </c>
      <c r="F7105" t="inlineStr">
        <is>
          <t>GÄVLEBORGS LÄN</t>
        </is>
      </c>
      <c r="G7105" t="inlineStr">
        <is>
          <t>SANDVIKEN</t>
        </is>
      </c>
      <c r="I7105" t="n">
        <v>2.8</v>
      </c>
      <c r="J7105" t="n">
        <v>0</v>
      </c>
      <c r="K7105" t="n">
        <v>0</v>
      </c>
      <c r="L7105" t="n">
        <v>0</v>
      </c>
      <c r="M7105" t="n">
        <v>0</v>
      </c>
      <c r="N7105" t="n">
        <v>0</v>
      </c>
      <c r="O7105" t="n">
        <v>0</v>
      </c>
      <c r="P7105" t="n">
        <v>0</v>
      </c>
      <c r="Q7105" t="n">
        <v>0</v>
      </c>
      <c r="R7105" t="n">
        <v>0</v>
      </c>
      <c r="S7105" t="n">
        <v>0</v>
      </c>
      <c r="T7105" t="n">
        <v>0</v>
      </c>
      <c r="U7105" t="n">
        <v>0</v>
      </c>
      <c r="V7105" s="2" t="inlineStr"/>
    </row>
    <row r="7106" ht="15" customHeight="1">
      <c r="A7106" t="inlineStr">
        <is>
          <t>A 20483-2026</t>
        </is>
      </c>
      <c r="B7106" t="inlineStr">
        <is>
          <t>avverkningsanmälan</t>
        </is>
      </c>
      <c r="C7106" t="inlineStr">
        <is>
          <t>Föryngringsavverkning</t>
        </is>
      </c>
      <c r="D7106" s="1" t="n">
        <v>46140</v>
      </c>
      <c r="E7106" s="1" t="n">
        <v>46326</v>
      </c>
      <c r="F7106" t="inlineStr">
        <is>
          <t>GÄVLEBORGS LÄN</t>
        </is>
      </c>
      <c r="G7106" t="inlineStr">
        <is>
          <t>BOLLNÄS</t>
        </is>
      </c>
      <c r="H7106" t="inlineStr">
        <is>
          <t>Bergvik skog väst AB</t>
        </is>
      </c>
      <c r="I7106" t="n">
        <v>2.4</v>
      </c>
      <c r="J7106" t="n">
        <v>0</v>
      </c>
      <c r="K7106" t="n">
        <v>0</v>
      </c>
      <c r="L7106" t="n">
        <v>0</v>
      </c>
      <c r="M7106" t="n">
        <v>0</v>
      </c>
      <c r="N7106" t="n">
        <v>0</v>
      </c>
      <c r="O7106" t="n">
        <v>0</v>
      </c>
      <c r="P7106" t="n">
        <v>0</v>
      </c>
      <c r="Q7106" t="n">
        <v>0</v>
      </c>
      <c r="R7106" t="n">
        <v>0</v>
      </c>
      <c r="S7106" t="n">
        <v>0</v>
      </c>
      <c r="T7106" t="n">
        <v>0</v>
      </c>
      <c r="U7106" t="n">
        <v>0</v>
      </c>
      <c r="V7106" s="2" t="inlineStr"/>
    </row>
    <row r="7107" ht="15" customHeight="1">
      <c r="A7107" t="inlineStr">
        <is>
          <t>A 36794-2023</t>
        </is>
      </c>
      <c r="B7107" t="inlineStr">
        <is>
          <t>avverkningsanmälan</t>
        </is>
      </c>
      <c r="C7107" t="inlineStr">
        <is>
          <t>Föryngringsavverkning</t>
        </is>
      </c>
      <c r="D7107" s="1" t="n">
        <v>45154</v>
      </c>
      <c r="E7107" s="1" t="n">
        <v>46326</v>
      </c>
      <c r="F7107" t="inlineStr">
        <is>
          <t>GÄVLEBORGS LÄN</t>
        </is>
      </c>
      <c r="G7107" t="inlineStr">
        <is>
          <t>OVANÅKER</t>
        </is>
      </c>
      <c r="I7107" t="n">
        <v>1.2</v>
      </c>
      <c r="J7107" t="n">
        <v>0</v>
      </c>
      <c r="K7107" t="n">
        <v>0</v>
      </c>
      <c r="L7107" t="n">
        <v>0</v>
      </c>
      <c r="M7107" t="n">
        <v>0</v>
      </c>
      <c r="N7107" t="n">
        <v>0</v>
      </c>
      <c r="O7107" t="n">
        <v>0</v>
      </c>
      <c r="P7107" t="n">
        <v>0</v>
      </c>
      <c r="Q7107" t="n">
        <v>0</v>
      </c>
      <c r="R7107" t="n">
        <v>0</v>
      </c>
      <c r="S7107" t="n">
        <v>0</v>
      </c>
      <c r="T7107" t="n">
        <v>0</v>
      </c>
      <c r="U7107" t="n">
        <v>0</v>
      </c>
      <c r="V7107" s="2" t="inlineStr"/>
    </row>
    <row r="7108" ht="15" customHeight="1">
      <c r="A7108" t="inlineStr">
        <is>
          <t>A 8894-2026</t>
        </is>
      </c>
      <c r="B7108" t="inlineStr">
        <is>
          <t>avverkningsanmälan</t>
        </is>
      </c>
      <c r="C7108" t="inlineStr">
        <is>
          <t>Föryngringsavverkning</t>
        </is>
      </c>
      <c r="D7108" s="1" t="n">
        <v>46068</v>
      </c>
      <c r="E7108" s="1" t="n">
        <v>46326</v>
      </c>
      <c r="F7108" t="inlineStr">
        <is>
          <t>GÄVLEBORGS LÄN</t>
        </is>
      </c>
      <c r="G7108" t="inlineStr">
        <is>
          <t>OVANÅKER</t>
        </is>
      </c>
      <c r="I7108" t="n">
        <v>3.9</v>
      </c>
      <c r="J7108" t="n">
        <v>0</v>
      </c>
      <c r="K7108" t="n">
        <v>0</v>
      </c>
      <c r="L7108" t="n">
        <v>0</v>
      </c>
      <c r="M7108" t="n">
        <v>0</v>
      </c>
      <c r="N7108" t="n">
        <v>0</v>
      </c>
      <c r="O7108" t="n">
        <v>0</v>
      </c>
      <c r="P7108" t="n">
        <v>0</v>
      </c>
      <c r="Q7108" t="n">
        <v>0</v>
      </c>
      <c r="R7108" t="n">
        <v>0</v>
      </c>
      <c r="S7108" t="n">
        <v>0</v>
      </c>
      <c r="T7108" t="n">
        <v>0</v>
      </c>
      <c r="U7108" t="n">
        <v>0</v>
      </c>
      <c r="V7108" s="2" t="inlineStr"/>
    </row>
    <row r="7109" ht="15" customHeight="1">
      <c r="A7109" t="inlineStr">
        <is>
          <t>A 8952-2026</t>
        </is>
      </c>
      <c r="B7109" t="inlineStr">
        <is>
          <t>avverkningsanmälan</t>
        </is>
      </c>
      <c r="C7109" t="inlineStr">
        <is>
          <t>Föryngringsavverkning</t>
        </is>
      </c>
      <c r="D7109" s="1" t="n">
        <v>46069</v>
      </c>
      <c r="E7109" s="1" t="n">
        <v>46326</v>
      </c>
      <c r="F7109" t="inlineStr">
        <is>
          <t>GÄVLEBORGS LÄN</t>
        </is>
      </c>
      <c r="G7109" t="inlineStr">
        <is>
          <t>SANDVIKEN</t>
        </is>
      </c>
      <c r="I7109" t="n">
        <v>1.6</v>
      </c>
      <c r="J7109" t="n">
        <v>0</v>
      </c>
      <c r="K7109" t="n">
        <v>0</v>
      </c>
      <c r="L7109" t="n">
        <v>0</v>
      </c>
      <c r="M7109" t="n">
        <v>0</v>
      </c>
      <c r="N7109" t="n">
        <v>0</v>
      </c>
      <c r="O7109" t="n">
        <v>0</v>
      </c>
      <c r="P7109" t="n">
        <v>0</v>
      </c>
      <c r="Q7109" t="n">
        <v>0</v>
      </c>
      <c r="R7109" t="n">
        <v>0</v>
      </c>
      <c r="S7109" t="n">
        <v>0</v>
      </c>
      <c r="T7109" t="n">
        <v>0</v>
      </c>
      <c r="U7109" t="n">
        <v>0</v>
      </c>
      <c r="V7109" s="2" t="inlineStr"/>
    </row>
    <row r="7110" ht="15" customHeight="1">
      <c r="A7110" t="inlineStr">
        <is>
          <t>A 15217-2026</t>
        </is>
      </c>
      <c r="B7110" t="inlineStr">
        <is>
          <t>avverkningsanmälan</t>
        </is>
      </c>
      <c r="C7110" t="inlineStr">
        <is>
          <t>Föryngringsavverkning</t>
        </is>
      </c>
      <c r="D7110" s="1" t="n">
        <v>46105</v>
      </c>
      <c r="E7110" s="1" t="n">
        <v>46326</v>
      </c>
      <c r="F7110" t="inlineStr">
        <is>
          <t>GÄVLEBORGS LÄN</t>
        </is>
      </c>
      <c r="G7110" t="inlineStr">
        <is>
          <t>HOFORS</t>
        </is>
      </c>
      <c r="H7110" t="inlineStr">
        <is>
          <t>Sveaskog</t>
        </is>
      </c>
      <c r="I7110" t="n">
        <v>1.3</v>
      </c>
      <c r="J7110" t="n">
        <v>0</v>
      </c>
      <c r="K7110" t="n">
        <v>0</v>
      </c>
      <c r="L7110" t="n">
        <v>0</v>
      </c>
      <c r="M7110" t="n">
        <v>0</v>
      </c>
      <c r="N7110" t="n">
        <v>0</v>
      </c>
      <c r="O7110" t="n">
        <v>0</v>
      </c>
      <c r="P7110" t="n">
        <v>0</v>
      </c>
      <c r="Q7110" t="n">
        <v>0</v>
      </c>
      <c r="R7110" t="n">
        <v>0</v>
      </c>
      <c r="S7110" t="n">
        <v>0</v>
      </c>
      <c r="T7110" t="n">
        <v>0</v>
      </c>
      <c r="U7110" t="n">
        <v>0</v>
      </c>
      <c r="V7110" s="2" t="inlineStr"/>
    </row>
    <row r="7111" ht="15" customHeight="1">
      <c r="A7111" t="inlineStr">
        <is>
          <t>A 8348-2026</t>
        </is>
      </c>
      <c r="B7111" t="inlineStr">
        <is>
          <t>avverkningsanmälan</t>
        </is>
      </c>
      <c r="C7111" t="inlineStr">
        <is>
          <t>Föryngringsavverkning</t>
        </is>
      </c>
      <c r="D7111" s="1" t="n">
        <v>46064</v>
      </c>
      <c r="E7111" s="1" t="n">
        <v>46326</v>
      </c>
      <c r="F7111" t="inlineStr">
        <is>
          <t>GÄVLEBORGS LÄN</t>
        </is>
      </c>
      <c r="G7111" t="inlineStr">
        <is>
          <t>OCKELBO</t>
        </is>
      </c>
      <c r="I7111" t="n">
        <v>2.4</v>
      </c>
      <c r="J7111" t="n">
        <v>0</v>
      </c>
      <c r="K7111" t="n">
        <v>0</v>
      </c>
      <c r="L7111" t="n">
        <v>0</v>
      </c>
      <c r="M7111" t="n">
        <v>0</v>
      </c>
      <c r="N7111" t="n">
        <v>0</v>
      </c>
      <c r="O7111" t="n">
        <v>0</v>
      </c>
      <c r="P7111" t="n">
        <v>0</v>
      </c>
      <c r="Q7111" t="n">
        <v>0</v>
      </c>
      <c r="R7111" t="n">
        <v>0</v>
      </c>
      <c r="S7111" t="n">
        <v>0</v>
      </c>
      <c r="T7111" t="n">
        <v>0</v>
      </c>
      <c r="U7111" t="n">
        <v>0</v>
      </c>
      <c r="V7111" s="2" t="inlineStr"/>
    </row>
    <row r="7112" ht="15" customHeight="1">
      <c r="A7112" t="inlineStr">
        <is>
          <t>A 1865-2026</t>
        </is>
      </c>
      <c r="B7112" t="inlineStr">
        <is>
          <t>avverkningsanmälan</t>
        </is>
      </c>
      <c r="C7112" t="inlineStr">
        <is>
          <t>Föryngringsavverkning</t>
        </is>
      </c>
      <c r="D7112" s="1" t="n">
        <v>46035</v>
      </c>
      <c r="E7112" s="1" t="n">
        <v>46326</v>
      </c>
      <c r="F7112" t="inlineStr">
        <is>
          <t>GÄVLEBORGS LÄN</t>
        </is>
      </c>
      <c r="G7112" t="inlineStr">
        <is>
          <t>OCKELBO</t>
        </is>
      </c>
      <c r="I7112" t="n">
        <v>4.7</v>
      </c>
      <c r="J7112" t="n">
        <v>0</v>
      </c>
      <c r="K7112" t="n">
        <v>0</v>
      </c>
      <c r="L7112" t="n">
        <v>0</v>
      </c>
      <c r="M7112" t="n">
        <v>0</v>
      </c>
      <c r="N7112" t="n">
        <v>0</v>
      </c>
      <c r="O7112" t="n">
        <v>0</v>
      </c>
      <c r="P7112" t="n">
        <v>0</v>
      </c>
      <c r="Q7112" t="n">
        <v>0</v>
      </c>
      <c r="R7112" t="n">
        <v>0</v>
      </c>
      <c r="S7112" t="n">
        <v>0</v>
      </c>
      <c r="T7112" t="n">
        <v>0</v>
      </c>
      <c r="U7112" t="n">
        <v>0</v>
      </c>
      <c r="V7112" s="2" t="inlineStr"/>
    </row>
    <row r="7113" ht="15" customHeight="1">
      <c r="A7113" t="inlineStr">
        <is>
          <t>A 9556-2026</t>
        </is>
      </c>
      <c r="B7113" t="inlineStr">
        <is>
          <t>avverkningsanmälan</t>
        </is>
      </c>
      <c r="C7113" t="inlineStr">
        <is>
          <t>Föryngringsavverkning</t>
        </is>
      </c>
      <c r="D7113" s="1" t="n">
        <v>46071</v>
      </c>
      <c r="E7113" s="1" t="n">
        <v>46326</v>
      </c>
      <c r="F7113" t="inlineStr">
        <is>
          <t>GÄVLEBORGS LÄN</t>
        </is>
      </c>
      <c r="G7113" t="inlineStr">
        <is>
          <t>OCKELBO</t>
        </is>
      </c>
      <c r="I7113" t="n">
        <v>11.9</v>
      </c>
      <c r="J7113" t="n">
        <v>0</v>
      </c>
      <c r="K7113" t="n">
        <v>0</v>
      </c>
      <c r="L7113" t="n">
        <v>0</v>
      </c>
      <c r="M7113" t="n">
        <v>0</v>
      </c>
      <c r="N7113" t="n">
        <v>0</v>
      </c>
      <c r="O7113" t="n">
        <v>0</v>
      </c>
      <c r="P7113" t="n">
        <v>0</v>
      </c>
      <c r="Q7113" t="n">
        <v>0</v>
      </c>
      <c r="R7113" t="n">
        <v>0</v>
      </c>
      <c r="S7113" t="n">
        <v>0</v>
      </c>
      <c r="T7113" t="n">
        <v>0</v>
      </c>
      <c r="U7113" t="n">
        <v>0</v>
      </c>
      <c r="V7113" s="2" t="inlineStr"/>
    </row>
    <row r="7114" ht="15" customHeight="1">
      <c r="A7114" t="inlineStr">
        <is>
          <t>A 9293-2026</t>
        </is>
      </c>
      <c r="B7114" t="inlineStr">
        <is>
          <t>avverkningsanmälan</t>
        </is>
      </c>
      <c r="C7114" t="inlineStr">
        <is>
          <t>Föryngringsavverkning</t>
        </is>
      </c>
      <c r="D7114" s="1" t="n">
        <v>46070</v>
      </c>
      <c r="E7114" s="1" t="n">
        <v>46326</v>
      </c>
      <c r="F7114" t="inlineStr">
        <is>
          <t>GÄVLEBORGS LÄN</t>
        </is>
      </c>
      <c r="G7114" t="inlineStr">
        <is>
          <t>OVANÅKER</t>
        </is>
      </c>
      <c r="I7114" t="n">
        <v>2.6</v>
      </c>
      <c r="J7114" t="n">
        <v>0</v>
      </c>
      <c r="K7114" t="n">
        <v>0</v>
      </c>
      <c r="L7114" t="n">
        <v>0</v>
      </c>
      <c r="M7114" t="n">
        <v>0</v>
      </c>
      <c r="N7114" t="n">
        <v>0</v>
      </c>
      <c r="O7114" t="n">
        <v>0</v>
      </c>
      <c r="P7114" t="n">
        <v>0</v>
      </c>
      <c r="Q7114" t="n">
        <v>0</v>
      </c>
      <c r="R7114" t="n">
        <v>0</v>
      </c>
      <c r="S7114" t="n">
        <v>0</v>
      </c>
      <c r="T7114" t="n">
        <v>0</v>
      </c>
      <c r="U7114" t="n">
        <v>0</v>
      </c>
      <c r="V7114" s="2" t="inlineStr"/>
    </row>
    <row r="7115" ht="15" customHeight="1">
      <c r="A7115" t="inlineStr">
        <is>
          <t>A 8570-2026</t>
        </is>
      </c>
      <c r="B7115" t="inlineStr">
        <is>
          <t>avverkningsanmälan</t>
        </is>
      </c>
      <c r="C7115" t="inlineStr">
        <is>
          <t>Föryngringsavverkning</t>
        </is>
      </c>
      <c r="D7115" s="1" t="n">
        <v>46065</v>
      </c>
      <c r="E7115" s="1" t="n">
        <v>46326</v>
      </c>
      <c r="F7115" t="inlineStr">
        <is>
          <t>GÄVLEBORGS LÄN</t>
        </is>
      </c>
      <c r="G7115" t="inlineStr">
        <is>
          <t>SANDVIKEN</t>
        </is>
      </c>
      <c r="I7115" t="n">
        <v>1.2</v>
      </c>
      <c r="J7115" t="n">
        <v>0</v>
      </c>
      <c r="K7115" t="n">
        <v>0</v>
      </c>
      <c r="L7115" t="n">
        <v>0</v>
      </c>
      <c r="M7115" t="n">
        <v>0</v>
      </c>
      <c r="N7115" t="n">
        <v>0</v>
      </c>
      <c r="O7115" t="n">
        <v>0</v>
      </c>
      <c r="P7115" t="n">
        <v>0</v>
      </c>
      <c r="Q7115" t="n">
        <v>0</v>
      </c>
      <c r="R7115" t="n">
        <v>0</v>
      </c>
      <c r="S7115" t="n">
        <v>0</v>
      </c>
      <c r="T7115" t="n">
        <v>0</v>
      </c>
      <c r="U7115" t="n">
        <v>0</v>
      </c>
      <c r="V7115" s="2" t="inlineStr"/>
    </row>
    <row r="7116" ht="15" customHeight="1">
      <c r="A7116" t="inlineStr">
        <is>
          <t>A 10426-2025</t>
        </is>
      </c>
      <c r="B7116" t="inlineStr">
        <is>
          <t>avverkningsanmälan</t>
        </is>
      </c>
      <c r="C7116" t="inlineStr">
        <is>
          <t>Föryngringsavverkning</t>
        </is>
      </c>
      <c r="D7116" s="1" t="n">
        <v>45720</v>
      </c>
      <c r="E7116" s="1" t="n">
        <v>46326</v>
      </c>
      <c r="F7116" t="inlineStr">
        <is>
          <t>GÄVLEBORGS LÄN</t>
        </is>
      </c>
      <c r="G7116" t="inlineStr">
        <is>
          <t>HUDIKSVALL</t>
        </is>
      </c>
      <c r="I7116" t="n">
        <v>4.5</v>
      </c>
      <c r="J7116" t="n">
        <v>0</v>
      </c>
      <c r="K7116" t="n">
        <v>0</v>
      </c>
      <c r="L7116" t="n">
        <v>0</v>
      </c>
      <c r="M7116" t="n">
        <v>0</v>
      </c>
      <c r="N7116" t="n">
        <v>0</v>
      </c>
      <c r="O7116" t="n">
        <v>0</v>
      </c>
      <c r="P7116" t="n">
        <v>0</v>
      </c>
      <c r="Q7116" t="n">
        <v>0</v>
      </c>
      <c r="R7116" t="n">
        <v>0</v>
      </c>
      <c r="S7116" t="n">
        <v>0</v>
      </c>
      <c r="T7116" t="n">
        <v>0</v>
      </c>
      <c r="U7116" t="n">
        <v>0</v>
      </c>
      <c r="V7116" s="2" t="inlineStr"/>
    </row>
    <row r="7117" ht="15" customHeight="1">
      <c r="A7117" t="inlineStr">
        <is>
          <t>A 14889-2026</t>
        </is>
      </c>
      <c r="B7117" t="inlineStr">
        <is>
          <t>avverkningsanmälan</t>
        </is>
      </c>
      <c r="C7117" t="inlineStr">
        <is>
          <t>Föryngringsavverkning</t>
        </is>
      </c>
      <c r="D7117" s="1" t="n">
        <v>46104</v>
      </c>
      <c r="E7117" s="1" t="n">
        <v>46326</v>
      </c>
      <c r="F7117" t="inlineStr">
        <is>
          <t>GÄVLEBORGS LÄN</t>
        </is>
      </c>
      <c r="G7117" t="inlineStr">
        <is>
          <t>OVANÅKER</t>
        </is>
      </c>
      <c r="I7117" t="n">
        <v>1</v>
      </c>
      <c r="J7117" t="n">
        <v>0</v>
      </c>
      <c r="K7117" t="n">
        <v>0</v>
      </c>
      <c r="L7117" t="n">
        <v>0</v>
      </c>
      <c r="M7117" t="n">
        <v>0</v>
      </c>
      <c r="N7117" t="n">
        <v>0</v>
      </c>
      <c r="O7117" t="n">
        <v>0</v>
      </c>
      <c r="P7117" t="n">
        <v>0</v>
      </c>
      <c r="Q7117" t="n">
        <v>0</v>
      </c>
      <c r="R7117" t="n">
        <v>0</v>
      </c>
      <c r="S7117" t="n">
        <v>0</v>
      </c>
      <c r="T7117" t="n">
        <v>0</v>
      </c>
      <c r="U7117" t="n">
        <v>0</v>
      </c>
      <c r="V7117" s="2" t="inlineStr"/>
    </row>
    <row r="7118" ht="15" customHeight="1">
      <c r="A7118" t="inlineStr">
        <is>
          <t>A 7841-2026</t>
        </is>
      </c>
      <c r="B7118" t="inlineStr">
        <is>
          <t>avverkningsanmälan</t>
        </is>
      </c>
      <c r="C7118" t="inlineStr">
        <is>
          <t>Föryngringsavverkning</t>
        </is>
      </c>
      <c r="D7118" s="1" t="n">
        <v>46062</v>
      </c>
      <c r="E7118" s="1" t="n">
        <v>46326</v>
      </c>
      <c r="F7118" t="inlineStr">
        <is>
          <t>GÄVLEBORGS LÄN</t>
        </is>
      </c>
      <c r="G7118" t="inlineStr">
        <is>
          <t>BOLLNÄS</t>
        </is>
      </c>
      <c r="I7118" t="n">
        <v>2.1</v>
      </c>
      <c r="J7118" t="n">
        <v>0</v>
      </c>
      <c r="K7118" t="n">
        <v>0</v>
      </c>
      <c r="L7118" t="n">
        <v>0</v>
      </c>
      <c r="M7118" t="n">
        <v>0</v>
      </c>
      <c r="N7118" t="n">
        <v>0</v>
      </c>
      <c r="O7118" t="n">
        <v>0</v>
      </c>
      <c r="P7118" t="n">
        <v>0</v>
      </c>
      <c r="Q7118" t="n">
        <v>0</v>
      </c>
      <c r="R7118" t="n">
        <v>0</v>
      </c>
      <c r="S7118" t="n">
        <v>0</v>
      </c>
      <c r="T7118" t="n">
        <v>0</v>
      </c>
      <c r="U7118" t="n">
        <v>0</v>
      </c>
      <c r="V7118" s="2" t="inlineStr"/>
    </row>
    <row r="7119" ht="15" customHeight="1">
      <c r="A7119" t="inlineStr">
        <is>
          <t>A 7894-2026</t>
        </is>
      </c>
      <c r="B7119" t="inlineStr">
        <is>
          <t>avverkningsanmälan</t>
        </is>
      </c>
      <c r="C7119" t="inlineStr">
        <is>
          <t>Föryngringsavverkning</t>
        </is>
      </c>
      <c r="D7119" s="1" t="n">
        <v>46063</v>
      </c>
      <c r="E7119" s="1" t="n">
        <v>46326</v>
      </c>
      <c r="F7119" t="inlineStr">
        <is>
          <t>GÄVLEBORGS LÄN</t>
        </is>
      </c>
      <c r="G7119" t="inlineStr">
        <is>
          <t>OVANÅKER</t>
        </is>
      </c>
      <c r="I7119" t="n">
        <v>12.1</v>
      </c>
      <c r="J7119" t="n">
        <v>0</v>
      </c>
      <c r="K7119" t="n">
        <v>0</v>
      </c>
      <c r="L7119" t="n">
        <v>0</v>
      </c>
      <c r="M7119" t="n">
        <v>0</v>
      </c>
      <c r="N7119" t="n">
        <v>0</v>
      </c>
      <c r="O7119" t="n">
        <v>0</v>
      </c>
      <c r="P7119" t="n">
        <v>0</v>
      </c>
      <c r="Q7119" t="n">
        <v>0</v>
      </c>
      <c r="R7119" t="n">
        <v>0</v>
      </c>
      <c r="S7119" t="n">
        <v>0</v>
      </c>
      <c r="T7119" t="n">
        <v>0</v>
      </c>
      <c r="U7119" t="n">
        <v>0</v>
      </c>
      <c r="V7119" s="2" t="inlineStr"/>
    </row>
    <row r="7120" ht="15" customHeight="1">
      <c r="A7120" t="inlineStr">
        <is>
          <t>A 7911-2026</t>
        </is>
      </c>
      <c r="B7120" t="inlineStr">
        <is>
          <t>avverkningsanmälan</t>
        </is>
      </c>
      <c r="C7120" t="inlineStr">
        <is>
          <t>Föryngringsavverkning</t>
        </is>
      </c>
      <c r="D7120" s="1" t="n">
        <v>46063</v>
      </c>
      <c r="E7120" s="1" t="n">
        <v>46326</v>
      </c>
      <c r="F7120" t="inlineStr">
        <is>
          <t>GÄVLEBORGS LÄN</t>
        </is>
      </c>
      <c r="G7120" t="inlineStr">
        <is>
          <t>SANDVIKEN</t>
        </is>
      </c>
      <c r="I7120" t="n">
        <v>1.5</v>
      </c>
      <c r="J7120" t="n">
        <v>0</v>
      </c>
      <c r="K7120" t="n">
        <v>0</v>
      </c>
      <c r="L7120" t="n">
        <v>0</v>
      </c>
      <c r="M7120" t="n">
        <v>0</v>
      </c>
      <c r="N7120" t="n">
        <v>0</v>
      </c>
      <c r="O7120" t="n">
        <v>0</v>
      </c>
      <c r="P7120" t="n">
        <v>0</v>
      </c>
      <c r="Q7120" t="n">
        <v>0</v>
      </c>
      <c r="R7120" t="n">
        <v>0</v>
      </c>
      <c r="S7120" t="n">
        <v>0</v>
      </c>
      <c r="T7120" t="n">
        <v>0</v>
      </c>
      <c r="U7120" t="n">
        <v>0</v>
      </c>
      <c r="V7120" s="2" t="inlineStr"/>
    </row>
    <row r="7121" ht="15" customHeight="1">
      <c r="A7121" t="inlineStr">
        <is>
          <t>A 7349-2026</t>
        </is>
      </c>
      <c r="B7121" t="inlineStr">
        <is>
          <t>avverkningsanmälan</t>
        </is>
      </c>
      <c r="C7121" t="inlineStr">
        <is>
          <t>Föryngringsavverkning</t>
        </is>
      </c>
      <c r="D7121" s="1" t="n">
        <v>46058</v>
      </c>
      <c r="E7121" s="1" t="n">
        <v>46326</v>
      </c>
      <c r="F7121" t="inlineStr">
        <is>
          <t>GÄVLEBORGS LÄN</t>
        </is>
      </c>
      <c r="G7121" t="inlineStr">
        <is>
          <t>SANDVIKEN</t>
        </is>
      </c>
      <c r="I7121" t="n">
        <v>1.1</v>
      </c>
      <c r="J7121" t="n">
        <v>0</v>
      </c>
      <c r="K7121" t="n">
        <v>0</v>
      </c>
      <c r="L7121" t="n">
        <v>0</v>
      </c>
      <c r="M7121" t="n">
        <v>0</v>
      </c>
      <c r="N7121" t="n">
        <v>0</v>
      </c>
      <c r="O7121" t="n">
        <v>0</v>
      </c>
      <c r="P7121" t="n">
        <v>0</v>
      </c>
      <c r="Q7121" t="n">
        <v>0</v>
      </c>
      <c r="R7121" t="n">
        <v>0</v>
      </c>
      <c r="S7121" t="n">
        <v>0</v>
      </c>
      <c r="T7121" t="n">
        <v>0</v>
      </c>
      <c r="U7121" t="n">
        <v>0</v>
      </c>
      <c r="V7121" s="2" t="inlineStr"/>
    </row>
    <row r="7122" ht="15" customHeight="1">
      <c r="A7122" t="inlineStr">
        <is>
          <t>A 3893-2026</t>
        </is>
      </c>
      <c r="B7122" t="inlineStr">
        <is>
          <t>avverkningsanmälan</t>
        </is>
      </c>
      <c r="C7122" t="inlineStr">
        <is>
          <t>Föryngringsavverkning</t>
        </is>
      </c>
      <c r="D7122" s="1" t="n">
        <v>46043</v>
      </c>
      <c r="E7122" s="1" t="n">
        <v>46326</v>
      </c>
      <c r="F7122" t="inlineStr">
        <is>
          <t>GÄVLEBORGS LÄN</t>
        </is>
      </c>
      <c r="G7122" t="inlineStr">
        <is>
          <t>BOLLNÄS</t>
        </is>
      </c>
      <c r="I7122" t="n">
        <v>5.4</v>
      </c>
      <c r="J7122" t="n">
        <v>0</v>
      </c>
      <c r="K7122" t="n">
        <v>0</v>
      </c>
      <c r="L7122" t="n">
        <v>0</v>
      </c>
      <c r="M7122" t="n">
        <v>0</v>
      </c>
      <c r="N7122" t="n">
        <v>0</v>
      </c>
      <c r="O7122" t="n">
        <v>0</v>
      </c>
      <c r="P7122" t="n">
        <v>0</v>
      </c>
      <c r="Q7122" t="n">
        <v>0</v>
      </c>
      <c r="R7122" t="n">
        <v>0</v>
      </c>
      <c r="S7122" t="n">
        <v>0</v>
      </c>
      <c r="T7122" t="n">
        <v>0</v>
      </c>
      <c r="U7122" t="n">
        <v>0</v>
      </c>
      <c r="V7122" s="2" t="inlineStr"/>
    </row>
    <row r="7123" ht="15" customHeight="1">
      <c r="A7123" t="inlineStr">
        <is>
          <t>A 22868-2023</t>
        </is>
      </c>
      <c r="B7123" t="inlineStr">
        <is>
          <t>avverkningsanmälan</t>
        </is>
      </c>
      <c r="C7123" t="inlineStr">
        <is>
          <t>Föryngringsavverkning</t>
        </is>
      </c>
      <c r="D7123" s="1" t="n">
        <v>45072</v>
      </c>
      <c r="E7123" s="1" t="n">
        <v>46326</v>
      </c>
      <c r="F7123" t="inlineStr">
        <is>
          <t>GÄVLEBORGS LÄN</t>
        </is>
      </c>
      <c r="G7123" t="inlineStr">
        <is>
          <t>NORDANSTIG</t>
        </is>
      </c>
      <c r="I7123" t="n">
        <v>0.7</v>
      </c>
      <c r="J7123" t="n">
        <v>0</v>
      </c>
      <c r="K7123" t="n">
        <v>0</v>
      </c>
      <c r="L7123" t="n">
        <v>0</v>
      </c>
      <c r="M7123" t="n">
        <v>0</v>
      </c>
      <c r="N7123" t="n">
        <v>0</v>
      </c>
      <c r="O7123" t="n">
        <v>0</v>
      </c>
      <c r="P7123" t="n">
        <v>0</v>
      </c>
      <c r="Q7123" t="n">
        <v>0</v>
      </c>
      <c r="R7123" t="n">
        <v>0</v>
      </c>
      <c r="S7123" t="n">
        <v>0</v>
      </c>
      <c r="T7123" t="n">
        <v>0</v>
      </c>
      <c r="U7123" t="n">
        <v>0</v>
      </c>
      <c r="V7123" s="2" t="inlineStr"/>
    </row>
    <row r="7124" ht="15" customHeight="1">
      <c r="A7124" t="inlineStr">
        <is>
          <t>A 62639-2023</t>
        </is>
      </c>
      <c r="B7124" t="inlineStr">
        <is>
          <t>avverkningsanmälan</t>
        </is>
      </c>
      <c r="C7124" t="inlineStr">
        <is>
          <t>Föryngringsavverkning</t>
        </is>
      </c>
      <c r="D7124" s="1" t="n">
        <v>45271</v>
      </c>
      <c r="E7124" s="1" t="n">
        <v>46326</v>
      </c>
      <c r="F7124" t="inlineStr">
        <is>
          <t>GÄVLEBORGS LÄN</t>
        </is>
      </c>
      <c r="G7124" t="inlineStr">
        <is>
          <t>HUDIKSVALL</t>
        </is>
      </c>
      <c r="I7124" t="n">
        <v>1.1</v>
      </c>
      <c r="J7124" t="n">
        <v>0</v>
      </c>
      <c r="K7124" t="n">
        <v>0</v>
      </c>
      <c r="L7124" t="n">
        <v>0</v>
      </c>
      <c r="M7124" t="n">
        <v>0</v>
      </c>
      <c r="N7124" t="n">
        <v>0</v>
      </c>
      <c r="O7124" t="n">
        <v>0</v>
      </c>
      <c r="P7124" t="n">
        <v>0</v>
      </c>
      <c r="Q7124" t="n">
        <v>0</v>
      </c>
      <c r="R7124" t="n">
        <v>0</v>
      </c>
      <c r="S7124" t="n">
        <v>0</v>
      </c>
      <c r="T7124" t="n">
        <v>0</v>
      </c>
      <c r="U7124" t="n">
        <v>0</v>
      </c>
      <c r="V7124" s="2" t="inlineStr"/>
    </row>
    <row r="7125" ht="15" customHeight="1">
      <c r="A7125" t="inlineStr">
        <is>
          <t>A 10656-2026</t>
        </is>
      </c>
      <c r="B7125" t="inlineStr">
        <is>
          <t>avverkningsanmälan</t>
        </is>
      </c>
      <c r="C7125" t="inlineStr">
        <is>
          <t>Föryngringsavverkning</t>
        </is>
      </c>
      <c r="D7125" s="1" t="n">
        <v>46078</v>
      </c>
      <c r="E7125" s="1" t="n">
        <v>46326</v>
      </c>
      <c r="F7125" t="inlineStr">
        <is>
          <t>GÄVLEBORGS LÄN</t>
        </is>
      </c>
      <c r="G7125" t="inlineStr">
        <is>
          <t>OVANÅKER</t>
        </is>
      </c>
      <c r="I7125" t="n">
        <v>1.7</v>
      </c>
      <c r="J7125" t="n">
        <v>0</v>
      </c>
      <c r="K7125" t="n">
        <v>0</v>
      </c>
      <c r="L7125" t="n">
        <v>0</v>
      </c>
      <c r="M7125" t="n">
        <v>0</v>
      </c>
      <c r="N7125" t="n">
        <v>0</v>
      </c>
      <c r="O7125" t="n">
        <v>0</v>
      </c>
      <c r="P7125" t="n">
        <v>0</v>
      </c>
      <c r="Q7125" t="n">
        <v>0</v>
      </c>
      <c r="R7125" t="n">
        <v>0</v>
      </c>
      <c r="S7125" t="n">
        <v>0</v>
      </c>
      <c r="T7125" t="n">
        <v>0</v>
      </c>
      <c r="U7125" t="n">
        <v>0</v>
      </c>
      <c r="V7125" s="2" t="inlineStr"/>
    </row>
    <row r="7126" ht="15" customHeight="1">
      <c r="A7126" t="inlineStr">
        <is>
          <t>A 11545-2026</t>
        </is>
      </c>
      <c r="B7126" t="inlineStr">
        <is>
          <t>avverkningsanmälan</t>
        </is>
      </c>
      <c r="C7126" t="inlineStr">
        <is>
          <t>Föryngringsavverkning</t>
        </is>
      </c>
      <c r="D7126" s="1" t="n">
        <v>46084</v>
      </c>
      <c r="E7126" s="1" t="n">
        <v>46326</v>
      </c>
      <c r="F7126" t="inlineStr">
        <is>
          <t>GÄVLEBORGS LÄN</t>
        </is>
      </c>
      <c r="G7126" t="inlineStr">
        <is>
          <t>BOLLNÄS</t>
        </is>
      </c>
      <c r="I7126" t="n">
        <v>1.4</v>
      </c>
      <c r="J7126" t="n">
        <v>0</v>
      </c>
      <c r="K7126" t="n">
        <v>0</v>
      </c>
      <c r="L7126" t="n">
        <v>0</v>
      </c>
      <c r="M7126" t="n">
        <v>0</v>
      </c>
      <c r="N7126" t="n">
        <v>0</v>
      </c>
      <c r="O7126" t="n">
        <v>0</v>
      </c>
      <c r="P7126" t="n">
        <v>0</v>
      </c>
      <c r="Q7126" t="n">
        <v>0</v>
      </c>
      <c r="R7126" t="n">
        <v>0</v>
      </c>
      <c r="S7126" t="n">
        <v>0</v>
      </c>
      <c r="T7126" t="n">
        <v>0</v>
      </c>
      <c r="U7126" t="n">
        <v>0</v>
      </c>
      <c r="V7126" s="2" t="inlineStr"/>
    </row>
    <row r="7127" ht="15" customHeight="1">
      <c r="A7127" t="inlineStr">
        <is>
          <t>A 12922-2026</t>
        </is>
      </c>
      <c r="B7127" t="inlineStr">
        <is>
          <t>avverkningsanmälan</t>
        </is>
      </c>
      <c r="C7127" t="inlineStr">
        <is>
          <t>Föryngringsavverkning</t>
        </is>
      </c>
      <c r="D7127" s="1" t="n">
        <v>46092</v>
      </c>
      <c r="E7127" s="1" t="n">
        <v>46326</v>
      </c>
      <c r="F7127" t="inlineStr">
        <is>
          <t>GÄVLEBORGS LÄN</t>
        </is>
      </c>
      <c r="G7127" t="inlineStr">
        <is>
          <t>HOFORS</t>
        </is>
      </c>
      <c r="H7127" t="inlineStr">
        <is>
          <t>Sveaskog</t>
        </is>
      </c>
      <c r="I7127" t="n">
        <v>2</v>
      </c>
      <c r="J7127" t="n">
        <v>0</v>
      </c>
      <c r="K7127" t="n">
        <v>0</v>
      </c>
      <c r="L7127" t="n">
        <v>0</v>
      </c>
      <c r="M7127" t="n">
        <v>0</v>
      </c>
      <c r="N7127" t="n">
        <v>0</v>
      </c>
      <c r="O7127" t="n">
        <v>0</v>
      </c>
      <c r="P7127" t="n">
        <v>0</v>
      </c>
      <c r="Q7127" t="n">
        <v>0</v>
      </c>
      <c r="R7127" t="n">
        <v>0</v>
      </c>
      <c r="S7127" t="n">
        <v>0</v>
      </c>
      <c r="T7127" t="n">
        <v>0</v>
      </c>
      <c r="U7127" t="n">
        <v>0</v>
      </c>
      <c r="V7127" s="2" t="inlineStr"/>
    </row>
    <row r="7128" ht="15" customHeight="1">
      <c r="A7128" t="inlineStr">
        <is>
          <t>A 7073-2026</t>
        </is>
      </c>
      <c r="B7128" t="inlineStr">
        <is>
          <t>avverkningsanmälan</t>
        </is>
      </c>
      <c r="C7128" t="inlineStr">
        <is>
          <t>Föryngringsavverkning</t>
        </is>
      </c>
      <c r="D7128" s="1" t="n">
        <v>46058</v>
      </c>
      <c r="E7128" s="1" t="n">
        <v>46326</v>
      </c>
      <c r="F7128" t="inlineStr">
        <is>
          <t>GÄVLEBORGS LÄN</t>
        </is>
      </c>
      <c r="G7128" t="inlineStr">
        <is>
          <t>SANDVIKEN</t>
        </is>
      </c>
      <c r="I7128" t="n">
        <v>3.4</v>
      </c>
      <c r="J7128" t="n">
        <v>0</v>
      </c>
      <c r="K7128" t="n">
        <v>0</v>
      </c>
      <c r="L7128" t="n">
        <v>0</v>
      </c>
      <c r="M7128" t="n">
        <v>0</v>
      </c>
      <c r="N7128" t="n">
        <v>0</v>
      </c>
      <c r="O7128" t="n">
        <v>0</v>
      </c>
      <c r="P7128" t="n">
        <v>0</v>
      </c>
      <c r="Q7128" t="n">
        <v>0</v>
      </c>
      <c r="R7128" t="n">
        <v>0</v>
      </c>
      <c r="S7128" t="n">
        <v>0</v>
      </c>
      <c r="T7128" t="n">
        <v>0</v>
      </c>
      <c r="U7128" t="n">
        <v>0</v>
      </c>
      <c r="V7128" s="2" t="inlineStr"/>
    </row>
    <row r="7129" ht="15" customHeight="1">
      <c r="A7129" t="inlineStr">
        <is>
          <t>A 9254-2026</t>
        </is>
      </c>
      <c r="B7129" t="inlineStr">
        <is>
          <t>avverkningsanmälan</t>
        </is>
      </c>
      <c r="C7129" t="inlineStr">
        <is>
          <t>Föryngringsavverkning</t>
        </is>
      </c>
      <c r="D7129" s="1" t="n">
        <v>46070</v>
      </c>
      <c r="E7129" s="1" t="n">
        <v>46326</v>
      </c>
      <c r="F7129" t="inlineStr">
        <is>
          <t>GÄVLEBORGS LÄN</t>
        </is>
      </c>
      <c r="G7129" t="inlineStr">
        <is>
          <t>BOLLNÄS</t>
        </is>
      </c>
      <c r="H7129" t="inlineStr">
        <is>
          <t>Bergvik skog väst AB</t>
        </is>
      </c>
      <c r="I7129" t="n">
        <v>1.2</v>
      </c>
      <c r="J7129" t="n">
        <v>0</v>
      </c>
      <c r="K7129" t="n">
        <v>0</v>
      </c>
      <c r="L7129" t="n">
        <v>0</v>
      </c>
      <c r="M7129" t="n">
        <v>0</v>
      </c>
      <c r="N7129" t="n">
        <v>0</v>
      </c>
      <c r="O7129" t="n">
        <v>0</v>
      </c>
      <c r="P7129" t="n">
        <v>0</v>
      </c>
      <c r="Q7129" t="n">
        <v>0</v>
      </c>
      <c r="R7129" t="n">
        <v>0</v>
      </c>
      <c r="S7129" t="n">
        <v>0</v>
      </c>
      <c r="T7129" t="n">
        <v>0</v>
      </c>
      <c r="U7129" t="n">
        <v>0</v>
      </c>
      <c r="V7129" s="2" t="inlineStr"/>
    </row>
    <row r="7130" ht="15" customHeight="1">
      <c r="A7130" t="inlineStr">
        <is>
          <t>A 12477-2026</t>
        </is>
      </c>
      <c r="B7130" t="inlineStr">
        <is>
          <t>avverkningsanmälan</t>
        </is>
      </c>
      <c r="C7130" t="inlineStr">
        <is>
          <t>Föryngringsavverkning</t>
        </is>
      </c>
      <c r="D7130" s="1" t="n">
        <v>46090</v>
      </c>
      <c r="E7130" s="1" t="n">
        <v>46326</v>
      </c>
      <c r="F7130" t="inlineStr">
        <is>
          <t>GÄVLEBORGS LÄN</t>
        </is>
      </c>
      <c r="G7130" t="inlineStr">
        <is>
          <t>SANDVIKEN</t>
        </is>
      </c>
      <c r="H7130" t="inlineStr">
        <is>
          <t>Bergvik skog öst AB</t>
        </is>
      </c>
      <c r="I7130" t="n">
        <v>1.2</v>
      </c>
      <c r="J7130" t="n">
        <v>0</v>
      </c>
      <c r="K7130" t="n">
        <v>0</v>
      </c>
      <c r="L7130" t="n">
        <v>0</v>
      </c>
      <c r="M7130" t="n">
        <v>0</v>
      </c>
      <c r="N7130" t="n">
        <v>0</v>
      </c>
      <c r="O7130" t="n">
        <v>0</v>
      </c>
      <c r="P7130" t="n">
        <v>0</v>
      </c>
      <c r="Q7130" t="n">
        <v>0</v>
      </c>
      <c r="R7130" t="n">
        <v>0</v>
      </c>
      <c r="S7130" t="n">
        <v>0</v>
      </c>
      <c r="T7130" t="n">
        <v>0</v>
      </c>
      <c r="U7130" t="n">
        <v>0</v>
      </c>
      <c r="V7130" s="2" t="inlineStr"/>
    </row>
    <row r="7131" ht="15" customHeight="1">
      <c r="A7131" t="inlineStr">
        <is>
          <t>A 10901-2026</t>
        </is>
      </c>
      <c r="B7131" t="inlineStr">
        <is>
          <t>avverkningsanmälan</t>
        </is>
      </c>
      <c r="C7131" t="inlineStr">
        <is>
          <t>Föryngringsavverkning</t>
        </is>
      </c>
      <c r="D7131" s="1" t="n">
        <v>46078</v>
      </c>
      <c r="E7131" s="1" t="n">
        <v>46326</v>
      </c>
      <c r="F7131" t="inlineStr">
        <is>
          <t>GÄVLEBORGS LÄN</t>
        </is>
      </c>
      <c r="G7131" t="inlineStr">
        <is>
          <t>OVANÅKER</t>
        </is>
      </c>
      <c r="I7131" t="n">
        <v>4.1</v>
      </c>
      <c r="J7131" t="n">
        <v>0</v>
      </c>
      <c r="K7131" t="n">
        <v>0</v>
      </c>
      <c r="L7131" t="n">
        <v>0</v>
      </c>
      <c r="M7131" t="n">
        <v>0</v>
      </c>
      <c r="N7131" t="n">
        <v>0</v>
      </c>
      <c r="O7131" t="n">
        <v>0</v>
      </c>
      <c r="P7131" t="n">
        <v>0</v>
      </c>
      <c r="Q7131" t="n">
        <v>0</v>
      </c>
      <c r="R7131" t="n">
        <v>0</v>
      </c>
      <c r="S7131" t="n">
        <v>0</v>
      </c>
      <c r="T7131" t="n">
        <v>0</v>
      </c>
      <c r="U7131" t="n">
        <v>0</v>
      </c>
      <c r="V7131" s="2" t="inlineStr"/>
    </row>
    <row r="7132" ht="15" customHeight="1">
      <c r="A7132" t="inlineStr">
        <is>
          <t>A 10942-2026</t>
        </is>
      </c>
      <c r="B7132" t="inlineStr">
        <is>
          <t>avverkningsanmälan</t>
        </is>
      </c>
      <c r="C7132" t="inlineStr">
        <is>
          <t>Föryngringsavverkning</t>
        </is>
      </c>
      <c r="D7132" s="1" t="n">
        <v>46079</v>
      </c>
      <c r="E7132" s="1" t="n">
        <v>46326</v>
      </c>
      <c r="F7132" t="inlineStr">
        <is>
          <t>GÄVLEBORGS LÄN</t>
        </is>
      </c>
      <c r="G7132" t="inlineStr">
        <is>
          <t>OVANÅKER</t>
        </is>
      </c>
      <c r="I7132" t="n">
        <v>2</v>
      </c>
      <c r="J7132" t="n">
        <v>0</v>
      </c>
      <c r="K7132" t="n">
        <v>0</v>
      </c>
      <c r="L7132" t="n">
        <v>0</v>
      </c>
      <c r="M7132" t="n">
        <v>0</v>
      </c>
      <c r="N7132" t="n">
        <v>0</v>
      </c>
      <c r="O7132" t="n">
        <v>0</v>
      </c>
      <c r="P7132" t="n">
        <v>0</v>
      </c>
      <c r="Q7132" t="n">
        <v>0</v>
      </c>
      <c r="R7132" t="n">
        <v>0</v>
      </c>
      <c r="S7132" t="n">
        <v>0</v>
      </c>
      <c r="T7132" t="n">
        <v>0</v>
      </c>
      <c r="U7132" t="n">
        <v>0</v>
      </c>
      <c r="V7132" s="2" t="inlineStr"/>
    </row>
    <row r="7133" ht="15" customHeight="1">
      <c r="A7133" t="inlineStr">
        <is>
          <t>A 4729-2026</t>
        </is>
      </c>
      <c r="B7133" t="inlineStr">
        <is>
          <t>avverkningsanmälan</t>
        </is>
      </c>
      <c r="C7133" t="inlineStr">
        <is>
          <t>Föryngringsavverkning</t>
        </is>
      </c>
      <c r="D7133" s="1" t="n">
        <v>46048</v>
      </c>
      <c r="E7133" s="1" t="n">
        <v>46326</v>
      </c>
      <c r="F7133" t="inlineStr">
        <is>
          <t>GÄVLEBORGS LÄN</t>
        </is>
      </c>
      <c r="G7133" t="inlineStr">
        <is>
          <t>OCKELBO</t>
        </is>
      </c>
      <c r="I7133" t="n">
        <v>36.1</v>
      </c>
      <c r="J7133" t="n">
        <v>0</v>
      </c>
      <c r="K7133" t="n">
        <v>0</v>
      </c>
      <c r="L7133" t="n">
        <v>0</v>
      </c>
      <c r="M7133" t="n">
        <v>0</v>
      </c>
      <c r="N7133" t="n">
        <v>0</v>
      </c>
      <c r="O7133" t="n">
        <v>0</v>
      </c>
      <c r="P7133" t="n">
        <v>0</v>
      </c>
      <c r="Q7133" t="n">
        <v>0</v>
      </c>
      <c r="R7133" t="n">
        <v>0</v>
      </c>
      <c r="S7133" t="n">
        <v>0</v>
      </c>
      <c r="T7133" t="n">
        <v>0</v>
      </c>
      <c r="U7133" t="n">
        <v>0</v>
      </c>
      <c r="V7133" s="2" t="inlineStr"/>
    </row>
    <row r="7134" ht="15" customHeight="1">
      <c r="A7134" t="inlineStr">
        <is>
          <t>A 4786-2026</t>
        </is>
      </c>
      <c r="B7134" t="inlineStr">
        <is>
          <t>avverkningsanmälan</t>
        </is>
      </c>
      <c r="C7134" t="inlineStr">
        <is>
          <t>Föryngringsavverkning</t>
        </is>
      </c>
      <c r="D7134" s="1" t="n">
        <v>46048</v>
      </c>
      <c r="E7134" s="1" t="n">
        <v>46326</v>
      </c>
      <c r="F7134" t="inlineStr">
        <is>
          <t>GÄVLEBORGS LÄN</t>
        </is>
      </c>
      <c r="G7134" t="inlineStr">
        <is>
          <t>NORDANSTIG</t>
        </is>
      </c>
      <c r="I7134" t="n">
        <v>6.6</v>
      </c>
      <c r="J7134" t="n">
        <v>0</v>
      </c>
      <c r="K7134" t="n">
        <v>0</v>
      </c>
      <c r="L7134" t="n">
        <v>0</v>
      </c>
      <c r="M7134" t="n">
        <v>0</v>
      </c>
      <c r="N7134" t="n">
        <v>0</v>
      </c>
      <c r="O7134" t="n">
        <v>0</v>
      </c>
      <c r="P7134" t="n">
        <v>0</v>
      </c>
      <c r="Q7134" t="n">
        <v>0</v>
      </c>
      <c r="R7134" t="n">
        <v>0</v>
      </c>
      <c r="S7134" t="n">
        <v>0</v>
      </c>
      <c r="T7134" t="n">
        <v>0</v>
      </c>
      <c r="U7134" t="n">
        <v>0</v>
      </c>
      <c r="V7134" s="2" t="inlineStr"/>
    </row>
    <row r="7135" ht="15" customHeight="1">
      <c r="A7135" t="inlineStr">
        <is>
          <t>A 8604-2026</t>
        </is>
      </c>
      <c r="B7135" t="inlineStr">
        <is>
          <t>avverkningsanmälan</t>
        </is>
      </c>
      <c r="C7135" t="inlineStr">
        <is>
          <t>Föryngringsavverkning</t>
        </is>
      </c>
      <c r="D7135" s="1" t="n">
        <v>46065</v>
      </c>
      <c r="E7135" s="1" t="n">
        <v>46326</v>
      </c>
      <c r="F7135" t="inlineStr">
        <is>
          <t>GÄVLEBORGS LÄN</t>
        </is>
      </c>
      <c r="G7135" t="inlineStr">
        <is>
          <t>SANDVIKEN</t>
        </is>
      </c>
      <c r="I7135" t="n">
        <v>1.6</v>
      </c>
      <c r="J7135" t="n">
        <v>0</v>
      </c>
      <c r="K7135" t="n">
        <v>0</v>
      </c>
      <c r="L7135" t="n">
        <v>0</v>
      </c>
      <c r="M7135" t="n">
        <v>0</v>
      </c>
      <c r="N7135" t="n">
        <v>0</v>
      </c>
      <c r="O7135" t="n">
        <v>0</v>
      </c>
      <c r="P7135" t="n">
        <v>0</v>
      </c>
      <c r="Q7135" t="n">
        <v>0</v>
      </c>
      <c r="R7135" t="n">
        <v>0</v>
      </c>
      <c r="S7135" t="n">
        <v>0</v>
      </c>
      <c r="T7135" t="n">
        <v>0</v>
      </c>
      <c r="U7135" t="n">
        <v>0</v>
      </c>
      <c r="V7135" s="2" t="inlineStr"/>
    </row>
    <row r="7136" ht="15" customHeight="1">
      <c r="A7136" t="inlineStr">
        <is>
          <t>A 20038-2026</t>
        </is>
      </c>
      <c r="B7136" t="inlineStr">
        <is>
          <t>avverkningsanmälan</t>
        </is>
      </c>
      <c r="C7136" t="inlineStr">
        <is>
          <t>Föryngringsavverkning</t>
        </is>
      </c>
      <c r="D7136" s="1" t="n">
        <v>46136</v>
      </c>
      <c r="E7136" s="1" t="n">
        <v>46326</v>
      </c>
      <c r="F7136" t="inlineStr">
        <is>
          <t>GÄVLEBORGS LÄN</t>
        </is>
      </c>
      <c r="G7136" t="inlineStr">
        <is>
          <t>BOLLNÄS</t>
        </is>
      </c>
      <c r="H7136" t="inlineStr">
        <is>
          <t>Bergvik skog öst AB</t>
        </is>
      </c>
      <c r="I7136" t="n">
        <v>1</v>
      </c>
      <c r="J7136" t="n">
        <v>0</v>
      </c>
      <c r="K7136" t="n">
        <v>0</v>
      </c>
      <c r="L7136" t="n">
        <v>0</v>
      </c>
      <c r="M7136" t="n">
        <v>0</v>
      </c>
      <c r="N7136" t="n">
        <v>0</v>
      </c>
      <c r="O7136" t="n">
        <v>0</v>
      </c>
      <c r="P7136" t="n">
        <v>0</v>
      </c>
      <c r="Q7136" t="n">
        <v>0</v>
      </c>
      <c r="R7136" t="n">
        <v>0</v>
      </c>
      <c r="S7136" t="n">
        <v>0</v>
      </c>
      <c r="T7136" t="n">
        <v>0</v>
      </c>
      <c r="U7136" t="n">
        <v>0</v>
      </c>
      <c r="V7136" s="2" t="inlineStr"/>
    </row>
    <row r="7137" ht="15" customHeight="1">
      <c r="A7137" t="inlineStr">
        <is>
          <t>A 9894-2026</t>
        </is>
      </c>
      <c r="B7137" t="inlineStr">
        <is>
          <t>avverkningsanmälan</t>
        </is>
      </c>
      <c r="C7137" t="inlineStr">
        <is>
          <t>Föryngringsavverkning</t>
        </is>
      </c>
      <c r="D7137" s="1" t="n">
        <v>46073</v>
      </c>
      <c r="E7137" s="1" t="n">
        <v>46326</v>
      </c>
      <c r="F7137" t="inlineStr">
        <is>
          <t>GÄVLEBORGS LÄN</t>
        </is>
      </c>
      <c r="G7137" t="inlineStr">
        <is>
          <t>HUDIKSVALL</t>
        </is>
      </c>
      <c r="I7137" t="n">
        <v>2.3</v>
      </c>
      <c r="J7137" t="n">
        <v>0</v>
      </c>
      <c r="K7137" t="n">
        <v>0</v>
      </c>
      <c r="L7137" t="n">
        <v>0</v>
      </c>
      <c r="M7137" t="n">
        <v>0</v>
      </c>
      <c r="N7137" t="n">
        <v>0</v>
      </c>
      <c r="O7137" t="n">
        <v>0</v>
      </c>
      <c r="P7137" t="n">
        <v>0</v>
      </c>
      <c r="Q7137" t="n">
        <v>0</v>
      </c>
      <c r="R7137" t="n">
        <v>0</v>
      </c>
      <c r="S7137" t="n">
        <v>0</v>
      </c>
      <c r="T7137" t="n">
        <v>0</v>
      </c>
      <c r="U7137" t="n">
        <v>0</v>
      </c>
      <c r="V7137" s="2" t="inlineStr"/>
    </row>
    <row r="7138" ht="15" customHeight="1">
      <c r="A7138" t="inlineStr">
        <is>
          <t>A 20427-2026</t>
        </is>
      </c>
      <c r="B7138" t="inlineStr">
        <is>
          <t>avverkningsanmälan</t>
        </is>
      </c>
      <c r="C7138" t="inlineStr">
        <is>
          <t>Föryngringsavverkning</t>
        </is>
      </c>
      <c r="D7138" s="1" t="n">
        <v>46140</v>
      </c>
      <c r="E7138" s="1" t="n">
        <v>46326</v>
      </c>
      <c r="F7138" t="inlineStr">
        <is>
          <t>GÄVLEBORGS LÄN</t>
        </is>
      </c>
      <c r="G7138" t="inlineStr">
        <is>
          <t>OVANÅKER</t>
        </is>
      </c>
      <c r="H7138" t="inlineStr">
        <is>
          <t>Bergvik skog väst AB</t>
        </is>
      </c>
      <c r="I7138" t="n">
        <v>1.3</v>
      </c>
      <c r="J7138" t="n">
        <v>0</v>
      </c>
      <c r="K7138" t="n">
        <v>0</v>
      </c>
      <c r="L7138" t="n">
        <v>0</v>
      </c>
      <c r="M7138" t="n">
        <v>0</v>
      </c>
      <c r="N7138" t="n">
        <v>0</v>
      </c>
      <c r="O7138" t="n">
        <v>0</v>
      </c>
      <c r="P7138" t="n">
        <v>0</v>
      </c>
      <c r="Q7138" t="n">
        <v>0</v>
      </c>
      <c r="R7138" t="n">
        <v>0</v>
      </c>
      <c r="S7138" t="n">
        <v>0</v>
      </c>
      <c r="T7138" t="n">
        <v>0</v>
      </c>
      <c r="U7138" t="n">
        <v>0</v>
      </c>
      <c r="V7138" s="2" t="inlineStr"/>
      <c r="Z7138">
        <f>HYPERLINK("https://klasma.github.io/Logging_2121/knärot/A 20427-2026 karta knärot.png", "A 20427-2026")</f>
        <v/>
      </c>
      <c r="AA7138">
        <f>HYPERLINK("https://klasma.github.io/Logging_2121/klagomål/A 20427-2026 FSC-klagomål.docx", "A 20427-2026")</f>
        <v/>
      </c>
      <c r="AB7138">
        <f>HYPERLINK("https://klasma.github.io/Logging_2121/klagomålsmail/A 20427-2026 FSC-klagomål mail.docx", "A 20427-2026")</f>
        <v/>
      </c>
      <c r="AC7138">
        <f>HYPERLINK("https://klasma.github.io/Logging_2121/tillsyn/A 20427-2026 tillsynsbegäran.docx", "A 20427-2026")</f>
        <v/>
      </c>
      <c r="AD7138">
        <f>HYPERLINK("https://klasma.github.io/Logging_2121/tillsynsmail/A 20427-2026 tillsynsbegäran mail.docx", "A 20427-2026")</f>
        <v/>
      </c>
    </row>
    <row r="7139" ht="15" customHeight="1">
      <c r="A7139" t="inlineStr">
        <is>
          <t>A 51443-2022</t>
        </is>
      </c>
      <c r="B7139" t="inlineStr">
        <is>
          <t>avverkningsanmälan</t>
        </is>
      </c>
      <c r="C7139" t="inlineStr">
        <is>
          <t>Föryngringsavverkning</t>
        </is>
      </c>
      <c r="D7139" s="1" t="n">
        <v>44869</v>
      </c>
      <c r="E7139" s="1" t="n">
        <v>46326</v>
      </c>
      <c r="F7139" t="inlineStr">
        <is>
          <t>GÄVLEBORGS LÄN</t>
        </is>
      </c>
      <c r="G7139" t="inlineStr">
        <is>
          <t>BOLLNÄS</t>
        </is>
      </c>
      <c r="I7139" t="n">
        <v>1.9</v>
      </c>
      <c r="J7139" t="n">
        <v>0</v>
      </c>
      <c r="K7139" t="n">
        <v>0</v>
      </c>
      <c r="L7139" t="n">
        <v>0</v>
      </c>
      <c r="M7139" t="n">
        <v>0</v>
      </c>
      <c r="N7139" t="n">
        <v>0</v>
      </c>
      <c r="O7139" t="n">
        <v>0</v>
      </c>
      <c r="P7139" t="n">
        <v>0</v>
      </c>
      <c r="Q7139" t="n">
        <v>0</v>
      </c>
      <c r="R7139" t="n">
        <v>0</v>
      </c>
      <c r="S7139" t="n">
        <v>0</v>
      </c>
      <c r="T7139" t="n">
        <v>0</v>
      </c>
      <c r="U7139" t="n">
        <v>0</v>
      </c>
      <c r="V7139" s="2" t="inlineStr"/>
    </row>
    <row r="7140" ht="15" customHeight="1">
      <c r="A7140" t="inlineStr">
        <is>
          <t>A 20467-2026</t>
        </is>
      </c>
      <c r="B7140" t="inlineStr">
        <is>
          <t>avverkningsanmälan</t>
        </is>
      </c>
      <c r="C7140" t="inlineStr">
        <is>
          <t>Föryngringsavverkning</t>
        </is>
      </c>
      <c r="D7140" s="1" t="n">
        <v>46140</v>
      </c>
      <c r="E7140" s="1" t="n">
        <v>46326</v>
      </c>
      <c r="F7140" t="inlineStr">
        <is>
          <t>GÄVLEBORGS LÄN</t>
        </is>
      </c>
      <c r="G7140" t="inlineStr">
        <is>
          <t>OCKELBO</t>
        </is>
      </c>
      <c r="H7140" t="inlineStr">
        <is>
          <t>Bergvik skog väst AB</t>
        </is>
      </c>
      <c r="I7140" t="n">
        <v>0.8</v>
      </c>
      <c r="J7140" t="n">
        <v>0</v>
      </c>
      <c r="K7140" t="n">
        <v>0</v>
      </c>
      <c r="L7140" t="n">
        <v>0</v>
      </c>
      <c r="M7140" t="n">
        <v>0</v>
      </c>
      <c r="N7140" t="n">
        <v>0</v>
      </c>
      <c r="O7140" t="n">
        <v>0</v>
      </c>
      <c r="P7140" t="n">
        <v>0</v>
      </c>
      <c r="Q7140" t="n">
        <v>0</v>
      </c>
      <c r="R7140" t="n">
        <v>0</v>
      </c>
      <c r="S7140" t="n">
        <v>0</v>
      </c>
      <c r="T7140" t="n">
        <v>0</v>
      </c>
      <c r="U7140" t="n">
        <v>0</v>
      </c>
      <c r="V7140" s="2" t="inlineStr"/>
    </row>
    <row r="7141" ht="15" customHeight="1">
      <c r="A7141" t="inlineStr">
        <is>
          <t>A 13150-2026</t>
        </is>
      </c>
      <c r="B7141" t="inlineStr">
        <is>
          <t>avverkningsanmälan</t>
        </is>
      </c>
      <c r="C7141" t="inlineStr">
        <is>
          <t>Föryngringsavverkning</t>
        </is>
      </c>
      <c r="D7141" s="1" t="n">
        <v>46093</v>
      </c>
      <c r="E7141" s="1" t="n">
        <v>46326</v>
      </c>
      <c r="F7141" t="inlineStr">
        <is>
          <t>GÄVLEBORGS LÄN</t>
        </is>
      </c>
      <c r="G7141" t="inlineStr">
        <is>
          <t>BOLLNÄS</t>
        </is>
      </c>
      <c r="H7141" t="inlineStr">
        <is>
          <t>Sveaskog</t>
        </is>
      </c>
      <c r="I7141" t="n">
        <v>7.1</v>
      </c>
      <c r="J7141" t="n">
        <v>0</v>
      </c>
      <c r="K7141" t="n">
        <v>0</v>
      </c>
      <c r="L7141" t="n">
        <v>0</v>
      </c>
      <c r="M7141" t="n">
        <v>0</v>
      </c>
      <c r="N7141" t="n">
        <v>0</v>
      </c>
      <c r="O7141" t="n">
        <v>0</v>
      </c>
      <c r="P7141" t="n">
        <v>0</v>
      </c>
      <c r="Q7141" t="n">
        <v>0</v>
      </c>
      <c r="R7141" t="n">
        <v>0</v>
      </c>
      <c r="S7141" t="n">
        <v>0</v>
      </c>
      <c r="T7141" t="n">
        <v>0</v>
      </c>
      <c r="U7141" t="n">
        <v>0</v>
      </c>
      <c r="V7141" s="2" t="inlineStr"/>
    </row>
    <row r="7142" ht="15" customHeight="1">
      <c r="A7142" t="inlineStr">
        <is>
          <t>A 20571-2026</t>
        </is>
      </c>
      <c r="B7142" t="inlineStr">
        <is>
          <t>avverkningsanmälan</t>
        </is>
      </c>
      <c r="C7142" t="inlineStr">
        <is>
          <t>Föryngringsavverkning</t>
        </is>
      </c>
      <c r="D7142" s="1" t="n">
        <v>46140</v>
      </c>
      <c r="E7142" s="1" t="n">
        <v>46326</v>
      </c>
      <c r="F7142" t="inlineStr">
        <is>
          <t>GÄVLEBORGS LÄN</t>
        </is>
      </c>
      <c r="G7142" t="inlineStr">
        <is>
          <t>OCKELBO</t>
        </is>
      </c>
      <c r="H7142" t="inlineStr">
        <is>
          <t>Bergvik skog väst AB</t>
        </is>
      </c>
      <c r="I7142" t="n">
        <v>2.8</v>
      </c>
      <c r="J7142" t="n">
        <v>0</v>
      </c>
      <c r="K7142" t="n">
        <v>0</v>
      </c>
      <c r="L7142" t="n">
        <v>0</v>
      </c>
      <c r="M7142" t="n">
        <v>0</v>
      </c>
      <c r="N7142" t="n">
        <v>0</v>
      </c>
      <c r="O7142" t="n">
        <v>0</v>
      </c>
      <c r="P7142" t="n">
        <v>0</v>
      </c>
      <c r="Q7142" t="n">
        <v>0</v>
      </c>
      <c r="R7142" t="n">
        <v>0</v>
      </c>
      <c r="S7142" t="n">
        <v>0</v>
      </c>
      <c r="T7142" t="n">
        <v>0</v>
      </c>
      <c r="U7142" t="n">
        <v>0</v>
      </c>
      <c r="V7142" s="2" t="inlineStr"/>
    </row>
    <row r="7143" ht="15" customHeight="1">
      <c r="A7143" t="inlineStr">
        <is>
          <t>A 227-2026</t>
        </is>
      </c>
      <c r="B7143" t="inlineStr">
        <is>
          <t>avverkningsanmälan</t>
        </is>
      </c>
      <c r="C7143" t="inlineStr">
        <is>
          <t>Föryngringsavverkning</t>
        </is>
      </c>
      <c r="D7143" s="1" t="n">
        <v>46026</v>
      </c>
      <c r="E7143" s="1" t="n">
        <v>46326</v>
      </c>
      <c r="F7143" t="inlineStr">
        <is>
          <t>GÄVLEBORGS LÄN</t>
        </is>
      </c>
      <c r="G7143" t="inlineStr">
        <is>
          <t>NORDANSTIG</t>
        </is>
      </c>
      <c r="I7143" t="n">
        <v>0.8</v>
      </c>
      <c r="J7143" t="n">
        <v>0</v>
      </c>
      <c r="K7143" t="n">
        <v>0</v>
      </c>
      <c r="L7143" t="n">
        <v>0</v>
      </c>
      <c r="M7143" t="n">
        <v>0</v>
      </c>
      <c r="N7143" t="n">
        <v>0</v>
      </c>
      <c r="O7143" t="n">
        <v>0</v>
      </c>
      <c r="P7143" t="n">
        <v>0</v>
      </c>
      <c r="Q7143" t="n">
        <v>0</v>
      </c>
      <c r="R7143" t="n">
        <v>0</v>
      </c>
      <c r="S7143" t="n">
        <v>0</v>
      </c>
      <c r="T7143" t="n">
        <v>0</v>
      </c>
      <c r="U7143" t="n">
        <v>0</v>
      </c>
      <c r="V7143" s="2" t="inlineStr"/>
    </row>
    <row r="7144" ht="15" customHeight="1">
      <c r="A7144" t="inlineStr">
        <is>
          <t>A 63862-2025</t>
        </is>
      </c>
      <c r="B7144" t="inlineStr">
        <is>
          <t>avverkningsanmälan</t>
        </is>
      </c>
      <c r="C7144" t="inlineStr">
        <is>
          <t>Föryngringsavverkning</t>
        </is>
      </c>
      <c r="D7144" s="1" t="n">
        <v>46020</v>
      </c>
      <c r="E7144" s="1" t="n">
        <v>46326</v>
      </c>
      <c r="F7144" t="inlineStr">
        <is>
          <t>GÄVLEBORGS LÄN</t>
        </is>
      </c>
      <c r="G7144" t="inlineStr">
        <is>
          <t>HUDIKSVALL</t>
        </is>
      </c>
      <c r="I7144" t="n">
        <v>2.5</v>
      </c>
      <c r="J7144" t="n">
        <v>0</v>
      </c>
      <c r="K7144" t="n">
        <v>0</v>
      </c>
      <c r="L7144" t="n">
        <v>0</v>
      </c>
      <c r="M7144" t="n">
        <v>0</v>
      </c>
      <c r="N7144" t="n">
        <v>0</v>
      </c>
      <c r="O7144" t="n">
        <v>0</v>
      </c>
      <c r="P7144" t="n">
        <v>0</v>
      </c>
      <c r="Q7144" t="n">
        <v>0</v>
      </c>
      <c r="R7144" t="n">
        <v>0</v>
      </c>
      <c r="S7144" t="n">
        <v>0</v>
      </c>
      <c r="T7144" t="n">
        <v>0</v>
      </c>
      <c r="U7144" t="n">
        <v>0</v>
      </c>
      <c r="V7144" s="2" t="inlineStr"/>
    </row>
    <row r="7145" ht="15" customHeight="1">
      <c r="A7145" t="inlineStr">
        <is>
          <t>A 39373-2024</t>
        </is>
      </c>
      <c r="B7145" t="inlineStr">
        <is>
          <t>avverkningsanmälan</t>
        </is>
      </c>
      <c r="C7145" t="inlineStr">
        <is>
          <t>Föryngringsavverkning</t>
        </is>
      </c>
      <c r="D7145" s="1" t="n">
        <v>45551</v>
      </c>
      <c r="E7145" s="1" t="n">
        <v>46326</v>
      </c>
      <c r="F7145" t="inlineStr">
        <is>
          <t>GÄVLEBORGS LÄN</t>
        </is>
      </c>
      <c r="G7145" t="inlineStr">
        <is>
          <t>OVANÅKER</t>
        </is>
      </c>
      <c r="I7145" t="n">
        <v>0.5</v>
      </c>
      <c r="J7145" t="n">
        <v>0</v>
      </c>
      <c r="K7145" t="n">
        <v>0</v>
      </c>
      <c r="L7145" t="n">
        <v>0</v>
      </c>
      <c r="M7145" t="n">
        <v>0</v>
      </c>
      <c r="N7145" t="n">
        <v>0</v>
      </c>
      <c r="O7145" t="n">
        <v>0</v>
      </c>
      <c r="P7145" t="n">
        <v>0</v>
      </c>
      <c r="Q7145" t="n">
        <v>0</v>
      </c>
      <c r="R7145" t="n">
        <v>0</v>
      </c>
      <c r="S7145" t="n">
        <v>0</v>
      </c>
      <c r="T7145" t="n">
        <v>0</v>
      </c>
      <c r="U7145" t="n">
        <v>0</v>
      </c>
      <c r="V7145" s="2" t="inlineStr"/>
    </row>
    <row r="7146" ht="15" customHeight="1">
      <c r="A7146" t="inlineStr">
        <is>
          <t>A 5174-2026</t>
        </is>
      </c>
      <c r="B7146" t="inlineStr">
        <is>
          <t>avverkningsanmälan</t>
        </is>
      </c>
      <c r="C7146" t="inlineStr">
        <is>
          <t>Föryngringsavverkning</t>
        </is>
      </c>
      <c r="D7146" s="1" t="n">
        <v>46049</v>
      </c>
      <c r="E7146" s="1" t="n">
        <v>46326</v>
      </c>
      <c r="F7146" t="inlineStr">
        <is>
          <t>GÄVLEBORGS LÄN</t>
        </is>
      </c>
      <c r="G7146" t="inlineStr">
        <is>
          <t>OVANÅKER</t>
        </is>
      </c>
      <c r="I7146" t="n">
        <v>2.3</v>
      </c>
      <c r="J7146" t="n">
        <v>0</v>
      </c>
      <c r="K7146" t="n">
        <v>0</v>
      </c>
      <c r="L7146" t="n">
        <v>0</v>
      </c>
      <c r="M7146" t="n">
        <v>0</v>
      </c>
      <c r="N7146" t="n">
        <v>0</v>
      </c>
      <c r="O7146" t="n">
        <v>0</v>
      </c>
      <c r="P7146" t="n">
        <v>0</v>
      </c>
      <c r="Q7146" t="n">
        <v>0</v>
      </c>
      <c r="R7146" t="n">
        <v>0</v>
      </c>
      <c r="S7146" t="n">
        <v>0</v>
      </c>
      <c r="T7146" t="n">
        <v>0</v>
      </c>
      <c r="U7146" t="n">
        <v>0</v>
      </c>
      <c r="V7146" s="2" t="inlineStr"/>
    </row>
    <row r="7147" ht="15" customHeight="1">
      <c r="A7147" t="inlineStr">
        <is>
          <t>A 57400-2024</t>
        </is>
      </c>
      <c r="B7147" t="inlineStr">
        <is>
          <t>avverkningsanmälan</t>
        </is>
      </c>
      <c r="C7147" t="inlineStr">
        <is>
          <t>Föryngringsavverkning</t>
        </is>
      </c>
      <c r="D7147" s="1" t="n">
        <v>45629</v>
      </c>
      <c r="E7147" s="1" t="n">
        <v>46326</v>
      </c>
      <c r="F7147" t="inlineStr">
        <is>
          <t>GÄVLEBORGS LÄN</t>
        </is>
      </c>
      <c r="G7147" t="inlineStr">
        <is>
          <t>HOFORS</t>
        </is>
      </c>
      <c r="I7147" t="n">
        <v>2.7</v>
      </c>
      <c r="J7147" t="n">
        <v>0</v>
      </c>
      <c r="K7147" t="n">
        <v>0</v>
      </c>
      <c r="L7147" t="n">
        <v>0</v>
      </c>
      <c r="M7147" t="n">
        <v>0</v>
      </c>
      <c r="N7147" t="n">
        <v>0</v>
      </c>
      <c r="O7147" t="n">
        <v>0</v>
      </c>
      <c r="P7147" t="n">
        <v>0</v>
      </c>
      <c r="Q7147" t="n">
        <v>0</v>
      </c>
      <c r="R7147" t="n">
        <v>0</v>
      </c>
      <c r="S7147" t="n">
        <v>0</v>
      </c>
      <c r="T7147" t="n">
        <v>0</v>
      </c>
      <c r="U7147" t="n">
        <v>0</v>
      </c>
      <c r="V7147" s="2" t="inlineStr"/>
    </row>
    <row r="7148" ht="15" customHeight="1">
      <c r="A7148" t="inlineStr">
        <is>
          <t>A 6844-2026</t>
        </is>
      </c>
      <c r="B7148" t="inlineStr">
        <is>
          <t>avverkningsanmälan</t>
        </is>
      </c>
      <c r="C7148" t="inlineStr">
        <is>
          <t>Föryngringsavverkning</t>
        </is>
      </c>
      <c r="D7148" s="1" t="n">
        <v>46057</v>
      </c>
      <c r="E7148" s="1" t="n">
        <v>46326</v>
      </c>
      <c r="F7148" t="inlineStr">
        <is>
          <t>GÄVLEBORGS LÄN</t>
        </is>
      </c>
      <c r="G7148" t="inlineStr">
        <is>
          <t>OVANÅKER</t>
        </is>
      </c>
      <c r="I7148" t="n">
        <v>11.8</v>
      </c>
      <c r="J7148" t="n">
        <v>0</v>
      </c>
      <c r="K7148" t="n">
        <v>0</v>
      </c>
      <c r="L7148" t="n">
        <v>0</v>
      </c>
      <c r="M7148" t="n">
        <v>0</v>
      </c>
      <c r="N7148" t="n">
        <v>0</v>
      </c>
      <c r="O7148" t="n">
        <v>0</v>
      </c>
      <c r="P7148" t="n">
        <v>0</v>
      </c>
      <c r="Q7148" t="n">
        <v>0</v>
      </c>
      <c r="R7148" t="n">
        <v>0</v>
      </c>
      <c r="S7148" t="n">
        <v>0</v>
      </c>
      <c r="T7148" t="n">
        <v>0</v>
      </c>
      <c r="U7148" t="n">
        <v>0</v>
      </c>
      <c r="V7148" s="2" t="inlineStr"/>
    </row>
    <row r="7149" ht="15" customHeight="1">
      <c r="A7149" t="inlineStr">
        <is>
          <t>A 14611-2026</t>
        </is>
      </c>
      <c r="B7149" t="inlineStr">
        <is>
          <t>avverkningsanmälan</t>
        </is>
      </c>
      <c r="C7149" t="inlineStr">
        <is>
          <t>Föryngringsavverkning</t>
        </is>
      </c>
      <c r="D7149" s="1" t="n">
        <v>46101</v>
      </c>
      <c r="E7149" s="1" t="n">
        <v>46326</v>
      </c>
      <c r="F7149" t="inlineStr">
        <is>
          <t>GÄVLEBORGS LÄN</t>
        </is>
      </c>
      <c r="G7149" t="inlineStr">
        <is>
          <t>BOLLNÄS</t>
        </is>
      </c>
      <c r="I7149" t="n">
        <v>5</v>
      </c>
      <c r="J7149" t="n">
        <v>0</v>
      </c>
      <c r="K7149" t="n">
        <v>0</v>
      </c>
      <c r="L7149" t="n">
        <v>0</v>
      </c>
      <c r="M7149" t="n">
        <v>0</v>
      </c>
      <c r="N7149" t="n">
        <v>0</v>
      </c>
      <c r="O7149" t="n">
        <v>0</v>
      </c>
      <c r="P7149" t="n">
        <v>0</v>
      </c>
      <c r="Q7149" t="n">
        <v>0</v>
      </c>
      <c r="R7149" t="n">
        <v>0</v>
      </c>
      <c r="S7149" t="n">
        <v>0</v>
      </c>
      <c r="T7149" t="n">
        <v>0</v>
      </c>
      <c r="U7149" t="n">
        <v>0</v>
      </c>
      <c r="V7149" s="2" t="inlineStr"/>
    </row>
    <row r="7150" ht="15" customHeight="1">
      <c r="A7150" t="inlineStr">
        <is>
          <t>A 8041-2026</t>
        </is>
      </c>
      <c r="B7150" t="inlineStr">
        <is>
          <t>avverkningsanmälan</t>
        </is>
      </c>
      <c r="C7150" t="inlineStr">
        <is>
          <t>Föryngringsavverkning</t>
        </is>
      </c>
      <c r="D7150" s="1" t="n">
        <v>46063</v>
      </c>
      <c r="E7150" s="1" t="n">
        <v>46326</v>
      </c>
      <c r="F7150" t="inlineStr">
        <is>
          <t>GÄVLEBORGS LÄN</t>
        </is>
      </c>
      <c r="G7150" t="inlineStr">
        <is>
          <t>HUDIKSVALL</t>
        </is>
      </c>
      <c r="I7150" t="n">
        <v>5.2</v>
      </c>
      <c r="J7150" t="n">
        <v>0</v>
      </c>
      <c r="K7150" t="n">
        <v>0</v>
      </c>
      <c r="L7150" t="n">
        <v>0</v>
      </c>
      <c r="M7150" t="n">
        <v>0</v>
      </c>
      <c r="N7150" t="n">
        <v>0</v>
      </c>
      <c r="O7150" t="n">
        <v>0</v>
      </c>
      <c r="P7150" t="n">
        <v>0</v>
      </c>
      <c r="Q7150" t="n">
        <v>0</v>
      </c>
      <c r="R7150" t="n">
        <v>0</v>
      </c>
      <c r="S7150" t="n">
        <v>0</v>
      </c>
      <c r="T7150" t="n">
        <v>0</v>
      </c>
      <c r="U7150" t="n">
        <v>0</v>
      </c>
      <c r="V7150" s="2" t="inlineStr"/>
    </row>
    <row r="7151" ht="15" customHeight="1">
      <c r="A7151" t="inlineStr">
        <is>
          <t>A 12240-2026</t>
        </is>
      </c>
      <c r="B7151" t="inlineStr">
        <is>
          <t>avverkningsanmälan</t>
        </is>
      </c>
      <c r="C7151" t="inlineStr">
        <is>
          <t>Föryngringsavverkning</t>
        </is>
      </c>
      <c r="D7151" s="1" t="n">
        <v>46087</v>
      </c>
      <c r="E7151" s="1" t="n">
        <v>46326</v>
      </c>
      <c r="F7151" t="inlineStr">
        <is>
          <t>GÄVLEBORGS LÄN</t>
        </is>
      </c>
      <c r="G7151" t="inlineStr">
        <is>
          <t>SÖDERHAMN</t>
        </is>
      </c>
      <c r="I7151" t="n">
        <v>1.2</v>
      </c>
      <c r="J7151" t="n">
        <v>0</v>
      </c>
      <c r="K7151" t="n">
        <v>0</v>
      </c>
      <c r="L7151" t="n">
        <v>0</v>
      </c>
      <c r="M7151" t="n">
        <v>0</v>
      </c>
      <c r="N7151" t="n">
        <v>0</v>
      </c>
      <c r="O7151" t="n">
        <v>0</v>
      </c>
      <c r="P7151" t="n">
        <v>0</v>
      </c>
      <c r="Q7151" t="n">
        <v>0</v>
      </c>
      <c r="R7151" t="n">
        <v>0</v>
      </c>
      <c r="S7151" t="n">
        <v>0</v>
      </c>
      <c r="T7151" t="n">
        <v>0</v>
      </c>
      <c r="U7151" t="n">
        <v>0</v>
      </c>
      <c r="V7151" s="2" t="inlineStr"/>
    </row>
    <row r="7152" ht="15" customHeight="1">
      <c r="A7152" t="inlineStr">
        <is>
          <t>A 39076-2025</t>
        </is>
      </c>
      <c r="B7152" t="inlineStr">
        <is>
          <t>avverkningsanmälan</t>
        </is>
      </c>
      <c r="C7152" t="inlineStr">
        <is>
          <t>Föryngringsavverkning</t>
        </is>
      </c>
      <c r="D7152" s="1" t="n">
        <v>45888</v>
      </c>
      <c r="E7152" s="1" t="n">
        <v>46326</v>
      </c>
      <c r="F7152" t="inlineStr">
        <is>
          <t>GÄVLEBORGS LÄN</t>
        </is>
      </c>
      <c r="G7152" t="inlineStr">
        <is>
          <t>LJUSDAL</t>
        </is>
      </c>
      <c r="H7152" t="inlineStr">
        <is>
          <t>Allmännings- och besparingsskogar</t>
        </is>
      </c>
      <c r="I7152" t="n">
        <v>1.9</v>
      </c>
      <c r="J7152" t="n">
        <v>0</v>
      </c>
      <c r="K7152" t="n">
        <v>0</v>
      </c>
      <c r="L7152" t="n">
        <v>0</v>
      </c>
      <c r="M7152" t="n">
        <v>0</v>
      </c>
      <c r="N7152" t="n">
        <v>0</v>
      </c>
      <c r="O7152" t="n">
        <v>0</v>
      </c>
      <c r="P7152" t="n">
        <v>0</v>
      </c>
      <c r="Q7152" t="n">
        <v>0</v>
      </c>
      <c r="R7152" t="n">
        <v>0</v>
      </c>
      <c r="S7152" t="n">
        <v>0</v>
      </c>
      <c r="T7152" t="n">
        <v>0</v>
      </c>
      <c r="U7152" t="n">
        <v>0</v>
      </c>
      <c r="V7152" s="2" t="inlineStr"/>
    </row>
    <row r="7153" ht="15" customHeight="1">
      <c r="A7153" t="inlineStr">
        <is>
          <t>A 13039-2023</t>
        </is>
      </c>
      <c r="B7153" t="inlineStr">
        <is>
          <t>avverkningsanmälan</t>
        </is>
      </c>
      <c r="C7153" t="inlineStr">
        <is>
          <t>Föryngringsavverkning</t>
        </is>
      </c>
      <c r="D7153" s="1" t="n">
        <v>45002</v>
      </c>
      <c r="E7153" s="1" t="n">
        <v>46326</v>
      </c>
      <c r="F7153" t="inlineStr">
        <is>
          <t>GÄVLEBORGS LÄN</t>
        </is>
      </c>
      <c r="G7153" t="inlineStr">
        <is>
          <t>HUDIKSVALL</t>
        </is>
      </c>
      <c r="I7153" t="n">
        <v>2.2</v>
      </c>
      <c r="J7153" t="n">
        <v>0</v>
      </c>
      <c r="K7153" t="n">
        <v>0</v>
      </c>
      <c r="L7153" t="n">
        <v>0</v>
      </c>
      <c r="M7153" t="n">
        <v>0</v>
      </c>
      <c r="N7153" t="n">
        <v>0</v>
      </c>
      <c r="O7153" t="n">
        <v>0</v>
      </c>
      <c r="P7153" t="n">
        <v>0</v>
      </c>
      <c r="Q7153" t="n">
        <v>0</v>
      </c>
      <c r="R7153" t="n">
        <v>0</v>
      </c>
      <c r="S7153" t="n">
        <v>0</v>
      </c>
      <c r="T7153" t="n">
        <v>0</v>
      </c>
      <c r="U7153" t="n">
        <v>0</v>
      </c>
      <c r="V7153" s="2" t="inlineStr"/>
    </row>
    <row r="7154" ht="15" customHeight="1">
      <c r="A7154" t="inlineStr">
        <is>
          <t>A 37697-2022</t>
        </is>
      </c>
      <c r="B7154" t="inlineStr">
        <is>
          <t>avverkningsanmälan</t>
        </is>
      </c>
      <c r="C7154" t="inlineStr">
        <is>
          <t>Föryngringsavverkning</t>
        </is>
      </c>
      <c r="D7154" s="1" t="n">
        <v>44810</v>
      </c>
      <c r="E7154" s="1" t="n">
        <v>46326</v>
      </c>
      <c r="F7154" t="inlineStr">
        <is>
          <t>GÄVLEBORGS LÄN</t>
        </is>
      </c>
      <c r="G7154" t="inlineStr">
        <is>
          <t>SANDVIKEN</t>
        </is>
      </c>
      <c r="I7154" t="n">
        <v>1.3</v>
      </c>
      <c r="J7154" t="n">
        <v>0</v>
      </c>
      <c r="K7154" t="n">
        <v>0</v>
      </c>
      <c r="L7154" t="n">
        <v>0</v>
      </c>
      <c r="M7154" t="n">
        <v>0</v>
      </c>
      <c r="N7154" t="n">
        <v>0</v>
      </c>
      <c r="O7154" t="n">
        <v>0</v>
      </c>
      <c r="P7154" t="n">
        <v>0</v>
      </c>
      <c r="Q7154" t="n">
        <v>0</v>
      </c>
      <c r="R7154" t="n">
        <v>0</v>
      </c>
      <c r="S7154" t="n">
        <v>0</v>
      </c>
      <c r="T7154" t="n">
        <v>0</v>
      </c>
      <c r="U7154" t="n">
        <v>0</v>
      </c>
      <c r="V7154" s="2" t="inlineStr"/>
    </row>
    <row r="7155" ht="15" customHeight="1">
      <c r="A7155" t="inlineStr">
        <is>
          <t>A 43550-2023</t>
        </is>
      </c>
      <c r="B7155" t="inlineStr">
        <is>
          <t>avverkningsanmälan</t>
        </is>
      </c>
      <c r="C7155" t="inlineStr">
        <is>
          <t>Föryngringsavverkning</t>
        </is>
      </c>
      <c r="D7155" s="1" t="n">
        <v>45184</v>
      </c>
      <c r="E7155" s="1" t="n">
        <v>46326</v>
      </c>
      <c r="F7155" t="inlineStr">
        <is>
          <t>GÄVLEBORGS LÄN</t>
        </is>
      </c>
      <c r="G7155" t="inlineStr">
        <is>
          <t>OCKELBO</t>
        </is>
      </c>
      <c r="H7155" t="inlineStr">
        <is>
          <t>Bergvik skog väst AB</t>
        </is>
      </c>
      <c r="I7155" t="n">
        <v>3.2</v>
      </c>
      <c r="J7155" t="n">
        <v>0</v>
      </c>
      <c r="K7155" t="n">
        <v>0</v>
      </c>
      <c r="L7155" t="n">
        <v>0</v>
      </c>
      <c r="M7155" t="n">
        <v>0</v>
      </c>
      <c r="N7155" t="n">
        <v>0</v>
      </c>
      <c r="O7155" t="n">
        <v>0</v>
      </c>
      <c r="P7155" t="n">
        <v>0</v>
      </c>
      <c r="Q7155" t="n">
        <v>0</v>
      </c>
      <c r="R7155" t="n">
        <v>0</v>
      </c>
      <c r="S7155" t="n">
        <v>0</v>
      </c>
      <c r="T7155" t="n">
        <v>0</v>
      </c>
      <c r="U7155" t="n">
        <v>0</v>
      </c>
      <c r="V7155" s="2" t="inlineStr"/>
    </row>
    <row r="7156" ht="15" customHeight="1">
      <c r="A7156" t="inlineStr">
        <is>
          <t>A 42317-2025</t>
        </is>
      </c>
      <c r="B7156" t="inlineStr">
        <is>
          <t>avverkningsanmälan</t>
        </is>
      </c>
      <c r="C7156" t="inlineStr">
        <is>
          <t>Föryngringsavverkning</t>
        </is>
      </c>
      <c r="D7156" s="1" t="n">
        <v>45904</v>
      </c>
      <c r="E7156" s="1" t="n">
        <v>46326</v>
      </c>
      <c r="F7156" t="inlineStr">
        <is>
          <t>GÄVLEBORGS LÄN</t>
        </is>
      </c>
      <c r="G7156" t="inlineStr">
        <is>
          <t>LJUSDAL</t>
        </is>
      </c>
      <c r="I7156" t="n">
        <v>4.3</v>
      </c>
      <c r="J7156" t="n">
        <v>0</v>
      </c>
      <c r="K7156" t="n">
        <v>0</v>
      </c>
      <c r="L7156" t="n">
        <v>0</v>
      </c>
      <c r="M7156" t="n">
        <v>0</v>
      </c>
      <c r="N7156" t="n">
        <v>0</v>
      </c>
      <c r="O7156" t="n">
        <v>0</v>
      </c>
      <c r="P7156" t="n">
        <v>0</v>
      </c>
      <c r="Q7156" t="n">
        <v>0</v>
      </c>
      <c r="R7156" t="n">
        <v>0</v>
      </c>
      <c r="S7156" t="n">
        <v>0</v>
      </c>
      <c r="T7156" t="n">
        <v>0</v>
      </c>
      <c r="U7156" t="n">
        <v>0</v>
      </c>
      <c r="V7156" s="2" t="inlineStr"/>
    </row>
    <row r="7157" ht="15" customHeight="1">
      <c r="A7157" t="inlineStr">
        <is>
          <t>A 1720-2026</t>
        </is>
      </c>
      <c r="B7157" t="inlineStr">
        <is>
          <t>avverkningsanmälan</t>
        </is>
      </c>
      <c r="C7157" t="inlineStr">
        <is>
          <t>Föryngringsavverkning</t>
        </is>
      </c>
      <c r="D7157" s="1" t="n">
        <v>46034</v>
      </c>
      <c r="E7157" s="1" t="n">
        <v>46326</v>
      </c>
      <c r="F7157" t="inlineStr">
        <is>
          <t>GÄVLEBORGS LÄN</t>
        </is>
      </c>
      <c r="G7157" t="inlineStr">
        <is>
          <t>OVANÅKER</t>
        </is>
      </c>
      <c r="I7157" t="n">
        <v>1.5</v>
      </c>
      <c r="J7157" t="n">
        <v>0</v>
      </c>
      <c r="K7157" t="n">
        <v>0</v>
      </c>
      <c r="L7157" t="n">
        <v>0</v>
      </c>
      <c r="M7157" t="n">
        <v>0</v>
      </c>
      <c r="N7157" t="n">
        <v>0</v>
      </c>
      <c r="O7157" t="n">
        <v>0</v>
      </c>
      <c r="P7157" t="n">
        <v>0</v>
      </c>
      <c r="Q7157" t="n">
        <v>0</v>
      </c>
      <c r="R7157" t="n">
        <v>0</v>
      </c>
      <c r="S7157" t="n">
        <v>0</v>
      </c>
      <c r="T7157" t="n">
        <v>0</v>
      </c>
      <c r="U7157" t="n">
        <v>0</v>
      </c>
      <c r="V7157" s="2" t="inlineStr"/>
    </row>
    <row r="7158" ht="15" customHeight="1">
      <c r="A7158" t="inlineStr">
        <is>
          <t>A 20618-2026</t>
        </is>
      </c>
      <c r="B7158" t="inlineStr">
        <is>
          <t>avverkningsanmälan</t>
        </is>
      </c>
      <c r="C7158" t="inlineStr">
        <is>
          <t>Föryngringsavverkning</t>
        </is>
      </c>
      <c r="D7158" s="1" t="n">
        <v>46140</v>
      </c>
      <c r="E7158" s="1" t="n">
        <v>46326</v>
      </c>
      <c r="F7158" t="inlineStr">
        <is>
          <t>GÄVLEBORGS LÄN</t>
        </is>
      </c>
      <c r="G7158" t="inlineStr">
        <is>
          <t>SANDVIKEN</t>
        </is>
      </c>
      <c r="I7158" t="n">
        <v>2.7</v>
      </c>
      <c r="J7158" t="n">
        <v>0</v>
      </c>
      <c r="K7158" t="n">
        <v>0</v>
      </c>
      <c r="L7158" t="n">
        <v>0</v>
      </c>
      <c r="M7158" t="n">
        <v>0</v>
      </c>
      <c r="N7158" t="n">
        <v>0</v>
      </c>
      <c r="O7158" t="n">
        <v>0</v>
      </c>
      <c r="P7158" t="n">
        <v>0</v>
      </c>
      <c r="Q7158" t="n">
        <v>0</v>
      </c>
      <c r="R7158" t="n">
        <v>0</v>
      </c>
      <c r="S7158" t="n">
        <v>0</v>
      </c>
      <c r="T7158" t="n">
        <v>0</v>
      </c>
      <c r="U7158" t="n">
        <v>0</v>
      </c>
      <c r="V7158" s="2" t="inlineStr"/>
    </row>
    <row r="7159" ht="15" customHeight="1">
      <c r="A7159" t="inlineStr">
        <is>
          <t>A 20621-2026</t>
        </is>
      </c>
      <c r="B7159" t="inlineStr">
        <is>
          <t>avverkningsanmälan</t>
        </is>
      </c>
      <c r="C7159" t="inlineStr">
        <is>
          <t>Föryngringsavverkning</t>
        </is>
      </c>
      <c r="D7159" s="1" t="n">
        <v>46141</v>
      </c>
      <c r="E7159" s="1" t="n">
        <v>46326</v>
      </c>
      <c r="F7159" t="inlineStr">
        <is>
          <t>GÄVLEBORGS LÄN</t>
        </is>
      </c>
      <c r="G7159" t="inlineStr">
        <is>
          <t>OVANÅKER</t>
        </is>
      </c>
      <c r="I7159" t="n">
        <v>1.9</v>
      </c>
      <c r="J7159" t="n">
        <v>0</v>
      </c>
      <c r="K7159" t="n">
        <v>0</v>
      </c>
      <c r="L7159" t="n">
        <v>0</v>
      </c>
      <c r="M7159" t="n">
        <v>0</v>
      </c>
      <c r="N7159" t="n">
        <v>0</v>
      </c>
      <c r="O7159" t="n">
        <v>0</v>
      </c>
      <c r="P7159" t="n">
        <v>0</v>
      </c>
      <c r="Q7159" t="n">
        <v>0</v>
      </c>
      <c r="R7159" t="n">
        <v>0</v>
      </c>
      <c r="S7159" t="n">
        <v>0</v>
      </c>
      <c r="T7159" t="n">
        <v>0</v>
      </c>
      <c r="U7159" t="n">
        <v>0</v>
      </c>
      <c r="V7159" s="2" t="inlineStr"/>
    </row>
    <row r="7160" ht="15" customHeight="1">
      <c r="A7160" t="inlineStr">
        <is>
          <t>A 13296-2026</t>
        </is>
      </c>
      <c r="B7160" t="inlineStr">
        <is>
          <t>avverkningsanmälan</t>
        </is>
      </c>
      <c r="C7160" t="inlineStr">
        <is>
          <t>Föryngringsavverkning</t>
        </is>
      </c>
      <c r="D7160" s="1" t="n">
        <v>46094</v>
      </c>
      <c r="E7160" s="1" t="n">
        <v>46326</v>
      </c>
      <c r="F7160" t="inlineStr">
        <is>
          <t>GÄVLEBORGS LÄN</t>
        </is>
      </c>
      <c r="G7160" t="inlineStr">
        <is>
          <t>BOLLNÄS</t>
        </is>
      </c>
      <c r="I7160" t="n">
        <v>5</v>
      </c>
      <c r="J7160" t="n">
        <v>0</v>
      </c>
      <c r="K7160" t="n">
        <v>0</v>
      </c>
      <c r="L7160" t="n">
        <v>0</v>
      </c>
      <c r="M7160" t="n">
        <v>0</v>
      </c>
      <c r="N7160" t="n">
        <v>0</v>
      </c>
      <c r="O7160" t="n">
        <v>0</v>
      </c>
      <c r="P7160" t="n">
        <v>0</v>
      </c>
      <c r="Q7160" t="n">
        <v>0</v>
      </c>
      <c r="R7160" t="n">
        <v>0</v>
      </c>
      <c r="S7160" t="n">
        <v>0</v>
      </c>
      <c r="T7160" t="n">
        <v>0</v>
      </c>
      <c r="U7160" t="n">
        <v>0</v>
      </c>
      <c r="V7160" s="2" t="inlineStr"/>
    </row>
    <row r="7161" ht="15" customHeight="1">
      <c r="A7161" t="inlineStr">
        <is>
          <t>A 42-2026</t>
        </is>
      </c>
      <c r="B7161" t="inlineStr">
        <is>
          <t>avverkningsanmälan</t>
        </is>
      </c>
      <c r="C7161" t="inlineStr">
        <is>
          <t>Föryngringsavverkning</t>
        </is>
      </c>
      <c r="D7161" s="1" t="n">
        <v>46024</v>
      </c>
      <c r="E7161" s="1" t="n">
        <v>46326</v>
      </c>
      <c r="F7161" t="inlineStr">
        <is>
          <t>GÄVLEBORGS LÄN</t>
        </is>
      </c>
      <c r="G7161" t="inlineStr">
        <is>
          <t>SÖDERHAMN</t>
        </is>
      </c>
      <c r="I7161" t="n">
        <v>6</v>
      </c>
      <c r="J7161" t="n">
        <v>0</v>
      </c>
      <c r="K7161" t="n">
        <v>0</v>
      </c>
      <c r="L7161" t="n">
        <v>0</v>
      </c>
      <c r="M7161" t="n">
        <v>0</v>
      </c>
      <c r="N7161" t="n">
        <v>0</v>
      </c>
      <c r="O7161" t="n">
        <v>0</v>
      </c>
      <c r="P7161" t="n">
        <v>0</v>
      </c>
      <c r="Q7161" t="n">
        <v>0</v>
      </c>
      <c r="R7161" t="n">
        <v>0</v>
      </c>
      <c r="S7161" t="n">
        <v>0</v>
      </c>
      <c r="T7161" t="n">
        <v>0</v>
      </c>
      <c r="U7161" t="n">
        <v>0</v>
      </c>
      <c r="V7161" s="2" t="inlineStr"/>
    </row>
    <row r="7162" ht="15" customHeight="1">
      <c r="A7162" t="inlineStr">
        <is>
          <t>A 5551-2026</t>
        </is>
      </c>
      <c r="B7162" t="inlineStr">
        <is>
          <t>avverkningsanmälan</t>
        </is>
      </c>
      <c r="C7162" t="inlineStr">
        <is>
          <t>Föryngringsavverkning</t>
        </is>
      </c>
      <c r="D7162" s="1" t="n">
        <v>46050</v>
      </c>
      <c r="E7162" s="1" t="n">
        <v>46326</v>
      </c>
      <c r="F7162" t="inlineStr">
        <is>
          <t>GÄVLEBORGS LÄN</t>
        </is>
      </c>
      <c r="G7162" t="inlineStr">
        <is>
          <t>BOLLNÄS</t>
        </is>
      </c>
      <c r="H7162" t="inlineStr">
        <is>
          <t>Kyrkan</t>
        </is>
      </c>
      <c r="I7162" t="n">
        <v>6</v>
      </c>
      <c r="J7162" t="n">
        <v>0</v>
      </c>
      <c r="K7162" t="n">
        <v>0</v>
      </c>
      <c r="L7162" t="n">
        <v>0</v>
      </c>
      <c r="M7162" t="n">
        <v>0</v>
      </c>
      <c r="N7162" t="n">
        <v>0</v>
      </c>
      <c r="O7162" t="n">
        <v>0</v>
      </c>
      <c r="P7162" t="n">
        <v>0</v>
      </c>
      <c r="Q7162" t="n">
        <v>0</v>
      </c>
      <c r="R7162" t="n">
        <v>0</v>
      </c>
      <c r="S7162" t="n">
        <v>0</v>
      </c>
      <c r="T7162" t="n">
        <v>0</v>
      </c>
      <c r="U7162" t="n">
        <v>0</v>
      </c>
      <c r="V7162" s="2" t="inlineStr"/>
    </row>
    <row r="7163" ht="15" customHeight="1">
      <c r="A7163" t="inlineStr">
        <is>
          <t>A 4500-2026</t>
        </is>
      </c>
      <c r="B7163" t="inlineStr">
        <is>
          <t>avverkningsanmälan</t>
        </is>
      </c>
      <c r="C7163" t="inlineStr">
        <is>
          <t>Föryngringsavverkning</t>
        </is>
      </c>
      <c r="D7163" s="1" t="n">
        <v>46045</v>
      </c>
      <c r="E7163" s="1" t="n">
        <v>46326</v>
      </c>
      <c r="F7163" t="inlineStr">
        <is>
          <t>GÄVLEBORGS LÄN</t>
        </is>
      </c>
      <c r="G7163" t="inlineStr">
        <is>
          <t>BOLLNÄS</t>
        </is>
      </c>
      <c r="I7163" t="n">
        <v>3.2</v>
      </c>
      <c r="J7163" t="n">
        <v>0</v>
      </c>
      <c r="K7163" t="n">
        <v>0</v>
      </c>
      <c r="L7163" t="n">
        <v>0</v>
      </c>
      <c r="M7163" t="n">
        <v>0</v>
      </c>
      <c r="N7163" t="n">
        <v>0</v>
      </c>
      <c r="O7163" t="n">
        <v>0</v>
      </c>
      <c r="P7163" t="n">
        <v>0</v>
      </c>
      <c r="Q7163" t="n">
        <v>0</v>
      </c>
      <c r="R7163" t="n">
        <v>0</v>
      </c>
      <c r="S7163" t="n">
        <v>0</v>
      </c>
      <c r="T7163" t="n">
        <v>0</v>
      </c>
      <c r="U7163" t="n">
        <v>0</v>
      </c>
      <c r="V7163" s="2" t="inlineStr"/>
    </row>
    <row r="7164" ht="15" customHeight="1">
      <c r="A7164" t="inlineStr">
        <is>
          <t>A 20743-2026</t>
        </is>
      </c>
      <c r="B7164" t="inlineStr">
        <is>
          <t>avverkningsanmälan</t>
        </is>
      </c>
      <c r="C7164" t="inlineStr">
        <is>
          <t>Föryngringsavverkning</t>
        </is>
      </c>
      <c r="D7164" s="1" t="n">
        <v>46141</v>
      </c>
      <c r="E7164" s="1" t="n">
        <v>46326</v>
      </c>
      <c r="F7164" t="inlineStr">
        <is>
          <t>GÄVLEBORGS LÄN</t>
        </is>
      </c>
      <c r="G7164" t="inlineStr">
        <is>
          <t>HUDIKSVALL</t>
        </is>
      </c>
      <c r="H7164" t="inlineStr">
        <is>
          <t>Holmen skog AB</t>
        </is>
      </c>
      <c r="I7164" t="n">
        <v>0.9</v>
      </c>
      <c r="J7164" t="n">
        <v>0</v>
      </c>
      <c r="K7164" t="n">
        <v>0</v>
      </c>
      <c r="L7164" t="n">
        <v>0</v>
      </c>
      <c r="M7164" t="n">
        <v>0</v>
      </c>
      <c r="N7164" t="n">
        <v>0</v>
      </c>
      <c r="O7164" t="n">
        <v>0</v>
      </c>
      <c r="P7164" t="n">
        <v>0</v>
      </c>
      <c r="Q7164" t="n">
        <v>0</v>
      </c>
      <c r="R7164" t="n">
        <v>0</v>
      </c>
      <c r="S7164" t="n">
        <v>0</v>
      </c>
      <c r="T7164" t="n">
        <v>0</v>
      </c>
      <c r="U7164" t="n">
        <v>0</v>
      </c>
      <c r="V7164" s="2" t="inlineStr"/>
    </row>
    <row r="7165" ht="15" customHeight="1">
      <c r="A7165" t="inlineStr">
        <is>
          <t>A 10225-2026</t>
        </is>
      </c>
      <c r="B7165" t="inlineStr">
        <is>
          <t>avverkningsanmälan</t>
        </is>
      </c>
      <c r="C7165" t="inlineStr">
        <is>
          <t>Föryngringsavverkning</t>
        </is>
      </c>
      <c r="D7165" s="1" t="n">
        <v>46076</v>
      </c>
      <c r="E7165" s="1" t="n">
        <v>46326</v>
      </c>
      <c r="F7165" t="inlineStr">
        <is>
          <t>GÄVLEBORGS LÄN</t>
        </is>
      </c>
      <c r="G7165" t="inlineStr">
        <is>
          <t>BOLLNÄS</t>
        </is>
      </c>
      <c r="H7165" t="inlineStr">
        <is>
          <t>Bergvik skog väst AB</t>
        </is>
      </c>
      <c r="I7165" t="n">
        <v>2.8</v>
      </c>
      <c r="J7165" t="n">
        <v>0</v>
      </c>
      <c r="K7165" t="n">
        <v>0</v>
      </c>
      <c r="L7165" t="n">
        <v>0</v>
      </c>
      <c r="M7165" t="n">
        <v>0</v>
      </c>
      <c r="N7165" t="n">
        <v>0</v>
      </c>
      <c r="O7165" t="n">
        <v>0</v>
      </c>
      <c r="P7165" t="n">
        <v>0</v>
      </c>
      <c r="Q7165" t="n">
        <v>0</v>
      </c>
      <c r="R7165" t="n">
        <v>0</v>
      </c>
      <c r="S7165" t="n">
        <v>0</v>
      </c>
      <c r="T7165" t="n">
        <v>0</v>
      </c>
      <c r="U7165" t="n">
        <v>0</v>
      </c>
      <c r="V7165" s="2" t="inlineStr"/>
    </row>
    <row r="7166" ht="15" customHeight="1">
      <c r="A7166" t="inlineStr">
        <is>
          <t>A 10228-2026</t>
        </is>
      </c>
      <c r="B7166" t="inlineStr">
        <is>
          <t>avverkningsanmälan</t>
        </is>
      </c>
      <c r="C7166" t="inlineStr">
        <is>
          <t>Föryngringsavverkning</t>
        </is>
      </c>
      <c r="D7166" s="1" t="n">
        <v>46076</v>
      </c>
      <c r="E7166" s="1" t="n">
        <v>46326</v>
      </c>
      <c r="F7166" t="inlineStr">
        <is>
          <t>GÄVLEBORGS LÄN</t>
        </is>
      </c>
      <c r="G7166" t="inlineStr">
        <is>
          <t>BOLLNÄS</t>
        </is>
      </c>
      <c r="I7166" t="n">
        <v>2.5</v>
      </c>
      <c r="J7166" t="n">
        <v>0</v>
      </c>
      <c r="K7166" t="n">
        <v>0</v>
      </c>
      <c r="L7166" t="n">
        <v>0</v>
      </c>
      <c r="M7166" t="n">
        <v>0</v>
      </c>
      <c r="N7166" t="n">
        <v>0</v>
      </c>
      <c r="O7166" t="n">
        <v>0</v>
      </c>
      <c r="P7166" t="n">
        <v>0</v>
      </c>
      <c r="Q7166" t="n">
        <v>0</v>
      </c>
      <c r="R7166" t="n">
        <v>0</v>
      </c>
      <c r="S7166" t="n">
        <v>0</v>
      </c>
      <c r="T7166" t="n">
        <v>0</v>
      </c>
      <c r="U7166" t="n">
        <v>0</v>
      </c>
      <c r="V7166" s="2" t="inlineStr"/>
    </row>
    <row r="7167" ht="15" customHeight="1">
      <c r="A7167" t="inlineStr">
        <is>
          <t>A 14263-2024</t>
        </is>
      </c>
      <c r="B7167" t="inlineStr">
        <is>
          <t>avverkningsanmälan</t>
        </is>
      </c>
      <c r="C7167" t="inlineStr">
        <is>
          <t>Föryngringsavverkning</t>
        </is>
      </c>
      <c r="D7167" s="1" t="n">
        <v>45393</v>
      </c>
      <c r="E7167" s="1" t="n">
        <v>46326</v>
      </c>
      <c r="F7167" t="inlineStr">
        <is>
          <t>GÄVLEBORGS LÄN</t>
        </is>
      </c>
      <c r="G7167" t="inlineStr">
        <is>
          <t>LJUSDAL</t>
        </is>
      </c>
      <c r="I7167" t="n">
        <v>2</v>
      </c>
      <c r="J7167" t="n">
        <v>0</v>
      </c>
      <c r="K7167" t="n">
        <v>0</v>
      </c>
      <c r="L7167" t="n">
        <v>0</v>
      </c>
      <c r="M7167" t="n">
        <v>0</v>
      </c>
      <c r="N7167" t="n">
        <v>0</v>
      </c>
      <c r="O7167" t="n">
        <v>0</v>
      </c>
      <c r="P7167" t="n">
        <v>0</v>
      </c>
      <c r="Q7167" t="n">
        <v>0</v>
      </c>
      <c r="R7167" t="n">
        <v>0</v>
      </c>
      <c r="S7167" t="n">
        <v>0</v>
      </c>
      <c r="T7167" t="n">
        <v>0</v>
      </c>
      <c r="U7167" t="n">
        <v>0</v>
      </c>
      <c r="V7167" s="2" t="inlineStr"/>
    </row>
    <row r="7168" ht="15" customHeight="1">
      <c r="A7168" t="inlineStr">
        <is>
          <t>A 6331-2022</t>
        </is>
      </c>
      <c r="B7168" t="inlineStr">
        <is>
          <t>avverkningsanmälan</t>
        </is>
      </c>
      <c r="C7168" t="inlineStr">
        <is>
          <t>Föryngringsavverkning</t>
        </is>
      </c>
      <c r="D7168" s="1" t="n">
        <v>44600</v>
      </c>
      <c r="E7168" s="1" t="n">
        <v>46326</v>
      </c>
      <c r="F7168" t="inlineStr">
        <is>
          <t>GÄVLEBORGS LÄN</t>
        </is>
      </c>
      <c r="G7168" t="inlineStr">
        <is>
          <t>GÄVLE</t>
        </is>
      </c>
      <c r="H7168" t="inlineStr">
        <is>
          <t>Kyrkan</t>
        </is>
      </c>
      <c r="I7168" t="n">
        <v>3.5</v>
      </c>
      <c r="J7168" t="n">
        <v>0</v>
      </c>
      <c r="K7168" t="n">
        <v>0</v>
      </c>
      <c r="L7168" t="n">
        <v>0</v>
      </c>
      <c r="M7168" t="n">
        <v>0</v>
      </c>
      <c r="N7168" t="n">
        <v>0</v>
      </c>
      <c r="O7168" t="n">
        <v>0</v>
      </c>
      <c r="P7168" t="n">
        <v>0</v>
      </c>
      <c r="Q7168" t="n">
        <v>0</v>
      </c>
      <c r="R7168" t="n">
        <v>0</v>
      </c>
      <c r="S7168" t="n">
        <v>0</v>
      </c>
      <c r="T7168" t="n">
        <v>0</v>
      </c>
      <c r="U7168" t="n">
        <v>0</v>
      </c>
      <c r="V7168" s="2" t="inlineStr"/>
    </row>
    <row r="7169" ht="15" customHeight="1">
      <c r="A7169" t="inlineStr">
        <is>
          <t>A 51681-2025</t>
        </is>
      </c>
      <c r="B7169" t="inlineStr">
        <is>
          <t>avverkningsanmälan</t>
        </is>
      </c>
      <c r="C7169" t="inlineStr">
        <is>
          <t>Föryngringsavverkning</t>
        </is>
      </c>
      <c r="D7169" s="1" t="n">
        <v>45951</v>
      </c>
      <c r="E7169" s="1" t="n">
        <v>46326</v>
      </c>
      <c r="F7169" t="inlineStr">
        <is>
          <t>GÄVLEBORGS LÄN</t>
        </is>
      </c>
      <c r="G7169" t="inlineStr">
        <is>
          <t>NORDANSTIG</t>
        </is>
      </c>
      <c r="I7169" t="n">
        <v>9.1</v>
      </c>
      <c r="J7169" t="n">
        <v>0</v>
      </c>
      <c r="K7169" t="n">
        <v>0</v>
      </c>
      <c r="L7169" t="n">
        <v>0</v>
      </c>
      <c r="M7169" t="n">
        <v>0</v>
      </c>
      <c r="N7169" t="n">
        <v>0</v>
      </c>
      <c r="O7169" t="n">
        <v>0</v>
      </c>
      <c r="P7169" t="n">
        <v>0</v>
      </c>
      <c r="Q7169" t="n">
        <v>0</v>
      </c>
      <c r="R7169" t="n">
        <v>0</v>
      </c>
      <c r="S7169" t="n">
        <v>0</v>
      </c>
      <c r="T7169" t="n">
        <v>0</v>
      </c>
      <c r="U7169" t="n">
        <v>0</v>
      </c>
      <c r="V7169" s="2" t="inlineStr"/>
    </row>
    <row r="7170" ht="15" customHeight="1">
      <c r="A7170" t="inlineStr">
        <is>
          <t>A 44576-2023</t>
        </is>
      </c>
      <c r="B7170" t="inlineStr">
        <is>
          <t>avverkningsanmälan</t>
        </is>
      </c>
      <c r="C7170" t="inlineStr">
        <is>
          <t>Föryngringsavverkning</t>
        </is>
      </c>
      <c r="D7170" s="1" t="n">
        <v>45183</v>
      </c>
      <c r="E7170" s="1" t="n">
        <v>46326</v>
      </c>
      <c r="F7170" t="inlineStr">
        <is>
          <t>GÄVLEBORGS LÄN</t>
        </is>
      </c>
      <c r="G7170" t="inlineStr">
        <is>
          <t>BOLLNÄS</t>
        </is>
      </c>
      <c r="I7170" t="n">
        <v>3.1</v>
      </c>
      <c r="J7170" t="n">
        <v>0</v>
      </c>
      <c r="K7170" t="n">
        <v>0</v>
      </c>
      <c r="L7170" t="n">
        <v>0</v>
      </c>
      <c r="M7170" t="n">
        <v>0</v>
      </c>
      <c r="N7170" t="n">
        <v>0</v>
      </c>
      <c r="O7170" t="n">
        <v>0</v>
      </c>
      <c r="P7170" t="n">
        <v>0</v>
      </c>
      <c r="Q7170" t="n">
        <v>0</v>
      </c>
      <c r="R7170" t="n">
        <v>0</v>
      </c>
      <c r="S7170" t="n">
        <v>0</v>
      </c>
      <c r="T7170" t="n">
        <v>0</v>
      </c>
      <c r="U7170" t="n">
        <v>0</v>
      </c>
      <c r="V7170" s="2" t="inlineStr"/>
    </row>
    <row r="7171" ht="15" customHeight="1">
      <c r="A7171" t="inlineStr">
        <is>
          <t>A 5886-2023</t>
        </is>
      </c>
      <c r="B7171" t="inlineStr">
        <is>
          <t>avverkningsanmälan</t>
        </is>
      </c>
      <c r="C7171" t="inlineStr">
        <is>
          <t>Föryngringsavverkning</t>
        </is>
      </c>
      <c r="D7171" s="1" t="n">
        <v>44963</v>
      </c>
      <c r="E7171" s="1" t="n">
        <v>46326</v>
      </c>
      <c r="F7171" t="inlineStr">
        <is>
          <t>GÄVLEBORGS LÄN</t>
        </is>
      </c>
      <c r="G7171" t="inlineStr">
        <is>
          <t>SÖDERHAMN</t>
        </is>
      </c>
      <c r="I7171" t="n">
        <v>1</v>
      </c>
      <c r="J7171" t="n">
        <v>0</v>
      </c>
      <c r="K7171" t="n">
        <v>0</v>
      </c>
      <c r="L7171" t="n">
        <v>0</v>
      </c>
      <c r="M7171" t="n">
        <v>0</v>
      </c>
      <c r="N7171" t="n">
        <v>0</v>
      </c>
      <c r="O7171" t="n">
        <v>0</v>
      </c>
      <c r="P7171" t="n">
        <v>0</v>
      </c>
      <c r="Q7171" t="n">
        <v>0</v>
      </c>
      <c r="R7171" t="n">
        <v>0</v>
      </c>
      <c r="S7171" t="n">
        <v>0</v>
      </c>
      <c r="T7171" t="n">
        <v>0</v>
      </c>
      <c r="U7171" t="n">
        <v>0</v>
      </c>
      <c r="V7171" s="2" t="inlineStr"/>
    </row>
    <row r="7172" ht="15" customHeight="1">
      <c r="A7172" t="inlineStr">
        <is>
          <t>A 4458-2026</t>
        </is>
      </c>
      <c r="B7172" t="inlineStr">
        <is>
          <t>avverkningsanmälan</t>
        </is>
      </c>
      <c r="C7172" t="inlineStr">
        <is>
          <t>Föryngringsavverkning</t>
        </is>
      </c>
      <c r="D7172" s="1" t="n">
        <v>46045</v>
      </c>
      <c r="E7172" s="1" t="n">
        <v>46326</v>
      </c>
      <c r="F7172" t="inlineStr">
        <is>
          <t>GÄVLEBORGS LÄN</t>
        </is>
      </c>
      <c r="G7172" t="inlineStr">
        <is>
          <t>BOLLNÄS</t>
        </is>
      </c>
      <c r="I7172" t="n">
        <v>4.6</v>
      </c>
      <c r="J7172" t="n">
        <v>0</v>
      </c>
      <c r="K7172" t="n">
        <v>0</v>
      </c>
      <c r="L7172" t="n">
        <v>0</v>
      </c>
      <c r="M7172" t="n">
        <v>0</v>
      </c>
      <c r="N7172" t="n">
        <v>0</v>
      </c>
      <c r="O7172" t="n">
        <v>0</v>
      </c>
      <c r="P7172" t="n">
        <v>0</v>
      </c>
      <c r="Q7172" t="n">
        <v>0</v>
      </c>
      <c r="R7172" t="n">
        <v>0</v>
      </c>
      <c r="S7172" t="n">
        <v>0</v>
      </c>
      <c r="T7172" t="n">
        <v>0</v>
      </c>
      <c r="U7172" t="n">
        <v>0</v>
      </c>
      <c r="V7172" s="2" t="inlineStr"/>
    </row>
    <row r="7173" ht="15" customHeight="1">
      <c r="A7173" t="inlineStr">
        <is>
          <t>A 10394-2026</t>
        </is>
      </c>
      <c r="B7173" t="inlineStr">
        <is>
          <t>avverkningsanmälan</t>
        </is>
      </c>
      <c r="C7173" t="inlineStr">
        <is>
          <t>Föryngringsavverkning</t>
        </is>
      </c>
      <c r="D7173" s="1" t="n">
        <v>46077</v>
      </c>
      <c r="E7173" s="1" t="n">
        <v>46326</v>
      </c>
      <c r="F7173" t="inlineStr">
        <is>
          <t>GÄVLEBORGS LÄN</t>
        </is>
      </c>
      <c r="G7173" t="inlineStr">
        <is>
          <t>BOLLNÄS</t>
        </is>
      </c>
      <c r="I7173" t="n">
        <v>2.8</v>
      </c>
      <c r="J7173" t="n">
        <v>0</v>
      </c>
      <c r="K7173" t="n">
        <v>0</v>
      </c>
      <c r="L7173" t="n">
        <v>0</v>
      </c>
      <c r="M7173" t="n">
        <v>0</v>
      </c>
      <c r="N7173" t="n">
        <v>0</v>
      </c>
      <c r="O7173" t="n">
        <v>0</v>
      </c>
      <c r="P7173" t="n">
        <v>0</v>
      </c>
      <c r="Q7173" t="n">
        <v>0</v>
      </c>
      <c r="R7173" t="n">
        <v>0</v>
      </c>
      <c r="S7173" t="n">
        <v>0</v>
      </c>
      <c r="T7173" t="n">
        <v>0</v>
      </c>
      <c r="U7173" t="n">
        <v>0</v>
      </c>
      <c r="V7173" s="2" t="inlineStr"/>
    </row>
    <row r="7174" ht="15" customHeight="1">
      <c r="A7174" t="inlineStr">
        <is>
          <t>A 15647-2026</t>
        </is>
      </c>
      <c r="B7174" t="inlineStr">
        <is>
          <t>avverkningsanmälan</t>
        </is>
      </c>
      <c r="C7174" t="inlineStr">
        <is>
          <t>Föryngringsavverkning</t>
        </is>
      </c>
      <c r="D7174" s="1" t="n">
        <v>46106</v>
      </c>
      <c r="E7174" s="1" t="n">
        <v>46326</v>
      </c>
      <c r="F7174" t="inlineStr">
        <is>
          <t>GÄVLEBORGS LÄN</t>
        </is>
      </c>
      <c r="G7174" t="inlineStr">
        <is>
          <t>GÄVLE</t>
        </is>
      </c>
      <c r="H7174" t="inlineStr">
        <is>
          <t>Bergvik skog öst AB</t>
        </is>
      </c>
      <c r="I7174" t="n">
        <v>2.6</v>
      </c>
      <c r="J7174" t="n">
        <v>0</v>
      </c>
      <c r="K7174" t="n">
        <v>0</v>
      </c>
      <c r="L7174" t="n">
        <v>0</v>
      </c>
      <c r="M7174" t="n">
        <v>0</v>
      </c>
      <c r="N7174" t="n">
        <v>0</v>
      </c>
      <c r="O7174" t="n">
        <v>0</v>
      </c>
      <c r="P7174" t="n">
        <v>0</v>
      </c>
      <c r="Q7174" t="n">
        <v>0</v>
      </c>
      <c r="R7174" t="n">
        <v>0</v>
      </c>
      <c r="S7174" t="n">
        <v>0</v>
      </c>
      <c r="T7174" t="n">
        <v>0</v>
      </c>
      <c r="U7174" t="n">
        <v>0</v>
      </c>
      <c r="V7174" s="2" t="inlineStr"/>
    </row>
    <row r="7175" ht="15" customHeight="1">
      <c r="A7175" t="inlineStr">
        <is>
          <t>A 30418-2023</t>
        </is>
      </c>
      <c r="B7175" t="inlineStr">
        <is>
          <t>avverkningsanmälan</t>
        </is>
      </c>
      <c r="C7175" t="inlineStr">
        <is>
          <t>Föryngringsavverkning</t>
        </is>
      </c>
      <c r="D7175" s="1" t="n">
        <v>45111</v>
      </c>
      <c r="E7175" s="1" t="n">
        <v>46326</v>
      </c>
      <c r="F7175" t="inlineStr">
        <is>
          <t>GÄVLEBORGS LÄN</t>
        </is>
      </c>
      <c r="G7175" t="inlineStr">
        <is>
          <t>OCKELBO</t>
        </is>
      </c>
      <c r="I7175" t="n">
        <v>2.6</v>
      </c>
      <c r="J7175" t="n">
        <v>0</v>
      </c>
      <c r="K7175" t="n">
        <v>0</v>
      </c>
      <c r="L7175" t="n">
        <v>0</v>
      </c>
      <c r="M7175" t="n">
        <v>0</v>
      </c>
      <c r="N7175" t="n">
        <v>0</v>
      </c>
      <c r="O7175" t="n">
        <v>0</v>
      </c>
      <c r="P7175" t="n">
        <v>0</v>
      </c>
      <c r="Q7175" t="n">
        <v>0</v>
      </c>
      <c r="R7175" t="n">
        <v>0</v>
      </c>
      <c r="S7175" t="n">
        <v>0</v>
      </c>
      <c r="T7175" t="n">
        <v>0</v>
      </c>
      <c r="U7175" t="n">
        <v>0</v>
      </c>
      <c r="V7175" s="2" t="inlineStr"/>
    </row>
    <row r="7176" ht="15" customHeight="1">
      <c r="A7176" t="inlineStr">
        <is>
          <t>A 30422-2023</t>
        </is>
      </c>
      <c r="B7176" t="inlineStr">
        <is>
          <t>avverkningsanmälan</t>
        </is>
      </c>
      <c r="C7176" t="inlineStr">
        <is>
          <t>Föryngringsavverkning</t>
        </is>
      </c>
      <c r="D7176" s="1" t="n">
        <v>45111</v>
      </c>
      <c r="E7176" s="1" t="n">
        <v>46326</v>
      </c>
      <c r="F7176" t="inlineStr">
        <is>
          <t>GÄVLEBORGS LÄN</t>
        </is>
      </c>
      <c r="G7176" t="inlineStr">
        <is>
          <t>OCKELBO</t>
        </is>
      </c>
      <c r="I7176" t="n">
        <v>2.1</v>
      </c>
      <c r="J7176" t="n">
        <v>0</v>
      </c>
      <c r="K7176" t="n">
        <v>0</v>
      </c>
      <c r="L7176" t="n">
        <v>0</v>
      </c>
      <c r="M7176" t="n">
        <v>0</v>
      </c>
      <c r="N7176" t="n">
        <v>0</v>
      </c>
      <c r="O7176" t="n">
        <v>0</v>
      </c>
      <c r="P7176" t="n">
        <v>0</v>
      </c>
      <c r="Q7176" t="n">
        <v>0</v>
      </c>
      <c r="R7176" t="n">
        <v>0</v>
      </c>
      <c r="S7176" t="n">
        <v>0</v>
      </c>
      <c r="T7176" t="n">
        <v>0</v>
      </c>
      <c r="U7176" t="n">
        <v>0</v>
      </c>
      <c r="V7176" s="2" t="inlineStr"/>
    </row>
    <row r="7177" ht="15" customHeight="1">
      <c r="A7177" t="inlineStr">
        <is>
          <t>A 13661-2026</t>
        </is>
      </c>
      <c r="B7177" t="inlineStr">
        <is>
          <t>avverkningsanmälan</t>
        </is>
      </c>
      <c r="C7177" t="inlineStr">
        <is>
          <t>Föryngringsavverkning</t>
        </is>
      </c>
      <c r="D7177" s="1" t="n">
        <v>46097</v>
      </c>
      <c r="E7177" s="1" t="n">
        <v>46326</v>
      </c>
      <c r="F7177" t="inlineStr">
        <is>
          <t>GÄVLEBORGS LÄN</t>
        </is>
      </c>
      <c r="G7177" t="inlineStr">
        <is>
          <t>SÖDERHAMN</t>
        </is>
      </c>
      <c r="I7177" t="n">
        <v>14.2</v>
      </c>
      <c r="J7177" t="n">
        <v>0</v>
      </c>
      <c r="K7177" t="n">
        <v>0</v>
      </c>
      <c r="L7177" t="n">
        <v>0</v>
      </c>
      <c r="M7177" t="n">
        <v>0</v>
      </c>
      <c r="N7177" t="n">
        <v>0</v>
      </c>
      <c r="O7177" t="n">
        <v>0</v>
      </c>
      <c r="P7177" t="n">
        <v>0</v>
      </c>
      <c r="Q7177" t="n">
        <v>0</v>
      </c>
      <c r="R7177" t="n">
        <v>0</v>
      </c>
      <c r="S7177" t="n">
        <v>0</v>
      </c>
      <c r="T7177" t="n">
        <v>0</v>
      </c>
      <c r="U7177" t="n">
        <v>0</v>
      </c>
      <c r="V7177" s="2" t="inlineStr"/>
    </row>
    <row r="7178" ht="15" customHeight="1">
      <c r="A7178" t="inlineStr">
        <is>
          <t>A 3105-2026</t>
        </is>
      </c>
      <c r="B7178" t="inlineStr">
        <is>
          <t>avverkningsanmälan</t>
        </is>
      </c>
      <c r="C7178" t="inlineStr">
        <is>
          <t>Föryngringsavverkning</t>
        </is>
      </c>
      <c r="D7178" s="1" t="n">
        <v>46041</v>
      </c>
      <c r="E7178" s="1" t="n">
        <v>46326</v>
      </c>
      <c r="F7178" t="inlineStr">
        <is>
          <t>GÄVLEBORGS LÄN</t>
        </is>
      </c>
      <c r="G7178" t="inlineStr">
        <is>
          <t>BOLLNÄS</t>
        </is>
      </c>
      <c r="I7178" t="n">
        <v>2.2</v>
      </c>
      <c r="J7178" t="n">
        <v>0</v>
      </c>
      <c r="K7178" t="n">
        <v>0</v>
      </c>
      <c r="L7178" t="n">
        <v>0</v>
      </c>
      <c r="M7178" t="n">
        <v>0</v>
      </c>
      <c r="N7178" t="n">
        <v>0</v>
      </c>
      <c r="O7178" t="n">
        <v>0</v>
      </c>
      <c r="P7178" t="n">
        <v>0</v>
      </c>
      <c r="Q7178" t="n">
        <v>0</v>
      </c>
      <c r="R7178" t="n">
        <v>0</v>
      </c>
      <c r="S7178" t="n">
        <v>0</v>
      </c>
      <c r="T7178" t="n">
        <v>0</v>
      </c>
      <c r="U7178" t="n">
        <v>0</v>
      </c>
      <c r="V7178" s="2" t="inlineStr"/>
    </row>
    <row r="7179" ht="15" customHeight="1">
      <c r="A7179" t="inlineStr">
        <is>
          <t>A 292-2026</t>
        </is>
      </c>
      <c r="B7179" t="inlineStr">
        <is>
          <t>avverkningsanmälan</t>
        </is>
      </c>
      <c r="C7179" t="inlineStr">
        <is>
          <t>Föryngringsavverkning</t>
        </is>
      </c>
      <c r="D7179" s="1" t="n">
        <v>46027</v>
      </c>
      <c r="E7179" s="1" t="n">
        <v>46326</v>
      </c>
      <c r="F7179" t="inlineStr">
        <is>
          <t>GÄVLEBORGS LÄN</t>
        </is>
      </c>
      <c r="G7179" t="inlineStr">
        <is>
          <t>OCKELBO</t>
        </is>
      </c>
      <c r="H7179" t="inlineStr">
        <is>
          <t>Bergvik skog väst AB</t>
        </is>
      </c>
      <c r="I7179" t="n">
        <v>6.6</v>
      </c>
      <c r="J7179" t="n">
        <v>0</v>
      </c>
      <c r="K7179" t="n">
        <v>0</v>
      </c>
      <c r="L7179" t="n">
        <v>0</v>
      </c>
      <c r="M7179" t="n">
        <v>0</v>
      </c>
      <c r="N7179" t="n">
        <v>0</v>
      </c>
      <c r="O7179" t="n">
        <v>0</v>
      </c>
      <c r="P7179" t="n">
        <v>0</v>
      </c>
      <c r="Q7179" t="n">
        <v>0</v>
      </c>
      <c r="R7179" t="n">
        <v>0</v>
      </c>
      <c r="S7179" t="n">
        <v>0</v>
      </c>
      <c r="T7179" t="n">
        <v>0</v>
      </c>
      <c r="U7179" t="n">
        <v>0</v>
      </c>
      <c r="V7179" s="2" t="inlineStr"/>
    </row>
    <row r="7180" ht="15" customHeight="1">
      <c r="A7180" t="inlineStr">
        <is>
          <t>A 38514-2025</t>
        </is>
      </c>
      <c r="B7180" t="inlineStr">
        <is>
          <t>avverkningsanmälan</t>
        </is>
      </c>
      <c r="C7180" t="inlineStr">
        <is>
          <t>Föryngringsavverkning</t>
        </is>
      </c>
      <c r="D7180" s="1" t="n">
        <v>45884</v>
      </c>
      <c r="E7180" s="1" t="n">
        <v>46326</v>
      </c>
      <c r="F7180" t="inlineStr">
        <is>
          <t>GÄVLEBORGS LÄN</t>
        </is>
      </c>
      <c r="G7180" t="inlineStr">
        <is>
          <t>NORDANSTIG</t>
        </is>
      </c>
      <c r="H7180" t="inlineStr">
        <is>
          <t>Holmen skog AB</t>
        </is>
      </c>
      <c r="I7180" t="n">
        <v>1.7</v>
      </c>
      <c r="J7180" t="n">
        <v>0</v>
      </c>
      <c r="K7180" t="n">
        <v>0</v>
      </c>
      <c r="L7180" t="n">
        <v>0</v>
      </c>
      <c r="M7180" t="n">
        <v>0</v>
      </c>
      <c r="N7180" t="n">
        <v>0</v>
      </c>
      <c r="O7180" t="n">
        <v>0</v>
      </c>
      <c r="P7180" t="n">
        <v>0</v>
      </c>
      <c r="Q7180" t="n">
        <v>0</v>
      </c>
      <c r="R7180" t="n">
        <v>0</v>
      </c>
      <c r="S7180" t="n">
        <v>0</v>
      </c>
      <c r="T7180" t="n">
        <v>0</v>
      </c>
      <c r="U7180" t="n">
        <v>0</v>
      </c>
      <c r="V7180" s="2" t="inlineStr"/>
    </row>
    <row r="7181" ht="15" customHeight="1">
      <c r="A7181" t="inlineStr">
        <is>
          <t>A 6409-2026</t>
        </is>
      </c>
      <c r="B7181" t="inlineStr">
        <is>
          <t>avverkningsanmälan</t>
        </is>
      </c>
      <c r="C7181" t="inlineStr">
        <is>
          <t>Föryngringsavverkning</t>
        </is>
      </c>
      <c r="D7181" s="1" t="n">
        <v>46055</v>
      </c>
      <c r="E7181" s="1" t="n">
        <v>46326</v>
      </c>
      <c r="F7181" t="inlineStr">
        <is>
          <t>GÄVLEBORGS LÄN</t>
        </is>
      </c>
      <c r="G7181" t="inlineStr">
        <is>
          <t>NORDANSTIG</t>
        </is>
      </c>
      <c r="I7181" t="n">
        <v>2.2</v>
      </c>
      <c r="J7181" t="n">
        <v>0</v>
      </c>
      <c r="K7181" t="n">
        <v>0</v>
      </c>
      <c r="L7181" t="n">
        <v>0</v>
      </c>
      <c r="M7181" t="n">
        <v>0</v>
      </c>
      <c r="N7181" t="n">
        <v>0</v>
      </c>
      <c r="O7181" t="n">
        <v>0</v>
      </c>
      <c r="P7181" t="n">
        <v>0</v>
      </c>
      <c r="Q7181" t="n">
        <v>0</v>
      </c>
      <c r="R7181" t="n">
        <v>0</v>
      </c>
      <c r="S7181" t="n">
        <v>0</v>
      </c>
      <c r="T7181" t="n">
        <v>0</v>
      </c>
      <c r="U7181" t="n">
        <v>0</v>
      </c>
      <c r="V7181" s="2" t="inlineStr"/>
    </row>
    <row r="7182" ht="15" customHeight="1">
      <c r="A7182" t="inlineStr">
        <is>
          <t>A 6428-2026</t>
        </is>
      </c>
      <c r="B7182" t="inlineStr">
        <is>
          <t>avverkningsanmälan</t>
        </is>
      </c>
      <c r="C7182" t="inlineStr">
        <is>
          <t>Föryngringsavverkning</t>
        </is>
      </c>
      <c r="D7182" s="1" t="n">
        <v>46055</v>
      </c>
      <c r="E7182" s="1" t="n">
        <v>46326</v>
      </c>
      <c r="F7182" t="inlineStr">
        <is>
          <t>GÄVLEBORGS LÄN</t>
        </is>
      </c>
      <c r="G7182" t="inlineStr">
        <is>
          <t>SANDVIKEN</t>
        </is>
      </c>
      <c r="I7182" t="n">
        <v>1.7</v>
      </c>
      <c r="J7182" t="n">
        <v>0</v>
      </c>
      <c r="K7182" t="n">
        <v>0</v>
      </c>
      <c r="L7182" t="n">
        <v>0</v>
      </c>
      <c r="M7182" t="n">
        <v>0</v>
      </c>
      <c r="N7182" t="n">
        <v>0</v>
      </c>
      <c r="O7182" t="n">
        <v>0</v>
      </c>
      <c r="P7182" t="n">
        <v>0</v>
      </c>
      <c r="Q7182" t="n">
        <v>0</v>
      </c>
      <c r="R7182" t="n">
        <v>0</v>
      </c>
      <c r="S7182" t="n">
        <v>0</v>
      </c>
      <c r="T7182" t="n">
        <v>0</v>
      </c>
      <c r="U7182" t="n">
        <v>0</v>
      </c>
      <c r="V7182" s="2" t="inlineStr"/>
    </row>
    <row r="7183" ht="15" customHeight="1">
      <c r="A7183" t="inlineStr">
        <is>
          <t>A 6476-2026</t>
        </is>
      </c>
      <c r="B7183" t="inlineStr">
        <is>
          <t>avverkningsanmälan</t>
        </is>
      </c>
      <c r="C7183" t="inlineStr">
        <is>
          <t>Föryngringsavverkning</t>
        </is>
      </c>
      <c r="D7183" s="1" t="n">
        <v>46056</v>
      </c>
      <c r="E7183" s="1" t="n">
        <v>46326</v>
      </c>
      <c r="F7183" t="inlineStr">
        <is>
          <t>GÄVLEBORGS LÄN</t>
        </is>
      </c>
      <c r="G7183" t="inlineStr">
        <is>
          <t>BOLLNÄS</t>
        </is>
      </c>
      <c r="I7183" t="n">
        <v>5.3</v>
      </c>
      <c r="J7183" t="n">
        <v>0</v>
      </c>
      <c r="K7183" t="n">
        <v>0</v>
      </c>
      <c r="L7183" t="n">
        <v>0</v>
      </c>
      <c r="M7183" t="n">
        <v>0</v>
      </c>
      <c r="N7183" t="n">
        <v>0</v>
      </c>
      <c r="O7183" t="n">
        <v>0</v>
      </c>
      <c r="P7183" t="n">
        <v>0</v>
      </c>
      <c r="Q7183" t="n">
        <v>0</v>
      </c>
      <c r="R7183" t="n">
        <v>0</v>
      </c>
      <c r="S7183" t="n">
        <v>0</v>
      </c>
      <c r="T7183" t="n">
        <v>0</v>
      </c>
      <c r="U7183" t="n">
        <v>0</v>
      </c>
      <c r="V7183" s="2" t="inlineStr"/>
    </row>
    <row r="7184" ht="15" customHeight="1">
      <c r="A7184" t="inlineStr">
        <is>
          <t>A 6491-2026</t>
        </is>
      </c>
      <c r="B7184" t="inlineStr">
        <is>
          <t>avverkningsanmälan</t>
        </is>
      </c>
      <c r="C7184" t="inlineStr">
        <is>
          <t>Föryngringsavverkning</t>
        </is>
      </c>
      <c r="D7184" s="1" t="n">
        <v>46056</v>
      </c>
      <c r="E7184" s="1" t="n">
        <v>46326</v>
      </c>
      <c r="F7184" t="inlineStr">
        <is>
          <t>GÄVLEBORGS LÄN</t>
        </is>
      </c>
      <c r="G7184" t="inlineStr">
        <is>
          <t>BOLLNÄS</t>
        </is>
      </c>
      <c r="I7184" t="n">
        <v>2.1</v>
      </c>
      <c r="J7184" t="n">
        <v>0</v>
      </c>
      <c r="K7184" t="n">
        <v>0</v>
      </c>
      <c r="L7184" t="n">
        <v>0</v>
      </c>
      <c r="M7184" t="n">
        <v>0</v>
      </c>
      <c r="N7184" t="n">
        <v>0</v>
      </c>
      <c r="O7184" t="n">
        <v>0</v>
      </c>
      <c r="P7184" t="n">
        <v>0</v>
      </c>
      <c r="Q7184" t="n">
        <v>0</v>
      </c>
      <c r="R7184" t="n">
        <v>0</v>
      </c>
      <c r="S7184" t="n">
        <v>0</v>
      </c>
      <c r="T7184" t="n">
        <v>0</v>
      </c>
      <c r="U7184" t="n">
        <v>0</v>
      </c>
      <c r="V7184" s="2" t="inlineStr"/>
    </row>
    <row r="7185" ht="15" customHeight="1">
      <c r="A7185" t="inlineStr">
        <is>
          <t>A 4163-2026</t>
        </is>
      </c>
      <c r="B7185" t="inlineStr">
        <is>
          <t>avverkningsanmälan</t>
        </is>
      </c>
      <c r="C7185" t="inlineStr">
        <is>
          <t>Föryngringsavverkning</t>
        </is>
      </c>
      <c r="D7185" s="1" t="n">
        <v>46044</v>
      </c>
      <c r="E7185" s="1" t="n">
        <v>46326</v>
      </c>
      <c r="F7185" t="inlineStr">
        <is>
          <t>GÄVLEBORGS LÄN</t>
        </is>
      </c>
      <c r="G7185" t="inlineStr">
        <is>
          <t>OVANÅKER</t>
        </is>
      </c>
      <c r="I7185" t="n">
        <v>5.5</v>
      </c>
      <c r="J7185" t="n">
        <v>0</v>
      </c>
      <c r="K7185" t="n">
        <v>0</v>
      </c>
      <c r="L7185" t="n">
        <v>0</v>
      </c>
      <c r="M7185" t="n">
        <v>0</v>
      </c>
      <c r="N7185" t="n">
        <v>0</v>
      </c>
      <c r="O7185" t="n">
        <v>0</v>
      </c>
      <c r="P7185" t="n">
        <v>0</v>
      </c>
      <c r="Q7185" t="n">
        <v>0</v>
      </c>
      <c r="R7185" t="n">
        <v>0</v>
      </c>
      <c r="S7185" t="n">
        <v>0</v>
      </c>
      <c r="T7185" t="n">
        <v>0</v>
      </c>
      <c r="U7185" t="n">
        <v>0</v>
      </c>
      <c r="V7185" s="2" t="inlineStr"/>
    </row>
    <row r="7186" ht="15" customHeight="1">
      <c r="A7186" t="inlineStr">
        <is>
          <t>A 4960-2026</t>
        </is>
      </c>
      <c r="B7186" t="inlineStr">
        <is>
          <t>avverkningsanmälan</t>
        </is>
      </c>
      <c r="C7186" t="inlineStr">
        <is>
          <t>Föryngringsavverkning</t>
        </is>
      </c>
      <c r="D7186" s="1" t="n">
        <v>46049</v>
      </c>
      <c r="E7186" s="1" t="n">
        <v>46326</v>
      </c>
      <c r="F7186" t="inlineStr">
        <is>
          <t>GÄVLEBORGS LÄN</t>
        </is>
      </c>
      <c r="G7186" t="inlineStr">
        <is>
          <t>BOLLNÄS</t>
        </is>
      </c>
      <c r="I7186" t="n">
        <v>4.6</v>
      </c>
      <c r="J7186" t="n">
        <v>0</v>
      </c>
      <c r="K7186" t="n">
        <v>0</v>
      </c>
      <c r="L7186" t="n">
        <v>0</v>
      </c>
      <c r="M7186" t="n">
        <v>0</v>
      </c>
      <c r="N7186" t="n">
        <v>0</v>
      </c>
      <c r="O7186" t="n">
        <v>0</v>
      </c>
      <c r="P7186" t="n">
        <v>0</v>
      </c>
      <c r="Q7186" t="n">
        <v>0</v>
      </c>
      <c r="R7186" t="n">
        <v>0</v>
      </c>
      <c r="S7186" t="n">
        <v>0</v>
      </c>
      <c r="T7186" t="n">
        <v>0</v>
      </c>
      <c r="U7186" t="n">
        <v>0</v>
      </c>
      <c r="V7186" s="2" t="inlineStr"/>
    </row>
    <row r="7187" ht="15" customHeight="1">
      <c r="A7187" t="inlineStr">
        <is>
          <t>A 64033-2025</t>
        </is>
      </c>
      <c r="B7187" t="inlineStr">
        <is>
          <t>avverkningsanmälan</t>
        </is>
      </c>
      <c r="C7187" t="inlineStr">
        <is>
          <t>Föryngringsavverkning</t>
        </is>
      </c>
      <c r="D7187" s="1" t="n">
        <v>46021</v>
      </c>
      <c r="E7187" s="1" t="n">
        <v>46326</v>
      </c>
      <c r="F7187" t="inlineStr">
        <is>
          <t>GÄVLEBORGS LÄN</t>
        </is>
      </c>
      <c r="G7187" t="inlineStr">
        <is>
          <t>NORDANSTIG</t>
        </is>
      </c>
      <c r="I7187" t="n">
        <v>1.2</v>
      </c>
      <c r="J7187" t="n">
        <v>0</v>
      </c>
      <c r="K7187" t="n">
        <v>0</v>
      </c>
      <c r="L7187" t="n">
        <v>0</v>
      </c>
      <c r="M7187" t="n">
        <v>0</v>
      </c>
      <c r="N7187" t="n">
        <v>0</v>
      </c>
      <c r="O7187" t="n">
        <v>0</v>
      </c>
      <c r="P7187" t="n">
        <v>0</v>
      </c>
      <c r="Q7187" t="n">
        <v>0</v>
      </c>
      <c r="R7187" t="n">
        <v>0</v>
      </c>
      <c r="S7187" t="n">
        <v>0</v>
      </c>
      <c r="T7187" t="n">
        <v>0</v>
      </c>
      <c r="U7187" t="n">
        <v>0</v>
      </c>
      <c r="V7187" s="2" t="inlineStr"/>
    </row>
    <row r="7188" ht="15" customHeight="1">
      <c r="A7188" t="inlineStr">
        <is>
          <t>A 6561-2026</t>
        </is>
      </c>
      <c r="B7188" t="inlineStr">
        <is>
          <t>avverkningsanmälan</t>
        </is>
      </c>
      <c r="C7188" t="inlineStr">
        <is>
          <t>Föryngringsavverkning</t>
        </is>
      </c>
      <c r="D7188" s="1" t="n">
        <v>46056</v>
      </c>
      <c r="E7188" s="1" t="n">
        <v>46326</v>
      </c>
      <c r="F7188" t="inlineStr">
        <is>
          <t>GÄVLEBORGS LÄN</t>
        </is>
      </c>
      <c r="G7188" t="inlineStr">
        <is>
          <t>OCKELBO</t>
        </is>
      </c>
      <c r="H7188" t="inlineStr">
        <is>
          <t>Bergvik skog väst AB</t>
        </is>
      </c>
      <c r="I7188" t="n">
        <v>2.8</v>
      </c>
      <c r="J7188" t="n">
        <v>0</v>
      </c>
      <c r="K7188" t="n">
        <v>0</v>
      </c>
      <c r="L7188" t="n">
        <v>0</v>
      </c>
      <c r="M7188" t="n">
        <v>0</v>
      </c>
      <c r="N7188" t="n">
        <v>0</v>
      </c>
      <c r="O7188" t="n">
        <v>0</v>
      </c>
      <c r="P7188" t="n">
        <v>0</v>
      </c>
      <c r="Q7188" t="n">
        <v>0</v>
      </c>
      <c r="R7188" t="n">
        <v>0</v>
      </c>
      <c r="S7188" t="n">
        <v>0</v>
      </c>
      <c r="T7188" t="n">
        <v>0</v>
      </c>
      <c r="U7188" t="n">
        <v>0</v>
      </c>
      <c r="V7188" s="2" t="inlineStr"/>
    </row>
    <row r="7189" ht="15" customHeight="1">
      <c r="A7189" t="inlineStr">
        <is>
          <t>A 4737-2026</t>
        </is>
      </c>
      <c r="B7189" t="inlineStr">
        <is>
          <t>avverkningsanmälan</t>
        </is>
      </c>
      <c r="C7189" t="inlineStr">
        <is>
          <t>Föryngringsavverkning</t>
        </is>
      </c>
      <c r="D7189" s="1" t="n">
        <v>46048</v>
      </c>
      <c r="E7189" s="1" t="n">
        <v>46326</v>
      </c>
      <c r="F7189" t="inlineStr">
        <is>
          <t>GÄVLEBORGS LÄN</t>
        </is>
      </c>
      <c r="G7189" t="inlineStr">
        <is>
          <t>BOLLNÄS</t>
        </is>
      </c>
      <c r="I7189" t="n">
        <v>18.3</v>
      </c>
      <c r="J7189" t="n">
        <v>0</v>
      </c>
      <c r="K7189" t="n">
        <v>0</v>
      </c>
      <c r="L7189" t="n">
        <v>0</v>
      </c>
      <c r="M7189" t="n">
        <v>0</v>
      </c>
      <c r="N7189" t="n">
        <v>0</v>
      </c>
      <c r="O7189" t="n">
        <v>0</v>
      </c>
      <c r="P7189" t="n">
        <v>0</v>
      </c>
      <c r="Q7189" t="n">
        <v>0</v>
      </c>
      <c r="R7189" t="n">
        <v>0</v>
      </c>
      <c r="S7189" t="n">
        <v>0</v>
      </c>
      <c r="T7189" t="n">
        <v>0</v>
      </c>
      <c r="U7189" t="n">
        <v>0</v>
      </c>
      <c r="V7189" s="2" t="inlineStr"/>
    </row>
    <row r="7190" ht="15" customHeight="1">
      <c r="A7190" t="inlineStr">
        <is>
          <t>A 5463-2026</t>
        </is>
      </c>
      <c r="B7190" t="inlineStr">
        <is>
          <t>avverkningsanmälan</t>
        </is>
      </c>
      <c r="C7190" t="inlineStr">
        <is>
          <t>Föryngringsavverkning</t>
        </is>
      </c>
      <c r="D7190" s="1" t="n">
        <v>46050</v>
      </c>
      <c r="E7190" s="1" t="n">
        <v>46326</v>
      </c>
      <c r="F7190" t="inlineStr">
        <is>
          <t>GÄVLEBORGS LÄN</t>
        </is>
      </c>
      <c r="G7190" t="inlineStr">
        <is>
          <t>OVANÅKER</t>
        </is>
      </c>
      <c r="I7190" t="n">
        <v>12.4</v>
      </c>
      <c r="J7190" t="n">
        <v>0</v>
      </c>
      <c r="K7190" t="n">
        <v>0</v>
      </c>
      <c r="L7190" t="n">
        <v>0</v>
      </c>
      <c r="M7190" t="n">
        <v>0</v>
      </c>
      <c r="N7190" t="n">
        <v>0</v>
      </c>
      <c r="O7190" t="n">
        <v>0</v>
      </c>
      <c r="P7190" t="n">
        <v>0</v>
      </c>
      <c r="Q7190" t="n">
        <v>0</v>
      </c>
      <c r="R7190" t="n">
        <v>0</v>
      </c>
      <c r="S7190" t="n">
        <v>0</v>
      </c>
      <c r="T7190" t="n">
        <v>0</v>
      </c>
      <c r="U7190" t="n">
        <v>0</v>
      </c>
      <c r="V7190" s="2" t="inlineStr"/>
    </row>
    <row r="7191" ht="15" customHeight="1">
      <c r="A7191" t="inlineStr">
        <is>
          <t>A 12945-2026</t>
        </is>
      </c>
      <c r="B7191" t="inlineStr">
        <is>
          <t>avverkningsanmälan</t>
        </is>
      </c>
      <c r="C7191" t="inlineStr">
        <is>
          <t>Föryngringsavverkning</t>
        </is>
      </c>
      <c r="D7191" s="1" t="n">
        <v>46092</v>
      </c>
      <c r="E7191" s="1" t="n">
        <v>46326</v>
      </c>
      <c r="F7191" t="inlineStr">
        <is>
          <t>GÄVLEBORGS LÄN</t>
        </is>
      </c>
      <c r="G7191" t="inlineStr">
        <is>
          <t>BOLLNÄS</t>
        </is>
      </c>
      <c r="H7191" t="inlineStr">
        <is>
          <t>Sveaskog</t>
        </is>
      </c>
      <c r="I7191" t="n">
        <v>2.1</v>
      </c>
      <c r="J7191" t="n">
        <v>0</v>
      </c>
      <c r="K7191" t="n">
        <v>0</v>
      </c>
      <c r="L7191" t="n">
        <v>0</v>
      </c>
      <c r="M7191" t="n">
        <v>0</v>
      </c>
      <c r="N7191" t="n">
        <v>0</v>
      </c>
      <c r="O7191" t="n">
        <v>0</v>
      </c>
      <c r="P7191" t="n">
        <v>0</v>
      </c>
      <c r="Q7191" t="n">
        <v>0</v>
      </c>
      <c r="R7191" t="n">
        <v>0</v>
      </c>
      <c r="S7191" t="n">
        <v>0</v>
      </c>
      <c r="T7191" t="n">
        <v>0</v>
      </c>
      <c r="U7191" t="n">
        <v>0</v>
      </c>
      <c r="V7191" s="2" t="inlineStr"/>
    </row>
    <row r="7192" ht="15" customHeight="1">
      <c r="A7192" t="inlineStr">
        <is>
          <t>A 20620-2026</t>
        </is>
      </c>
      <c r="B7192" t="inlineStr">
        <is>
          <t>avverkningsanmälan</t>
        </is>
      </c>
      <c r="C7192" t="inlineStr">
        <is>
          <t>Föryngringsavverkning</t>
        </is>
      </c>
      <c r="D7192" s="1" t="n">
        <v>46141</v>
      </c>
      <c r="E7192" s="1" t="n">
        <v>46326</v>
      </c>
      <c r="F7192" t="inlineStr">
        <is>
          <t>GÄVLEBORGS LÄN</t>
        </is>
      </c>
      <c r="G7192" t="inlineStr">
        <is>
          <t>BOLLNÄS</t>
        </is>
      </c>
      <c r="I7192" t="n">
        <v>1.2</v>
      </c>
      <c r="J7192" t="n">
        <v>0</v>
      </c>
      <c r="K7192" t="n">
        <v>0</v>
      </c>
      <c r="L7192" t="n">
        <v>0</v>
      </c>
      <c r="M7192" t="n">
        <v>0</v>
      </c>
      <c r="N7192" t="n">
        <v>0</v>
      </c>
      <c r="O7192" t="n">
        <v>0</v>
      </c>
      <c r="P7192" t="n">
        <v>0</v>
      </c>
      <c r="Q7192" t="n">
        <v>0</v>
      </c>
      <c r="R7192" t="n">
        <v>0</v>
      </c>
      <c r="S7192" t="n">
        <v>0</v>
      </c>
      <c r="T7192" t="n">
        <v>0</v>
      </c>
      <c r="U7192" t="n">
        <v>0</v>
      </c>
      <c r="V7192" s="2" t="inlineStr"/>
    </row>
    <row r="7193" ht="15" customHeight="1">
      <c r="A7193" t="inlineStr">
        <is>
          <t>A 6167-2025</t>
        </is>
      </c>
      <c r="B7193" t="inlineStr">
        <is>
          <t>avverkningsanmälan</t>
        </is>
      </c>
      <c r="C7193" t="inlineStr">
        <is>
          <t>Föryngringsavverkning</t>
        </is>
      </c>
      <c r="D7193" s="1" t="n">
        <v>45698</v>
      </c>
      <c r="E7193" s="1" t="n">
        <v>46326</v>
      </c>
      <c r="F7193" t="inlineStr">
        <is>
          <t>GÄVLEBORGS LÄN</t>
        </is>
      </c>
      <c r="G7193" t="inlineStr">
        <is>
          <t>SANDVIKEN</t>
        </is>
      </c>
      <c r="I7193" t="n">
        <v>2.8</v>
      </c>
      <c r="J7193" t="n">
        <v>0</v>
      </c>
      <c r="K7193" t="n">
        <v>0</v>
      </c>
      <c r="L7193" t="n">
        <v>0</v>
      </c>
      <c r="M7193" t="n">
        <v>0</v>
      </c>
      <c r="N7193" t="n">
        <v>0</v>
      </c>
      <c r="O7193" t="n">
        <v>0</v>
      </c>
      <c r="P7193" t="n">
        <v>0</v>
      </c>
      <c r="Q7193" t="n">
        <v>0</v>
      </c>
      <c r="R7193" t="n">
        <v>0</v>
      </c>
      <c r="S7193" t="n">
        <v>0</v>
      </c>
      <c r="T7193" t="n">
        <v>0</v>
      </c>
      <c r="U7193" t="n">
        <v>0</v>
      </c>
      <c r="V7193" s="2" t="inlineStr"/>
    </row>
    <row r="7194" ht="15" customHeight="1">
      <c r="A7194" t="inlineStr">
        <is>
          <t>A 20678-2026</t>
        </is>
      </c>
      <c r="B7194" t="inlineStr">
        <is>
          <t>avverkningsanmälan</t>
        </is>
      </c>
      <c r="C7194" t="inlineStr">
        <is>
          <t>Föryngringsavverkning</t>
        </is>
      </c>
      <c r="D7194" s="1" t="n">
        <v>46141</v>
      </c>
      <c r="E7194" s="1" t="n">
        <v>46326</v>
      </c>
      <c r="F7194" t="inlineStr">
        <is>
          <t>GÄVLEBORGS LÄN</t>
        </is>
      </c>
      <c r="G7194" t="inlineStr">
        <is>
          <t>BOLLNÄS</t>
        </is>
      </c>
      <c r="H7194" t="inlineStr">
        <is>
          <t>Bergvik skog väst AB</t>
        </is>
      </c>
      <c r="I7194" t="n">
        <v>4.7</v>
      </c>
      <c r="J7194" t="n">
        <v>0</v>
      </c>
      <c r="K7194" t="n">
        <v>0</v>
      </c>
      <c r="L7194" t="n">
        <v>0</v>
      </c>
      <c r="M7194" t="n">
        <v>0</v>
      </c>
      <c r="N7194" t="n">
        <v>0</v>
      </c>
      <c r="O7194" t="n">
        <v>0</v>
      </c>
      <c r="P7194" t="n">
        <v>0</v>
      </c>
      <c r="Q7194" t="n">
        <v>0</v>
      </c>
      <c r="R7194" t="n">
        <v>0</v>
      </c>
      <c r="S7194" t="n">
        <v>0</v>
      </c>
      <c r="T7194" t="n">
        <v>0</v>
      </c>
      <c r="U7194" t="n">
        <v>0</v>
      </c>
      <c r="V7194" s="2" t="inlineStr"/>
    </row>
    <row r="7195" ht="15" customHeight="1">
      <c r="A7195" t="inlineStr">
        <is>
          <t>A 45639-2023</t>
        </is>
      </c>
      <c r="B7195" t="inlineStr">
        <is>
          <t>avverkningsanmälan</t>
        </is>
      </c>
      <c r="C7195" t="inlineStr">
        <is>
          <t>Avverkning för att bevara och utveckla /försöksver</t>
        </is>
      </c>
      <c r="D7195" s="1" t="n">
        <v>45194</v>
      </c>
      <c r="E7195" s="1" t="n">
        <v>46326</v>
      </c>
      <c r="F7195" t="inlineStr">
        <is>
          <t>GÄVLEBORGS LÄN</t>
        </is>
      </c>
      <c r="G7195" t="inlineStr">
        <is>
          <t>BOLLNÄS</t>
        </is>
      </c>
      <c r="I7195" t="n">
        <v>2.2</v>
      </c>
      <c r="J7195" t="n">
        <v>0</v>
      </c>
      <c r="K7195" t="n">
        <v>0</v>
      </c>
      <c r="L7195" t="n">
        <v>0</v>
      </c>
      <c r="M7195" t="n">
        <v>0</v>
      </c>
      <c r="N7195" t="n">
        <v>0</v>
      </c>
      <c r="O7195" t="n">
        <v>0</v>
      </c>
      <c r="P7195" t="n">
        <v>0</v>
      </c>
      <c r="Q7195" t="n">
        <v>0</v>
      </c>
      <c r="R7195" t="n">
        <v>0</v>
      </c>
      <c r="S7195" t="n">
        <v>0</v>
      </c>
      <c r="T7195" t="n">
        <v>0</v>
      </c>
      <c r="U7195" t="n">
        <v>0</v>
      </c>
      <c r="V7195" s="2" t="inlineStr"/>
    </row>
    <row r="7196" ht="15" customHeight="1">
      <c r="A7196" t="inlineStr">
        <is>
          <t>A 24885-2023</t>
        </is>
      </c>
      <c r="B7196" t="inlineStr">
        <is>
          <t>avverkningsanmälan</t>
        </is>
      </c>
      <c r="C7196" t="inlineStr">
        <is>
          <t>Föryngringsavverkning</t>
        </is>
      </c>
      <c r="D7196" s="1" t="n">
        <v>45085</v>
      </c>
      <c r="E7196" s="1" t="n">
        <v>46326</v>
      </c>
      <c r="F7196" t="inlineStr">
        <is>
          <t>GÄVLEBORGS LÄN</t>
        </is>
      </c>
      <c r="G7196" t="inlineStr">
        <is>
          <t>HUDIKSVALL</t>
        </is>
      </c>
      <c r="I7196" t="n">
        <v>1</v>
      </c>
      <c r="J7196" t="n">
        <v>0</v>
      </c>
      <c r="K7196" t="n">
        <v>0</v>
      </c>
      <c r="L7196" t="n">
        <v>0</v>
      </c>
      <c r="M7196" t="n">
        <v>0</v>
      </c>
      <c r="N7196" t="n">
        <v>0</v>
      </c>
      <c r="O7196" t="n">
        <v>0</v>
      </c>
      <c r="P7196" t="n">
        <v>0</v>
      </c>
      <c r="Q7196" t="n">
        <v>0</v>
      </c>
      <c r="R7196" t="n">
        <v>0</v>
      </c>
      <c r="S7196" t="n">
        <v>0</v>
      </c>
      <c r="T7196" t="n">
        <v>0</v>
      </c>
      <c r="U7196" t="n">
        <v>0</v>
      </c>
      <c r="V7196" s="2" t="inlineStr"/>
    </row>
    <row r="7197" ht="15" customHeight="1">
      <c r="A7197" t="inlineStr">
        <is>
          <t>A 3544-2026</t>
        </is>
      </c>
      <c r="B7197" t="inlineStr">
        <is>
          <t>avverkningsanmälan</t>
        </is>
      </c>
      <c r="C7197" t="inlineStr">
        <is>
          <t>Föryngringsavverkning</t>
        </is>
      </c>
      <c r="D7197" s="1" t="n">
        <v>46042</v>
      </c>
      <c r="E7197" s="1" t="n">
        <v>46326</v>
      </c>
      <c r="F7197" t="inlineStr">
        <is>
          <t>GÄVLEBORGS LÄN</t>
        </is>
      </c>
      <c r="G7197" t="inlineStr">
        <is>
          <t>OCKELBO</t>
        </is>
      </c>
      <c r="I7197" t="n">
        <v>3.1</v>
      </c>
      <c r="J7197" t="n">
        <v>0</v>
      </c>
      <c r="K7197" t="n">
        <v>0</v>
      </c>
      <c r="L7197" t="n">
        <v>0</v>
      </c>
      <c r="M7197" t="n">
        <v>0</v>
      </c>
      <c r="N7197" t="n">
        <v>0</v>
      </c>
      <c r="O7197" t="n">
        <v>0</v>
      </c>
      <c r="P7197" t="n">
        <v>0</v>
      </c>
      <c r="Q7197" t="n">
        <v>0</v>
      </c>
      <c r="R7197" t="n">
        <v>0</v>
      </c>
      <c r="S7197" t="n">
        <v>0</v>
      </c>
      <c r="T7197" t="n">
        <v>0</v>
      </c>
      <c r="U7197" t="n">
        <v>0</v>
      </c>
      <c r="V7197" s="2" t="inlineStr"/>
    </row>
    <row r="7198" ht="15" customHeight="1">
      <c r="A7198" t="inlineStr">
        <is>
          <t>A 42979-2023</t>
        </is>
      </c>
      <c r="B7198" t="inlineStr">
        <is>
          <t>avverkningsanmälan</t>
        </is>
      </c>
      <c r="C7198" t="inlineStr">
        <is>
          <t>Föryngringsavverkning</t>
        </is>
      </c>
      <c r="D7198" s="1" t="n">
        <v>45182</v>
      </c>
      <c r="E7198" s="1" t="n">
        <v>46326</v>
      </c>
      <c r="F7198" t="inlineStr">
        <is>
          <t>GÄVLEBORGS LÄN</t>
        </is>
      </c>
      <c r="G7198" t="inlineStr">
        <is>
          <t>LJUSDAL</t>
        </is>
      </c>
      <c r="I7198" t="n">
        <v>13.2</v>
      </c>
      <c r="J7198" t="n">
        <v>0</v>
      </c>
      <c r="K7198" t="n">
        <v>0</v>
      </c>
      <c r="L7198" t="n">
        <v>0</v>
      </c>
      <c r="M7198" t="n">
        <v>0</v>
      </c>
      <c r="N7198" t="n">
        <v>0</v>
      </c>
      <c r="O7198" t="n">
        <v>0</v>
      </c>
      <c r="P7198" t="n">
        <v>0</v>
      </c>
      <c r="Q7198" t="n">
        <v>0</v>
      </c>
      <c r="R7198" t="n">
        <v>0</v>
      </c>
      <c r="S7198" t="n">
        <v>0</v>
      </c>
      <c r="T7198" t="n">
        <v>0</v>
      </c>
      <c r="U7198" t="n">
        <v>0</v>
      </c>
      <c r="V7198" s="2" t="inlineStr"/>
    </row>
    <row r="7199" ht="15" customHeight="1">
      <c r="A7199" t="inlineStr">
        <is>
          <t>A 11519-2026</t>
        </is>
      </c>
      <c r="B7199" t="inlineStr">
        <is>
          <t>avverkningsanmälan</t>
        </is>
      </c>
      <c r="C7199" t="inlineStr">
        <is>
          <t>Föryngringsavverkning</t>
        </is>
      </c>
      <c r="D7199" s="1" t="n">
        <v>46083</v>
      </c>
      <c r="E7199" s="1" t="n">
        <v>46326</v>
      </c>
      <c r="F7199" t="inlineStr">
        <is>
          <t>GÄVLEBORGS LÄN</t>
        </is>
      </c>
      <c r="G7199" t="inlineStr">
        <is>
          <t>BOLLNÄS</t>
        </is>
      </c>
      <c r="I7199" t="n">
        <v>2.5</v>
      </c>
      <c r="J7199" t="n">
        <v>0</v>
      </c>
      <c r="K7199" t="n">
        <v>0</v>
      </c>
      <c r="L7199" t="n">
        <v>0</v>
      </c>
      <c r="M7199" t="n">
        <v>0</v>
      </c>
      <c r="N7199" t="n">
        <v>0</v>
      </c>
      <c r="O7199" t="n">
        <v>0</v>
      </c>
      <c r="P7199" t="n">
        <v>0</v>
      </c>
      <c r="Q7199" t="n">
        <v>0</v>
      </c>
      <c r="R7199" t="n">
        <v>0</v>
      </c>
      <c r="S7199" t="n">
        <v>0</v>
      </c>
      <c r="T7199" t="n">
        <v>0</v>
      </c>
      <c r="U7199" t="n">
        <v>0</v>
      </c>
      <c r="V7199" s="2" t="inlineStr"/>
    </row>
    <row r="7200" ht="15" customHeight="1">
      <c r="A7200" t="inlineStr">
        <is>
          <t>A 7749-2026</t>
        </is>
      </c>
      <c r="B7200" t="inlineStr">
        <is>
          <t>avverkningsanmälan</t>
        </is>
      </c>
      <c r="C7200" t="inlineStr">
        <is>
          <t>Föryngringsavverkning</t>
        </is>
      </c>
      <c r="D7200" s="1" t="n">
        <v>46062</v>
      </c>
      <c r="E7200" s="1" t="n">
        <v>46326</v>
      </c>
      <c r="F7200" t="inlineStr">
        <is>
          <t>GÄVLEBORGS LÄN</t>
        </is>
      </c>
      <c r="G7200" t="inlineStr">
        <is>
          <t>HUDIKSVALL</t>
        </is>
      </c>
      <c r="I7200" t="n">
        <v>1.5</v>
      </c>
      <c r="J7200" t="n">
        <v>0</v>
      </c>
      <c r="K7200" t="n">
        <v>0</v>
      </c>
      <c r="L7200" t="n">
        <v>0</v>
      </c>
      <c r="M7200" t="n">
        <v>0</v>
      </c>
      <c r="N7200" t="n">
        <v>0</v>
      </c>
      <c r="O7200" t="n">
        <v>0</v>
      </c>
      <c r="P7200" t="n">
        <v>0</v>
      </c>
      <c r="Q7200" t="n">
        <v>0</v>
      </c>
      <c r="R7200" t="n">
        <v>0</v>
      </c>
      <c r="S7200" t="n">
        <v>0</v>
      </c>
      <c r="T7200" t="n">
        <v>0</v>
      </c>
      <c r="U7200" t="n">
        <v>0</v>
      </c>
      <c r="V7200" s="2" t="inlineStr"/>
    </row>
    <row r="7201" ht="15" customHeight="1">
      <c r="A7201" t="inlineStr">
        <is>
          <t>A 7907-2026</t>
        </is>
      </c>
      <c r="B7201" t="inlineStr">
        <is>
          <t>avverkningsanmälan</t>
        </is>
      </c>
      <c r="C7201" t="inlineStr">
        <is>
          <t>Föryngringsavverkning</t>
        </is>
      </c>
      <c r="D7201" s="1" t="n">
        <v>46063</v>
      </c>
      <c r="E7201" s="1" t="n">
        <v>46326</v>
      </c>
      <c r="F7201" t="inlineStr">
        <is>
          <t>GÄVLEBORGS LÄN</t>
        </is>
      </c>
      <c r="G7201" t="inlineStr">
        <is>
          <t>OCKELBO</t>
        </is>
      </c>
      <c r="I7201" t="n">
        <v>11.5</v>
      </c>
      <c r="J7201" t="n">
        <v>0</v>
      </c>
      <c r="K7201" t="n">
        <v>0</v>
      </c>
      <c r="L7201" t="n">
        <v>0</v>
      </c>
      <c r="M7201" t="n">
        <v>0</v>
      </c>
      <c r="N7201" t="n">
        <v>0</v>
      </c>
      <c r="O7201" t="n">
        <v>0</v>
      </c>
      <c r="P7201" t="n">
        <v>0</v>
      </c>
      <c r="Q7201" t="n">
        <v>0</v>
      </c>
      <c r="R7201" t="n">
        <v>0</v>
      </c>
      <c r="S7201" t="n">
        <v>0</v>
      </c>
      <c r="T7201" t="n">
        <v>0</v>
      </c>
      <c r="U7201" t="n">
        <v>0</v>
      </c>
      <c r="V7201" s="2" t="inlineStr"/>
    </row>
    <row r="7202" ht="15" customHeight="1">
      <c r="A7202" t="inlineStr">
        <is>
          <t>A 7924-2026</t>
        </is>
      </c>
      <c r="B7202" t="inlineStr">
        <is>
          <t>avverkningsanmälan</t>
        </is>
      </c>
      <c r="C7202" t="inlineStr">
        <is>
          <t>Föryngringsavverkning</t>
        </is>
      </c>
      <c r="D7202" s="1" t="n">
        <v>46063</v>
      </c>
      <c r="E7202" s="1" t="n">
        <v>46326</v>
      </c>
      <c r="F7202" t="inlineStr">
        <is>
          <t>GÄVLEBORGS LÄN</t>
        </is>
      </c>
      <c r="G7202" t="inlineStr">
        <is>
          <t>SANDVIKEN</t>
        </is>
      </c>
      <c r="I7202" t="n">
        <v>1.9</v>
      </c>
      <c r="J7202" t="n">
        <v>0</v>
      </c>
      <c r="K7202" t="n">
        <v>0</v>
      </c>
      <c r="L7202" t="n">
        <v>0</v>
      </c>
      <c r="M7202" t="n">
        <v>0</v>
      </c>
      <c r="N7202" t="n">
        <v>0</v>
      </c>
      <c r="O7202" t="n">
        <v>0</v>
      </c>
      <c r="P7202" t="n">
        <v>0</v>
      </c>
      <c r="Q7202" t="n">
        <v>0</v>
      </c>
      <c r="R7202" t="n">
        <v>0</v>
      </c>
      <c r="S7202" t="n">
        <v>0</v>
      </c>
      <c r="T7202" t="n">
        <v>0</v>
      </c>
      <c r="U7202" t="n">
        <v>0</v>
      </c>
      <c r="V7202" s="2" t="inlineStr"/>
    </row>
    <row r="7203" ht="15" customHeight="1">
      <c r="A7203" t="inlineStr">
        <is>
          <t>A 18085-2026</t>
        </is>
      </c>
      <c r="B7203" t="inlineStr">
        <is>
          <t>avverkningsanmälan</t>
        </is>
      </c>
      <c r="C7203" t="inlineStr">
        <is>
          <t>Föryngringsavverkning</t>
        </is>
      </c>
      <c r="D7203" s="1" t="n">
        <v>46125</v>
      </c>
      <c r="E7203" s="1" t="n">
        <v>46326</v>
      </c>
      <c r="F7203" t="inlineStr">
        <is>
          <t>GÄVLEBORGS LÄN</t>
        </is>
      </c>
      <c r="G7203" t="inlineStr">
        <is>
          <t>OVANÅKER</t>
        </is>
      </c>
      <c r="I7203" t="n">
        <v>2.3</v>
      </c>
      <c r="J7203" t="n">
        <v>0</v>
      </c>
      <c r="K7203" t="n">
        <v>0</v>
      </c>
      <c r="L7203" t="n">
        <v>0</v>
      </c>
      <c r="M7203" t="n">
        <v>0</v>
      </c>
      <c r="N7203" t="n">
        <v>0</v>
      </c>
      <c r="O7203" t="n">
        <v>0</v>
      </c>
      <c r="P7203" t="n">
        <v>0</v>
      </c>
      <c r="Q7203" t="n">
        <v>0</v>
      </c>
      <c r="R7203" t="n">
        <v>0</v>
      </c>
      <c r="S7203" t="n">
        <v>0</v>
      </c>
      <c r="T7203" t="n">
        <v>0</v>
      </c>
      <c r="U7203" t="n">
        <v>0</v>
      </c>
      <c r="V7203" s="2" t="inlineStr"/>
    </row>
    <row r="7204" ht="15" customHeight="1">
      <c r="A7204" t="inlineStr">
        <is>
          <t>A 20482-2026</t>
        </is>
      </c>
      <c r="B7204" t="inlineStr">
        <is>
          <t>avverkningsanmälan</t>
        </is>
      </c>
      <c r="C7204" t="inlineStr">
        <is>
          <t>Föryngringsavverkning</t>
        </is>
      </c>
      <c r="D7204" s="1" t="n">
        <v>46140</v>
      </c>
      <c r="E7204" s="1" t="n">
        <v>46326</v>
      </c>
      <c r="F7204" t="inlineStr">
        <is>
          <t>GÄVLEBORGS LÄN</t>
        </is>
      </c>
      <c r="G7204" t="inlineStr">
        <is>
          <t>NORDANSTIG</t>
        </is>
      </c>
      <c r="H7204" t="inlineStr">
        <is>
          <t>Holmen skog AB</t>
        </is>
      </c>
      <c r="I7204" t="n">
        <v>8.6</v>
      </c>
      <c r="J7204" t="n">
        <v>0</v>
      </c>
      <c r="K7204" t="n">
        <v>0</v>
      </c>
      <c r="L7204" t="n">
        <v>0</v>
      </c>
      <c r="M7204" t="n">
        <v>0</v>
      </c>
      <c r="N7204" t="n">
        <v>0</v>
      </c>
      <c r="O7204" t="n">
        <v>0</v>
      </c>
      <c r="P7204" t="n">
        <v>0</v>
      </c>
      <c r="Q7204" t="n">
        <v>0</v>
      </c>
      <c r="R7204" t="n">
        <v>0</v>
      </c>
      <c r="S7204" t="n">
        <v>0</v>
      </c>
      <c r="T7204" t="n">
        <v>0</v>
      </c>
      <c r="U7204" t="n">
        <v>0</v>
      </c>
      <c r="V7204" s="2" t="inlineStr"/>
    </row>
    <row r="7205" ht="15" customHeight="1">
      <c r="A7205" t="inlineStr">
        <is>
          <t>A 20485-2026</t>
        </is>
      </c>
      <c r="B7205" t="inlineStr">
        <is>
          <t>avverkningsanmälan</t>
        </is>
      </c>
      <c r="C7205" t="inlineStr">
        <is>
          <t>Föryngringsavverkning</t>
        </is>
      </c>
      <c r="D7205" s="1" t="n">
        <v>46140</v>
      </c>
      <c r="E7205" s="1" t="n">
        <v>46326</v>
      </c>
      <c r="F7205" t="inlineStr">
        <is>
          <t>GÄVLEBORGS LÄN</t>
        </is>
      </c>
      <c r="G7205" t="inlineStr">
        <is>
          <t>BOLLNÄS</t>
        </is>
      </c>
      <c r="I7205" t="n">
        <v>2.8</v>
      </c>
      <c r="J7205" t="n">
        <v>0</v>
      </c>
      <c r="K7205" t="n">
        <v>0</v>
      </c>
      <c r="L7205" t="n">
        <v>0</v>
      </c>
      <c r="M7205" t="n">
        <v>0</v>
      </c>
      <c r="N7205" t="n">
        <v>0</v>
      </c>
      <c r="O7205" t="n">
        <v>0</v>
      </c>
      <c r="P7205" t="n">
        <v>0</v>
      </c>
      <c r="Q7205" t="n">
        <v>0</v>
      </c>
      <c r="R7205" t="n">
        <v>0</v>
      </c>
      <c r="S7205" t="n">
        <v>0</v>
      </c>
      <c r="T7205" t="n">
        <v>0</v>
      </c>
      <c r="U7205" t="n">
        <v>0</v>
      </c>
      <c r="V7205" s="2" t="inlineStr"/>
    </row>
    <row r="7206" ht="15" customHeight="1">
      <c r="A7206" t="inlineStr">
        <is>
          <t>A 5057-2025</t>
        </is>
      </c>
      <c r="B7206" t="inlineStr">
        <is>
          <t>avverkningsanmälan</t>
        </is>
      </c>
      <c r="C7206" t="inlineStr">
        <is>
          <t>Föryngringsavverkning</t>
        </is>
      </c>
      <c r="D7206" s="1" t="n">
        <v>45691</v>
      </c>
      <c r="E7206" s="1" t="n">
        <v>46326</v>
      </c>
      <c r="F7206" t="inlineStr">
        <is>
          <t>GÄVLEBORGS LÄN</t>
        </is>
      </c>
      <c r="G7206" t="inlineStr">
        <is>
          <t>OVANÅKER</t>
        </is>
      </c>
      <c r="I7206" t="n">
        <v>2.8</v>
      </c>
      <c r="J7206" t="n">
        <v>0</v>
      </c>
      <c r="K7206" t="n">
        <v>0</v>
      </c>
      <c r="L7206" t="n">
        <v>0</v>
      </c>
      <c r="M7206" t="n">
        <v>0</v>
      </c>
      <c r="N7206" t="n">
        <v>0</v>
      </c>
      <c r="O7206" t="n">
        <v>0</v>
      </c>
      <c r="P7206" t="n">
        <v>0</v>
      </c>
      <c r="Q7206" t="n">
        <v>0</v>
      </c>
      <c r="R7206" t="n">
        <v>0</v>
      </c>
      <c r="S7206" t="n">
        <v>0</v>
      </c>
      <c r="T7206" t="n">
        <v>0</v>
      </c>
      <c r="U7206" t="n">
        <v>0</v>
      </c>
      <c r="V7206" s="2" t="inlineStr"/>
    </row>
    <row r="7207" ht="15" customHeight="1">
      <c r="A7207" t="inlineStr">
        <is>
          <t>A 4828-2026</t>
        </is>
      </c>
      <c r="B7207" t="inlineStr">
        <is>
          <t>avverkningsanmälan</t>
        </is>
      </c>
      <c r="C7207" t="inlineStr">
        <is>
          <t>Föryngringsavverkning</t>
        </is>
      </c>
      <c r="D7207" s="1" t="n">
        <v>46048</v>
      </c>
      <c r="E7207" s="1" t="n">
        <v>46326</v>
      </c>
      <c r="F7207" t="inlineStr">
        <is>
          <t>GÄVLEBORGS LÄN</t>
        </is>
      </c>
      <c r="G7207" t="inlineStr">
        <is>
          <t>BOLLNÄS</t>
        </is>
      </c>
      <c r="I7207" t="n">
        <v>5.3</v>
      </c>
      <c r="J7207" t="n">
        <v>0</v>
      </c>
      <c r="K7207" t="n">
        <v>0</v>
      </c>
      <c r="L7207" t="n">
        <v>0</v>
      </c>
      <c r="M7207" t="n">
        <v>0</v>
      </c>
      <c r="N7207" t="n">
        <v>0</v>
      </c>
      <c r="O7207" t="n">
        <v>0</v>
      </c>
      <c r="P7207" t="n">
        <v>0</v>
      </c>
      <c r="Q7207" t="n">
        <v>0</v>
      </c>
      <c r="R7207" t="n">
        <v>0</v>
      </c>
      <c r="S7207" t="n">
        <v>0</v>
      </c>
      <c r="T7207" t="n">
        <v>0</v>
      </c>
      <c r="U7207" t="n">
        <v>0</v>
      </c>
      <c r="V7207" s="2" t="inlineStr"/>
    </row>
    <row r="7208" ht="15" customHeight="1">
      <c r="A7208" t="inlineStr">
        <is>
          <t>A 10824-2026</t>
        </is>
      </c>
      <c r="B7208" t="inlineStr">
        <is>
          <t>avverkningsanmälan</t>
        </is>
      </c>
      <c r="C7208" t="inlineStr">
        <is>
          <t>Föryngringsavverkning</t>
        </is>
      </c>
      <c r="D7208" s="1" t="n">
        <v>46078</v>
      </c>
      <c r="E7208" s="1" t="n">
        <v>46326</v>
      </c>
      <c r="F7208" t="inlineStr">
        <is>
          <t>GÄVLEBORGS LÄN</t>
        </is>
      </c>
      <c r="G7208" t="inlineStr">
        <is>
          <t>BOLLNÄS</t>
        </is>
      </c>
      <c r="I7208" t="n">
        <v>1.4</v>
      </c>
      <c r="J7208" t="n">
        <v>0</v>
      </c>
      <c r="K7208" t="n">
        <v>0</v>
      </c>
      <c r="L7208" t="n">
        <v>0</v>
      </c>
      <c r="M7208" t="n">
        <v>0</v>
      </c>
      <c r="N7208" t="n">
        <v>0</v>
      </c>
      <c r="O7208" t="n">
        <v>0</v>
      </c>
      <c r="P7208" t="n">
        <v>0</v>
      </c>
      <c r="Q7208" t="n">
        <v>0</v>
      </c>
      <c r="R7208" t="n">
        <v>0</v>
      </c>
      <c r="S7208" t="n">
        <v>0</v>
      </c>
      <c r="T7208" t="n">
        <v>0</v>
      </c>
      <c r="U7208" t="n">
        <v>0</v>
      </c>
      <c r="V7208" s="2" t="inlineStr"/>
    </row>
    <row r="7209" ht="15" customHeight="1">
      <c r="A7209" t="inlineStr">
        <is>
          <t>A 3898-2026</t>
        </is>
      </c>
      <c r="B7209" t="inlineStr">
        <is>
          <t>avverkningsanmälan</t>
        </is>
      </c>
      <c r="C7209" t="inlineStr">
        <is>
          <t>Föryngringsavverkning</t>
        </is>
      </c>
      <c r="D7209" s="1" t="n">
        <v>46043</v>
      </c>
      <c r="E7209" s="1" t="n">
        <v>46326</v>
      </c>
      <c r="F7209" t="inlineStr">
        <is>
          <t>GÄVLEBORGS LÄN</t>
        </is>
      </c>
      <c r="G7209" t="inlineStr">
        <is>
          <t>BOLLNÄS</t>
        </is>
      </c>
      <c r="I7209" t="n">
        <v>3.6</v>
      </c>
      <c r="J7209" t="n">
        <v>0</v>
      </c>
      <c r="K7209" t="n">
        <v>0</v>
      </c>
      <c r="L7209" t="n">
        <v>0</v>
      </c>
      <c r="M7209" t="n">
        <v>0</v>
      </c>
      <c r="N7209" t="n">
        <v>0</v>
      </c>
      <c r="O7209" t="n">
        <v>0</v>
      </c>
      <c r="P7209" t="n">
        <v>0</v>
      </c>
      <c r="Q7209" t="n">
        <v>0</v>
      </c>
      <c r="R7209" t="n">
        <v>0</v>
      </c>
      <c r="S7209" t="n">
        <v>0</v>
      </c>
      <c r="T7209" t="n">
        <v>0</v>
      </c>
      <c r="U7209" t="n">
        <v>0</v>
      </c>
      <c r="V7209" s="2" t="inlineStr"/>
    </row>
    <row r="7210" ht="15" customHeight="1">
      <c r="A7210" t="inlineStr">
        <is>
          <t>A 11871-2026</t>
        </is>
      </c>
      <c r="B7210" t="inlineStr">
        <is>
          <t>avverkningsanmälan</t>
        </is>
      </c>
      <c r="C7210" t="inlineStr">
        <is>
          <t>Föryngringsavverkning</t>
        </is>
      </c>
      <c r="D7210" s="1" t="n">
        <v>46085</v>
      </c>
      <c r="E7210" s="1" t="n">
        <v>46326</v>
      </c>
      <c r="F7210" t="inlineStr">
        <is>
          <t>GÄVLEBORGS LÄN</t>
        </is>
      </c>
      <c r="G7210" t="inlineStr">
        <is>
          <t>HOFORS</t>
        </is>
      </c>
      <c r="I7210" t="n">
        <v>1.3</v>
      </c>
      <c r="J7210" t="n">
        <v>0</v>
      </c>
      <c r="K7210" t="n">
        <v>0</v>
      </c>
      <c r="L7210" t="n">
        <v>0</v>
      </c>
      <c r="M7210" t="n">
        <v>0</v>
      </c>
      <c r="N7210" t="n">
        <v>0</v>
      </c>
      <c r="O7210" t="n">
        <v>0</v>
      </c>
      <c r="P7210" t="n">
        <v>0</v>
      </c>
      <c r="Q7210" t="n">
        <v>0</v>
      </c>
      <c r="R7210" t="n">
        <v>0</v>
      </c>
      <c r="S7210" t="n">
        <v>0</v>
      </c>
      <c r="T7210" t="n">
        <v>0</v>
      </c>
      <c r="U7210" t="n">
        <v>0</v>
      </c>
      <c r="V7210" s="2" t="inlineStr"/>
    </row>
    <row r="7211" ht="15" customHeight="1">
      <c r="A7211" t="inlineStr">
        <is>
          <t>A 20589-2026</t>
        </is>
      </c>
      <c r="B7211" t="inlineStr">
        <is>
          <t>avverkningsanmälan</t>
        </is>
      </c>
      <c r="C7211" t="inlineStr">
        <is>
          <t>Föryngringsavverkning</t>
        </is>
      </c>
      <c r="D7211" s="1" t="n">
        <v>46140</v>
      </c>
      <c r="E7211" s="1" t="n">
        <v>46326</v>
      </c>
      <c r="F7211" t="inlineStr">
        <is>
          <t>GÄVLEBORGS LÄN</t>
        </is>
      </c>
      <c r="G7211" t="inlineStr">
        <is>
          <t>GÄVLE</t>
        </is>
      </c>
      <c r="I7211" t="n">
        <v>1.6</v>
      </c>
      <c r="J7211" t="n">
        <v>0</v>
      </c>
      <c r="K7211" t="n">
        <v>0</v>
      </c>
      <c r="L7211" t="n">
        <v>0</v>
      </c>
      <c r="M7211" t="n">
        <v>0</v>
      </c>
      <c r="N7211" t="n">
        <v>0</v>
      </c>
      <c r="O7211" t="n">
        <v>0</v>
      </c>
      <c r="P7211" t="n">
        <v>0</v>
      </c>
      <c r="Q7211" t="n">
        <v>0</v>
      </c>
      <c r="R7211" t="n">
        <v>0</v>
      </c>
      <c r="S7211" t="n">
        <v>0</v>
      </c>
      <c r="T7211" t="n">
        <v>0</v>
      </c>
      <c r="U7211" t="n">
        <v>0</v>
      </c>
      <c r="V7211" s="2" t="inlineStr"/>
    </row>
    <row r="7212" ht="15" customHeight="1">
      <c r="A7212" t="inlineStr">
        <is>
          <t>A 1096-2026</t>
        </is>
      </c>
      <c r="B7212" t="inlineStr">
        <is>
          <t>avverkningsanmälan</t>
        </is>
      </c>
      <c r="C7212" t="inlineStr">
        <is>
          <t>Föryngringsavverkning</t>
        </is>
      </c>
      <c r="D7212" s="1" t="n">
        <v>46030</v>
      </c>
      <c r="E7212" s="1" t="n">
        <v>46326</v>
      </c>
      <c r="F7212" t="inlineStr">
        <is>
          <t>GÄVLEBORGS LÄN</t>
        </is>
      </c>
      <c r="G7212" t="inlineStr">
        <is>
          <t>GÄVLE</t>
        </is>
      </c>
      <c r="I7212" t="n">
        <v>0.9</v>
      </c>
      <c r="J7212" t="n">
        <v>0</v>
      </c>
      <c r="K7212" t="n">
        <v>0</v>
      </c>
      <c r="L7212" t="n">
        <v>0</v>
      </c>
      <c r="M7212" t="n">
        <v>0</v>
      </c>
      <c r="N7212" t="n">
        <v>0</v>
      </c>
      <c r="O7212" t="n">
        <v>0</v>
      </c>
      <c r="P7212" t="n">
        <v>0</v>
      </c>
      <c r="Q7212" t="n">
        <v>0</v>
      </c>
      <c r="R7212" t="n">
        <v>0</v>
      </c>
      <c r="S7212" t="n">
        <v>0</v>
      </c>
      <c r="T7212" t="n">
        <v>0</v>
      </c>
      <c r="U7212" t="n">
        <v>0</v>
      </c>
      <c r="V7212" s="2" t="inlineStr"/>
    </row>
    <row r="7213" ht="15" customHeight="1">
      <c r="A7213" t="inlineStr">
        <is>
          <t>A 20636-2026</t>
        </is>
      </c>
      <c r="B7213" t="inlineStr">
        <is>
          <t>avverkningsanmälan</t>
        </is>
      </c>
      <c r="C7213" t="inlineStr">
        <is>
          <t>Föryngringsavverkning</t>
        </is>
      </c>
      <c r="D7213" s="1" t="n">
        <v>46141</v>
      </c>
      <c r="E7213" s="1" t="n">
        <v>46326</v>
      </c>
      <c r="F7213" t="inlineStr">
        <is>
          <t>GÄVLEBORGS LÄN</t>
        </is>
      </c>
      <c r="G7213" t="inlineStr">
        <is>
          <t>SANDVIKEN</t>
        </is>
      </c>
      <c r="I7213" t="n">
        <v>4.4</v>
      </c>
      <c r="J7213" t="n">
        <v>0</v>
      </c>
      <c r="K7213" t="n">
        <v>0</v>
      </c>
      <c r="L7213" t="n">
        <v>0</v>
      </c>
      <c r="M7213" t="n">
        <v>0</v>
      </c>
      <c r="N7213" t="n">
        <v>0</v>
      </c>
      <c r="O7213" t="n">
        <v>0</v>
      </c>
      <c r="P7213" t="n">
        <v>0</v>
      </c>
      <c r="Q7213" t="n">
        <v>0</v>
      </c>
      <c r="R7213" t="n">
        <v>0</v>
      </c>
      <c r="S7213" t="n">
        <v>0</v>
      </c>
      <c r="T7213" t="n">
        <v>0</v>
      </c>
      <c r="U7213" t="n">
        <v>0</v>
      </c>
      <c r="V7213" s="2" t="inlineStr"/>
    </row>
    <row r="7214" ht="15" customHeight="1">
      <c r="A7214" t="inlineStr">
        <is>
          <t>A 20641-2026</t>
        </is>
      </c>
      <c r="B7214" t="inlineStr">
        <is>
          <t>avverkningsanmälan</t>
        </is>
      </c>
      <c r="C7214" t="inlineStr">
        <is>
          <t>Föryngringsavverkning</t>
        </is>
      </c>
      <c r="D7214" s="1" t="n">
        <v>46141</v>
      </c>
      <c r="E7214" s="1" t="n">
        <v>46326</v>
      </c>
      <c r="F7214" t="inlineStr">
        <is>
          <t>GÄVLEBORGS LÄN</t>
        </is>
      </c>
      <c r="G7214" t="inlineStr">
        <is>
          <t>OCKELBO</t>
        </is>
      </c>
      <c r="H7214" t="inlineStr">
        <is>
          <t>Bergvik skog väst AB</t>
        </is>
      </c>
      <c r="I7214" t="n">
        <v>1</v>
      </c>
      <c r="J7214" t="n">
        <v>0</v>
      </c>
      <c r="K7214" t="n">
        <v>0</v>
      </c>
      <c r="L7214" t="n">
        <v>0</v>
      </c>
      <c r="M7214" t="n">
        <v>0</v>
      </c>
      <c r="N7214" t="n">
        <v>0</v>
      </c>
      <c r="O7214" t="n">
        <v>0</v>
      </c>
      <c r="P7214" t="n">
        <v>0</v>
      </c>
      <c r="Q7214" t="n">
        <v>0</v>
      </c>
      <c r="R7214" t="n">
        <v>0</v>
      </c>
      <c r="S7214" t="n">
        <v>0</v>
      </c>
      <c r="T7214" t="n">
        <v>0</v>
      </c>
      <c r="U7214" t="n">
        <v>0</v>
      </c>
      <c r="V7214" s="2" t="inlineStr"/>
    </row>
    <row r="7215" ht="15" customHeight="1">
      <c r="A7215" t="inlineStr">
        <is>
          <t>A 43259-2023</t>
        </is>
      </c>
      <c r="B7215" t="inlineStr">
        <is>
          <t>avverkningsanmälan</t>
        </is>
      </c>
      <c r="C7215" t="inlineStr">
        <is>
          <t>Avverkning för annat ändamål</t>
        </is>
      </c>
      <c r="D7215" s="1" t="n">
        <v>45183</v>
      </c>
      <c r="E7215" s="1" t="n">
        <v>46326</v>
      </c>
      <c r="F7215" t="inlineStr">
        <is>
          <t>GÄVLEBORGS LÄN</t>
        </is>
      </c>
      <c r="G7215" t="inlineStr">
        <is>
          <t>OVANÅKER</t>
        </is>
      </c>
      <c r="I7215" t="n">
        <v>1.1</v>
      </c>
      <c r="J7215" t="n">
        <v>0</v>
      </c>
      <c r="K7215" t="n">
        <v>0</v>
      </c>
      <c r="L7215" t="n">
        <v>0</v>
      </c>
      <c r="M7215" t="n">
        <v>0</v>
      </c>
      <c r="N7215" t="n">
        <v>0</v>
      </c>
      <c r="O7215" t="n">
        <v>0</v>
      </c>
      <c r="P7215" t="n">
        <v>0</v>
      </c>
      <c r="Q7215" t="n">
        <v>0</v>
      </c>
      <c r="R7215" t="n">
        <v>0</v>
      </c>
      <c r="S7215" t="n">
        <v>0</v>
      </c>
      <c r="T7215" t="n">
        <v>0</v>
      </c>
      <c r="U7215" t="n">
        <v>0</v>
      </c>
      <c r="V7215" s="2" t="inlineStr"/>
    </row>
    <row r="7216" ht="15" customHeight="1">
      <c r="A7216" t="inlineStr">
        <is>
          <t>A 20547-2026</t>
        </is>
      </c>
      <c r="B7216" t="inlineStr">
        <is>
          <t>avverkningsanmälan</t>
        </is>
      </c>
      <c r="C7216" t="inlineStr">
        <is>
          <t>Föryngringsavverkning</t>
        </is>
      </c>
      <c r="D7216" s="1" t="n">
        <v>46140</v>
      </c>
      <c r="E7216" s="1" t="n">
        <v>46326</v>
      </c>
      <c r="F7216" t="inlineStr">
        <is>
          <t>GÄVLEBORGS LÄN</t>
        </is>
      </c>
      <c r="G7216" t="inlineStr">
        <is>
          <t>BOLLNÄS</t>
        </is>
      </c>
      <c r="H7216" t="inlineStr">
        <is>
          <t>Bergvik skog väst AB</t>
        </is>
      </c>
      <c r="I7216" t="n">
        <v>4</v>
      </c>
      <c r="J7216" t="n">
        <v>0</v>
      </c>
      <c r="K7216" t="n">
        <v>0</v>
      </c>
      <c r="L7216" t="n">
        <v>0</v>
      </c>
      <c r="M7216" t="n">
        <v>0</v>
      </c>
      <c r="N7216" t="n">
        <v>0</v>
      </c>
      <c r="O7216" t="n">
        <v>0</v>
      </c>
      <c r="P7216" t="n">
        <v>0</v>
      </c>
      <c r="Q7216" t="n">
        <v>0</v>
      </c>
      <c r="R7216" t="n">
        <v>0</v>
      </c>
      <c r="S7216" t="n">
        <v>0</v>
      </c>
      <c r="T7216" t="n">
        <v>0</v>
      </c>
      <c r="U7216" t="n">
        <v>0</v>
      </c>
      <c r="V7216" s="2" t="inlineStr"/>
    </row>
    <row r="7217" ht="15" customHeight="1">
      <c r="A7217" t="inlineStr">
        <is>
          <t>A 20548-2026</t>
        </is>
      </c>
      <c r="B7217" t="inlineStr">
        <is>
          <t>avverkningsanmälan</t>
        </is>
      </c>
      <c r="C7217" t="inlineStr">
        <is>
          <t>Föryngringsavverkning</t>
        </is>
      </c>
      <c r="D7217" s="1" t="n">
        <v>46140</v>
      </c>
      <c r="E7217" s="1" t="n">
        <v>46326</v>
      </c>
      <c r="F7217" t="inlineStr">
        <is>
          <t>GÄVLEBORGS LÄN</t>
        </is>
      </c>
      <c r="G7217" t="inlineStr">
        <is>
          <t>BOLLNÄS</t>
        </is>
      </c>
      <c r="I7217" t="n">
        <v>3.6</v>
      </c>
      <c r="J7217" t="n">
        <v>0</v>
      </c>
      <c r="K7217" t="n">
        <v>0</v>
      </c>
      <c r="L7217" t="n">
        <v>0</v>
      </c>
      <c r="M7217" t="n">
        <v>0</v>
      </c>
      <c r="N7217" t="n">
        <v>0</v>
      </c>
      <c r="O7217" t="n">
        <v>0</v>
      </c>
      <c r="P7217" t="n">
        <v>0</v>
      </c>
      <c r="Q7217" t="n">
        <v>0</v>
      </c>
      <c r="R7217" t="n">
        <v>0</v>
      </c>
      <c r="S7217" t="n">
        <v>0</v>
      </c>
      <c r="T7217" t="n">
        <v>0</v>
      </c>
      <c r="U7217" t="n">
        <v>0</v>
      </c>
      <c r="V7217" s="2" t="inlineStr"/>
    </row>
    <row r="7218" ht="15" customHeight="1">
      <c r="A7218" t="inlineStr">
        <is>
          <t>A 12429-2026</t>
        </is>
      </c>
      <c r="B7218" t="inlineStr">
        <is>
          <t>avverkningsanmälan</t>
        </is>
      </c>
      <c r="C7218" t="inlineStr">
        <is>
          <t>Föryngringsavverkning</t>
        </is>
      </c>
      <c r="D7218" s="1" t="n">
        <v>46090</v>
      </c>
      <c r="E7218" s="1" t="n">
        <v>46326</v>
      </c>
      <c r="F7218" t="inlineStr">
        <is>
          <t>GÄVLEBORGS LÄN</t>
        </is>
      </c>
      <c r="G7218" t="inlineStr">
        <is>
          <t>HUDIKSVALL</t>
        </is>
      </c>
      <c r="H7218" t="inlineStr">
        <is>
          <t>Holmen skog AB</t>
        </is>
      </c>
      <c r="I7218" t="n">
        <v>1.1</v>
      </c>
      <c r="J7218" t="n">
        <v>0</v>
      </c>
      <c r="K7218" t="n">
        <v>0</v>
      </c>
      <c r="L7218" t="n">
        <v>0</v>
      </c>
      <c r="M7218" t="n">
        <v>0</v>
      </c>
      <c r="N7218" t="n">
        <v>0</v>
      </c>
      <c r="O7218" t="n">
        <v>0</v>
      </c>
      <c r="P7218" t="n">
        <v>0</v>
      </c>
      <c r="Q7218" t="n">
        <v>0</v>
      </c>
      <c r="R7218" t="n">
        <v>0</v>
      </c>
      <c r="S7218" t="n">
        <v>0</v>
      </c>
      <c r="T7218" t="n">
        <v>0</v>
      </c>
      <c r="U7218" t="n">
        <v>0</v>
      </c>
      <c r="V7218" s="2" t="inlineStr"/>
    </row>
    <row r="7219" ht="15" customHeight="1">
      <c r="A7219" t="inlineStr">
        <is>
          <t>A 20609-2026</t>
        </is>
      </c>
      <c r="B7219" t="inlineStr">
        <is>
          <t>avverkningsanmälan</t>
        </is>
      </c>
      <c r="C7219" t="inlineStr">
        <is>
          <t>Avverkning för att bevara och utveckla /försöksver</t>
        </is>
      </c>
      <c r="D7219" s="1" t="n">
        <v>46140</v>
      </c>
      <c r="E7219" s="1" t="n">
        <v>46326</v>
      </c>
      <c r="F7219" t="inlineStr">
        <is>
          <t>GÄVLEBORGS LÄN</t>
        </is>
      </c>
      <c r="G7219" t="inlineStr">
        <is>
          <t>BOLLNÄS</t>
        </is>
      </c>
      <c r="I7219" t="n">
        <v>0.9</v>
      </c>
      <c r="J7219" t="n">
        <v>0</v>
      </c>
      <c r="K7219" t="n">
        <v>0</v>
      </c>
      <c r="L7219" t="n">
        <v>0</v>
      </c>
      <c r="M7219" t="n">
        <v>0</v>
      </c>
      <c r="N7219" t="n">
        <v>0</v>
      </c>
      <c r="O7219" t="n">
        <v>0</v>
      </c>
      <c r="P7219" t="n">
        <v>0</v>
      </c>
      <c r="Q7219" t="n">
        <v>0</v>
      </c>
      <c r="R7219" t="n">
        <v>0</v>
      </c>
      <c r="S7219" t="n">
        <v>0</v>
      </c>
      <c r="T7219" t="n">
        <v>0</v>
      </c>
      <c r="U7219" t="n">
        <v>0</v>
      </c>
      <c r="V7219" s="2" t="inlineStr"/>
    </row>
    <row r="7220" ht="15" customHeight="1">
      <c r="A7220" t="inlineStr">
        <is>
          <t>A 20670-2026</t>
        </is>
      </c>
      <c r="B7220" t="inlineStr">
        <is>
          <t>avverkningsanmälan</t>
        </is>
      </c>
      <c r="C7220" t="inlineStr">
        <is>
          <t>Föryngringsavverkning</t>
        </is>
      </c>
      <c r="D7220" s="1" t="n">
        <v>46141</v>
      </c>
      <c r="E7220" s="1" t="n">
        <v>46326</v>
      </c>
      <c r="F7220" t="inlineStr">
        <is>
          <t>GÄVLEBORGS LÄN</t>
        </is>
      </c>
      <c r="G7220" t="inlineStr">
        <is>
          <t>OVANÅKER</t>
        </is>
      </c>
      <c r="H7220" t="inlineStr">
        <is>
          <t>Bergvik skog väst AB</t>
        </is>
      </c>
      <c r="I7220" t="n">
        <v>0.9</v>
      </c>
      <c r="J7220" t="n">
        <v>0</v>
      </c>
      <c r="K7220" t="n">
        <v>0</v>
      </c>
      <c r="L7220" t="n">
        <v>0</v>
      </c>
      <c r="M7220" t="n">
        <v>0</v>
      </c>
      <c r="N7220" t="n">
        <v>0</v>
      </c>
      <c r="O7220" t="n">
        <v>0</v>
      </c>
      <c r="P7220" t="n">
        <v>0</v>
      </c>
      <c r="Q7220" t="n">
        <v>0</v>
      </c>
      <c r="R7220" t="n">
        <v>0</v>
      </c>
      <c r="S7220" t="n">
        <v>0</v>
      </c>
      <c r="T7220" t="n">
        <v>0</v>
      </c>
      <c r="U7220" t="n">
        <v>0</v>
      </c>
      <c r="V7220" s="2" t="inlineStr"/>
    </row>
    <row r="7221" ht="15" customHeight="1">
      <c r="A7221" t="inlineStr">
        <is>
          <t>A 49211-2023</t>
        </is>
      </c>
      <c r="B7221" t="inlineStr">
        <is>
          <t>avverkningsanmälan</t>
        </is>
      </c>
      <c r="C7221" t="inlineStr">
        <is>
          <t>Föryngringsavverkning</t>
        </is>
      </c>
      <c r="D7221" s="1" t="n">
        <v>45210</v>
      </c>
      <c r="E7221" s="1" t="n">
        <v>46326</v>
      </c>
      <c r="F7221" t="inlineStr">
        <is>
          <t>GÄVLEBORGS LÄN</t>
        </is>
      </c>
      <c r="G7221" t="inlineStr">
        <is>
          <t>SANDVIKEN</t>
        </is>
      </c>
      <c r="I7221" t="n">
        <v>3.6</v>
      </c>
      <c r="J7221" t="n">
        <v>0</v>
      </c>
      <c r="K7221" t="n">
        <v>0</v>
      </c>
      <c r="L7221" t="n">
        <v>0</v>
      </c>
      <c r="M7221" t="n">
        <v>0</v>
      </c>
      <c r="N7221" t="n">
        <v>0</v>
      </c>
      <c r="O7221" t="n">
        <v>0</v>
      </c>
      <c r="P7221" t="n">
        <v>0</v>
      </c>
      <c r="Q7221" t="n">
        <v>0</v>
      </c>
      <c r="R7221" t="n">
        <v>0</v>
      </c>
      <c r="S7221" t="n">
        <v>0</v>
      </c>
      <c r="T7221" t="n">
        <v>0</v>
      </c>
      <c r="U7221" t="n">
        <v>0</v>
      </c>
      <c r="V7221" s="2" t="inlineStr"/>
    </row>
    <row r="7222" ht="15" customHeight="1">
      <c r="A7222" t="inlineStr">
        <is>
          <t>A 30122-2023</t>
        </is>
      </c>
      <c r="B7222" t="inlineStr">
        <is>
          <t>avverkningsanmälan</t>
        </is>
      </c>
      <c r="C7222" t="inlineStr">
        <is>
          <t>Avverkning för annat ändamål</t>
        </is>
      </c>
      <c r="D7222" s="1" t="n">
        <v>45110</v>
      </c>
      <c r="E7222" s="1" t="n">
        <v>46326</v>
      </c>
      <c r="F7222" t="inlineStr">
        <is>
          <t>GÄVLEBORGS LÄN</t>
        </is>
      </c>
      <c r="G7222" t="inlineStr">
        <is>
          <t>HUDIKSVALL</t>
        </is>
      </c>
      <c r="I7222" t="n">
        <v>0.4</v>
      </c>
      <c r="J7222" t="n">
        <v>0</v>
      </c>
      <c r="K7222" t="n">
        <v>0</v>
      </c>
      <c r="L7222" t="n">
        <v>0</v>
      </c>
      <c r="M7222" t="n">
        <v>0</v>
      </c>
      <c r="N7222" t="n">
        <v>0</v>
      </c>
      <c r="O7222" t="n">
        <v>0</v>
      </c>
      <c r="P7222" t="n">
        <v>0</v>
      </c>
      <c r="Q7222" t="n">
        <v>0</v>
      </c>
      <c r="R7222" t="n">
        <v>0</v>
      </c>
      <c r="S7222" t="n">
        <v>0</v>
      </c>
      <c r="T7222" t="n">
        <v>0</v>
      </c>
      <c r="U7222" t="n">
        <v>0</v>
      </c>
      <c r="V7222" s="2" t="inlineStr"/>
    </row>
    <row r="7223" ht="15" customHeight="1">
      <c r="A7223" t="inlineStr">
        <is>
          <t>A 11478-2026</t>
        </is>
      </c>
      <c r="B7223" t="inlineStr">
        <is>
          <t>avverkningsanmälan</t>
        </is>
      </c>
      <c r="C7223" t="inlineStr">
        <is>
          <t>Föryngringsavverkning</t>
        </is>
      </c>
      <c r="D7223" s="1" t="n">
        <v>46083</v>
      </c>
      <c r="E7223" s="1" t="n">
        <v>46326</v>
      </c>
      <c r="F7223" t="inlineStr">
        <is>
          <t>GÄVLEBORGS LÄN</t>
        </is>
      </c>
      <c r="G7223" t="inlineStr">
        <is>
          <t>HUDIKSVALL</t>
        </is>
      </c>
      <c r="H7223" t="inlineStr">
        <is>
          <t>Holmen skog AB</t>
        </is>
      </c>
      <c r="I7223" t="n">
        <v>3.7</v>
      </c>
      <c r="J7223" t="n">
        <v>0</v>
      </c>
      <c r="K7223" t="n">
        <v>0</v>
      </c>
      <c r="L7223" t="n">
        <v>0</v>
      </c>
      <c r="M7223" t="n">
        <v>0</v>
      </c>
      <c r="N7223" t="n">
        <v>0</v>
      </c>
      <c r="O7223" t="n">
        <v>0</v>
      </c>
      <c r="P7223" t="n">
        <v>0</v>
      </c>
      <c r="Q7223" t="n">
        <v>0</v>
      </c>
      <c r="R7223" t="n">
        <v>0</v>
      </c>
      <c r="S7223" t="n">
        <v>0</v>
      </c>
      <c r="T7223" t="n">
        <v>0</v>
      </c>
      <c r="U7223" t="n">
        <v>0</v>
      </c>
      <c r="V7223" s="2" t="inlineStr"/>
    </row>
    <row r="7224" ht="15" customHeight="1">
      <c r="A7224" t="inlineStr">
        <is>
          <t>A 12239-2026</t>
        </is>
      </c>
      <c r="B7224" t="inlineStr">
        <is>
          <t>avverkningsanmälan</t>
        </is>
      </c>
      <c r="C7224" t="inlineStr">
        <is>
          <t>Föryngringsavverkning</t>
        </is>
      </c>
      <c r="D7224" s="1" t="n">
        <v>46087</v>
      </c>
      <c r="E7224" s="1" t="n">
        <v>46326</v>
      </c>
      <c r="F7224" t="inlineStr">
        <is>
          <t>GÄVLEBORGS LÄN</t>
        </is>
      </c>
      <c r="G7224" t="inlineStr">
        <is>
          <t>BOLLNÄS</t>
        </is>
      </c>
      <c r="I7224" t="n">
        <v>1.1</v>
      </c>
      <c r="J7224" t="n">
        <v>0</v>
      </c>
      <c r="K7224" t="n">
        <v>0</v>
      </c>
      <c r="L7224" t="n">
        <v>0</v>
      </c>
      <c r="M7224" t="n">
        <v>0</v>
      </c>
      <c r="N7224" t="n">
        <v>0</v>
      </c>
      <c r="O7224" t="n">
        <v>0</v>
      </c>
      <c r="P7224" t="n">
        <v>0</v>
      </c>
      <c r="Q7224" t="n">
        <v>0</v>
      </c>
      <c r="R7224" t="n">
        <v>0</v>
      </c>
      <c r="S7224" t="n">
        <v>0</v>
      </c>
      <c r="T7224" t="n">
        <v>0</v>
      </c>
      <c r="U7224" t="n">
        <v>0</v>
      </c>
      <c r="V7224" s="2" t="inlineStr"/>
    </row>
    <row r="7225" ht="15" customHeight="1">
      <c r="A7225" t="inlineStr">
        <is>
          <t>A 14632-2026</t>
        </is>
      </c>
      <c r="B7225" t="inlineStr">
        <is>
          <t>avverkningsanmälan</t>
        </is>
      </c>
      <c r="C7225" t="inlineStr">
        <is>
          <t>Föryngringsavverkning</t>
        </is>
      </c>
      <c r="D7225" s="1" t="n">
        <v>46101</v>
      </c>
      <c r="E7225" s="1" t="n">
        <v>46326</v>
      </c>
      <c r="F7225" t="inlineStr">
        <is>
          <t>GÄVLEBORGS LÄN</t>
        </is>
      </c>
      <c r="G7225" t="inlineStr">
        <is>
          <t>BOLLNÄS</t>
        </is>
      </c>
      <c r="H7225" t="inlineStr">
        <is>
          <t>Kyrkan</t>
        </is>
      </c>
      <c r="I7225" t="n">
        <v>8.1</v>
      </c>
      <c r="J7225" t="n">
        <v>0</v>
      </c>
      <c r="K7225" t="n">
        <v>0</v>
      </c>
      <c r="L7225" t="n">
        <v>0</v>
      </c>
      <c r="M7225" t="n">
        <v>0</v>
      </c>
      <c r="N7225" t="n">
        <v>0</v>
      </c>
      <c r="O7225" t="n">
        <v>0</v>
      </c>
      <c r="P7225" t="n">
        <v>0</v>
      </c>
      <c r="Q7225" t="n">
        <v>0</v>
      </c>
      <c r="R7225" t="n">
        <v>0</v>
      </c>
      <c r="S7225" t="n">
        <v>0</v>
      </c>
      <c r="T7225" t="n">
        <v>0</v>
      </c>
      <c r="U7225" t="n">
        <v>0</v>
      </c>
      <c r="V7225" s="2" t="inlineStr"/>
    </row>
    <row r="7226" ht="15" customHeight="1">
      <c r="A7226" t="inlineStr">
        <is>
          <t>A 11811-2026</t>
        </is>
      </c>
      <c r="B7226" t="inlineStr">
        <is>
          <t>avverkningsanmälan</t>
        </is>
      </c>
      <c r="C7226" t="inlineStr">
        <is>
          <t>Föryngringsavverkning</t>
        </is>
      </c>
      <c r="D7226" s="1" t="n">
        <v>46085</v>
      </c>
      <c r="E7226" s="1" t="n">
        <v>46326</v>
      </c>
      <c r="F7226" t="inlineStr">
        <is>
          <t>GÄVLEBORGS LÄN</t>
        </is>
      </c>
      <c r="G7226" t="inlineStr">
        <is>
          <t>OVANÅKER</t>
        </is>
      </c>
      <c r="H7226" t="inlineStr">
        <is>
          <t>Bergvik skog väst AB</t>
        </is>
      </c>
      <c r="I7226" t="n">
        <v>0.9</v>
      </c>
      <c r="J7226" t="n">
        <v>0</v>
      </c>
      <c r="K7226" t="n">
        <v>0</v>
      </c>
      <c r="L7226" t="n">
        <v>0</v>
      </c>
      <c r="M7226" t="n">
        <v>0</v>
      </c>
      <c r="N7226" t="n">
        <v>0</v>
      </c>
      <c r="O7226" t="n">
        <v>0</v>
      </c>
      <c r="P7226" t="n">
        <v>0</v>
      </c>
      <c r="Q7226" t="n">
        <v>0</v>
      </c>
      <c r="R7226" t="n">
        <v>0</v>
      </c>
      <c r="S7226" t="n">
        <v>0</v>
      </c>
      <c r="T7226" t="n">
        <v>0</v>
      </c>
      <c r="U7226" t="n">
        <v>0</v>
      </c>
      <c r="V7226" s="2" t="inlineStr"/>
    </row>
    <row r="7227" ht="15" customHeight="1">
      <c r="A7227" t="inlineStr">
        <is>
          <t>A 12034-2026</t>
        </is>
      </c>
      <c r="B7227" t="inlineStr">
        <is>
          <t>avverkningsanmälan</t>
        </is>
      </c>
      <c r="C7227" t="inlineStr">
        <is>
          <t>Föryngringsavverkning</t>
        </is>
      </c>
      <c r="D7227" s="1" t="n">
        <v>46086</v>
      </c>
      <c r="E7227" s="1" t="n">
        <v>46326</v>
      </c>
      <c r="F7227" t="inlineStr">
        <is>
          <t>GÄVLEBORGS LÄN</t>
        </is>
      </c>
      <c r="G7227" t="inlineStr">
        <is>
          <t>OVANÅKER</t>
        </is>
      </c>
      <c r="I7227" t="n">
        <v>2</v>
      </c>
      <c r="J7227" t="n">
        <v>0</v>
      </c>
      <c r="K7227" t="n">
        <v>0</v>
      </c>
      <c r="L7227" t="n">
        <v>0</v>
      </c>
      <c r="M7227" t="n">
        <v>0</v>
      </c>
      <c r="N7227" t="n">
        <v>0</v>
      </c>
      <c r="O7227" t="n">
        <v>0</v>
      </c>
      <c r="P7227" t="n">
        <v>0</v>
      </c>
      <c r="Q7227" t="n">
        <v>0</v>
      </c>
      <c r="R7227" t="n">
        <v>0</v>
      </c>
      <c r="S7227" t="n">
        <v>0</v>
      </c>
      <c r="T7227" t="n">
        <v>0</v>
      </c>
      <c r="U7227" t="n">
        <v>0</v>
      </c>
      <c r="V7227" s="2" t="inlineStr"/>
    </row>
    <row r="7228" ht="15" customHeight="1">
      <c r="A7228" t="inlineStr">
        <is>
          <t>A 17618-2025</t>
        </is>
      </c>
      <c r="B7228" t="inlineStr">
        <is>
          <t>avverkningsanmälan</t>
        </is>
      </c>
      <c r="C7228" t="inlineStr">
        <is>
          <t>Föryngringsavverkning</t>
        </is>
      </c>
      <c r="D7228" s="1" t="n">
        <v>45757</v>
      </c>
      <c r="E7228" s="1" t="n">
        <v>46326</v>
      </c>
      <c r="F7228" t="inlineStr">
        <is>
          <t>GÄVLEBORGS LÄN</t>
        </is>
      </c>
      <c r="G7228" t="inlineStr">
        <is>
          <t>OVANÅKER</t>
        </is>
      </c>
      <c r="H7228" t="inlineStr">
        <is>
          <t>Holmen skog AB</t>
        </is>
      </c>
      <c r="I7228" t="n">
        <v>5.8</v>
      </c>
      <c r="J7228" t="n">
        <v>0</v>
      </c>
      <c r="K7228" t="n">
        <v>0</v>
      </c>
      <c r="L7228" t="n">
        <v>0</v>
      </c>
      <c r="M7228" t="n">
        <v>0</v>
      </c>
      <c r="N7228" t="n">
        <v>0</v>
      </c>
      <c r="O7228" t="n">
        <v>0</v>
      </c>
      <c r="P7228" t="n">
        <v>0</v>
      </c>
      <c r="Q7228" t="n">
        <v>0</v>
      </c>
      <c r="R7228" t="n">
        <v>0</v>
      </c>
      <c r="S7228" t="n">
        <v>0</v>
      </c>
      <c r="T7228" t="n">
        <v>0</v>
      </c>
      <c r="U7228" t="n">
        <v>0</v>
      </c>
      <c r="V7228" s="2" t="inlineStr"/>
    </row>
    <row r="7229" ht="15" customHeight="1">
      <c r="A7229" t="inlineStr">
        <is>
          <t>A 25812-2023</t>
        </is>
      </c>
      <c r="B7229" t="inlineStr">
        <is>
          <t>avverkningsanmälan</t>
        </is>
      </c>
      <c r="C7229" t="inlineStr">
        <is>
          <t>Föryngringsavverkning</t>
        </is>
      </c>
      <c r="D7229" s="1" t="n">
        <v>45090</v>
      </c>
      <c r="E7229" s="1" t="n">
        <v>46326</v>
      </c>
      <c r="F7229" t="inlineStr">
        <is>
          <t>GÄVLEBORGS LÄN</t>
        </is>
      </c>
      <c r="G7229" t="inlineStr">
        <is>
          <t>GÄVLE</t>
        </is>
      </c>
      <c r="I7229" t="n">
        <v>1.7</v>
      </c>
      <c r="J7229" t="n">
        <v>0</v>
      </c>
      <c r="K7229" t="n">
        <v>0</v>
      </c>
      <c r="L7229" t="n">
        <v>0</v>
      </c>
      <c r="M7229" t="n">
        <v>0</v>
      </c>
      <c r="N7229" t="n">
        <v>0</v>
      </c>
      <c r="O7229" t="n">
        <v>0</v>
      </c>
      <c r="P7229" t="n">
        <v>0</v>
      </c>
      <c r="Q7229" t="n">
        <v>0</v>
      </c>
      <c r="R7229" t="n">
        <v>0</v>
      </c>
      <c r="S7229" t="n">
        <v>0</v>
      </c>
      <c r="T7229" t="n">
        <v>0</v>
      </c>
      <c r="U7229" t="n">
        <v>0</v>
      </c>
      <c r="V7229" s="2" t="inlineStr"/>
    </row>
    <row r="7230" ht="15" customHeight="1">
      <c r="A7230" t="inlineStr">
        <is>
          <t>A 9770-2026</t>
        </is>
      </c>
      <c r="B7230" t="inlineStr">
        <is>
          <t>avverkningsanmälan</t>
        </is>
      </c>
      <c r="C7230" t="inlineStr">
        <is>
          <t>Föryngringsavverkning</t>
        </is>
      </c>
      <c r="D7230" s="1" t="n">
        <v>46072</v>
      </c>
      <c r="E7230" s="1" t="n">
        <v>46326</v>
      </c>
      <c r="F7230" t="inlineStr">
        <is>
          <t>GÄVLEBORGS LÄN</t>
        </is>
      </c>
      <c r="G7230" t="inlineStr">
        <is>
          <t>LJUSDAL</t>
        </is>
      </c>
      <c r="I7230" t="n">
        <v>1.3</v>
      </c>
      <c r="J7230" t="n">
        <v>0</v>
      </c>
      <c r="K7230" t="n">
        <v>0</v>
      </c>
      <c r="L7230" t="n">
        <v>0</v>
      </c>
      <c r="M7230" t="n">
        <v>0</v>
      </c>
      <c r="N7230" t="n">
        <v>0</v>
      </c>
      <c r="O7230" t="n">
        <v>0</v>
      </c>
      <c r="P7230" t="n">
        <v>0</v>
      </c>
      <c r="Q7230" t="n">
        <v>0</v>
      </c>
      <c r="R7230" t="n">
        <v>0</v>
      </c>
      <c r="S7230" t="n">
        <v>0</v>
      </c>
      <c r="T7230" t="n">
        <v>0</v>
      </c>
      <c r="U7230" t="n">
        <v>0</v>
      </c>
      <c r="V7230" s="2" t="inlineStr"/>
    </row>
    <row r="7231" ht="15" customHeight="1">
      <c r="A7231" t="inlineStr">
        <is>
          <t>A 9823-2026</t>
        </is>
      </c>
      <c r="B7231" t="inlineStr">
        <is>
          <t>avverkningsanmälan</t>
        </is>
      </c>
      <c r="C7231" t="inlineStr">
        <is>
          <t>Föryngringsavverkning</t>
        </is>
      </c>
      <c r="D7231" s="1" t="n">
        <v>46072</v>
      </c>
      <c r="E7231" s="1" t="n">
        <v>46326</v>
      </c>
      <c r="F7231" t="inlineStr">
        <is>
          <t>GÄVLEBORGS LÄN</t>
        </is>
      </c>
      <c r="G7231" t="inlineStr">
        <is>
          <t>OVANÅKER</t>
        </is>
      </c>
      <c r="I7231" t="n">
        <v>1.5</v>
      </c>
      <c r="J7231" t="n">
        <v>0</v>
      </c>
      <c r="K7231" t="n">
        <v>0</v>
      </c>
      <c r="L7231" t="n">
        <v>0</v>
      </c>
      <c r="M7231" t="n">
        <v>0</v>
      </c>
      <c r="N7231" t="n">
        <v>0</v>
      </c>
      <c r="O7231" t="n">
        <v>0</v>
      </c>
      <c r="P7231" t="n">
        <v>0</v>
      </c>
      <c r="Q7231" t="n">
        <v>0</v>
      </c>
      <c r="R7231" t="n">
        <v>0</v>
      </c>
      <c r="S7231" t="n">
        <v>0</v>
      </c>
      <c r="T7231" t="n">
        <v>0</v>
      </c>
      <c r="U7231" t="n">
        <v>0</v>
      </c>
      <c r="V7231" s="2" t="inlineStr"/>
    </row>
    <row r="7232" ht="15" customHeight="1">
      <c r="A7232" t="inlineStr">
        <is>
          <t>A 8204-2026</t>
        </is>
      </c>
      <c r="B7232" t="inlineStr">
        <is>
          <t>avverkningsanmälan</t>
        </is>
      </c>
      <c r="C7232" t="inlineStr">
        <is>
          <t>Föryngringsavverkning</t>
        </is>
      </c>
      <c r="D7232" s="1" t="n">
        <v>46064</v>
      </c>
      <c r="E7232" s="1" t="n">
        <v>46326</v>
      </c>
      <c r="F7232" t="inlineStr">
        <is>
          <t>GÄVLEBORGS LÄN</t>
        </is>
      </c>
      <c r="G7232" t="inlineStr">
        <is>
          <t>BOLLNÄS</t>
        </is>
      </c>
      <c r="I7232" t="n">
        <v>2.8</v>
      </c>
      <c r="J7232" t="n">
        <v>0</v>
      </c>
      <c r="K7232" t="n">
        <v>0</v>
      </c>
      <c r="L7232" t="n">
        <v>0</v>
      </c>
      <c r="M7232" t="n">
        <v>0</v>
      </c>
      <c r="N7232" t="n">
        <v>0</v>
      </c>
      <c r="O7232" t="n">
        <v>0</v>
      </c>
      <c r="P7232" t="n">
        <v>0</v>
      </c>
      <c r="Q7232" t="n">
        <v>0</v>
      </c>
      <c r="R7232" t="n">
        <v>0</v>
      </c>
      <c r="S7232" t="n">
        <v>0</v>
      </c>
      <c r="T7232" t="n">
        <v>0</v>
      </c>
      <c r="U7232" t="n">
        <v>0</v>
      </c>
      <c r="V7232" s="2" t="inlineStr"/>
    </row>
    <row r="7233" ht="15" customHeight="1">
      <c r="A7233" t="inlineStr">
        <is>
          <t>A 16277-2026</t>
        </is>
      </c>
      <c r="B7233" t="inlineStr">
        <is>
          <t>avverkningsanmälan</t>
        </is>
      </c>
      <c r="C7233" t="inlineStr">
        <is>
          <t>Föryngringsavverkning</t>
        </is>
      </c>
      <c r="D7233" s="1" t="n">
        <v>46111</v>
      </c>
      <c r="E7233" s="1" t="n">
        <v>46326</v>
      </c>
      <c r="F7233" t="inlineStr">
        <is>
          <t>GÄVLEBORGS LÄN</t>
        </is>
      </c>
      <c r="G7233" t="inlineStr">
        <is>
          <t>OVANÅKER</t>
        </is>
      </c>
      <c r="H7233" t="inlineStr">
        <is>
          <t>Bergvik skog öst AB</t>
        </is>
      </c>
      <c r="I7233" t="n">
        <v>7.3</v>
      </c>
      <c r="J7233" t="n">
        <v>0</v>
      </c>
      <c r="K7233" t="n">
        <v>0</v>
      </c>
      <c r="L7233" t="n">
        <v>0</v>
      </c>
      <c r="M7233" t="n">
        <v>0</v>
      </c>
      <c r="N7233" t="n">
        <v>0</v>
      </c>
      <c r="O7233" t="n">
        <v>0</v>
      </c>
      <c r="P7233" t="n">
        <v>0</v>
      </c>
      <c r="Q7233" t="n">
        <v>0</v>
      </c>
      <c r="R7233" t="n">
        <v>0</v>
      </c>
      <c r="S7233" t="n">
        <v>0</v>
      </c>
      <c r="T7233" t="n">
        <v>0</v>
      </c>
      <c r="U7233" t="n">
        <v>0</v>
      </c>
      <c r="V7233" s="2" t="inlineStr"/>
    </row>
    <row r="7234" ht="15" customHeight="1">
      <c r="A7234" t="inlineStr">
        <is>
          <t>A 32924-2023</t>
        </is>
      </c>
      <c r="B7234" t="inlineStr">
        <is>
          <t>avverkningsanmälan</t>
        </is>
      </c>
      <c r="C7234" t="inlineStr">
        <is>
          <t>Föryngringsavverkning</t>
        </is>
      </c>
      <c r="D7234" s="1" t="n">
        <v>45125</v>
      </c>
      <c r="E7234" s="1" t="n">
        <v>46326</v>
      </c>
      <c r="F7234" t="inlineStr">
        <is>
          <t>GÄVLEBORGS LÄN</t>
        </is>
      </c>
      <c r="G7234" t="inlineStr">
        <is>
          <t>LJUSDAL</t>
        </is>
      </c>
      <c r="H7234" t="inlineStr">
        <is>
          <t>Holmen skog AB</t>
        </is>
      </c>
      <c r="I7234" t="n">
        <v>6</v>
      </c>
      <c r="J7234" t="n">
        <v>0</v>
      </c>
      <c r="K7234" t="n">
        <v>0</v>
      </c>
      <c r="L7234" t="n">
        <v>0</v>
      </c>
      <c r="M7234" t="n">
        <v>0</v>
      </c>
      <c r="N7234" t="n">
        <v>0</v>
      </c>
      <c r="O7234" t="n">
        <v>0</v>
      </c>
      <c r="P7234" t="n">
        <v>0</v>
      </c>
      <c r="Q7234" t="n">
        <v>0</v>
      </c>
      <c r="R7234" t="n">
        <v>0</v>
      </c>
      <c r="S7234" t="n">
        <v>0</v>
      </c>
      <c r="T7234" t="n">
        <v>0</v>
      </c>
      <c r="U7234" t="n">
        <v>0</v>
      </c>
      <c r="V7234" s="2" t="inlineStr"/>
    </row>
    <row r="7235" ht="15" customHeight="1">
      <c r="A7235" t="inlineStr">
        <is>
          <t>A 53977-2025</t>
        </is>
      </c>
      <c r="B7235" t="inlineStr">
        <is>
          <t>avverkningsanmälan</t>
        </is>
      </c>
      <c r="C7235" t="inlineStr">
        <is>
          <t>Föryngringsavverkning</t>
        </is>
      </c>
      <c r="D7235" s="1" t="n">
        <v>45961</v>
      </c>
      <c r="E7235" s="1" t="n">
        <v>46326</v>
      </c>
      <c r="F7235" t="inlineStr">
        <is>
          <t>GÄVLEBORGS LÄN</t>
        </is>
      </c>
      <c r="G7235" t="inlineStr">
        <is>
          <t>HUDIKSVALL</t>
        </is>
      </c>
      <c r="H7235" t="inlineStr">
        <is>
          <t>Naturvårdsverket</t>
        </is>
      </c>
      <c r="I7235" t="n">
        <v>9.5</v>
      </c>
      <c r="J7235" t="n">
        <v>0</v>
      </c>
      <c r="K7235" t="n">
        <v>0</v>
      </c>
      <c r="L7235" t="n">
        <v>0</v>
      </c>
      <c r="M7235" t="n">
        <v>0</v>
      </c>
      <c r="N7235" t="n">
        <v>0</v>
      </c>
      <c r="O7235" t="n">
        <v>0</v>
      </c>
      <c r="P7235" t="n">
        <v>0</v>
      </c>
      <c r="Q7235" t="n">
        <v>0</v>
      </c>
      <c r="R7235" t="n">
        <v>0</v>
      </c>
      <c r="S7235" t="n">
        <v>0</v>
      </c>
      <c r="T7235" t="n">
        <v>0</v>
      </c>
      <c r="U7235" t="n">
        <v>0</v>
      </c>
      <c r="V7235" s="2" t="inlineStr"/>
    </row>
    <row r="7236" ht="15" customHeight="1">
      <c r="A7236" t="inlineStr">
        <is>
          <t>A 1173-2026</t>
        </is>
      </c>
      <c r="B7236" t="inlineStr">
        <is>
          <t>avverkningsanmälan</t>
        </is>
      </c>
      <c r="C7236" t="inlineStr">
        <is>
          <t>Föryngringsavverkning</t>
        </is>
      </c>
      <c r="D7236" s="1" t="n">
        <v>46031</v>
      </c>
      <c r="E7236" s="1" t="n">
        <v>46326</v>
      </c>
      <c r="F7236" t="inlineStr">
        <is>
          <t>GÄVLEBORGS LÄN</t>
        </is>
      </c>
      <c r="G7236" t="inlineStr">
        <is>
          <t>NORDANSTIG</t>
        </is>
      </c>
      <c r="H7236" t="inlineStr">
        <is>
          <t>Holmen skog AB</t>
        </is>
      </c>
      <c r="I7236" t="n">
        <v>1.6</v>
      </c>
      <c r="J7236" t="n">
        <v>0</v>
      </c>
      <c r="K7236" t="n">
        <v>0</v>
      </c>
      <c r="L7236" t="n">
        <v>0</v>
      </c>
      <c r="M7236" t="n">
        <v>0</v>
      </c>
      <c r="N7236" t="n">
        <v>0</v>
      </c>
      <c r="O7236" t="n">
        <v>0</v>
      </c>
      <c r="P7236" t="n">
        <v>0</v>
      </c>
      <c r="Q7236" t="n">
        <v>0</v>
      </c>
      <c r="R7236" t="n">
        <v>0</v>
      </c>
      <c r="S7236" t="n">
        <v>0</v>
      </c>
      <c r="T7236" t="n">
        <v>0</v>
      </c>
      <c r="U7236" t="n">
        <v>0</v>
      </c>
      <c r="V7236" s="2" t="inlineStr"/>
    </row>
    <row r="7237" ht="15" customHeight="1">
      <c r="A7237" t="inlineStr">
        <is>
          <t>A 33377-2022</t>
        </is>
      </c>
      <c r="B7237" t="inlineStr">
        <is>
          <t>avverkningsanmälan</t>
        </is>
      </c>
      <c r="C7237" t="inlineStr">
        <is>
          <t>Föryngringsavverkning</t>
        </is>
      </c>
      <c r="D7237" s="1" t="n">
        <v>44788</v>
      </c>
      <c r="E7237" s="1" t="n">
        <v>46326</v>
      </c>
      <c r="F7237" t="inlineStr">
        <is>
          <t>GÄVLEBORGS LÄN</t>
        </is>
      </c>
      <c r="G7237" t="inlineStr">
        <is>
          <t>NORDANSTIG</t>
        </is>
      </c>
      <c r="I7237" t="n">
        <v>3.4</v>
      </c>
      <c r="J7237" t="n">
        <v>0</v>
      </c>
      <c r="K7237" t="n">
        <v>0</v>
      </c>
      <c r="L7237" t="n">
        <v>0</v>
      </c>
      <c r="M7237" t="n">
        <v>0</v>
      </c>
      <c r="N7237" t="n">
        <v>0</v>
      </c>
      <c r="O7237" t="n">
        <v>0</v>
      </c>
      <c r="P7237" t="n">
        <v>0</v>
      </c>
      <c r="Q7237" t="n">
        <v>0</v>
      </c>
      <c r="R7237" t="n">
        <v>0</v>
      </c>
      <c r="S7237" t="n">
        <v>0</v>
      </c>
      <c r="T7237" t="n">
        <v>0</v>
      </c>
      <c r="U7237" t="n">
        <v>0</v>
      </c>
      <c r="V7237" s="2" t="inlineStr"/>
    </row>
    <row r="7238" ht="15" customHeight="1">
      <c r="A7238" t="inlineStr">
        <is>
          <t>A 1556-2026</t>
        </is>
      </c>
      <c r="B7238" t="inlineStr">
        <is>
          <t>avverkningsanmälan</t>
        </is>
      </c>
      <c r="C7238" t="inlineStr">
        <is>
          <t>Föryngringsavverkning</t>
        </is>
      </c>
      <c r="D7238" s="1" t="n">
        <v>46034</v>
      </c>
      <c r="E7238" s="1" t="n">
        <v>46326</v>
      </c>
      <c r="F7238" t="inlineStr">
        <is>
          <t>GÄVLEBORGS LÄN</t>
        </is>
      </c>
      <c r="G7238" t="inlineStr">
        <is>
          <t>HUDIKSVALL</t>
        </is>
      </c>
      <c r="I7238" t="n">
        <v>1.4</v>
      </c>
      <c r="J7238" t="n">
        <v>0</v>
      </c>
      <c r="K7238" t="n">
        <v>0</v>
      </c>
      <c r="L7238" t="n">
        <v>0</v>
      </c>
      <c r="M7238" t="n">
        <v>0</v>
      </c>
      <c r="N7238" t="n">
        <v>0</v>
      </c>
      <c r="O7238" t="n">
        <v>0</v>
      </c>
      <c r="P7238" t="n">
        <v>0</v>
      </c>
      <c r="Q7238" t="n">
        <v>0</v>
      </c>
      <c r="R7238" t="n">
        <v>0</v>
      </c>
      <c r="S7238" t="n">
        <v>0</v>
      </c>
      <c r="T7238" t="n">
        <v>0</v>
      </c>
      <c r="U7238" t="n">
        <v>0</v>
      </c>
      <c r="V7238" s="2" t="inlineStr"/>
    </row>
    <row r="7239" ht="15" customHeight="1">
      <c r="A7239" t="inlineStr">
        <is>
          <t>A 32943-2023</t>
        </is>
      </c>
      <c r="B7239" t="inlineStr">
        <is>
          <t>avverkningsanmälan</t>
        </is>
      </c>
      <c r="C7239" t="inlineStr">
        <is>
          <t>Föryngringsavverkning</t>
        </is>
      </c>
      <c r="D7239" s="1" t="n">
        <v>45125</v>
      </c>
      <c r="E7239" s="1" t="n">
        <v>46326</v>
      </c>
      <c r="F7239" t="inlineStr">
        <is>
          <t>GÄVLEBORGS LÄN</t>
        </is>
      </c>
      <c r="G7239" t="inlineStr">
        <is>
          <t>LJUSDAL</t>
        </is>
      </c>
      <c r="I7239" t="n">
        <v>0.5</v>
      </c>
      <c r="J7239" t="n">
        <v>0</v>
      </c>
      <c r="K7239" t="n">
        <v>0</v>
      </c>
      <c r="L7239" t="n">
        <v>0</v>
      </c>
      <c r="M7239" t="n">
        <v>0</v>
      </c>
      <c r="N7239" t="n">
        <v>0</v>
      </c>
      <c r="O7239" t="n">
        <v>0</v>
      </c>
      <c r="P7239" t="n">
        <v>0</v>
      </c>
      <c r="Q7239" t="n">
        <v>0</v>
      </c>
      <c r="R7239" t="n">
        <v>0</v>
      </c>
      <c r="S7239" t="n">
        <v>0</v>
      </c>
      <c r="T7239" t="n">
        <v>0</v>
      </c>
      <c r="U7239" t="n">
        <v>0</v>
      </c>
      <c r="V7239" s="2" t="inlineStr"/>
    </row>
    <row r="7240" ht="15" customHeight="1">
      <c r="A7240" t="inlineStr">
        <is>
          <t>A 651-2026</t>
        </is>
      </c>
      <c r="B7240" t="inlineStr">
        <is>
          <t>avverkningsanmälan</t>
        </is>
      </c>
      <c r="C7240" t="inlineStr">
        <is>
          <t>Föryngringsavverkning</t>
        </is>
      </c>
      <c r="D7240" s="1" t="n">
        <v>46029</v>
      </c>
      <c r="E7240" s="1" t="n">
        <v>46326</v>
      </c>
      <c r="F7240" t="inlineStr">
        <is>
          <t>GÄVLEBORGS LÄN</t>
        </is>
      </c>
      <c r="G7240" t="inlineStr">
        <is>
          <t>BOLLNÄS</t>
        </is>
      </c>
      <c r="I7240" t="n">
        <v>3</v>
      </c>
      <c r="J7240" t="n">
        <v>0</v>
      </c>
      <c r="K7240" t="n">
        <v>0</v>
      </c>
      <c r="L7240" t="n">
        <v>0</v>
      </c>
      <c r="M7240" t="n">
        <v>0</v>
      </c>
      <c r="N7240" t="n">
        <v>0</v>
      </c>
      <c r="O7240" t="n">
        <v>0</v>
      </c>
      <c r="P7240" t="n">
        <v>0</v>
      </c>
      <c r="Q7240" t="n">
        <v>0</v>
      </c>
      <c r="R7240" t="n">
        <v>0</v>
      </c>
      <c r="S7240" t="n">
        <v>0</v>
      </c>
      <c r="T7240" t="n">
        <v>0</v>
      </c>
      <c r="U7240" t="n">
        <v>0</v>
      </c>
      <c r="V7240" s="2" t="inlineStr"/>
    </row>
    <row r="7241" ht="15" customHeight="1">
      <c r="A7241" t="inlineStr">
        <is>
          <t>A 16224-2025</t>
        </is>
      </c>
      <c r="B7241" t="inlineStr">
        <is>
          <t>avverkningsanmälan</t>
        </is>
      </c>
      <c r="C7241" t="inlineStr">
        <is>
          <t>Föryngringsavverkning</t>
        </is>
      </c>
      <c r="D7241" s="1" t="n">
        <v>45750</v>
      </c>
      <c r="E7241" s="1" t="n">
        <v>46326</v>
      </c>
      <c r="F7241" t="inlineStr">
        <is>
          <t>GÄVLEBORGS LÄN</t>
        </is>
      </c>
      <c r="G7241" t="inlineStr">
        <is>
          <t>SÖDERHAMN</t>
        </is>
      </c>
      <c r="I7241" t="n">
        <v>2.3</v>
      </c>
      <c r="J7241" t="n">
        <v>0</v>
      </c>
      <c r="K7241" t="n">
        <v>0</v>
      </c>
      <c r="L7241" t="n">
        <v>0</v>
      </c>
      <c r="M7241" t="n">
        <v>0</v>
      </c>
      <c r="N7241" t="n">
        <v>0</v>
      </c>
      <c r="O7241" t="n">
        <v>0</v>
      </c>
      <c r="P7241" t="n">
        <v>0</v>
      </c>
      <c r="Q7241" t="n">
        <v>0</v>
      </c>
      <c r="R7241" t="n">
        <v>0</v>
      </c>
      <c r="S7241" t="n">
        <v>0</v>
      </c>
      <c r="T7241" t="n">
        <v>0</v>
      </c>
      <c r="U7241" t="n">
        <v>0</v>
      </c>
      <c r="V7241" s="2" t="inlineStr"/>
    </row>
    <row r="7242" ht="15" customHeight="1">
      <c r="A7242" t="inlineStr">
        <is>
          <t>A 9940-2026</t>
        </is>
      </c>
      <c r="B7242" t="inlineStr">
        <is>
          <t>avverkningsanmälan</t>
        </is>
      </c>
      <c r="C7242" t="inlineStr">
        <is>
          <t>Föryngringsavverkning</t>
        </is>
      </c>
      <c r="D7242" s="1" t="n">
        <v>46073</v>
      </c>
      <c r="E7242" s="1" t="n">
        <v>46326</v>
      </c>
      <c r="F7242" t="inlineStr">
        <is>
          <t>GÄVLEBORGS LÄN</t>
        </is>
      </c>
      <c r="G7242" t="inlineStr">
        <is>
          <t>OVANÅKER</t>
        </is>
      </c>
      <c r="I7242" t="n">
        <v>2.3</v>
      </c>
      <c r="J7242" t="n">
        <v>0</v>
      </c>
      <c r="K7242" t="n">
        <v>0</v>
      </c>
      <c r="L7242" t="n">
        <v>0</v>
      </c>
      <c r="M7242" t="n">
        <v>0</v>
      </c>
      <c r="N7242" t="n">
        <v>0</v>
      </c>
      <c r="O7242" t="n">
        <v>0</v>
      </c>
      <c r="P7242" t="n">
        <v>0</v>
      </c>
      <c r="Q7242" t="n">
        <v>0</v>
      </c>
      <c r="R7242" t="n">
        <v>0</v>
      </c>
      <c r="S7242" t="n">
        <v>0</v>
      </c>
      <c r="T7242" t="n">
        <v>0</v>
      </c>
      <c r="U7242" t="n">
        <v>0</v>
      </c>
      <c r="V7242" s="2" t="inlineStr"/>
    </row>
    <row r="7243" ht="15" customHeight="1">
      <c r="A7243" t="inlineStr">
        <is>
          <t>A 10487-2026</t>
        </is>
      </c>
      <c r="B7243" t="inlineStr">
        <is>
          <t>avverkningsanmälan</t>
        </is>
      </c>
      <c r="C7243" t="inlineStr">
        <is>
          <t>Föryngringsavverkning</t>
        </is>
      </c>
      <c r="D7243" s="1" t="n">
        <v>46077</v>
      </c>
      <c r="E7243" s="1" t="n">
        <v>46326</v>
      </c>
      <c r="F7243" t="inlineStr">
        <is>
          <t>GÄVLEBORGS LÄN</t>
        </is>
      </c>
      <c r="G7243" t="inlineStr">
        <is>
          <t>GÄVLE</t>
        </is>
      </c>
      <c r="I7243" t="n">
        <v>1.4</v>
      </c>
      <c r="J7243" t="n">
        <v>0</v>
      </c>
      <c r="K7243" t="n">
        <v>0</v>
      </c>
      <c r="L7243" t="n">
        <v>0</v>
      </c>
      <c r="M7243" t="n">
        <v>0</v>
      </c>
      <c r="N7243" t="n">
        <v>0</v>
      </c>
      <c r="O7243" t="n">
        <v>0</v>
      </c>
      <c r="P7243" t="n">
        <v>0</v>
      </c>
      <c r="Q7243" t="n">
        <v>0</v>
      </c>
      <c r="R7243" t="n">
        <v>0</v>
      </c>
      <c r="S7243" t="n">
        <v>0</v>
      </c>
      <c r="T7243" t="n">
        <v>0</v>
      </c>
      <c r="U7243" t="n">
        <v>0</v>
      </c>
      <c r="V7243" s="2" t="inlineStr"/>
    </row>
    <row r="7244" ht="15" customHeight="1">
      <c r="A7244" t="inlineStr">
        <is>
          <t>A 13238-2026</t>
        </is>
      </c>
      <c r="B7244" t="inlineStr">
        <is>
          <t>avverkningsanmälan</t>
        </is>
      </c>
      <c r="C7244" t="inlineStr">
        <is>
          <t>Föryngringsavverkning</t>
        </is>
      </c>
      <c r="D7244" s="1" t="n">
        <v>46093</v>
      </c>
      <c r="E7244" s="1" t="n">
        <v>46326</v>
      </c>
      <c r="F7244" t="inlineStr">
        <is>
          <t>GÄVLEBORGS LÄN</t>
        </is>
      </c>
      <c r="G7244" t="inlineStr">
        <is>
          <t>BOLLNÄS</t>
        </is>
      </c>
      <c r="I7244" t="n">
        <v>1.2</v>
      </c>
      <c r="J7244" t="n">
        <v>0</v>
      </c>
      <c r="K7244" t="n">
        <v>0</v>
      </c>
      <c r="L7244" t="n">
        <v>0</v>
      </c>
      <c r="M7244" t="n">
        <v>0</v>
      </c>
      <c r="N7244" t="n">
        <v>0</v>
      </c>
      <c r="O7244" t="n">
        <v>0</v>
      </c>
      <c r="P7244" t="n">
        <v>0</v>
      </c>
      <c r="Q7244" t="n">
        <v>0</v>
      </c>
      <c r="R7244" t="n">
        <v>0</v>
      </c>
      <c r="S7244" t="n">
        <v>0</v>
      </c>
      <c r="T7244" t="n">
        <v>0</v>
      </c>
      <c r="U7244" t="n">
        <v>0</v>
      </c>
      <c r="V7244" s="2" t="inlineStr"/>
    </row>
    <row r="7245" ht="15" customHeight="1">
      <c r="A7245" t="inlineStr">
        <is>
          <t>A 16235-2025</t>
        </is>
      </c>
      <c r="B7245" t="inlineStr">
        <is>
          <t>avverkningsanmälan</t>
        </is>
      </c>
      <c r="C7245" t="inlineStr">
        <is>
          <t>Föryngringsavverkning</t>
        </is>
      </c>
      <c r="D7245" s="1" t="n">
        <v>45750</v>
      </c>
      <c r="E7245" s="1" t="n">
        <v>46326</v>
      </c>
      <c r="F7245" t="inlineStr">
        <is>
          <t>GÄVLEBORGS LÄN</t>
        </is>
      </c>
      <c r="G7245" t="inlineStr">
        <is>
          <t>SÖDERHAMN</t>
        </is>
      </c>
      <c r="H7245" t="inlineStr">
        <is>
          <t>Kommuner</t>
        </is>
      </c>
      <c r="I7245" t="n">
        <v>2.6</v>
      </c>
      <c r="J7245" t="n">
        <v>0</v>
      </c>
      <c r="K7245" t="n">
        <v>0</v>
      </c>
      <c r="L7245" t="n">
        <v>0</v>
      </c>
      <c r="M7245" t="n">
        <v>0</v>
      </c>
      <c r="N7245" t="n">
        <v>0</v>
      </c>
      <c r="O7245" t="n">
        <v>0</v>
      </c>
      <c r="P7245" t="n">
        <v>0</v>
      </c>
      <c r="Q7245" t="n">
        <v>0</v>
      </c>
      <c r="R7245" t="n">
        <v>0</v>
      </c>
      <c r="S7245" t="n">
        <v>0</v>
      </c>
      <c r="T7245" t="n">
        <v>0</v>
      </c>
      <c r="U7245" t="n">
        <v>0</v>
      </c>
      <c r="V7245" s="2" t="inlineStr"/>
    </row>
    <row r="7246" ht="15" customHeight="1">
      <c r="A7246" t="inlineStr">
        <is>
          <t>A 12580-2026</t>
        </is>
      </c>
      <c r="B7246" t="inlineStr">
        <is>
          <t>avverkningsanmälan</t>
        </is>
      </c>
      <c r="C7246" t="inlineStr">
        <is>
          <t>Föryngringsavverkning</t>
        </is>
      </c>
      <c r="D7246" s="1" t="n">
        <v>46090</v>
      </c>
      <c r="E7246" s="1" t="n">
        <v>46326</v>
      </c>
      <c r="F7246" t="inlineStr">
        <is>
          <t>GÄVLEBORGS LÄN</t>
        </is>
      </c>
      <c r="G7246" t="inlineStr">
        <is>
          <t>HUDIKSVALL</t>
        </is>
      </c>
      <c r="H7246" t="inlineStr">
        <is>
          <t>Holmen skog AB</t>
        </is>
      </c>
      <c r="I7246" t="n">
        <v>0.8</v>
      </c>
      <c r="J7246" t="n">
        <v>0</v>
      </c>
      <c r="K7246" t="n">
        <v>0</v>
      </c>
      <c r="L7246" t="n">
        <v>0</v>
      </c>
      <c r="M7246" t="n">
        <v>0</v>
      </c>
      <c r="N7246" t="n">
        <v>0</v>
      </c>
      <c r="O7246" t="n">
        <v>0</v>
      </c>
      <c r="P7246" t="n">
        <v>0</v>
      </c>
      <c r="Q7246" t="n">
        <v>0</v>
      </c>
      <c r="R7246" t="n">
        <v>0</v>
      </c>
      <c r="S7246" t="n">
        <v>0</v>
      </c>
      <c r="T7246" t="n">
        <v>0</v>
      </c>
      <c r="U7246" t="n">
        <v>0</v>
      </c>
      <c r="V7246" s="2" t="inlineStr"/>
    </row>
    <row r="7247" ht="15" customHeight="1">
      <c r="A7247" t="inlineStr">
        <is>
          <t>A 9495-2026</t>
        </is>
      </c>
      <c r="B7247" t="inlineStr">
        <is>
          <t>avverkningsanmälan</t>
        </is>
      </c>
      <c r="C7247" t="inlineStr">
        <is>
          <t>Föryngringsavverkning</t>
        </is>
      </c>
      <c r="D7247" s="1" t="n">
        <v>46071</v>
      </c>
      <c r="E7247" s="1" t="n">
        <v>46326</v>
      </c>
      <c r="F7247" t="inlineStr">
        <is>
          <t>GÄVLEBORGS LÄN</t>
        </is>
      </c>
      <c r="G7247" t="inlineStr">
        <is>
          <t>BOLLNÄS</t>
        </is>
      </c>
      <c r="I7247" t="n">
        <v>1.3</v>
      </c>
      <c r="J7247" t="n">
        <v>0</v>
      </c>
      <c r="K7247" t="n">
        <v>0</v>
      </c>
      <c r="L7247" t="n">
        <v>0</v>
      </c>
      <c r="M7247" t="n">
        <v>0</v>
      </c>
      <c r="N7247" t="n">
        <v>0</v>
      </c>
      <c r="O7247" t="n">
        <v>0</v>
      </c>
      <c r="P7247" t="n">
        <v>0</v>
      </c>
      <c r="Q7247" t="n">
        <v>0</v>
      </c>
      <c r="R7247" t="n">
        <v>0</v>
      </c>
      <c r="S7247" t="n">
        <v>0</v>
      </c>
      <c r="T7247" t="n">
        <v>0</v>
      </c>
      <c r="U7247" t="n">
        <v>0</v>
      </c>
      <c r="V7247" s="2" t="inlineStr"/>
    </row>
    <row r="7248" ht="15" customHeight="1">
      <c r="A7248" t="inlineStr">
        <is>
          <t>A 9582-2026</t>
        </is>
      </c>
      <c r="B7248" t="inlineStr">
        <is>
          <t>avverkningsanmälan</t>
        </is>
      </c>
      <c r="C7248" t="inlineStr">
        <is>
          <t>Föryngringsavverkning</t>
        </is>
      </c>
      <c r="D7248" s="1" t="n">
        <v>46071</v>
      </c>
      <c r="E7248" s="1" t="n">
        <v>46326</v>
      </c>
      <c r="F7248" t="inlineStr">
        <is>
          <t>GÄVLEBORGS LÄN</t>
        </is>
      </c>
      <c r="G7248" t="inlineStr">
        <is>
          <t>HUDIKSVALL</t>
        </is>
      </c>
      <c r="I7248" t="n">
        <v>6.2</v>
      </c>
      <c r="J7248" t="n">
        <v>0</v>
      </c>
      <c r="K7248" t="n">
        <v>0</v>
      </c>
      <c r="L7248" t="n">
        <v>0</v>
      </c>
      <c r="M7248" t="n">
        <v>0</v>
      </c>
      <c r="N7248" t="n">
        <v>0</v>
      </c>
      <c r="O7248" t="n">
        <v>0</v>
      </c>
      <c r="P7248" t="n">
        <v>0</v>
      </c>
      <c r="Q7248" t="n">
        <v>0</v>
      </c>
      <c r="R7248" t="n">
        <v>0</v>
      </c>
      <c r="S7248" t="n">
        <v>0</v>
      </c>
      <c r="T7248" t="n">
        <v>0</v>
      </c>
      <c r="U7248" t="n">
        <v>0</v>
      </c>
      <c r="V7248" s="2" t="inlineStr"/>
    </row>
    <row r="7249" ht="15" customHeight="1">
      <c r="A7249" t="inlineStr">
        <is>
          <t>A 11582-2026</t>
        </is>
      </c>
      <c r="B7249" t="inlineStr">
        <is>
          <t>avverkningsanmälan</t>
        </is>
      </c>
      <c r="C7249" t="inlineStr">
        <is>
          <t>Föryngringsavverkning</t>
        </is>
      </c>
      <c r="D7249" s="1" t="n">
        <v>46084</v>
      </c>
      <c r="E7249" s="1" t="n">
        <v>46326</v>
      </c>
      <c r="F7249" t="inlineStr">
        <is>
          <t>GÄVLEBORGS LÄN</t>
        </is>
      </c>
      <c r="G7249" t="inlineStr">
        <is>
          <t>NORDANSTIG</t>
        </is>
      </c>
      <c r="I7249" t="n">
        <v>3.1</v>
      </c>
      <c r="J7249" t="n">
        <v>0</v>
      </c>
      <c r="K7249" t="n">
        <v>0</v>
      </c>
      <c r="L7249" t="n">
        <v>0</v>
      </c>
      <c r="M7249" t="n">
        <v>0</v>
      </c>
      <c r="N7249" t="n">
        <v>0</v>
      </c>
      <c r="O7249" t="n">
        <v>0</v>
      </c>
      <c r="P7249" t="n">
        <v>0</v>
      </c>
      <c r="Q7249" t="n">
        <v>0</v>
      </c>
      <c r="R7249" t="n">
        <v>0</v>
      </c>
      <c r="S7249" t="n">
        <v>0</v>
      </c>
      <c r="T7249" t="n">
        <v>0</v>
      </c>
      <c r="U7249" t="n">
        <v>0</v>
      </c>
      <c r="V7249" s="2" t="inlineStr"/>
    </row>
    <row r="7250" ht="15" customHeight="1">
      <c r="A7250" t="inlineStr">
        <is>
          <t>A 16190-2026</t>
        </is>
      </c>
      <c r="B7250" t="inlineStr">
        <is>
          <t>avverkningsanmälan</t>
        </is>
      </c>
      <c r="C7250" t="inlineStr">
        <is>
          <t>Föryngringsavverkning</t>
        </is>
      </c>
      <c r="D7250" s="1" t="n">
        <v>46111</v>
      </c>
      <c r="E7250" s="1" t="n">
        <v>46326</v>
      </c>
      <c r="F7250" t="inlineStr">
        <is>
          <t>GÄVLEBORGS LÄN</t>
        </is>
      </c>
      <c r="G7250" t="inlineStr">
        <is>
          <t>GÄVLE</t>
        </is>
      </c>
      <c r="H7250" t="inlineStr">
        <is>
          <t>Bergvik skog öst AB</t>
        </is>
      </c>
      <c r="I7250" t="n">
        <v>1.4</v>
      </c>
      <c r="J7250" t="n">
        <v>0</v>
      </c>
      <c r="K7250" t="n">
        <v>0</v>
      </c>
      <c r="L7250" t="n">
        <v>0</v>
      </c>
      <c r="M7250" t="n">
        <v>0</v>
      </c>
      <c r="N7250" t="n">
        <v>0</v>
      </c>
      <c r="O7250" t="n">
        <v>0</v>
      </c>
      <c r="P7250" t="n">
        <v>0</v>
      </c>
      <c r="Q7250" t="n">
        <v>0</v>
      </c>
      <c r="R7250" t="n">
        <v>0</v>
      </c>
      <c r="S7250" t="n">
        <v>0</v>
      </c>
      <c r="T7250" t="n">
        <v>0</v>
      </c>
      <c r="U7250" t="n">
        <v>0</v>
      </c>
      <c r="V7250" s="2" t="inlineStr"/>
    </row>
    <row r="7251" ht="15" customHeight="1">
      <c r="A7251" t="inlineStr">
        <is>
          <t>A 4295-2026</t>
        </is>
      </c>
      <c r="B7251" t="inlineStr">
        <is>
          <t>avverkningsanmälan</t>
        </is>
      </c>
      <c r="C7251" t="inlineStr">
        <is>
          <t>Föryngringsavverkning</t>
        </is>
      </c>
      <c r="D7251" s="1" t="n">
        <v>46045</v>
      </c>
      <c r="E7251" s="1" t="n">
        <v>46326</v>
      </c>
      <c r="F7251" t="inlineStr">
        <is>
          <t>GÄVLEBORGS LÄN</t>
        </is>
      </c>
      <c r="G7251" t="inlineStr">
        <is>
          <t>BOLLNÄS</t>
        </is>
      </c>
      <c r="I7251" t="n">
        <v>6</v>
      </c>
      <c r="J7251" t="n">
        <v>0</v>
      </c>
      <c r="K7251" t="n">
        <v>0</v>
      </c>
      <c r="L7251" t="n">
        <v>0</v>
      </c>
      <c r="M7251" t="n">
        <v>0</v>
      </c>
      <c r="N7251" t="n">
        <v>0</v>
      </c>
      <c r="O7251" t="n">
        <v>0</v>
      </c>
      <c r="P7251" t="n">
        <v>0</v>
      </c>
      <c r="Q7251" t="n">
        <v>0</v>
      </c>
      <c r="R7251" t="n">
        <v>0</v>
      </c>
      <c r="S7251" t="n">
        <v>0</v>
      </c>
      <c r="T7251" t="n">
        <v>0</v>
      </c>
      <c r="U7251" t="n">
        <v>0</v>
      </c>
      <c r="V7251" s="2" t="inlineStr"/>
    </row>
    <row r="7252" ht="15" customHeight="1">
      <c r="A7252" t="inlineStr">
        <is>
          <t>A 2255-2026</t>
        </is>
      </c>
      <c r="B7252" t="inlineStr">
        <is>
          <t>avverkningsanmälan</t>
        </is>
      </c>
      <c r="C7252" t="inlineStr">
        <is>
          <t>Föryngringsavverkning</t>
        </is>
      </c>
      <c r="D7252" s="1" t="n">
        <v>46036</v>
      </c>
      <c r="E7252" s="1" t="n">
        <v>46326</v>
      </c>
      <c r="F7252" t="inlineStr">
        <is>
          <t>GÄVLEBORGS LÄN</t>
        </is>
      </c>
      <c r="G7252" t="inlineStr">
        <is>
          <t>OVANÅKER</t>
        </is>
      </c>
      <c r="I7252" t="n">
        <v>6.1</v>
      </c>
      <c r="J7252" t="n">
        <v>0</v>
      </c>
      <c r="K7252" t="n">
        <v>0</v>
      </c>
      <c r="L7252" t="n">
        <v>0</v>
      </c>
      <c r="M7252" t="n">
        <v>0</v>
      </c>
      <c r="N7252" t="n">
        <v>0</v>
      </c>
      <c r="O7252" t="n">
        <v>0</v>
      </c>
      <c r="P7252" t="n">
        <v>0</v>
      </c>
      <c r="Q7252" t="n">
        <v>0</v>
      </c>
      <c r="R7252" t="n">
        <v>0</v>
      </c>
      <c r="S7252" t="n">
        <v>0</v>
      </c>
      <c r="T7252" t="n">
        <v>0</v>
      </c>
      <c r="U7252" t="n">
        <v>0</v>
      </c>
      <c r="V7252" s="2" t="inlineStr"/>
    </row>
    <row r="7253" ht="15" customHeight="1">
      <c r="A7253" t="inlineStr">
        <is>
          <t>A 2276-2026</t>
        </is>
      </c>
      <c r="B7253" t="inlineStr">
        <is>
          <t>avverkningsanmälan</t>
        </is>
      </c>
      <c r="C7253" t="inlineStr">
        <is>
          <t>Föryngringsavverkning</t>
        </is>
      </c>
      <c r="D7253" s="1" t="n">
        <v>46036</v>
      </c>
      <c r="E7253" s="1" t="n">
        <v>46326</v>
      </c>
      <c r="F7253" t="inlineStr">
        <is>
          <t>GÄVLEBORGS LÄN</t>
        </is>
      </c>
      <c r="G7253" t="inlineStr">
        <is>
          <t>BOLLNÄS</t>
        </is>
      </c>
      <c r="I7253" t="n">
        <v>6.2</v>
      </c>
      <c r="J7253" t="n">
        <v>0</v>
      </c>
      <c r="K7253" t="n">
        <v>0</v>
      </c>
      <c r="L7253" t="n">
        <v>0</v>
      </c>
      <c r="M7253" t="n">
        <v>0</v>
      </c>
      <c r="N7253" t="n">
        <v>0</v>
      </c>
      <c r="O7253" t="n">
        <v>0</v>
      </c>
      <c r="P7253" t="n">
        <v>0</v>
      </c>
      <c r="Q7253" t="n">
        <v>0</v>
      </c>
      <c r="R7253" t="n">
        <v>0</v>
      </c>
      <c r="S7253" t="n">
        <v>0</v>
      </c>
      <c r="T7253" t="n">
        <v>0</v>
      </c>
      <c r="U7253" t="n">
        <v>0</v>
      </c>
      <c r="V7253" s="2" t="inlineStr"/>
    </row>
    <row r="7254" ht="15" customHeight="1">
      <c r="A7254" t="inlineStr">
        <is>
          <t>A 11344-2026</t>
        </is>
      </c>
      <c r="B7254" t="inlineStr">
        <is>
          <t>avverkningsanmälan</t>
        </is>
      </c>
      <c r="C7254" t="inlineStr">
        <is>
          <t>Föryngringsavverkning</t>
        </is>
      </c>
      <c r="D7254" s="1" t="n">
        <v>46082</v>
      </c>
      <c r="E7254" s="1" t="n">
        <v>46326</v>
      </c>
      <c r="F7254" t="inlineStr">
        <is>
          <t>GÄVLEBORGS LÄN</t>
        </is>
      </c>
      <c r="G7254" t="inlineStr">
        <is>
          <t>BOLLNÄS</t>
        </is>
      </c>
      <c r="I7254" t="n">
        <v>1.6</v>
      </c>
      <c r="J7254" t="n">
        <v>0</v>
      </c>
      <c r="K7254" t="n">
        <v>0</v>
      </c>
      <c r="L7254" t="n">
        <v>0</v>
      </c>
      <c r="M7254" t="n">
        <v>0</v>
      </c>
      <c r="N7254" t="n">
        <v>0</v>
      </c>
      <c r="O7254" t="n">
        <v>0</v>
      </c>
      <c r="P7254" t="n">
        <v>0</v>
      </c>
      <c r="Q7254" t="n">
        <v>0</v>
      </c>
      <c r="R7254" t="n">
        <v>0</v>
      </c>
      <c r="S7254" t="n">
        <v>0</v>
      </c>
      <c r="T7254" t="n">
        <v>0</v>
      </c>
      <c r="U7254" t="n">
        <v>0</v>
      </c>
      <c r="V7254" s="2" t="inlineStr"/>
    </row>
    <row r="7255" ht="15" customHeight="1">
      <c r="A7255" t="inlineStr">
        <is>
          <t>A 16263-2026</t>
        </is>
      </c>
      <c r="B7255" t="inlineStr">
        <is>
          <t>avverkningsanmälan</t>
        </is>
      </c>
      <c r="C7255" t="inlineStr">
        <is>
          <t>Föryngringsavverkning</t>
        </is>
      </c>
      <c r="D7255" s="1" t="n">
        <v>46111</v>
      </c>
      <c r="E7255" s="1" t="n">
        <v>46326</v>
      </c>
      <c r="F7255" t="inlineStr">
        <is>
          <t>GÄVLEBORGS LÄN</t>
        </is>
      </c>
      <c r="G7255" t="inlineStr">
        <is>
          <t>GÄVLE</t>
        </is>
      </c>
      <c r="H7255" t="inlineStr">
        <is>
          <t>Bergvik skog öst AB</t>
        </is>
      </c>
      <c r="I7255" t="n">
        <v>1.3</v>
      </c>
      <c r="J7255" t="n">
        <v>0</v>
      </c>
      <c r="K7255" t="n">
        <v>0</v>
      </c>
      <c r="L7255" t="n">
        <v>0</v>
      </c>
      <c r="M7255" t="n">
        <v>0</v>
      </c>
      <c r="N7255" t="n">
        <v>0</v>
      </c>
      <c r="O7255" t="n">
        <v>0</v>
      </c>
      <c r="P7255" t="n">
        <v>0</v>
      </c>
      <c r="Q7255" t="n">
        <v>0</v>
      </c>
      <c r="R7255" t="n">
        <v>0</v>
      </c>
      <c r="S7255" t="n">
        <v>0</v>
      </c>
      <c r="T7255" t="n">
        <v>0</v>
      </c>
      <c r="U7255" t="n">
        <v>0</v>
      </c>
      <c r="V7255" s="2" t="inlineStr"/>
    </row>
    <row r="7256" ht="15" customHeight="1">
      <c r="A7256" t="inlineStr">
        <is>
          <t>A 2608-2026</t>
        </is>
      </c>
      <c r="B7256" t="inlineStr">
        <is>
          <t>avverkningsanmälan</t>
        </is>
      </c>
      <c r="C7256" t="inlineStr">
        <is>
          <t>Föryngringsavverkning</t>
        </is>
      </c>
      <c r="D7256" s="1" t="n">
        <v>46037</v>
      </c>
      <c r="E7256" s="1" t="n">
        <v>46326</v>
      </c>
      <c r="F7256" t="inlineStr">
        <is>
          <t>GÄVLEBORGS LÄN</t>
        </is>
      </c>
      <c r="G7256" t="inlineStr">
        <is>
          <t>OVANÅKER</t>
        </is>
      </c>
      <c r="I7256" t="n">
        <v>6.6</v>
      </c>
      <c r="J7256" t="n">
        <v>0</v>
      </c>
      <c r="K7256" t="n">
        <v>0</v>
      </c>
      <c r="L7256" t="n">
        <v>0</v>
      </c>
      <c r="M7256" t="n">
        <v>0</v>
      </c>
      <c r="N7256" t="n">
        <v>0</v>
      </c>
      <c r="O7256" t="n">
        <v>0</v>
      </c>
      <c r="P7256" t="n">
        <v>0</v>
      </c>
      <c r="Q7256" t="n">
        <v>0</v>
      </c>
      <c r="R7256" t="n">
        <v>0</v>
      </c>
      <c r="S7256" t="n">
        <v>0</v>
      </c>
      <c r="T7256" t="n">
        <v>0</v>
      </c>
      <c r="U7256" t="n">
        <v>0</v>
      </c>
      <c r="V7256" s="2" t="inlineStr"/>
    </row>
    <row r="7257" ht="15" customHeight="1">
      <c r="A7257" t="inlineStr">
        <is>
          <t>A 20422-2026</t>
        </is>
      </c>
      <c r="B7257" t="inlineStr">
        <is>
          <t>avverkningsanmälan</t>
        </is>
      </c>
      <c r="C7257" t="inlineStr">
        <is>
          <t>Föryngringsavverkning</t>
        </is>
      </c>
      <c r="D7257" s="1" t="n">
        <v>46140</v>
      </c>
      <c r="E7257" s="1" t="n">
        <v>46326</v>
      </c>
      <c r="F7257" t="inlineStr">
        <is>
          <t>GÄVLEBORGS LÄN</t>
        </is>
      </c>
      <c r="G7257" t="inlineStr">
        <is>
          <t>BOLLNÄS</t>
        </is>
      </c>
      <c r="H7257" t="inlineStr">
        <is>
          <t>Bergvik skog väst AB</t>
        </is>
      </c>
      <c r="I7257" t="n">
        <v>0.6</v>
      </c>
      <c r="J7257" t="n">
        <v>0</v>
      </c>
      <c r="K7257" t="n">
        <v>0</v>
      </c>
      <c r="L7257" t="n">
        <v>0</v>
      </c>
      <c r="M7257" t="n">
        <v>0</v>
      </c>
      <c r="N7257" t="n">
        <v>0</v>
      </c>
      <c r="O7257" t="n">
        <v>0</v>
      </c>
      <c r="P7257" t="n">
        <v>0</v>
      </c>
      <c r="Q7257" t="n">
        <v>0</v>
      </c>
      <c r="R7257" t="n">
        <v>0</v>
      </c>
      <c r="S7257" t="n">
        <v>0</v>
      </c>
      <c r="T7257" t="n">
        <v>0</v>
      </c>
      <c r="U7257" t="n">
        <v>0</v>
      </c>
      <c r="V7257" s="2" t="inlineStr"/>
    </row>
    <row r="7258" ht="15" customHeight="1">
      <c r="A7258" t="inlineStr">
        <is>
          <t>A 43016-2022</t>
        </is>
      </c>
      <c r="B7258" t="inlineStr">
        <is>
          <t>avverkningsanmälan</t>
        </is>
      </c>
      <c r="C7258" t="inlineStr">
        <is>
          <t>Föryngringsavverkning</t>
        </is>
      </c>
      <c r="D7258" s="1" t="n">
        <v>44833</v>
      </c>
      <c r="E7258" s="1" t="n">
        <v>46326</v>
      </c>
      <c r="F7258" t="inlineStr">
        <is>
          <t>GÄVLEBORGS LÄN</t>
        </is>
      </c>
      <c r="G7258" t="inlineStr">
        <is>
          <t>LJUSDAL</t>
        </is>
      </c>
      <c r="H7258" t="inlineStr">
        <is>
          <t>Naturvårdsverket</t>
        </is>
      </c>
      <c r="I7258" t="n">
        <v>4.9</v>
      </c>
      <c r="J7258" t="n">
        <v>0</v>
      </c>
      <c r="K7258" t="n">
        <v>0</v>
      </c>
      <c r="L7258" t="n">
        <v>0</v>
      </c>
      <c r="M7258" t="n">
        <v>0</v>
      </c>
      <c r="N7258" t="n">
        <v>0</v>
      </c>
      <c r="O7258" t="n">
        <v>0</v>
      </c>
      <c r="P7258" t="n">
        <v>0</v>
      </c>
      <c r="Q7258" t="n">
        <v>0</v>
      </c>
      <c r="R7258" t="n">
        <v>0</v>
      </c>
      <c r="S7258" t="n">
        <v>0</v>
      </c>
      <c r="T7258" t="n">
        <v>0</v>
      </c>
      <c r="U7258" t="n">
        <v>0</v>
      </c>
      <c r="V7258" s="2" t="inlineStr"/>
    </row>
    <row r="7259" ht="15" customHeight="1">
      <c r="A7259" t="inlineStr">
        <is>
          <t>A 61526-2023</t>
        </is>
      </c>
      <c r="B7259" t="inlineStr">
        <is>
          <t>avverkningsanmälan</t>
        </is>
      </c>
      <c r="C7259" t="inlineStr">
        <is>
          <t>Föryngringsavverkning</t>
        </is>
      </c>
      <c r="D7259" s="1" t="n">
        <v>45265</v>
      </c>
      <c r="E7259" s="1" t="n">
        <v>46326</v>
      </c>
      <c r="F7259" t="inlineStr">
        <is>
          <t>GÄVLEBORGS LÄN</t>
        </is>
      </c>
      <c r="G7259" t="inlineStr">
        <is>
          <t>OVANÅKER</t>
        </is>
      </c>
      <c r="I7259" t="n">
        <v>1.5</v>
      </c>
      <c r="J7259" t="n">
        <v>0</v>
      </c>
      <c r="K7259" t="n">
        <v>0</v>
      </c>
      <c r="L7259" t="n">
        <v>0</v>
      </c>
      <c r="M7259" t="n">
        <v>0</v>
      </c>
      <c r="N7259" t="n">
        <v>0</v>
      </c>
      <c r="O7259" t="n">
        <v>0</v>
      </c>
      <c r="P7259" t="n">
        <v>0</v>
      </c>
      <c r="Q7259" t="n">
        <v>0</v>
      </c>
      <c r="R7259" t="n">
        <v>0</v>
      </c>
      <c r="S7259" t="n">
        <v>0</v>
      </c>
      <c r="T7259" t="n">
        <v>0</v>
      </c>
      <c r="U7259" t="n">
        <v>0</v>
      </c>
      <c r="V7259" s="2" t="inlineStr"/>
    </row>
    <row r="7260" ht="15" customHeight="1">
      <c r="A7260" t="inlineStr">
        <is>
          <t>A 20426-2026</t>
        </is>
      </c>
      <c r="B7260" t="inlineStr">
        <is>
          <t>avverkningsanmälan</t>
        </is>
      </c>
      <c r="C7260" t="inlineStr">
        <is>
          <t>Föryngringsavverkning</t>
        </is>
      </c>
      <c r="D7260" s="1" t="n">
        <v>46140</v>
      </c>
      <c r="E7260" s="1" t="n">
        <v>46326</v>
      </c>
      <c r="F7260" t="inlineStr">
        <is>
          <t>GÄVLEBORGS LÄN</t>
        </is>
      </c>
      <c r="G7260" t="inlineStr">
        <is>
          <t>BOLLNÄS</t>
        </is>
      </c>
      <c r="H7260" t="inlineStr">
        <is>
          <t>Bergvik skog väst AB</t>
        </is>
      </c>
      <c r="I7260" t="n">
        <v>0.7</v>
      </c>
      <c r="J7260" t="n">
        <v>0</v>
      </c>
      <c r="K7260" t="n">
        <v>0</v>
      </c>
      <c r="L7260" t="n">
        <v>0</v>
      </c>
      <c r="M7260" t="n">
        <v>0</v>
      </c>
      <c r="N7260" t="n">
        <v>0</v>
      </c>
      <c r="O7260" t="n">
        <v>0</v>
      </c>
      <c r="P7260" t="n">
        <v>0</v>
      </c>
      <c r="Q7260" t="n">
        <v>0</v>
      </c>
      <c r="R7260" t="n">
        <v>0</v>
      </c>
      <c r="S7260" t="n">
        <v>0</v>
      </c>
      <c r="T7260" t="n">
        <v>0</v>
      </c>
      <c r="U7260" t="n">
        <v>0</v>
      </c>
      <c r="V7260" s="2" t="inlineStr"/>
    </row>
    <row r="7261" ht="15" customHeight="1">
      <c r="A7261" t="inlineStr">
        <is>
          <t>A 61537-2023</t>
        </is>
      </c>
      <c r="B7261" t="inlineStr">
        <is>
          <t>avverkningsanmälan</t>
        </is>
      </c>
      <c r="C7261" t="inlineStr">
        <is>
          <t>Föryngringsavverkning</t>
        </is>
      </c>
      <c r="D7261" s="1" t="n">
        <v>45265</v>
      </c>
      <c r="E7261" s="1" t="n">
        <v>46326</v>
      </c>
      <c r="F7261" t="inlineStr">
        <is>
          <t>GÄVLEBORGS LÄN</t>
        </is>
      </c>
      <c r="G7261" t="inlineStr">
        <is>
          <t>SANDVIKEN</t>
        </is>
      </c>
      <c r="I7261" t="n">
        <v>1.7</v>
      </c>
      <c r="J7261" t="n">
        <v>0</v>
      </c>
      <c r="K7261" t="n">
        <v>0</v>
      </c>
      <c r="L7261" t="n">
        <v>0</v>
      </c>
      <c r="M7261" t="n">
        <v>0</v>
      </c>
      <c r="N7261" t="n">
        <v>0</v>
      </c>
      <c r="O7261" t="n">
        <v>0</v>
      </c>
      <c r="P7261" t="n">
        <v>0</v>
      </c>
      <c r="Q7261" t="n">
        <v>0</v>
      </c>
      <c r="R7261" t="n">
        <v>0</v>
      </c>
      <c r="S7261" t="n">
        <v>0</v>
      </c>
      <c r="T7261" t="n">
        <v>0</v>
      </c>
      <c r="U7261" t="n">
        <v>0</v>
      </c>
      <c r="V7261" s="2" t="inlineStr"/>
    </row>
    <row r="7262" ht="15" customHeight="1">
      <c r="A7262" t="inlineStr">
        <is>
          <t>A 13041-2026</t>
        </is>
      </c>
      <c r="B7262" t="inlineStr">
        <is>
          <t>avverkningsanmälan</t>
        </is>
      </c>
      <c r="C7262" t="inlineStr">
        <is>
          <t>Föryngringsavverkning</t>
        </is>
      </c>
      <c r="D7262" s="1" t="n">
        <v>46093</v>
      </c>
      <c r="E7262" s="1" t="n">
        <v>46326</v>
      </c>
      <c r="F7262" t="inlineStr">
        <is>
          <t>GÄVLEBORGS LÄN</t>
        </is>
      </c>
      <c r="G7262" t="inlineStr">
        <is>
          <t>BOLLNÄS</t>
        </is>
      </c>
      <c r="I7262" t="n">
        <v>7.6</v>
      </c>
      <c r="J7262" t="n">
        <v>0</v>
      </c>
      <c r="K7262" t="n">
        <v>0</v>
      </c>
      <c r="L7262" t="n">
        <v>0</v>
      </c>
      <c r="M7262" t="n">
        <v>0</v>
      </c>
      <c r="N7262" t="n">
        <v>0</v>
      </c>
      <c r="O7262" t="n">
        <v>0</v>
      </c>
      <c r="P7262" t="n">
        <v>0</v>
      </c>
      <c r="Q7262" t="n">
        <v>0</v>
      </c>
      <c r="R7262" t="n">
        <v>0</v>
      </c>
      <c r="S7262" t="n">
        <v>0</v>
      </c>
      <c r="T7262" t="n">
        <v>0</v>
      </c>
      <c r="U7262" t="n">
        <v>0</v>
      </c>
      <c r="V7262" s="2" t="inlineStr"/>
    </row>
    <row r="7263" ht="15" customHeight="1">
      <c r="A7263" t="inlineStr">
        <is>
          <t>A 48448-2025</t>
        </is>
      </c>
      <c r="B7263" t="inlineStr">
        <is>
          <t>avverkningsanmälan</t>
        </is>
      </c>
      <c r="C7263" t="inlineStr">
        <is>
          <t>Föryngringsavverkning</t>
        </is>
      </c>
      <c r="D7263" s="1" t="n">
        <v>45935</v>
      </c>
      <c r="E7263" s="1" t="n">
        <v>46326</v>
      </c>
      <c r="F7263" t="inlineStr">
        <is>
          <t>GÄVLEBORGS LÄN</t>
        </is>
      </c>
      <c r="G7263" t="inlineStr">
        <is>
          <t>HUDIKSVALL</t>
        </is>
      </c>
      <c r="I7263" t="n">
        <v>2.3</v>
      </c>
      <c r="J7263" t="n">
        <v>0</v>
      </c>
      <c r="K7263" t="n">
        <v>0</v>
      </c>
      <c r="L7263" t="n">
        <v>0</v>
      </c>
      <c r="M7263" t="n">
        <v>0</v>
      </c>
      <c r="N7263" t="n">
        <v>0</v>
      </c>
      <c r="O7263" t="n">
        <v>0</v>
      </c>
      <c r="P7263" t="n">
        <v>0</v>
      </c>
      <c r="Q7263" t="n">
        <v>0</v>
      </c>
      <c r="R7263" t="n">
        <v>0</v>
      </c>
      <c r="S7263" t="n">
        <v>0</v>
      </c>
      <c r="T7263" t="n">
        <v>0</v>
      </c>
      <c r="U7263" t="n">
        <v>0</v>
      </c>
      <c r="V7263" s="2" t="inlineStr"/>
    </row>
    <row r="7264" ht="15" customHeight="1">
      <c r="A7264" t="inlineStr">
        <is>
          <t>A 6129-2026</t>
        </is>
      </c>
      <c r="B7264" t="inlineStr">
        <is>
          <t>avverkningsanmälan</t>
        </is>
      </c>
      <c r="C7264" t="inlineStr">
        <is>
          <t>Föryngringsavverkning</t>
        </is>
      </c>
      <c r="D7264" s="1" t="n">
        <v>46054</v>
      </c>
      <c r="E7264" s="1" t="n">
        <v>46326</v>
      </c>
      <c r="F7264" t="inlineStr">
        <is>
          <t>GÄVLEBORGS LÄN</t>
        </is>
      </c>
      <c r="G7264" t="inlineStr">
        <is>
          <t>NORDANSTIG</t>
        </is>
      </c>
      <c r="I7264" t="n">
        <v>1</v>
      </c>
      <c r="J7264" t="n">
        <v>0</v>
      </c>
      <c r="K7264" t="n">
        <v>0</v>
      </c>
      <c r="L7264" t="n">
        <v>0</v>
      </c>
      <c r="M7264" t="n">
        <v>0</v>
      </c>
      <c r="N7264" t="n">
        <v>0</v>
      </c>
      <c r="O7264" t="n">
        <v>0</v>
      </c>
      <c r="P7264" t="n">
        <v>0</v>
      </c>
      <c r="Q7264" t="n">
        <v>0</v>
      </c>
      <c r="R7264" t="n">
        <v>0</v>
      </c>
      <c r="S7264" t="n">
        <v>0</v>
      </c>
      <c r="T7264" t="n">
        <v>0</v>
      </c>
      <c r="U7264" t="n">
        <v>0</v>
      </c>
      <c r="V7264" s="2" t="inlineStr"/>
    </row>
    <row r="7265" ht="15" customHeight="1">
      <c r="A7265" t="inlineStr">
        <is>
          <t>A 5660-2023</t>
        </is>
      </c>
      <c r="B7265" t="inlineStr">
        <is>
          <t>avverkningsanmälan</t>
        </is>
      </c>
      <c r="C7265" t="inlineStr">
        <is>
          <t>Föryngringsavverkning</t>
        </is>
      </c>
      <c r="D7265" s="1" t="n">
        <v>44960</v>
      </c>
      <c r="E7265" s="1" t="n">
        <v>46326</v>
      </c>
      <c r="F7265" t="inlineStr">
        <is>
          <t>GÄVLEBORGS LÄN</t>
        </is>
      </c>
      <c r="G7265" t="inlineStr">
        <is>
          <t>NORDANSTIG</t>
        </is>
      </c>
      <c r="H7265" t="inlineStr">
        <is>
          <t>Holmen skog AB</t>
        </is>
      </c>
      <c r="I7265" t="n">
        <v>0.7</v>
      </c>
      <c r="J7265" t="n">
        <v>0</v>
      </c>
      <c r="K7265" t="n">
        <v>0</v>
      </c>
      <c r="L7265" t="n">
        <v>0</v>
      </c>
      <c r="M7265" t="n">
        <v>0</v>
      </c>
      <c r="N7265" t="n">
        <v>0</v>
      </c>
      <c r="O7265" t="n">
        <v>0</v>
      </c>
      <c r="P7265" t="n">
        <v>0</v>
      </c>
      <c r="Q7265" t="n">
        <v>0</v>
      </c>
      <c r="R7265" t="n">
        <v>0</v>
      </c>
      <c r="S7265" t="n">
        <v>0</v>
      </c>
      <c r="T7265" t="n">
        <v>0</v>
      </c>
      <c r="U7265" t="n">
        <v>0</v>
      </c>
      <c r="V7265" s="2" t="inlineStr"/>
    </row>
    <row r="7266" ht="15" customHeight="1">
      <c r="A7266" t="inlineStr">
        <is>
          <t>A 15975-2026</t>
        </is>
      </c>
      <c r="B7266" t="inlineStr">
        <is>
          <t>avverkningsanmälan</t>
        </is>
      </c>
      <c r="C7266" t="inlineStr">
        <is>
          <t>Föryngringsavverkning</t>
        </is>
      </c>
      <c r="D7266" s="1" t="n">
        <v>46108</v>
      </c>
      <c r="E7266" s="1" t="n">
        <v>46326</v>
      </c>
      <c r="F7266" t="inlineStr">
        <is>
          <t>GÄVLEBORGS LÄN</t>
        </is>
      </c>
      <c r="G7266" t="inlineStr">
        <is>
          <t>SÖDERHAMN</t>
        </is>
      </c>
      <c r="H7266" t="inlineStr">
        <is>
          <t>Bergvik skog väst AB</t>
        </is>
      </c>
      <c r="I7266" t="n">
        <v>1.1</v>
      </c>
      <c r="J7266" t="n">
        <v>0</v>
      </c>
      <c r="K7266" t="n">
        <v>0</v>
      </c>
      <c r="L7266" t="n">
        <v>0</v>
      </c>
      <c r="M7266" t="n">
        <v>0</v>
      </c>
      <c r="N7266" t="n">
        <v>0</v>
      </c>
      <c r="O7266" t="n">
        <v>0</v>
      </c>
      <c r="P7266" t="n">
        <v>0</v>
      </c>
      <c r="Q7266" t="n">
        <v>0</v>
      </c>
      <c r="R7266" t="n">
        <v>0</v>
      </c>
      <c r="S7266" t="n">
        <v>0</v>
      </c>
      <c r="T7266" t="n">
        <v>0</v>
      </c>
      <c r="U7266" t="n">
        <v>0</v>
      </c>
      <c r="V7266" s="2" t="inlineStr"/>
    </row>
    <row r="7267" ht="15" customHeight="1">
      <c r="A7267" t="inlineStr">
        <is>
          <t>A 16076-2026</t>
        </is>
      </c>
      <c r="B7267" t="inlineStr">
        <is>
          <t>avverkningsanmälan</t>
        </is>
      </c>
      <c r="C7267" t="inlineStr">
        <is>
          <t>Föryngringsavverkning</t>
        </is>
      </c>
      <c r="D7267" s="1" t="n">
        <v>46108</v>
      </c>
      <c r="E7267" s="1" t="n">
        <v>46326</v>
      </c>
      <c r="F7267" t="inlineStr">
        <is>
          <t>GÄVLEBORGS LÄN</t>
        </is>
      </c>
      <c r="G7267" t="inlineStr">
        <is>
          <t>GÄVLE</t>
        </is>
      </c>
      <c r="H7267" t="inlineStr">
        <is>
          <t>Bergvik skog öst AB</t>
        </is>
      </c>
      <c r="I7267" t="n">
        <v>2.5</v>
      </c>
      <c r="J7267" t="n">
        <v>0</v>
      </c>
      <c r="K7267" t="n">
        <v>0</v>
      </c>
      <c r="L7267" t="n">
        <v>0</v>
      </c>
      <c r="M7267" t="n">
        <v>0</v>
      </c>
      <c r="N7267" t="n">
        <v>0</v>
      </c>
      <c r="O7267" t="n">
        <v>0</v>
      </c>
      <c r="P7267" t="n">
        <v>0</v>
      </c>
      <c r="Q7267" t="n">
        <v>0</v>
      </c>
      <c r="R7267" t="n">
        <v>0</v>
      </c>
      <c r="S7267" t="n">
        <v>0</v>
      </c>
      <c r="T7267" t="n">
        <v>0</v>
      </c>
      <c r="U7267" t="n">
        <v>0</v>
      </c>
      <c r="V7267" s="2" t="inlineStr"/>
    </row>
    <row r="7268" ht="15" customHeight="1">
      <c r="A7268" t="inlineStr">
        <is>
          <t>A 4843-2023</t>
        </is>
      </c>
      <c r="B7268" t="inlineStr">
        <is>
          <t>avverkningsanmälan</t>
        </is>
      </c>
      <c r="C7268" t="inlineStr">
        <is>
          <t>Föryngringsavverkning</t>
        </is>
      </c>
      <c r="D7268" s="1" t="n">
        <v>44957</v>
      </c>
      <c r="E7268" s="1" t="n">
        <v>46326</v>
      </c>
      <c r="F7268" t="inlineStr">
        <is>
          <t>GÄVLEBORGS LÄN</t>
        </is>
      </c>
      <c r="G7268" t="inlineStr">
        <is>
          <t>SÖDERHAMN</t>
        </is>
      </c>
      <c r="I7268" t="n">
        <v>0.5</v>
      </c>
      <c r="J7268" t="n">
        <v>0</v>
      </c>
      <c r="K7268" t="n">
        <v>0</v>
      </c>
      <c r="L7268" t="n">
        <v>0</v>
      </c>
      <c r="M7268" t="n">
        <v>0</v>
      </c>
      <c r="N7268" t="n">
        <v>0</v>
      </c>
      <c r="O7268" t="n">
        <v>0</v>
      </c>
      <c r="P7268" t="n">
        <v>0</v>
      </c>
      <c r="Q7268" t="n">
        <v>0</v>
      </c>
      <c r="R7268" t="n">
        <v>0</v>
      </c>
      <c r="S7268" t="n">
        <v>0</v>
      </c>
      <c r="T7268" t="n">
        <v>0</v>
      </c>
      <c r="U7268" t="n">
        <v>0</v>
      </c>
      <c r="V7268" s="2" t="inlineStr"/>
    </row>
    <row r="7269" ht="15" customHeight="1">
      <c r="A7269" t="inlineStr">
        <is>
          <t>A 3945-2026</t>
        </is>
      </c>
      <c r="B7269" t="inlineStr">
        <is>
          <t>avverkningsanmälan</t>
        </is>
      </c>
      <c r="C7269" t="inlineStr">
        <is>
          <t>Föryngringsavverkning</t>
        </is>
      </c>
      <c r="D7269" s="1" t="n">
        <v>46043</v>
      </c>
      <c r="E7269" s="1" t="n">
        <v>46326</v>
      </c>
      <c r="F7269" t="inlineStr">
        <is>
          <t>GÄVLEBORGS LÄN</t>
        </is>
      </c>
      <c r="G7269" t="inlineStr">
        <is>
          <t>SÖDERHAMN</t>
        </is>
      </c>
      <c r="I7269" t="n">
        <v>4.3</v>
      </c>
      <c r="J7269" t="n">
        <v>0</v>
      </c>
      <c r="K7269" t="n">
        <v>0</v>
      </c>
      <c r="L7269" t="n">
        <v>0</v>
      </c>
      <c r="M7269" t="n">
        <v>0</v>
      </c>
      <c r="N7269" t="n">
        <v>0</v>
      </c>
      <c r="O7269" t="n">
        <v>0</v>
      </c>
      <c r="P7269" t="n">
        <v>0</v>
      </c>
      <c r="Q7269" t="n">
        <v>0</v>
      </c>
      <c r="R7269" t="n">
        <v>0</v>
      </c>
      <c r="S7269" t="n">
        <v>0</v>
      </c>
      <c r="T7269" t="n">
        <v>0</v>
      </c>
      <c r="U7269" t="n">
        <v>0</v>
      </c>
      <c r="V7269" s="2" t="inlineStr"/>
    </row>
    <row r="7270" ht="15" customHeight="1">
      <c r="A7270" t="inlineStr">
        <is>
          <t>A 9401-2026</t>
        </is>
      </c>
      <c r="B7270" t="inlineStr">
        <is>
          <t>avverkningsanmälan</t>
        </is>
      </c>
      <c r="C7270" t="inlineStr">
        <is>
          <t>Föryngringsavverkning</t>
        </is>
      </c>
      <c r="D7270" s="1" t="n">
        <v>46071</v>
      </c>
      <c r="E7270" s="1" t="n">
        <v>46326</v>
      </c>
      <c r="F7270" t="inlineStr">
        <is>
          <t>GÄVLEBORGS LÄN</t>
        </is>
      </c>
      <c r="G7270" t="inlineStr">
        <is>
          <t>OCKELBO</t>
        </is>
      </c>
      <c r="H7270" t="inlineStr">
        <is>
          <t>Bergvik skog väst AB</t>
        </is>
      </c>
      <c r="I7270" t="n">
        <v>8.300000000000001</v>
      </c>
      <c r="J7270" t="n">
        <v>0</v>
      </c>
      <c r="K7270" t="n">
        <v>0</v>
      </c>
      <c r="L7270" t="n">
        <v>0</v>
      </c>
      <c r="M7270" t="n">
        <v>0</v>
      </c>
      <c r="N7270" t="n">
        <v>0</v>
      </c>
      <c r="O7270" t="n">
        <v>0</v>
      </c>
      <c r="P7270" t="n">
        <v>0</v>
      </c>
      <c r="Q7270" t="n">
        <v>0</v>
      </c>
      <c r="R7270" t="n">
        <v>0</v>
      </c>
      <c r="S7270" t="n">
        <v>0</v>
      </c>
      <c r="T7270" t="n">
        <v>0</v>
      </c>
      <c r="U7270" t="n">
        <v>0</v>
      </c>
      <c r="V7270" s="2" t="inlineStr"/>
    </row>
    <row r="7271" ht="15" customHeight="1">
      <c r="A7271" t="inlineStr">
        <is>
          <t>A 40738-2023</t>
        </is>
      </c>
      <c r="B7271" t="inlineStr">
        <is>
          <t>avverkningsanmälan</t>
        </is>
      </c>
      <c r="C7271" t="inlineStr">
        <is>
          <t>Föryngringsavverkning</t>
        </is>
      </c>
      <c r="D7271" s="1" t="n">
        <v>45170</v>
      </c>
      <c r="E7271" s="1" t="n">
        <v>46326</v>
      </c>
      <c r="F7271" t="inlineStr">
        <is>
          <t>GÄVLEBORGS LÄN</t>
        </is>
      </c>
      <c r="G7271" t="inlineStr">
        <is>
          <t>NORDANSTIG</t>
        </is>
      </c>
      <c r="H7271" t="inlineStr">
        <is>
          <t>Holmen skog AB</t>
        </is>
      </c>
      <c r="I7271" t="n">
        <v>9.5</v>
      </c>
      <c r="J7271" t="n">
        <v>0</v>
      </c>
      <c r="K7271" t="n">
        <v>0</v>
      </c>
      <c r="L7271" t="n">
        <v>0</v>
      </c>
      <c r="M7271" t="n">
        <v>0</v>
      </c>
      <c r="N7271" t="n">
        <v>0</v>
      </c>
      <c r="O7271" t="n">
        <v>0</v>
      </c>
      <c r="P7271" t="n">
        <v>0</v>
      </c>
      <c r="Q7271" t="n">
        <v>0</v>
      </c>
      <c r="R7271" t="n">
        <v>0</v>
      </c>
      <c r="S7271" t="n">
        <v>0</v>
      </c>
      <c r="T7271" t="n">
        <v>0</v>
      </c>
      <c r="U7271" t="n">
        <v>0</v>
      </c>
      <c r="V7271" s="2" t="inlineStr"/>
    </row>
    <row r="7272" ht="15" customHeight="1">
      <c r="A7272" t="inlineStr">
        <is>
          <t>A 23191-2022</t>
        </is>
      </c>
      <c r="B7272" t="inlineStr">
        <is>
          <t>avverkningsanmälan</t>
        </is>
      </c>
      <c r="C7272" t="inlineStr">
        <is>
          <t>Föryngringsavverkning</t>
        </is>
      </c>
      <c r="D7272" s="1" t="n">
        <v>44719</v>
      </c>
      <c r="E7272" s="1" t="n">
        <v>46326</v>
      </c>
      <c r="F7272" t="inlineStr">
        <is>
          <t>GÄVLEBORGS LÄN</t>
        </is>
      </c>
      <c r="G7272" t="inlineStr">
        <is>
          <t>LJUSDAL</t>
        </is>
      </c>
      <c r="I7272" t="n">
        <v>1.1</v>
      </c>
      <c r="J7272" t="n">
        <v>0</v>
      </c>
      <c r="K7272" t="n">
        <v>0</v>
      </c>
      <c r="L7272" t="n">
        <v>0</v>
      </c>
      <c r="M7272" t="n">
        <v>0</v>
      </c>
      <c r="N7272" t="n">
        <v>0</v>
      </c>
      <c r="O7272" t="n">
        <v>0</v>
      </c>
      <c r="P7272" t="n">
        <v>0</v>
      </c>
      <c r="Q7272" t="n">
        <v>0</v>
      </c>
      <c r="R7272" t="n">
        <v>0</v>
      </c>
      <c r="S7272" t="n">
        <v>0</v>
      </c>
      <c r="T7272" t="n">
        <v>0</v>
      </c>
      <c r="U7272" t="n">
        <v>0</v>
      </c>
      <c r="V7272" s="2" t="inlineStr"/>
    </row>
    <row r="7273" ht="15" customHeight="1">
      <c r="A7273" t="inlineStr">
        <is>
          <t>A 29953-2024</t>
        </is>
      </c>
      <c r="B7273" t="inlineStr">
        <is>
          <t>avverkningsanmälan</t>
        </is>
      </c>
      <c r="C7273" t="inlineStr">
        <is>
          <t>Föryngringsavverkning</t>
        </is>
      </c>
      <c r="D7273" s="1" t="n">
        <v>45488</v>
      </c>
      <c r="E7273" s="1" t="n">
        <v>46326</v>
      </c>
      <c r="F7273" t="inlineStr">
        <is>
          <t>GÄVLEBORGS LÄN</t>
        </is>
      </c>
      <c r="G7273" t="inlineStr">
        <is>
          <t>OCKELBO</t>
        </is>
      </c>
      <c r="I7273" t="n">
        <v>3.1</v>
      </c>
      <c r="J7273" t="n">
        <v>0</v>
      </c>
      <c r="K7273" t="n">
        <v>0</v>
      </c>
      <c r="L7273" t="n">
        <v>0</v>
      </c>
      <c r="M7273" t="n">
        <v>0</v>
      </c>
      <c r="N7273" t="n">
        <v>0</v>
      </c>
      <c r="O7273" t="n">
        <v>0</v>
      </c>
      <c r="P7273" t="n">
        <v>0</v>
      </c>
      <c r="Q7273" t="n">
        <v>0</v>
      </c>
      <c r="R7273" t="n">
        <v>0</v>
      </c>
      <c r="S7273" t="n">
        <v>0</v>
      </c>
      <c r="T7273" t="n">
        <v>0</v>
      </c>
      <c r="U7273" t="n">
        <v>0</v>
      </c>
      <c r="V7273" s="2" t="inlineStr"/>
    </row>
    <row r="7274" ht="15" customHeight="1">
      <c r="A7274" t="inlineStr">
        <is>
          <t>A 13857-2026</t>
        </is>
      </c>
      <c r="B7274" t="inlineStr">
        <is>
          <t>avverkningsanmälan</t>
        </is>
      </c>
      <c r="C7274" t="inlineStr">
        <is>
          <t>Föryngringsavverkning</t>
        </is>
      </c>
      <c r="D7274" s="1" t="n">
        <v>46098</v>
      </c>
      <c r="E7274" s="1" t="n">
        <v>46326</v>
      </c>
      <c r="F7274" t="inlineStr">
        <is>
          <t>GÄVLEBORGS LÄN</t>
        </is>
      </c>
      <c r="G7274" t="inlineStr">
        <is>
          <t>OCKELBO</t>
        </is>
      </c>
      <c r="I7274" t="n">
        <v>6.5</v>
      </c>
      <c r="J7274" t="n">
        <v>0</v>
      </c>
      <c r="K7274" t="n">
        <v>0</v>
      </c>
      <c r="L7274" t="n">
        <v>0</v>
      </c>
      <c r="M7274" t="n">
        <v>0</v>
      </c>
      <c r="N7274" t="n">
        <v>0</v>
      </c>
      <c r="O7274" t="n">
        <v>0</v>
      </c>
      <c r="P7274" t="n">
        <v>0</v>
      </c>
      <c r="Q7274" t="n">
        <v>0</v>
      </c>
      <c r="R7274" t="n">
        <v>0</v>
      </c>
      <c r="S7274" t="n">
        <v>0</v>
      </c>
      <c r="T7274" t="n">
        <v>0</v>
      </c>
      <c r="U7274" t="n">
        <v>0</v>
      </c>
      <c r="V7274" s="2" t="inlineStr"/>
    </row>
    <row r="7275" ht="15" customHeight="1">
      <c r="A7275" t="inlineStr">
        <is>
          <t>A 34792-2024</t>
        </is>
      </c>
      <c r="B7275" t="inlineStr">
        <is>
          <t>avverkningsanmälan</t>
        </is>
      </c>
      <c r="C7275" t="inlineStr">
        <is>
          <t>Föryngringsavverkning</t>
        </is>
      </c>
      <c r="D7275" s="1" t="n">
        <v>45526</v>
      </c>
      <c r="E7275" s="1" t="n">
        <v>46326</v>
      </c>
      <c r="F7275" t="inlineStr">
        <is>
          <t>GÄVLEBORGS LÄN</t>
        </is>
      </c>
      <c r="G7275" t="inlineStr">
        <is>
          <t>OCKELBO</t>
        </is>
      </c>
      <c r="H7275" t="inlineStr">
        <is>
          <t>Bergvik skog väst AB</t>
        </is>
      </c>
      <c r="I7275" t="n">
        <v>2.9</v>
      </c>
      <c r="J7275" t="n">
        <v>0</v>
      </c>
      <c r="K7275" t="n">
        <v>0</v>
      </c>
      <c r="L7275" t="n">
        <v>0</v>
      </c>
      <c r="M7275" t="n">
        <v>0</v>
      </c>
      <c r="N7275" t="n">
        <v>0</v>
      </c>
      <c r="O7275" t="n">
        <v>0</v>
      </c>
      <c r="P7275" t="n">
        <v>0</v>
      </c>
      <c r="Q7275" t="n">
        <v>0</v>
      </c>
      <c r="R7275" t="n">
        <v>0</v>
      </c>
      <c r="S7275" t="n">
        <v>0</v>
      </c>
      <c r="T7275" t="n">
        <v>0</v>
      </c>
      <c r="U7275" t="n">
        <v>0</v>
      </c>
      <c r="V7275" s="2" t="inlineStr"/>
    </row>
    <row r="7276" ht="15" customHeight="1">
      <c r="A7276" t="inlineStr">
        <is>
          <t>A 23192-2022</t>
        </is>
      </c>
      <c r="B7276" t="inlineStr">
        <is>
          <t>avverkningsanmälan</t>
        </is>
      </c>
      <c r="C7276" t="inlineStr">
        <is>
          <t>Föryngringsavverkning</t>
        </is>
      </c>
      <c r="D7276" s="1" t="n">
        <v>44719</v>
      </c>
      <c r="E7276" s="1" t="n">
        <v>46326</v>
      </c>
      <c r="F7276" t="inlineStr">
        <is>
          <t>GÄVLEBORGS LÄN</t>
        </is>
      </c>
      <c r="G7276" t="inlineStr">
        <is>
          <t>LJUSDAL</t>
        </is>
      </c>
      <c r="I7276" t="n">
        <v>1</v>
      </c>
      <c r="J7276" t="n">
        <v>0</v>
      </c>
      <c r="K7276" t="n">
        <v>0</v>
      </c>
      <c r="L7276" t="n">
        <v>0</v>
      </c>
      <c r="M7276" t="n">
        <v>0</v>
      </c>
      <c r="N7276" t="n">
        <v>0</v>
      </c>
      <c r="O7276" t="n">
        <v>0</v>
      </c>
      <c r="P7276" t="n">
        <v>0</v>
      </c>
      <c r="Q7276" t="n">
        <v>0</v>
      </c>
      <c r="R7276" t="n">
        <v>0</v>
      </c>
      <c r="S7276" t="n">
        <v>0</v>
      </c>
      <c r="T7276" t="n">
        <v>0</v>
      </c>
      <c r="U7276" t="n">
        <v>0</v>
      </c>
      <c r="V7276" s="2" t="inlineStr"/>
    </row>
    <row r="7277" ht="15" customHeight="1">
      <c r="A7277" t="inlineStr">
        <is>
          <t>A 62362-2022</t>
        </is>
      </c>
      <c r="B7277" t="inlineStr">
        <is>
          <t>avverkningsanmälan</t>
        </is>
      </c>
      <c r="C7277" t="inlineStr">
        <is>
          <t>Föryngringsavverkning</t>
        </is>
      </c>
      <c r="D7277" s="1" t="n">
        <v>44923</v>
      </c>
      <c r="E7277" s="1" t="n">
        <v>46326</v>
      </c>
      <c r="F7277" t="inlineStr">
        <is>
          <t>GÄVLEBORGS LÄN</t>
        </is>
      </c>
      <c r="G7277" t="inlineStr">
        <is>
          <t>OVANÅKER</t>
        </is>
      </c>
      <c r="I7277" t="n">
        <v>1.1</v>
      </c>
      <c r="J7277" t="n">
        <v>0</v>
      </c>
      <c r="K7277" t="n">
        <v>0</v>
      </c>
      <c r="L7277" t="n">
        <v>0</v>
      </c>
      <c r="M7277" t="n">
        <v>0</v>
      </c>
      <c r="N7277" t="n">
        <v>0</v>
      </c>
      <c r="O7277" t="n">
        <v>0</v>
      </c>
      <c r="P7277" t="n">
        <v>0</v>
      </c>
      <c r="Q7277" t="n">
        <v>0</v>
      </c>
      <c r="R7277" t="n">
        <v>0</v>
      </c>
      <c r="S7277" t="n">
        <v>0</v>
      </c>
      <c r="T7277" t="n">
        <v>0</v>
      </c>
      <c r="U7277" t="n">
        <v>0</v>
      </c>
      <c r="V7277" s="2" t="inlineStr"/>
    </row>
    <row r="7278" ht="15" customHeight="1">
      <c r="A7278" t="inlineStr">
        <is>
          <t>A 20469-2026</t>
        </is>
      </c>
      <c r="B7278" t="inlineStr">
        <is>
          <t>avverkningsanmälan</t>
        </is>
      </c>
      <c r="C7278" t="inlineStr">
        <is>
          <t>Föryngringsavverkning</t>
        </is>
      </c>
      <c r="D7278" s="1" t="n">
        <v>46140</v>
      </c>
      <c r="E7278" s="1" t="n">
        <v>46326</v>
      </c>
      <c r="F7278" t="inlineStr">
        <is>
          <t>GÄVLEBORGS LÄN</t>
        </is>
      </c>
      <c r="G7278" t="inlineStr">
        <is>
          <t>OCKELBO</t>
        </is>
      </c>
      <c r="H7278" t="inlineStr">
        <is>
          <t>Bergvik skog väst AB</t>
        </is>
      </c>
      <c r="I7278" t="n">
        <v>0.8</v>
      </c>
      <c r="J7278" t="n">
        <v>0</v>
      </c>
      <c r="K7278" t="n">
        <v>0</v>
      </c>
      <c r="L7278" t="n">
        <v>0</v>
      </c>
      <c r="M7278" t="n">
        <v>0</v>
      </c>
      <c r="N7278" t="n">
        <v>0</v>
      </c>
      <c r="O7278" t="n">
        <v>0</v>
      </c>
      <c r="P7278" t="n">
        <v>0</v>
      </c>
      <c r="Q7278" t="n">
        <v>0</v>
      </c>
      <c r="R7278" t="n">
        <v>0</v>
      </c>
      <c r="S7278" t="n">
        <v>0</v>
      </c>
      <c r="T7278" t="n">
        <v>0</v>
      </c>
      <c r="U7278" t="n">
        <v>0</v>
      </c>
      <c r="V7278" s="2" t="inlineStr"/>
    </row>
    <row r="7279" ht="15" customHeight="1">
      <c r="A7279" t="inlineStr">
        <is>
          <t>A 20512-2026</t>
        </is>
      </c>
      <c r="B7279" t="inlineStr">
        <is>
          <t>avverkningsanmälan</t>
        </is>
      </c>
      <c r="C7279" t="inlineStr">
        <is>
          <t>Föryngringsavverkning</t>
        </is>
      </c>
      <c r="D7279" s="1" t="n">
        <v>46140</v>
      </c>
      <c r="E7279" s="1" t="n">
        <v>46326</v>
      </c>
      <c r="F7279" t="inlineStr">
        <is>
          <t>GÄVLEBORGS LÄN</t>
        </is>
      </c>
      <c r="G7279" t="inlineStr">
        <is>
          <t>OVANÅKER</t>
        </is>
      </c>
      <c r="H7279" t="inlineStr">
        <is>
          <t>Bergvik skog väst AB</t>
        </is>
      </c>
      <c r="I7279" t="n">
        <v>1.8</v>
      </c>
      <c r="J7279" t="n">
        <v>0</v>
      </c>
      <c r="K7279" t="n">
        <v>0</v>
      </c>
      <c r="L7279" t="n">
        <v>0</v>
      </c>
      <c r="M7279" t="n">
        <v>0</v>
      </c>
      <c r="N7279" t="n">
        <v>0</v>
      </c>
      <c r="O7279" t="n">
        <v>0</v>
      </c>
      <c r="P7279" t="n">
        <v>0</v>
      </c>
      <c r="Q7279" t="n">
        <v>0</v>
      </c>
      <c r="R7279" t="n">
        <v>0</v>
      </c>
      <c r="S7279" t="n">
        <v>0</v>
      </c>
      <c r="T7279" t="n">
        <v>0</v>
      </c>
      <c r="U7279" t="n">
        <v>0</v>
      </c>
      <c r="V7279" s="2" t="inlineStr"/>
    </row>
    <row r="7280" ht="15" customHeight="1">
      <c r="A7280" t="inlineStr">
        <is>
          <t>A 20531-2026</t>
        </is>
      </c>
      <c r="B7280" t="inlineStr">
        <is>
          <t>avverkningsanmälan</t>
        </is>
      </c>
      <c r="C7280" t="inlineStr">
        <is>
          <t>Föryngringsavverkning</t>
        </is>
      </c>
      <c r="D7280" s="1" t="n">
        <v>46140</v>
      </c>
      <c r="E7280" s="1" t="n">
        <v>46326</v>
      </c>
      <c r="F7280" t="inlineStr">
        <is>
          <t>GÄVLEBORGS LÄN</t>
        </is>
      </c>
      <c r="G7280" t="inlineStr">
        <is>
          <t>BOLLNÄS</t>
        </is>
      </c>
      <c r="H7280" t="inlineStr">
        <is>
          <t>Bergvik skog väst AB</t>
        </is>
      </c>
      <c r="I7280" t="n">
        <v>5.7</v>
      </c>
      <c r="J7280" t="n">
        <v>0</v>
      </c>
      <c r="K7280" t="n">
        <v>0</v>
      </c>
      <c r="L7280" t="n">
        <v>0</v>
      </c>
      <c r="M7280" t="n">
        <v>0</v>
      </c>
      <c r="N7280" t="n">
        <v>0</v>
      </c>
      <c r="O7280" t="n">
        <v>0</v>
      </c>
      <c r="P7280" t="n">
        <v>0</v>
      </c>
      <c r="Q7280" t="n">
        <v>0</v>
      </c>
      <c r="R7280" t="n">
        <v>0</v>
      </c>
      <c r="S7280" t="n">
        <v>0</v>
      </c>
      <c r="T7280" t="n">
        <v>0</v>
      </c>
      <c r="U7280" t="n">
        <v>0</v>
      </c>
      <c r="V7280" s="2" t="inlineStr"/>
    </row>
    <row r="7281" ht="15" customHeight="1">
      <c r="A7281" t="inlineStr">
        <is>
          <t>A 1238-2023</t>
        </is>
      </c>
      <c r="B7281" t="inlineStr">
        <is>
          <t>avverkningsanmälan</t>
        </is>
      </c>
      <c r="C7281" t="inlineStr">
        <is>
          <t>Föryngringsavverkning</t>
        </is>
      </c>
      <c r="D7281" s="1" t="n">
        <v>44936</v>
      </c>
      <c r="E7281" s="1" t="n">
        <v>46326</v>
      </c>
      <c r="F7281" t="inlineStr">
        <is>
          <t>GÄVLEBORGS LÄN</t>
        </is>
      </c>
      <c r="G7281" t="inlineStr">
        <is>
          <t>GÄVLE</t>
        </is>
      </c>
      <c r="I7281" t="n">
        <v>4.1</v>
      </c>
      <c r="J7281" t="n">
        <v>0</v>
      </c>
      <c r="K7281" t="n">
        <v>0</v>
      </c>
      <c r="L7281" t="n">
        <v>0</v>
      </c>
      <c r="M7281" t="n">
        <v>0</v>
      </c>
      <c r="N7281" t="n">
        <v>0</v>
      </c>
      <c r="O7281" t="n">
        <v>0</v>
      </c>
      <c r="P7281" t="n">
        <v>0</v>
      </c>
      <c r="Q7281" t="n">
        <v>0</v>
      </c>
      <c r="R7281" t="n">
        <v>0</v>
      </c>
      <c r="S7281" t="n">
        <v>0</v>
      </c>
      <c r="T7281" t="n">
        <v>0</v>
      </c>
      <c r="U7281" t="n">
        <v>0</v>
      </c>
      <c r="V7281" s="2" t="inlineStr"/>
    </row>
    <row r="7282" ht="15" customHeight="1">
      <c r="A7282" t="inlineStr">
        <is>
          <t>A 32652-2023</t>
        </is>
      </c>
      <c r="B7282" t="inlineStr">
        <is>
          <t>avverkningsanmälan</t>
        </is>
      </c>
      <c r="C7282" t="inlineStr">
        <is>
          <t>Föryngringsavverkning</t>
        </is>
      </c>
      <c r="D7282" s="1" t="n">
        <v>45121</v>
      </c>
      <c r="E7282" s="1" t="n">
        <v>46326</v>
      </c>
      <c r="F7282" t="inlineStr">
        <is>
          <t>GÄVLEBORGS LÄN</t>
        </is>
      </c>
      <c r="G7282" t="inlineStr">
        <is>
          <t>NORDANSTIG</t>
        </is>
      </c>
      <c r="I7282" t="n">
        <v>3.3</v>
      </c>
      <c r="J7282" t="n">
        <v>0</v>
      </c>
      <c r="K7282" t="n">
        <v>0</v>
      </c>
      <c r="L7282" t="n">
        <v>0</v>
      </c>
      <c r="M7282" t="n">
        <v>0</v>
      </c>
      <c r="N7282" t="n">
        <v>0</v>
      </c>
      <c r="O7282" t="n">
        <v>0</v>
      </c>
      <c r="P7282" t="n">
        <v>0</v>
      </c>
      <c r="Q7282" t="n">
        <v>0</v>
      </c>
      <c r="R7282" t="n">
        <v>0</v>
      </c>
      <c r="S7282" t="n">
        <v>0</v>
      </c>
      <c r="T7282" t="n">
        <v>0</v>
      </c>
      <c r="U7282" t="n">
        <v>0</v>
      </c>
      <c r="V7282" s="2" t="inlineStr"/>
    </row>
    <row r="7283" ht="15" customHeight="1">
      <c r="A7283" t="inlineStr">
        <is>
          <t>A 8543-2026</t>
        </is>
      </c>
      <c r="B7283" t="inlineStr">
        <is>
          <t>avverkningsanmälan</t>
        </is>
      </c>
      <c r="C7283" t="inlineStr">
        <is>
          <t>Föryngringsavverkning</t>
        </is>
      </c>
      <c r="D7283" s="1" t="n">
        <v>46065</v>
      </c>
      <c r="E7283" s="1" t="n">
        <v>46326</v>
      </c>
      <c r="F7283" t="inlineStr">
        <is>
          <t>GÄVLEBORGS LÄN</t>
        </is>
      </c>
      <c r="G7283" t="inlineStr">
        <is>
          <t>OVANÅKER</t>
        </is>
      </c>
      <c r="I7283" t="n">
        <v>1.8</v>
      </c>
      <c r="J7283" t="n">
        <v>0</v>
      </c>
      <c r="K7283" t="n">
        <v>0</v>
      </c>
      <c r="L7283" t="n">
        <v>0</v>
      </c>
      <c r="M7283" t="n">
        <v>0</v>
      </c>
      <c r="N7283" t="n">
        <v>0</v>
      </c>
      <c r="O7283" t="n">
        <v>0</v>
      </c>
      <c r="P7283" t="n">
        <v>0</v>
      </c>
      <c r="Q7283" t="n">
        <v>0</v>
      </c>
      <c r="R7283" t="n">
        <v>0</v>
      </c>
      <c r="S7283" t="n">
        <v>0</v>
      </c>
      <c r="T7283" t="n">
        <v>0</v>
      </c>
      <c r="U7283" t="n">
        <v>0</v>
      </c>
      <c r="V7283" s="2" t="inlineStr"/>
    </row>
    <row r="7284" ht="15" customHeight="1">
      <c r="A7284" t="inlineStr">
        <is>
          <t>A 61487-2024</t>
        </is>
      </c>
      <c r="B7284" t="inlineStr">
        <is>
          <t>avverkningsanmälan</t>
        </is>
      </c>
      <c r="C7284" t="inlineStr">
        <is>
          <t>Föryngringsavverkning</t>
        </is>
      </c>
      <c r="D7284" s="1" t="n">
        <v>45646</v>
      </c>
      <c r="E7284" s="1" t="n">
        <v>46326</v>
      </c>
      <c r="F7284" t="inlineStr">
        <is>
          <t>GÄVLEBORGS LÄN</t>
        </is>
      </c>
      <c r="G7284" t="inlineStr">
        <is>
          <t>OVANÅKER</t>
        </is>
      </c>
      <c r="I7284" t="n">
        <v>0.2</v>
      </c>
      <c r="J7284" t="n">
        <v>0</v>
      </c>
      <c r="K7284" t="n">
        <v>0</v>
      </c>
      <c r="L7284" t="n">
        <v>0</v>
      </c>
      <c r="M7284" t="n">
        <v>0</v>
      </c>
      <c r="N7284" t="n">
        <v>0</v>
      </c>
      <c r="O7284" t="n">
        <v>0</v>
      </c>
      <c r="P7284" t="n">
        <v>0</v>
      </c>
      <c r="Q7284" t="n">
        <v>0</v>
      </c>
      <c r="R7284" t="n">
        <v>0</v>
      </c>
      <c r="S7284" t="n">
        <v>0</v>
      </c>
      <c r="T7284" t="n">
        <v>0</v>
      </c>
      <c r="U7284" t="n">
        <v>0</v>
      </c>
      <c r="V7284" s="2" t="inlineStr"/>
    </row>
    <row r="7285" ht="15" customHeight="1">
      <c r="A7285" t="inlineStr">
        <is>
          <t>A 3168-2026</t>
        </is>
      </c>
      <c r="B7285" t="inlineStr">
        <is>
          <t>avverkningsanmälan</t>
        </is>
      </c>
      <c r="C7285" t="inlineStr">
        <is>
          <t>Föryngringsavverkning</t>
        </is>
      </c>
      <c r="D7285" s="1" t="n">
        <v>46041</v>
      </c>
      <c r="E7285" s="1" t="n">
        <v>46326</v>
      </c>
      <c r="F7285" t="inlineStr">
        <is>
          <t>GÄVLEBORGS LÄN</t>
        </is>
      </c>
      <c r="G7285" t="inlineStr">
        <is>
          <t>OVANÅKER</t>
        </is>
      </c>
      <c r="I7285" t="n">
        <v>6.7</v>
      </c>
      <c r="J7285" t="n">
        <v>0</v>
      </c>
      <c r="K7285" t="n">
        <v>0</v>
      </c>
      <c r="L7285" t="n">
        <v>0</v>
      </c>
      <c r="M7285" t="n">
        <v>0</v>
      </c>
      <c r="N7285" t="n">
        <v>0</v>
      </c>
      <c r="O7285" t="n">
        <v>0</v>
      </c>
      <c r="P7285" t="n">
        <v>0</v>
      </c>
      <c r="Q7285" t="n">
        <v>0</v>
      </c>
      <c r="R7285" t="n">
        <v>0</v>
      </c>
      <c r="S7285" t="n">
        <v>0</v>
      </c>
      <c r="T7285" t="n">
        <v>0</v>
      </c>
      <c r="U7285" t="n">
        <v>0</v>
      </c>
      <c r="V7285" s="2" t="inlineStr"/>
    </row>
    <row r="7286" ht="15" customHeight="1">
      <c r="A7286" t="inlineStr">
        <is>
          <t>A 20712-2026</t>
        </is>
      </c>
      <c r="B7286" t="inlineStr">
        <is>
          <t>avverkningsanmälan</t>
        </is>
      </c>
      <c r="C7286" t="inlineStr">
        <is>
          <t>Föryngringsavverkning</t>
        </is>
      </c>
      <c r="D7286" s="1" t="n">
        <v>46141</v>
      </c>
      <c r="E7286" s="1" t="n">
        <v>46326</v>
      </c>
      <c r="F7286" t="inlineStr">
        <is>
          <t>GÄVLEBORGS LÄN</t>
        </is>
      </c>
      <c r="G7286" t="inlineStr">
        <is>
          <t>OVANÅKER</t>
        </is>
      </c>
      <c r="H7286" t="inlineStr">
        <is>
          <t>Bergvik skog väst AB</t>
        </is>
      </c>
      <c r="I7286" t="n">
        <v>2.9</v>
      </c>
      <c r="J7286" t="n">
        <v>0</v>
      </c>
      <c r="K7286" t="n">
        <v>0</v>
      </c>
      <c r="L7286" t="n">
        <v>0</v>
      </c>
      <c r="M7286" t="n">
        <v>0</v>
      </c>
      <c r="N7286" t="n">
        <v>0</v>
      </c>
      <c r="O7286" t="n">
        <v>0</v>
      </c>
      <c r="P7286" t="n">
        <v>0</v>
      </c>
      <c r="Q7286" t="n">
        <v>0</v>
      </c>
      <c r="R7286" t="n">
        <v>0</v>
      </c>
      <c r="S7286" t="n">
        <v>0</v>
      </c>
      <c r="T7286" t="n">
        <v>0</v>
      </c>
      <c r="U7286" t="n">
        <v>0</v>
      </c>
      <c r="V7286" s="2" t="inlineStr"/>
    </row>
    <row r="7287" ht="15" customHeight="1">
      <c r="A7287" t="inlineStr">
        <is>
          <t>A 3434-2024</t>
        </is>
      </c>
      <c r="B7287" t="inlineStr">
        <is>
          <t>avverkningsanmälan</t>
        </is>
      </c>
      <c r="C7287" t="inlineStr">
        <is>
          <t>Föryngringsavverkning</t>
        </is>
      </c>
      <c r="D7287" s="1" t="n">
        <v>45320</v>
      </c>
      <c r="E7287" s="1" t="n">
        <v>46326</v>
      </c>
      <c r="F7287" t="inlineStr">
        <is>
          <t>GÄVLEBORGS LÄN</t>
        </is>
      </c>
      <c r="G7287" t="inlineStr">
        <is>
          <t>LJUSDAL</t>
        </is>
      </c>
      <c r="I7287" t="n">
        <v>1.1</v>
      </c>
      <c r="J7287" t="n">
        <v>0</v>
      </c>
      <c r="K7287" t="n">
        <v>0</v>
      </c>
      <c r="L7287" t="n">
        <v>0</v>
      </c>
      <c r="M7287" t="n">
        <v>0</v>
      </c>
      <c r="N7287" t="n">
        <v>0</v>
      </c>
      <c r="O7287" t="n">
        <v>0</v>
      </c>
      <c r="P7287" t="n">
        <v>0</v>
      </c>
      <c r="Q7287" t="n">
        <v>0</v>
      </c>
      <c r="R7287" t="n">
        <v>0</v>
      </c>
      <c r="S7287" t="n">
        <v>0</v>
      </c>
      <c r="T7287" t="n">
        <v>0</v>
      </c>
      <c r="U7287" t="n">
        <v>0</v>
      </c>
      <c r="V7287" s="2" t="inlineStr"/>
    </row>
    <row r="7288" ht="15" customHeight="1">
      <c r="A7288" t="inlineStr">
        <is>
          <t>A 3748-2022</t>
        </is>
      </c>
      <c r="B7288" t="inlineStr">
        <is>
          <t>avverkningsanmälan</t>
        </is>
      </c>
      <c r="C7288" t="inlineStr">
        <is>
          <t>Föryngringsavverkning</t>
        </is>
      </c>
      <c r="D7288" s="1" t="n">
        <v>44586</v>
      </c>
      <c r="E7288" s="1" t="n">
        <v>46326</v>
      </c>
      <c r="F7288" t="inlineStr">
        <is>
          <t>GÄVLEBORGS LÄN</t>
        </is>
      </c>
      <c r="G7288" t="inlineStr">
        <is>
          <t>SANDVIKEN</t>
        </is>
      </c>
      <c r="I7288" t="n">
        <v>2.2</v>
      </c>
      <c r="J7288" t="n">
        <v>0</v>
      </c>
      <c r="K7288" t="n">
        <v>0</v>
      </c>
      <c r="L7288" t="n">
        <v>0</v>
      </c>
      <c r="M7288" t="n">
        <v>0</v>
      </c>
      <c r="N7288" t="n">
        <v>0</v>
      </c>
      <c r="O7288" t="n">
        <v>0</v>
      </c>
      <c r="P7288" t="n">
        <v>0</v>
      </c>
      <c r="Q7288" t="n">
        <v>0</v>
      </c>
      <c r="R7288" t="n">
        <v>0</v>
      </c>
      <c r="S7288" t="n">
        <v>0</v>
      </c>
      <c r="T7288" t="n">
        <v>0</v>
      </c>
      <c r="U7288" t="n">
        <v>0</v>
      </c>
      <c r="V7288" s="2" t="inlineStr"/>
    </row>
    <row r="7289" ht="15" customHeight="1">
      <c r="A7289" t="inlineStr">
        <is>
          <t>A 38268-2023</t>
        </is>
      </c>
      <c r="B7289" t="inlineStr">
        <is>
          <t>avverkningsanmälan</t>
        </is>
      </c>
      <c r="C7289" t="inlineStr">
        <is>
          <t>Föryngringsavverkning</t>
        </is>
      </c>
      <c r="D7289" s="1" t="n">
        <v>45161</v>
      </c>
      <c r="E7289" s="1" t="n">
        <v>46326</v>
      </c>
      <c r="F7289" t="inlineStr">
        <is>
          <t>GÄVLEBORGS LÄN</t>
        </is>
      </c>
      <c r="G7289" t="inlineStr">
        <is>
          <t>BOLLNÄS</t>
        </is>
      </c>
      <c r="I7289" t="n">
        <v>2.2</v>
      </c>
      <c r="J7289" t="n">
        <v>0</v>
      </c>
      <c r="K7289" t="n">
        <v>0</v>
      </c>
      <c r="L7289" t="n">
        <v>0</v>
      </c>
      <c r="M7289" t="n">
        <v>0</v>
      </c>
      <c r="N7289" t="n">
        <v>0</v>
      </c>
      <c r="O7289" t="n">
        <v>0</v>
      </c>
      <c r="P7289" t="n">
        <v>0</v>
      </c>
      <c r="Q7289" t="n">
        <v>0</v>
      </c>
      <c r="R7289" t="n">
        <v>0</v>
      </c>
      <c r="S7289" t="n">
        <v>0</v>
      </c>
      <c r="T7289" t="n">
        <v>0</v>
      </c>
      <c r="U7289" t="n">
        <v>0</v>
      </c>
      <c r="V7289" s="2" t="inlineStr"/>
    </row>
    <row r="7290" ht="15" customHeight="1">
      <c r="A7290" t="inlineStr">
        <is>
          <t>A 8778-2026</t>
        </is>
      </c>
      <c r="B7290" t="inlineStr">
        <is>
          <t>avverkningsanmälan</t>
        </is>
      </c>
      <c r="C7290" t="inlineStr">
        <is>
          <t>Föryngringsavverkning</t>
        </is>
      </c>
      <c r="D7290" s="1" t="n">
        <v>46066</v>
      </c>
      <c r="E7290" s="1" t="n">
        <v>46326</v>
      </c>
      <c r="F7290" t="inlineStr">
        <is>
          <t>GÄVLEBORGS LÄN</t>
        </is>
      </c>
      <c r="G7290" t="inlineStr">
        <is>
          <t>HUDIKSVALL</t>
        </is>
      </c>
      <c r="I7290" t="n">
        <v>2.3</v>
      </c>
      <c r="J7290" t="n">
        <v>0</v>
      </c>
      <c r="K7290" t="n">
        <v>0</v>
      </c>
      <c r="L7290" t="n">
        <v>0</v>
      </c>
      <c r="M7290" t="n">
        <v>0</v>
      </c>
      <c r="N7290" t="n">
        <v>0</v>
      </c>
      <c r="O7290" t="n">
        <v>0</v>
      </c>
      <c r="P7290" t="n">
        <v>0</v>
      </c>
      <c r="Q7290" t="n">
        <v>0</v>
      </c>
      <c r="R7290" t="n">
        <v>0</v>
      </c>
      <c r="S7290" t="n">
        <v>0</v>
      </c>
      <c r="T7290" t="n">
        <v>0</v>
      </c>
      <c r="U7290" t="n">
        <v>0</v>
      </c>
      <c r="V7290" s="2" t="inlineStr"/>
    </row>
    <row r="7291" ht="15" customHeight="1">
      <c r="A7291" t="inlineStr">
        <is>
          <t>A 8844-2026</t>
        </is>
      </c>
      <c r="B7291" t="inlineStr">
        <is>
          <t>avverkningsanmälan</t>
        </is>
      </c>
      <c r="C7291" t="inlineStr">
        <is>
          <t>Föryngringsavverkning</t>
        </is>
      </c>
      <c r="D7291" s="1" t="n">
        <v>46066</v>
      </c>
      <c r="E7291" s="1" t="n">
        <v>46326</v>
      </c>
      <c r="F7291" t="inlineStr">
        <is>
          <t>GÄVLEBORGS LÄN</t>
        </is>
      </c>
      <c r="G7291" t="inlineStr">
        <is>
          <t>BOLLNÄS</t>
        </is>
      </c>
      <c r="I7291" t="n">
        <v>3.3</v>
      </c>
      <c r="J7291" t="n">
        <v>0</v>
      </c>
      <c r="K7291" t="n">
        <v>0</v>
      </c>
      <c r="L7291" t="n">
        <v>0</v>
      </c>
      <c r="M7291" t="n">
        <v>0</v>
      </c>
      <c r="N7291" t="n">
        <v>0</v>
      </c>
      <c r="O7291" t="n">
        <v>0</v>
      </c>
      <c r="P7291" t="n">
        <v>0</v>
      </c>
      <c r="Q7291" t="n">
        <v>0</v>
      </c>
      <c r="R7291" t="n">
        <v>0</v>
      </c>
      <c r="S7291" t="n">
        <v>0</v>
      </c>
      <c r="T7291" t="n">
        <v>0</v>
      </c>
      <c r="U7291" t="n">
        <v>0</v>
      </c>
      <c r="V7291" s="2" t="inlineStr"/>
    </row>
    <row r="7292" ht="15" customHeight="1">
      <c r="A7292" t="inlineStr">
        <is>
          <t>A 9719-2026</t>
        </is>
      </c>
      <c r="B7292" t="inlineStr">
        <is>
          <t>avverkningsanmälan</t>
        </is>
      </c>
      <c r="C7292" t="inlineStr">
        <is>
          <t>Föryngringsavverkning</t>
        </is>
      </c>
      <c r="D7292" s="1" t="n">
        <v>46072</v>
      </c>
      <c r="E7292" s="1" t="n">
        <v>46326</v>
      </c>
      <c r="F7292" t="inlineStr">
        <is>
          <t>GÄVLEBORGS LÄN</t>
        </is>
      </c>
      <c r="G7292" t="inlineStr">
        <is>
          <t>BOLLNÄS</t>
        </is>
      </c>
      <c r="I7292" t="n">
        <v>3.1</v>
      </c>
      <c r="J7292" t="n">
        <v>0</v>
      </c>
      <c r="K7292" t="n">
        <v>0</v>
      </c>
      <c r="L7292" t="n">
        <v>0</v>
      </c>
      <c r="M7292" t="n">
        <v>0</v>
      </c>
      <c r="N7292" t="n">
        <v>0</v>
      </c>
      <c r="O7292" t="n">
        <v>0</v>
      </c>
      <c r="P7292" t="n">
        <v>0</v>
      </c>
      <c r="Q7292" t="n">
        <v>0</v>
      </c>
      <c r="R7292" t="n">
        <v>0</v>
      </c>
      <c r="S7292" t="n">
        <v>0</v>
      </c>
      <c r="T7292" t="n">
        <v>0</v>
      </c>
      <c r="U7292" t="n">
        <v>0</v>
      </c>
      <c r="V7292" s="2" t="inlineStr"/>
    </row>
    <row r="7293" ht="15" customHeight="1">
      <c r="A7293" t="inlineStr">
        <is>
          <t>A 9725-2026</t>
        </is>
      </c>
      <c r="B7293" t="inlineStr">
        <is>
          <t>avverkningsanmälan</t>
        </is>
      </c>
      <c r="C7293" t="inlineStr">
        <is>
          <t>Föryngringsavverkning</t>
        </is>
      </c>
      <c r="D7293" s="1" t="n">
        <v>46072</v>
      </c>
      <c r="E7293" s="1" t="n">
        <v>46326</v>
      </c>
      <c r="F7293" t="inlineStr">
        <is>
          <t>GÄVLEBORGS LÄN</t>
        </is>
      </c>
      <c r="G7293" t="inlineStr">
        <is>
          <t>OVANÅKER</t>
        </is>
      </c>
      <c r="I7293" t="n">
        <v>9</v>
      </c>
      <c r="J7293" t="n">
        <v>0</v>
      </c>
      <c r="K7293" t="n">
        <v>0</v>
      </c>
      <c r="L7293" t="n">
        <v>0</v>
      </c>
      <c r="M7293" t="n">
        <v>0</v>
      </c>
      <c r="N7293" t="n">
        <v>0</v>
      </c>
      <c r="O7293" t="n">
        <v>0</v>
      </c>
      <c r="P7293" t="n">
        <v>0</v>
      </c>
      <c r="Q7293" t="n">
        <v>0</v>
      </c>
      <c r="R7293" t="n">
        <v>0</v>
      </c>
      <c r="S7293" t="n">
        <v>0</v>
      </c>
      <c r="T7293" t="n">
        <v>0</v>
      </c>
      <c r="U7293" t="n">
        <v>0</v>
      </c>
      <c r="V7293" s="2" t="inlineStr"/>
    </row>
    <row r="7294" ht="15" customHeight="1">
      <c r="A7294" t="inlineStr">
        <is>
          <t>A 11198-2026</t>
        </is>
      </c>
      <c r="B7294" t="inlineStr">
        <is>
          <t>avverkningsanmälan</t>
        </is>
      </c>
      <c r="C7294" t="inlineStr">
        <is>
          <t>Föryngringsavverkning</t>
        </is>
      </c>
      <c r="D7294" s="1" t="n">
        <v>46080</v>
      </c>
      <c r="E7294" s="1" t="n">
        <v>46326</v>
      </c>
      <c r="F7294" t="inlineStr">
        <is>
          <t>GÄVLEBORGS LÄN</t>
        </is>
      </c>
      <c r="G7294" t="inlineStr">
        <is>
          <t>OVANÅKER</t>
        </is>
      </c>
      <c r="I7294" t="n">
        <v>1.7</v>
      </c>
      <c r="J7294" t="n">
        <v>0</v>
      </c>
      <c r="K7294" t="n">
        <v>0</v>
      </c>
      <c r="L7294" t="n">
        <v>0</v>
      </c>
      <c r="M7294" t="n">
        <v>0</v>
      </c>
      <c r="N7294" t="n">
        <v>0</v>
      </c>
      <c r="O7294" t="n">
        <v>0</v>
      </c>
      <c r="P7294" t="n">
        <v>0</v>
      </c>
      <c r="Q7294" t="n">
        <v>0</v>
      </c>
      <c r="R7294" t="n">
        <v>0</v>
      </c>
      <c r="S7294" t="n">
        <v>0</v>
      </c>
      <c r="T7294" t="n">
        <v>0</v>
      </c>
      <c r="U7294" t="n">
        <v>0</v>
      </c>
      <c r="V7294" s="2" t="inlineStr"/>
    </row>
    <row r="7295" ht="15" customHeight="1">
      <c r="A7295" t="inlineStr">
        <is>
          <t>A 6457-2026</t>
        </is>
      </c>
      <c r="B7295" t="inlineStr">
        <is>
          <t>avverkningsanmälan</t>
        </is>
      </c>
      <c r="C7295" t="inlineStr">
        <is>
          <t>Föryngringsavverkning</t>
        </is>
      </c>
      <c r="D7295" s="1" t="n">
        <v>46056</v>
      </c>
      <c r="E7295" s="1" t="n">
        <v>46326</v>
      </c>
      <c r="F7295" t="inlineStr">
        <is>
          <t>GÄVLEBORGS LÄN</t>
        </is>
      </c>
      <c r="G7295" t="inlineStr">
        <is>
          <t>BOLLNÄS</t>
        </is>
      </c>
      <c r="I7295" t="n">
        <v>0.7</v>
      </c>
      <c r="J7295" t="n">
        <v>0</v>
      </c>
      <c r="K7295" t="n">
        <v>0</v>
      </c>
      <c r="L7295" t="n">
        <v>0</v>
      </c>
      <c r="M7295" t="n">
        <v>0</v>
      </c>
      <c r="N7295" t="n">
        <v>0</v>
      </c>
      <c r="O7295" t="n">
        <v>0</v>
      </c>
      <c r="P7295" t="n">
        <v>0</v>
      </c>
      <c r="Q7295" t="n">
        <v>0</v>
      </c>
      <c r="R7295" t="n">
        <v>0</v>
      </c>
      <c r="S7295" t="n">
        <v>0</v>
      </c>
      <c r="T7295" t="n">
        <v>0</v>
      </c>
      <c r="U7295" t="n">
        <v>0</v>
      </c>
      <c r="V7295" s="2" t="inlineStr"/>
    </row>
    <row r="7296" ht="15" customHeight="1">
      <c r="A7296" t="inlineStr">
        <is>
          <t>A 32201-2022</t>
        </is>
      </c>
      <c r="B7296" t="inlineStr">
        <is>
          <t>avverkningsanmälan</t>
        </is>
      </c>
      <c r="C7296" t="inlineStr">
        <is>
          <t>Föryngringsavverkning</t>
        </is>
      </c>
      <c r="D7296" s="1" t="n">
        <v>44781</v>
      </c>
      <c r="E7296" s="1" t="n">
        <v>46326</v>
      </c>
      <c r="F7296" t="inlineStr">
        <is>
          <t>GÄVLEBORGS LÄN</t>
        </is>
      </c>
      <c r="G7296" t="inlineStr">
        <is>
          <t>HUDIKSVALL</t>
        </is>
      </c>
      <c r="I7296" t="n">
        <v>1.4</v>
      </c>
      <c r="J7296" t="n">
        <v>0</v>
      </c>
      <c r="K7296" t="n">
        <v>0</v>
      </c>
      <c r="L7296" t="n">
        <v>0</v>
      </c>
      <c r="M7296" t="n">
        <v>0</v>
      </c>
      <c r="N7296" t="n">
        <v>0</v>
      </c>
      <c r="O7296" t="n">
        <v>0</v>
      </c>
      <c r="P7296" t="n">
        <v>0</v>
      </c>
      <c r="Q7296" t="n">
        <v>0</v>
      </c>
      <c r="R7296" t="n">
        <v>0</v>
      </c>
      <c r="S7296" t="n">
        <v>0</v>
      </c>
      <c r="T7296" t="n">
        <v>0</v>
      </c>
      <c r="U7296" t="n">
        <v>0</v>
      </c>
      <c r="V7296" s="2" t="inlineStr"/>
    </row>
    <row r="7297" ht="15" customHeight="1">
      <c r="A7297" t="inlineStr">
        <is>
          <t>A 9801-2026</t>
        </is>
      </c>
      <c r="B7297" t="inlineStr">
        <is>
          <t>avverkningsanmälan</t>
        </is>
      </c>
      <c r="C7297" t="inlineStr">
        <is>
          <t>Föryngringsavverkning</t>
        </is>
      </c>
      <c r="D7297" s="1" t="n">
        <v>46072</v>
      </c>
      <c r="E7297" s="1" t="n">
        <v>46326</v>
      </c>
      <c r="F7297" t="inlineStr">
        <is>
          <t>GÄVLEBORGS LÄN</t>
        </is>
      </c>
      <c r="G7297" t="inlineStr">
        <is>
          <t>BOLLNÄS</t>
        </is>
      </c>
      <c r="H7297" t="inlineStr">
        <is>
          <t>Sveaskog</t>
        </is>
      </c>
      <c r="I7297" t="n">
        <v>1.8</v>
      </c>
      <c r="J7297" t="n">
        <v>0</v>
      </c>
      <c r="K7297" t="n">
        <v>0</v>
      </c>
      <c r="L7297" t="n">
        <v>0</v>
      </c>
      <c r="M7297" t="n">
        <v>0</v>
      </c>
      <c r="N7297" t="n">
        <v>0</v>
      </c>
      <c r="O7297" t="n">
        <v>0</v>
      </c>
      <c r="P7297" t="n">
        <v>0</v>
      </c>
      <c r="Q7297" t="n">
        <v>0</v>
      </c>
      <c r="R7297" t="n">
        <v>0</v>
      </c>
      <c r="S7297" t="n">
        <v>0</v>
      </c>
      <c r="T7297" t="n">
        <v>0</v>
      </c>
      <c r="U7297" t="n">
        <v>0</v>
      </c>
      <c r="V7297" s="2" t="inlineStr"/>
    </row>
    <row r="7298" ht="15" customHeight="1">
      <c r="A7298" t="inlineStr">
        <is>
          <t>A 4770-2026</t>
        </is>
      </c>
      <c r="B7298" t="inlineStr">
        <is>
          <t>avverkningsanmälan</t>
        </is>
      </c>
      <c r="C7298" t="inlineStr">
        <is>
          <t>Föryngringsavverkning</t>
        </is>
      </c>
      <c r="D7298" s="1" t="n">
        <v>46048</v>
      </c>
      <c r="E7298" s="1" t="n">
        <v>46326</v>
      </c>
      <c r="F7298" t="inlineStr">
        <is>
          <t>GÄVLEBORGS LÄN</t>
        </is>
      </c>
      <c r="G7298" t="inlineStr">
        <is>
          <t>BOLLNÄS</t>
        </is>
      </c>
      <c r="I7298" t="n">
        <v>3.5</v>
      </c>
      <c r="J7298" t="n">
        <v>0</v>
      </c>
      <c r="K7298" t="n">
        <v>0</v>
      </c>
      <c r="L7298" t="n">
        <v>0</v>
      </c>
      <c r="M7298" t="n">
        <v>0</v>
      </c>
      <c r="N7298" t="n">
        <v>0</v>
      </c>
      <c r="O7298" t="n">
        <v>0</v>
      </c>
      <c r="P7298" t="n">
        <v>0</v>
      </c>
      <c r="Q7298" t="n">
        <v>0</v>
      </c>
      <c r="R7298" t="n">
        <v>0</v>
      </c>
      <c r="S7298" t="n">
        <v>0</v>
      </c>
      <c r="T7298" t="n">
        <v>0</v>
      </c>
      <c r="U7298" t="n">
        <v>0</v>
      </c>
      <c r="V7298" s="2" t="inlineStr"/>
    </row>
    <row r="7299" ht="15" customHeight="1">
      <c r="A7299" t="inlineStr">
        <is>
          <t>A 5557-2026</t>
        </is>
      </c>
      <c r="B7299" t="inlineStr">
        <is>
          <t>avverkningsanmälan</t>
        </is>
      </c>
      <c r="C7299" t="inlineStr">
        <is>
          <t>Föryngringsavverkning</t>
        </is>
      </c>
      <c r="D7299" s="1" t="n">
        <v>46050</v>
      </c>
      <c r="E7299" s="1" t="n">
        <v>46326</v>
      </c>
      <c r="F7299" t="inlineStr">
        <is>
          <t>GÄVLEBORGS LÄN</t>
        </is>
      </c>
      <c r="G7299" t="inlineStr">
        <is>
          <t>OVANÅKER</t>
        </is>
      </c>
      <c r="H7299" t="inlineStr">
        <is>
          <t>Kyrkan</t>
        </is>
      </c>
      <c r="I7299" t="n">
        <v>11.6</v>
      </c>
      <c r="J7299" t="n">
        <v>0</v>
      </c>
      <c r="K7299" t="n">
        <v>0</v>
      </c>
      <c r="L7299" t="n">
        <v>0</v>
      </c>
      <c r="M7299" t="n">
        <v>0</v>
      </c>
      <c r="N7299" t="n">
        <v>0</v>
      </c>
      <c r="O7299" t="n">
        <v>0</v>
      </c>
      <c r="P7299" t="n">
        <v>0</v>
      </c>
      <c r="Q7299" t="n">
        <v>0</v>
      </c>
      <c r="R7299" t="n">
        <v>0</v>
      </c>
      <c r="S7299" t="n">
        <v>0</v>
      </c>
      <c r="T7299" t="n">
        <v>0</v>
      </c>
      <c r="U7299" t="n">
        <v>0</v>
      </c>
      <c r="V7299" s="2" t="inlineStr"/>
    </row>
    <row r="7300" ht="15" customHeight="1">
      <c r="A7300" t="inlineStr">
        <is>
          <t>A 5653-2026</t>
        </is>
      </c>
      <c r="B7300" t="inlineStr">
        <is>
          <t>avverkningsanmälan</t>
        </is>
      </c>
      <c r="C7300" t="inlineStr">
        <is>
          <t>Föryngringsavverkning</t>
        </is>
      </c>
      <c r="D7300" s="1" t="n">
        <v>46051</v>
      </c>
      <c r="E7300" s="1" t="n">
        <v>46326</v>
      </c>
      <c r="F7300" t="inlineStr">
        <is>
          <t>GÄVLEBORGS LÄN</t>
        </is>
      </c>
      <c r="G7300" t="inlineStr">
        <is>
          <t>BOLLNÄS</t>
        </is>
      </c>
      <c r="I7300" t="n">
        <v>2.1</v>
      </c>
      <c r="J7300" t="n">
        <v>0</v>
      </c>
      <c r="K7300" t="n">
        <v>0</v>
      </c>
      <c r="L7300" t="n">
        <v>0</v>
      </c>
      <c r="M7300" t="n">
        <v>0</v>
      </c>
      <c r="N7300" t="n">
        <v>0</v>
      </c>
      <c r="O7300" t="n">
        <v>0</v>
      </c>
      <c r="P7300" t="n">
        <v>0</v>
      </c>
      <c r="Q7300" t="n">
        <v>0</v>
      </c>
      <c r="R7300" t="n">
        <v>0</v>
      </c>
      <c r="S7300" t="n">
        <v>0</v>
      </c>
      <c r="T7300" t="n">
        <v>0</v>
      </c>
      <c r="U7300" t="n">
        <v>0</v>
      </c>
      <c r="V7300" s="2" t="inlineStr"/>
    </row>
    <row r="7301" ht="15" customHeight="1">
      <c r="A7301" t="inlineStr">
        <is>
          <t>A 21561-2022</t>
        </is>
      </c>
      <c r="B7301" t="inlineStr">
        <is>
          <t>avverkningsanmälan</t>
        </is>
      </c>
      <c r="C7301" t="inlineStr">
        <is>
          <t>Avverkning för annat ändamål</t>
        </is>
      </c>
      <c r="D7301" s="1" t="n">
        <v>44706</v>
      </c>
      <c r="E7301" s="1" t="n">
        <v>46326</v>
      </c>
      <c r="F7301" t="inlineStr">
        <is>
          <t>GÄVLEBORGS LÄN</t>
        </is>
      </c>
      <c r="G7301" t="inlineStr">
        <is>
          <t>HUDIKSVALL</t>
        </is>
      </c>
      <c r="I7301" t="n">
        <v>1.5</v>
      </c>
      <c r="J7301" t="n">
        <v>0</v>
      </c>
      <c r="K7301" t="n">
        <v>0</v>
      </c>
      <c r="L7301" t="n">
        <v>0</v>
      </c>
      <c r="M7301" t="n">
        <v>0</v>
      </c>
      <c r="N7301" t="n">
        <v>0</v>
      </c>
      <c r="O7301" t="n">
        <v>0</v>
      </c>
      <c r="P7301" t="n">
        <v>0</v>
      </c>
      <c r="Q7301" t="n">
        <v>0</v>
      </c>
      <c r="R7301" t="n">
        <v>0</v>
      </c>
      <c r="S7301" t="n">
        <v>0</v>
      </c>
      <c r="T7301" t="n">
        <v>0</v>
      </c>
      <c r="U7301" t="n">
        <v>0</v>
      </c>
      <c r="V7301" s="2" t="inlineStr"/>
    </row>
    <row r="7302" ht="15" customHeight="1">
      <c r="A7302" t="inlineStr">
        <is>
          <t>A 20458-2026</t>
        </is>
      </c>
      <c r="B7302" t="inlineStr">
        <is>
          <t>avverkningsanmälan</t>
        </is>
      </c>
      <c r="C7302" t="inlineStr">
        <is>
          <t>Föryngringsavverkning</t>
        </is>
      </c>
      <c r="D7302" s="1" t="n">
        <v>46140</v>
      </c>
      <c r="E7302" s="1" t="n">
        <v>46326</v>
      </c>
      <c r="F7302" t="inlineStr">
        <is>
          <t>GÄVLEBORGS LÄN</t>
        </is>
      </c>
      <c r="G7302" t="inlineStr">
        <is>
          <t>HUDIKSVALL</t>
        </is>
      </c>
      <c r="I7302" t="n">
        <v>0.5</v>
      </c>
      <c r="J7302" t="n">
        <v>0</v>
      </c>
      <c r="K7302" t="n">
        <v>0</v>
      </c>
      <c r="L7302" t="n">
        <v>0</v>
      </c>
      <c r="M7302" t="n">
        <v>0</v>
      </c>
      <c r="N7302" t="n">
        <v>0</v>
      </c>
      <c r="O7302" t="n">
        <v>0</v>
      </c>
      <c r="P7302" t="n">
        <v>0</v>
      </c>
      <c r="Q7302" t="n">
        <v>0</v>
      </c>
      <c r="R7302" t="n">
        <v>0</v>
      </c>
      <c r="S7302" t="n">
        <v>0</v>
      </c>
      <c r="T7302" t="n">
        <v>0</v>
      </c>
      <c r="U7302" t="n">
        <v>0</v>
      </c>
      <c r="V7302" s="2" t="inlineStr"/>
    </row>
    <row r="7303" ht="15" customHeight="1">
      <c r="A7303" t="inlineStr">
        <is>
          <t>A 52961-2024</t>
        </is>
      </c>
      <c r="B7303" t="inlineStr">
        <is>
          <t>avverkningsanmälan</t>
        </is>
      </c>
      <c r="C7303" t="inlineStr">
        <is>
          <t>Föryngringsavverkning</t>
        </is>
      </c>
      <c r="D7303" s="1" t="n">
        <v>45611</v>
      </c>
      <c r="E7303" s="1" t="n">
        <v>46326</v>
      </c>
      <c r="F7303" t="inlineStr">
        <is>
          <t>GÄVLEBORGS LÄN</t>
        </is>
      </c>
      <c r="G7303" t="inlineStr">
        <is>
          <t>OVANÅKER</t>
        </is>
      </c>
      <c r="I7303" t="n">
        <v>1</v>
      </c>
      <c r="J7303" t="n">
        <v>0</v>
      </c>
      <c r="K7303" t="n">
        <v>0</v>
      </c>
      <c r="L7303" t="n">
        <v>0</v>
      </c>
      <c r="M7303" t="n">
        <v>0</v>
      </c>
      <c r="N7303" t="n">
        <v>0</v>
      </c>
      <c r="O7303" t="n">
        <v>0</v>
      </c>
      <c r="P7303" t="n">
        <v>0</v>
      </c>
      <c r="Q7303" t="n">
        <v>0</v>
      </c>
      <c r="R7303" t="n">
        <v>0</v>
      </c>
      <c r="S7303" t="n">
        <v>0</v>
      </c>
      <c r="T7303" t="n">
        <v>0</v>
      </c>
      <c r="U7303" t="n">
        <v>0</v>
      </c>
      <c r="V7303" s="2" t="inlineStr"/>
    </row>
    <row r="7304" ht="15" customHeight="1">
      <c r="A7304" t="inlineStr">
        <is>
          <t>A 52986-2024</t>
        </is>
      </c>
      <c r="B7304" t="inlineStr">
        <is>
          <t>avverkningsanmälan</t>
        </is>
      </c>
      <c r="C7304" t="inlineStr">
        <is>
          <t>Föryngringsavverkning</t>
        </is>
      </c>
      <c r="D7304" s="1" t="n">
        <v>45611</v>
      </c>
      <c r="E7304" s="1" t="n">
        <v>46326</v>
      </c>
      <c r="F7304" t="inlineStr">
        <is>
          <t>GÄVLEBORGS LÄN</t>
        </is>
      </c>
      <c r="G7304" t="inlineStr">
        <is>
          <t>HUDIKSVALL</t>
        </is>
      </c>
      <c r="I7304" t="n">
        <v>3.8</v>
      </c>
      <c r="J7304" t="n">
        <v>0</v>
      </c>
      <c r="K7304" t="n">
        <v>0</v>
      </c>
      <c r="L7304" t="n">
        <v>0</v>
      </c>
      <c r="M7304" t="n">
        <v>0</v>
      </c>
      <c r="N7304" t="n">
        <v>0</v>
      </c>
      <c r="O7304" t="n">
        <v>0</v>
      </c>
      <c r="P7304" t="n">
        <v>0</v>
      </c>
      <c r="Q7304" t="n">
        <v>0</v>
      </c>
      <c r="R7304" t="n">
        <v>0</v>
      </c>
      <c r="S7304" t="n">
        <v>0</v>
      </c>
      <c r="T7304" t="n">
        <v>0</v>
      </c>
      <c r="U7304" t="n">
        <v>0</v>
      </c>
      <c r="V7304" s="2" t="inlineStr"/>
    </row>
    <row r="7305" ht="15" customHeight="1">
      <c r="A7305" t="inlineStr">
        <is>
          <t>A 18102-2026</t>
        </is>
      </c>
      <c r="B7305" t="inlineStr">
        <is>
          <t>avverkningsanmälan</t>
        </is>
      </c>
      <c r="C7305" t="inlineStr">
        <is>
          <t>Föryngringsavverkning</t>
        </is>
      </c>
      <c r="D7305" s="1" t="n">
        <v>46125</v>
      </c>
      <c r="E7305" s="1" t="n">
        <v>46326</v>
      </c>
      <c r="F7305" t="inlineStr">
        <is>
          <t>GÄVLEBORGS LÄN</t>
        </is>
      </c>
      <c r="G7305" t="inlineStr">
        <is>
          <t>OVANÅKER</t>
        </is>
      </c>
      <c r="I7305" t="n">
        <v>6.9</v>
      </c>
      <c r="J7305" t="n">
        <v>0</v>
      </c>
      <c r="K7305" t="n">
        <v>0</v>
      </c>
      <c r="L7305" t="n">
        <v>0</v>
      </c>
      <c r="M7305" t="n">
        <v>0</v>
      </c>
      <c r="N7305" t="n">
        <v>0</v>
      </c>
      <c r="O7305" t="n">
        <v>0</v>
      </c>
      <c r="P7305" t="n">
        <v>0</v>
      </c>
      <c r="Q7305" t="n">
        <v>0</v>
      </c>
      <c r="R7305" t="n">
        <v>0</v>
      </c>
      <c r="S7305" t="n">
        <v>0</v>
      </c>
      <c r="T7305" t="n">
        <v>0</v>
      </c>
      <c r="U7305" t="n">
        <v>0</v>
      </c>
      <c r="V7305" s="2" t="inlineStr"/>
    </row>
    <row r="7306" ht="15" customHeight="1">
      <c r="A7306" t="inlineStr">
        <is>
          <t>A 18191-2026</t>
        </is>
      </c>
      <c r="B7306" t="inlineStr">
        <is>
          <t>avverkningsanmälan</t>
        </is>
      </c>
      <c r="C7306" t="inlineStr">
        <is>
          <t>Föryngringsavverkning</t>
        </is>
      </c>
      <c r="D7306" s="1" t="n">
        <v>46125</v>
      </c>
      <c r="E7306" s="1" t="n">
        <v>46326</v>
      </c>
      <c r="F7306" t="inlineStr">
        <is>
          <t>GÄVLEBORGS LÄN</t>
        </is>
      </c>
      <c r="G7306" t="inlineStr">
        <is>
          <t>OCKELBO</t>
        </is>
      </c>
      <c r="H7306" t="inlineStr">
        <is>
          <t>Bergvik skog väst AB</t>
        </is>
      </c>
      <c r="I7306" t="n">
        <v>4.1</v>
      </c>
      <c r="J7306" t="n">
        <v>0</v>
      </c>
      <c r="K7306" t="n">
        <v>0</v>
      </c>
      <c r="L7306" t="n">
        <v>0</v>
      </c>
      <c r="M7306" t="n">
        <v>0</v>
      </c>
      <c r="N7306" t="n">
        <v>0</v>
      </c>
      <c r="O7306" t="n">
        <v>0</v>
      </c>
      <c r="P7306" t="n">
        <v>0</v>
      </c>
      <c r="Q7306" t="n">
        <v>0</v>
      </c>
      <c r="R7306" t="n">
        <v>0</v>
      </c>
      <c r="S7306" t="n">
        <v>0</v>
      </c>
      <c r="T7306" t="n">
        <v>0</v>
      </c>
      <c r="U7306" t="n">
        <v>0</v>
      </c>
      <c r="V7306" s="2" t="inlineStr"/>
    </row>
    <row r="7307" ht="15" customHeight="1">
      <c r="A7307" t="inlineStr">
        <is>
          <t>A 38319-2025</t>
        </is>
      </c>
      <c r="B7307" t="inlineStr">
        <is>
          <t>avverkningsanmälan</t>
        </is>
      </c>
      <c r="C7307" t="inlineStr">
        <is>
          <t>Föryngringsavverkning</t>
        </is>
      </c>
      <c r="D7307" s="1" t="n">
        <v>45883</v>
      </c>
      <c r="E7307" s="1" t="n">
        <v>46326</v>
      </c>
      <c r="F7307" t="inlineStr">
        <is>
          <t>GÄVLEBORGS LÄN</t>
        </is>
      </c>
      <c r="G7307" t="inlineStr">
        <is>
          <t>SANDVIKEN</t>
        </is>
      </c>
      <c r="H7307" t="inlineStr">
        <is>
          <t>Bergvik skog öst AB</t>
        </is>
      </c>
      <c r="I7307" t="n">
        <v>1.4</v>
      </c>
      <c r="J7307" t="n">
        <v>0</v>
      </c>
      <c r="K7307" t="n">
        <v>0</v>
      </c>
      <c r="L7307" t="n">
        <v>0</v>
      </c>
      <c r="M7307" t="n">
        <v>0</v>
      </c>
      <c r="N7307" t="n">
        <v>0</v>
      </c>
      <c r="O7307" t="n">
        <v>0</v>
      </c>
      <c r="P7307" t="n">
        <v>0</v>
      </c>
      <c r="Q7307" t="n">
        <v>0</v>
      </c>
      <c r="R7307" t="n">
        <v>0</v>
      </c>
      <c r="S7307" t="n">
        <v>0</v>
      </c>
      <c r="T7307" t="n">
        <v>0</v>
      </c>
      <c r="U7307" t="n">
        <v>0</v>
      </c>
      <c r="V7307" s="2" t="inlineStr"/>
    </row>
    <row r="7308" ht="15" customHeight="1">
      <c r="A7308" t="inlineStr">
        <is>
          <t>A 20736-2026</t>
        </is>
      </c>
      <c r="B7308" t="inlineStr">
        <is>
          <t>avverkningsanmälan</t>
        </is>
      </c>
      <c r="C7308" t="inlineStr">
        <is>
          <t>Föryngringsavverkning</t>
        </is>
      </c>
      <c r="D7308" s="1" t="n">
        <v>46141</v>
      </c>
      <c r="E7308" s="1" t="n">
        <v>46326</v>
      </c>
      <c r="F7308" t="inlineStr">
        <is>
          <t>GÄVLEBORGS LÄN</t>
        </is>
      </c>
      <c r="G7308" t="inlineStr">
        <is>
          <t>GÄVLE</t>
        </is>
      </c>
      <c r="H7308" t="inlineStr">
        <is>
          <t>Bergvik skog öst AB</t>
        </is>
      </c>
      <c r="I7308" t="n">
        <v>2.3</v>
      </c>
      <c r="J7308" t="n">
        <v>0</v>
      </c>
      <c r="K7308" t="n">
        <v>0</v>
      </c>
      <c r="L7308" t="n">
        <v>0</v>
      </c>
      <c r="M7308" t="n">
        <v>0</v>
      </c>
      <c r="N7308" t="n">
        <v>0</v>
      </c>
      <c r="O7308" t="n">
        <v>0</v>
      </c>
      <c r="P7308" t="n">
        <v>0</v>
      </c>
      <c r="Q7308" t="n">
        <v>0</v>
      </c>
      <c r="R7308" t="n">
        <v>0</v>
      </c>
      <c r="S7308" t="n">
        <v>0</v>
      </c>
      <c r="T7308" t="n">
        <v>0</v>
      </c>
      <c r="U7308" t="n">
        <v>0</v>
      </c>
      <c r="V7308" s="2" t="inlineStr"/>
    </row>
    <row r="7309" ht="15" customHeight="1">
      <c r="A7309" t="inlineStr">
        <is>
          <t>A 9373-2026</t>
        </is>
      </c>
      <c r="B7309" t="inlineStr">
        <is>
          <t>avverkningsanmälan</t>
        </is>
      </c>
      <c r="C7309" t="inlineStr">
        <is>
          <t>Föryngringsavverkning</t>
        </is>
      </c>
      <c r="D7309" s="1" t="n">
        <v>46070</v>
      </c>
      <c r="E7309" s="1" t="n">
        <v>46326</v>
      </c>
      <c r="F7309" t="inlineStr">
        <is>
          <t>GÄVLEBORGS LÄN</t>
        </is>
      </c>
      <c r="G7309" t="inlineStr">
        <is>
          <t>NORDANSTIG</t>
        </is>
      </c>
      <c r="I7309" t="n">
        <v>0.7</v>
      </c>
      <c r="J7309" t="n">
        <v>0</v>
      </c>
      <c r="K7309" t="n">
        <v>0</v>
      </c>
      <c r="L7309" t="n">
        <v>0</v>
      </c>
      <c r="M7309" t="n">
        <v>0</v>
      </c>
      <c r="N7309" t="n">
        <v>0</v>
      </c>
      <c r="O7309" t="n">
        <v>0</v>
      </c>
      <c r="P7309" t="n">
        <v>0</v>
      </c>
      <c r="Q7309" t="n">
        <v>0</v>
      </c>
      <c r="R7309" t="n">
        <v>0</v>
      </c>
      <c r="S7309" t="n">
        <v>0</v>
      </c>
      <c r="T7309" t="n">
        <v>0</v>
      </c>
      <c r="U7309" t="n">
        <v>0</v>
      </c>
      <c r="V7309" s="2" t="inlineStr"/>
    </row>
    <row r="7310" ht="15" customHeight="1">
      <c r="A7310" t="inlineStr">
        <is>
          <t>A 36478-2025</t>
        </is>
      </c>
      <c r="B7310" t="inlineStr">
        <is>
          <t>avverkningsanmälan</t>
        </is>
      </c>
      <c r="C7310" t="inlineStr">
        <is>
          <t>Föryngringsavverkning</t>
        </is>
      </c>
      <c r="D7310" s="1" t="n">
        <v>45869</v>
      </c>
      <c r="E7310" s="1" t="n">
        <v>46326</v>
      </c>
      <c r="F7310" t="inlineStr">
        <is>
          <t>GÄVLEBORGS LÄN</t>
        </is>
      </c>
      <c r="G7310" t="inlineStr">
        <is>
          <t>OVANÅKER</t>
        </is>
      </c>
      <c r="I7310" t="n">
        <v>11</v>
      </c>
      <c r="J7310" t="n">
        <v>0</v>
      </c>
      <c r="K7310" t="n">
        <v>0</v>
      </c>
      <c r="L7310" t="n">
        <v>0</v>
      </c>
      <c r="M7310" t="n">
        <v>0</v>
      </c>
      <c r="N7310" t="n">
        <v>0</v>
      </c>
      <c r="O7310" t="n">
        <v>0</v>
      </c>
      <c r="P7310" t="n">
        <v>0</v>
      </c>
      <c r="Q7310" t="n">
        <v>0</v>
      </c>
      <c r="R7310" t="n">
        <v>0</v>
      </c>
      <c r="S7310" t="n">
        <v>0</v>
      </c>
      <c r="T7310" t="n">
        <v>0</v>
      </c>
      <c r="U7310" t="n">
        <v>0</v>
      </c>
      <c r="V7310" s="2" t="inlineStr"/>
    </row>
    <row r="7311" ht="15" customHeight="1">
      <c r="A7311" t="inlineStr">
        <is>
          <t>A 8045-2026</t>
        </is>
      </c>
      <c r="B7311" t="inlineStr">
        <is>
          <t>avverkningsanmälan</t>
        </is>
      </c>
      <c r="C7311" t="inlineStr">
        <is>
          <t>Föryngringsavverkning</t>
        </is>
      </c>
      <c r="D7311" s="1" t="n">
        <v>46063</v>
      </c>
      <c r="E7311" s="1" t="n">
        <v>46326</v>
      </c>
      <c r="F7311" t="inlineStr">
        <is>
          <t>GÄVLEBORGS LÄN</t>
        </is>
      </c>
      <c r="G7311" t="inlineStr">
        <is>
          <t>BOLLNÄS</t>
        </is>
      </c>
      <c r="I7311" t="n">
        <v>25.1</v>
      </c>
      <c r="J7311" t="n">
        <v>0</v>
      </c>
      <c r="K7311" t="n">
        <v>0</v>
      </c>
      <c r="L7311" t="n">
        <v>0</v>
      </c>
      <c r="M7311" t="n">
        <v>0</v>
      </c>
      <c r="N7311" t="n">
        <v>0</v>
      </c>
      <c r="O7311" t="n">
        <v>0</v>
      </c>
      <c r="P7311" t="n">
        <v>0</v>
      </c>
      <c r="Q7311" t="n">
        <v>0</v>
      </c>
      <c r="R7311" t="n">
        <v>0</v>
      </c>
      <c r="S7311" t="n">
        <v>0</v>
      </c>
      <c r="T7311" t="n">
        <v>0</v>
      </c>
      <c r="U7311" t="n">
        <v>0</v>
      </c>
      <c r="V7311" s="2" t="inlineStr"/>
    </row>
    <row r="7312" ht="15" customHeight="1">
      <c r="A7312" t="inlineStr">
        <is>
          <t>A 48755-2024</t>
        </is>
      </c>
      <c r="B7312" t="inlineStr">
        <is>
          <t>avverkningsanmälan</t>
        </is>
      </c>
      <c r="C7312" t="inlineStr">
        <is>
          <t>Föryngringsavverkning</t>
        </is>
      </c>
      <c r="D7312" s="1" t="n">
        <v>45593</v>
      </c>
      <c r="E7312" s="1" t="n">
        <v>46326</v>
      </c>
      <c r="F7312" t="inlineStr">
        <is>
          <t>GÄVLEBORGS LÄN</t>
        </is>
      </c>
      <c r="G7312" t="inlineStr">
        <is>
          <t>OVANÅKER</t>
        </is>
      </c>
      <c r="I7312" t="n">
        <v>1.4</v>
      </c>
      <c r="J7312" t="n">
        <v>0</v>
      </c>
      <c r="K7312" t="n">
        <v>0</v>
      </c>
      <c r="L7312" t="n">
        <v>0</v>
      </c>
      <c r="M7312" t="n">
        <v>0</v>
      </c>
      <c r="N7312" t="n">
        <v>0</v>
      </c>
      <c r="O7312" t="n">
        <v>0</v>
      </c>
      <c r="P7312" t="n">
        <v>0</v>
      </c>
      <c r="Q7312" t="n">
        <v>0</v>
      </c>
      <c r="R7312" t="n">
        <v>0</v>
      </c>
      <c r="S7312" t="n">
        <v>0</v>
      </c>
      <c r="T7312" t="n">
        <v>0</v>
      </c>
      <c r="U7312" t="n">
        <v>0</v>
      </c>
      <c r="V7312" s="2" t="inlineStr"/>
    </row>
    <row r="7313" ht="15" customHeight="1">
      <c r="A7313" t="inlineStr">
        <is>
          <t>A 30792-2024</t>
        </is>
      </c>
      <c r="B7313" t="inlineStr">
        <is>
          <t>avverkningsanmälan</t>
        </is>
      </c>
      <c r="C7313" t="inlineStr">
        <is>
          <t>Föryngringsavverkning</t>
        </is>
      </c>
      <c r="D7313" s="1" t="n">
        <v>45497</v>
      </c>
      <c r="E7313" s="1" t="n">
        <v>46326</v>
      </c>
      <c r="F7313" t="inlineStr">
        <is>
          <t>GÄVLEBORGS LÄN</t>
        </is>
      </c>
      <c r="G7313" t="inlineStr">
        <is>
          <t>BOLLNÄS</t>
        </is>
      </c>
      <c r="I7313" t="n">
        <v>0.6</v>
      </c>
      <c r="J7313" t="n">
        <v>0</v>
      </c>
      <c r="K7313" t="n">
        <v>0</v>
      </c>
      <c r="L7313" t="n">
        <v>0</v>
      </c>
      <c r="M7313" t="n">
        <v>0</v>
      </c>
      <c r="N7313" t="n">
        <v>0</v>
      </c>
      <c r="O7313" t="n">
        <v>0</v>
      </c>
      <c r="P7313" t="n">
        <v>0</v>
      </c>
      <c r="Q7313" t="n">
        <v>0</v>
      </c>
      <c r="R7313" t="n">
        <v>0</v>
      </c>
      <c r="S7313" t="n">
        <v>0</v>
      </c>
      <c r="T7313" t="n">
        <v>0</v>
      </c>
      <c r="U7313" t="n">
        <v>0</v>
      </c>
      <c r="V7313" s="2" t="inlineStr"/>
    </row>
    <row r="7314" ht="15" customHeight="1">
      <c r="A7314" t="inlineStr">
        <is>
          <t>A 30793-2024</t>
        </is>
      </c>
      <c r="B7314" t="inlineStr">
        <is>
          <t>avverkningsanmälan</t>
        </is>
      </c>
      <c r="C7314" t="inlineStr">
        <is>
          <t>Föryngringsavverkning</t>
        </is>
      </c>
      <c r="D7314" s="1" t="n">
        <v>45497</v>
      </c>
      <c r="E7314" s="1" t="n">
        <v>46326</v>
      </c>
      <c r="F7314" t="inlineStr">
        <is>
          <t>GÄVLEBORGS LÄN</t>
        </is>
      </c>
      <c r="G7314" t="inlineStr">
        <is>
          <t>BOLLNÄS</t>
        </is>
      </c>
      <c r="I7314" t="n">
        <v>0.6</v>
      </c>
      <c r="J7314" t="n">
        <v>0</v>
      </c>
      <c r="K7314" t="n">
        <v>0</v>
      </c>
      <c r="L7314" t="n">
        <v>0</v>
      </c>
      <c r="M7314" t="n">
        <v>0</v>
      </c>
      <c r="N7314" t="n">
        <v>0</v>
      </c>
      <c r="O7314" t="n">
        <v>0</v>
      </c>
      <c r="P7314" t="n">
        <v>0</v>
      </c>
      <c r="Q7314" t="n">
        <v>0</v>
      </c>
      <c r="R7314" t="n">
        <v>0</v>
      </c>
      <c r="S7314" t="n">
        <v>0</v>
      </c>
      <c r="T7314" t="n">
        <v>0</v>
      </c>
      <c r="U7314" t="n">
        <v>0</v>
      </c>
      <c r="V7314" s="2" t="inlineStr"/>
    </row>
    <row r="7315" ht="15" customHeight="1">
      <c r="A7315" t="inlineStr">
        <is>
          <t>A 12708-2026</t>
        </is>
      </c>
      <c r="B7315" t="inlineStr">
        <is>
          <t>avverkningsanmälan</t>
        </is>
      </c>
      <c r="C7315" t="inlineStr">
        <is>
          <t>Föryngringsavverkning</t>
        </is>
      </c>
      <c r="D7315" s="1" t="n">
        <v>46091</v>
      </c>
      <c r="E7315" s="1" t="n">
        <v>46326</v>
      </c>
      <c r="F7315" t="inlineStr">
        <is>
          <t>GÄVLEBORGS LÄN</t>
        </is>
      </c>
      <c r="G7315" t="inlineStr">
        <is>
          <t>OCKELBO</t>
        </is>
      </c>
      <c r="I7315" t="n">
        <v>3.5</v>
      </c>
      <c r="J7315" t="n">
        <v>0</v>
      </c>
      <c r="K7315" t="n">
        <v>0</v>
      </c>
      <c r="L7315" t="n">
        <v>0</v>
      </c>
      <c r="M7315" t="n">
        <v>0</v>
      </c>
      <c r="N7315" t="n">
        <v>0</v>
      </c>
      <c r="O7315" t="n">
        <v>0</v>
      </c>
      <c r="P7315" t="n">
        <v>0</v>
      </c>
      <c r="Q7315" t="n">
        <v>0</v>
      </c>
      <c r="R7315" t="n">
        <v>0</v>
      </c>
      <c r="S7315" t="n">
        <v>0</v>
      </c>
      <c r="T7315" t="n">
        <v>0</v>
      </c>
      <c r="U7315" t="n">
        <v>0</v>
      </c>
      <c r="V7315" s="2" t="inlineStr"/>
    </row>
    <row r="7316" ht="15" customHeight="1">
      <c r="A7316" t="inlineStr">
        <is>
          <t>A 58911-2023</t>
        </is>
      </c>
      <c r="B7316" t="inlineStr">
        <is>
          <t>avverkningsanmälan</t>
        </is>
      </c>
      <c r="C7316" t="inlineStr">
        <is>
          <t>Föryngringsavverkning</t>
        </is>
      </c>
      <c r="D7316" s="1" t="n">
        <v>45250</v>
      </c>
      <c r="E7316" s="1" t="n">
        <v>46326</v>
      </c>
      <c r="F7316" t="inlineStr">
        <is>
          <t>GÄVLEBORGS LÄN</t>
        </is>
      </c>
      <c r="G7316" t="inlineStr">
        <is>
          <t>SANDVIKEN</t>
        </is>
      </c>
      <c r="I7316" t="n">
        <v>1.8</v>
      </c>
      <c r="J7316" t="n">
        <v>0</v>
      </c>
      <c r="K7316" t="n">
        <v>0</v>
      </c>
      <c r="L7316" t="n">
        <v>0</v>
      </c>
      <c r="M7316" t="n">
        <v>0</v>
      </c>
      <c r="N7316" t="n">
        <v>0</v>
      </c>
      <c r="O7316" t="n">
        <v>0</v>
      </c>
      <c r="P7316" t="n">
        <v>0</v>
      </c>
      <c r="Q7316" t="n">
        <v>0</v>
      </c>
      <c r="R7316" t="n">
        <v>0</v>
      </c>
      <c r="S7316" t="n">
        <v>0</v>
      </c>
      <c r="T7316" t="n">
        <v>0</v>
      </c>
      <c r="U7316" t="n">
        <v>0</v>
      </c>
      <c r="V7316" s="2" t="inlineStr"/>
    </row>
    <row r="7317" ht="15" customHeight="1">
      <c r="A7317" t="inlineStr">
        <is>
          <t>A 16888-2026</t>
        </is>
      </c>
      <c r="B7317" t="inlineStr">
        <is>
          <t>avverkningsanmälan</t>
        </is>
      </c>
      <c r="C7317" t="inlineStr">
        <is>
          <t>Föryngringsavverkning</t>
        </is>
      </c>
      <c r="D7317" s="1" t="n">
        <v>46113</v>
      </c>
      <c r="E7317" s="1" t="n">
        <v>46326</v>
      </c>
      <c r="F7317" t="inlineStr">
        <is>
          <t>GÄVLEBORGS LÄN</t>
        </is>
      </c>
      <c r="G7317" t="inlineStr">
        <is>
          <t>HOFORS</t>
        </is>
      </c>
      <c r="I7317" t="n">
        <v>2</v>
      </c>
      <c r="J7317" t="n">
        <v>0</v>
      </c>
      <c r="K7317" t="n">
        <v>0</v>
      </c>
      <c r="L7317" t="n">
        <v>0</v>
      </c>
      <c r="M7317" t="n">
        <v>0</v>
      </c>
      <c r="N7317" t="n">
        <v>0</v>
      </c>
      <c r="O7317" t="n">
        <v>0</v>
      </c>
      <c r="P7317" t="n">
        <v>0</v>
      </c>
      <c r="Q7317" t="n">
        <v>0</v>
      </c>
      <c r="R7317" t="n">
        <v>0</v>
      </c>
      <c r="S7317" t="n">
        <v>0</v>
      </c>
      <c r="T7317" t="n">
        <v>0</v>
      </c>
      <c r="U7317" t="n">
        <v>0</v>
      </c>
      <c r="V7317" s="2" t="inlineStr"/>
    </row>
    <row r="7318" ht="15" customHeight="1">
      <c r="A7318" t="inlineStr">
        <is>
          <t>A 12392-2026</t>
        </is>
      </c>
      <c r="B7318" t="inlineStr">
        <is>
          <t>avverkningsanmälan</t>
        </is>
      </c>
      <c r="C7318" t="inlineStr">
        <is>
          <t>Föryngringsavverkning</t>
        </is>
      </c>
      <c r="D7318" s="1" t="n">
        <v>46090</v>
      </c>
      <c r="E7318" s="1" t="n">
        <v>46326</v>
      </c>
      <c r="F7318" t="inlineStr">
        <is>
          <t>GÄVLEBORGS LÄN</t>
        </is>
      </c>
      <c r="G7318" t="inlineStr">
        <is>
          <t>HUDIKSVALL</t>
        </is>
      </c>
      <c r="I7318" t="n">
        <v>7.1</v>
      </c>
      <c r="J7318" t="n">
        <v>0</v>
      </c>
      <c r="K7318" t="n">
        <v>0</v>
      </c>
      <c r="L7318" t="n">
        <v>0</v>
      </c>
      <c r="M7318" t="n">
        <v>0</v>
      </c>
      <c r="N7318" t="n">
        <v>0</v>
      </c>
      <c r="O7318" t="n">
        <v>0</v>
      </c>
      <c r="P7318" t="n">
        <v>0</v>
      </c>
      <c r="Q7318" t="n">
        <v>0</v>
      </c>
      <c r="R7318" t="n">
        <v>0</v>
      </c>
      <c r="S7318" t="n">
        <v>0</v>
      </c>
      <c r="T7318" t="n">
        <v>0</v>
      </c>
      <c r="U7318" t="n">
        <v>0</v>
      </c>
      <c r="V7318" s="2" t="inlineStr"/>
    </row>
    <row r="7319" ht="15" customHeight="1">
      <c r="A7319" t="inlineStr">
        <is>
          <t>A 12659-2026</t>
        </is>
      </c>
      <c r="B7319" t="inlineStr">
        <is>
          <t>avverkningsanmälan</t>
        </is>
      </c>
      <c r="C7319" t="inlineStr">
        <is>
          <t>Föryngringsavverkning</t>
        </is>
      </c>
      <c r="D7319" s="1" t="n">
        <v>46091</v>
      </c>
      <c r="E7319" s="1" t="n">
        <v>46326</v>
      </c>
      <c r="F7319" t="inlineStr">
        <is>
          <t>GÄVLEBORGS LÄN</t>
        </is>
      </c>
      <c r="G7319" t="inlineStr">
        <is>
          <t>BOLLNÄS</t>
        </is>
      </c>
      <c r="I7319" t="n">
        <v>8.699999999999999</v>
      </c>
      <c r="J7319" t="n">
        <v>0</v>
      </c>
      <c r="K7319" t="n">
        <v>0</v>
      </c>
      <c r="L7319" t="n">
        <v>0</v>
      </c>
      <c r="M7319" t="n">
        <v>0</v>
      </c>
      <c r="N7319" t="n">
        <v>0</v>
      </c>
      <c r="O7319" t="n">
        <v>0</v>
      </c>
      <c r="P7319" t="n">
        <v>0</v>
      </c>
      <c r="Q7319" t="n">
        <v>0</v>
      </c>
      <c r="R7319" t="n">
        <v>0</v>
      </c>
      <c r="S7319" t="n">
        <v>0</v>
      </c>
      <c r="T7319" t="n">
        <v>0</v>
      </c>
      <c r="U7319" t="n">
        <v>0</v>
      </c>
      <c r="V7319" s="2" t="inlineStr"/>
    </row>
    <row r="7320" ht="15" customHeight="1">
      <c r="A7320" t="inlineStr">
        <is>
          <t>A 461-2024</t>
        </is>
      </c>
      <c r="B7320" t="inlineStr">
        <is>
          <t>avverkningsanmälan</t>
        </is>
      </c>
      <c r="C7320" t="inlineStr">
        <is>
          <t>Föryngringsavverkning</t>
        </is>
      </c>
      <c r="D7320" s="1" t="n">
        <v>45297</v>
      </c>
      <c r="E7320" s="1" t="n">
        <v>46326</v>
      </c>
      <c r="F7320" t="inlineStr">
        <is>
          <t>GÄVLEBORGS LÄN</t>
        </is>
      </c>
      <c r="G7320" t="inlineStr">
        <is>
          <t>HUDIKSVALL</t>
        </is>
      </c>
      <c r="I7320" t="n">
        <v>43.2</v>
      </c>
      <c r="J7320" t="n">
        <v>0</v>
      </c>
      <c r="K7320" t="n">
        <v>0</v>
      </c>
      <c r="L7320" t="n">
        <v>0</v>
      </c>
      <c r="M7320" t="n">
        <v>0</v>
      </c>
      <c r="N7320" t="n">
        <v>0</v>
      </c>
      <c r="O7320" t="n">
        <v>0</v>
      </c>
      <c r="P7320" t="n">
        <v>0</v>
      </c>
      <c r="Q7320" t="n">
        <v>0</v>
      </c>
      <c r="R7320" t="n">
        <v>0</v>
      </c>
      <c r="S7320" t="n">
        <v>0</v>
      </c>
      <c r="T7320" t="n">
        <v>0</v>
      </c>
      <c r="U7320" t="n">
        <v>0</v>
      </c>
      <c r="V7320" s="2" t="inlineStr"/>
    </row>
    <row r="7321" ht="15" customHeight="1">
      <c r="A7321" t="inlineStr">
        <is>
          <t>A 4630-2026</t>
        </is>
      </c>
      <c r="B7321" t="inlineStr">
        <is>
          <t>avverkningsanmälan</t>
        </is>
      </c>
      <c r="C7321" t="inlineStr">
        <is>
          <t>Föryngringsavverkning</t>
        </is>
      </c>
      <c r="D7321" s="1" t="n">
        <v>46048</v>
      </c>
      <c r="E7321" s="1" t="n">
        <v>46326</v>
      </c>
      <c r="F7321" t="inlineStr">
        <is>
          <t>GÄVLEBORGS LÄN</t>
        </is>
      </c>
      <c r="G7321" t="inlineStr">
        <is>
          <t>NORDANSTIG</t>
        </is>
      </c>
      <c r="H7321" t="inlineStr">
        <is>
          <t>Holmen skog AB</t>
        </is>
      </c>
      <c r="I7321" t="n">
        <v>1.9</v>
      </c>
      <c r="J7321" t="n">
        <v>0</v>
      </c>
      <c r="K7321" t="n">
        <v>0</v>
      </c>
      <c r="L7321" t="n">
        <v>0</v>
      </c>
      <c r="M7321" t="n">
        <v>0</v>
      </c>
      <c r="N7321" t="n">
        <v>0</v>
      </c>
      <c r="O7321" t="n">
        <v>0</v>
      </c>
      <c r="P7321" t="n">
        <v>0</v>
      </c>
      <c r="Q7321" t="n">
        <v>0</v>
      </c>
      <c r="R7321" t="n">
        <v>0</v>
      </c>
      <c r="S7321" t="n">
        <v>0</v>
      </c>
      <c r="T7321" t="n">
        <v>0</v>
      </c>
      <c r="U7321" t="n">
        <v>0</v>
      </c>
      <c r="V7321" s="2" t="inlineStr"/>
    </row>
    <row r="7322" ht="15" customHeight="1">
      <c r="A7322" t="inlineStr">
        <is>
          <t>A 37640-2025</t>
        </is>
      </c>
      <c r="B7322" t="inlineStr">
        <is>
          <t>avverkningsanmälan</t>
        </is>
      </c>
      <c r="C7322" t="inlineStr">
        <is>
          <t>Föryngringsavverkning</t>
        </is>
      </c>
      <c r="D7322" s="1" t="n">
        <v>45880</v>
      </c>
      <c r="E7322" s="1" t="n">
        <v>46326</v>
      </c>
      <c r="F7322" t="inlineStr">
        <is>
          <t>GÄVLEBORGS LÄN</t>
        </is>
      </c>
      <c r="G7322" t="inlineStr">
        <is>
          <t>NORDANSTIG</t>
        </is>
      </c>
      <c r="H7322" t="inlineStr">
        <is>
          <t>Holmen skog AB</t>
        </is>
      </c>
      <c r="I7322" t="n">
        <v>6.8</v>
      </c>
      <c r="J7322" t="n">
        <v>0</v>
      </c>
      <c r="K7322" t="n">
        <v>0</v>
      </c>
      <c r="L7322" t="n">
        <v>0</v>
      </c>
      <c r="M7322" t="n">
        <v>0</v>
      </c>
      <c r="N7322" t="n">
        <v>0</v>
      </c>
      <c r="O7322" t="n">
        <v>0</v>
      </c>
      <c r="P7322" t="n">
        <v>0</v>
      </c>
      <c r="Q7322" t="n">
        <v>0</v>
      </c>
      <c r="R7322" t="n">
        <v>0</v>
      </c>
      <c r="S7322" t="n">
        <v>0</v>
      </c>
      <c r="T7322" t="n">
        <v>0</v>
      </c>
      <c r="U7322" t="n">
        <v>0</v>
      </c>
      <c r="V7322" s="2" t="inlineStr"/>
    </row>
    <row r="7323" ht="15" customHeight="1">
      <c r="A7323" t="inlineStr">
        <is>
          <t>A 59729-2023</t>
        </is>
      </c>
      <c r="B7323" t="inlineStr">
        <is>
          <t>avverkningsanmälan</t>
        </is>
      </c>
      <c r="C7323" t="inlineStr">
        <is>
          <t>Föryngringsavverkning</t>
        </is>
      </c>
      <c r="D7323" s="1" t="n">
        <v>45257</v>
      </c>
      <c r="E7323" s="1" t="n">
        <v>46326</v>
      </c>
      <c r="F7323" t="inlineStr">
        <is>
          <t>GÄVLEBORGS LÄN</t>
        </is>
      </c>
      <c r="G7323" t="inlineStr">
        <is>
          <t>OVANÅKER</t>
        </is>
      </c>
      <c r="I7323" t="n">
        <v>1.8</v>
      </c>
      <c r="J7323" t="n">
        <v>0</v>
      </c>
      <c r="K7323" t="n">
        <v>0</v>
      </c>
      <c r="L7323" t="n">
        <v>0</v>
      </c>
      <c r="M7323" t="n">
        <v>0</v>
      </c>
      <c r="N7323" t="n">
        <v>0</v>
      </c>
      <c r="O7323" t="n">
        <v>0</v>
      </c>
      <c r="P7323" t="n">
        <v>0</v>
      </c>
      <c r="Q7323" t="n">
        <v>0</v>
      </c>
      <c r="R7323" t="n">
        <v>0</v>
      </c>
      <c r="S7323" t="n">
        <v>0</v>
      </c>
      <c r="T7323" t="n">
        <v>0</v>
      </c>
      <c r="U7323" t="n">
        <v>0</v>
      </c>
      <c r="V7323" s="2" t="inlineStr"/>
    </row>
    <row r="7324" ht="15" customHeight="1">
      <c r="A7324" t="inlineStr">
        <is>
          <t>A 20816-2026</t>
        </is>
      </c>
      <c r="B7324" t="inlineStr">
        <is>
          <t>avverkningsanmälan</t>
        </is>
      </c>
      <c r="C7324" t="inlineStr">
        <is>
          <t>Föryngringsavverkning</t>
        </is>
      </c>
      <c r="D7324" s="1" t="n">
        <v>46141</v>
      </c>
      <c r="E7324" s="1" t="n">
        <v>46326</v>
      </c>
      <c r="F7324" t="inlineStr">
        <is>
          <t>GÄVLEBORGS LÄN</t>
        </is>
      </c>
      <c r="G7324" t="inlineStr">
        <is>
          <t>HUDIKSVALL</t>
        </is>
      </c>
      <c r="I7324" t="n">
        <v>2.8</v>
      </c>
      <c r="J7324" t="n">
        <v>0</v>
      </c>
      <c r="K7324" t="n">
        <v>0</v>
      </c>
      <c r="L7324" t="n">
        <v>0</v>
      </c>
      <c r="M7324" t="n">
        <v>0</v>
      </c>
      <c r="N7324" t="n">
        <v>0</v>
      </c>
      <c r="O7324" t="n">
        <v>0</v>
      </c>
      <c r="P7324" t="n">
        <v>0</v>
      </c>
      <c r="Q7324" t="n">
        <v>0</v>
      </c>
      <c r="R7324" t="n">
        <v>0</v>
      </c>
      <c r="S7324" t="n">
        <v>0</v>
      </c>
      <c r="T7324" t="n">
        <v>0</v>
      </c>
      <c r="U7324" t="n">
        <v>0</v>
      </c>
      <c r="V7324" s="2" t="inlineStr"/>
    </row>
    <row r="7325" ht="15" customHeight="1">
      <c r="A7325" t="inlineStr">
        <is>
          <t>A 20827-2026</t>
        </is>
      </c>
      <c r="B7325" t="inlineStr">
        <is>
          <t>avverkningsanmälan</t>
        </is>
      </c>
      <c r="C7325" t="inlineStr">
        <is>
          <t>Föryngringsavverkning</t>
        </is>
      </c>
      <c r="D7325" s="1" t="n">
        <v>46141</v>
      </c>
      <c r="E7325" s="1" t="n">
        <v>46326</v>
      </c>
      <c r="F7325" t="inlineStr">
        <is>
          <t>GÄVLEBORGS LÄN</t>
        </is>
      </c>
      <c r="G7325" t="inlineStr">
        <is>
          <t>BOLLNÄS</t>
        </is>
      </c>
      <c r="H7325" t="inlineStr">
        <is>
          <t>Bergvik skog väst AB</t>
        </is>
      </c>
      <c r="I7325" t="n">
        <v>0.7</v>
      </c>
      <c r="J7325" t="n">
        <v>0</v>
      </c>
      <c r="K7325" t="n">
        <v>0</v>
      </c>
      <c r="L7325" t="n">
        <v>0</v>
      </c>
      <c r="M7325" t="n">
        <v>0</v>
      </c>
      <c r="N7325" t="n">
        <v>0</v>
      </c>
      <c r="O7325" t="n">
        <v>0</v>
      </c>
      <c r="P7325" t="n">
        <v>0</v>
      </c>
      <c r="Q7325" t="n">
        <v>0</v>
      </c>
      <c r="R7325" t="n">
        <v>0</v>
      </c>
      <c r="S7325" t="n">
        <v>0</v>
      </c>
      <c r="T7325" t="n">
        <v>0</v>
      </c>
      <c r="U7325" t="n">
        <v>0</v>
      </c>
      <c r="V7325" s="2" t="inlineStr"/>
    </row>
    <row r="7326" ht="15" customHeight="1">
      <c r="A7326" t="inlineStr">
        <is>
          <t>A 1292-2026</t>
        </is>
      </c>
      <c r="B7326" t="inlineStr">
        <is>
          <t>avverkningsanmälan</t>
        </is>
      </c>
      <c r="C7326" t="inlineStr">
        <is>
          <t>Föryngringsavverkning</t>
        </is>
      </c>
      <c r="D7326" s="1" t="n">
        <v>46031</v>
      </c>
      <c r="E7326" s="1" t="n">
        <v>46326</v>
      </c>
      <c r="F7326" t="inlineStr">
        <is>
          <t>GÄVLEBORGS LÄN</t>
        </is>
      </c>
      <c r="G7326" t="inlineStr">
        <is>
          <t>OVANÅKER</t>
        </is>
      </c>
      <c r="I7326" t="n">
        <v>7.8</v>
      </c>
      <c r="J7326" t="n">
        <v>0</v>
      </c>
      <c r="K7326" t="n">
        <v>0</v>
      </c>
      <c r="L7326" t="n">
        <v>0</v>
      </c>
      <c r="M7326" t="n">
        <v>0</v>
      </c>
      <c r="N7326" t="n">
        <v>0</v>
      </c>
      <c r="O7326" t="n">
        <v>0</v>
      </c>
      <c r="P7326" t="n">
        <v>0</v>
      </c>
      <c r="Q7326" t="n">
        <v>0</v>
      </c>
      <c r="R7326" t="n">
        <v>0</v>
      </c>
      <c r="S7326" t="n">
        <v>0</v>
      </c>
      <c r="T7326" t="n">
        <v>0</v>
      </c>
      <c r="U7326" t="n">
        <v>0</v>
      </c>
      <c r="V7326" s="2" t="inlineStr"/>
    </row>
    <row r="7327" ht="15" customHeight="1">
      <c r="A7327" t="inlineStr">
        <is>
          <t>A 2669-2026</t>
        </is>
      </c>
      <c r="B7327" t="inlineStr">
        <is>
          <t>avverkningsanmälan</t>
        </is>
      </c>
      <c r="C7327" t="inlineStr">
        <is>
          <t>Föryngringsavverkning</t>
        </is>
      </c>
      <c r="D7327" s="1" t="n">
        <v>46037</v>
      </c>
      <c r="E7327" s="1" t="n">
        <v>46326</v>
      </c>
      <c r="F7327" t="inlineStr">
        <is>
          <t>GÄVLEBORGS LÄN</t>
        </is>
      </c>
      <c r="G7327" t="inlineStr">
        <is>
          <t>OVANÅKER</t>
        </is>
      </c>
      <c r="I7327" t="n">
        <v>2.4</v>
      </c>
      <c r="J7327" t="n">
        <v>0</v>
      </c>
      <c r="K7327" t="n">
        <v>0</v>
      </c>
      <c r="L7327" t="n">
        <v>0</v>
      </c>
      <c r="M7327" t="n">
        <v>0</v>
      </c>
      <c r="N7327" t="n">
        <v>0</v>
      </c>
      <c r="O7327" t="n">
        <v>0</v>
      </c>
      <c r="P7327" t="n">
        <v>0</v>
      </c>
      <c r="Q7327" t="n">
        <v>0</v>
      </c>
      <c r="R7327" t="n">
        <v>0</v>
      </c>
      <c r="S7327" t="n">
        <v>0</v>
      </c>
      <c r="T7327" t="n">
        <v>0</v>
      </c>
      <c r="U7327" t="n">
        <v>0</v>
      </c>
      <c r="V7327" s="2" t="inlineStr"/>
    </row>
    <row r="7328" ht="15" customHeight="1">
      <c r="A7328" t="inlineStr">
        <is>
          <t>A 24551-2024</t>
        </is>
      </c>
      <c r="B7328" t="inlineStr">
        <is>
          <t>avverkningsanmälan</t>
        </is>
      </c>
      <c r="C7328" t="inlineStr">
        <is>
          <t>Föryngringsavverkning</t>
        </is>
      </c>
      <c r="D7328" s="1" t="n">
        <v>45460</v>
      </c>
      <c r="E7328" s="1" t="n">
        <v>46326</v>
      </c>
      <c r="F7328" t="inlineStr">
        <is>
          <t>GÄVLEBORGS LÄN</t>
        </is>
      </c>
      <c r="G7328" t="inlineStr">
        <is>
          <t>BOLLNÄS</t>
        </is>
      </c>
      <c r="I7328" t="n">
        <v>6.8</v>
      </c>
      <c r="J7328" t="n">
        <v>0</v>
      </c>
      <c r="K7328" t="n">
        <v>0</v>
      </c>
      <c r="L7328" t="n">
        <v>0</v>
      </c>
      <c r="M7328" t="n">
        <v>0</v>
      </c>
      <c r="N7328" t="n">
        <v>0</v>
      </c>
      <c r="O7328" t="n">
        <v>0</v>
      </c>
      <c r="P7328" t="n">
        <v>0</v>
      </c>
      <c r="Q7328" t="n">
        <v>0</v>
      </c>
      <c r="R7328" t="n">
        <v>0</v>
      </c>
      <c r="S7328" t="n">
        <v>0</v>
      </c>
      <c r="T7328" t="n">
        <v>0</v>
      </c>
      <c r="U7328" t="n">
        <v>0</v>
      </c>
      <c r="V7328" s="2" t="inlineStr"/>
    </row>
    <row r="7329" ht="15" customHeight="1">
      <c r="A7329" t="inlineStr">
        <is>
          <t>A 20679-2026</t>
        </is>
      </c>
      <c r="B7329" t="inlineStr">
        <is>
          <t>avverkningsanmälan</t>
        </is>
      </c>
      <c r="C7329" t="inlineStr">
        <is>
          <t>Föryngringsavverkning</t>
        </is>
      </c>
      <c r="D7329" s="1" t="n">
        <v>46141</v>
      </c>
      <c r="E7329" s="1" t="n">
        <v>46326</v>
      </c>
      <c r="F7329" t="inlineStr">
        <is>
          <t>GÄVLEBORGS LÄN</t>
        </is>
      </c>
      <c r="G7329" t="inlineStr">
        <is>
          <t>BOLLNÄS</t>
        </is>
      </c>
      <c r="H7329" t="inlineStr">
        <is>
          <t>Bergvik skog väst AB</t>
        </is>
      </c>
      <c r="I7329" t="n">
        <v>4.7</v>
      </c>
      <c r="J7329" t="n">
        <v>0</v>
      </c>
      <c r="K7329" t="n">
        <v>0</v>
      </c>
      <c r="L7329" t="n">
        <v>0</v>
      </c>
      <c r="M7329" t="n">
        <v>0</v>
      </c>
      <c r="N7329" t="n">
        <v>0</v>
      </c>
      <c r="O7329" t="n">
        <v>0</v>
      </c>
      <c r="P7329" t="n">
        <v>0</v>
      </c>
      <c r="Q7329" t="n">
        <v>0</v>
      </c>
      <c r="R7329" t="n">
        <v>0</v>
      </c>
      <c r="S7329" t="n">
        <v>0</v>
      </c>
      <c r="T7329" t="n">
        <v>0</v>
      </c>
      <c r="U7329" t="n">
        <v>0</v>
      </c>
      <c r="V7329" s="2" t="inlineStr"/>
    </row>
    <row r="7330" ht="15" customHeight="1">
      <c r="A7330" t="inlineStr">
        <is>
          <t>A 14615-2026</t>
        </is>
      </c>
      <c r="B7330" t="inlineStr">
        <is>
          <t>avverkningsanmälan</t>
        </is>
      </c>
      <c r="C7330" t="inlineStr">
        <is>
          <t>Föryngringsavverkning</t>
        </is>
      </c>
      <c r="D7330" s="1" t="n">
        <v>46101</v>
      </c>
      <c r="E7330" s="1" t="n">
        <v>46326</v>
      </c>
      <c r="F7330" t="inlineStr">
        <is>
          <t>GÄVLEBORGS LÄN</t>
        </is>
      </c>
      <c r="G7330" t="inlineStr">
        <is>
          <t>BOLLNÄS</t>
        </is>
      </c>
      <c r="I7330" t="n">
        <v>2.4</v>
      </c>
      <c r="J7330" t="n">
        <v>0</v>
      </c>
      <c r="K7330" t="n">
        <v>0</v>
      </c>
      <c r="L7330" t="n">
        <v>0</v>
      </c>
      <c r="M7330" t="n">
        <v>0</v>
      </c>
      <c r="N7330" t="n">
        <v>0</v>
      </c>
      <c r="O7330" t="n">
        <v>0</v>
      </c>
      <c r="P7330" t="n">
        <v>0</v>
      </c>
      <c r="Q7330" t="n">
        <v>0</v>
      </c>
      <c r="R7330" t="n">
        <v>0</v>
      </c>
      <c r="S7330" t="n">
        <v>0</v>
      </c>
      <c r="T7330" t="n">
        <v>0</v>
      </c>
      <c r="U7330" t="n">
        <v>0</v>
      </c>
      <c r="V7330" s="2" t="inlineStr"/>
    </row>
    <row r="7331" ht="15" customHeight="1">
      <c r="A7331" t="inlineStr">
        <is>
          <t>A 20532-2026</t>
        </is>
      </c>
      <c r="B7331" t="inlineStr">
        <is>
          <t>avverkningsanmälan</t>
        </is>
      </c>
      <c r="C7331" t="inlineStr">
        <is>
          <t>Föryngringsavverkning</t>
        </is>
      </c>
      <c r="D7331" s="1" t="n">
        <v>46140</v>
      </c>
      <c r="E7331" s="1" t="n">
        <v>46326</v>
      </c>
      <c r="F7331" t="inlineStr">
        <is>
          <t>GÄVLEBORGS LÄN</t>
        </is>
      </c>
      <c r="G7331" t="inlineStr">
        <is>
          <t>NORDANSTIG</t>
        </is>
      </c>
      <c r="I7331" t="n">
        <v>5</v>
      </c>
      <c r="J7331" t="n">
        <v>0</v>
      </c>
      <c r="K7331" t="n">
        <v>0</v>
      </c>
      <c r="L7331" t="n">
        <v>0</v>
      </c>
      <c r="M7331" t="n">
        <v>0</v>
      </c>
      <c r="N7331" t="n">
        <v>0</v>
      </c>
      <c r="O7331" t="n">
        <v>0</v>
      </c>
      <c r="P7331" t="n">
        <v>0</v>
      </c>
      <c r="Q7331" t="n">
        <v>0</v>
      </c>
      <c r="R7331" t="n">
        <v>0</v>
      </c>
      <c r="S7331" t="n">
        <v>0</v>
      </c>
      <c r="T7331" t="n">
        <v>0</v>
      </c>
      <c r="U7331" t="n">
        <v>0</v>
      </c>
      <c r="V7331" s="2" t="inlineStr"/>
    </row>
    <row r="7332" ht="15" customHeight="1">
      <c r="A7332" t="inlineStr">
        <is>
          <t>A 7054-2026</t>
        </is>
      </c>
      <c r="B7332" t="inlineStr">
        <is>
          <t>avverkningsanmälan</t>
        </is>
      </c>
      <c r="C7332" t="inlineStr">
        <is>
          <t>Föryngringsavverkning</t>
        </is>
      </c>
      <c r="D7332" s="1" t="n">
        <v>46057</v>
      </c>
      <c r="E7332" s="1" t="n">
        <v>46326</v>
      </c>
      <c r="F7332" t="inlineStr">
        <is>
          <t>GÄVLEBORGS LÄN</t>
        </is>
      </c>
      <c r="G7332" t="inlineStr">
        <is>
          <t>HUDIKSVALL</t>
        </is>
      </c>
      <c r="H7332" t="inlineStr">
        <is>
          <t>Holmen skog AB</t>
        </is>
      </c>
      <c r="I7332" t="n">
        <v>1.6</v>
      </c>
      <c r="J7332" t="n">
        <v>0</v>
      </c>
      <c r="K7332" t="n">
        <v>0</v>
      </c>
      <c r="L7332" t="n">
        <v>0</v>
      </c>
      <c r="M7332" t="n">
        <v>0</v>
      </c>
      <c r="N7332" t="n">
        <v>0</v>
      </c>
      <c r="O7332" t="n">
        <v>0</v>
      </c>
      <c r="P7332" t="n">
        <v>0</v>
      </c>
      <c r="Q7332" t="n">
        <v>0</v>
      </c>
      <c r="R7332" t="n">
        <v>0</v>
      </c>
      <c r="S7332" t="n">
        <v>0</v>
      </c>
      <c r="T7332" t="n">
        <v>0</v>
      </c>
      <c r="U7332" t="n">
        <v>0</v>
      </c>
      <c r="V7332" s="2" t="inlineStr"/>
    </row>
    <row r="7333" ht="15" customHeight="1">
      <c r="A7333" t="inlineStr">
        <is>
          <t>A 15163-2026</t>
        </is>
      </c>
      <c r="B7333" t="inlineStr">
        <is>
          <t>avverkningsanmälan</t>
        </is>
      </c>
      <c r="C7333" t="inlineStr">
        <is>
          <t>Föryngringsavverkning</t>
        </is>
      </c>
      <c r="D7333" s="1" t="n">
        <v>46105</v>
      </c>
      <c r="E7333" s="1" t="n">
        <v>46326</v>
      </c>
      <c r="F7333" t="inlineStr">
        <is>
          <t>GÄVLEBORGS LÄN</t>
        </is>
      </c>
      <c r="G7333" t="inlineStr">
        <is>
          <t>BOLLNÄS</t>
        </is>
      </c>
      <c r="I7333" t="n">
        <v>10.4</v>
      </c>
      <c r="J7333" t="n">
        <v>0</v>
      </c>
      <c r="K7333" t="n">
        <v>0</v>
      </c>
      <c r="L7333" t="n">
        <v>0</v>
      </c>
      <c r="M7333" t="n">
        <v>0</v>
      </c>
      <c r="N7333" t="n">
        <v>0</v>
      </c>
      <c r="O7333" t="n">
        <v>0</v>
      </c>
      <c r="P7333" t="n">
        <v>0</v>
      </c>
      <c r="Q7333" t="n">
        <v>0</v>
      </c>
      <c r="R7333" t="n">
        <v>0</v>
      </c>
      <c r="S7333" t="n">
        <v>0</v>
      </c>
      <c r="T7333" t="n">
        <v>0</v>
      </c>
      <c r="U7333" t="n">
        <v>0</v>
      </c>
      <c r="V7333" s="2" t="inlineStr"/>
    </row>
    <row r="7334" ht="15" customHeight="1">
      <c r="A7334" t="inlineStr">
        <is>
          <t>A 11894-2026</t>
        </is>
      </c>
      <c r="B7334" t="inlineStr">
        <is>
          <t>avverkningsanmälan</t>
        </is>
      </c>
      <c r="C7334" t="inlineStr">
        <is>
          <t>Föryngringsavverkning</t>
        </is>
      </c>
      <c r="D7334" s="1" t="n">
        <v>46085</v>
      </c>
      <c r="E7334" s="1" t="n">
        <v>46326</v>
      </c>
      <c r="F7334" t="inlineStr">
        <is>
          <t>GÄVLEBORGS LÄN</t>
        </is>
      </c>
      <c r="G7334" t="inlineStr">
        <is>
          <t>SANDVIKEN</t>
        </is>
      </c>
      <c r="I7334" t="n">
        <v>8.199999999999999</v>
      </c>
      <c r="J7334" t="n">
        <v>0</v>
      </c>
      <c r="K7334" t="n">
        <v>0</v>
      </c>
      <c r="L7334" t="n">
        <v>0</v>
      </c>
      <c r="M7334" t="n">
        <v>0</v>
      </c>
      <c r="N7334" t="n">
        <v>0</v>
      </c>
      <c r="O7334" t="n">
        <v>0</v>
      </c>
      <c r="P7334" t="n">
        <v>0</v>
      </c>
      <c r="Q7334" t="n">
        <v>0</v>
      </c>
      <c r="R7334" t="n">
        <v>0</v>
      </c>
      <c r="S7334" t="n">
        <v>0</v>
      </c>
      <c r="T7334" t="n">
        <v>0</v>
      </c>
      <c r="U7334" t="n">
        <v>0</v>
      </c>
      <c r="V7334" s="2" t="inlineStr"/>
    </row>
    <row r="7335" ht="15" customHeight="1">
      <c r="A7335" t="inlineStr">
        <is>
          <t>A 12643-2026</t>
        </is>
      </c>
      <c r="B7335" t="inlineStr">
        <is>
          <t>avverkningsanmälan</t>
        </is>
      </c>
      <c r="C7335" t="inlineStr">
        <is>
          <t>Föryngringsavverkning</t>
        </is>
      </c>
      <c r="D7335" s="1" t="n">
        <v>46091</v>
      </c>
      <c r="E7335" s="1" t="n">
        <v>46326</v>
      </c>
      <c r="F7335" t="inlineStr">
        <is>
          <t>GÄVLEBORGS LÄN</t>
        </is>
      </c>
      <c r="G7335" t="inlineStr">
        <is>
          <t>BOLLNÄS</t>
        </is>
      </c>
      <c r="I7335" t="n">
        <v>13.9</v>
      </c>
      <c r="J7335" t="n">
        <v>0</v>
      </c>
      <c r="K7335" t="n">
        <v>0</v>
      </c>
      <c r="L7335" t="n">
        <v>0</v>
      </c>
      <c r="M7335" t="n">
        <v>0</v>
      </c>
      <c r="N7335" t="n">
        <v>0</v>
      </c>
      <c r="O7335" t="n">
        <v>0</v>
      </c>
      <c r="P7335" t="n">
        <v>0</v>
      </c>
      <c r="Q7335" t="n">
        <v>0</v>
      </c>
      <c r="R7335" t="n">
        <v>0</v>
      </c>
      <c r="S7335" t="n">
        <v>0</v>
      </c>
      <c r="T7335" t="n">
        <v>0</v>
      </c>
      <c r="U7335" t="n">
        <v>0</v>
      </c>
      <c r="V7335" s="2" t="inlineStr"/>
    </row>
    <row r="7336" ht="15" customHeight="1">
      <c r="A7336" t="inlineStr">
        <is>
          <t>A 3656-2026</t>
        </is>
      </c>
      <c r="B7336" t="inlineStr">
        <is>
          <t>avverkningsanmälan</t>
        </is>
      </c>
      <c r="C7336" t="inlineStr">
        <is>
          <t>Föryngringsavverkning</t>
        </is>
      </c>
      <c r="D7336" s="1" t="n">
        <v>46043</v>
      </c>
      <c r="E7336" s="1" t="n">
        <v>46326</v>
      </c>
      <c r="F7336" t="inlineStr">
        <is>
          <t>GÄVLEBORGS LÄN</t>
        </is>
      </c>
      <c r="G7336" t="inlineStr">
        <is>
          <t>SANDVIKEN</t>
        </is>
      </c>
      <c r="I7336" t="n">
        <v>1.9</v>
      </c>
      <c r="J7336" t="n">
        <v>0</v>
      </c>
      <c r="K7336" t="n">
        <v>0</v>
      </c>
      <c r="L7336" t="n">
        <v>0</v>
      </c>
      <c r="M7336" t="n">
        <v>0</v>
      </c>
      <c r="N7336" t="n">
        <v>0</v>
      </c>
      <c r="O7336" t="n">
        <v>0</v>
      </c>
      <c r="P7336" t="n">
        <v>0</v>
      </c>
      <c r="Q7336" t="n">
        <v>0</v>
      </c>
      <c r="R7336" t="n">
        <v>0</v>
      </c>
      <c r="S7336" t="n">
        <v>0</v>
      </c>
      <c r="T7336" t="n">
        <v>0</v>
      </c>
      <c r="U7336" t="n">
        <v>0</v>
      </c>
      <c r="V7336" s="2" t="inlineStr"/>
    </row>
    <row r="7337" ht="15" customHeight="1">
      <c r="A7337" t="inlineStr">
        <is>
          <t>A 11735-2026</t>
        </is>
      </c>
      <c r="B7337" t="inlineStr">
        <is>
          <t>avverkningsanmälan</t>
        </is>
      </c>
      <c r="C7337" t="inlineStr">
        <is>
          <t>Föryngringsavverkning</t>
        </is>
      </c>
      <c r="D7337" s="1" t="n">
        <v>46084</v>
      </c>
      <c r="E7337" s="1" t="n">
        <v>46326</v>
      </c>
      <c r="F7337" t="inlineStr">
        <is>
          <t>GÄVLEBORGS LÄN</t>
        </is>
      </c>
      <c r="G7337" t="inlineStr">
        <is>
          <t>HUDIKSVALL</t>
        </is>
      </c>
      <c r="I7337" t="n">
        <v>1.7</v>
      </c>
      <c r="J7337" t="n">
        <v>0</v>
      </c>
      <c r="K7337" t="n">
        <v>0</v>
      </c>
      <c r="L7337" t="n">
        <v>0</v>
      </c>
      <c r="M7337" t="n">
        <v>0</v>
      </c>
      <c r="N7337" t="n">
        <v>0</v>
      </c>
      <c r="O7337" t="n">
        <v>0</v>
      </c>
      <c r="P7337" t="n">
        <v>0</v>
      </c>
      <c r="Q7337" t="n">
        <v>0</v>
      </c>
      <c r="R7337" t="n">
        <v>0</v>
      </c>
      <c r="S7337" t="n">
        <v>0</v>
      </c>
      <c r="T7337" t="n">
        <v>0</v>
      </c>
      <c r="U7337" t="n">
        <v>0</v>
      </c>
      <c r="V7337" s="2" t="inlineStr"/>
    </row>
    <row r="7338" ht="15" customHeight="1">
      <c r="A7338" t="inlineStr">
        <is>
          <t>A 19392-2026</t>
        </is>
      </c>
      <c r="B7338" t="inlineStr">
        <is>
          <t>avverkningsanmälan</t>
        </is>
      </c>
      <c r="C7338" t="inlineStr">
        <is>
          <t>Föryngringsavverkning</t>
        </is>
      </c>
      <c r="D7338" s="1" t="n">
        <v>46133</v>
      </c>
      <c r="E7338" s="1" t="n">
        <v>46326</v>
      </c>
      <c r="F7338" t="inlineStr">
        <is>
          <t>GÄVLEBORGS LÄN</t>
        </is>
      </c>
      <c r="G7338" t="inlineStr">
        <is>
          <t>BOLLNÄS</t>
        </is>
      </c>
      <c r="I7338" t="n">
        <v>3.3</v>
      </c>
      <c r="J7338" t="n">
        <v>0</v>
      </c>
      <c r="K7338" t="n">
        <v>0</v>
      </c>
      <c r="L7338" t="n">
        <v>0</v>
      </c>
      <c r="M7338" t="n">
        <v>0</v>
      </c>
      <c r="N7338" t="n">
        <v>0</v>
      </c>
      <c r="O7338" t="n">
        <v>0</v>
      </c>
      <c r="P7338" t="n">
        <v>0</v>
      </c>
      <c r="Q7338" t="n">
        <v>0</v>
      </c>
      <c r="R7338" t="n">
        <v>0</v>
      </c>
      <c r="S7338" t="n">
        <v>0</v>
      </c>
      <c r="T7338" t="n">
        <v>0</v>
      </c>
      <c r="U7338" t="n">
        <v>0</v>
      </c>
      <c r="V7338" s="2" t="inlineStr"/>
    </row>
    <row r="7339" ht="15" customHeight="1">
      <c r="A7339" t="inlineStr">
        <is>
          <t>A 728-2026</t>
        </is>
      </c>
      <c r="B7339" t="inlineStr">
        <is>
          <t>avverkningsanmälan</t>
        </is>
      </c>
      <c r="C7339" t="inlineStr">
        <is>
          <t>Föryngringsavverkning</t>
        </is>
      </c>
      <c r="D7339" s="1" t="n">
        <v>46029</v>
      </c>
      <c r="E7339" s="1" t="n">
        <v>46326</v>
      </c>
      <c r="F7339" t="inlineStr">
        <is>
          <t>GÄVLEBORGS LÄN</t>
        </is>
      </c>
      <c r="G7339" t="inlineStr">
        <is>
          <t>BOLLNÄS</t>
        </is>
      </c>
      <c r="I7339" t="n">
        <v>12.9</v>
      </c>
      <c r="J7339" t="n">
        <v>0</v>
      </c>
      <c r="K7339" t="n">
        <v>0</v>
      </c>
      <c r="L7339" t="n">
        <v>0</v>
      </c>
      <c r="M7339" t="n">
        <v>0</v>
      </c>
      <c r="N7339" t="n">
        <v>0</v>
      </c>
      <c r="O7339" t="n">
        <v>0</v>
      </c>
      <c r="P7339" t="n">
        <v>0</v>
      </c>
      <c r="Q7339" t="n">
        <v>0</v>
      </c>
      <c r="R7339" t="n">
        <v>0</v>
      </c>
      <c r="S7339" t="n">
        <v>0</v>
      </c>
      <c r="T7339" t="n">
        <v>0</v>
      </c>
      <c r="U7339" t="n">
        <v>0</v>
      </c>
      <c r="V7339" s="2" t="inlineStr"/>
    </row>
    <row r="7340" ht="15" customHeight="1">
      <c r="A7340" t="inlineStr">
        <is>
          <t>A 2910-2026</t>
        </is>
      </c>
      <c r="B7340" t="inlineStr">
        <is>
          <t>avverkningsanmälan</t>
        </is>
      </c>
      <c r="C7340" t="inlineStr">
        <is>
          <t>Föryngringsavverkning</t>
        </is>
      </c>
      <c r="D7340" s="1" t="n">
        <v>46038</v>
      </c>
      <c r="E7340" s="1" t="n">
        <v>46326</v>
      </c>
      <c r="F7340" t="inlineStr">
        <is>
          <t>GÄVLEBORGS LÄN</t>
        </is>
      </c>
      <c r="G7340" t="inlineStr">
        <is>
          <t>BOLLNÄS</t>
        </is>
      </c>
      <c r="I7340" t="n">
        <v>2.6</v>
      </c>
      <c r="J7340" t="n">
        <v>0</v>
      </c>
      <c r="K7340" t="n">
        <v>0</v>
      </c>
      <c r="L7340" t="n">
        <v>0</v>
      </c>
      <c r="M7340" t="n">
        <v>0</v>
      </c>
      <c r="N7340" t="n">
        <v>0</v>
      </c>
      <c r="O7340" t="n">
        <v>0</v>
      </c>
      <c r="P7340" t="n">
        <v>0</v>
      </c>
      <c r="Q7340" t="n">
        <v>0</v>
      </c>
      <c r="R7340" t="n">
        <v>0</v>
      </c>
      <c r="S7340" t="n">
        <v>0</v>
      </c>
      <c r="T7340" t="n">
        <v>0</v>
      </c>
      <c r="U7340" t="n">
        <v>0</v>
      </c>
      <c r="V7340" s="2" t="inlineStr"/>
    </row>
    <row r="7341" ht="15" customHeight="1">
      <c r="A7341" t="inlineStr">
        <is>
          <t>A 2348-2024</t>
        </is>
      </c>
      <c r="B7341" t="inlineStr">
        <is>
          <t>avverkningsanmälan</t>
        </is>
      </c>
      <c r="C7341" t="inlineStr">
        <is>
          <t>Föryngringsavverkning</t>
        </is>
      </c>
      <c r="D7341" s="1" t="n">
        <v>45310</v>
      </c>
      <c r="E7341" s="1" t="n">
        <v>46326</v>
      </c>
      <c r="F7341" t="inlineStr">
        <is>
          <t>GÄVLEBORGS LÄN</t>
        </is>
      </c>
      <c r="G7341" t="inlineStr">
        <is>
          <t>BOLLNÄS</t>
        </is>
      </c>
      <c r="I7341" t="n">
        <v>0.4</v>
      </c>
      <c r="J7341" t="n">
        <v>0</v>
      </c>
      <c r="K7341" t="n">
        <v>0</v>
      </c>
      <c r="L7341" t="n">
        <v>0</v>
      </c>
      <c r="M7341" t="n">
        <v>0</v>
      </c>
      <c r="N7341" t="n">
        <v>0</v>
      </c>
      <c r="O7341" t="n">
        <v>0</v>
      </c>
      <c r="P7341" t="n">
        <v>0</v>
      </c>
      <c r="Q7341" t="n">
        <v>0</v>
      </c>
      <c r="R7341" t="n">
        <v>0</v>
      </c>
      <c r="S7341" t="n">
        <v>0</v>
      </c>
      <c r="T7341" t="n">
        <v>0</v>
      </c>
      <c r="U7341" t="n">
        <v>0</v>
      </c>
      <c r="V7341" s="2" t="inlineStr"/>
    </row>
    <row r="7342" ht="15" customHeight="1">
      <c r="A7342" t="inlineStr">
        <is>
          <t>A 17806-2026</t>
        </is>
      </c>
      <c r="B7342" t="inlineStr">
        <is>
          <t>avverkningsanmälan</t>
        </is>
      </c>
      <c r="C7342" t="inlineStr">
        <is>
          <t>Föryngringsavverkning</t>
        </is>
      </c>
      <c r="D7342" s="1" t="n">
        <v>46122</v>
      </c>
      <c r="E7342" s="1" t="n">
        <v>46326</v>
      </c>
      <c r="F7342" t="inlineStr">
        <is>
          <t>GÄVLEBORGS LÄN</t>
        </is>
      </c>
      <c r="G7342" t="inlineStr">
        <is>
          <t>OVANÅKER</t>
        </is>
      </c>
      <c r="H7342" t="inlineStr">
        <is>
          <t>Bergvik skog öst AB</t>
        </is>
      </c>
      <c r="I7342" t="n">
        <v>1.5</v>
      </c>
      <c r="J7342" t="n">
        <v>0</v>
      </c>
      <c r="K7342" t="n">
        <v>0</v>
      </c>
      <c r="L7342" t="n">
        <v>0</v>
      </c>
      <c r="M7342" t="n">
        <v>0</v>
      </c>
      <c r="N7342" t="n">
        <v>0</v>
      </c>
      <c r="O7342" t="n">
        <v>0</v>
      </c>
      <c r="P7342" t="n">
        <v>0</v>
      </c>
      <c r="Q7342" t="n">
        <v>0</v>
      </c>
      <c r="R7342" t="n">
        <v>0</v>
      </c>
      <c r="S7342" t="n">
        <v>0</v>
      </c>
      <c r="T7342" t="n">
        <v>0</v>
      </c>
      <c r="U7342" t="n">
        <v>0</v>
      </c>
      <c r="V7342" s="2" t="inlineStr"/>
    </row>
    <row r="7343" ht="15" customHeight="1">
      <c r="A7343" t="inlineStr">
        <is>
          <t>A 17925-2026</t>
        </is>
      </c>
      <c r="B7343" t="inlineStr">
        <is>
          <t>avverkningsanmälan</t>
        </is>
      </c>
      <c r="C7343" t="inlineStr">
        <is>
          <t>Föryngringsavverkning</t>
        </is>
      </c>
      <c r="D7343" s="1" t="n">
        <v>46122</v>
      </c>
      <c r="E7343" s="1" t="n">
        <v>46326</v>
      </c>
      <c r="F7343" t="inlineStr">
        <is>
          <t>GÄVLEBORGS LÄN</t>
        </is>
      </c>
      <c r="G7343" t="inlineStr">
        <is>
          <t>OVANÅKER</t>
        </is>
      </c>
      <c r="H7343" t="inlineStr">
        <is>
          <t>Bergvik skog öst AB</t>
        </is>
      </c>
      <c r="I7343" t="n">
        <v>0.5</v>
      </c>
      <c r="J7343" t="n">
        <v>0</v>
      </c>
      <c r="K7343" t="n">
        <v>0</v>
      </c>
      <c r="L7343" t="n">
        <v>0</v>
      </c>
      <c r="M7343" t="n">
        <v>0</v>
      </c>
      <c r="N7343" t="n">
        <v>0</v>
      </c>
      <c r="O7343" t="n">
        <v>0</v>
      </c>
      <c r="P7343" t="n">
        <v>0</v>
      </c>
      <c r="Q7343" t="n">
        <v>0</v>
      </c>
      <c r="R7343" t="n">
        <v>0</v>
      </c>
      <c r="S7343" t="n">
        <v>0</v>
      </c>
      <c r="T7343" t="n">
        <v>0</v>
      </c>
      <c r="U7343" t="n">
        <v>0</v>
      </c>
      <c r="V7343" s="2" t="inlineStr"/>
    </row>
    <row r="7344" ht="15" customHeight="1">
      <c r="A7344" t="inlineStr">
        <is>
          <t>A 13826-2026</t>
        </is>
      </c>
      <c r="B7344" t="inlineStr">
        <is>
          <t>avverkningsanmälan</t>
        </is>
      </c>
      <c r="C7344" t="inlineStr">
        <is>
          <t>Föryngringsavverkning</t>
        </is>
      </c>
      <c r="D7344" s="1" t="n">
        <v>46098</v>
      </c>
      <c r="E7344" s="1" t="n">
        <v>46326</v>
      </c>
      <c r="F7344" t="inlineStr">
        <is>
          <t>GÄVLEBORGS LÄN</t>
        </is>
      </c>
      <c r="G7344" t="inlineStr">
        <is>
          <t>NORDANSTIG</t>
        </is>
      </c>
      <c r="I7344" t="n">
        <v>1.6</v>
      </c>
      <c r="J7344" t="n">
        <v>0</v>
      </c>
      <c r="K7344" t="n">
        <v>0</v>
      </c>
      <c r="L7344" t="n">
        <v>0</v>
      </c>
      <c r="M7344" t="n">
        <v>0</v>
      </c>
      <c r="N7344" t="n">
        <v>0</v>
      </c>
      <c r="O7344" t="n">
        <v>0</v>
      </c>
      <c r="P7344" t="n">
        <v>0</v>
      </c>
      <c r="Q7344" t="n">
        <v>0</v>
      </c>
      <c r="R7344" t="n">
        <v>0</v>
      </c>
      <c r="S7344" t="n">
        <v>0</v>
      </c>
      <c r="T7344" t="n">
        <v>0</v>
      </c>
      <c r="U7344" t="n">
        <v>0</v>
      </c>
      <c r="V7344" s="2" t="inlineStr"/>
    </row>
    <row r="7345" ht="15" customHeight="1">
      <c r="A7345" t="inlineStr">
        <is>
          <t>A 1360-2026</t>
        </is>
      </c>
      <c r="B7345" t="inlineStr">
        <is>
          <t>avverkningsanmälan</t>
        </is>
      </c>
      <c r="C7345" t="inlineStr">
        <is>
          <t>Föryngringsavverkning</t>
        </is>
      </c>
      <c r="D7345" s="1" t="n">
        <v>46031</v>
      </c>
      <c r="E7345" s="1" t="n">
        <v>46326</v>
      </c>
      <c r="F7345" t="inlineStr">
        <is>
          <t>GÄVLEBORGS LÄN</t>
        </is>
      </c>
      <c r="G7345" t="inlineStr">
        <is>
          <t>SANDVIKEN</t>
        </is>
      </c>
      <c r="I7345" t="n">
        <v>11.2</v>
      </c>
      <c r="J7345" t="n">
        <v>0</v>
      </c>
      <c r="K7345" t="n">
        <v>0</v>
      </c>
      <c r="L7345" t="n">
        <v>0</v>
      </c>
      <c r="M7345" t="n">
        <v>0</v>
      </c>
      <c r="N7345" t="n">
        <v>0</v>
      </c>
      <c r="O7345" t="n">
        <v>0</v>
      </c>
      <c r="P7345" t="n">
        <v>0</v>
      </c>
      <c r="Q7345" t="n">
        <v>0</v>
      </c>
      <c r="R7345" t="n">
        <v>0</v>
      </c>
      <c r="S7345" t="n">
        <v>0</v>
      </c>
      <c r="T7345" t="n">
        <v>0</v>
      </c>
      <c r="U7345" t="n">
        <v>0</v>
      </c>
      <c r="V7345" s="2" t="inlineStr"/>
    </row>
    <row r="7346" ht="15" customHeight="1">
      <c r="A7346" t="inlineStr">
        <is>
          <t>A 1389-2026</t>
        </is>
      </c>
      <c r="B7346" t="inlineStr">
        <is>
          <t>avverkningsanmälan</t>
        </is>
      </c>
      <c r="C7346" t="inlineStr">
        <is>
          <t>Föryngringsavverkning</t>
        </is>
      </c>
      <c r="D7346" s="1" t="n">
        <v>46031</v>
      </c>
      <c r="E7346" s="1" t="n">
        <v>46326</v>
      </c>
      <c r="F7346" t="inlineStr">
        <is>
          <t>GÄVLEBORGS LÄN</t>
        </is>
      </c>
      <c r="G7346" t="inlineStr">
        <is>
          <t>BOLLNÄS</t>
        </is>
      </c>
      <c r="I7346" t="n">
        <v>3.2</v>
      </c>
      <c r="J7346" t="n">
        <v>0</v>
      </c>
      <c r="K7346" t="n">
        <v>0</v>
      </c>
      <c r="L7346" t="n">
        <v>0</v>
      </c>
      <c r="M7346" t="n">
        <v>0</v>
      </c>
      <c r="N7346" t="n">
        <v>0</v>
      </c>
      <c r="O7346" t="n">
        <v>0</v>
      </c>
      <c r="P7346" t="n">
        <v>0</v>
      </c>
      <c r="Q7346" t="n">
        <v>0</v>
      </c>
      <c r="R7346" t="n">
        <v>0</v>
      </c>
      <c r="S7346" t="n">
        <v>0</v>
      </c>
      <c r="T7346" t="n">
        <v>0</v>
      </c>
      <c r="U7346" t="n">
        <v>0</v>
      </c>
      <c r="V7346" s="2" t="inlineStr"/>
    </row>
    <row r="7347" ht="15" customHeight="1">
      <c r="A7347" t="inlineStr">
        <is>
          <t>A 13862-2026</t>
        </is>
      </c>
      <c r="B7347" t="inlineStr">
        <is>
          <t>avverkningsanmälan</t>
        </is>
      </c>
      <c r="C7347" t="inlineStr">
        <is>
          <t>Föryngringsavverkning</t>
        </is>
      </c>
      <c r="D7347" s="1" t="n">
        <v>46098</v>
      </c>
      <c r="E7347" s="1" t="n">
        <v>46326</v>
      </c>
      <c r="F7347" t="inlineStr">
        <is>
          <t>GÄVLEBORGS LÄN</t>
        </is>
      </c>
      <c r="G7347" t="inlineStr">
        <is>
          <t>BOLLNÄS</t>
        </is>
      </c>
      <c r="I7347" t="n">
        <v>2.5</v>
      </c>
      <c r="J7347" t="n">
        <v>0</v>
      </c>
      <c r="K7347" t="n">
        <v>0</v>
      </c>
      <c r="L7347" t="n">
        <v>0</v>
      </c>
      <c r="M7347" t="n">
        <v>0</v>
      </c>
      <c r="N7347" t="n">
        <v>0</v>
      </c>
      <c r="O7347" t="n">
        <v>0</v>
      </c>
      <c r="P7347" t="n">
        <v>0</v>
      </c>
      <c r="Q7347" t="n">
        <v>0</v>
      </c>
      <c r="R7347" t="n">
        <v>0</v>
      </c>
      <c r="S7347" t="n">
        <v>0</v>
      </c>
      <c r="T7347" t="n">
        <v>0</v>
      </c>
      <c r="U7347" t="n">
        <v>0</v>
      </c>
      <c r="V7347" s="2" t="inlineStr"/>
    </row>
    <row r="7348" ht="15" customHeight="1">
      <c r="A7348" t="inlineStr">
        <is>
          <t>A 20638-2026</t>
        </is>
      </c>
      <c r="B7348" t="inlineStr">
        <is>
          <t>avverkningsanmälan</t>
        </is>
      </c>
      <c r="C7348" t="inlineStr">
        <is>
          <t>Föryngringsavverkning</t>
        </is>
      </c>
      <c r="D7348" s="1" t="n">
        <v>46141</v>
      </c>
      <c r="E7348" s="1" t="n">
        <v>46326</v>
      </c>
      <c r="F7348" t="inlineStr">
        <is>
          <t>GÄVLEBORGS LÄN</t>
        </is>
      </c>
      <c r="G7348" t="inlineStr">
        <is>
          <t>HUDIKSVALL</t>
        </is>
      </c>
      <c r="H7348" t="inlineStr">
        <is>
          <t>Holmen skog AB</t>
        </is>
      </c>
      <c r="I7348" t="n">
        <v>2.1</v>
      </c>
      <c r="J7348" t="n">
        <v>0</v>
      </c>
      <c r="K7348" t="n">
        <v>0</v>
      </c>
      <c r="L7348" t="n">
        <v>0</v>
      </c>
      <c r="M7348" t="n">
        <v>0</v>
      </c>
      <c r="N7348" t="n">
        <v>0</v>
      </c>
      <c r="O7348" t="n">
        <v>0</v>
      </c>
      <c r="P7348" t="n">
        <v>0</v>
      </c>
      <c r="Q7348" t="n">
        <v>0</v>
      </c>
      <c r="R7348" t="n">
        <v>0</v>
      </c>
      <c r="S7348" t="n">
        <v>0</v>
      </c>
      <c r="T7348" t="n">
        <v>0</v>
      </c>
      <c r="U7348" t="n">
        <v>0</v>
      </c>
      <c r="V7348" s="2" t="inlineStr"/>
    </row>
    <row r="7349" ht="15" customHeight="1">
      <c r="A7349" t="inlineStr">
        <is>
          <t>A 17757-2026</t>
        </is>
      </c>
      <c r="B7349" t="inlineStr">
        <is>
          <t>avverkningsanmälan</t>
        </is>
      </c>
      <c r="C7349" t="inlineStr">
        <is>
          <t>Föryngringsavverkning</t>
        </is>
      </c>
      <c r="D7349" s="1" t="n">
        <v>46122</v>
      </c>
      <c r="E7349" s="1" t="n">
        <v>46326</v>
      </c>
      <c r="F7349" t="inlineStr">
        <is>
          <t>GÄVLEBORGS LÄN</t>
        </is>
      </c>
      <c r="G7349" t="inlineStr">
        <is>
          <t>OVANÅKER</t>
        </is>
      </c>
      <c r="H7349" t="inlineStr">
        <is>
          <t>Bergvik skog öst AB</t>
        </is>
      </c>
      <c r="I7349" t="n">
        <v>4.5</v>
      </c>
      <c r="J7349" t="n">
        <v>0</v>
      </c>
      <c r="K7349" t="n">
        <v>0</v>
      </c>
      <c r="L7349" t="n">
        <v>0</v>
      </c>
      <c r="M7349" t="n">
        <v>0</v>
      </c>
      <c r="N7349" t="n">
        <v>0</v>
      </c>
      <c r="O7349" t="n">
        <v>0</v>
      </c>
      <c r="P7349" t="n">
        <v>0</v>
      </c>
      <c r="Q7349" t="n">
        <v>0</v>
      </c>
      <c r="R7349" t="n">
        <v>0</v>
      </c>
      <c r="S7349" t="n">
        <v>0</v>
      </c>
      <c r="T7349" t="n">
        <v>0</v>
      </c>
      <c r="U7349" t="n">
        <v>0</v>
      </c>
      <c r="V7349" s="2" t="inlineStr"/>
    </row>
    <row r="7350" ht="15" customHeight="1">
      <c r="A7350" t="inlineStr">
        <is>
          <t>A 2457-2024</t>
        </is>
      </c>
      <c r="B7350" t="inlineStr">
        <is>
          <t>avverkningsanmälan</t>
        </is>
      </c>
      <c r="C7350" t="inlineStr">
        <is>
          <t>Föryngringsavverkning</t>
        </is>
      </c>
      <c r="D7350" s="1" t="n">
        <v>45312</v>
      </c>
      <c r="E7350" s="1" t="n">
        <v>46326</v>
      </c>
      <c r="F7350" t="inlineStr">
        <is>
          <t>GÄVLEBORGS LÄN</t>
        </is>
      </c>
      <c r="G7350" t="inlineStr">
        <is>
          <t>GÄVLE</t>
        </is>
      </c>
      <c r="I7350" t="n">
        <v>1.4</v>
      </c>
      <c r="J7350" t="n">
        <v>0</v>
      </c>
      <c r="K7350" t="n">
        <v>0</v>
      </c>
      <c r="L7350" t="n">
        <v>0</v>
      </c>
      <c r="M7350" t="n">
        <v>0</v>
      </c>
      <c r="N7350" t="n">
        <v>0</v>
      </c>
      <c r="O7350" t="n">
        <v>0</v>
      </c>
      <c r="P7350" t="n">
        <v>0</v>
      </c>
      <c r="Q7350" t="n">
        <v>0</v>
      </c>
      <c r="R7350" t="n">
        <v>0</v>
      </c>
      <c r="S7350" t="n">
        <v>0</v>
      </c>
      <c r="T7350" t="n">
        <v>0</v>
      </c>
      <c r="U7350" t="n">
        <v>0</v>
      </c>
      <c r="V7350" s="2" t="inlineStr"/>
    </row>
    <row r="7351" ht="15" customHeight="1">
      <c r="A7351" t="inlineStr">
        <is>
          <t>A 17813-2026</t>
        </is>
      </c>
      <c r="B7351" t="inlineStr">
        <is>
          <t>avverkningsanmälan</t>
        </is>
      </c>
      <c r="C7351" t="inlineStr">
        <is>
          <t>Föryngringsavverkning</t>
        </is>
      </c>
      <c r="D7351" s="1" t="n">
        <v>46122</v>
      </c>
      <c r="E7351" s="1" t="n">
        <v>46326</v>
      </c>
      <c r="F7351" t="inlineStr">
        <is>
          <t>GÄVLEBORGS LÄN</t>
        </is>
      </c>
      <c r="G7351" t="inlineStr">
        <is>
          <t>OVANÅKER</t>
        </is>
      </c>
      <c r="H7351" t="inlineStr">
        <is>
          <t>Bergvik skog öst AB</t>
        </is>
      </c>
      <c r="I7351" t="n">
        <v>1.3</v>
      </c>
      <c r="J7351" t="n">
        <v>0</v>
      </c>
      <c r="K7351" t="n">
        <v>0</v>
      </c>
      <c r="L7351" t="n">
        <v>0</v>
      </c>
      <c r="M7351" t="n">
        <v>0</v>
      </c>
      <c r="N7351" t="n">
        <v>0</v>
      </c>
      <c r="O7351" t="n">
        <v>0</v>
      </c>
      <c r="P7351" t="n">
        <v>0</v>
      </c>
      <c r="Q7351" t="n">
        <v>0</v>
      </c>
      <c r="R7351" t="n">
        <v>0</v>
      </c>
      <c r="S7351" t="n">
        <v>0</v>
      </c>
      <c r="T7351" t="n">
        <v>0</v>
      </c>
      <c r="U7351" t="n">
        <v>0</v>
      </c>
      <c r="V7351" s="2" t="inlineStr"/>
    </row>
    <row r="7352" ht="15" customHeight="1">
      <c r="A7352" t="inlineStr">
        <is>
          <t>A 1475-2026</t>
        </is>
      </c>
      <c r="B7352" t="inlineStr">
        <is>
          <t>avverkningsanmälan</t>
        </is>
      </c>
      <c r="C7352" t="inlineStr">
        <is>
          <t>Föryngringsavverkning</t>
        </is>
      </c>
      <c r="D7352" s="1" t="n">
        <v>46033</v>
      </c>
      <c r="E7352" s="1" t="n">
        <v>46326</v>
      </c>
      <c r="F7352" t="inlineStr">
        <is>
          <t>GÄVLEBORGS LÄN</t>
        </is>
      </c>
      <c r="G7352" t="inlineStr">
        <is>
          <t>GÄVLE</t>
        </is>
      </c>
      <c r="I7352" t="n">
        <v>3.2</v>
      </c>
      <c r="J7352" t="n">
        <v>0</v>
      </c>
      <c r="K7352" t="n">
        <v>0</v>
      </c>
      <c r="L7352" t="n">
        <v>0</v>
      </c>
      <c r="M7352" t="n">
        <v>0</v>
      </c>
      <c r="N7352" t="n">
        <v>0</v>
      </c>
      <c r="O7352" t="n">
        <v>0</v>
      </c>
      <c r="P7352" t="n">
        <v>0</v>
      </c>
      <c r="Q7352" t="n">
        <v>0</v>
      </c>
      <c r="R7352" t="n">
        <v>0</v>
      </c>
      <c r="S7352" t="n">
        <v>0</v>
      </c>
      <c r="T7352" t="n">
        <v>0</v>
      </c>
      <c r="U7352" t="n">
        <v>0</v>
      </c>
      <c r="V7352" s="2" t="inlineStr"/>
    </row>
    <row r="7353" ht="15" customHeight="1">
      <c r="A7353" t="inlineStr">
        <is>
          <t>A 710-2026</t>
        </is>
      </c>
      <c r="B7353" t="inlineStr">
        <is>
          <t>avverkningsanmälan</t>
        </is>
      </c>
      <c r="C7353" t="inlineStr">
        <is>
          <t>Föryngringsavverkning</t>
        </is>
      </c>
      <c r="D7353" s="1" t="n">
        <v>46029</v>
      </c>
      <c r="E7353" s="1" t="n">
        <v>46326</v>
      </c>
      <c r="F7353" t="inlineStr">
        <is>
          <t>GÄVLEBORGS LÄN</t>
        </is>
      </c>
      <c r="G7353" t="inlineStr">
        <is>
          <t>OCKELBO</t>
        </is>
      </c>
      <c r="I7353" t="n">
        <v>7</v>
      </c>
      <c r="J7353" t="n">
        <v>0</v>
      </c>
      <c r="K7353" t="n">
        <v>0</v>
      </c>
      <c r="L7353" t="n">
        <v>0</v>
      </c>
      <c r="M7353" t="n">
        <v>0</v>
      </c>
      <c r="N7353" t="n">
        <v>0</v>
      </c>
      <c r="O7353" t="n">
        <v>0</v>
      </c>
      <c r="P7353" t="n">
        <v>0</v>
      </c>
      <c r="Q7353" t="n">
        <v>0</v>
      </c>
      <c r="R7353" t="n">
        <v>0</v>
      </c>
      <c r="S7353" t="n">
        <v>0</v>
      </c>
      <c r="T7353" t="n">
        <v>0</v>
      </c>
      <c r="U7353" t="n">
        <v>0</v>
      </c>
      <c r="V7353" s="2" t="inlineStr"/>
    </row>
    <row r="7354" ht="15" customHeight="1">
      <c r="A7354" t="inlineStr">
        <is>
          <t>A 63997-2025</t>
        </is>
      </c>
      <c r="B7354" t="inlineStr">
        <is>
          <t>avverkningsanmälan</t>
        </is>
      </c>
      <c r="C7354" t="inlineStr">
        <is>
          <t>Föryngringsavverkning</t>
        </is>
      </c>
      <c r="D7354" s="1" t="n">
        <v>46021</v>
      </c>
      <c r="E7354" s="1" t="n">
        <v>46326</v>
      </c>
      <c r="F7354" t="inlineStr">
        <is>
          <t>GÄVLEBORGS LÄN</t>
        </is>
      </c>
      <c r="G7354" t="inlineStr">
        <is>
          <t>LJUSDAL</t>
        </is>
      </c>
      <c r="I7354" t="n">
        <v>2.9</v>
      </c>
      <c r="J7354" t="n">
        <v>0</v>
      </c>
      <c r="K7354" t="n">
        <v>0</v>
      </c>
      <c r="L7354" t="n">
        <v>0</v>
      </c>
      <c r="M7354" t="n">
        <v>0</v>
      </c>
      <c r="N7354" t="n">
        <v>0</v>
      </c>
      <c r="O7354" t="n">
        <v>0</v>
      </c>
      <c r="P7354" t="n">
        <v>0</v>
      </c>
      <c r="Q7354" t="n">
        <v>0</v>
      </c>
      <c r="R7354" t="n">
        <v>0</v>
      </c>
      <c r="S7354" t="n">
        <v>0</v>
      </c>
      <c r="T7354" t="n">
        <v>0</v>
      </c>
      <c r="U7354" t="n">
        <v>0</v>
      </c>
      <c r="V7354" s="2" t="inlineStr"/>
    </row>
    <row r="7355" ht="15" customHeight="1">
      <c r="A7355" t="inlineStr">
        <is>
          <t>A 64059-2025</t>
        </is>
      </c>
      <c r="B7355" t="inlineStr">
        <is>
          <t>avverkningsanmälan</t>
        </is>
      </c>
      <c r="C7355" t="inlineStr">
        <is>
          <t>Föryngringsavverkning</t>
        </is>
      </c>
      <c r="D7355" s="1" t="n">
        <v>46021</v>
      </c>
      <c r="E7355" s="1" t="n">
        <v>46326</v>
      </c>
      <c r="F7355" t="inlineStr">
        <is>
          <t>GÄVLEBORGS LÄN</t>
        </is>
      </c>
      <c r="G7355" t="inlineStr">
        <is>
          <t>OVANÅKER</t>
        </is>
      </c>
      <c r="I7355" t="n">
        <v>16.1</v>
      </c>
      <c r="J7355" t="n">
        <v>0</v>
      </c>
      <c r="K7355" t="n">
        <v>0</v>
      </c>
      <c r="L7355" t="n">
        <v>0</v>
      </c>
      <c r="M7355" t="n">
        <v>0</v>
      </c>
      <c r="N7355" t="n">
        <v>0</v>
      </c>
      <c r="O7355" t="n">
        <v>0</v>
      </c>
      <c r="P7355" t="n">
        <v>0</v>
      </c>
      <c r="Q7355" t="n">
        <v>0</v>
      </c>
      <c r="R7355" t="n">
        <v>0</v>
      </c>
      <c r="S7355" t="n">
        <v>0</v>
      </c>
      <c r="T7355" t="n">
        <v>0</v>
      </c>
      <c r="U7355" t="n">
        <v>0</v>
      </c>
      <c r="V7355" s="2" t="inlineStr"/>
    </row>
    <row r="7356" ht="15" customHeight="1">
      <c r="A7356" t="inlineStr">
        <is>
          <t>A 967-2026</t>
        </is>
      </c>
      <c r="B7356" t="inlineStr">
        <is>
          <t>avverkningsanmälan</t>
        </is>
      </c>
      <c r="C7356" t="inlineStr">
        <is>
          <t>Föryngringsavverkning</t>
        </is>
      </c>
      <c r="D7356" s="1" t="n">
        <v>46030</v>
      </c>
      <c r="E7356" s="1" t="n">
        <v>46326</v>
      </c>
      <c r="F7356" t="inlineStr">
        <is>
          <t>GÄVLEBORGS LÄN</t>
        </is>
      </c>
      <c r="G7356" t="inlineStr">
        <is>
          <t>SÖDERHAMN</t>
        </is>
      </c>
      <c r="I7356" t="n">
        <v>3.6</v>
      </c>
      <c r="J7356" t="n">
        <v>0</v>
      </c>
      <c r="K7356" t="n">
        <v>0</v>
      </c>
      <c r="L7356" t="n">
        <v>0</v>
      </c>
      <c r="M7356" t="n">
        <v>0</v>
      </c>
      <c r="N7356" t="n">
        <v>0</v>
      </c>
      <c r="O7356" t="n">
        <v>0</v>
      </c>
      <c r="P7356" t="n">
        <v>0</v>
      </c>
      <c r="Q7356" t="n">
        <v>0</v>
      </c>
      <c r="R7356" t="n">
        <v>0</v>
      </c>
      <c r="S7356" t="n">
        <v>0</v>
      </c>
      <c r="T7356" t="n">
        <v>0</v>
      </c>
      <c r="U7356" t="n">
        <v>0</v>
      </c>
      <c r="V7356" s="2" t="inlineStr"/>
    </row>
    <row r="7357" ht="15" customHeight="1">
      <c r="A7357" t="inlineStr">
        <is>
          <t>A 20785-2026</t>
        </is>
      </c>
      <c r="B7357" t="inlineStr">
        <is>
          <t>avverkningsanmälan</t>
        </is>
      </c>
      <c r="C7357" t="inlineStr">
        <is>
          <t>Föryngringsavverkning</t>
        </is>
      </c>
      <c r="D7357" s="1" t="n">
        <v>46141</v>
      </c>
      <c r="E7357" s="1" t="n">
        <v>46326</v>
      </c>
      <c r="F7357" t="inlineStr">
        <is>
          <t>GÄVLEBORGS LÄN</t>
        </is>
      </c>
      <c r="G7357" t="inlineStr">
        <is>
          <t>GÄVLE</t>
        </is>
      </c>
      <c r="H7357" t="inlineStr">
        <is>
          <t>Bergvik skog öst AB</t>
        </is>
      </c>
      <c r="I7357" t="n">
        <v>3</v>
      </c>
      <c r="J7357" t="n">
        <v>0</v>
      </c>
      <c r="K7357" t="n">
        <v>0</v>
      </c>
      <c r="L7357" t="n">
        <v>0</v>
      </c>
      <c r="M7357" t="n">
        <v>0</v>
      </c>
      <c r="N7357" t="n">
        <v>0</v>
      </c>
      <c r="O7357" t="n">
        <v>0</v>
      </c>
      <c r="P7357" t="n">
        <v>0</v>
      </c>
      <c r="Q7357" t="n">
        <v>0</v>
      </c>
      <c r="R7357" t="n">
        <v>0</v>
      </c>
      <c r="S7357" t="n">
        <v>0</v>
      </c>
      <c r="T7357" t="n">
        <v>0</v>
      </c>
      <c r="U7357" t="n">
        <v>0</v>
      </c>
      <c r="V7357" s="2" t="inlineStr"/>
    </row>
    <row r="7358" ht="15" customHeight="1">
      <c r="A7358" t="inlineStr">
        <is>
          <t>A 5996-2026</t>
        </is>
      </c>
      <c r="B7358" t="inlineStr">
        <is>
          <t>avverkningsanmälan</t>
        </is>
      </c>
      <c r="C7358" t="inlineStr">
        <is>
          <t>Föryngringsavverkning</t>
        </is>
      </c>
      <c r="D7358" s="1" t="n">
        <v>46052</v>
      </c>
      <c r="E7358" s="1" t="n">
        <v>46326</v>
      </c>
      <c r="F7358" t="inlineStr">
        <is>
          <t>GÄVLEBORGS LÄN</t>
        </is>
      </c>
      <c r="G7358" t="inlineStr">
        <is>
          <t>BOLLNÄS</t>
        </is>
      </c>
      <c r="I7358" t="n">
        <v>2.4</v>
      </c>
      <c r="J7358" t="n">
        <v>0</v>
      </c>
      <c r="K7358" t="n">
        <v>0</v>
      </c>
      <c r="L7358" t="n">
        <v>0</v>
      </c>
      <c r="M7358" t="n">
        <v>0</v>
      </c>
      <c r="N7358" t="n">
        <v>0</v>
      </c>
      <c r="O7358" t="n">
        <v>0</v>
      </c>
      <c r="P7358" t="n">
        <v>0</v>
      </c>
      <c r="Q7358" t="n">
        <v>0</v>
      </c>
      <c r="R7358" t="n">
        <v>0</v>
      </c>
      <c r="S7358" t="n">
        <v>0</v>
      </c>
      <c r="T7358" t="n">
        <v>0</v>
      </c>
      <c r="U7358" t="n">
        <v>0</v>
      </c>
      <c r="V7358" s="2" t="inlineStr"/>
    </row>
    <row r="7359" ht="15" customHeight="1">
      <c r="A7359" t="inlineStr">
        <is>
          <t>A 62420-2022</t>
        </is>
      </c>
      <c r="B7359" t="inlineStr">
        <is>
          <t>avverkningsanmälan</t>
        </is>
      </c>
      <c r="C7359" t="inlineStr">
        <is>
          <t>Föryngringsavverkning</t>
        </is>
      </c>
      <c r="D7359" s="1" t="n">
        <v>44924</v>
      </c>
      <c r="E7359" s="1" t="n">
        <v>46326</v>
      </c>
      <c r="F7359" t="inlineStr">
        <is>
          <t>GÄVLEBORGS LÄN</t>
        </is>
      </c>
      <c r="G7359" t="inlineStr">
        <is>
          <t>LJUSDAL</t>
        </is>
      </c>
      <c r="I7359" t="n">
        <v>2.6</v>
      </c>
      <c r="J7359" t="n">
        <v>0</v>
      </c>
      <c r="K7359" t="n">
        <v>0</v>
      </c>
      <c r="L7359" t="n">
        <v>0</v>
      </c>
      <c r="M7359" t="n">
        <v>0</v>
      </c>
      <c r="N7359" t="n">
        <v>0</v>
      </c>
      <c r="O7359" t="n">
        <v>0</v>
      </c>
      <c r="P7359" t="n">
        <v>0</v>
      </c>
      <c r="Q7359" t="n">
        <v>0</v>
      </c>
      <c r="R7359" t="n">
        <v>0</v>
      </c>
      <c r="S7359" t="n">
        <v>0</v>
      </c>
      <c r="T7359" t="n">
        <v>0</v>
      </c>
      <c r="U7359" t="n">
        <v>0</v>
      </c>
      <c r="V7359" s="2" t="inlineStr"/>
    </row>
    <row r="7360" ht="15" customHeight="1">
      <c r="A7360" t="inlineStr">
        <is>
          <t>A 7693-2024</t>
        </is>
      </c>
      <c r="B7360" t="inlineStr">
        <is>
          <t>avverkningsanmälan</t>
        </is>
      </c>
      <c r="C7360" t="inlineStr">
        <is>
          <t>Föryngringsavverkning</t>
        </is>
      </c>
      <c r="D7360" s="1" t="n">
        <v>45349</v>
      </c>
      <c r="E7360" s="1" t="n">
        <v>46326</v>
      </c>
      <c r="F7360" t="inlineStr">
        <is>
          <t>GÄVLEBORGS LÄN</t>
        </is>
      </c>
      <c r="G7360" t="inlineStr">
        <is>
          <t>OVANÅKER</t>
        </is>
      </c>
      <c r="I7360" t="n">
        <v>4.5</v>
      </c>
      <c r="J7360" t="n">
        <v>0</v>
      </c>
      <c r="K7360" t="n">
        <v>0</v>
      </c>
      <c r="L7360" t="n">
        <v>0</v>
      </c>
      <c r="M7360" t="n">
        <v>0</v>
      </c>
      <c r="N7360" t="n">
        <v>0</v>
      </c>
      <c r="O7360" t="n">
        <v>0</v>
      </c>
      <c r="P7360" t="n">
        <v>0</v>
      </c>
      <c r="Q7360" t="n">
        <v>0</v>
      </c>
      <c r="R7360" t="n">
        <v>0</v>
      </c>
      <c r="S7360" t="n">
        <v>0</v>
      </c>
      <c r="T7360" t="n">
        <v>0</v>
      </c>
      <c r="U7360" t="n">
        <v>0</v>
      </c>
      <c r="V7360" s="2" t="inlineStr"/>
    </row>
    <row r="7361" ht="15" customHeight="1">
      <c r="A7361" t="inlineStr">
        <is>
          <t>A 20828-2026</t>
        </is>
      </c>
      <c r="B7361" t="inlineStr">
        <is>
          <t>avverkningsanmälan</t>
        </is>
      </c>
      <c r="C7361" t="inlineStr">
        <is>
          <t>Föryngringsavverkning</t>
        </is>
      </c>
      <c r="D7361" s="1" t="n">
        <v>46141</v>
      </c>
      <c r="E7361" s="1" t="n">
        <v>46326</v>
      </c>
      <c r="F7361" t="inlineStr">
        <is>
          <t>GÄVLEBORGS LÄN</t>
        </is>
      </c>
      <c r="G7361" t="inlineStr">
        <is>
          <t>BOLLNÄS</t>
        </is>
      </c>
      <c r="H7361" t="inlineStr">
        <is>
          <t>Bergvik skog väst AB</t>
        </is>
      </c>
      <c r="I7361" t="n">
        <v>1.7</v>
      </c>
      <c r="J7361" t="n">
        <v>0</v>
      </c>
      <c r="K7361" t="n">
        <v>0</v>
      </c>
      <c r="L7361" t="n">
        <v>0</v>
      </c>
      <c r="M7361" t="n">
        <v>0</v>
      </c>
      <c r="N7361" t="n">
        <v>0</v>
      </c>
      <c r="O7361" t="n">
        <v>0</v>
      </c>
      <c r="P7361" t="n">
        <v>0</v>
      </c>
      <c r="Q7361" t="n">
        <v>0</v>
      </c>
      <c r="R7361" t="n">
        <v>0</v>
      </c>
      <c r="S7361" t="n">
        <v>0</v>
      </c>
      <c r="T7361" t="n">
        <v>0</v>
      </c>
      <c r="U7361" t="n">
        <v>0</v>
      </c>
      <c r="V7361" s="2" t="inlineStr"/>
    </row>
    <row r="7362" ht="15" customHeight="1">
      <c r="A7362" t="inlineStr">
        <is>
          <t>A 5072-2026</t>
        </is>
      </c>
      <c r="B7362" t="inlineStr">
        <is>
          <t>avverkningsanmälan</t>
        </is>
      </c>
      <c r="C7362" t="inlineStr">
        <is>
          <t>Föryngringsavverkning</t>
        </is>
      </c>
      <c r="D7362" s="1" t="n">
        <v>46049</v>
      </c>
      <c r="E7362" s="1" t="n">
        <v>46326</v>
      </c>
      <c r="F7362" t="inlineStr">
        <is>
          <t>GÄVLEBORGS LÄN</t>
        </is>
      </c>
      <c r="G7362" t="inlineStr">
        <is>
          <t>BOLLNÄS</t>
        </is>
      </c>
      <c r="I7362" t="n">
        <v>1.9</v>
      </c>
      <c r="J7362" t="n">
        <v>0</v>
      </c>
      <c r="K7362" t="n">
        <v>0</v>
      </c>
      <c r="L7362" t="n">
        <v>0</v>
      </c>
      <c r="M7362" t="n">
        <v>0</v>
      </c>
      <c r="N7362" t="n">
        <v>0</v>
      </c>
      <c r="O7362" t="n">
        <v>0</v>
      </c>
      <c r="P7362" t="n">
        <v>0</v>
      </c>
      <c r="Q7362" t="n">
        <v>0</v>
      </c>
      <c r="R7362" t="n">
        <v>0</v>
      </c>
      <c r="S7362" t="n">
        <v>0</v>
      </c>
      <c r="T7362" t="n">
        <v>0</v>
      </c>
      <c r="U7362" t="n">
        <v>0</v>
      </c>
      <c r="V7362" s="2" t="inlineStr"/>
    </row>
    <row r="7363" ht="15" customHeight="1">
      <c r="A7363" t="inlineStr">
        <is>
          <t>A 5869-2026</t>
        </is>
      </c>
      <c r="B7363" t="inlineStr">
        <is>
          <t>avverkningsanmälan</t>
        </is>
      </c>
      <c r="C7363" t="inlineStr">
        <is>
          <t>Föryngringsavverkning</t>
        </is>
      </c>
      <c r="D7363" s="1" t="n">
        <v>46052</v>
      </c>
      <c r="E7363" s="1" t="n">
        <v>46326</v>
      </c>
      <c r="F7363" t="inlineStr">
        <is>
          <t>GÄVLEBORGS LÄN</t>
        </is>
      </c>
      <c r="G7363" t="inlineStr">
        <is>
          <t>BOLLNÄS</t>
        </is>
      </c>
      <c r="I7363" t="n">
        <v>2.3</v>
      </c>
      <c r="J7363" t="n">
        <v>0</v>
      </c>
      <c r="K7363" t="n">
        <v>0</v>
      </c>
      <c r="L7363" t="n">
        <v>0</v>
      </c>
      <c r="M7363" t="n">
        <v>0</v>
      </c>
      <c r="N7363" t="n">
        <v>0</v>
      </c>
      <c r="O7363" t="n">
        <v>0</v>
      </c>
      <c r="P7363" t="n">
        <v>0</v>
      </c>
      <c r="Q7363" t="n">
        <v>0</v>
      </c>
      <c r="R7363" t="n">
        <v>0</v>
      </c>
      <c r="S7363" t="n">
        <v>0</v>
      </c>
      <c r="T7363" t="n">
        <v>0</v>
      </c>
      <c r="U7363" t="n">
        <v>0</v>
      </c>
      <c r="V7363" s="2" t="inlineStr"/>
    </row>
    <row r="7364" ht="15" customHeight="1">
      <c r="A7364" t="inlineStr">
        <is>
          <t>A 13965-2026</t>
        </is>
      </c>
      <c r="B7364" t="inlineStr">
        <is>
          <t>avverkningsanmälan</t>
        </is>
      </c>
      <c r="C7364" t="inlineStr">
        <is>
          <t>Föryngringsavverkning</t>
        </is>
      </c>
      <c r="D7364" s="1" t="n">
        <v>46098</v>
      </c>
      <c r="E7364" s="1" t="n">
        <v>46326</v>
      </c>
      <c r="F7364" t="inlineStr">
        <is>
          <t>GÄVLEBORGS LÄN</t>
        </is>
      </c>
      <c r="G7364" t="inlineStr">
        <is>
          <t>SÖDERHAMN</t>
        </is>
      </c>
      <c r="I7364" t="n">
        <v>1.4</v>
      </c>
      <c r="J7364" t="n">
        <v>0</v>
      </c>
      <c r="K7364" t="n">
        <v>0</v>
      </c>
      <c r="L7364" t="n">
        <v>0</v>
      </c>
      <c r="M7364" t="n">
        <v>0</v>
      </c>
      <c r="N7364" t="n">
        <v>0</v>
      </c>
      <c r="O7364" t="n">
        <v>0</v>
      </c>
      <c r="P7364" t="n">
        <v>0</v>
      </c>
      <c r="Q7364" t="n">
        <v>0</v>
      </c>
      <c r="R7364" t="n">
        <v>0</v>
      </c>
      <c r="S7364" t="n">
        <v>0</v>
      </c>
      <c r="T7364" t="n">
        <v>0</v>
      </c>
      <c r="U7364" t="n">
        <v>0</v>
      </c>
      <c r="V7364" s="2" t="inlineStr"/>
    </row>
    <row r="7365" ht="15" customHeight="1">
      <c r="A7365" t="inlineStr">
        <is>
          <t>A 20730-2026</t>
        </is>
      </c>
      <c r="B7365" t="inlineStr">
        <is>
          <t>avverkningsanmälan</t>
        </is>
      </c>
      <c r="C7365" t="inlineStr">
        <is>
          <t>Föryngringsavverkning</t>
        </is>
      </c>
      <c r="D7365" s="1" t="n">
        <v>46141</v>
      </c>
      <c r="E7365" s="1" t="n">
        <v>46326</v>
      </c>
      <c r="F7365" t="inlineStr">
        <is>
          <t>GÄVLEBORGS LÄN</t>
        </is>
      </c>
      <c r="G7365" t="inlineStr">
        <is>
          <t>OVANÅKER</t>
        </is>
      </c>
      <c r="I7365" t="n">
        <v>1.4</v>
      </c>
      <c r="J7365" t="n">
        <v>0</v>
      </c>
      <c r="K7365" t="n">
        <v>0</v>
      </c>
      <c r="L7365" t="n">
        <v>0</v>
      </c>
      <c r="M7365" t="n">
        <v>0</v>
      </c>
      <c r="N7365" t="n">
        <v>0</v>
      </c>
      <c r="O7365" t="n">
        <v>0</v>
      </c>
      <c r="P7365" t="n">
        <v>0</v>
      </c>
      <c r="Q7365" t="n">
        <v>0</v>
      </c>
      <c r="R7365" t="n">
        <v>0</v>
      </c>
      <c r="S7365" t="n">
        <v>0</v>
      </c>
      <c r="T7365" t="n">
        <v>0</v>
      </c>
      <c r="U7365" t="n">
        <v>0</v>
      </c>
      <c r="V7365" s="2" t="inlineStr"/>
    </row>
    <row r="7366" ht="15" customHeight="1">
      <c r="A7366" t="inlineStr">
        <is>
          <t>A 20766-2026</t>
        </is>
      </c>
      <c r="B7366" t="inlineStr">
        <is>
          <t>avverkningsanmälan</t>
        </is>
      </c>
      <c r="C7366" t="inlineStr">
        <is>
          <t>Föryngringsavverkning</t>
        </is>
      </c>
      <c r="D7366" s="1" t="n">
        <v>46141</v>
      </c>
      <c r="E7366" s="1" t="n">
        <v>46326</v>
      </c>
      <c r="F7366" t="inlineStr">
        <is>
          <t>GÄVLEBORGS LÄN</t>
        </is>
      </c>
      <c r="G7366" t="inlineStr">
        <is>
          <t>BOLLNÄS</t>
        </is>
      </c>
      <c r="I7366" t="n">
        <v>2.5</v>
      </c>
      <c r="J7366" t="n">
        <v>0</v>
      </c>
      <c r="K7366" t="n">
        <v>0</v>
      </c>
      <c r="L7366" t="n">
        <v>0</v>
      </c>
      <c r="M7366" t="n">
        <v>0</v>
      </c>
      <c r="N7366" t="n">
        <v>0</v>
      </c>
      <c r="O7366" t="n">
        <v>0</v>
      </c>
      <c r="P7366" t="n">
        <v>0</v>
      </c>
      <c r="Q7366" t="n">
        <v>0</v>
      </c>
      <c r="R7366" t="n">
        <v>0</v>
      </c>
      <c r="S7366" t="n">
        <v>0</v>
      </c>
      <c r="T7366" t="n">
        <v>0</v>
      </c>
      <c r="U7366" t="n">
        <v>0</v>
      </c>
      <c r="V7366" s="2" t="inlineStr"/>
    </row>
    <row r="7367" ht="15" customHeight="1">
      <c r="A7367" t="inlineStr">
        <is>
          <t>A 5355-2026</t>
        </is>
      </c>
      <c r="B7367" t="inlineStr">
        <is>
          <t>avverkningsanmälan</t>
        </is>
      </c>
      <c r="C7367" t="inlineStr">
        <is>
          <t>Föryngringsavverkning</t>
        </is>
      </c>
      <c r="D7367" s="1" t="n">
        <v>46050</v>
      </c>
      <c r="E7367" s="1" t="n">
        <v>46326</v>
      </c>
      <c r="F7367" t="inlineStr">
        <is>
          <t>GÄVLEBORGS LÄN</t>
        </is>
      </c>
      <c r="G7367" t="inlineStr">
        <is>
          <t>BOLLNÄS</t>
        </is>
      </c>
      <c r="I7367" t="n">
        <v>2.9</v>
      </c>
      <c r="J7367" t="n">
        <v>0</v>
      </c>
      <c r="K7367" t="n">
        <v>0</v>
      </c>
      <c r="L7367" t="n">
        <v>0</v>
      </c>
      <c r="M7367" t="n">
        <v>0</v>
      </c>
      <c r="N7367" t="n">
        <v>0</v>
      </c>
      <c r="O7367" t="n">
        <v>0</v>
      </c>
      <c r="P7367" t="n">
        <v>0</v>
      </c>
      <c r="Q7367" t="n">
        <v>0</v>
      </c>
      <c r="R7367" t="n">
        <v>0</v>
      </c>
      <c r="S7367" t="n">
        <v>0</v>
      </c>
      <c r="T7367" t="n">
        <v>0</v>
      </c>
      <c r="U7367" t="n">
        <v>0</v>
      </c>
      <c r="V7367" s="2" t="inlineStr"/>
    </row>
    <row r="7368" ht="15" customHeight="1">
      <c r="A7368" t="inlineStr">
        <is>
          <t>A 7955-2026</t>
        </is>
      </c>
      <c r="B7368" t="inlineStr">
        <is>
          <t>avverkningsanmälan</t>
        </is>
      </c>
      <c r="C7368" t="inlineStr">
        <is>
          <t>Föryngringsavverkning</t>
        </is>
      </c>
      <c r="D7368" s="1" t="n">
        <v>46063</v>
      </c>
      <c r="E7368" s="1" t="n">
        <v>46326</v>
      </c>
      <c r="F7368" t="inlineStr">
        <is>
          <t>GÄVLEBORGS LÄN</t>
        </is>
      </c>
      <c r="G7368" t="inlineStr">
        <is>
          <t>OCKELBO</t>
        </is>
      </c>
      <c r="H7368" t="inlineStr">
        <is>
          <t>Bergvik skog väst AB</t>
        </is>
      </c>
      <c r="I7368" t="n">
        <v>23</v>
      </c>
      <c r="J7368" t="n">
        <v>0</v>
      </c>
      <c r="K7368" t="n">
        <v>0</v>
      </c>
      <c r="L7368" t="n">
        <v>0</v>
      </c>
      <c r="M7368" t="n">
        <v>0</v>
      </c>
      <c r="N7368" t="n">
        <v>0</v>
      </c>
      <c r="O7368" t="n">
        <v>0</v>
      </c>
      <c r="P7368" t="n">
        <v>0</v>
      </c>
      <c r="Q7368" t="n">
        <v>0</v>
      </c>
      <c r="R7368" t="n">
        <v>0</v>
      </c>
      <c r="S7368" t="n">
        <v>0</v>
      </c>
      <c r="T7368" t="n">
        <v>0</v>
      </c>
      <c r="U7368" t="n">
        <v>0</v>
      </c>
      <c r="V7368" s="2" t="inlineStr"/>
    </row>
    <row r="7369" ht="15" customHeight="1">
      <c r="A7369" t="inlineStr">
        <is>
          <t>A 29881-2024</t>
        </is>
      </c>
      <c r="B7369" t="inlineStr">
        <is>
          <t>avverkningsanmälan</t>
        </is>
      </c>
      <c r="C7369" t="inlineStr">
        <is>
          <t>Föryngringsavverkning</t>
        </is>
      </c>
      <c r="D7369" s="1" t="n">
        <v>45486</v>
      </c>
      <c r="E7369" s="1" t="n">
        <v>46326</v>
      </c>
      <c r="F7369" t="inlineStr">
        <is>
          <t>GÄVLEBORGS LÄN</t>
        </is>
      </c>
      <c r="G7369" t="inlineStr">
        <is>
          <t>BOLLNÄS</t>
        </is>
      </c>
      <c r="I7369" t="n">
        <v>1.4</v>
      </c>
      <c r="J7369" t="n">
        <v>0</v>
      </c>
      <c r="K7369" t="n">
        <v>0</v>
      </c>
      <c r="L7369" t="n">
        <v>0</v>
      </c>
      <c r="M7369" t="n">
        <v>0</v>
      </c>
      <c r="N7369" t="n">
        <v>0</v>
      </c>
      <c r="O7369" t="n">
        <v>0</v>
      </c>
      <c r="P7369" t="n">
        <v>0</v>
      </c>
      <c r="Q7369" t="n">
        <v>0</v>
      </c>
      <c r="R7369" t="n">
        <v>0</v>
      </c>
      <c r="S7369" t="n">
        <v>0</v>
      </c>
      <c r="T7369" t="n">
        <v>0</v>
      </c>
      <c r="U7369" t="n">
        <v>0</v>
      </c>
      <c r="V7369" s="2" t="inlineStr"/>
    </row>
    <row r="7370" ht="15" customHeight="1">
      <c r="A7370" t="inlineStr">
        <is>
          <t>A 2880-2026</t>
        </is>
      </c>
      <c r="B7370" t="inlineStr">
        <is>
          <t>avverkningsanmälan</t>
        </is>
      </c>
      <c r="C7370" t="inlineStr">
        <is>
          <t>Föryngringsavverkning</t>
        </is>
      </c>
      <c r="D7370" s="1" t="n">
        <v>46038</v>
      </c>
      <c r="E7370" s="1" t="n">
        <v>46326</v>
      </c>
      <c r="F7370" t="inlineStr">
        <is>
          <t>GÄVLEBORGS LÄN</t>
        </is>
      </c>
      <c r="G7370" t="inlineStr">
        <is>
          <t>NORDANSTIG</t>
        </is>
      </c>
      <c r="I7370" t="n">
        <v>1.2</v>
      </c>
      <c r="J7370" t="n">
        <v>0</v>
      </c>
      <c r="K7370" t="n">
        <v>0</v>
      </c>
      <c r="L7370" t="n">
        <v>0</v>
      </c>
      <c r="M7370" t="n">
        <v>0</v>
      </c>
      <c r="N7370" t="n">
        <v>0</v>
      </c>
      <c r="O7370" t="n">
        <v>0</v>
      </c>
      <c r="P7370" t="n">
        <v>0</v>
      </c>
      <c r="Q7370" t="n">
        <v>0</v>
      </c>
      <c r="R7370" t="n">
        <v>0</v>
      </c>
      <c r="S7370" t="n">
        <v>0</v>
      </c>
      <c r="T7370" t="n">
        <v>0</v>
      </c>
      <c r="U7370" t="n">
        <v>0</v>
      </c>
      <c r="V7370" s="2" t="inlineStr"/>
    </row>
    <row r="7371" ht="15" customHeight="1">
      <c r="A7371" t="inlineStr">
        <is>
          <t>A 9755-2026</t>
        </is>
      </c>
      <c r="B7371" t="inlineStr">
        <is>
          <t>avverkningsanmälan</t>
        </is>
      </c>
      <c r="C7371" t="inlineStr">
        <is>
          <t>Föryngringsavverkning</t>
        </is>
      </c>
      <c r="D7371" s="1" t="n">
        <v>46072</v>
      </c>
      <c r="E7371" s="1" t="n">
        <v>46326</v>
      </c>
      <c r="F7371" t="inlineStr">
        <is>
          <t>GÄVLEBORGS LÄN</t>
        </is>
      </c>
      <c r="G7371" t="inlineStr">
        <is>
          <t>BOLLNÄS</t>
        </is>
      </c>
      <c r="H7371" t="inlineStr">
        <is>
          <t>Sveaskog</t>
        </is>
      </c>
      <c r="I7371" t="n">
        <v>1.8</v>
      </c>
      <c r="J7371" t="n">
        <v>0</v>
      </c>
      <c r="K7371" t="n">
        <v>0</v>
      </c>
      <c r="L7371" t="n">
        <v>0</v>
      </c>
      <c r="M7371" t="n">
        <v>0</v>
      </c>
      <c r="N7371" t="n">
        <v>0</v>
      </c>
      <c r="O7371" t="n">
        <v>0</v>
      </c>
      <c r="P7371" t="n">
        <v>0</v>
      </c>
      <c r="Q7371" t="n">
        <v>0</v>
      </c>
      <c r="R7371" t="n">
        <v>0</v>
      </c>
      <c r="S7371" t="n">
        <v>0</v>
      </c>
      <c r="T7371" t="n">
        <v>0</v>
      </c>
      <c r="U7371" t="n">
        <v>0</v>
      </c>
      <c r="V7371" s="2" t="inlineStr"/>
    </row>
    <row r="7372" ht="15" customHeight="1">
      <c r="A7372" t="inlineStr">
        <is>
          <t>A 12427-2026</t>
        </is>
      </c>
      <c r="B7372" t="inlineStr">
        <is>
          <t>avverkningsanmälan</t>
        </is>
      </c>
      <c r="C7372" t="inlineStr">
        <is>
          <t>Föryngringsavverkning</t>
        </is>
      </c>
      <c r="D7372" s="1" t="n">
        <v>46090</v>
      </c>
      <c r="E7372" s="1" t="n">
        <v>46326</v>
      </c>
      <c r="F7372" t="inlineStr">
        <is>
          <t>GÄVLEBORGS LÄN</t>
        </is>
      </c>
      <c r="G7372" t="inlineStr">
        <is>
          <t>SANDVIKEN</t>
        </is>
      </c>
      <c r="I7372" t="n">
        <v>3.2</v>
      </c>
      <c r="J7372" t="n">
        <v>0</v>
      </c>
      <c r="K7372" t="n">
        <v>0</v>
      </c>
      <c r="L7372" t="n">
        <v>0</v>
      </c>
      <c r="M7372" t="n">
        <v>0</v>
      </c>
      <c r="N7372" t="n">
        <v>0</v>
      </c>
      <c r="O7372" t="n">
        <v>0</v>
      </c>
      <c r="P7372" t="n">
        <v>0</v>
      </c>
      <c r="Q7372" t="n">
        <v>0</v>
      </c>
      <c r="R7372" t="n">
        <v>0</v>
      </c>
      <c r="S7372" t="n">
        <v>0</v>
      </c>
      <c r="T7372" t="n">
        <v>0</v>
      </c>
      <c r="U7372" t="n">
        <v>0</v>
      </c>
      <c r="V7372" s="2" t="inlineStr"/>
    </row>
    <row r="7373" ht="15" customHeight="1">
      <c r="A7373" t="inlineStr">
        <is>
          <t>A 58610-2023</t>
        </is>
      </c>
      <c r="B7373" t="inlineStr">
        <is>
          <t>avverkningsanmälan</t>
        </is>
      </c>
      <c r="C7373" t="inlineStr">
        <is>
          <t>Föryngringsavverkning</t>
        </is>
      </c>
      <c r="D7373" s="1" t="n">
        <v>45251</v>
      </c>
      <c r="E7373" s="1" t="n">
        <v>46326</v>
      </c>
      <c r="F7373" t="inlineStr">
        <is>
          <t>GÄVLEBORGS LÄN</t>
        </is>
      </c>
      <c r="G7373" t="inlineStr">
        <is>
          <t>SÖDERHAMN</t>
        </is>
      </c>
      <c r="I7373" t="n">
        <v>0.6</v>
      </c>
      <c r="J7373" t="n">
        <v>0</v>
      </c>
      <c r="K7373" t="n">
        <v>0</v>
      </c>
      <c r="L7373" t="n">
        <v>0</v>
      </c>
      <c r="M7373" t="n">
        <v>0</v>
      </c>
      <c r="N7373" t="n">
        <v>0</v>
      </c>
      <c r="O7373" t="n">
        <v>0</v>
      </c>
      <c r="P7373" t="n">
        <v>0</v>
      </c>
      <c r="Q7373" t="n">
        <v>0</v>
      </c>
      <c r="R7373" t="n">
        <v>0</v>
      </c>
      <c r="S7373" t="n">
        <v>0</v>
      </c>
      <c r="T7373" t="n">
        <v>0</v>
      </c>
      <c r="U7373" t="n">
        <v>0</v>
      </c>
      <c r="V7373" s="2" t="inlineStr"/>
    </row>
    <row r="7374" ht="15" customHeight="1">
      <c r="A7374" t="inlineStr">
        <is>
          <t>A 58626-2023</t>
        </is>
      </c>
      <c r="B7374" t="inlineStr">
        <is>
          <t>avverkningsanmälan</t>
        </is>
      </c>
      <c r="C7374" t="inlineStr">
        <is>
          <t>Föryngringsavverkning</t>
        </is>
      </c>
      <c r="D7374" s="1" t="n">
        <v>45251</v>
      </c>
      <c r="E7374" s="1" t="n">
        <v>46326</v>
      </c>
      <c r="F7374" t="inlineStr">
        <is>
          <t>GÄVLEBORGS LÄN</t>
        </is>
      </c>
      <c r="G7374" t="inlineStr">
        <is>
          <t>LJUSDAL</t>
        </is>
      </c>
      <c r="I7374" t="n">
        <v>0.9</v>
      </c>
      <c r="J7374" t="n">
        <v>0</v>
      </c>
      <c r="K7374" t="n">
        <v>0</v>
      </c>
      <c r="L7374" t="n">
        <v>0</v>
      </c>
      <c r="M7374" t="n">
        <v>0</v>
      </c>
      <c r="N7374" t="n">
        <v>0</v>
      </c>
      <c r="O7374" t="n">
        <v>0</v>
      </c>
      <c r="P7374" t="n">
        <v>0</v>
      </c>
      <c r="Q7374" t="n">
        <v>0</v>
      </c>
      <c r="R7374" t="n">
        <v>0</v>
      </c>
      <c r="S7374" t="n">
        <v>0</v>
      </c>
      <c r="T7374" t="n">
        <v>0</v>
      </c>
      <c r="U7374" t="n">
        <v>0</v>
      </c>
      <c r="V7374" s="2" t="inlineStr"/>
    </row>
    <row r="7375" ht="15" customHeight="1">
      <c r="A7375" t="inlineStr">
        <is>
          <t>A 2748-2026</t>
        </is>
      </c>
      <c r="B7375" t="inlineStr">
        <is>
          <t>avverkningsanmälan</t>
        </is>
      </c>
      <c r="C7375" t="inlineStr">
        <is>
          <t>Föryngringsavverkning</t>
        </is>
      </c>
      <c r="D7375" s="1" t="n">
        <v>46038</v>
      </c>
      <c r="E7375" s="1" t="n">
        <v>46326</v>
      </c>
      <c r="F7375" t="inlineStr">
        <is>
          <t>GÄVLEBORGS LÄN</t>
        </is>
      </c>
      <c r="G7375" t="inlineStr">
        <is>
          <t>BOLLNÄS</t>
        </is>
      </c>
      <c r="I7375" t="n">
        <v>6</v>
      </c>
      <c r="J7375" t="n">
        <v>0</v>
      </c>
      <c r="K7375" t="n">
        <v>0</v>
      </c>
      <c r="L7375" t="n">
        <v>0</v>
      </c>
      <c r="M7375" t="n">
        <v>0</v>
      </c>
      <c r="N7375" t="n">
        <v>0</v>
      </c>
      <c r="O7375" t="n">
        <v>0</v>
      </c>
      <c r="P7375" t="n">
        <v>0</v>
      </c>
      <c r="Q7375" t="n">
        <v>0</v>
      </c>
      <c r="R7375" t="n">
        <v>0</v>
      </c>
      <c r="S7375" t="n">
        <v>0</v>
      </c>
      <c r="T7375" t="n">
        <v>0</v>
      </c>
      <c r="U7375" t="n">
        <v>0</v>
      </c>
      <c r="V7375" s="2" t="inlineStr"/>
    </row>
    <row r="7376" ht="15" customHeight="1">
      <c r="A7376" t="inlineStr">
        <is>
          <t>A 3650-2026</t>
        </is>
      </c>
      <c r="B7376" t="inlineStr">
        <is>
          <t>avverkningsanmälan</t>
        </is>
      </c>
      <c r="C7376" t="inlineStr">
        <is>
          <t>Föryngringsavverkning</t>
        </is>
      </c>
      <c r="D7376" s="1" t="n">
        <v>46043</v>
      </c>
      <c r="E7376" s="1" t="n">
        <v>46326</v>
      </c>
      <c r="F7376" t="inlineStr">
        <is>
          <t>GÄVLEBORGS LÄN</t>
        </is>
      </c>
      <c r="G7376" t="inlineStr">
        <is>
          <t>OCKELBO</t>
        </is>
      </c>
      <c r="I7376" t="n">
        <v>10.3</v>
      </c>
      <c r="J7376" t="n">
        <v>0</v>
      </c>
      <c r="K7376" t="n">
        <v>0</v>
      </c>
      <c r="L7376" t="n">
        <v>0</v>
      </c>
      <c r="M7376" t="n">
        <v>0</v>
      </c>
      <c r="N7376" t="n">
        <v>0</v>
      </c>
      <c r="O7376" t="n">
        <v>0</v>
      </c>
      <c r="P7376" t="n">
        <v>0</v>
      </c>
      <c r="Q7376" t="n">
        <v>0</v>
      </c>
      <c r="R7376" t="n">
        <v>0</v>
      </c>
      <c r="S7376" t="n">
        <v>0</v>
      </c>
      <c r="T7376" t="n">
        <v>0</v>
      </c>
      <c r="U7376" t="n">
        <v>0</v>
      </c>
      <c r="V7376" s="2" t="inlineStr"/>
    </row>
    <row r="7377" ht="15" customHeight="1">
      <c r="A7377" t="inlineStr">
        <is>
          <t>A 4279-2026</t>
        </is>
      </c>
      <c r="B7377" t="inlineStr">
        <is>
          <t>avverkningsanmälan</t>
        </is>
      </c>
      <c r="C7377" t="inlineStr">
        <is>
          <t>Föryngringsavverkning</t>
        </is>
      </c>
      <c r="D7377" s="1" t="n">
        <v>46045</v>
      </c>
      <c r="E7377" s="1" t="n">
        <v>46326</v>
      </c>
      <c r="F7377" t="inlineStr">
        <is>
          <t>GÄVLEBORGS LÄN</t>
        </is>
      </c>
      <c r="G7377" t="inlineStr">
        <is>
          <t>HUDIKSVALL</t>
        </is>
      </c>
      <c r="I7377" t="n">
        <v>1.6</v>
      </c>
      <c r="J7377" t="n">
        <v>0</v>
      </c>
      <c r="K7377" t="n">
        <v>0</v>
      </c>
      <c r="L7377" t="n">
        <v>0</v>
      </c>
      <c r="M7377" t="n">
        <v>0</v>
      </c>
      <c r="N7377" t="n">
        <v>0</v>
      </c>
      <c r="O7377" t="n">
        <v>0</v>
      </c>
      <c r="P7377" t="n">
        <v>0</v>
      </c>
      <c r="Q7377" t="n">
        <v>0</v>
      </c>
      <c r="R7377" t="n">
        <v>0</v>
      </c>
      <c r="S7377" t="n">
        <v>0</v>
      </c>
      <c r="T7377" t="n">
        <v>0</v>
      </c>
      <c r="U7377" t="n">
        <v>0</v>
      </c>
      <c r="V7377" s="2" t="inlineStr"/>
    </row>
    <row r="7378" ht="15" customHeight="1">
      <c r="A7378" t="inlineStr">
        <is>
          <t>A 8966-2026</t>
        </is>
      </c>
      <c r="B7378" t="inlineStr">
        <is>
          <t>avverkningsanmälan</t>
        </is>
      </c>
      <c r="C7378" t="inlineStr">
        <is>
          <t>Föryngringsavverkning</t>
        </is>
      </c>
      <c r="D7378" s="1" t="n">
        <v>46069</v>
      </c>
      <c r="E7378" s="1" t="n">
        <v>46326</v>
      </c>
      <c r="F7378" t="inlineStr">
        <is>
          <t>GÄVLEBORGS LÄN</t>
        </is>
      </c>
      <c r="G7378" t="inlineStr">
        <is>
          <t>BOLLNÄS</t>
        </is>
      </c>
      <c r="I7378" t="n">
        <v>2.3</v>
      </c>
      <c r="J7378" t="n">
        <v>0</v>
      </c>
      <c r="K7378" t="n">
        <v>0</v>
      </c>
      <c r="L7378" t="n">
        <v>0</v>
      </c>
      <c r="M7378" t="n">
        <v>0</v>
      </c>
      <c r="N7378" t="n">
        <v>0</v>
      </c>
      <c r="O7378" t="n">
        <v>0</v>
      </c>
      <c r="P7378" t="n">
        <v>0</v>
      </c>
      <c r="Q7378" t="n">
        <v>0</v>
      </c>
      <c r="R7378" t="n">
        <v>0</v>
      </c>
      <c r="S7378" t="n">
        <v>0</v>
      </c>
      <c r="T7378" t="n">
        <v>0</v>
      </c>
      <c r="U7378" t="n">
        <v>0</v>
      </c>
      <c r="V7378" s="2" t="inlineStr"/>
    </row>
    <row r="7379" ht="15" customHeight="1">
      <c r="A7379" t="inlineStr">
        <is>
          <t>A 2513-2026</t>
        </is>
      </c>
      <c r="B7379" t="inlineStr">
        <is>
          <t>avverkningsanmälan</t>
        </is>
      </c>
      <c r="C7379" t="inlineStr">
        <is>
          <t>Föryngringsavverkning</t>
        </is>
      </c>
      <c r="D7379" s="1" t="n">
        <v>46037</v>
      </c>
      <c r="E7379" s="1" t="n">
        <v>46326</v>
      </c>
      <c r="F7379" t="inlineStr">
        <is>
          <t>GÄVLEBORGS LÄN</t>
        </is>
      </c>
      <c r="G7379" t="inlineStr">
        <is>
          <t>BOLLNÄS</t>
        </is>
      </c>
      <c r="I7379" t="n">
        <v>4.4</v>
      </c>
      <c r="J7379" t="n">
        <v>0</v>
      </c>
      <c r="K7379" t="n">
        <v>0</v>
      </c>
      <c r="L7379" t="n">
        <v>0</v>
      </c>
      <c r="M7379" t="n">
        <v>0</v>
      </c>
      <c r="N7379" t="n">
        <v>0</v>
      </c>
      <c r="O7379" t="n">
        <v>0</v>
      </c>
      <c r="P7379" t="n">
        <v>0</v>
      </c>
      <c r="Q7379" t="n">
        <v>0</v>
      </c>
      <c r="R7379" t="n">
        <v>0</v>
      </c>
      <c r="S7379" t="n">
        <v>0</v>
      </c>
      <c r="T7379" t="n">
        <v>0</v>
      </c>
      <c r="U7379" t="n">
        <v>0</v>
      </c>
      <c r="V7379" s="2" t="inlineStr"/>
    </row>
    <row r="7380" ht="15" customHeight="1">
      <c r="A7380" t="inlineStr">
        <is>
          <t>A 2584-2026</t>
        </is>
      </c>
      <c r="B7380" t="inlineStr">
        <is>
          <t>avverkningsanmälan</t>
        </is>
      </c>
      <c r="C7380" t="inlineStr">
        <is>
          <t>Föryngringsavverkning</t>
        </is>
      </c>
      <c r="D7380" s="1" t="n">
        <v>46037</v>
      </c>
      <c r="E7380" s="1" t="n">
        <v>46326</v>
      </c>
      <c r="F7380" t="inlineStr">
        <is>
          <t>GÄVLEBORGS LÄN</t>
        </is>
      </c>
      <c r="G7380" t="inlineStr">
        <is>
          <t>OCKELBO</t>
        </is>
      </c>
      <c r="I7380" t="n">
        <v>2</v>
      </c>
      <c r="J7380" t="n">
        <v>0</v>
      </c>
      <c r="K7380" t="n">
        <v>0</v>
      </c>
      <c r="L7380" t="n">
        <v>0</v>
      </c>
      <c r="M7380" t="n">
        <v>0</v>
      </c>
      <c r="N7380" t="n">
        <v>0</v>
      </c>
      <c r="O7380" t="n">
        <v>0</v>
      </c>
      <c r="P7380" t="n">
        <v>0</v>
      </c>
      <c r="Q7380" t="n">
        <v>0</v>
      </c>
      <c r="R7380" t="n">
        <v>0</v>
      </c>
      <c r="S7380" t="n">
        <v>0</v>
      </c>
      <c r="T7380" t="n">
        <v>0</v>
      </c>
      <c r="U7380" t="n">
        <v>0</v>
      </c>
      <c r="V7380" s="2" t="inlineStr"/>
    </row>
    <row r="7381" ht="15" customHeight="1">
      <c r="A7381" t="inlineStr">
        <is>
          <t>A 10083-2026</t>
        </is>
      </c>
      <c r="B7381" t="inlineStr">
        <is>
          <t>avverkningsanmälan</t>
        </is>
      </c>
      <c r="C7381" t="inlineStr">
        <is>
          <t>Föryngringsavverkning</t>
        </is>
      </c>
      <c r="D7381" s="1" t="n">
        <v>46073</v>
      </c>
      <c r="E7381" s="1" t="n">
        <v>46326</v>
      </c>
      <c r="F7381" t="inlineStr">
        <is>
          <t>GÄVLEBORGS LÄN</t>
        </is>
      </c>
      <c r="G7381" t="inlineStr">
        <is>
          <t>OCKELBO</t>
        </is>
      </c>
      <c r="H7381" t="inlineStr">
        <is>
          <t>Bergvik skog väst AB</t>
        </is>
      </c>
      <c r="I7381" t="n">
        <v>3.6</v>
      </c>
      <c r="J7381" t="n">
        <v>0</v>
      </c>
      <c r="K7381" t="n">
        <v>0</v>
      </c>
      <c r="L7381" t="n">
        <v>0</v>
      </c>
      <c r="M7381" t="n">
        <v>0</v>
      </c>
      <c r="N7381" t="n">
        <v>0</v>
      </c>
      <c r="O7381" t="n">
        <v>0</v>
      </c>
      <c r="P7381" t="n">
        <v>0</v>
      </c>
      <c r="Q7381" t="n">
        <v>0</v>
      </c>
      <c r="R7381" t="n">
        <v>0</v>
      </c>
      <c r="S7381" t="n">
        <v>0</v>
      </c>
      <c r="T7381" t="n">
        <v>0</v>
      </c>
      <c r="U7381" t="n">
        <v>0</v>
      </c>
      <c r="V7381" s="2" t="inlineStr"/>
    </row>
    <row r="7382" ht="15" customHeight="1">
      <c r="A7382" t="inlineStr">
        <is>
          <t>A 52339-2024</t>
        </is>
      </c>
      <c r="B7382" t="inlineStr">
        <is>
          <t>avverkningsanmälan</t>
        </is>
      </c>
      <c r="C7382" t="inlineStr">
        <is>
          <t>Föryngringsavverkning</t>
        </is>
      </c>
      <c r="D7382" s="1" t="n">
        <v>45609</v>
      </c>
      <c r="E7382" s="1" t="n">
        <v>46326</v>
      </c>
      <c r="F7382" t="inlineStr">
        <is>
          <t>GÄVLEBORGS LÄN</t>
        </is>
      </c>
      <c r="G7382" t="inlineStr">
        <is>
          <t>LJUSDAL</t>
        </is>
      </c>
      <c r="I7382" t="n">
        <v>5.1</v>
      </c>
      <c r="J7382" t="n">
        <v>0</v>
      </c>
      <c r="K7382" t="n">
        <v>0</v>
      </c>
      <c r="L7382" t="n">
        <v>0</v>
      </c>
      <c r="M7382" t="n">
        <v>0</v>
      </c>
      <c r="N7382" t="n">
        <v>0</v>
      </c>
      <c r="O7382" t="n">
        <v>0</v>
      </c>
      <c r="P7382" t="n">
        <v>0</v>
      </c>
      <c r="Q7382" t="n">
        <v>0</v>
      </c>
      <c r="R7382" t="n">
        <v>0</v>
      </c>
      <c r="S7382" t="n">
        <v>0</v>
      </c>
      <c r="T7382" t="n">
        <v>0</v>
      </c>
      <c r="U7382" t="n">
        <v>0</v>
      </c>
      <c r="V7382" s="2" t="inlineStr"/>
    </row>
    <row r="7383" ht="15" customHeight="1">
      <c r="A7383" t="inlineStr">
        <is>
          <t>A 95-2026</t>
        </is>
      </c>
      <c r="B7383" t="inlineStr">
        <is>
          <t>avverkningsanmälan</t>
        </is>
      </c>
      <c r="C7383" t="inlineStr">
        <is>
          <t>Föryngringsavverkning</t>
        </is>
      </c>
      <c r="D7383" s="1" t="n">
        <v>46024</v>
      </c>
      <c r="E7383" s="1" t="n">
        <v>46326</v>
      </c>
      <c r="F7383" t="inlineStr">
        <is>
          <t>GÄVLEBORGS LÄN</t>
        </is>
      </c>
      <c r="G7383" t="inlineStr">
        <is>
          <t>HUDIKSVALL</t>
        </is>
      </c>
      <c r="I7383" t="n">
        <v>1</v>
      </c>
      <c r="J7383" t="n">
        <v>0</v>
      </c>
      <c r="K7383" t="n">
        <v>0</v>
      </c>
      <c r="L7383" t="n">
        <v>0</v>
      </c>
      <c r="M7383" t="n">
        <v>0</v>
      </c>
      <c r="N7383" t="n">
        <v>0</v>
      </c>
      <c r="O7383" t="n">
        <v>0</v>
      </c>
      <c r="P7383" t="n">
        <v>0</v>
      </c>
      <c r="Q7383" t="n">
        <v>0</v>
      </c>
      <c r="R7383" t="n">
        <v>0</v>
      </c>
      <c r="S7383" t="n">
        <v>0</v>
      </c>
      <c r="T7383" t="n">
        <v>0</v>
      </c>
      <c r="U7383" t="n">
        <v>0</v>
      </c>
      <c r="V7383" s="2" t="inlineStr"/>
    </row>
    <row r="7384" ht="15" customHeight="1">
      <c r="A7384" t="inlineStr">
        <is>
          <t>A 40453-2024</t>
        </is>
      </c>
      <c r="B7384" t="inlineStr">
        <is>
          <t>avverkningsanmälan</t>
        </is>
      </c>
      <c r="C7384" t="inlineStr">
        <is>
          <t>Föryngringsavverkning</t>
        </is>
      </c>
      <c r="D7384" s="1" t="n">
        <v>45555</v>
      </c>
      <c r="E7384" s="1" t="n">
        <v>46326</v>
      </c>
      <c r="F7384" t="inlineStr">
        <is>
          <t>GÄVLEBORGS LÄN</t>
        </is>
      </c>
      <c r="G7384" t="inlineStr">
        <is>
          <t>BOLLNÄS</t>
        </is>
      </c>
      <c r="I7384" t="n">
        <v>1</v>
      </c>
      <c r="J7384" t="n">
        <v>0</v>
      </c>
      <c r="K7384" t="n">
        <v>0</v>
      </c>
      <c r="L7384" t="n">
        <v>0</v>
      </c>
      <c r="M7384" t="n">
        <v>0</v>
      </c>
      <c r="N7384" t="n">
        <v>0</v>
      </c>
      <c r="O7384" t="n">
        <v>0</v>
      </c>
      <c r="P7384" t="n">
        <v>0</v>
      </c>
      <c r="Q7384" t="n">
        <v>0</v>
      </c>
      <c r="R7384" t="n">
        <v>0</v>
      </c>
      <c r="S7384" t="n">
        <v>0</v>
      </c>
      <c r="T7384" t="n">
        <v>0</v>
      </c>
      <c r="U7384" t="n">
        <v>0</v>
      </c>
      <c r="V7384" s="2" t="inlineStr"/>
    </row>
    <row r="7385" ht="15" customHeight="1">
      <c r="A7385" t="inlineStr">
        <is>
          <t>A 867-2026</t>
        </is>
      </c>
      <c r="B7385" t="inlineStr">
        <is>
          <t>avverkningsanmälan</t>
        </is>
      </c>
      <c r="C7385" t="inlineStr">
        <is>
          <t>Föryngringsavverkning</t>
        </is>
      </c>
      <c r="D7385" s="1" t="n">
        <v>46030</v>
      </c>
      <c r="E7385" s="1" t="n">
        <v>46326</v>
      </c>
      <c r="F7385" t="inlineStr">
        <is>
          <t>GÄVLEBORGS LÄN</t>
        </is>
      </c>
      <c r="G7385" t="inlineStr">
        <is>
          <t>SANDVIKEN</t>
        </is>
      </c>
      <c r="I7385" t="n">
        <v>3.2</v>
      </c>
      <c r="J7385" t="n">
        <v>0</v>
      </c>
      <c r="K7385" t="n">
        <v>0</v>
      </c>
      <c r="L7385" t="n">
        <v>0</v>
      </c>
      <c r="M7385" t="n">
        <v>0</v>
      </c>
      <c r="N7385" t="n">
        <v>0</v>
      </c>
      <c r="O7385" t="n">
        <v>0</v>
      </c>
      <c r="P7385" t="n">
        <v>0</v>
      </c>
      <c r="Q7385" t="n">
        <v>0</v>
      </c>
      <c r="R7385" t="n">
        <v>0</v>
      </c>
      <c r="S7385" t="n">
        <v>0</v>
      </c>
      <c r="T7385" t="n">
        <v>0</v>
      </c>
      <c r="U7385" t="n">
        <v>0</v>
      </c>
      <c r="V7385" s="2" t="inlineStr"/>
    </row>
    <row r="7386" ht="15" customHeight="1">
      <c r="A7386" t="inlineStr">
        <is>
          <t>A 7441-2025</t>
        </is>
      </c>
      <c r="B7386" t="inlineStr">
        <is>
          <t>avverkningsanmälan</t>
        </is>
      </c>
      <c r="C7386" t="inlineStr">
        <is>
          <t>Föryngringsavverkning</t>
        </is>
      </c>
      <c r="D7386" s="1" t="n">
        <v>45705</v>
      </c>
      <c r="E7386" s="1" t="n">
        <v>46326</v>
      </c>
      <c r="F7386" t="inlineStr">
        <is>
          <t>GÄVLEBORGS LÄN</t>
        </is>
      </c>
      <c r="G7386" t="inlineStr">
        <is>
          <t>GÄVLE</t>
        </is>
      </c>
      <c r="I7386" t="n">
        <v>2.9</v>
      </c>
      <c r="J7386" t="n">
        <v>0</v>
      </c>
      <c r="K7386" t="n">
        <v>0</v>
      </c>
      <c r="L7386" t="n">
        <v>0</v>
      </c>
      <c r="M7386" t="n">
        <v>0</v>
      </c>
      <c r="N7386" t="n">
        <v>0</v>
      </c>
      <c r="O7386" t="n">
        <v>0</v>
      </c>
      <c r="P7386" t="n">
        <v>0</v>
      </c>
      <c r="Q7386" t="n">
        <v>0</v>
      </c>
      <c r="R7386" t="n">
        <v>0</v>
      </c>
      <c r="S7386" t="n">
        <v>0</v>
      </c>
      <c r="T7386" t="n">
        <v>0</v>
      </c>
      <c r="U7386" t="n">
        <v>0</v>
      </c>
      <c r="V7386" s="2" t="inlineStr"/>
    </row>
    <row r="7387" ht="15" customHeight="1">
      <c r="A7387" t="inlineStr">
        <is>
          <t>A 4164-2026</t>
        </is>
      </c>
      <c r="B7387" t="inlineStr">
        <is>
          <t>avverkningsanmälan</t>
        </is>
      </c>
      <c r="C7387" t="inlineStr">
        <is>
          <t>Föryngringsavverkning</t>
        </is>
      </c>
      <c r="D7387" s="1" t="n">
        <v>46044</v>
      </c>
      <c r="E7387" s="1" t="n">
        <v>46326</v>
      </c>
      <c r="F7387" t="inlineStr">
        <is>
          <t>GÄVLEBORGS LÄN</t>
        </is>
      </c>
      <c r="G7387" t="inlineStr">
        <is>
          <t>OVANÅKER</t>
        </is>
      </c>
      <c r="I7387" t="n">
        <v>1.8</v>
      </c>
      <c r="J7387" t="n">
        <v>0</v>
      </c>
      <c r="K7387" t="n">
        <v>0</v>
      </c>
      <c r="L7387" t="n">
        <v>0</v>
      </c>
      <c r="M7387" t="n">
        <v>0</v>
      </c>
      <c r="N7387" t="n">
        <v>0</v>
      </c>
      <c r="O7387" t="n">
        <v>0</v>
      </c>
      <c r="P7387" t="n">
        <v>0</v>
      </c>
      <c r="Q7387" t="n">
        <v>0</v>
      </c>
      <c r="R7387" t="n">
        <v>0</v>
      </c>
      <c r="S7387" t="n">
        <v>0</v>
      </c>
      <c r="T7387" t="n">
        <v>0</v>
      </c>
      <c r="U7387" t="n">
        <v>0</v>
      </c>
      <c r="V7387" s="2" t="inlineStr"/>
    </row>
    <row r="7388" ht="15" customHeight="1">
      <c r="A7388" t="inlineStr">
        <is>
          <t>A 4217-2026</t>
        </is>
      </c>
      <c r="B7388" t="inlineStr">
        <is>
          <t>avverkningsanmälan</t>
        </is>
      </c>
      <c r="C7388" t="inlineStr">
        <is>
          <t>Föryngringsavverkning</t>
        </is>
      </c>
      <c r="D7388" s="1" t="n">
        <v>46044</v>
      </c>
      <c r="E7388" s="1" t="n">
        <v>46326</v>
      </c>
      <c r="F7388" t="inlineStr">
        <is>
          <t>GÄVLEBORGS LÄN</t>
        </is>
      </c>
      <c r="G7388" t="inlineStr">
        <is>
          <t>HUDIKSVALL</t>
        </is>
      </c>
      <c r="I7388" t="n">
        <v>4.6</v>
      </c>
      <c r="J7388" t="n">
        <v>0</v>
      </c>
      <c r="K7388" t="n">
        <v>0</v>
      </c>
      <c r="L7388" t="n">
        <v>0</v>
      </c>
      <c r="M7388" t="n">
        <v>0</v>
      </c>
      <c r="N7388" t="n">
        <v>0</v>
      </c>
      <c r="O7388" t="n">
        <v>0</v>
      </c>
      <c r="P7388" t="n">
        <v>0</v>
      </c>
      <c r="Q7388" t="n">
        <v>0</v>
      </c>
      <c r="R7388" t="n">
        <v>0</v>
      </c>
      <c r="S7388" t="n">
        <v>0</v>
      </c>
      <c r="T7388" t="n">
        <v>0</v>
      </c>
      <c r="U7388" t="n">
        <v>0</v>
      </c>
      <c r="V7388" s="2" t="inlineStr"/>
    </row>
    <row r="7389" ht="15" customHeight="1">
      <c r="A7389" t="inlineStr">
        <is>
          <t>A 15514-2026</t>
        </is>
      </c>
      <c r="B7389" t="inlineStr">
        <is>
          <t>avverkningsanmälan</t>
        </is>
      </c>
      <c r="C7389" t="inlineStr">
        <is>
          <t>Föryngringsavverkning</t>
        </is>
      </c>
      <c r="D7389" s="1" t="n">
        <v>46106</v>
      </c>
      <c r="E7389" s="1" t="n">
        <v>46326</v>
      </c>
      <c r="F7389" t="inlineStr">
        <is>
          <t>GÄVLEBORGS LÄN</t>
        </is>
      </c>
      <c r="G7389" t="inlineStr">
        <is>
          <t>BOLLNÄS</t>
        </is>
      </c>
      <c r="I7389" t="n">
        <v>7.5</v>
      </c>
      <c r="J7389" t="n">
        <v>0</v>
      </c>
      <c r="K7389" t="n">
        <v>0</v>
      </c>
      <c r="L7389" t="n">
        <v>0</v>
      </c>
      <c r="M7389" t="n">
        <v>0</v>
      </c>
      <c r="N7389" t="n">
        <v>0</v>
      </c>
      <c r="O7389" t="n">
        <v>0</v>
      </c>
      <c r="P7389" t="n">
        <v>0</v>
      </c>
      <c r="Q7389" t="n">
        <v>0</v>
      </c>
      <c r="R7389" t="n">
        <v>0</v>
      </c>
      <c r="S7389" t="n">
        <v>0</v>
      </c>
      <c r="T7389" t="n">
        <v>0</v>
      </c>
      <c r="U7389" t="n">
        <v>0</v>
      </c>
      <c r="V7389" s="2" t="inlineStr"/>
    </row>
    <row r="7390" ht="15" customHeight="1">
      <c r="A7390" t="inlineStr">
        <is>
          <t>A 13141-2024</t>
        </is>
      </c>
      <c r="B7390" t="inlineStr">
        <is>
          <t>avverkningsanmälan</t>
        </is>
      </c>
      <c r="C7390" t="inlineStr">
        <is>
          <t>Föryngringsavverkning</t>
        </is>
      </c>
      <c r="D7390" s="1" t="n">
        <v>45386</v>
      </c>
      <c r="E7390" s="1" t="n">
        <v>46326</v>
      </c>
      <c r="F7390" t="inlineStr">
        <is>
          <t>GÄVLEBORGS LÄN</t>
        </is>
      </c>
      <c r="G7390" t="inlineStr">
        <is>
          <t>OVANÅKER</t>
        </is>
      </c>
      <c r="I7390" t="n">
        <v>4.6</v>
      </c>
      <c r="J7390" t="n">
        <v>0</v>
      </c>
      <c r="K7390" t="n">
        <v>0</v>
      </c>
      <c r="L7390" t="n">
        <v>0</v>
      </c>
      <c r="M7390" t="n">
        <v>0</v>
      </c>
      <c r="N7390" t="n">
        <v>0</v>
      </c>
      <c r="O7390" t="n">
        <v>0</v>
      </c>
      <c r="P7390" t="n">
        <v>0</v>
      </c>
      <c r="Q7390" t="n">
        <v>0</v>
      </c>
      <c r="R7390" t="n">
        <v>0</v>
      </c>
      <c r="S7390" t="n">
        <v>0</v>
      </c>
      <c r="T7390" t="n">
        <v>0</v>
      </c>
      <c r="U7390" t="n">
        <v>0</v>
      </c>
      <c r="V7390" s="2" t="inlineStr"/>
    </row>
    <row r="7391" ht="15" customHeight="1">
      <c r="A7391" t="inlineStr">
        <is>
          <t>A 32123-2024</t>
        </is>
      </c>
      <c r="B7391" t="inlineStr">
        <is>
          <t>avverkningsanmälan</t>
        </is>
      </c>
      <c r="C7391" t="inlineStr">
        <is>
          <t>Föryngringsavverkning</t>
        </is>
      </c>
      <c r="D7391" s="1" t="n">
        <v>45511</v>
      </c>
      <c r="E7391" s="1" t="n">
        <v>46326</v>
      </c>
      <c r="F7391" t="inlineStr">
        <is>
          <t>GÄVLEBORGS LÄN</t>
        </is>
      </c>
      <c r="G7391" t="inlineStr">
        <is>
          <t>OCKELBO</t>
        </is>
      </c>
      <c r="I7391" t="n">
        <v>11</v>
      </c>
      <c r="J7391" t="n">
        <v>0</v>
      </c>
      <c r="K7391" t="n">
        <v>0</v>
      </c>
      <c r="L7391" t="n">
        <v>0</v>
      </c>
      <c r="M7391" t="n">
        <v>0</v>
      </c>
      <c r="N7391" t="n">
        <v>0</v>
      </c>
      <c r="O7391" t="n">
        <v>0</v>
      </c>
      <c r="P7391" t="n">
        <v>0</v>
      </c>
      <c r="Q7391" t="n">
        <v>0</v>
      </c>
      <c r="R7391" t="n">
        <v>0</v>
      </c>
      <c r="S7391" t="n">
        <v>0</v>
      </c>
      <c r="T7391" t="n">
        <v>0</v>
      </c>
      <c r="U7391" t="n">
        <v>0</v>
      </c>
      <c r="V7391" s="2" t="inlineStr"/>
    </row>
    <row r="7392" ht="15" customHeight="1">
      <c r="A7392" t="inlineStr">
        <is>
          <t>A 10157-2026</t>
        </is>
      </c>
      <c r="B7392" t="inlineStr">
        <is>
          <t>avverkningsanmälan</t>
        </is>
      </c>
      <c r="C7392" t="inlineStr">
        <is>
          <t>Föryngringsavverkning</t>
        </is>
      </c>
      <c r="D7392" s="1" t="n">
        <v>46076</v>
      </c>
      <c r="E7392" s="1" t="n">
        <v>46326</v>
      </c>
      <c r="F7392" t="inlineStr">
        <is>
          <t>GÄVLEBORGS LÄN</t>
        </is>
      </c>
      <c r="G7392" t="inlineStr">
        <is>
          <t>HUDIKSVALL</t>
        </is>
      </c>
      <c r="H7392" t="inlineStr">
        <is>
          <t>Holmen skog AB</t>
        </is>
      </c>
      <c r="I7392" t="n">
        <v>2.4</v>
      </c>
      <c r="J7392" t="n">
        <v>0</v>
      </c>
      <c r="K7392" t="n">
        <v>0</v>
      </c>
      <c r="L7392" t="n">
        <v>0</v>
      </c>
      <c r="M7392" t="n">
        <v>0</v>
      </c>
      <c r="N7392" t="n">
        <v>0</v>
      </c>
      <c r="O7392" t="n">
        <v>0</v>
      </c>
      <c r="P7392" t="n">
        <v>0</v>
      </c>
      <c r="Q7392" t="n">
        <v>0</v>
      </c>
      <c r="R7392" t="n">
        <v>0</v>
      </c>
      <c r="S7392" t="n">
        <v>0</v>
      </c>
      <c r="T7392" t="n">
        <v>0</v>
      </c>
      <c r="U7392" t="n">
        <v>0</v>
      </c>
      <c r="V7392" s="2" t="inlineStr"/>
    </row>
    <row r="7393" ht="15" customHeight="1">
      <c r="A7393" t="inlineStr">
        <is>
          <t>A 21966-2025</t>
        </is>
      </c>
      <c r="B7393" t="inlineStr">
        <is>
          <t>avverkningsanmälan</t>
        </is>
      </c>
      <c r="C7393" t="inlineStr">
        <is>
          <t>Föryngringsavverkning</t>
        </is>
      </c>
      <c r="D7393" s="1" t="n">
        <v>45784</v>
      </c>
      <c r="E7393" s="1" t="n">
        <v>46326</v>
      </c>
      <c r="F7393" t="inlineStr">
        <is>
          <t>GÄVLEBORGS LÄN</t>
        </is>
      </c>
      <c r="G7393" t="inlineStr">
        <is>
          <t>GÄVLE</t>
        </is>
      </c>
      <c r="I7393" t="n">
        <v>1.1</v>
      </c>
      <c r="J7393" t="n">
        <v>0</v>
      </c>
      <c r="K7393" t="n">
        <v>0</v>
      </c>
      <c r="L7393" t="n">
        <v>0</v>
      </c>
      <c r="M7393" t="n">
        <v>0</v>
      </c>
      <c r="N7393" t="n">
        <v>0</v>
      </c>
      <c r="O7393" t="n">
        <v>0</v>
      </c>
      <c r="P7393" t="n">
        <v>0</v>
      </c>
      <c r="Q7393" t="n">
        <v>0</v>
      </c>
      <c r="R7393" t="n">
        <v>0</v>
      </c>
      <c r="S7393" t="n">
        <v>0</v>
      </c>
      <c r="T7393" t="n">
        <v>0</v>
      </c>
      <c r="U7393" t="n">
        <v>0</v>
      </c>
      <c r="V7393" s="2" t="inlineStr"/>
    </row>
    <row r="7394" ht="15" customHeight="1">
      <c r="A7394" t="inlineStr">
        <is>
          <t>A 30953-2025</t>
        </is>
      </c>
      <c r="B7394" t="inlineStr">
        <is>
          <t>avverkningsanmälan</t>
        </is>
      </c>
      <c r="C7394" t="inlineStr">
        <is>
          <t>Föryngringsavverkning</t>
        </is>
      </c>
      <c r="D7394" s="1" t="n">
        <v>45832</v>
      </c>
      <c r="E7394" s="1" t="n">
        <v>46326</v>
      </c>
      <c r="F7394" t="inlineStr">
        <is>
          <t>GÄVLEBORGS LÄN</t>
        </is>
      </c>
      <c r="G7394" t="inlineStr">
        <is>
          <t>OVANÅKER</t>
        </is>
      </c>
      <c r="I7394" t="n">
        <v>15.3</v>
      </c>
      <c r="J7394" t="n">
        <v>0</v>
      </c>
      <c r="K7394" t="n">
        <v>0</v>
      </c>
      <c r="L7394" t="n">
        <v>0</v>
      </c>
      <c r="M7394" t="n">
        <v>0</v>
      </c>
      <c r="N7394" t="n">
        <v>0</v>
      </c>
      <c r="O7394" t="n">
        <v>0</v>
      </c>
      <c r="P7394" t="n">
        <v>0</v>
      </c>
      <c r="Q7394" t="n">
        <v>0</v>
      </c>
      <c r="R7394" t="n">
        <v>0</v>
      </c>
      <c r="S7394" t="n">
        <v>0</v>
      </c>
      <c r="T7394" t="n">
        <v>0</v>
      </c>
      <c r="U7394" t="n">
        <v>0</v>
      </c>
      <c r="V7394" s="2" t="inlineStr"/>
    </row>
    <row r="7395" ht="15" customHeight="1">
      <c r="A7395" t="inlineStr">
        <is>
          <t>A 22784-2025</t>
        </is>
      </c>
      <c r="B7395" t="inlineStr">
        <is>
          <t>avverkningsanmälan</t>
        </is>
      </c>
      <c r="C7395" t="inlineStr">
        <is>
          <t>Föryngringsavverkning</t>
        </is>
      </c>
      <c r="D7395" s="1" t="n">
        <v>45789</v>
      </c>
      <c r="E7395" s="1" t="n">
        <v>46326</v>
      </c>
      <c r="F7395" t="inlineStr">
        <is>
          <t>GÄVLEBORGS LÄN</t>
        </is>
      </c>
      <c r="G7395" t="inlineStr">
        <is>
          <t>NORDANSTIG</t>
        </is>
      </c>
      <c r="H7395" t="inlineStr">
        <is>
          <t>Holmen skog AB</t>
        </is>
      </c>
      <c r="I7395" t="n">
        <v>55.6</v>
      </c>
      <c r="J7395" t="n">
        <v>0</v>
      </c>
      <c r="K7395" t="n">
        <v>0</v>
      </c>
      <c r="L7395" t="n">
        <v>0</v>
      </c>
      <c r="M7395" t="n">
        <v>0</v>
      </c>
      <c r="N7395" t="n">
        <v>0</v>
      </c>
      <c r="O7395" t="n">
        <v>0</v>
      </c>
      <c r="P7395" t="n">
        <v>0</v>
      </c>
      <c r="Q7395" t="n">
        <v>0</v>
      </c>
      <c r="R7395" t="n">
        <v>0</v>
      </c>
      <c r="S7395" t="n">
        <v>0</v>
      </c>
      <c r="T7395" t="n">
        <v>0</v>
      </c>
      <c r="U7395" t="n">
        <v>0</v>
      </c>
      <c r="V7395" s="2" t="inlineStr"/>
    </row>
    <row r="7396" ht="15" customHeight="1">
      <c r="A7396" t="inlineStr">
        <is>
          <t>A 13625-2026</t>
        </is>
      </c>
      <c r="B7396" t="inlineStr">
        <is>
          <t>avverkningsanmälan</t>
        </is>
      </c>
      <c r="C7396" t="inlineStr">
        <is>
          <t>Föryngringsavverkning</t>
        </is>
      </c>
      <c r="D7396" s="1" t="n">
        <v>46097</v>
      </c>
      <c r="E7396" s="1" t="n">
        <v>46326</v>
      </c>
      <c r="F7396" t="inlineStr">
        <is>
          <t>GÄVLEBORGS LÄN</t>
        </is>
      </c>
      <c r="G7396" t="inlineStr">
        <is>
          <t>BOLLNÄS</t>
        </is>
      </c>
      <c r="I7396" t="n">
        <v>3.6</v>
      </c>
      <c r="J7396" t="n">
        <v>0</v>
      </c>
      <c r="K7396" t="n">
        <v>0</v>
      </c>
      <c r="L7396" t="n">
        <v>0</v>
      </c>
      <c r="M7396" t="n">
        <v>0</v>
      </c>
      <c r="N7396" t="n">
        <v>0</v>
      </c>
      <c r="O7396" t="n">
        <v>0</v>
      </c>
      <c r="P7396" t="n">
        <v>0</v>
      </c>
      <c r="Q7396" t="n">
        <v>0</v>
      </c>
      <c r="R7396" t="n">
        <v>0</v>
      </c>
      <c r="S7396" t="n">
        <v>0</v>
      </c>
      <c r="T7396" t="n">
        <v>0</v>
      </c>
      <c r="U7396" t="n">
        <v>0</v>
      </c>
      <c r="V7396" s="2" t="inlineStr"/>
    </row>
    <row r="7397" ht="15" customHeight="1">
      <c r="A7397" t="inlineStr">
        <is>
          <t>A 40140-2022</t>
        </is>
      </c>
      <c r="B7397" t="inlineStr">
        <is>
          <t>avverkningsanmälan</t>
        </is>
      </c>
      <c r="C7397" t="inlineStr">
        <is>
          <t>Föryngringsavverkning</t>
        </is>
      </c>
      <c r="D7397" s="1" t="n">
        <v>44820</v>
      </c>
      <c r="E7397" s="1" t="n">
        <v>46326</v>
      </c>
      <c r="F7397" t="inlineStr">
        <is>
          <t>GÄVLEBORGS LÄN</t>
        </is>
      </c>
      <c r="G7397" t="inlineStr">
        <is>
          <t>OCKELBO</t>
        </is>
      </c>
      <c r="H7397" t="inlineStr">
        <is>
          <t>Bergvik skog väst AB</t>
        </is>
      </c>
      <c r="I7397" t="n">
        <v>2.3</v>
      </c>
      <c r="J7397" t="n">
        <v>0</v>
      </c>
      <c r="K7397" t="n">
        <v>0</v>
      </c>
      <c r="L7397" t="n">
        <v>0</v>
      </c>
      <c r="M7397" t="n">
        <v>0</v>
      </c>
      <c r="N7397" t="n">
        <v>0</v>
      </c>
      <c r="O7397" t="n">
        <v>0</v>
      </c>
      <c r="P7397" t="n">
        <v>0</v>
      </c>
      <c r="Q7397" t="n">
        <v>0</v>
      </c>
      <c r="R7397" t="n">
        <v>0</v>
      </c>
      <c r="S7397" t="n">
        <v>0</v>
      </c>
      <c r="T7397" t="n">
        <v>0</v>
      </c>
      <c r="U7397" t="n">
        <v>0</v>
      </c>
      <c r="V7397" s="2" t="inlineStr"/>
    </row>
    <row r="7398" ht="15" customHeight="1">
      <c r="A7398" t="inlineStr">
        <is>
          <t>A 20411-2026</t>
        </is>
      </c>
      <c r="B7398" t="inlineStr">
        <is>
          <t>avverkningsanmälan</t>
        </is>
      </c>
      <c r="C7398" t="inlineStr">
        <is>
          <t>Föryngringsavverkning</t>
        </is>
      </c>
      <c r="D7398" s="1" t="n">
        <v>46140</v>
      </c>
      <c r="E7398" s="1" t="n">
        <v>46326</v>
      </c>
      <c r="F7398" t="inlineStr">
        <is>
          <t>GÄVLEBORGS LÄN</t>
        </is>
      </c>
      <c r="G7398" t="inlineStr">
        <is>
          <t>HUDIKSVALL</t>
        </is>
      </c>
      <c r="I7398" t="n">
        <v>2.6</v>
      </c>
      <c r="J7398" t="n">
        <v>0</v>
      </c>
      <c r="K7398" t="n">
        <v>0</v>
      </c>
      <c r="L7398" t="n">
        <v>0</v>
      </c>
      <c r="M7398" t="n">
        <v>0</v>
      </c>
      <c r="N7398" t="n">
        <v>0</v>
      </c>
      <c r="O7398" t="n">
        <v>0</v>
      </c>
      <c r="P7398" t="n">
        <v>0</v>
      </c>
      <c r="Q7398" t="n">
        <v>0</v>
      </c>
      <c r="R7398" t="n">
        <v>0</v>
      </c>
      <c r="S7398" t="n">
        <v>0</v>
      </c>
      <c r="T7398" t="n">
        <v>0</v>
      </c>
      <c r="U7398" t="n">
        <v>0</v>
      </c>
      <c r="V7398" s="2" t="inlineStr"/>
    </row>
    <row r="7399" ht="15" customHeight="1">
      <c r="A7399" t="inlineStr">
        <is>
          <t>A 20413-2026</t>
        </is>
      </c>
      <c r="B7399" t="inlineStr">
        <is>
          <t>avverkningsanmälan</t>
        </is>
      </c>
      <c r="C7399" t="inlineStr">
        <is>
          <t>Föryngringsavverkning</t>
        </is>
      </c>
      <c r="D7399" s="1" t="n">
        <v>46140</v>
      </c>
      <c r="E7399" s="1" t="n">
        <v>46326</v>
      </c>
      <c r="F7399" t="inlineStr">
        <is>
          <t>GÄVLEBORGS LÄN</t>
        </is>
      </c>
      <c r="G7399" t="inlineStr">
        <is>
          <t>BOLLNÄS</t>
        </is>
      </c>
      <c r="H7399" t="inlineStr">
        <is>
          <t>Bergvik skog väst AB</t>
        </is>
      </c>
      <c r="I7399" t="n">
        <v>0.5</v>
      </c>
      <c r="J7399" t="n">
        <v>0</v>
      </c>
      <c r="K7399" t="n">
        <v>0</v>
      </c>
      <c r="L7399" t="n">
        <v>0</v>
      </c>
      <c r="M7399" t="n">
        <v>0</v>
      </c>
      <c r="N7399" t="n">
        <v>0</v>
      </c>
      <c r="O7399" t="n">
        <v>0</v>
      </c>
      <c r="P7399" t="n">
        <v>0</v>
      </c>
      <c r="Q7399" t="n">
        <v>0</v>
      </c>
      <c r="R7399" t="n">
        <v>0</v>
      </c>
      <c r="S7399" t="n">
        <v>0</v>
      </c>
      <c r="T7399" t="n">
        <v>0</v>
      </c>
      <c r="U7399" t="n">
        <v>0</v>
      </c>
      <c r="V7399" s="2" t="inlineStr"/>
    </row>
    <row r="7400" ht="15" customHeight="1">
      <c r="A7400" t="inlineStr">
        <is>
          <t>A 6499-2026</t>
        </is>
      </c>
      <c r="B7400" t="inlineStr">
        <is>
          <t>avverkningsanmälan</t>
        </is>
      </c>
      <c r="C7400" t="inlineStr">
        <is>
          <t>Föryngringsavverkning</t>
        </is>
      </c>
      <c r="D7400" s="1" t="n">
        <v>46056</v>
      </c>
      <c r="E7400" s="1" t="n">
        <v>46326</v>
      </c>
      <c r="F7400" t="inlineStr">
        <is>
          <t>GÄVLEBORGS LÄN</t>
        </is>
      </c>
      <c r="G7400" t="inlineStr">
        <is>
          <t>OCKELBO</t>
        </is>
      </c>
      <c r="I7400" t="n">
        <v>2.6</v>
      </c>
      <c r="J7400" t="n">
        <v>0</v>
      </c>
      <c r="K7400" t="n">
        <v>0</v>
      </c>
      <c r="L7400" t="n">
        <v>0</v>
      </c>
      <c r="M7400" t="n">
        <v>0</v>
      </c>
      <c r="N7400" t="n">
        <v>0</v>
      </c>
      <c r="O7400" t="n">
        <v>0</v>
      </c>
      <c r="P7400" t="n">
        <v>0</v>
      </c>
      <c r="Q7400" t="n">
        <v>0</v>
      </c>
      <c r="R7400" t="n">
        <v>0</v>
      </c>
      <c r="S7400" t="n">
        <v>0</v>
      </c>
      <c r="T7400" t="n">
        <v>0</v>
      </c>
      <c r="U7400" t="n">
        <v>0</v>
      </c>
      <c r="V7400" s="2" t="inlineStr"/>
    </row>
    <row r="7401" ht="15" customHeight="1">
      <c r="A7401" t="inlineStr">
        <is>
          <t>A 6518-2026</t>
        </is>
      </c>
      <c r="B7401" t="inlineStr">
        <is>
          <t>avverkningsanmälan</t>
        </is>
      </c>
      <c r="C7401" t="inlineStr">
        <is>
          <t>Föryngringsavverkning</t>
        </is>
      </c>
      <c r="D7401" s="1" t="n">
        <v>46052</v>
      </c>
      <c r="E7401" s="1" t="n">
        <v>46326</v>
      </c>
      <c r="F7401" t="inlineStr">
        <is>
          <t>GÄVLEBORGS LÄN</t>
        </is>
      </c>
      <c r="G7401" t="inlineStr">
        <is>
          <t>OCKELBO</t>
        </is>
      </c>
      <c r="I7401" t="n">
        <v>5</v>
      </c>
      <c r="J7401" t="n">
        <v>0</v>
      </c>
      <c r="K7401" t="n">
        <v>0</v>
      </c>
      <c r="L7401" t="n">
        <v>0</v>
      </c>
      <c r="M7401" t="n">
        <v>0</v>
      </c>
      <c r="N7401" t="n">
        <v>0</v>
      </c>
      <c r="O7401" t="n">
        <v>0</v>
      </c>
      <c r="P7401" t="n">
        <v>0</v>
      </c>
      <c r="Q7401" t="n">
        <v>0</v>
      </c>
      <c r="R7401" t="n">
        <v>0</v>
      </c>
      <c r="S7401" t="n">
        <v>0</v>
      </c>
      <c r="T7401" t="n">
        <v>0</v>
      </c>
      <c r="U7401" t="n">
        <v>0</v>
      </c>
      <c r="V7401" s="2" t="inlineStr"/>
    </row>
    <row r="7402" ht="15" customHeight="1">
      <c r="A7402" t="inlineStr">
        <is>
          <t>A 19090-2026</t>
        </is>
      </c>
      <c r="B7402" t="inlineStr">
        <is>
          <t>avverkningsanmälan</t>
        </is>
      </c>
      <c r="C7402" t="inlineStr">
        <is>
          <t>Föryngringsavverkning</t>
        </is>
      </c>
      <c r="D7402" s="1" t="n">
        <v>46132</v>
      </c>
      <c r="E7402" s="1" t="n">
        <v>46326</v>
      </c>
      <c r="F7402" t="inlineStr">
        <is>
          <t>GÄVLEBORGS LÄN</t>
        </is>
      </c>
      <c r="G7402" t="inlineStr">
        <is>
          <t>OVANÅKER</t>
        </is>
      </c>
      <c r="H7402" t="inlineStr">
        <is>
          <t>Bergvik skog öst AB</t>
        </is>
      </c>
      <c r="I7402" t="n">
        <v>3</v>
      </c>
      <c r="J7402" t="n">
        <v>0</v>
      </c>
      <c r="K7402" t="n">
        <v>0</v>
      </c>
      <c r="L7402" t="n">
        <v>0</v>
      </c>
      <c r="M7402" t="n">
        <v>0</v>
      </c>
      <c r="N7402" t="n">
        <v>0</v>
      </c>
      <c r="O7402" t="n">
        <v>0</v>
      </c>
      <c r="P7402" t="n">
        <v>0</v>
      </c>
      <c r="Q7402" t="n">
        <v>0</v>
      </c>
      <c r="R7402" t="n">
        <v>0</v>
      </c>
      <c r="S7402" t="n">
        <v>0</v>
      </c>
      <c r="T7402" t="n">
        <v>0</v>
      </c>
      <c r="U7402" t="n">
        <v>0</v>
      </c>
      <c r="V7402" s="2" t="inlineStr"/>
    </row>
    <row r="7403" ht="15" customHeight="1">
      <c r="A7403" t="inlineStr">
        <is>
          <t>A 16255-2026</t>
        </is>
      </c>
      <c r="B7403" t="inlineStr">
        <is>
          <t>avverkningsanmälan</t>
        </is>
      </c>
      <c r="C7403" t="inlineStr">
        <is>
          <t>Föryngringsavverkning</t>
        </is>
      </c>
      <c r="D7403" s="1" t="n">
        <v>46111</v>
      </c>
      <c r="E7403" s="1" t="n">
        <v>46326</v>
      </c>
      <c r="F7403" t="inlineStr">
        <is>
          <t>GÄVLEBORGS LÄN</t>
        </is>
      </c>
      <c r="G7403" t="inlineStr">
        <is>
          <t>OVANÅKER</t>
        </is>
      </c>
      <c r="H7403" t="inlineStr">
        <is>
          <t>Bergvik skog öst AB</t>
        </is>
      </c>
      <c r="I7403" t="n">
        <v>4.4</v>
      </c>
      <c r="J7403" t="n">
        <v>0</v>
      </c>
      <c r="K7403" t="n">
        <v>0</v>
      </c>
      <c r="L7403" t="n">
        <v>0</v>
      </c>
      <c r="M7403" t="n">
        <v>0</v>
      </c>
      <c r="N7403" t="n">
        <v>0</v>
      </c>
      <c r="O7403" t="n">
        <v>0</v>
      </c>
      <c r="P7403" t="n">
        <v>0</v>
      </c>
      <c r="Q7403" t="n">
        <v>0</v>
      </c>
      <c r="R7403" t="n">
        <v>0</v>
      </c>
      <c r="S7403" t="n">
        <v>0</v>
      </c>
      <c r="T7403" t="n">
        <v>0</v>
      </c>
      <c r="U7403" t="n">
        <v>0</v>
      </c>
      <c r="V7403" s="2" t="inlineStr"/>
    </row>
    <row r="7404" ht="15" customHeight="1">
      <c r="A7404" t="inlineStr">
        <is>
          <t>A 38883-2022</t>
        </is>
      </c>
      <c r="B7404" t="inlineStr">
        <is>
          <t>avverkningsanmälan</t>
        </is>
      </c>
      <c r="C7404" t="inlineStr">
        <is>
          <t>Föryngringsavverkning</t>
        </is>
      </c>
      <c r="D7404" s="1" t="n">
        <v>44816</v>
      </c>
      <c r="E7404" s="1" t="n">
        <v>46326</v>
      </c>
      <c r="F7404" t="inlineStr">
        <is>
          <t>GÄVLEBORGS LÄN</t>
        </is>
      </c>
      <c r="G7404" t="inlineStr">
        <is>
          <t>BOLLNÄS</t>
        </is>
      </c>
      <c r="I7404" t="n">
        <v>1.6</v>
      </c>
      <c r="J7404" t="n">
        <v>0</v>
      </c>
      <c r="K7404" t="n">
        <v>0</v>
      </c>
      <c r="L7404" t="n">
        <v>0</v>
      </c>
      <c r="M7404" t="n">
        <v>0</v>
      </c>
      <c r="N7404" t="n">
        <v>0</v>
      </c>
      <c r="O7404" t="n">
        <v>0</v>
      </c>
      <c r="P7404" t="n">
        <v>0</v>
      </c>
      <c r="Q7404" t="n">
        <v>0</v>
      </c>
      <c r="R7404" t="n">
        <v>0</v>
      </c>
      <c r="S7404" t="n">
        <v>0</v>
      </c>
      <c r="T7404" t="n">
        <v>0</v>
      </c>
      <c r="U7404" t="n">
        <v>0</v>
      </c>
      <c r="V7404" s="2" t="inlineStr"/>
    </row>
    <row r="7405" ht="15" customHeight="1">
      <c r="A7405" t="inlineStr">
        <is>
          <t>A 250-2026</t>
        </is>
      </c>
      <c r="B7405" t="inlineStr">
        <is>
          <t>avverkningsanmälan</t>
        </is>
      </c>
      <c r="C7405" t="inlineStr">
        <is>
          <t>Föryngringsavverkning</t>
        </is>
      </c>
      <c r="D7405" s="1" t="n">
        <v>46027</v>
      </c>
      <c r="E7405" s="1" t="n">
        <v>46326</v>
      </c>
      <c r="F7405" t="inlineStr">
        <is>
          <t>GÄVLEBORGS LÄN</t>
        </is>
      </c>
      <c r="G7405" t="inlineStr">
        <is>
          <t>BOLLNÄS</t>
        </is>
      </c>
      <c r="I7405" t="n">
        <v>2.1</v>
      </c>
      <c r="J7405" t="n">
        <v>0</v>
      </c>
      <c r="K7405" t="n">
        <v>0</v>
      </c>
      <c r="L7405" t="n">
        <v>0</v>
      </c>
      <c r="M7405" t="n">
        <v>0</v>
      </c>
      <c r="N7405" t="n">
        <v>0</v>
      </c>
      <c r="O7405" t="n">
        <v>0</v>
      </c>
      <c r="P7405" t="n">
        <v>0</v>
      </c>
      <c r="Q7405" t="n">
        <v>0</v>
      </c>
      <c r="R7405" t="n">
        <v>0</v>
      </c>
      <c r="S7405" t="n">
        <v>0</v>
      </c>
      <c r="T7405" t="n">
        <v>0</v>
      </c>
      <c r="U7405" t="n">
        <v>0</v>
      </c>
      <c r="V7405" s="2" t="inlineStr"/>
    </row>
    <row r="7406" ht="15" customHeight="1">
      <c r="A7406" t="inlineStr">
        <is>
          <t>A 20767-2026</t>
        </is>
      </c>
      <c r="B7406" t="inlineStr">
        <is>
          <t>avverkningsanmälan</t>
        </is>
      </c>
      <c r="C7406" t="inlineStr">
        <is>
          <t>Föryngringsavverkning</t>
        </is>
      </c>
      <c r="D7406" s="1" t="n">
        <v>46141</v>
      </c>
      <c r="E7406" s="1" t="n">
        <v>46326</v>
      </c>
      <c r="F7406" t="inlineStr">
        <is>
          <t>GÄVLEBORGS LÄN</t>
        </is>
      </c>
      <c r="G7406" t="inlineStr">
        <is>
          <t>BOLLNÄS</t>
        </is>
      </c>
      <c r="I7406" t="n">
        <v>3.2</v>
      </c>
      <c r="J7406" t="n">
        <v>0</v>
      </c>
      <c r="K7406" t="n">
        <v>0</v>
      </c>
      <c r="L7406" t="n">
        <v>0</v>
      </c>
      <c r="M7406" t="n">
        <v>0</v>
      </c>
      <c r="N7406" t="n">
        <v>0</v>
      </c>
      <c r="O7406" t="n">
        <v>0</v>
      </c>
      <c r="P7406" t="n">
        <v>0</v>
      </c>
      <c r="Q7406" t="n">
        <v>0</v>
      </c>
      <c r="R7406" t="n">
        <v>0</v>
      </c>
      <c r="S7406" t="n">
        <v>0</v>
      </c>
      <c r="T7406" t="n">
        <v>0</v>
      </c>
      <c r="U7406" t="n">
        <v>0</v>
      </c>
      <c r="V7406" s="2" t="inlineStr"/>
    </row>
    <row r="7407" ht="15" customHeight="1">
      <c r="A7407" t="inlineStr">
        <is>
          <t>A 8754-2023</t>
        </is>
      </c>
      <c r="B7407" t="inlineStr">
        <is>
          <t>avverkningsanmälan</t>
        </is>
      </c>
      <c r="C7407" t="inlineStr">
        <is>
          <t>Föryngringsavverkning</t>
        </is>
      </c>
      <c r="D7407" s="1" t="n">
        <v>44978</v>
      </c>
      <c r="E7407" s="1" t="n">
        <v>46326</v>
      </c>
      <c r="F7407" t="inlineStr">
        <is>
          <t>GÄVLEBORGS LÄN</t>
        </is>
      </c>
      <c r="G7407" t="inlineStr">
        <is>
          <t>HUDIKSVALL</t>
        </is>
      </c>
      <c r="I7407" t="n">
        <v>0.6</v>
      </c>
      <c r="J7407" t="n">
        <v>0</v>
      </c>
      <c r="K7407" t="n">
        <v>0</v>
      </c>
      <c r="L7407" t="n">
        <v>0</v>
      </c>
      <c r="M7407" t="n">
        <v>0</v>
      </c>
      <c r="N7407" t="n">
        <v>0</v>
      </c>
      <c r="O7407" t="n">
        <v>0</v>
      </c>
      <c r="P7407" t="n">
        <v>0</v>
      </c>
      <c r="Q7407" t="n">
        <v>0</v>
      </c>
      <c r="R7407" t="n">
        <v>0</v>
      </c>
      <c r="S7407" t="n">
        <v>0</v>
      </c>
      <c r="T7407" t="n">
        <v>0</v>
      </c>
      <c r="U7407" t="n">
        <v>0</v>
      </c>
      <c r="V7407" s="2" t="inlineStr"/>
    </row>
    <row r="7408" ht="15" customHeight="1">
      <c r="A7408" t="inlineStr">
        <is>
          <t>A 20770-2026</t>
        </is>
      </c>
      <c r="B7408" t="inlineStr">
        <is>
          <t>avverkningsanmälan</t>
        </is>
      </c>
      <c r="C7408" t="inlineStr">
        <is>
          <t>Föryngringsavverkning</t>
        </is>
      </c>
      <c r="D7408" s="1" t="n">
        <v>46141</v>
      </c>
      <c r="E7408" s="1" t="n">
        <v>46326</v>
      </c>
      <c r="F7408" t="inlineStr">
        <is>
          <t>GÄVLEBORGS LÄN</t>
        </is>
      </c>
      <c r="G7408" t="inlineStr">
        <is>
          <t>BOLLNÄS</t>
        </is>
      </c>
      <c r="I7408" t="n">
        <v>1</v>
      </c>
      <c r="J7408" t="n">
        <v>0</v>
      </c>
      <c r="K7408" t="n">
        <v>0</v>
      </c>
      <c r="L7408" t="n">
        <v>0</v>
      </c>
      <c r="M7408" t="n">
        <v>0</v>
      </c>
      <c r="N7408" t="n">
        <v>0</v>
      </c>
      <c r="O7408" t="n">
        <v>0</v>
      </c>
      <c r="P7408" t="n">
        <v>0</v>
      </c>
      <c r="Q7408" t="n">
        <v>0</v>
      </c>
      <c r="R7408" t="n">
        <v>0</v>
      </c>
      <c r="S7408" t="n">
        <v>0</v>
      </c>
      <c r="T7408" t="n">
        <v>0</v>
      </c>
      <c r="U7408" t="n">
        <v>0</v>
      </c>
      <c r="V7408" s="2" t="inlineStr"/>
    </row>
    <row r="7409" ht="15" customHeight="1">
      <c r="A7409" t="inlineStr">
        <is>
          <t>A 20791-2026</t>
        </is>
      </c>
      <c r="B7409" t="inlineStr">
        <is>
          <t>avverkningsanmälan</t>
        </is>
      </c>
      <c r="C7409" t="inlineStr">
        <is>
          <t>Föryngringsavverkning</t>
        </is>
      </c>
      <c r="D7409" s="1" t="n">
        <v>46141</v>
      </c>
      <c r="E7409" s="1" t="n">
        <v>46326</v>
      </c>
      <c r="F7409" t="inlineStr">
        <is>
          <t>GÄVLEBORGS LÄN</t>
        </is>
      </c>
      <c r="G7409" t="inlineStr">
        <is>
          <t>HUDIKSVALL</t>
        </is>
      </c>
      <c r="I7409" t="n">
        <v>2.5</v>
      </c>
      <c r="J7409" t="n">
        <v>0</v>
      </c>
      <c r="K7409" t="n">
        <v>0</v>
      </c>
      <c r="L7409" t="n">
        <v>0</v>
      </c>
      <c r="M7409" t="n">
        <v>0</v>
      </c>
      <c r="N7409" t="n">
        <v>0</v>
      </c>
      <c r="O7409" t="n">
        <v>0</v>
      </c>
      <c r="P7409" t="n">
        <v>0</v>
      </c>
      <c r="Q7409" t="n">
        <v>0</v>
      </c>
      <c r="R7409" t="n">
        <v>0</v>
      </c>
      <c r="S7409" t="n">
        <v>0</v>
      </c>
      <c r="T7409" t="n">
        <v>0</v>
      </c>
      <c r="U7409" t="n">
        <v>0</v>
      </c>
      <c r="V7409" s="2" t="inlineStr"/>
    </row>
    <row r="7410" ht="15" customHeight="1">
      <c r="A7410" t="inlineStr">
        <is>
          <t>A 10765-2026</t>
        </is>
      </c>
      <c r="B7410" t="inlineStr">
        <is>
          <t>avverkningsanmälan</t>
        </is>
      </c>
      <c r="C7410" t="inlineStr">
        <is>
          <t>Föryngringsavverkning</t>
        </is>
      </c>
      <c r="D7410" s="1" t="n">
        <v>46078</v>
      </c>
      <c r="E7410" s="1" t="n">
        <v>46326</v>
      </c>
      <c r="F7410" t="inlineStr">
        <is>
          <t>GÄVLEBORGS LÄN</t>
        </is>
      </c>
      <c r="G7410" t="inlineStr">
        <is>
          <t>OVANÅKER</t>
        </is>
      </c>
      <c r="H7410" t="inlineStr">
        <is>
          <t>Bergvik skog väst AB</t>
        </is>
      </c>
      <c r="I7410" t="n">
        <v>0.9</v>
      </c>
      <c r="J7410" t="n">
        <v>0</v>
      </c>
      <c r="K7410" t="n">
        <v>0</v>
      </c>
      <c r="L7410" t="n">
        <v>0</v>
      </c>
      <c r="M7410" t="n">
        <v>0</v>
      </c>
      <c r="N7410" t="n">
        <v>0</v>
      </c>
      <c r="O7410" t="n">
        <v>0</v>
      </c>
      <c r="P7410" t="n">
        <v>0</v>
      </c>
      <c r="Q7410" t="n">
        <v>0</v>
      </c>
      <c r="R7410" t="n">
        <v>0</v>
      </c>
      <c r="S7410" t="n">
        <v>0</v>
      </c>
      <c r="T7410" t="n">
        <v>0</v>
      </c>
      <c r="U7410" t="n">
        <v>0</v>
      </c>
      <c r="V7410" s="2" t="inlineStr"/>
    </row>
    <row r="7411" ht="15" customHeight="1">
      <c r="A7411" t="inlineStr">
        <is>
          <t>A 12372-2026</t>
        </is>
      </c>
      <c r="B7411" t="inlineStr">
        <is>
          <t>avverkningsanmälan</t>
        </is>
      </c>
      <c r="C7411" t="inlineStr">
        <is>
          <t>Föryngringsavverkning</t>
        </is>
      </c>
      <c r="D7411" s="1" t="n">
        <v>46090</v>
      </c>
      <c r="E7411" s="1" t="n">
        <v>46326</v>
      </c>
      <c r="F7411" t="inlineStr">
        <is>
          <t>GÄVLEBORGS LÄN</t>
        </is>
      </c>
      <c r="G7411" t="inlineStr">
        <is>
          <t>BOLLNÄS</t>
        </is>
      </c>
      <c r="I7411" t="n">
        <v>1.1</v>
      </c>
      <c r="J7411" t="n">
        <v>0</v>
      </c>
      <c r="K7411" t="n">
        <v>0</v>
      </c>
      <c r="L7411" t="n">
        <v>0</v>
      </c>
      <c r="M7411" t="n">
        <v>0</v>
      </c>
      <c r="N7411" t="n">
        <v>0</v>
      </c>
      <c r="O7411" t="n">
        <v>0</v>
      </c>
      <c r="P7411" t="n">
        <v>0</v>
      </c>
      <c r="Q7411" t="n">
        <v>0</v>
      </c>
      <c r="R7411" t="n">
        <v>0</v>
      </c>
      <c r="S7411" t="n">
        <v>0</v>
      </c>
      <c r="T7411" t="n">
        <v>0</v>
      </c>
      <c r="U7411" t="n">
        <v>0</v>
      </c>
      <c r="V7411" s="2" t="inlineStr"/>
    </row>
    <row r="7412" ht="15" customHeight="1">
      <c r="A7412" t="inlineStr">
        <is>
          <t>A 11626-2026</t>
        </is>
      </c>
      <c r="B7412" t="inlineStr">
        <is>
          <t>avverkningsanmälan</t>
        </is>
      </c>
      <c r="C7412" t="inlineStr">
        <is>
          <t>Föryngringsavverkning</t>
        </is>
      </c>
      <c r="D7412" s="1" t="n">
        <v>46084</v>
      </c>
      <c r="E7412" s="1" t="n">
        <v>46326</v>
      </c>
      <c r="F7412" t="inlineStr">
        <is>
          <t>GÄVLEBORGS LÄN</t>
        </is>
      </c>
      <c r="G7412" t="inlineStr">
        <is>
          <t>LJUSDAL</t>
        </is>
      </c>
      <c r="H7412" t="inlineStr">
        <is>
          <t>Sveaskog</t>
        </is>
      </c>
      <c r="I7412" t="n">
        <v>1.5</v>
      </c>
      <c r="J7412" t="n">
        <v>0</v>
      </c>
      <c r="K7412" t="n">
        <v>0</v>
      </c>
      <c r="L7412" t="n">
        <v>0</v>
      </c>
      <c r="M7412" t="n">
        <v>0</v>
      </c>
      <c r="N7412" t="n">
        <v>0</v>
      </c>
      <c r="O7412" t="n">
        <v>0</v>
      </c>
      <c r="P7412" t="n">
        <v>0</v>
      </c>
      <c r="Q7412" t="n">
        <v>0</v>
      </c>
      <c r="R7412" t="n">
        <v>0</v>
      </c>
      <c r="S7412" t="n">
        <v>0</v>
      </c>
      <c r="T7412" t="n">
        <v>0</v>
      </c>
      <c r="U7412" t="n">
        <v>0</v>
      </c>
      <c r="V7412" s="2" t="inlineStr"/>
    </row>
    <row r="7413" ht="15" customHeight="1">
      <c r="A7413" t="inlineStr">
        <is>
          <t>A 11699-2026</t>
        </is>
      </c>
      <c r="B7413" t="inlineStr">
        <is>
          <t>avverkningsanmälan</t>
        </is>
      </c>
      <c r="C7413" t="inlineStr">
        <is>
          <t>Föryngringsavverkning</t>
        </is>
      </c>
      <c r="D7413" s="1" t="n">
        <v>46084</v>
      </c>
      <c r="E7413" s="1" t="n">
        <v>46326</v>
      </c>
      <c r="F7413" t="inlineStr">
        <is>
          <t>GÄVLEBORGS LÄN</t>
        </is>
      </c>
      <c r="G7413" t="inlineStr">
        <is>
          <t>OVANÅKER</t>
        </is>
      </c>
      <c r="H7413" t="inlineStr">
        <is>
          <t>Bergvik skog väst AB</t>
        </is>
      </c>
      <c r="I7413" t="n">
        <v>2.2</v>
      </c>
      <c r="J7413" t="n">
        <v>0</v>
      </c>
      <c r="K7413" t="n">
        <v>0</v>
      </c>
      <c r="L7413" t="n">
        <v>0</v>
      </c>
      <c r="M7413" t="n">
        <v>0</v>
      </c>
      <c r="N7413" t="n">
        <v>0</v>
      </c>
      <c r="O7413" t="n">
        <v>0</v>
      </c>
      <c r="P7413" t="n">
        <v>0</v>
      </c>
      <c r="Q7413" t="n">
        <v>0</v>
      </c>
      <c r="R7413" t="n">
        <v>0</v>
      </c>
      <c r="S7413" t="n">
        <v>0</v>
      </c>
      <c r="T7413" t="n">
        <v>0</v>
      </c>
      <c r="U7413" t="n">
        <v>0</v>
      </c>
      <c r="V7413" s="2" t="inlineStr"/>
    </row>
    <row r="7414" ht="15" customHeight="1">
      <c r="A7414" t="inlineStr">
        <is>
          <t>A 20825-2026</t>
        </is>
      </c>
      <c r="B7414" t="inlineStr">
        <is>
          <t>avverkningsanmälan</t>
        </is>
      </c>
      <c r="C7414" t="inlineStr">
        <is>
          <t>Föryngringsavverkning</t>
        </is>
      </c>
      <c r="D7414" s="1" t="n">
        <v>46141</v>
      </c>
      <c r="E7414" s="1" t="n">
        <v>46326</v>
      </c>
      <c r="F7414" t="inlineStr">
        <is>
          <t>GÄVLEBORGS LÄN</t>
        </is>
      </c>
      <c r="G7414" t="inlineStr">
        <is>
          <t>HUDIKSVALL</t>
        </is>
      </c>
      <c r="I7414" t="n">
        <v>1.3</v>
      </c>
      <c r="J7414" t="n">
        <v>0</v>
      </c>
      <c r="K7414" t="n">
        <v>0</v>
      </c>
      <c r="L7414" t="n">
        <v>0</v>
      </c>
      <c r="M7414" t="n">
        <v>0</v>
      </c>
      <c r="N7414" t="n">
        <v>0</v>
      </c>
      <c r="O7414" t="n">
        <v>0</v>
      </c>
      <c r="P7414" t="n">
        <v>0</v>
      </c>
      <c r="Q7414" t="n">
        <v>0</v>
      </c>
      <c r="R7414" t="n">
        <v>0</v>
      </c>
      <c r="S7414" t="n">
        <v>0</v>
      </c>
      <c r="T7414" t="n">
        <v>0</v>
      </c>
      <c r="U7414" t="n">
        <v>0</v>
      </c>
      <c r="V7414" s="2" t="inlineStr"/>
    </row>
    <row r="7415" ht="15" customHeight="1">
      <c r="A7415" t="inlineStr">
        <is>
          <t>A 51071-2023</t>
        </is>
      </c>
      <c r="B7415" t="inlineStr">
        <is>
          <t>avverkningsanmälan</t>
        </is>
      </c>
      <c r="C7415" t="inlineStr">
        <is>
          <t>Föryngringsavverkning</t>
        </is>
      </c>
      <c r="D7415" s="1" t="n">
        <v>45218</v>
      </c>
      <c r="E7415" s="1" t="n">
        <v>46326</v>
      </c>
      <c r="F7415" t="inlineStr">
        <is>
          <t>GÄVLEBORGS LÄN</t>
        </is>
      </c>
      <c r="G7415" t="inlineStr">
        <is>
          <t>GÄVLE</t>
        </is>
      </c>
      <c r="I7415" t="n">
        <v>3.1</v>
      </c>
      <c r="J7415" t="n">
        <v>0</v>
      </c>
      <c r="K7415" t="n">
        <v>0</v>
      </c>
      <c r="L7415" t="n">
        <v>0</v>
      </c>
      <c r="M7415" t="n">
        <v>0</v>
      </c>
      <c r="N7415" t="n">
        <v>0</v>
      </c>
      <c r="O7415" t="n">
        <v>0</v>
      </c>
      <c r="P7415" t="n">
        <v>0</v>
      </c>
      <c r="Q7415" t="n">
        <v>0</v>
      </c>
      <c r="R7415" t="n">
        <v>0</v>
      </c>
      <c r="S7415" t="n">
        <v>0</v>
      </c>
      <c r="T7415" t="n">
        <v>0</v>
      </c>
      <c r="U7415" t="n">
        <v>0</v>
      </c>
      <c r="V7415" s="2" t="inlineStr"/>
    </row>
    <row r="7416" ht="15" customHeight="1">
      <c r="A7416" t="inlineStr">
        <is>
          <t>A 64090-2025</t>
        </is>
      </c>
      <c r="B7416" t="inlineStr">
        <is>
          <t>avverkningsanmälan</t>
        </is>
      </c>
      <c r="C7416" t="inlineStr">
        <is>
          <t>Föryngringsavverkning</t>
        </is>
      </c>
      <c r="D7416" s="1" t="n">
        <v>46021</v>
      </c>
      <c r="E7416" s="1" t="n">
        <v>46326</v>
      </c>
      <c r="F7416" t="inlineStr">
        <is>
          <t>GÄVLEBORGS LÄN</t>
        </is>
      </c>
      <c r="G7416" t="inlineStr">
        <is>
          <t>LJUSDAL</t>
        </is>
      </c>
      <c r="I7416" t="n">
        <v>3.6</v>
      </c>
      <c r="J7416" t="n">
        <v>0</v>
      </c>
      <c r="K7416" t="n">
        <v>0</v>
      </c>
      <c r="L7416" t="n">
        <v>0</v>
      </c>
      <c r="M7416" t="n">
        <v>0</v>
      </c>
      <c r="N7416" t="n">
        <v>0</v>
      </c>
      <c r="O7416" t="n">
        <v>0</v>
      </c>
      <c r="P7416" t="n">
        <v>0</v>
      </c>
      <c r="Q7416" t="n">
        <v>0</v>
      </c>
      <c r="R7416" t="n">
        <v>0</v>
      </c>
      <c r="S7416" t="n">
        <v>0</v>
      </c>
      <c r="T7416" t="n">
        <v>0</v>
      </c>
      <c r="U7416" t="n">
        <v>0</v>
      </c>
      <c r="V7416" s="2" t="inlineStr"/>
    </row>
    <row r="7417" ht="15" customHeight="1">
      <c r="A7417" t="inlineStr">
        <is>
          <t>A 1013-2026</t>
        </is>
      </c>
      <c r="B7417" t="inlineStr">
        <is>
          <t>avverkningsanmälan</t>
        </is>
      </c>
      <c r="C7417" t="inlineStr">
        <is>
          <t>Föryngringsavverkning</t>
        </is>
      </c>
      <c r="D7417" s="1" t="n">
        <v>46030</v>
      </c>
      <c r="E7417" s="1" t="n">
        <v>46326</v>
      </c>
      <c r="F7417" t="inlineStr">
        <is>
          <t>GÄVLEBORGS LÄN</t>
        </is>
      </c>
      <c r="G7417" t="inlineStr">
        <is>
          <t>OVANÅKER</t>
        </is>
      </c>
      <c r="I7417" t="n">
        <v>6</v>
      </c>
      <c r="J7417" t="n">
        <v>0</v>
      </c>
      <c r="K7417" t="n">
        <v>0</v>
      </c>
      <c r="L7417" t="n">
        <v>0</v>
      </c>
      <c r="M7417" t="n">
        <v>0</v>
      </c>
      <c r="N7417" t="n">
        <v>0</v>
      </c>
      <c r="O7417" t="n">
        <v>0</v>
      </c>
      <c r="P7417" t="n">
        <v>0</v>
      </c>
      <c r="Q7417" t="n">
        <v>0</v>
      </c>
      <c r="R7417" t="n">
        <v>0</v>
      </c>
      <c r="S7417" t="n">
        <v>0</v>
      </c>
      <c r="T7417" t="n">
        <v>0</v>
      </c>
      <c r="U7417" t="n">
        <v>0</v>
      </c>
      <c r="V7417" s="2" t="inlineStr"/>
    </row>
    <row r="7418" ht="15" customHeight="1">
      <c r="A7418" t="inlineStr">
        <is>
          <t>A 1693-2026</t>
        </is>
      </c>
      <c r="B7418" t="inlineStr">
        <is>
          <t>avverkningsanmälan</t>
        </is>
      </c>
      <c r="C7418" t="inlineStr">
        <is>
          <t>Föryngringsavverkning</t>
        </is>
      </c>
      <c r="D7418" s="1" t="n">
        <v>46034</v>
      </c>
      <c r="E7418" s="1" t="n">
        <v>46326</v>
      </c>
      <c r="F7418" t="inlineStr">
        <is>
          <t>GÄVLEBORGS LÄN</t>
        </is>
      </c>
      <c r="G7418" t="inlineStr">
        <is>
          <t>OCKELBO</t>
        </is>
      </c>
      <c r="I7418" t="n">
        <v>9.300000000000001</v>
      </c>
      <c r="J7418" t="n">
        <v>0</v>
      </c>
      <c r="K7418" t="n">
        <v>0</v>
      </c>
      <c r="L7418" t="n">
        <v>0</v>
      </c>
      <c r="M7418" t="n">
        <v>0</v>
      </c>
      <c r="N7418" t="n">
        <v>0</v>
      </c>
      <c r="O7418" t="n">
        <v>0</v>
      </c>
      <c r="P7418" t="n">
        <v>0</v>
      </c>
      <c r="Q7418" t="n">
        <v>0</v>
      </c>
      <c r="R7418" t="n">
        <v>0</v>
      </c>
      <c r="S7418" t="n">
        <v>0</v>
      </c>
      <c r="T7418" t="n">
        <v>0</v>
      </c>
      <c r="U7418" t="n">
        <v>0</v>
      </c>
      <c r="V7418" s="2" t="inlineStr"/>
    </row>
    <row r="7419" ht="15" customHeight="1">
      <c r="A7419" t="inlineStr">
        <is>
          <t>A 51137-2023</t>
        </is>
      </c>
      <c r="B7419" t="inlineStr">
        <is>
          <t>avverkningsanmälan</t>
        </is>
      </c>
      <c r="C7419" t="inlineStr">
        <is>
          <t>Föryngringsavverkning</t>
        </is>
      </c>
      <c r="D7419" s="1" t="n">
        <v>45219</v>
      </c>
      <c r="E7419" s="1" t="n">
        <v>46326</v>
      </c>
      <c r="F7419" t="inlineStr">
        <is>
          <t>GÄVLEBORGS LÄN</t>
        </is>
      </c>
      <c r="G7419" t="inlineStr">
        <is>
          <t>BOLLNÄS</t>
        </is>
      </c>
      <c r="I7419" t="n">
        <v>0.8</v>
      </c>
      <c r="J7419" t="n">
        <v>0</v>
      </c>
      <c r="K7419" t="n">
        <v>0</v>
      </c>
      <c r="L7419" t="n">
        <v>0</v>
      </c>
      <c r="M7419" t="n">
        <v>0</v>
      </c>
      <c r="N7419" t="n">
        <v>0</v>
      </c>
      <c r="O7419" t="n">
        <v>0</v>
      </c>
      <c r="P7419" t="n">
        <v>0</v>
      </c>
      <c r="Q7419" t="n">
        <v>0</v>
      </c>
      <c r="R7419" t="n">
        <v>0</v>
      </c>
      <c r="S7419" t="n">
        <v>0</v>
      </c>
      <c r="T7419" t="n">
        <v>0</v>
      </c>
      <c r="U7419" t="n">
        <v>0</v>
      </c>
      <c r="V7419" s="2" t="inlineStr"/>
    </row>
    <row r="7420" ht="15" customHeight="1">
      <c r="A7420" t="inlineStr">
        <is>
          <t>A 11139-2026</t>
        </is>
      </c>
      <c r="B7420" t="inlineStr">
        <is>
          <t>avverkningsanmälan</t>
        </is>
      </c>
      <c r="C7420" t="inlineStr">
        <is>
          <t>Föryngringsavverkning</t>
        </is>
      </c>
      <c r="D7420" s="1" t="n">
        <v>46079</v>
      </c>
      <c r="E7420" s="1" t="n">
        <v>46326</v>
      </c>
      <c r="F7420" t="inlineStr">
        <is>
          <t>GÄVLEBORGS LÄN</t>
        </is>
      </c>
      <c r="G7420" t="inlineStr">
        <is>
          <t>BOLLNÄS</t>
        </is>
      </c>
      <c r="I7420" t="n">
        <v>3.9</v>
      </c>
      <c r="J7420" t="n">
        <v>0</v>
      </c>
      <c r="K7420" t="n">
        <v>0</v>
      </c>
      <c r="L7420" t="n">
        <v>0</v>
      </c>
      <c r="M7420" t="n">
        <v>0</v>
      </c>
      <c r="N7420" t="n">
        <v>0</v>
      </c>
      <c r="O7420" t="n">
        <v>0</v>
      </c>
      <c r="P7420" t="n">
        <v>0</v>
      </c>
      <c r="Q7420" t="n">
        <v>0</v>
      </c>
      <c r="R7420" t="n">
        <v>0</v>
      </c>
      <c r="S7420" t="n">
        <v>0</v>
      </c>
      <c r="T7420" t="n">
        <v>0</v>
      </c>
      <c r="U7420" t="n">
        <v>0</v>
      </c>
      <c r="V7420" s="2" t="inlineStr"/>
    </row>
    <row r="7421" ht="15" customHeight="1">
      <c r="A7421" t="inlineStr">
        <is>
          <t>A 20447-2026</t>
        </is>
      </c>
      <c r="B7421" t="inlineStr">
        <is>
          <t>avverkningsanmälan</t>
        </is>
      </c>
      <c r="C7421" t="inlineStr">
        <is>
          <t>Föryngringsavverkning</t>
        </is>
      </c>
      <c r="D7421" s="1" t="n">
        <v>46140</v>
      </c>
      <c r="E7421" s="1" t="n">
        <v>46326</v>
      </c>
      <c r="F7421" t="inlineStr">
        <is>
          <t>GÄVLEBORGS LÄN</t>
        </is>
      </c>
      <c r="G7421" t="inlineStr">
        <is>
          <t>BOLLNÄS</t>
        </is>
      </c>
      <c r="H7421" t="inlineStr">
        <is>
          <t>Bergvik skog väst AB</t>
        </is>
      </c>
      <c r="I7421" t="n">
        <v>0.6</v>
      </c>
      <c r="J7421" t="n">
        <v>0</v>
      </c>
      <c r="K7421" t="n">
        <v>0</v>
      </c>
      <c r="L7421" t="n">
        <v>0</v>
      </c>
      <c r="M7421" t="n">
        <v>0</v>
      </c>
      <c r="N7421" t="n">
        <v>0</v>
      </c>
      <c r="O7421" t="n">
        <v>0</v>
      </c>
      <c r="P7421" t="n">
        <v>0</v>
      </c>
      <c r="Q7421" t="n">
        <v>0</v>
      </c>
      <c r="R7421" t="n">
        <v>0</v>
      </c>
      <c r="S7421" t="n">
        <v>0</v>
      </c>
      <c r="T7421" t="n">
        <v>0</v>
      </c>
      <c r="U7421" t="n">
        <v>0</v>
      </c>
      <c r="V7421" s="2" t="inlineStr"/>
    </row>
    <row r="7422" ht="15" customHeight="1">
      <c r="A7422" t="inlineStr">
        <is>
          <t>A 43496-2025</t>
        </is>
      </c>
      <c r="B7422" t="inlineStr">
        <is>
          <t>avverkningsanmälan</t>
        </is>
      </c>
      <c r="C7422" t="inlineStr">
        <is>
          <t>Föryngringsavverkning</t>
        </is>
      </c>
      <c r="D7422" s="1" t="n">
        <v>45911</v>
      </c>
      <c r="E7422" s="1" t="n">
        <v>46326</v>
      </c>
      <c r="F7422" t="inlineStr">
        <is>
          <t>GÄVLEBORGS LÄN</t>
        </is>
      </c>
      <c r="G7422" t="inlineStr">
        <is>
          <t>HUDIKSVALL</t>
        </is>
      </c>
      <c r="H7422" t="inlineStr">
        <is>
          <t>Naturvårdsverket</t>
        </is>
      </c>
      <c r="I7422" t="n">
        <v>2.4</v>
      </c>
      <c r="J7422" t="n">
        <v>0</v>
      </c>
      <c r="K7422" t="n">
        <v>0</v>
      </c>
      <c r="L7422" t="n">
        <v>0</v>
      </c>
      <c r="M7422" t="n">
        <v>0</v>
      </c>
      <c r="N7422" t="n">
        <v>0</v>
      </c>
      <c r="O7422" t="n">
        <v>0</v>
      </c>
      <c r="P7422" t="n">
        <v>0</v>
      </c>
      <c r="Q7422" t="n">
        <v>0</v>
      </c>
      <c r="R7422" t="n">
        <v>0</v>
      </c>
      <c r="S7422" t="n">
        <v>0</v>
      </c>
      <c r="T7422" t="n">
        <v>0</v>
      </c>
      <c r="U7422" t="n">
        <v>0</v>
      </c>
      <c r="V7422" s="2" t="inlineStr"/>
    </row>
    <row r="7423" ht="15" customHeight="1">
      <c r="A7423" t="inlineStr">
        <is>
          <t>A 10489-2026</t>
        </is>
      </c>
      <c r="B7423" t="inlineStr">
        <is>
          <t>avverkningsanmälan</t>
        </is>
      </c>
      <c r="C7423" t="inlineStr">
        <is>
          <t>Föryngringsavverkning</t>
        </is>
      </c>
      <c r="D7423" s="1" t="n">
        <v>46077</v>
      </c>
      <c r="E7423" s="1" t="n">
        <v>46326</v>
      </c>
      <c r="F7423" t="inlineStr">
        <is>
          <t>GÄVLEBORGS LÄN</t>
        </is>
      </c>
      <c r="G7423" t="inlineStr">
        <is>
          <t>OCKELBO</t>
        </is>
      </c>
      <c r="H7423" t="inlineStr">
        <is>
          <t>Bergvik skog väst AB</t>
        </is>
      </c>
      <c r="I7423" t="n">
        <v>4.5</v>
      </c>
      <c r="J7423" t="n">
        <v>0</v>
      </c>
      <c r="K7423" t="n">
        <v>0</v>
      </c>
      <c r="L7423" t="n">
        <v>0</v>
      </c>
      <c r="M7423" t="n">
        <v>0</v>
      </c>
      <c r="N7423" t="n">
        <v>0</v>
      </c>
      <c r="O7423" t="n">
        <v>0</v>
      </c>
      <c r="P7423" t="n">
        <v>0</v>
      </c>
      <c r="Q7423" t="n">
        <v>0</v>
      </c>
      <c r="R7423" t="n">
        <v>0</v>
      </c>
      <c r="S7423" t="n">
        <v>0</v>
      </c>
      <c r="T7423" t="n">
        <v>0</v>
      </c>
      <c r="U7423" t="n">
        <v>0</v>
      </c>
      <c r="V7423" s="2" t="inlineStr"/>
    </row>
    <row r="7424" ht="15" customHeight="1">
      <c r="A7424" t="inlineStr">
        <is>
          <t>A 2863-2026</t>
        </is>
      </c>
      <c r="B7424" t="inlineStr">
        <is>
          <t>avverkningsanmälan</t>
        </is>
      </c>
      <c r="C7424" t="inlineStr">
        <is>
          <t>Föryngringsavverkning</t>
        </is>
      </c>
      <c r="D7424" s="1" t="n">
        <v>46038</v>
      </c>
      <c r="E7424" s="1" t="n">
        <v>46326</v>
      </c>
      <c r="F7424" t="inlineStr">
        <is>
          <t>GÄVLEBORGS LÄN</t>
        </is>
      </c>
      <c r="G7424" t="inlineStr">
        <is>
          <t>OVANÅKER</t>
        </is>
      </c>
      <c r="I7424" t="n">
        <v>1.4</v>
      </c>
      <c r="J7424" t="n">
        <v>0</v>
      </c>
      <c r="K7424" t="n">
        <v>0</v>
      </c>
      <c r="L7424" t="n">
        <v>0</v>
      </c>
      <c r="M7424" t="n">
        <v>0</v>
      </c>
      <c r="N7424" t="n">
        <v>0</v>
      </c>
      <c r="O7424" t="n">
        <v>0</v>
      </c>
      <c r="P7424" t="n">
        <v>0</v>
      </c>
      <c r="Q7424" t="n">
        <v>0</v>
      </c>
      <c r="R7424" t="n">
        <v>0</v>
      </c>
      <c r="S7424" t="n">
        <v>0</v>
      </c>
      <c r="T7424" t="n">
        <v>0</v>
      </c>
      <c r="U7424" t="n">
        <v>0</v>
      </c>
      <c r="V7424" s="2" t="inlineStr"/>
    </row>
    <row r="7425" ht="15" customHeight="1">
      <c r="A7425" t="inlineStr">
        <is>
          <t>A 2891-2026</t>
        </is>
      </c>
      <c r="B7425" t="inlineStr">
        <is>
          <t>avverkningsanmälan</t>
        </is>
      </c>
      <c r="C7425" t="inlineStr">
        <is>
          <t>Föryngringsavverkning</t>
        </is>
      </c>
      <c r="D7425" s="1" t="n">
        <v>46037</v>
      </c>
      <c r="E7425" s="1" t="n">
        <v>46326</v>
      </c>
      <c r="F7425" t="inlineStr">
        <is>
          <t>GÄVLEBORGS LÄN</t>
        </is>
      </c>
      <c r="G7425" t="inlineStr">
        <is>
          <t>OVANÅKER</t>
        </is>
      </c>
      <c r="I7425" t="n">
        <v>9.1</v>
      </c>
      <c r="J7425" t="n">
        <v>0</v>
      </c>
      <c r="K7425" t="n">
        <v>0</v>
      </c>
      <c r="L7425" t="n">
        <v>0</v>
      </c>
      <c r="M7425" t="n">
        <v>0</v>
      </c>
      <c r="N7425" t="n">
        <v>0</v>
      </c>
      <c r="O7425" t="n">
        <v>0</v>
      </c>
      <c r="P7425" t="n">
        <v>0</v>
      </c>
      <c r="Q7425" t="n">
        <v>0</v>
      </c>
      <c r="R7425" t="n">
        <v>0</v>
      </c>
      <c r="S7425" t="n">
        <v>0</v>
      </c>
      <c r="T7425" t="n">
        <v>0</v>
      </c>
      <c r="U7425" t="n">
        <v>0</v>
      </c>
      <c r="V7425" s="2" t="inlineStr"/>
    </row>
    <row r="7426" ht="15" customHeight="1">
      <c r="A7426" t="inlineStr">
        <is>
          <t>A 2940-2026</t>
        </is>
      </c>
      <c r="B7426" t="inlineStr">
        <is>
          <t>avverkningsanmälan</t>
        </is>
      </c>
      <c r="C7426" t="inlineStr">
        <is>
          <t>Föryngringsavverkning</t>
        </is>
      </c>
      <c r="D7426" s="1" t="n">
        <v>46038</v>
      </c>
      <c r="E7426" s="1" t="n">
        <v>46326</v>
      </c>
      <c r="F7426" t="inlineStr">
        <is>
          <t>GÄVLEBORGS LÄN</t>
        </is>
      </c>
      <c r="G7426" t="inlineStr">
        <is>
          <t>SANDVIKEN</t>
        </is>
      </c>
      <c r="I7426" t="n">
        <v>2.2</v>
      </c>
      <c r="J7426" t="n">
        <v>0</v>
      </c>
      <c r="K7426" t="n">
        <v>0</v>
      </c>
      <c r="L7426" t="n">
        <v>0</v>
      </c>
      <c r="M7426" t="n">
        <v>0</v>
      </c>
      <c r="N7426" t="n">
        <v>0</v>
      </c>
      <c r="O7426" t="n">
        <v>0</v>
      </c>
      <c r="P7426" t="n">
        <v>0</v>
      </c>
      <c r="Q7426" t="n">
        <v>0</v>
      </c>
      <c r="R7426" t="n">
        <v>0</v>
      </c>
      <c r="S7426" t="n">
        <v>0</v>
      </c>
      <c r="T7426" t="n">
        <v>0</v>
      </c>
      <c r="U7426" t="n">
        <v>0</v>
      </c>
      <c r="V7426" s="2" t="inlineStr"/>
    </row>
    <row r="7427" ht="15" customHeight="1">
      <c r="A7427" t="inlineStr">
        <is>
          <t>A 52568-2022</t>
        </is>
      </c>
      <c r="B7427" t="inlineStr">
        <is>
          <t>avverkningsanmälan</t>
        </is>
      </c>
      <c r="C7427" t="inlineStr">
        <is>
          <t>Föryngringsavverkning</t>
        </is>
      </c>
      <c r="D7427" s="1" t="n">
        <v>44874</v>
      </c>
      <c r="E7427" s="1" t="n">
        <v>46326</v>
      </c>
      <c r="F7427" t="inlineStr">
        <is>
          <t>GÄVLEBORGS LÄN</t>
        </is>
      </c>
      <c r="G7427" t="inlineStr">
        <is>
          <t>LJUSDAL</t>
        </is>
      </c>
      <c r="H7427" t="inlineStr">
        <is>
          <t>Kyrkan</t>
        </is>
      </c>
      <c r="I7427" t="n">
        <v>3</v>
      </c>
      <c r="J7427" t="n">
        <v>0</v>
      </c>
      <c r="K7427" t="n">
        <v>0</v>
      </c>
      <c r="L7427" t="n">
        <v>0</v>
      </c>
      <c r="M7427" t="n">
        <v>0</v>
      </c>
      <c r="N7427" t="n">
        <v>0</v>
      </c>
      <c r="O7427" t="n">
        <v>0</v>
      </c>
      <c r="P7427" t="n">
        <v>0</v>
      </c>
      <c r="Q7427" t="n">
        <v>0</v>
      </c>
      <c r="R7427" t="n">
        <v>0</v>
      </c>
      <c r="S7427" t="n">
        <v>0</v>
      </c>
      <c r="T7427" t="n">
        <v>0</v>
      </c>
      <c r="U7427" t="n">
        <v>0</v>
      </c>
      <c r="V7427" s="2" t="inlineStr"/>
    </row>
    <row r="7428" ht="15" customHeight="1">
      <c r="A7428" t="inlineStr">
        <is>
          <t>A 8148-2026</t>
        </is>
      </c>
      <c r="B7428" t="inlineStr">
        <is>
          <t>avverkningsanmälan</t>
        </is>
      </c>
      <c r="C7428" t="inlineStr">
        <is>
          <t>Föryngringsavverkning</t>
        </is>
      </c>
      <c r="D7428" s="1" t="n">
        <v>46064</v>
      </c>
      <c r="E7428" s="1" t="n">
        <v>46326</v>
      </c>
      <c r="F7428" t="inlineStr">
        <is>
          <t>GÄVLEBORGS LÄN</t>
        </is>
      </c>
      <c r="G7428" t="inlineStr">
        <is>
          <t>BOLLNÄS</t>
        </is>
      </c>
      <c r="I7428" t="n">
        <v>23.9</v>
      </c>
      <c r="J7428" t="n">
        <v>0</v>
      </c>
      <c r="K7428" t="n">
        <v>0</v>
      </c>
      <c r="L7428" t="n">
        <v>0</v>
      </c>
      <c r="M7428" t="n">
        <v>0</v>
      </c>
      <c r="N7428" t="n">
        <v>0</v>
      </c>
      <c r="O7428" t="n">
        <v>0</v>
      </c>
      <c r="P7428" t="n">
        <v>0</v>
      </c>
      <c r="Q7428" t="n">
        <v>0</v>
      </c>
      <c r="R7428" t="n">
        <v>0</v>
      </c>
      <c r="S7428" t="n">
        <v>0</v>
      </c>
      <c r="T7428" t="n">
        <v>0</v>
      </c>
      <c r="U7428" t="n">
        <v>0</v>
      </c>
      <c r="V7428" s="2" t="inlineStr"/>
    </row>
    <row r="7429" ht="15" customHeight="1">
      <c r="A7429" t="inlineStr">
        <is>
          <t>A 8185-2026</t>
        </is>
      </c>
      <c r="B7429" t="inlineStr">
        <is>
          <t>avverkningsanmälan</t>
        </is>
      </c>
      <c r="C7429" t="inlineStr">
        <is>
          <t>Föryngringsavverkning</t>
        </is>
      </c>
      <c r="D7429" s="1" t="n">
        <v>46064</v>
      </c>
      <c r="E7429" s="1" t="n">
        <v>46326</v>
      </c>
      <c r="F7429" t="inlineStr">
        <is>
          <t>GÄVLEBORGS LÄN</t>
        </is>
      </c>
      <c r="G7429" t="inlineStr">
        <is>
          <t>BOLLNÄS</t>
        </is>
      </c>
      <c r="I7429" t="n">
        <v>4</v>
      </c>
      <c r="J7429" t="n">
        <v>0</v>
      </c>
      <c r="K7429" t="n">
        <v>0</v>
      </c>
      <c r="L7429" t="n">
        <v>0</v>
      </c>
      <c r="M7429" t="n">
        <v>0</v>
      </c>
      <c r="N7429" t="n">
        <v>0</v>
      </c>
      <c r="O7429" t="n">
        <v>0</v>
      </c>
      <c r="P7429" t="n">
        <v>0</v>
      </c>
      <c r="Q7429" t="n">
        <v>0</v>
      </c>
      <c r="R7429" t="n">
        <v>0</v>
      </c>
      <c r="S7429" t="n">
        <v>0</v>
      </c>
      <c r="T7429" t="n">
        <v>0</v>
      </c>
      <c r="U7429" t="n">
        <v>0</v>
      </c>
      <c r="V7429" s="2" t="inlineStr"/>
    </row>
    <row r="7430" ht="15" customHeight="1">
      <c r="A7430" t="inlineStr">
        <is>
          <t>A 36343-2023</t>
        </is>
      </c>
      <c r="B7430" t="inlineStr">
        <is>
          <t>avverkningsanmälan</t>
        </is>
      </c>
      <c r="C7430" t="inlineStr">
        <is>
          <t>Föryngringsavverkning</t>
        </is>
      </c>
      <c r="D7430" s="1" t="n">
        <v>45152</v>
      </c>
      <c r="E7430" s="1" t="n">
        <v>46326</v>
      </c>
      <c r="F7430" t="inlineStr">
        <is>
          <t>GÄVLEBORGS LÄN</t>
        </is>
      </c>
      <c r="G7430" t="inlineStr">
        <is>
          <t>OCKELBO</t>
        </is>
      </c>
      <c r="I7430" t="n">
        <v>0.8</v>
      </c>
      <c r="J7430" t="n">
        <v>0</v>
      </c>
      <c r="K7430" t="n">
        <v>0</v>
      </c>
      <c r="L7430" t="n">
        <v>0</v>
      </c>
      <c r="M7430" t="n">
        <v>0</v>
      </c>
      <c r="N7430" t="n">
        <v>0</v>
      </c>
      <c r="O7430" t="n">
        <v>0</v>
      </c>
      <c r="P7430" t="n">
        <v>0</v>
      </c>
      <c r="Q7430" t="n">
        <v>0</v>
      </c>
      <c r="R7430" t="n">
        <v>0</v>
      </c>
      <c r="S7430" t="n">
        <v>0</v>
      </c>
      <c r="T7430" t="n">
        <v>0</v>
      </c>
      <c r="U7430" t="n">
        <v>0</v>
      </c>
      <c r="V7430" s="2" t="inlineStr"/>
    </row>
    <row r="7431" ht="15" customHeight="1">
      <c r="A7431" t="inlineStr">
        <is>
          <t>A 13914-2026</t>
        </is>
      </c>
      <c r="B7431" t="inlineStr">
        <is>
          <t>avverkningsanmälan</t>
        </is>
      </c>
      <c r="C7431" t="inlineStr">
        <is>
          <t>Föryngringsavverkning</t>
        </is>
      </c>
      <c r="D7431" s="1" t="n">
        <v>46098</v>
      </c>
      <c r="E7431" s="1" t="n">
        <v>46326</v>
      </c>
      <c r="F7431" t="inlineStr">
        <is>
          <t>GÄVLEBORGS LÄN</t>
        </is>
      </c>
      <c r="G7431" t="inlineStr">
        <is>
          <t>BOLLNÄS</t>
        </is>
      </c>
      <c r="I7431" t="n">
        <v>1.3</v>
      </c>
      <c r="J7431" t="n">
        <v>0</v>
      </c>
      <c r="K7431" t="n">
        <v>0</v>
      </c>
      <c r="L7431" t="n">
        <v>0</v>
      </c>
      <c r="M7431" t="n">
        <v>0</v>
      </c>
      <c r="N7431" t="n">
        <v>0</v>
      </c>
      <c r="O7431" t="n">
        <v>0</v>
      </c>
      <c r="P7431" t="n">
        <v>0</v>
      </c>
      <c r="Q7431" t="n">
        <v>0</v>
      </c>
      <c r="R7431" t="n">
        <v>0</v>
      </c>
      <c r="S7431" t="n">
        <v>0</v>
      </c>
      <c r="T7431" t="n">
        <v>0</v>
      </c>
      <c r="U7431" t="n">
        <v>0</v>
      </c>
      <c r="V7431" s="2" t="inlineStr"/>
    </row>
    <row r="7432" ht="15" customHeight="1">
      <c r="A7432" t="inlineStr">
        <is>
          <t>A 12014-2026</t>
        </is>
      </c>
      <c r="B7432" t="inlineStr">
        <is>
          <t>avverkningsanmälan</t>
        </is>
      </c>
      <c r="C7432" t="inlineStr">
        <is>
          <t>Föryngringsavverkning</t>
        </is>
      </c>
      <c r="D7432" s="1" t="n">
        <v>46085</v>
      </c>
      <c r="E7432" s="1" t="n">
        <v>46326</v>
      </c>
      <c r="F7432" t="inlineStr">
        <is>
          <t>GÄVLEBORGS LÄN</t>
        </is>
      </c>
      <c r="G7432" t="inlineStr">
        <is>
          <t>BOLLNÄS</t>
        </is>
      </c>
      <c r="I7432" t="n">
        <v>4.9</v>
      </c>
      <c r="J7432" t="n">
        <v>0</v>
      </c>
      <c r="K7432" t="n">
        <v>0</v>
      </c>
      <c r="L7432" t="n">
        <v>0</v>
      </c>
      <c r="M7432" t="n">
        <v>0</v>
      </c>
      <c r="N7432" t="n">
        <v>0</v>
      </c>
      <c r="O7432" t="n">
        <v>0</v>
      </c>
      <c r="P7432" t="n">
        <v>0</v>
      </c>
      <c r="Q7432" t="n">
        <v>0</v>
      </c>
      <c r="R7432" t="n">
        <v>0</v>
      </c>
      <c r="S7432" t="n">
        <v>0</v>
      </c>
      <c r="T7432" t="n">
        <v>0</v>
      </c>
      <c r="U7432" t="n">
        <v>0</v>
      </c>
      <c r="V7432" s="2" t="inlineStr"/>
    </row>
    <row r="7433" ht="15" customHeight="1">
      <c r="A7433" t="inlineStr">
        <is>
          <t>A 12071-2026</t>
        </is>
      </c>
      <c r="B7433" t="inlineStr">
        <is>
          <t>avverkningsanmälan</t>
        </is>
      </c>
      <c r="C7433" t="inlineStr">
        <is>
          <t>Föryngringsavverkning</t>
        </is>
      </c>
      <c r="D7433" s="1" t="n">
        <v>46086</v>
      </c>
      <c r="E7433" s="1" t="n">
        <v>46326</v>
      </c>
      <c r="F7433" t="inlineStr">
        <is>
          <t>GÄVLEBORGS LÄN</t>
        </is>
      </c>
      <c r="G7433" t="inlineStr">
        <is>
          <t>OVANÅKER</t>
        </is>
      </c>
      <c r="H7433" t="inlineStr">
        <is>
          <t>Bergvik skog öst AB</t>
        </is>
      </c>
      <c r="I7433" t="n">
        <v>9.5</v>
      </c>
      <c r="J7433" t="n">
        <v>0</v>
      </c>
      <c r="K7433" t="n">
        <v>0</v>
      </c>
      <c r="L7433" t="n">
        <v>0</v>
      </c>
      <c r="M7433" t="n">
        <v>0</v>
      </c>
      <c r="N7433" t="n">
        <v>0</v>
      </c>
      <c r="O7433" t="n">
        <v>0</v>
      </c>
      <c r="P7433" t="n">
        <v>0</v>
      </c>
      <c r="Q7433" t="n">
        <v>0</v>
      </c>
      <c r="R7433" t="n">
        <v>0</v>
      </c>
      <c r="S7433" t="n">
        <v>0</v>
      </c>
      <c r="T7433" t="n">
        <v>0</v>
      </c>
      <c r="U7433" t="n">
        <v>0</v>
      </c>
      <c r="V7433" s="2" t="inlineStr"/>
    </row>
    <row r="7434" ht="15" customHeight="1">
      <c r="A7434" t="inlineStr">
        <is>
          <t>A 12142-2026</t>
        </is>
      </c>
      <c r="B7434" t="inlineStr">
        <is>
          <t>avverkningsanmälan</t>
        </is>
      </c>
      <c r="C7434" t="inlineStr">
        <is>
          <t>Föryngringsavverkning</t>
        </is>
      </c>
      <c r="D7434" s="1" t="n">
        <v>46086</v>
      </c>
      <c r="E7434" s="1" t="n">
        <v>46326</v>
      </c>
      <c r="F7434" t="inlineStr">
        <is>
          <t>GÄVLEBORGS LÄN</t>
        </is>
      </c>
      <c r="G7434" t="inlineStr">
        <is>
          <t>BOLLNÄS</t>
        </is>
      </c>
      <c r="I7434" t="n">
        <v>3.5</v>
      </c>
      <c r="J7434" t="n">
        <v>0</v>
      </c>
      <c r="K7434" t="n">
        <v>0</v>
      </c>
      <c r="L7434" t="n">
        <v>0</v>
      </c>
      <c r="M7434" t="n">
        <v>0</v>
      </c>
      <c r="N7434" t="n">
        <v>0</v>
      </c>
      <c r="O7434" t="n">
        <v>0</v>
      </c>
      <c r="P7434" t="n">
        <v>0</v>
      </c>
      <c r="Q7434" t="n">
        <v>0</v>
      </c>
      <c r="R7434" t="n">
        <v>0</v>
      </c>
      <c r="S7434" t="n">
        <v>0</v>
      </c>
      <c r="T7434" t="n">
        <v>0</v>
      </c>
      <c r="U7434" t="n">
        <v>0</v>
      </c>
      <c r="V7434" s="2" t="inlineStr"/>
    </row>
    <row r="7435" ht="15" customHeight="1">
      <c r="A7435" t="inlineStr">
        <is>
          <t>A 8938-2026</t>
        </is>
      </c>
      <c r="B7435" t="inlineStr">
        <is>
          <t>avverkningsanmälan</t>
        </is>
      </c>
      <c r="C7435" t="inlineStr">
        <is>
          <t>Föryngringsavverkning</t>
        </is>
      </c>
      <c r="D7435" s="1" t="n">
        <v>46069</v>
      </c>
      <c r="E7435" s="1" t="n">
        <v>46326</v>
      </c>
      <c r="F7435" t="inlineStr">
        <is>
          <t>GÄVLEBORGS LÄN</t>
        </is>
      </c>
      <c r="G7435" t="inlineStr">
        <is>
          <t>BOLLNÄS</t>
        </is>
      </c>
      <c r="I7435" t="n">
        <v>2.3</v>
      </c>
      <c r="J7435" t="n">
        <v>0</v>
      </c>
      <c r="K7435" t="n">
        <v>0</v>
      </c>
      <c r="L7435" t="n">
        <v>0</v>
      </c>
      <c r="M7435" t="n">
        <v>0</v>
      </c>
      <c r="N7435" t="n">
        <v>0</v>
      </c>
      <c r="O7435" t="n">
        <v>0</v>
      </c>
      <c r="P7435" t="n">
        <v>0</v>
      </c>
      <c r="Q7435" t="n">
        <v>0</v>
      </c>
      <c r="R7435" t="n">
        <v>0</v>
      </c>
      <c r="S7435" t="n">
        <v>0</v>
      </c>
      <c r="T7435" t="n">
        <v>0</v>
      </c>
      <c r="U7435" t="n">
        <v>0</v>
      </c>
      <c r="V7435" s="2" t="inlineStr"/>
    </row>
    <row r="7436" ht="15" customHeight="1">
      <c r="A7436" t="inlineStr">
        <is>
          <t>A 20747-2023</t>
        </is>
      </c>
      <c r="B7436" t="inlineStr">
        <is>
          <t>avverkningsanmälan</t>
        </is>
      </c>
      <c r="C7436" t="inlineStr">
        <is>
          <t>Avverkning för annat ändamål</t>
        </is>
      </c>
      <c r="D7436" s="1" t="n">
        <v>45058</v>
      </c>
      <c r="E7436" s="1" t="n">
        <v>46326</v>
      </c>
      <c r="F7436" t="inlineStr">
        <is>
          <t>GÄVLEBORGS LÄN</t>
        </is>
      </c>
      <c r="G7436" t="inlineStr">
        <is>
          <t>NORDANSTIG</t>
        </is>
      </c>
      <c r="I7436" t="n">
        <v>0.6</v>
      </c>
      <c r="J7436" t="n">
        <v>0</v>
      </c>
      <c r="K7436" t="n">
        <v>0</v>
      </c>
      <c r="L7436" t="n">
        <v>0</v>
      </c>
      <c r="M7436" t="n">
        <v>0</v>
      </c>
      <c r="N7436" t="n">
        <v>0</v>
      </c>
      <c r="O7436" t="n">
        <v>0</v>
      </c>
      <c r="P7436" t="n">
        <v>0</v>
      </c>
      <c r="Q7436" t="n">
        <v>0</v>
      </c>
      <c r="R7436" t="n">
        <v>0</v>
      </c>
      <c r="S7436" t="n">
        <v>0</v>
      </c>
      <c r="T7436" t="n">
        <v>0</v>
      </c>
      <c r="U7436" t="n">
        <v>0</v>
      </c>
      <c r="V7436" s="2" t="inlineStr"/>
    </row>
    <row r="7437" ht="15" customHeight="1">
      <c r="A7437" t="inlineStr">
        <is>
          <t>A 9731-2026</t>
        </is>
      </c>
      <c r="B7437" t="inlineStr">
        <is>
          <t>avverkningsanmälan</t>
        </is>
      </c>
      <c r="C7437" t="inlineStr">
        <is>
          <t>Föryngringsavverkning</t>
        </is>
      </c>
      <c r="D7437" s="1" t="n">
        <v>46072</v>
      </c>
      <c r="E7437" s="1" t="n">
        <v>46326</v>
      </c>
      <c r="F7437" t="inlineStr">
        <is>
          <t>GÄVLEBORGS LÄN</t>
        </is>
      </c>
      <c r="G7437" t="inlineStr">
        <is>
          <t>BOLLNÄS</t>
        </is>
      </c>
      <c r="I7437" t="n">
        <v>13.7</v>
      </c>
      <c r="J7437" t="n">
        <v>0</v>
      </c>
      <c r="K7437" t="n">
        <v>0</v>
      </c>
      <c r="L7437" t="n">
        <v>0</v>
      </c>
      <c r="M7437" t="n">
        <v>0</v>
      </c>
      <c r="N7437" t="n">
        <v>0</v>
      </c>
      <c r="O7437" t="n">
        <v>0</v>
      </c>
      <c r="P7437" t="n">
        <v>0</v>
      </c>
      <c r="Q7437" t="n">
        <v>0</v>
      </c>
      <c r="R7437" t="n">
        <v>0</v>
      </c>
      <c r="S7437" t="n">
        <v>0</v>
      </c>
      <c r="T7437" t="n">
        <v>0</v>
      </c>
      <c r="U7437" t="n">
        <v>0</v>
      </c>
      <c r="V7437" s="2" t="inlineStr"/>
    </row>
    <row r="7438" ht="15" customHeight="1">
      <c r="A7438" t="inlineStr">
        <is>
          <t>A 12983-2022</t>
        </is>
      </c>
      <c r="B7438" t="inlineStr">
        <is>
          <t>avverkningsanmälan</t>
        </is>
      </c>
      <c r="C7438" t="inlineStr">
        <is>
          <t>Föryngringsavverkning</t>
        </is>
      </c>
      <c r="D7438" s="1" t="n">
        <v>44643</v>
      </c>
      <c r="E7438" s="1" t="n">
        <v>46326</v>
      </c>
      <c r="F7438" t="inlineStr">
        <is>
          <t>GÄVLEBORGS LÄN</t>
        </is>
      </c>
      <c r="G7438" t="inlineStr">
        <is>
          <t>OCKELBO</t>
        </is>
      </c>
      <c r="I7438" t="n">
        <v>2</v>
      </c>
      <c r="J7438" t="n">
        <v>0</v>
      </c>
      <c r="K7438" t="n">
        <v>0</v>
      </c>
      <c r="L7438" t="n">
        <v>0</v>
      </c>
      <c r="M7438" t="n">
        <v>0</v>
      </c>
      <c r="N7438" t="n">
        <v>0</v>
      </c>
      <c r="O7438" t="n">
        <v>0</v>
      </c>
      <c r="P7438" t="n">
        <v>0</v>
      </c>
      <c r="Q7438" t="n">
        <v>0</v>
      </c>
      <c r="R7438" t="n">
        <v>0</v>
      </c>
      <c r="S7438" t="n">
        <v>0</v>
      </c>
      <c r="T7438" t="n">
        <v>0</v>
      </c>
      <c r="U7438" t="n">
        <v>0</v>
      </c>
      <c r="V7438" s="2" t="inlineStr"/>
    </row>
    <row r="7439" ht="15" customHeight="1">
      <c r="A7439" t="inlineStr">
        <is>
          <t>A 10978-2026</t>
        </is>
      </c>
      <c r="B7439" t="inlineStr">
        <is>
          <t>avverkningsanmälan</t>
        </is>
      </c>
      <c r="C7439" t="inlineStr">
        <is>
          <t>Föryngringsavverkning</t>
        </is>
      </c>
      <c r="D7439" s="1" t="n">
        <v>46079</v>
      </c>
      <c r="E7439" s="1" t="n">
        <v>46326</v>
      </c>
      <c r="F7439" t="inlineStr">
        <is>
          <t>GÄVLEBORGS LÄN</t>
        </is>
      </c>
      <c r="G7439" t="inlineStr">
        <is>
          <t>BOLLNÄS</t>
        </is>
      </c>
      <c r="H7439" t="inlineStr">
        <is>
          <t>Bergvik skog väst AB</t>
        </is>
      </c>
      <c r="I7439" t="n">
        <v>2.5</v>
      </c>
      <c r="J7439" t="n">
        <v>0</v>
      </c>
      <c r="K7439" t="n">
        <v>0</v>
      </c>
      <c r="L7439" t="n">
        <v>0</v>
      </c>
      <c r="M7439" t="n">
        <v>0</v>
      </c>
      <c r="N7439" t="n">
        <v>0</v>
      </c>
      <c r="O7439" t="n">
        <v>0</v>
      </c>
      <c r="P7439" t="n">
        <v>0</v>
      </c>
      <c r="Q7439" t="n">
        <v>0</v>
      </c>
      <c r="R7439" t="n">
        <v>0</v>
      </c>
      <c r="S7439" t="n">
        <v>0</v>
      </c>
      <c r="T7439" t="n">
        <v>0</v>
      </c>
      <c r="U7439" t="n">
        <v>0</v>
      </c>
      <c r="V7439" s="2" t="inlineStr"/>
    </row>
    <row r="7440" ht="15" customHeight="1">
      <c r="A7440" t="inlineStr">
        <is>
          <t>A 4394-2026</t>
        </is>
      </c>
      <c r="B7440" t="inlineStr">
        <is>
          <t>avverkningsanmälan</t>
        </is>
      </c>
      <c r="C7440" t="inlineStr">
        <is>
          <t>Föryngringsavverkning</t>
        </is>
      </c>
      <c r="D7440" s="1" t="n">
        <v>46045</v>
      </c>
      <c r="E7440" s="1" t="n">
        <v>46326</v>
      </c>
      <c r="F7440" t="inlineStr">
        <is>
          <t>GÄVLEBORGS LÄN</t>
        </is>
      </c>
      <c r="G7440" t="inlineStr">
        <is>
          <t>OVANÅKER</t>
        </is>
      </c>
      <c r="I7440" t="n">
        <v>2.2</v>
      </c>
      <c r="J7440" t="n">
        <v>0</v>
      </c>
      <c r="K7440" t="n">
        <v>0</v>
      </c>
      <c r="L7440" t="n">
        <v>0</v>
      </c>
      <c r="M7440" t="n">
        <v>0</v>
      </c>
      <c r="N7440" t="n">
        <v>0</v>
      </c>
      <c r="O7440" t="n">
        <v>0</v>
      </c>
      <c r="P7440" t="n">
        <v>0</v>
      </c>
      <c r="Q7440" t="n">
        <v>0</v>
      </c>
      <c r="R7440" t="n">
        <v>0</v>
      </c>
      <c r="S7440" t="n">
        <v>0</v>
      </c>
      <c r="T7440" t="n">
        <v>0</v>
      </c>
      <c r="U7440" t="n">
        <v>0</v>
      </c>
      <c r="V7440" s="2" t="inlineStr"/>
    </row>
    <row r="7441" ht="15" customHeight="1">
      <c r="A7441" t="inlineStr">
        <is>
          <t>A 30714-2023</t>
        </is>
      </c>
      <c r="B7441" t="inlineStr">
        <is>
          <t>avverkningsanmälan</t>
        </is>
      </c>
      <c r="C7441" t="inlineStr">
        <is>
          <t>Föryngringsavverkning</t>
        </is>
      </c>
      <c r="D7441" s="1" t="n">
        <v>45112</v>
      </c>
      <c r="E7441" s="1" t="n">
        <v>46326</v>
      </c>
      <c r="F7441" t="inlineStr">
        <is>
          <t>GÄVLEBORGS LÄN</t>
        </is>
      </c>
      <c r="G7441" t="inlineStr">
        <is>
          <t>SANDVIKEN</t>
        </is>
      </c>
      <c r="I7441" t="n">
        <v>4.9</v>
      </c>
      <c r="J7441" t="n">
        <v>0</v>
      </c>
      <c r="K7441" t="n">
        <v>0</v>
      </c>
      <c r="L7441" t="n">
        <v>0</v>
      </c>
      <c r="M7441" t="n">
        <v>0</v>
      </c>
      <c r="N7441" t="n">
        <v>0</v>
      </c>
      <c r="O7441" t="n">
        <v>0</v>
      </c>
      <c r="P7441" t="n">
        <v>0</v>
      </c>
      <c r="Q7441" t="n">
        <v>0</v>
      </c>
      <c r="R7441" t="n">
        <v>0</v>
      </c>
      <c r="S7441" t="n">
        <v>0</v>
      </c>
      <c r="T7441" t="n">
        <v>0</v>
      </c>
      <c r="U7441" t="n">
        <v>0</v>
      </c>
      <c r="V7441" s="2" t="inlineStr"/>
    </row>
    <row r="7442" ht="15" customHeight="1">
      <c r="A7442" t="inlineStr">
        <is>
          <t>A 18319-2026</t>
        </is>
      </c>
      <c r="B7442" t="inlineStr">
        <is>
          <t>avverkningsanmälan</t>
        </is>
      </c>
      <c r="C7442" t="inlineStr">
        <is>
          <t>Föryngringsavverkning</t>
        </is>
      </c>
      <c r="D7442" s="1" t="n">
        <v>46126</v>
      </c>
      <c r="E7442" s="1" t="n">
        <v>46326</v>
      </c>
      <c r="F7442" t="inlineStr">
        <is>
          <t>GÄVLEBORGS LÄN</t>
        </is>
      </c>
      <c r="G7442" t="inlineStr">
        <is>
          <t>OVANÅKER</t>
        </is>
      </c>
      <c r="I7442" t="n">
        <v>2.7</v>
      </c>
      <c r="J7442" t="n">
        <v>0</v>
      </c>
      <c r="K7442" t="n">
        <v>0</v>
      </c>
      <c r="L7442" t="n">
        <v>0</v>
      </c>
      <c r="M7442" t="n">
        <v>0</v>
      </c>
      <c r="N7442" t="n">
        <v>0</v>
      </c>
      <c r="O7442" t="n">
        <v>0</v>
      </c>
      <c r="P7442" t="n">
        <v>0</v>
      </c>
      <c r="Q7442" t="n">
        <v>0</v>
      </c>
      <c r="R7442" t="n">
        <v>0</v>
      </c>
      <c r="S7442" t="n">
        <v>0</v>
      </c>
      <c r="T7442" t="n">
        <v>0</v>
      </c>
      <c r="U7442" t="n">
        <v>0</v>
      </c>
      <c r="V7442" s="2" t="inlineStr"/>
    </row>
    <row r="7443" ht="15" customHeight="1">
      <c r="A7443" t="inlineStr">
        <is>
          <t>A 8738-2026</t>
        </is>
      </c>
      <c r="B7443" t="inlineStr">
        <is>
          <t>avverkningsanmälan</t>
        </is>
      </c>
      <c r="C7443" t="inlineStr">
        <is>
          <t>Föryngringsavverkning</t>
        </is>
      </c>
      <c r="D7443" s="1" t="n">
        <v>46066</v>
      </c>
      <c r="E7443" s="1" t="n">
        <v>46326</v>
      </c>
      <c r="F7443" t="inlineStr">
        <is>
          <t>GÄVLEBORGS LÄN</t>
        </is>
      </c>
      <c r="G7443" t="inlineStr">
        <is>
          <t>OVANÅKER</t>
        </is>
      </c>
      <c r="I7443" t="n">
        <v>3.7</v>
      </c>
      <c r="J7443" t="n">
        <v>0</v>
      </c>
      <c r="K7443" t="n">
        <v>0</v>
      </c>
      <c r="L7443" t="n">
        <v>0</v>
      </c>
      <c r="M7443" t="n">
        <v>0</v>
      </c>
      <c r="N7443" t="n">
        <v>0</v>
      </c>
      <c r="O7443" t="n">
        <v>0</v>
      </c>
      <c r="P7443" t="n">
        <v>0</v>
      </c>
      <c r="Q7443" t="n">
        <v>0</v>
      </c>
      <c r="R7443" t="n">
        <v>0</v>
      </c>
      <c r="S7443" t="n">
        <v>0</v>
      </c>
      <c r="T7443" t="n">
        <v>0</v>
      </c>
      <c r="U7443" t="n">
        <v>0</v>
      </c>
      <c r="V7443" s="2" t="inlineStr"/>
    </row>
    <row r="7444" ht="15" customHeight="1">
      <c r="A7444" t="inlineStr">
        <is>
          <t>A 24-2026</t>
        </is>
      </c>
      <c r="B7444" t="inlineStr">
        <is>
          <t>avverkningsanmälan</t>
        </is>
      </c>
      <c r="C7444" t="inlineStr">
        <is>
          <t>Föryngringsavverkning</t>
        </is>
      </c>
      <c r="D7444" s="1" t="n">
        <v>46024</v>
      </c>
      <c r="E7444" s="1" t="n">
        <v>46326</v>
      </c>
      <c r="F7444" t="inlineStr">
        <is>
          <t>GÄVLEBORGS LÄN</t>
        </is>
      </c>
      <c r="G7444" t="inlineStr">
        <is>
          <t>BOLLNÄS</t>
        </is>
      </c>
      <c r="I7444" t="n">
        <v>3.4</v>
      </c>
      <c r="J7444" t="n">
        <v>0</v>
      </c>
      <c r="K7444" t="n">
        <v>0</v>
      </c>
      <c r="L7444" t="n">
        <v>0</v>
      </c>
      <c r="M7444" t="n">
        <v>0</v>
      </c>
      <c r="N7444" t="n">
        <v>0</v>
      </c>
      <c r="O7444" t="n">
        <v>0</v>
      </c>
      <c r="P7444" t="n">
        <v>0</v>
      </c>
      <c r="Q7444" t="n">
        <v>0</v>
      </c>
      <c r="R7444" t="n">
        <v>0</v>
      </c>
      <c r="S7444" t="n">
        <v>0</v>
      </c>
      <c r="T7444" t="n">
        <v>0</v>
      </c>
      <c r="U7444" t="n">
        <v>0</v>
      </c>
      <c r="V7444" s="2" t="inlineStr"/>
    </row>
    <row r="7445" ht="15" customHeight="1">
      <c r="A7445" t="inlineStr">
        <is>
          <t>A 8137-2023</t>
        </is>
      </c>
      <c r="B7445" t="inlineStr">
        <is>
          <t>avverkningsanmälan</t>
        </is>
      </c>
      <c r="C7445" t="inlineStr">
        <is>
          <t>Föryngringsavverkning</t>
        </is>
      </c>
      <c r="D7445" s="1" t="n">
        <v>44974</v>
      </c>
      <c r="E7445" s="1" t="n">
        <v>46326</v>
      </c>
      <c r="F7445" t="inlineStr">
        <is>
          <t>GÄVLEBORGS LÄN</t>
        </is>
      </c>
      <c r="G7445" t="inlineStr">
        <is>
          <t>HUDIKSVALL</t>
        </is>
      </c>
      <c r="I7445" t="n">
        <v>0.4</v>
      </c>
      <c r="J7445" t="n">
        <v>0</v>
      </c>
      <c r="K7445" t="n">
        <v>0</v>
      </c>
      <c r="L7445" t="n">
        <v>0</v>
      </c>
      <c r="M7445" t="n">
        <v>0</v>
      </c>
      <c r="N7445" t="n">
        <v>0</v>
      </c>
      <c r="O7445" t="n">
        <v>0</v>
      </c>
      <c r="P7445" t="n">
        <v>0</v>
      </c>
      <c r="Q7445" t="n">
        <v>0</v>
      </c>
      <c r="R7445" t="n">
        <v>0</v>
      </c>
      <c r="S7445" t="n">
        <v>0</v>
      </c>
      <c r="T7445" t="n">
        <v>0</v>
      </c>
      <c r="U7445" t="n">
        <v>0</v>
      </c>
      <c r="V7445" s="2" t="inlineStr"/>
    </row>
    <row r="7446" ht="15" customHeight="1">
      <c r="A7446" t="inlineStr">
        <is>
          <t>A 47459-2023</t>
        </is>
      </c>
      <c r="B7446" t="inlineStr">
        <is>
          <t>avverkningsanmälan</t>
        </is>
      </c>
      <c r="C7446" t="inlineStr">
        <is>
          <t>Föryngringsavverkning</t>
        </is>
      </c>
      <c r="D7446" s="1" t="n">
        <v>45202</v>
      </c>
      <c r="E7446" s="1" t="n">
        <v>46326</v>
      </c>
      <c r="F7446" t="inlineStr">
        <is>
          <t>GÄVLEBORGS LÄN</t>
        </is>
      </c>
      <c r="G7446" t="inlineStr">
        <is>
          <t>HOFORS</t>
        </is>
      </c>
      <c r="I7446" t="n">
        <v>6</v>
      </c>
      <c r="J7446" t="n">
        <v>0</v>
      </c>
      <c r="K7446" t="n">
        <v>0</v>
      </c>
      <c r="L7446" t="n">
        <v>0</v>
      </c>
      <c r="M7446" t="n">
        <v>0</v>
      </c>
      <c r="N7446" t="n">
        <v>0</v>
      </c>
      <c r="O7446" t="n">
        <v>0</v>
      </c>
      <c r="P7446" t="n">
        <v>0</v>
      </c>
      <c r="Q7446" t="n">
        <v>0</v>
      </c>
      <c r="R7446" t="n">
        <v>0</v>
      </c>
      <c r="S7446" t="n">
        <v>0</v>
      </c>
      <c r="T7446" t="n">
        <v>0</v>
      </c>
      <c r="U7446" t="n">
        <v>0</v>
      </c>
      <c r="V7446" s="2" t="inlineStr"/>
    </row>
    <row r="7447" ht="15" customHeight="1">
      <c r="A7447" t="inlineStr">
        <is>
          <t>A 20481-2026</t>
        </is>
      </c>
      <c r="B7447" t="inlineStr">
        <is>
          <t>avverkningsanmälan</t>
        </is>
      </c>
      <c r="C7447" t="inlineStr">
        <is>
          <t>Föryngringsavverkning</t>
        </is>
      </c>
      <c r="D7447" s="1" t="n">
        <v>46140</v>
      </c>
      <c r="E7447" s="1" t="n">
        <v>46326</v>
      </c>
      <c r="F7447" t="inlineStr">
        <is>
          <t>GÄVLEBORGS LÄN</t>
        </is>
      </c>
      <c r="G7447" t="inlineStr">
        <is>
          <t>OCKELBO</t>
        </is>
      </c>
      <c r="H7447" t="inlineStr">
        <is>
          <t>Bergvik skog väst AB</t>
        </is>
      </c>
      <c r="I7447" t="n">
        <v>2.4</v>
      </c>
      <c r="J7447" t="n">
        <v>0</v>
      </c>
      <c r="K7447" t="n">
        <v>0</v>
      </c>
      <c r="L7447" t="n">
        <v>0</v>
      </c>
      <c r="M7447" t="n">
        <v>0</v>
      </c>
      <c r="N7447" t="n">
        <v>0</v>
      </c>
      <c r="O7447" t="n">
        <v>0</v>
      </c>
      <c r="P7447" t="n">
        <v>0</v>
      </c>
      <c r="Q7447" t="n">
        <v>0</v>
      </c>
      <c r="R7447" t="n">
        <v>0</v>
      </c>
      <c r="S7447" t="n">
        <v>0</v>
      </c>
      <c r="T7447" t="n">
        <v>0</v>
      </c>
      <c r="U7447" t="n">
        <v>0</v>
      </c>
      <c r="V7447" s="2" t="inlineStr"/>
    </row>
    <row r="7448" ht="15" customHeight="1">
      <c r="A7448" t="inlineStr">
        <is>
          <t>A 20486-2026</t>
        </is>
      </c>
      <c r="B7448" t="inlineStr">
        <is>
          <t>avverkningsanmälan</t>
        </is>
      </c>
      <c r="C7448" t="inlineStr">
        <is>
          <t>Föryngringsavverkning</t>
        </is>
      </c>
      <c r="D7448" s="1" t="n">
        <v>46140</v>
      </c>
      <c r="E7448" s="1" t="n">
        <v>46326</v>
      </c>
      <c r="F7448" t="inlineStr">
        <is>
          <t>GÄVLEBORGS LÄN</t>
        </is>
      </c>
      <c r="G7448" t="inlineStr">
        <is>
          <t>BOLLNÄS</t>
        </is>
      </c>
      <c r="I7448" t="n">
        <v>1.3</v>
      </c>
      <c r="J7448" t="n">
        <v>0</v>
      </c>
      <c r="K7448" t="n">
        <v>0</v>
      </c>
      <c r="L7448" t="n">
        <v>0</v>
      </c>
      <c r="M7448" t="n">
        <v>0</v>
      </c>
      <c r="N7448" t="n">
        <v>0</v>
      </c>
      <c r="O7448" t="n">
        <v>0</v>
      </c>
      <c r="P7448" t="n">
        <v>0</v>
      </c>
      <c r="Q7448" t="n">
        <v>0</v>
      </c>
      <c r="R7448" t="n">
        <v>0</v>
      </c>
      <c r="S7448" t="n">
        <v>0</v>
      </c>
      <c r="T7448" t="n">
        <v>0</v>
      </c>
      <c r="U7448" t="n">
        <v>0</v>
      </c>
      <c r="V7448" s="2" t="inlineStr"/>
    </row>
    <row r="7449" ht="15" customHeight="1">
      <c r="A7449" t="inlineStr">
        <is>
          <t>A 10727-2026</t>
        </is>
      </c>
      <c r="B7449" t="inlineStr">
        <is>
          <t>avverkningsanmälan</t>
        </is>
      </c>
      <c r="C7449" t="inlineStr">
        <is>
          <t>Föryngringsavverkning</t>
        </is>
      </c>
      <c r="D7449" s="1" t="n">
        <v>46078</v>
      </c>
      <c r="E7449" s="1" t="n">
        <v>46326</v>
      </c>
      <c r="F7449" t="inlineStr">
        <is>
          <t>GÄVLEBORGS LÄN</t>
        </is>
      </c>
      <c r="G7449" t="inlineStr">
        <is>
          <t>BOLLNÄS</t>
        </is>
      </c>
      <c r="I7449" t="n">
        <v>3.6</v>
      </c>
      <c r="J7449" t="n">
        <v>0</v>
      </c>
      <c r="K7449" t="n">
        <v>0</v>
      </c>
      <c r="L7449" t="n">
        <v>0</v>
      </c>
      <c r="M7449" t="n">
        <v>0</v>
      </c>
      <c r="N7449" t="n">
        <v>0</v>
      </c>
      <c r="O7449" t="n">
        <v>0</v>
      </c>
      <c r="P7449" t="n">
        <v>0</v>
      </c>
      <c r="Q7449" t="n">
        <v>0</v>
      </c>
      <c r="R7449" t="n">
        <v>0</v>
      </c>
      <c r="S7449" t="n">
        <v>0</v>
      </c>
      <c r="T7449" t="n">
        <v>0</v>
      </c>
      <c r="U7449" t="n">
        <v>0</v>
      </c>
      <c r="V7449" s="2" t="inlineStr"/>
    </row>
    <row r="7450" ht="15" customHeight="1">
      <c r="A7450" t="inlineStr">
        <is>
          <t>A 15374-2026</t>
        </is>
      </c>
      <c r="B7450" t="inlineStr">
        <is>
          <t>avverkningsanmälan</t>
        </is>
      </c>
      <c r="C7450" t="inlineStr">
        <is>
          <t>Föryngringsavverkning</t>
        </is>
      </c>
      <c r="D7450" s="1" t="n">
        <v>46106</v>
      </c>
      <c r="E7450" s="1" t="n">
        <v>46326</v>
      </c>
      <c r="F7450" t="inlineStr">
        <is>
          <t>GÄVLEBORGS LÄN</t>
        </is>
      </c>
      <c r="G7450" t="inlineStr">
        <is>
          <t>BOLLNÄS</t>
        </is>
      </c>
      <c r="H7450" t="inlineStr">
        <is>
          <t>Kyrkan</t>
        </is>
      </c>
      <c r="I7450" t="n">
        <v>4.7</v>
      </c>
      <c r="J7450" t="n">
        <v>0</v>
      </c>
      <c r="K7450" t="n">
        <v>0</v>
      </c>
      <c r="L7450" t="n">
        <v>0</v>
      </c>
      <c r="M7450" t="n">
        <v>0</v>
      </c>
      <c r="N7450" t="n">
        <v>0</v>
      </c>
      <c r="O7450" t="n">
        <v>0</v>
      </c>
      <c r="P7450" t="n">
        <v>0</v>
      </c>
      <c r="Q7450" t="n">
        <v>0</v>
      </c>
      <c r="R7450" t="n">
        <v>0</v>
      </c>
      <c r="S7450" t="n">
        <v>0</v>
      </c>
      <c r="T7450" t="n">
        <v>0</v>
      </c>
      <c r="U7450" t="n">
        <v>0</v>
      </c>
      <c r="V7450" s="2" t="inlineStr"/>
    </row>
    <row r="7451" ht="15" customHeight="1">
      <c r="A7451" t="inlineStr">
        <is>
          <t>A 15391-2026</t>
        </is>
      </c>
      <c r="B7451" t="inlineStr">
        <is>
          <t>avverkningsanmälan</t>
        </is>
      </c>
      <c r="C7451" t="inlineStr">
        <is>
          <t>Föryngringsavverkning</t>
        </is>
      </c>
      <c r="D7451" s="1" t="n">
        <v>46106</v>
      </c>
      <c r="E7451" s="1" t="n">
        <v>46326</v>
      </c>
      <c r="F7451" t="inlineStr">
        <is>
          <t>GÄVLEBORGS LÄN</t>
        </is>
      </c>
      <c r="G7451" t="inlineStr">
        <is>
          <t>BOLLNÄS</t>
        </is>
      </c>
      <c r="I7451" t="n">
        <v>3.8</v>
      </c>
      <c r="J7451" t="n">
        <v>0</v>
      </c>
      <c r="K7451" t="n">
        <v>0</v>
      </c>
      <c r="L7451" t="n">
        <v>0</v>
      </c>
      <c r="M7451" t="n">
        <v>0</v>
      </c>
      <c r="N7451" t="n">
        <v>0</v>
      </c>
      <c r="O7451" t="n">
        <v>0</v>
      </c>
      <c r="P7451" t="n">
        <v>0</v>
      </c>
      <c r="Q7451" t="n">
        <v>0</v>
      </c>
      <c r="R7451" t="n">
        <v>0</v>
      </c>
      <c r="S7451" t="n">
        <v>0</v>
      </c>
      <c r="T7451" t="n">
        <v>0</v>
      </c>
      <c r="U7451" t="n">
        <v>0</v>
      </c>
      <c r="V7451" s="2" t="inlineStr"/>
    </row>
    <row r="7452" ht="15" customHeight="1">
      <c r="A7452" t="inlineStr">
        <is>
          <t>A 7298-2026</t>
        </is>
      </c>
      <c r="B7452" t="inlineStr">
        <is>
          <t>avverkningsanmälan</t>
        </is>
      </c>
      <c r="C7452" t="inlineStr">
        <is>
          <t>Föryngringsavverkning</t>
        </is>
      </c>
      <c r="D7452" s="1" t="n">
        <v>46058</v>
      </c>
      <c r="E7452" s="1" t="n">
        <v>46326</v>
      </c>
      <c r="F7452" t="inlineStr">
        <is>
          <t>GÄVLEBORGS LÄN</t>
        </is>
      </c>
      <c r="G7452" t="inlineStr">
        <is>
          <t>HUDIKSVALL</t>
        </is>
      </c>
      <c r="I7452" t="n">
        <v>0.8</v>
      </c>
      <c r="J7452" t="n">
        <v>0</v>
      </c>
      <c r="K7452" t="n">
        <v>0</v>
      </c>
      <c r="L7452" t="n">
        <v>0</v>
      </c>
      <c r="M7452" t="n">
        <v>0</v>
      </c>
      <c r="N7452" t="n">
        <v>0</v>
      </c>
      <c r="O7452" t="n">
        <v>0</v>
      </c>
      <c r="P7452" t="n">
        <v>0</v>
      </c>
      <c r="Q7452" t="n">
        <v>0</v>
      </c>
      <c r="R7452" t="n">
        <v>0</v>
      </c>
      <c r="S7452" t="n">
        <v>0</v>
      </c>
      <c r="T7452" t="n">
        <v>0</v>
      </c>
      <c r="U7452" t="n">
        <v>0</v>
      </c>
      <c r="V7452" s="2" t="inlineStr"/>
    </row>
    <row r="7453" ht="15" customHeight="1">
      <c r="A7453" t="inlineStr">
        <is>
          <t>A 7949-2026</t>
        </is>
      </c>
      <c r="B7453" t="inlineStr">
        <is>
          <t>avverkningsanmälan</t>
        </is>
      </c>
      <c r="C7453" t="inlineStr">
        <is>
          <t>Föryngringsavverkning</t>
        </is>
      </c>
      <c r="D7453" s="1" t="n">
        <v>46063</v>
      </c>
      <c r="E7453" s="1" t="n">
        <v>46326</v>
      </c>
      <c r="F7453" t="inlineStr">
        <is>
          <t>GÄVLEBORGS LÄN</t>
        </is>
      </c>
      <c r="G7453" t="inlineStr">
        <is>
          <t>OCKELBO</t>
        </is>
      </c>
      <c r="I7453" t="n">
        <v>0.6</v>
      </c>
      <c r="J7453" t="n">
        <v>0</v>
      </c>
      <c r="K7453" t="n">
        <v>0</v>
      </c>
      <c r="L7453" t="n">
        <v>0</v>
      </c>
      <c r="M7453" t="n">
        <v>0</v>
      </c>
      <c r="N7453" t="n">
        <v>0</v>
      </c>
      <c r="O7453" t="n">
        <v>0</v>
      </c>
      <c r="P7453" t="n">
        <v>0</v>
      </c>
      <c r="Q7453" t="n">
        <v>0</v>
      </c>
      <c r="R7453" t="n">
        <v>0</v>
      </c>
      <c r="S7453" t="n">
        <v>0</v>
      </c>
      <c r="T7453" t="n">
        <v>0</v>
      </c>
      <c r="U7453" t="n">
        <v>0</v>
      </c>
      <c r="V7453" s="2" t="inlineStr"/>
    </row>
    <row r="7454" ht="15" customHeight="1">
      <c r="A7454" t="inlineStr">
        <is>
          <t>A 2120-2026</t>
        </is>
      </c>
      <c r="B7454" t="inlineStr">
        <is>
          <t>avverkningsanmälan</t>
        </is>
      </c>
      <c r="C7454" t="inlineStr">
        <is>
          <t>Föryngringsavverkning</t>
        </is>
      </c>
      <c r="D7454" s="1" t="n">
        <v>46036</v>
      </c>
      <c r="E7454" s="1" t="n">
        <v>46326</v>
      </c>
      <c r="F7454" t="inlineStr">
        <is>
          <t>GÄVLEBORGS LÄN</t>
        </is>
      </c>
      <c r="G7454" t="inlineStr">
        <is>
          <t>OVANÅKER</t>
        </is>
      </c>
      <c r="I7454" t="n">
        <v>6.6</v>
      </c>
      <c r="J7454" t="n">
        <v>0</v>
      </c>
      <c r="K7454" t="n">
        <v>0</v>
      </c>
      <c r="L7454" t="n">
        <v>0</v>
      </c>
      <c r="M7454" t="n">
        <v>0</v>
      </c>
      <c r="N7454" t="n">
        <v>0</v>
      </c>
      <c r="O7454" t="n">
        <v>0</v>
      </c>
      <c r="P7454" t="n">
        <v>0</v>
      </c>
      <c r="Q7454" t="n">
        <v>0</v>
      </c>
      <c r="R7454" t="n">
        <v>0</v>
      </c>
      <c r="S7454" t="n">
        <v>0</v>
      </c>
      <c r="T7454" t="n">
        <v>0</v>
      </c>
      <c r="U7454" t="n">
        <v>0</v>
      </c>
      <c r="V7454" s="2" t="inlineStr"/>
    </row>
    <row r="7455" ht="15" customHeight="1">
      <c r="A7455" t="inlineStr">
        <is>
          <t>A 20685-2026</t>
        </is>
      </c>
      <c r="B7455" t="inlineStr">
        <is>
          <t>avverkningsanmälan</t>
        </is>
      </c>
      <c r="C7455" t="inlineStr">
        <is>
          <t>Föryngringsavverkning</t>
        </is>
      </c>
      <c r="D7455" s="1" t="n">
        <v>46141</v>
      </c>
      <c r="E7455" s="1" t="n">
        <v>46326</v>
      </c>
      <c r="F7455" t="inlineStr">
        <is>
          <t>GÄVLEBORGS LÄN</t>
        </is>
      </c>
      <c r="G7455" t="inlineStr">
        <is>
          <t>GÄVLE</t>
        </is>
      </c>
      <c r="H7455" t="inlineStr">
        <is>
          <t>Bergvik skog öst AB</t>
        </is>
      </c>
      <c r="I7455" t="n">
        <v>0.5</v>
      </c>
      <c r="J7455" t="n">
        <v>0</v>
      </c>
      <c r="K7455" t="n">
        <v>0</v>
      </c>
      <c r="L7455" t="n">
        <v>0</v>
      </c>
      <c r="M7455" t="n">
        <v>0</v>
      </c>
      <c r="N7455" t="n">
        <v>0</v>
      </c>
      <c r="O7455" t="n">
        <v>0</v>
      </c>
      <c r="P7455" t="n">
        <v>0</v>
      </c>
      <c r="Q7455" t="n">
        <v>0</v>
      </c>
      <c r="R7455" t="n">
        <v>0</v>
      </c>
      <c r="S7455" t="n">
        <v>0</v>
      </c>
      <c r="T7455" t="n">
        <v>0</v>
      </c>
      <c r="U7455" t="n">
        <v>0</v>
      </c>
      <c r="V7455" s="2" t="inlineStr"/>
    </row>
    <row r="7456" ht="15" customHeight="1">
      <c r="A7456" t="inlineStr">
        <is>
          <t>A 20728-2026</t>
        </is>
      </c>
      <c r="B7456" t="inlineStr">
        <is>
          <t>avverkningsanmälan</t>
        </is>
      </c>
      <c r="C7456" t="inlineStr">
        <is>
          <t>Föryngringsavverkning</t>
        </is>
      </c>
      <c r="D7456" s="1" t="n">
        <v>46141</v>
      </c>
      <c r="E7456" s="1" t="n">
        <v>46326</v>
      </c>
      <c r="F7456" t="inlineStr">
        <is>
          <t>GÄVLEBORGS LÄN</t>
        </is>
      </c>
      <c r="G7456" t="inlineStr">
        <is>
          <t>HUDIKSVALL</t>
        </is>
      </c>
      <c r="I7456" t="n">
        <v>6.1</v>
      </c>
      <c r="J7456" t="n">
        <v>0</v>
      </c>
      <c r="K7456" t="n">
        <v>0</v>
      </c>
      <c r="L7456" t="n">
        <v>0</v>
      </c>
      <c r="M7456" t="n">
        <v>0</v>
      </c>
      <c r="N7456" t="n">
        <v>0</v>
      </c>
      <c r="O7456" t="n">
        <v>0</v>
      </c>
      <c r="P7456" t="n">
        <v>0</v>
      </c>
      <c r="Q7456" t="n">
        <v>0</v>
      </c>
      <c r="R7456" t="n">
        <v>0</v>
      </c>
      <c r="S7456" t="n">
        <v>0</v>
      </c>
      <c r="T7456" t="n">
        <v>0</v>
      </c>
      <c r="U7456" t="n">
        <v>0</v>
      </c>
      <c r="V7456" s="2" t="inlineStr"/>
    </row>
    <row r="7457" ht="15" customHeight="1">
      <c r="A7457" t="inlineStr">
        <is>
          <t>A 20735-2026</t>
        </is>
      </c>
      <c r="B7457" t="inlineStr">
        <is>
          <t>avverkningsanmälan</t>
        </is>
      </c>
      <c r="C7457" t="inlineStr">
        <is>
          <t>Föryngringsavverkning</t>
        </is>
      </c>
      <c r="D7457" s="1" t="n">
        <v>46141</v>
      </c>
      <c r="E7457" s="1" t="n">
        <v>46326</v>
      </c>
      <c r="F7457" t="inlineStr">
        <is>
          <t>GÄVLEBORGS LÄN</t>
        </is>
      </c>
      <c r="G7457" t="inlineStr">
        <is>
          <t>GÄVLE</t>
        </is>
      </c>
      <c r="H7457" t="inlineStr">
        <is>
          <t>Bergvik skog öst AB</t>
        </is>
      </c>
      <c r="I7457" t="n">
        <v>0.8</v>
      </c>
      <c r="J7457" t="n">
        <v>0</v>
      </c>
      <c r="K7457" t="n">
        <v>0</v>
      </c>
      <c r="L7457" t="n">
        <v>0</v>
      </c>
      <c r="M7457" t="n">
        <v>0</v>
      </c>
      <c r="N7457" t="n">
        <v>0</v>
      </c>
      <c r="O7457" t="n">
        <v>0</v>
      </c>
      <c r="P7457" t="n">
        <v>0</v>
      </c>
      <c r="Q7457" t="n">
        <v>0</v>
      </c>
      <c r="R7457" t="n">
        <v>0</v>
      </c>
      <c r="S7457" t="n">
        <v>0</v>
      </c>
      <c r="T7457" t="n">
        <v>0</v>
      </c>
      <c r="U7457" t="n">
        <v>0</v>
      </c>
      <c r="V7457" s="2" t="inlineStr"/>
    </row>
    <row r="7458" ht="15" customHeight="1">
      <c r="A7458" t="inlineStr">
        <is>
          <t>A 44633-2024</t>
        </is>
      </c>
      <c r="B7458" t="inlineStr">
        <is>
          <t>avverkningsanmälan</t>
        </is>
      </c>
      <c r="C7458" t="inlineStr">
        <is>
          <t>Avverkning för att bevara och utveckla /försöksver</t>
        </is>
      </c>
      <c r="D7458" s="1" t="n">
        <v>45574</v>
      </c>
      <c r="E7458" s="1" t="n">
        <v>46326</v>
      </c>
      <c r="F7458" t="inlineStr">
        <is>
          <t>GÄVLEBORGS LÄN</t>
        </is>
      </c>
      <c r="G7458" t="inlineStr">
        <is>
          <t>LJUSDAL</t>
        </is>
      </c>
      <c r="H7458" t="inlineStr">
        <is>
          <t>SCA</t>
        </is>
      </c>
      <c r="I7458" t="n">
        <v>5.2</v>
      </c>
      <c r="J7458" t="n">
        <v>0</v>
      </c>
      <c r="K7458" t="n">
        <v>0</v>
      </c>
      <c r="L7458" t="n">
        <v>0</v>
      </c>
      <c r="M7458" t="n">
        <v>0</v>
      </c>
      <c r="N7458" t="n">
        <v>0</v>
      </c>
      <c r="O7458" t="n">
        <v>0</v>
      </c>
      <c r="P7458" t="n">
        <v>0</v>
      </c>
      <c r="Q7458" t="n">
        <v>0</v>
      </c>
      <c r="R7458" t="n">
        <v>0</v>
      </c>
      <c r="S7458" t="n">
        <v>0</v>
      </c>
      <c r="T7458" t="n">
        <v>0</v>
      </c>
      <c r="U7458" t="n">
        <v>0</v>
      </c>
      <c r="V7458" s="2" t="inlineStr"/>
    </row>
    <row r="7459" ht="15" customHeight="1">
      <c r="A7459" t="inlineStr">
        <is>
          <t>A 22129-2023</t>
        </is>
      </c>
      <c r="B7459" t="inlineStr">
        <is>
          <t>avverkningsanmälan</t>
        </is>
      </c>
      <c r="C7459" t="inlineStr">
        <is>
          <t>Avverkning för annat ändamål</t>
        </is>
      </c>
      <c r="D7459" s="1" t="n">
        <v>45069</v>
      </c>
      <c r="E7459" s="1" t="n">
        <v>46326</v>
      </c>
      <c r="F7459" t="inlineStr">
        <is>
          <t>GÄVLEBORGS LÄN</t>
        </is>
      </c>
      <c r="G7459" t="inlineStr">
        <is>
          <t>HOFORS</t>
        </is>
      </c>
      <c r="H7459" t="inlineStr">
        <is>
          <t>Sveaskog</t>
        </is>
      </c>
      <c r="I7459" t="n">
        <v>0.7</v>
      </c>
      <c r="J7459" t="n">
        <v>0</v>
      </c>
      <c r="K7459" t="n">
        <v>0</v>
      </c>
      <c r="L7459" t="n">
        <v>0</v>
      </c>
      <c r="M7459" t="n">
        <v>0</v>
      </c>
      <c r="N7459" t="n">
        <v>0</v>
      </c>
      <c r="O7459" t="n">
        <v>0</v>
      </c>
      <c r="P7459" t="n">
        <v>0</v>
      </c>
      <c r="Q7459" t="n">
        <v>0</v>
      </c>
      <c r="R7459" t="n">
        <v>0</v>
      </c>
      <c r="S7459" t="n">
        <v>0</v>
      </c>
      <c r="T7459" t="n">
        <v>0</v>
      </c>
      <c r="U7459" t="n">
        <v>0</v>
      </c>
      <c r="V7459" s="2" t="inlineStr"/>
    </row>
    <row r="7460" ht="15" customHeight="1">
      <c r="A7460" t="inlineStr">
        <is>
          <t>A 17113-2024</t>
        </is>
      </c>
      <c r="B7460" t="inlineStr">
        <is>
          <t>avverkningsanmälan</t>
        </is>
      </c>
      <c r="C7460" t="inlineStr">
        <is>
          <t>Föryngringsavverkning</t>
        </is>
      </c>
      <c r="D7460" s="1" t="n">
        <v>45412</v>
      </c>
      <c r="E7460" s="1" t="n">
        <v>46326</v>
      </c>
      <c r="F7460" t="inlineStr">
        <is>
          <t>GÄVLEBORGS LÄN</t>
        </is>
      </c>
      <c r="G7460" t="inlineStr">
        <is>
          <t>GÄVLE</t>
        </is>
      </c>
      <c r="I7460" t="n">
        <v>3.4</v>
      </c>
      <c r="J7460" t="n">
        <v>0</v>
      </c>
      <c r="K7460" t="n">
        <v>0</v>
      </c>
      <c r="L7460" t="n">
        <v>0</v>
      </c>
      <c r="M7460" t="n">
        <v>0</v>
      </c>
      <c r="N7460" t="n">
        <v>0</v>
      </c>
      <c r="O7460" t="n">
        <v>0</v>
      </c>
      <c r="P7460" t="n">
        <v>0</v>
      </c>
      <c r="Q7460" t="n">
        <v>0</v>
      </c>
      <c r="R7460" t="n">
        <v>0</v>
      </c>
      <c r="S7460" t="n">
        <v>0</v>
      </c>
      <c r="T7460" t="n">
        <v>0</v>
      </c>
      <c r="U7460" t="n">
        <v>0</v>
      </c>
      <c r="V7460" s="2" t="inlineStr"/>
    </row>
    <row r="7461" ht="15" customHeight="1">
      <c r="A7461" t="inlineStr">
        <is>
          <t>A 56631-2022</t>
        </is>
      </c>
      <c r="B7461" t="inlineStr">
        <is>
          <t>avverkningsanmälan</t>
        </is>
      </c>
      <c r="C7461" t="inlineStr">
        <is>
          <t>Föryngringsavverkning</t>
        </is>
      </c>
      <c r="D7461" s="1" t="n">
        <v>44893</v>
      </c>
      <c r="E7461" s="1" t="n">
        <v>46326</v>
      </c>
      <c r="F7461" t="inlineStr">
        <is>
          <t>GÄVLEBORGS LÄN</t>
        </is>
      </c>
      <c r="G7461" t="inlineStr">
        <is>
          <t>OCKELBO</t>
        </is>
      </c>
      <c r="I7461" t="n">
        <v>1.5</v>
      </c>
      <c r="J7461" t="n">
        <v>0</v>
      </c>
      <c r="K7461" t="n">
        <v>0</v>
      </c>
      <c r="L7461" t="n">
        <v>0</v>
      </c>
      <c r="M7461" t="n">
        <v>0</v>
      </c>
      <c r="N7461" t="n">
        <v>0</v>
      </c>
      <c r="O7461" t="n">
        <v>0</v>
      </c>
      <c r="P7461" t="n">
        <v>0</v>
      </c>
      <c r="Q7461" t="n">
        <v>0</v>
      </c>
      <c r="R7461" t="n">
        <v>0</v>
      </c>
      <c r="S7461" t="n">
        <v>0</v>
      </c>
      <c r="T7461" t="n">
        <v>0</v>
      </c>
      <c r="U7461" t="n">
        <v>0</v>
      </c>
      <c r="V7461" s="2" t="inlineStr"/>
    </row>
    <row r="7462" ht="15" customHeight="1">
      <c r="A7462" t="inlineStr">
        <is>
          <t>A 56637-2022</t>
        </is>
      </c>
      <c r="B7462" t="inlineStr">
        <is>
          <t>avverkningsanmälan</t>
        </is>
      </c>
      <c r="C7462" t="inlineStr">
        <is>
          <t>Föryngringsavverkning</t>
        </is>
      </c>
      <c r="D7462" s="1" t="n">
        <v>44893</v>
      </c>
      <c r="E7462" s="1" t="n">
        <v>46326</v>
      </c>
      <c r="F7462" t="inlineStr">
        <is>
          <t>GÄVLEBORGS LÄN</t>
        </is>
      </c>
      <c r="G7462" t="inlineStr">
        <is>
          <t>HUDIKSVALL</t>
        </is>
      </c>
      <c r="H7462" t="inlineStr">
        <is>
          <t>Holmen skog AB</t>
        </is>
      </c>
      <c r="I7462" t="n">
        <v>0.8</v>
      </c>
      <c r="J7462" t="n">
        <v>0</v>
      </c>
      <c r="K7462" t="n">
        <v>0</v>
      </c>
      <c r="L7462" t="n">
        <v>0</v>
      </c>
      <c r="M7462" t="n">
        <v>0</v>
      </c>
      <c r="N7462" t="n">
        <v>0</v>
      </c>
      <c r="O7462" t="n">
        <v>0</v>
      </c>
      <c r="P7462" t="n">
        <v>0</v>
      </c>
      <c r="Q7462" t="n">
        <v>0</v>
      </c>
      <c r="R7462" t="n">
        <v>0</v>
      </c>
      <c r="S7462" t="n">
        <v>0</v>
      </c>
      <c r="T7462" t="n">
        <v>0</v>
      </c>
      <c r="U7462" t="n">
        <v>0</v>
      </c>
      <c r="V7462" s="2" t="inlineStr"/>
    </row>
    <row r="7463" ht="15" customHeight="1">
      <c r="A7463" t="inlineStr">
        <is>
          <t>A 12312-2026</t>
        </is>
      </c>
      <c r="B7463" t="inlineStr">
        <is>
          <t>avverkningsanmälan</t>
        </is>
      </c>
      <c r="C7463" t="inlineStr">
        <is>
          <t>Föryngringsavverkning</t>
        </is>
      </c>
      <c r="D7463" s="1" t="n">
        <v>46087</v>
      </c>
      <c r="E7463" s="1" t="n">
        <v>46326</v>
      </c>
      <c r="F7463" t="inlineStr">
        <is>
          <t>GÄVLEBORGS LÄN</t>
        </is>
      </c>
      <c r="G7463" t="inlineStr">
        <is>
          <t>HUDIKSVALL</t>
        </is>
      </c>
      <c r="H7463" t="inlineStr">
        <is>
          <t>Kyrkan</t>
        </is>
      </c>
      <c r="I7463" t="n">
        <v>4.6</v>
      </c>
      <c r="J7463" t="n">
        <v>0</v>
      </c>
      <c r="K7463" t="n">
        <v>0</v>
      </c>
      <c r="L7463" t="n">
        <v>0</v>
      </c>
      <c r="M7463" t="n">
        <v>0</v>
      </c>
      <c r="N7463" t="n">
        <v>0</v>
      </c>
      <c r="O7463" t="n">
        <v>0</v>
      </c>
      <c r="P7463" t="n">
        <v>0</v>
      </c>
      <c r="Q7463" t="n">
        <v>0</v>
      </c>
      <c r="R7463" t="n">
        <v>0</v>
      </c>
      <c r="S7463" t="n">
        <v>0</v>
      </c>
      <c r="T7463" t="n">
        <v>0</v>
      </c>
      <c r="U7463" t="n">
        <v>0</v>
      </c>
      <c r="V7463" s="2" t="inlineStr"/>
    </row>
    <row r="7464" ht="15" customHeight="1">
      <c r="A7464" t="inlineStr">
        <is>
          <t>A 15237-2026</t>
        </is>
      </c>
      <c r="B7464" t="inlineStr">
        <is>
          <t>avverkningsanmälan</t>
        </is>
      </c>
      <c r="C7464" t="inlineStr">
        <is>
          <t>Föryngringsavverkning</t>
        </is>
      </c>
      <c r="D7464" s="1" t="n">
        <v>46105</v>
      </c>
      <c r="E7464" s="1" t="n">
        <v>46326</v>
      </c>
      <c r="F7464" t="inlineStr">
        <is>
          <t>GÄVLEBORGS LÄN</t>
        </is>
      </c>
      <c r="G7464" t="inlineStr">
        <is>
          <t>SANDVIKEN</t>
        </is>
      </c>
      <c r="I7464" t="n">
        <v>6.8</v>
      </c>
      <c r="J7464" t="n">
        <v>0</v>
      </c>
      <c r="K7464" t="n">
        <v>0</v>
      </c>
      <c r="L7464" t="n">
        <v>0</v>
      </c>
      <c r="M7464" t="n">
        <v>0</v>
      </c>
      <c r="N7464" t="n">
        <v>0</v>
      </c>
      <c r="O7464" t="n">
        <v>0</v>
      </c>
      <c r="P7464" t="n">
        <v>0</v>
      </c>
      <c r="Q7464" t="n">
        <v>0</v>
      </c>
      <c r="R7464" t="n">
        <v>0</v>
      </c>
      <c r="S7464" t="n">
        <v>0</v>
      </c>
      <c r="T7464" t="n">
        <v>0</v>
      </c>
      <c r="U7464" t="n">
        <v>0</v>
      </c>
      <c r="V7464" s="2" t="inlineStr"/>
    </row>
    <row r="7465" ht="15" customHeight="1">
      <c r="A7465" t="inlineStr">
        <is>
          <t>A 17517-2025</t>
        </is>
      </c>
      <c r="B7465" t="inlineStr">
        <is>
          <t>avverkningsanmälan</t>
        </is>
      </c>
      <c r="C7465" t="inlineStr">
        <is>
          <t>Föryngringsavverkning</t>
        </is>
      </c>
      <c r="D7465" s="1" t="n">
        <v>45757</v>
      </c>
      <c r="E7465" s="1" t="n">
        <v>46326</v>
      </c>
      <c r="F7465" t="inlineStr">
        <is>
          <t>GÄVLEBORGS LÄN</t>
        </is>
      </c>
      <c r="G7465" t="inlineStr">
        <is>
          <t>SÖDERHAMN</t>
        </is>
      </c>
      <c r="H7465" t="inlineStr">
        <is>
          <t>Kommuner</t>
        </is>
      </c>
      <c r="I7465" t="n">
        <v>3.6</v>
      </c>
      <c r="J7465" t="n">
        <v>0</v>
      </c>
      <c r="K7465" t="n">
        <v>0</v>
      </c>
      <c r="L7465" t="n">
        <v>0</v>
      </c>
      <c r="M7465" t="n">
        <v>0</v>
      </c>
      <c r="N7465" t="n">
        <v>0</v>
      </c>
      <c r="O7465" t="n">
        <v>0</v>
      </c>
      <c r="P7465" t="n">
        <v>0</v>
      </c>
      <c r="Q7465" t="n">
        <v>0</v>
      </c>
      <c r="R7465" t="n">
        <v>0</v>
      </c>
      <c r="S7465" t="n">
        <v>0</v>
      </c>
      <c r="T7465" t="n">
        <v>0</v>
      </c>
      <c r="U7465" t="n">
        <v>0</v>
      </c>
      <c r="V7465" s="2" t="inlineStr"/>
    </row>
    <row r="7466" ht="15" customHeight="1">
      <c r="A7466" t="inlineStr">
        <is>
          <t>A 64601-2021</t>
        </is>
      </c>
      <c r="B7466" t="inlineStr">
        <is>
          <t>avverkningsanmälan</t>
        </is>
      </c>
      <c r="C7466" t="inlineStr">
        <is>
          <t>Föryngringsavverkning</t>
        </is>
      </c>
      <c r="D7466" s="1" t="n">
        <v>44511</v>
      </c>
      <c r="E7466" s="1" t="n">
        <v>46326</v>
      </c>
      <c r="F7466" t="inlineStr">
        <is>
          <t>GÄVLEBORGS LÄN</t>
        </is>
      </c>
      <c r="G7466" t="inlineStr">
        <is>
          <t>LJUSDAL</t>
        </is>
      </c>
      <c r="H7466" t="inlineStr">
        <is>
          <t>Kommuner</t>
        </is>
      </c>
      <c r="I7466" t="n">
        <v>4.2</v>
      </c>
      <c r="J7466" t="n">
        <v>0</v>
      </c>
      <c r="K7466" t="n">
        <v>0</v>
      </c>
      <c r="L7466" t="n">
        <v>0</v>
      </c>
      <c r="M7466" t="n">
        <v>0</v>
      </c>
      <c r="N7466" t="n">
        <v>0</v>
      </c>
      <c r="O7466" t="n">
        <v>0</v>
      </c>
      <c r="P7466" t="n">
        <v>0</v>
      </c>
      <c r="Q7466" t="n">
        <v>0</v>
      </c>
      <c r="R7466" t="n">
        <v>0</v>
      </c>
      <c r="S7466" t="n">
        <v>0</v>
      </c>
      <c r="T7466" t="n">
        <v>0</v>
      </c>
      <c r="U7466" t="n">
        <v>0</v>
      </c>
      <c r="V7466" s="2" t="inlineStr"/>
    </row>
    <row r="7467" ht="15" customHeight="1">
      <c r="A7467" t="inlineStr">
        <is>
          <t>A 11546-2026</t>
        </is>
      </c>
      <c r="B7467" t="inlineStr">
        <is>
          <t>avverkningsanmälan</t>
        </is>
      </c>
      <c r="C7467" t="inlineStr">
        <is>
          <t>Föryngringsavverkning</t>
        </is>
      </c>
      <c r="D7467" s="1" t="n">
        <v>46084</v>
      </c>
      <c r="E7467" s="1" t="n">
        <v>46326</v>
      </c>
      <c r="F7467" t="inlineStr">
        <is>
          <t>GÄVLEBORGS LÄN</t>
        </is>
      </c>
      <c r="G7467" t="inlineStr">
        <is>
          <t>BOLLNÄS</t>
        </is>
      </c>
      <c r="I7467" t="n">
        <v>3.3</v>
      </c>
      <c r="J7467" t="n">
        <v>0</v>
      </c>
      <c r="K7467" t="n">
        <v>0</v>
      </c>
      <c r="L7467" t="n">
        <v>0</v>
      </c>
      <c r="M7467" t="n">
        <v>0</v>
      </c>
      <c r="N7467" t="n">
        <v>0</v>
      </c>
      <c r="O7467" t="n">
        <v>0</v>
      </c>
      <c r="P7467" t="n">
        <v>0</v>
      </c>
      <c r="Q7467" t="n">
        <v>0</v>
      </c>
      <c r="R7467" t="n">
        <v>0</v>
      </c>
      <c r="S7467" t="n">
        <v>0</v>
      </c>
      <c r="T7467" t="n">
        <v>0</v>
      </c>
      <c r="U7467" t="n">
        <v>0</v>
      </c>
      <c r="V7467" s="2" t="inlineStr"/>
    </row>
    <row r="7468" ht="15" customHeight="1">
      <c r="A7468" t="inlineStr">
        <is>
          <t>A 37739-2024</t>
        </is>
      </c>
      <c r="B7468" t="inlineStr">
        <is>
          <t>avverkningsanmälan</t>
        </is>
      </c>
      <c r="C7468" t="inlineStr">
        <is>
          <t>Föryngringsavverkning</t>
        </is>
      </c>
      <c r="D7468" s="1" t="n">
        <v>45541</v>
      </c>
      <c r="E7468" s="1" t="n">
        <v>46326</v>
      </c>
      <c r="F7468" t="inlineStr">
        <is>
          <t>GÄVLEBORGS LÄN</t>
        </is>
      </c>
      <c r="G7468" t="inlineStr">
        <is>
          <t>NORDANSTIG</t>
        </is>
      </c>
      <c r="H7468" t="inlineStr">
        <is>
          <t>Holmen skog AB</t>
        </is>
      </c>
      <c r="I7468" t="n">
        <v>3.6</v>
      </c>
      <c r="J7468" t="n">
        <v>0</v>
      </c>
      <c r="K7468" t="n">
        <v>0</v>
      </c>
      <c r="L7468" t="n">
        <v>0</v>
      </c>
      <c r="M7468" t="n">
        <v>0</v>
      </c>
      <c r="N7468" t="n">
        <v>0</v>
      </c>
      <c r="O7468" t="n">
        <v>0</v>
      </c>
      <c r="P7468" t="n">
        <v>0</v>
      </c>
      <c r="Q7468" t="n">
        <v>0</v>
      </c>
      <c r="R7468" t="n">
        <v>0</v>
      </c>
      <c r="S7468" t="n">
        <v>0</v>
      </c>
      <c r="T7468" t="n">
        <v>0</v>
      </c>
      <c r="U7468" t="n">
        <v>0</v>
      </c>
      <c r="V7468" s="2" t="inlineStr"/>
    </row>
    <row r="7469" ht="15" customHeight="1">
      <c r="A7469" t="inlineStr">
        <is>
          <t>A 13328-2026</t>
        </is>
      </c>
      <c r="B7469" t="inlineStr">
        <is>
          <t>avverkningsanmälan</t>
        </is>
      </c>
      <c r="C7469" t="inlineStr">
        <is>
          <t>Föryngringsavverkning</t>
        </is>
      </c>
      <c r="D7469" s="1" t="n">
        <v>46094</v>
      </c>
      <c r="E7469" s="1" t="n">
        <v>46326</v>
      </c>
      <c r="F7469" t="inlineStr">
        <is>
          <t>GÄVLEBORGS LÄN</t>
        </is>
      </c>
      <c r="G7469" t="inlineStr">
        <is>
          <t>LJUSDAL</t>
        </is>
      </c>
      <c r="H7469" t="inlineStr">
        <is>
          <t>Holmen skog AB</t>
        </is>
      </c>
      <c r="I7469" t="n">
        <v>1.8</v>
      </c>
      <c r="J7469" t="n">
        <v>0</v>
      </c>
      <c r="K7469" t="n">
        <v>0</v>
      </c>
      <c r="L7469" t="n">
        <v>0</v>
      </c>
      <c r="M7469" t="n">
        <v>0</v>
      </c>
      <c r="N7469" t="n">
        <v>0</v>
      </c>
      <c r="O7469" t="n">
        <v>0</v>
      </c>
      <c r="P7469" t="n">
        <v>0</v>
      </c>
      <c r="Q7469" t="n">
        <v>0</v>
      </c>
      <c r="R7469" t="n">
        <v>0</v>
      </c>
      <c r="S7469" t="n">
        <v>0</v>
      </c>
      <c r="T7469" t="n">
        <v>0</v>
      </c>
      <c r="U7469" t="n">
        <v>0</v>
      </c>
      <c r="V7469" s="2" t="inlineStr"/>
    </row>
    <row r="7470" ht="15" customHeight="1">
      <c r="A7470" t="inlineStr">
        <is>
          <t>A 52613-2024</t>
        </is>
      </c>
      <c r="B7470" t="inlineStr">
        <is>
          <t>avverkningsanmälan</t>
        </is>
      </c>
      <c r="C7470" t="inlineStr">
        <is>
          <t>Föryngringsavverkning</t>
        </is>
      </c>
      <c r="D7470" s="1" t="n">
        <v>45609</v>
      </c>
      <c r="E7470" s="1" t="n">
        <v>46326</v>
      </c>
      <c r="F7470" t="inlineStr">
        <is>
          <t>GÄVLEBORGS LÄN</t>
        </is>
      </c>
      <c r="G7470" t="inlineStr">
        <is>
          <t>BOLLNÄS</t>
        </is>
      </c>
      <c r="I7470" t="n">
        <v>3.6</v>
      </c>
      <c r="J7470" t="n">
        <v>0</v>
      </c>
      <c r="K7470" t="n">
        <v>0</v>
      </c>
      <c r="L7470" t="n">
        <v>0</v>
      </c>
      <c r="M7470" t="n">
        <v>0</v>
      </c>
      <c r="N7470" t="n">
        <v>0</v>
      </c>
      <c r="O7470" t="n">
        <v>0</v>
      </c>
      <c r="P7470" t="n">
        <v>0</v>
      </c>
      <c r="Q7470" t="n">
        <v>0</v>
      </c>
      <c r="R7470" t="n">
        <v>0</v>
      </c>
      <c r="S7470" t="n">
        <v>0</v>
      </c>
      <c r="T7470" t="n">
        <v>0</v>
      </c>
      <c r="U7470" t="n">
        <v>0</v>
      </c>
      <c r="V7470" s="2" t="inlineStr"/>
    </row>
    <row r="7471" ht="15" customHeight="1">
      <c r="A7471" t="inlineStr">
        <is>
          <t>A 58165-2023</t>
        </is>
      </c>
      <c r="B7471" t="inlineStr">
        <is>
          <t>avverkningsanmälan</t>
        </is>
      </c>
      <c r="C7471" t="inlineStr">
        <is>
          <t>Föryngringsavverkning</t>
        </is>
      </c>
      <c r="D7471" s="1" t="n">
        <v>45250</v>
      </c>
      <c r="E7471" s="1" t="n">
        <v>46326</v>
      </c>
      <c r="F7471" t="inlineStr">
        <is>
          <t>GÄVLEBORGS LÄN</t>
        </is>
      </c>
      <c r="G7471" t="inlineStr">
        <is>
          <t>NORDANSTIG</t>
        </is>
      </c>
      <c r="I7471" t="n">
        <v>2.8</v>
      </c>
      <c r="J7471" t="n">
        <v>0</v>
      </c>
      <c r="K7471" t="n">
        <v>0</v>
      </c>
      <c r="L7471" t="n">
        <v>0</v>
      </c>
      <c r="M7471" t="n">
        <v>0</v>
      </c>
      <c r="N7471" t="n">
        <v>0</v>
      </c>
      <c r="O7471" t="n">
        <v>0</v>
      </c>
      <c r="P7471" t="n">
        <v>0</v>
      </c>
      <c r="Q7471" t="n">
        <v>0</v>
      </c>
      <c r="R7471" t="n">
        <v>0</v>
      </c>
      <c r="S7471" t="n">
        <v>0</v>
      </c>
      <c r="T7471" t="n">
        <v>0</v>
      </c>
      <c r="U7471" t="n">
        <v>0</v>
      </c>
      <c r="V7471" s="2" t="inlineStr"/>
    </row>
    <row r="7472" ht="15" customHeight="1">
      <c r="A7472" t="inlineStr">
        <is>
          <t>A 20805-2026</t>
        </is>
      </c>
      <c r="B7472" t="inlineStr">
        <is>
          <t>avverkningsanmälan</t>
        </is>
      </c>
      <c r="C7472" t="inlineStr">
        <is>
          <t>Föryngringsavverkning</t>
        </is>
      </c>
      <c r="D7472" s="1" t="n">
        <v>46141</v>
      </c>
      <c r="E7472" s="1" t="n">
        <v>46326</v>
      </c>
      <c r="F7472" t="inlineStr">
        <is>
          <t>GÄVLEBORGS LÄN</t>
        </is>
      </c>
      <c r="G7472" t="inlineStr">
        <is>
          <t>HUDIKSVALL</t>
        </is>
      </c>
      <c r="I7472" t="n">
        <v>1.2</v>
      </c>
      <c r="J7472" t="n">
        <v>0</v>
      </c>
      <c r="K7472" t="n">
        <v>0</v>
      </c>
      <c r="L7472" t="n">
        <v>0</v>
      </c>
      <c r="M7472" t="n">
        <v>0</v>
      </c>
      <c r="N7472" t="n">
        <v>0</v>
      </c>
      <c r="O7472" t="n">
        <v>0</v>
      </c>
      <c r="P7472" t="n">
        <v>0</v>
      </c>
      <c r="Q7472" t="n">
        <v>0</v>
      </c>
      <c r="R7472" t="n">
        <v>0</v>
      </c>
      <c r="S7472" t="n">
        <v>0</v>
      </c>
      <c r="T7472" t="n">
        <v>0</v>
      </c>
      <c r="U7472" t="n">
        <v>0</v>
      </c>
      <c r="V7472" s="2" t="inlineStr"/>
    </row>
    <row r="7473" ht="15" customHeight="1">
      <c r="A7473" t="inlineStr">
        <is>
          <t>A 20032-2026</t>
        </is>
      </c>
      <c r="B7473" t="inlineStr">
        <is>
          <t>avverkningsanmälan</t>
        </is>
      </c>
      <c r="C7473" t="inlineStr">
        <is>
          <t>Föryngringsavverkning</t>
        </is>
      </c>
      <c r="D7473" s="1" t="n">
        <v>46136</v>
      </c>
      <c r="E7473" s="1" t="n">
        <v>46326</v>
      </c>
      <c r="F7473" t="inlineStr">
        <is>
          <t>GÄVLEBORGS LÄN</t>
        </is>
      </c>
      <c r="G7473" t="inlineStr">
        <is>
          <t>BOLLNÄS</t>
        </is>
      </c>
      <c r="H7473" t="inlineStr">
        <is>
          <t>Bergvik skog öst AB</t>
        </is>
      </c>
      <c r="I7473" t="n">
        <v>20.5</v>
      </c>
      <c r="J7473" t="n">
        <v>0</v>
      </c>
      <c r="K7473" t="n">
        <v>0</v>
      </c>
      <c r="L7473" t="n">
        <v>0</v>
      </c>
      <c r="M7473" t="n">
        <v>0</v>
      </c>
      <c r="N7473" t="n">
        <v>0</v>
      </c>
      <c r="O7473" t="n">
        <v>0</v>
      </c>
      <c r="P7473" t="n">
        <v>0</v>
      </c>
      <c r="Q7473" t="n">
        <v>0</v>
      </c>
      <c r="R7473" t="n">
        <v>0</v>
      </c>
      <c r="S7473" t="n">
        <v>0</v>
      </c>
      <c r="T7473" t="n">
        <v>0</v>
      </c>
      <c r="U7473" t="n">
        <v>0</v>
      </c>
      <c r="V7473" s="2" t="inlineStr"/>
    </row>
    <row r="7474" ht="15" customHeight="1">
      <c r="A7474" t="inlineStr">
        <is>
          <t>A 20917-2026</t>
        </is>
      </c>
      <c r="B7474" t="inlineStr">
        <is>
          <t>avverkningsanmälan</t>
        </is>
      </c>
      <c r="C7474" t="inlineStr">
        <is>
          <t>Föryngringsavverkning</t>
        </is>
      </c>
      <c r="D7474" s="1" t="n">
        <v>46142</v>
      </c>
      <c r="E7474" s="1" t="n">
        <v>46326</v>
      </c>
      <c r="F7474" t="inlineStr">
        <is>
          <t>GÄVLEBORGS LÄN</t>
        </is>
      </c>
      <c r="G7474" t="inlineStr">
        <is>
          <t>SANDVIKEN</t>
        </is>
      </c>
      <c r="I7474" t="n">
        <v>1.1</v>
      </c>
      <c r="J7474" t="n">
        <v>0</v>
      </c>
      <c r="K7474" t="n">
        <v>0</v>
      </c>
      <c r="L7474" t="n">
        <v>0</v>
      </c>
      <c r="M7474" t="n">
        <v>0</v>
      </c>
      <c r="N7474" t="n">
        <v>0</v>
      </c>
      <c r="O7474" t="n">
        <v>0</v>
      </c>
      <c r="P7474" t="n">
        <v>0</v>
      </c>
      <c r="Q7474" t="n">
        <v>0</v>
      </c>
      <c r="R7474" t="n">
        <v>0</v>
      </c>
      <c r="S7474" t="n">
        <v>0</v>
      </c>
      <c r="T7474" t="n">
        <v>0</v>
      </c>
      <c r="U7474" t="n">
        <v>0</v>
      </c>
      <c r="V7474" s="2" t="inlineStr"/>
    </row>
    <row r="7475" ht="15" customHeight="1">
      <c r="A7475" t="inlineStr">
        <is>
          <t>A 61938-2022</t>
        </is>
      </c>
      <c r="B7475" t="inlineStr">
        <is>
          <t>avverkningsanmälan</t>
        </is>
      </c>
      <c r="C7475" t="inlineStr">
        <is>
          <t>Föryngringsavverkning</t>
        </is>
      </c>
      <c r="D7475" s="1" t="n">
        <v>44918</v>
      </c>
      <c r="E7475" s="1" t="n">
        <v>46326</v>
      </c>
      <c r="F7475" t="inlineStr">
        <is>
          <t>GÄVLEBORGS LÄN</t>
        </is>
      </c>
      <c r="G7475" t="inlineStr">
        <is>
          <t>HUDIKSVALL</t>
        </is>
      </c>
      <c r="I7475" t="n">
        <v>0.8</v>
      </c>
      <c r="J7475" t="n">
        <v>0</v>
      </c>
      <c r="K7475" t="n">
        <v>0</v>
      </c>
      <c r="L7475" t="n">
        <v>0</v>
      </c>
      <c r="M7475" t="n">
        <v>0</v>
      </c>
      <c r="N7475" t="n">
        <v>0</v>
      </c>
      <c r="O7475" t="n">
        <v>0</v>
      </c>
      <c r="P7475" t="n">
        <v>0</v>
      </c>
      <c r="Q7475" t="n">
        <v>0</v>
      </c>
      <c r="R7475" t="n">
        <v>0</v>
      </c>
      <c r="S7475" t="n">
        <v>0</v>
      </c>
      <c r="T7475" t="n">
        <v>0</v>
      </c>
      <c r="U7475" t="n">
        <v>0</v>
      </c>
      <c r="V7475" s="2" t="inlineStr"/>
    </row>
    <row r="7476" ht="15" customHeight="1">
      <c r="A7476" t="inlineStr">
        <is>
          <t>A 20954-2026</t>
        </is>
      </c>
      <c r="B7476" t="inlineStr">
        <is>
          <t>avverkningsanmälan</t>
        </is>
      </c>
      <c r="C7476" t="inlineStr">
        <is>
          <t>Avverkning för annat ändamål</t>
        </is>
      </c>
      <c r="D7476" s="1" t="n">
        <v>46142</v>
      </c>
      <c r="E7476" s="1" t="n">
        <v>46326</v>
      </c>
      <c r="F7476" t="inlineStr">
        <is>
          <t>GÄVLEBORGS LÄN</t>
        </is>
      </c>
      <c r="G7476" t="inlineStr">
        <is>
          <t>BOLLNÄS</t>
        </is>
      </c>
      <c r="I7476" t="n">
        <v>0.4</v>
      </c>
      <c r="J7476" t="n">
        <v>0</v>
      </c>
      <c r="K7476" t="n">
        <v>0</v>
      </c>
      <c r="L7476" t="n">
        <v>0</v>
      </c>
      <c r="M7476" t="n">
        <v>0</v>
      </c>
      <c r="N7476" t="n">
        <v>0</v>
      </c>
      <c r="O7476" t="n">
        <v>0</v>
      </c>
      <c r="P7476" t="n">
        <v>0</v>
      </c>
      <c r="Q7476" t="n">
        <v>0</v>
      </c>
      <c r="R7476" t="n">
        <v>0</v>
      </c>
      <c r="S7476" t="n">
        <v>0</v>
      </c>
      <c r="T7476" t="n">
        <v>0</v>
      </c>
      <c r="U7476" t="n">
        <v>0</v>
      </c>
      <c r="V7476" s="2" t="inlineStr"/>
    </row>
    <row r="7477" ht="15" customHeight="1">
      <c r="A7477" t="inlineStr">
        <is>
          <t>A 9694-2026</t>
        </is>
      </c>
      <c r="B7477" t="inlineStr">
        <is>
          <t>avverkningsanmälan</t>
        </is>
      </c>
      <c r="C7477" t="inlineStr">
        <is>
          <t>Föryngringsavverkning</t>
        </is>
      </c>
      <c r="D7477" s="1" t="n">
        <v>46072</v>
      </c>
      <c r="E7477" s="1" t="n">
        <v>46326</v>
      </c>
      <c r="F7477" t="inlineStr">
        <is>
          <t>GÄVLEBORGS LÄN</t>
        </is>
      </c>
      <c r="G7477" t="inlineStr">
        <is>
          <t>SANDVIKEN</t>
        </is>
      </c>
      <c r="I7477" t="n">
        <v>1.4</v>
      </c>
      <c r="J7477" t="n">
        <v>0</v>
      </c>
      <c r="K7477" t="n">
        <v>0</v>
      </c>
      <c r="L7477" t="n">
        <v>0</v>
      </c>
      <c r="M7477" t="n">
        <v>0</v>
      </c>
      <c r="N7477" t="n">
        <v>0</v>
      </c>
      <c r="O7477" t="n">
        <v>0</v>
      </c>
      <c r="P7477" t="n">
        <v>0</v>
      </c>
      <c r="Q7477" t="n">
        <v>0</v>
      </c>
      <c r="R7477" t="n">
        <v>0</v>
      </c>
      <c r="S7477" t="n">
        <v>0</v>
      </c>
      <c r="T7477" t="n">
        <v>0</v>
      </c>
      <c r="U7477" t="n">
        <v>0</v>
      </c>
      <c r="V7477" s="2" t="inlineStr"/>
    </row>
    <row r="7478" ht="15" customHeight="1">
      <c r="A7478" t="inlineStr">
        <is>
          <t>A 19481-2026</t>
        </is>
      </c>
      <c r="B7478" t="inlineStr">
        <is>
          <t>avverkningsanmälan</t>
        </is>
      </c>
      <c r="C7478" t="inlineStr">
        <is>
          <t>Föryngringsavverkning</t>
        </is>
      </c>
      <c r="D7478" s="1" t="n">
        <v>46134</v>
      </c>
      <c r="E7478" s="1" t="n">
        <v>46326</v>
      </c>
      <c r="F7478" t="inlineStr">
        <is>
          <t>GÄVLEBORGS LÄN</t>
        </is>
      </c>
      <c r="G7478" t="inlineStr">
        <is>
          <t>OVANÅKER</t>
        </is>
      </c>
      <c r="H7478" t="inlineStr">
        <is>
          <t>Bergvik skog öst AB</t>
        </is>
      </c>
      <c r="I7478" t="n">
        <v>3.4</v>
      </c>
      <c r="J7478" t="n">
        <v>0</v>
      </c>
      <c r="K7478" t="n">
        <v>0</v>
      </c>
      <c r="L7478" t="n">
        <v>0</v>
      </c>
      <c r="M7478" t="n">
        <v>0</v>
      </c>
      <c r="N7478" t="n">
        <v>0</v>
      </c>
      <c r="O7478" t="n">
        <v>0</v>
      </c>
      <c r="P7478" t="n">
        <v>0</v>
      </c>
      <c r="Q7478" t="n">
        <v>0</v>
      </c>
      <c r="R7478" t="n">
        <v>0</v>
      </c>
      <c r="S7478" t="n">
        <v>0</v>
      </c>
      <c r="T7478" t="n">
        <v>0</v>
      </c>
      <c r="U7478" t="n">
        <v>0</v>
      </c>
      <c r="V7478" s="2" t="inlineStr"/>
    </row>
    <row r="7479" ht="15" customHeight="1">
      <c r="A7479" t="inlineStr">
        <is>
          <t>A 20921-2026</t>
        </is>
      </c>
      <c r="B7479" t="inlineStr">
        <is>
          <t>avverkningsanmälan</t>
        </is>
      </c>
      <c r="C7479" t="inlineStr">
        <is>
          <t>Föryngringsavverkning</t>
        </is>
      </c>
      <c r="D7479" s="1" t="n">
        <v>46142</v>
      </c>
      <c r="E7479" s="1" t="n">
        <v>46326</v>
      </c>
      <c r="F7479" t="inlineStr">
        <is>
          <t>GÄVLEBORGS LÄN</t>
        </is>
      </c>
      <c r="G7479" t="inlineStr">
        <is>
          <t>HUDIKSVALL</t>
        </is>
      </c>
      <c r="I7479" t="n">
        <v>1.4</v>
      </c>
      <c r="J7479" t="n">
        <v>0</v>
      </c>
      <c r="K7479" t="n">
        <v>0</v>
      </c>
      <c r="L7479" t="n">
        <v>0</v>
      </c>
      <c r="M7479" t="n">
        <v>0</v>
      </c>
      <c r="N7479" t="n">
        <v>0</v>
      </c>
      <c r="O7479" t="n">
        <v>0</v>
      </c>
      <c r="P7479" t="n">
        <v>0</v>
      </c>
      <c r="Q7479" t="n">
        <v>0</v>
      </c>
      <c r="R7479" t="n">
        <v>0</v>
      </c>
      <c r="S7479" t="n">
        <v>0</v>
      </c>
      <c r="T7479" t="n">
        <v>0</v>
      </c>
      <c r="U7479" t="n">
        <v>0</v>
      </c>
      <c r="V7479" s="2" t="inlineStr"/>
    </row>
    <row r="7480" ht="15" customHeight="1">
      <c r="A7480" t="inlineStr">
        <is>
          <t>A 17942-2026</t>
        </is>
      </c>
      <c r="B7480" t="inlineStr">
        <is>
          <t>avverkningsanmälan</t>
        </is>
      </c>
      <c r="C7480" t="inlineStr">
        <is>
          <t>Föryngringsavverkning</t>
        </is>
      </c>
      <c r="D7480" s="1" t="n">
        <v>46122</v>
      </c>
      <c r="E7480" s="1" t="n">
        <v>46326</v>
      </c>
      <c r="F7480" t="inlineStr">
        <is>
          <t>GÄVLEBORGS LÄN</t>
        </is>
      </c>
      <c r="G7480" t="inlineStr">
        <is>
          <t>OVANÅKER</t>
        </is>
      </c>
      <c r="H7480" t="inlineStr">
        <is>
          <t>Bergvik skog öst AB</t>
        </is>
      </c>
      <c r="I7480" t="n">
        <v>0.6</v>
      </c>
      <c r="J7480" t="n">
        <v>0</v>
      </c>
      <c r="K7480" t="n">
        <v>0</v>
      </c>
      <c r="L7480" t="n">
        <v>0</v>
      </c>
      <c r="M7480" t="n">
        <v>0</v>
      </c>
      <c r="N7480" t="n">
        <v>0</v>
      </c>
      <c r="O7480" t="n">
        <v>0</v>
      </c>
      <c r="P7480" t="n">
        <v>0</v>
      </c>
      <c r="Q7480" t="n">
        <v>0</v>
      </c>
      <c r="R7480" t="n">
        <v>0</v>
      </c>
      <c r="S7480" t="n">
        <v>0</v>
      </c>
      <c r="T7480" t="n">
        <v>0</v>
      </c>
      <c r="U7480" t="n">
        <v>0</v>
      </c>
      <c r="V7480" s="2" t="inlineStr"/>
    </row>
    <row r="7481" ht="15" customHeight="1">
      <c r="A7481" t="inlineStr">
        <is>
          <t>A 29687-2023</t>
        </is>
      </c>
      <c r="B7481" t="inlineStr">
        <is>
          <t>avverkningsanmälan</t>
        </is>
      </c>
      <c r="C7481" t="inlineStr">
        <is>
          <t>Föryngringsavverkning</t>
        </is>
      </c>
      <c r="D7481" s="1" t="n">
        <v>45107</v>
      </c>
      <c r="E7481" s="1" t="n">
        <v>46326</v>
      </c>
      <c r="F7481" t="inlineStr">
        <is>
          <t>GÄVLEBORGS LÄN</t>
        </is>
      </c>
      <c r="G7481" t="inlineStr">
        <is>
          <t>OCKELBO</t>
        </is>
      </c>
      <c r="H7481" t="inlineStr">
        <is>
          <t>Bergvik skog väst AB</t>
        </is>
      </c>
      <c r="I7481" t="n">
        <v>3.2</v>
      </c>
      <c r="J7481" t="n">
        <v>0</v>
      </c>
      <c r="K7481" t="n">
        <v>0</v>
      </c>
      <c r="L7481" t="n">
        <v>0</v>
      </c>
      <c r="M7481" t="n">
        <v>0</v>
      </c>
      <c r="N7481" t="n">
        <v>0</v>
      </c>
      <c r="O7481" t="n">
        <v>0</v>
      </c>
      <c r="P7481" t="n">
        <v>0</v>
      </c>
      <c r="Q7481" t="n">
        <v>0</v>
      </c>
      <c r="R7481" t="n">
        <v>0</v>
      </c>
      <c r="S7481" t="n">
        <v>0</v>
      </c>
      <c r="T7481" t="n">
        <v>0</v>
      </c>
      <c r="U7481" t="n">
        <v>0</v>
      </c>
      <c r="V7481" s="2" t="inlineStr"/>
    </row>
    <row r="7482" ht="15" customHeight="1">
      <c r="A7482" t="inlineStr">
        <is>
          <t>A 17814-2026</t>
        </is>
      </c>
      <c r="B7482" t="inlineStr">
        <is>
          <t>avverkningsanmälan</t>
        </is>
      </c>
      <c r="C7482" t="inlineStr">
        <is>
          <t>Föryngringsavverkning</t>
        </is>
      </c>
      <c r="D7482" s="1" t="n">
        <v>46122</v>
      </c>
      <c r="E7482" s="1" t="n">
        <v>46326</v>
      </c>
      <c r="F7482" t="inlineStr">
        <is>
          <t>GÄVLEBORGS LÄN</t>
        </is>
      </c>
      <c r="G7482" t="inlineStr">
        <is>
          <t>OVANÅKER</t>
        </is>
      </c>
      <c r="H7482" t="inlineStr">
        <is>
          <t>Bergvik skog öst AB</t>
        </is>
      </c>
      <c r="I7482" t="n">
        <v>2.3</v>
      </c>
      <c r="J7482" t="n">
        <v>0</v>
      </c>
      <c r="K7482" t="n">
        <v>0</v>
      </c>
      <c r="L7482" t="n">
        <v>0</v>
      </c>
      <c r="M7482" t="n">
        <v>0</v>
      </c>
      <c r="N7482" t="n">
        <v>0</v>
      </c>
      <c r="O7482" t="n">
        <v>0</v>
      </c>
      <c r="P7482" t="n">
        <v>0</v>
      </c>
      <c r="Q7482" t="n">
        <v>0</v>
      </c>
      <c r="R7482" t="n">
        <v>0</v>
      </c>
      <c r="S7482" t="n">
        <v>0</v>
      </c>
      <c r="T7482" t="n">
        <v>0</v>
      </c>
      <c r="U7482" t="n">
        <v>0</v>
      </c>
      <c r="V7482" s="2" t="inlineStr"/>
    </row>
    <row r="7483" ht="15" customHeight="1">
      <c r="A7483" t="inlineStr">
        <is>
          <t>A 20959-2026</t>
        </is>
      </c>
      <c r="B7483" t="inlineStr">
        <is>
          <t>avverkningsanmälan</t>
        </is>
      </c>
      <c r="C7483" t="inlineStr">
        <is>
          <t>Föryngringsavverkning</t>
        </is>
      </c>
      <c r="D7483" s="1" t="n">
        <v>46142</v>
      </c>
      <c r="E7483" s="1" t="n">
        <v>46326</v>
      </c>
      <c r="F7483" t="inlineStr">
        <is>
          <t>GÄVLEBORGS LÄN</t>
        </is>
      </c>
      <c r="G7483" t="inlineStr">
        <is>
          <t>OVANÅKER</t>
        </is>
      </c>
      <c r="I7483" t="n">
        <v>5.7</v>
      </c>
      <c r="J7483" t="n">
        <v>0</v>
      </c>
      <c r="K7483" t="n">
        <v>0</v>
      </c>
      <c r="L7483" t="n">
        <v>0</v>
      </c>
      <c r="M7483" t="n">
        <v>0</v>
      </c>
      <c r="N7483" t="n">
        <v>0</v>
      </c>
      <c r="O7483" t="n">
        <v>0</v>
      </c>
      <c r="P7483" t="n">
        <v>0</v>
      </c>
      <c r="Q7483" t="n">
        <v>0</v>
      </c>
      <c r="R7483" t="n">
        <v>0</v>
      </c>
      <c r="S7483" t="n">
        <v>0</v>
      </c>
      <c r="T7483" t="n">
        <v>0</v>
      </c>
      <c r="U7483" t="n">
        <v>0</v>
      </c>
      <c r="V7483" s="2" t="inlineStr"/>
    </row>
    <row r="7484" ht="15" customHeight="1">
      <c r="A7484" t="inlineStr">
        <is>
          <t>A 20964-2026</t>
        </is>
      </c>
      <c r="B7484" t="inlineStr">
        <is>
          <t>avverkningsanmälan</t>
        </is>
      </c>
      <c r="C7484" t="inlineStr">
        <is>
          <t>Föryngringsavverkning</t>
        </is>
      </c>
      <c r="D7484" s="1" t="n">
        <v>46142</v>
      </c>
      <c r="E7484" s="1" t="n">
        <v>46326</v>
      </c>
      <c r="F7484" t="inlineStr">
        <is>
          <t>GÄVLEBORGS LÄN</t>
        </is>
      </c>
      <c r="G7484" t="inlineStr">
        <is>
          <t>HUDIKSVALL</t>
        </is>
      </c>
      <c r="H7484" t="inlineStr">
        <is>
          <t>Holmen skog AB</t>
        </is>
      </c>
      <c r="I7484" t="n">
        <v>1.9</v>
      </c>
      <c r="J7484" t="n">
        <v>0</v>
      </c>
      <c r="K7484" t="n">
        <v>0</v>
      </c>
      <c r="L7484" t="n">
        <v>0</v>
      </c>
      <c r="M7484" t="n">
        <v>0</v>
      </c>
      <c r="N7484" t="n">
        <v>0</v>
      </c>
      <c r="O7484" t="n">
        <v>0</v>
      </c>
      <c r="P7484" t="n">
        <v>0</v>
      </c>
      <c r="Q7484" t="n">
        <v>0</v>
      </c>
      <c r="R7484" t="n">
        <v>0</v>
      </c>
      <c r="S7484" t="n">
        <v>0</v>
      </c>
      <c r="T7484" t="n">
        <v>0</v>
      </c>
      <c r="U7484" t="n">
        <v>0</v>
      </c>
      <c r="V7484" s="2" t="inlineStr"/>
    </row>
    <row r="7485" ht="15" customHeight="1">
      <c r="A7485" t="inlineStr">
        <is>
          <t>A 20963-2026</t>
        </is>
      </c>
      <c r="B7485" t="inlineStr">
        <is>
          <t>avverkningsanmälan</t>
        </is>
      </c>
      <c r="C7485" t="inlineStr">
        <is>
          <t>Föryngringsavverkning</t>
        </is>
      </c>
      <c r="D7485" s="1" t="n">
        <v>46142</v>
      </c>
      <c r="E7485" s="1" t="n">
        <v>46326</v>
      </c>
      <c r="F7485" t="inlineStr">
        <is>
          <t>GÄVLEBORGS LÄN</t>
        </is>
      </c>
      <c r="G7485" t="inlineStr">
        <is>
          <t>BOLLNÄS</t>
        </is>
      </c>
      <c r="H7485" t="inlineStr">
        <is>
          <t>Bergvik skog väst AB</t>
        </is>
      </c>
      <c r="I7485" t="n">
        <v>1</v>
      </c>
      <c r="J7485" t="n">
        <v>0</v>
      </c>
      <c r="K7485" t="n">
        <v>0</v>
      </c>
      <c r="L7485" t="n">
        <v>0</v>
      </c>
      <c r="M7485" t="n">
        <v>0</v>
      </c>
      <c r="N7485" t="n">
        <v>0</v>
      </c>
      <c r="O7485" t="n">
        <v>0</v>
      </c>
      <c r="P7485" t="n">
        <v>0</v>
      </c>
      <c r="Q7485" t="n">
        <v>0</v>
      </c>
      <c r="R7485" t="n">
        <v>0</v>
      </c>
      <c r="S7485" t="n">
        <v>0</v>
      </c>
      <c r="T7485" t="n">
        <v>0</v>
      </c>
      <c r="U7485" t="n">
        <v>0</v>
      </c>
      <c r="V7485" s="2" t="inlineStr"/>
    </row>
    <row r="7486" ht="15" customHeight="1">
      <c r="A7486" t="inlineStr">
        <is>
          <t>A 20906-2026</t>
        </is>
      </c>
      <c r="B7486" t="inlineStr">
        <is>
          <t>avverkningsanmälan</t>
        </is>
      </c>
      <c r="C7486" t="inlineStr">
        <is>
          <t>Föryngringsavverkning</t>
        </is>
      </c>
      <c r="D7486" s="1" t="n">
        <v>46142</v>
      </c>
      <c r="E7486" s="1" t="n">
        <v>46326</v>
      </c>
      <c r="F7486" t="inlineStr">
        <is>
          <t>GÄVLEBORGS LÄN</t>
        </is>
      </c>
      <c r="G7486" t="inlineStr">
        <is>
          <t>GÄVLE</t>
        </is>
      </c>
      <c r="H7486" t="inlineStr">
        <is>
          <t>Bergvik skog öst AB</t>
        </is>
      </c>
      <c r="I7486" t="n">
        <v>1.6</v>
      </c>
      <c r="J7486" t="n">
        <v>0</v>
      </c>
      <c r="K7486" t="n">
        <v>0</v>
      </c>
      <c r="L7486" t="n">
        <v>0</v>
      </c>
      <c r="M7486" t="n">
        <v>0</v>
      </c>
      <c r="N7486" t="n">
        <v>0</v>
      </c>
      <c r="O7486" t="n">
        <v>0</v>
      </c>
      <c r="P7486" t="n">
        <v>0</v>
      </c>
      <c r="Q7486" t="n">
        <v>0</v>
      </c>
      <c r="R7486" t="n">
        <v>0</v>
      </c>
      <c r="S7486" t="n">
        <v>0</v>
      </c>
      <c r="T7486" t="n">
        <v>0</v>
      </c>
      <c r="U7486" t="n">
        <v>0</v>
      </c>
      <c r="V7486" s="2" t="inlineStr"/>
    </row>
    <row r="7487" ht="15" customHeight="1">
      <c r="A7487" t="inlineStr">
        <is>
          <t>A 18785-2026</t>
        </is>
      </c>
      <c r="B7487" t="inlineStr">
        <is>
          <t>avverkningsanmälan</t>
        </is>
      </c>
      <c r="C7487" t="inlineStr">
        <is>
          <t>Föryngringsavverkning</t>
        </is>
      </c>
      <c r="D7487" s="1" t="n">
        <v>46128</v>
      </c>
      <c r="E7487" s="1" t="n">
        <v>46326</v>
      </c>
      <c r="F7487" t="inlineStr">
        <is>
          <t>GÄVLEBORGS LÄN</t>
        </is>
      </c>
      <c r="G7487" t="inlineStr">
        <is>
          <t>OVANÅKER</t>
        </is>
      </c>
      <c r="H7487" t="inlineStr">
        <is>
          <t>Bergvik skog öst AB</t>
        </is>
      </c>
      <c r="I7487" t="n">
        <v>11.5</v>
      </c>
      <c r="J7487" t="n">
        <v>0</v>
      </c>
      <c r="K7487" t="n">
        <v>0</v>
      </c>
      <c r="L7487" t="n">
        <v>0</v>
      </c>
      <c r="M7487" t="n">
        <v>0</v>
      </c>
      <c r="N7487" t="n">
        <v>0</v>
      </c>
      <c r="O7487" t="n">
        <v>0</v>
      </c>
      <c r="P7487" t="n">
        <v>0</v>
      </c>
      <c r="Q7487" t="n">
        <v>0</v>
      </c>
      <c r="R7487" t="n">
        <v>0</v>
      </c>
      <c r="S7487" t="n">
        <v>0</v>
      </c>
      <c r="T7487" t="n">
        <v>0</v>
      </c>
      <c r="U7487" t="n">
        <v>0</v>
      </c>
      <c r="V7487" s="2" t="inlineStr"/>
    </row>
    <row r="7488" ht="15" customHeight="1">
      <c r="A7488" t="inlineStr">
        <is>
          <t>A 20934-2026</t>
        </is>
      </c>
      <c r="B7488" t="inlineStr">
        <is>
          <t>avverkningsanmälan</t>
        </is>
      </c>
      <c r="C7488" t="inlineStr">
        <is>
          <t>Föryngringsavverkning</t>
        </is>
      </c>
      <c r="D7488" s="1" t="n">
        <v>46142</v>
      </c>
      <c r="E7488" s="1" t="n">
        <v>46326</v>
      </c>
      <c r="F7488" t="inlineStr">
        <is>
          <t>GÄVLEBORGS LÄN</t>
        </is>
      </c>
      <c r="G7488" t="inlineStr">
        <is>
          <t>SÖDERHAMN</t>
        </is>
      </c>
      <c r="I7488" t="n">
        <v>3.5</v>
      </c>
      <c r="J7488" t="n">
        <v>0</v>
      </c>
      <c r="K7488" t="n">
        <v>0</v>
      </c>
      <c r="L7488" t="n">
        <v>0</v>
      </c>
      <c r="M7488" t="n">
        <v>0</v>
      </c>
      <c r="N7488" t="n">
        <v>0</v>
      </c>
      <c r="O7488" t="n">
        <v>0</v>
      </c>
      <c r="P7488" t="n">
        <v>0</v>
      </c>
      <c r="Q7488" t="n">
        <v>0</v>
      </c>
      <c r="R7488" t="n">
        <v>0</v>
      </c>
      <c r="S7488" t="n">
        <v>0</v>
      </c>
      <c r="T7488" t="n">
        <v>0</v>
      </c>
      <c r="U7488" t="n">
        <v>0</v>
      </c>
      <c r="V7488" s="2" t="inlineStr"/>
    </row>
    <row r="7489" ht="15" customHeight="1">
      <c r="A7489" t="inlineStr">
        <is>
          <t>A 20865-2026</t>
        </is>
      </c>
      <c r="B7489" t="inlineStr">
        <is>
          <t>avverkningsanmälan</t>
        </is>
      </c>
      <c r="C7489" t="inlineStr">
        <is>
          <t>Föryngringsavverkning</t>
        </is>
      </c>
      <c r="D7489" s="1" t="n">
        <v>46142</v>
      </c>
      <c r="E7489" s="1" t="n">
        <v>46326</v>
      </c>
      <c r="F7489" t="inlineStr">
        <is>
          <t>GÄVLEBORGS LÄN</t>
        </is>
      </c>
      <c r="G7489" t="inlineStr">
        <is>
          <t>BOLLNÄS</t>
        </is>
      </c>
      <c r="H7489" t="inlineStr">
        <is>
          <t>Bergvik skog väst AB</t>
        </is>
      </c>
      <c r="I7489" t="n">
        <v>0.6</v>
      </c>
      <c r="J7489" t="n">
        <v>0</v>
      </c>
      <c r="K7489" t="n">
        <v>0</v>
      </c>
      <c r="L7489" t="n">
        <v>0</v>
      </c>
      <c r="M7489" t="n">
        <v>0</v>
      </c>
      <c r="N7489" t="n">
        <v>0</v>
      </c>
      <c r="O7489" t="n">
        <v>0</v>
      </c>
      <c r="P7489" t="n">
        <v>0</v>
      </c>
      <c r="Q7489" t="n">
        <v>0</v>
      </c>
      <c r="R7489" t="n">
        <v>0</v>
      </c>
      <c r="S7489" t="n">
        <v>0</v>
      </c>
      <c r="T7489" t="n">
        <v>0</v>
      </c>
      <c r="U7489" t="n">
        <v>0</v>
      </c>
      <c r="V7489" s="2" t="inlineStr"/>
    </row>
    <row r="7490" ht="15" customHeight="1">
      <c r="A7490" t="inlineStr">
        <is>
          <t>A 20869-2026</t>
        </is>
      </c>
      <c r="B7490" t="inlineStr">
        <is>
          <t>avverkningsanmälan</t>
        </is>
      </c>
      <c r="C7490" t="inlineStr">
        <is>
          <t>Föryngringsavverkning</t>
        </is>
      </c>
      <c r="D7490" s="1" t="n">
        <v>46142</v>
      </c>
      <c r="E7490" s="1" t="n">
        <v>46326</v>
      </c>
      <c r="F7490" t="inlineStr">
        <is>
          <t>GÄVLEBORGS LÄN</t>
        </is>
      </c>
      <c r="G7490" t="inlineStr">
        <is>
          <t>BOLLNÄS</t>
        </is>
      </c>
      <c r="H7490" t="inlineStr">
        <is>
          <t>Bergvik skog väst AB</t>
        </is>
      </c>
      <c r="I7490" t="n">
        <v>1.5</v>
      </c>
      <c r="J7490" t="n">
        <v>0</v>
      </c>
      <c r="K7490" t="n">
        <v>0</v>
      </c>
      <c r="L7490" t="n">
        <v>0</v>
      </c>
      <c r="M7490" t="n">
        <v>0</v>
      </c>
      <c r="N7490" t="n">
        <v>0</v>
      </c>
      <c r="O7490" t="n">
        <v>0</v>
      </c>
      <c r="P7490" t="n">
        <v>0</v>
      </c>
      <c r="Q7490" t="n">
        <v>0</v>
      </c>
      <c r="R7490" t="n">
        <v>0</v>
      </c>
      <c r="S7490" t="n">
        <v>0</v>
      </c>
      <c r="T7490" t="n">
        <v>0</v>
      </c>
      <c r="U7490" t="n">
        <v>0</v>
      </c>
      <c r="V7490" s="2" t="inlineStr"/>
    </row>
    <row r="7491" ht="15" customHeight="1">
      <c r="A7491" t="inlineStr">
        <is>
          <t>A 20872-2026</t>
        </is>
      </c>
      <c r="B7491" t="inlineStr">
        <is>
          <t>avverkningsanmälan</t>
        </is>
      </c>
      <c r="C7491" t="inlineStr">
        <is>
          <t>Föryngringsavverkning</t>
        </is>
      </c>
      <c r="D7491" s="1" t="n">
        <v>46142</v>
      </c>
      <c r="E7491" s="1" t="n">
        <v>46326</v>
      </c>
      <c r="F7491" t="inlineStr">
        <is>
          <t>GÄVLEBORGS LÄN</t>
        </is>
      </c>
      <c r="G7491" t="inlineStr">
        <is>
          <t>BOLLNÄS</t>
        </is>
      </c>
      <c r="H7491" t="inlineStr">
        <is>
          <t>Bergvik skog väst AB</t>
        </is>
      </c>
      <c r="I7491" t="n">
        <v>0.9</v>
      </c>
      <c r="J7491" t="n">
        <v>0</v>
      </c>
      <c r="K7491" t="n">
        <v>0</v>
      </c>
      <c r="L7491" t="n">
        <v>0</v>
      </c>
      <c r="M7491" t="n">
        <v>0</v>
      </c>
      <c r="N7491" t="n">
        <v>0</v>
      </c>
      <c r="O7491" t="n">
        <v>0</v>
      </c>
      <c r="P7491" t="n">
        <v>0</v>
      </c>
      <c r="Q7491" t="n">
        <v>0</v>
      </c>
      <c r="R7491" t="n">
        <v>0</v>
      </c>
      <c r="S7491" t="n">
        <v>0</v>
      </c>
      <c r="T7491" t="n">
        <v>0</v>
      </c>
      <c r="U7491" t="n">
        <v>0</v>
      </c>
      <c r="V7491" s="2" t="inlineStr"/>
    </row>
    <row r="7492" ht="15" customHeight="1">
      <c r="A7492" t="inlineStr">
        <is>
          <t>A 20878-2026</t>
        </is>
      </c>
      <c r="B7492" t="inlineStr">
        <is>
          <t>avverkningsanmälan</t>
        </is>
      </c>
      <c r="C7492" t="inlineStr">
        <is>
          <t>Föryngringsavverkning</t>
        </is>
      </c>
      <c r="D7492" s="1" t="n">
        <v>46142</v>
      </c>
      <c r="E7492" s="1" t="n">
        <v>46326</v>
      </c>
      <c r="F7492" t="inlineStr">
        <is>
          <t>GÄVLEBORGS LÄN</t>
        </is>
      </c>
      <c r="G7492" t="inlineStr">
        <is>
          <t>BOLLNÄS</t>
        </is>
      </c>
      <c r="I7492" t="n">
        <v>4.3</v>
      </c>
      <c r="J7492" t="n">
        <v>0</v>
      </c>
      <c r="K7492" t="n">
        <v>0</v>
      </c>
      <c r="L7492" t="n">
        <v>0</v>
      </c>
      <c r="M7492" t="n">
        <v>0</v>
      </c>
      <c r="N7492" t="n">
        <v>0</v>
      </c>
      <c r="O7492" t="n">
        <v>0</v>
      </c>
      <c r="P7492" t="n">
        <v>0</v>
      </c>
      <c r="Q7492" t="n">
        <v>0</v>
      </c>
      <c r="R7492" t="n">
        <v>0</v>
      </c>
      <c r="S7492" t="n">
        <v>0</v>
      </c>
      <c r="T7492" t="n">
        <v>0</v>
      </c>
      <c r="U7492" t="n">
        <v>0</v>
      </c>
      <c r="V7492" s="2" t="inlineStr"/>
    </row>
    <row r="7493" ht="15" customHeight="1">
      <c r="A7493" t="inlineStr">
        <is>
          <t>A 20920-2026</t>
        </is>
      </c>
      <c r="B7493" t="inlineStr">
        <is>
          <t>avverkningsanmälan</t>
        </is>
      </c>
      <c r="C7493" t="inlineStr">
        <is>
          <t>Föryngringsavverkning</t>
        </is>
      </c>
      <c r="D7493" s="1" t="n">
        <v>46142</v>
      </c>
      <c r="E7493" s="1" t="n">
        <v>46326</v>
      </c>
      <c r="F7493" t="inlineStr">
        <is>
          <t>GÄVLEBORGS LÄN</t>
        </is>
      </c>
      <c r="G7493" t="inlineStr">
        <is>
          <t>HUDIKSVALL</t>
        </is>
      </c>
      <c r="H7493" t="inlineStr">
        <is>
          <t>Holmen skog AB</t>
        </is>
      </c>
      <c r="I7493" t="n">
        <v>1.3</v>
      </c>
      <c r="J7493" t="n">
        <v>0</v>
      </c>
      <c r="K7493" t="n">
        <v>0</v>
      </c>
      <c r="L7493" t="n">
        <v>0</v>
      </c>
      <c r="M7493" t="n">
        <v>0</v>
      </c>
      <c r="N7493" t="n">
        <v>0</v>
      </c>
      <c r="O7493" t="n">
        <v>0</v>
      </c>
      <c r="P7493" t="n">
        <v>0</v>
      </c>
      <c r="Q7493" t="n">
        <v>0</v>
      </c>
      <c r="R7493" t="n">
        <v>0</v>
      </c>
      <c r="S7493" t="n">
        <v>0</v>
      </c>
      <c r="T7493" t="n">
        <v>0</v>
      </c>
      <c r="U7493" t="n">
        <v>0</v>
      </c>
      <c r="V7493" s="2" t="inlineStr"/>
    </row>
    <row r="7494" ht="15" customHeight="1">
      <c r="A7494" t="inlineStr">
        <is>
          <t>A 20892-2026</t>
        </is>
      </c>
      <c r="B7494" t="inlineStr">
        <is>
          <t>avverkningsanmälan</t>
        </is>
      </c>
      <c r="C7494" t="inlineStr">
        <is>
          <t>Föryngringsavverkning</t>
        </is>
      </c>
      <c r="D7494" s="1" t="n">
        <v>46142</v>
      </c>
      <c r="E7494" s="1" t="n">
        <v>46326</v>
      </c>
      <c r="F7494" t="inlineStr">
        <is>
          <t>GÄVLEBORGS LÄN</t>
        </is>
      </c>
      <c r="G7494" t="inlineStr">
        <is>
          <t>OVANÅKER</t>
        </is>
      </c>
      <c r="H7494" t="inlineStr">
        <is>
          <t>Bergvik skog väst AB</t>
        </is>
      </c>
      <c r="I7494" t="n">
        <v>0.6</v>
      </c>
      <c r="J7494" t="n">
        <v>0</v>
      </c>
      <c r="K7494" t="n">
        <v>0</v>
      </c>
      <c r="L7494" t="n">
        <v>0</v>
      </c>
      <c r="M7494" t="n">
        <v>0</v>
      </c>
      <c r="N7494" t="n">
        <v>0</v>
      </c>
      <c r="O7494" t="n">
        <v>0</v>
      </c>
      <c r="P7494" t="n">
        <v>0</v>
      </c>
      <c r="Q7494" t="n">
        <v>0</v>
      </c>
      <c r="R7494" t="n">
        <v>0</v>
      </c>
      <c r="S7494" t="n">
        <v>0</v>
      </c>
      <c r="T7494" t="n">
        <v>0</v>
      </c>
      <c r="U7494" t="n">
        <v>0</v>
      </c>
      <c r="V7494" s="2" t="inlineStr"/>
    </row>
    <row r="7495" ht="15" customHeight="1">
      <c r="A7495" t="inlineStr">
        <is>
          <t>A 20762-2026</t>
        </is>
      </c>
      <c r="B7495" t="inlineStr">
        <is>
          <t>avverkningsanmälan</t>
        </is>
      </c>
      <c r="C7495" t="inlineStr">
        <is>
          <t>Föryngringsavverkning</t>
        </is>
      </c>
      <c r="D7495" s="1" t="n">
        <v>46141</v>
      </c>
      <c r="E7495" s="1" t="n">
        <v>46326</v>
      </c>
      <c r="F7495" t="inlineStr">
        <is>
          <t>GÄVLEBORGS LÄN</t>
        </is>
      </c>
      <c r="G7495" t="inlineStr">
        <is>
          <t>BOLLNÄS</t>
        </is>
      </c>
      <c r="H7495" t="inlineStr">
        <is>
          <t>Bergvik skog väst AB</t>
        </is>
      </c>
      <c r="I7495" t="n">
        <v>1.2</v>
      </c>
      <c r="J7495" t="n">
        <v>0</v>
      </c>
      <c r="K7495" t="n">
        <v>0</v>
      </c>
      <c r="L7495" t="n">
        <v>0</v>
      </c>
      <c r="M7495" t="n">
        <v>0</v>
      </c>
      <c r="N7495" t="n">
        <v>0</v>
      </c>
      <c r="O7495" t="n">
        <v>0</v>
      </c>
      <c r="P7495" t="n">
        <v>0</v>
      </c>
      <c r="Q7495" t="n">
        <v>0</v>
      </c>
      <c r="R7495" t="n">
        <v>0</v>
      </c>
      <c r="S7495" t="n">
        <v>0</v>
      </c>
      <c r="T7495" t="n">
        <v>0</v>
      </c>
      <c r="U7495" t="n">
        <v>0</v>
      </c>
      <c r="V7495" s="2" t="inlineStr"/>
    </row>
    <row r="7496" ht="15" customHeight="1">
      <c r="A7496" t="inlineStr">
        <is>
          <t>A 18261-2026</t>
        </is>
      </c>
      <c r="B7496" t="inlineStr">
        <is>
          <t>avverkningsanmälan</t>
        </is>
      </c>
      <c r="C7496" t="inlineStr">
        <is>
          <t>Föryngringsavverkning</t>
        </is>
      </c>
      <c r="D7496" s="1" t="n">
        <v>46126</v>
      </c>
      <c r="E7496" s="1" t="n">
        <v>46326</v>
      </c>
      <c r="F7496" t="inlineStr">
        <is>
          <t>GÄVLEBORGS LÄN</t>
        </is>
      </c>
      <c r="G7496" t="inlineStr">
        <is>
          <t>OVANÅKER</t>
        </is>
      </c>
      <c r="H7496" t="inlineStr">
        <is>
          <t>Bergvik skog öst AB</t>
        </is>
      </c>
      <c r="I7496" t="n">
        <v>6.1</v>
      </c>
      <c r="J7496" t="n">
        <v>0</v>
      </c>
      <c r="K7496" t="n">
        <v>0</v>
      </c>
      <c r="L7496" t="n">
        <v>0</v>
      </c>
      <c r="M7496" t="n">
        <v>0</v>
      </c>
      <c r="N7496" t="n">
        <v>0</v>
      </c>
      <c r="O7496" t="n">
        <v>0</v>
      </c>
      <c r="P7496" t="n">
        <v>0</v>
      </c>
      <c r="Q7496" t="n">
        <v>0</v>
      </c>
      <c r="R7496" t="n">
        <v>0</v>
      </c>
      <c r="S7496" t="n">
        <v>0</v>
      </c>
      <c r="T7496" t="n">
        <v>0</v>
      </c>
      <c r="U7496" t="n">
        <v>0</v>
      </c>
      <c r="V7496" s="2" t="inlineStr"/>
    </row>
    <row r="7497" ht="15" customHeight="1">
      <c r="A7497" t="inlineStr">
        <is>
          <t>A 20731-2026</t>
        </is>
      </c>
      <c r="B7497" t="inlineStr">
        <is>
          <t>avverkningsanmälan</t>
        </is>
      </c>
      <c r="C7497" t="inlineStr">
        <is>
          <t>Föryngringsavverkning</t>
        </is>
      </c>
      <c r="D7497" s="1" t="n">
        <v>46141</v>
      </c>
      <c r="E7497" s="1" t="n">
        <v>46326</v>
      </c>
      <c r="F7497" t="inlineStr">
        <is>
          <t>GÄVLEBORGS LÄN</t>
        </is>
      </c>
      <c r="G7497" t="inlineStr">
        <is>
          <t>BOLLNÄS</t>
        </is>
      </c>
      <c r="H7497" t="inlineStr">
        <is>
          <t>Kyrkan</t>
        </is>
      </c>
      <c r="I7497" t="n">
        <v>0.9</v>
      </c>
      <c r="J7497" t="n">
        <v>0</v>
      </c>
      <c r="K7497" t="n">
        <v>0</v>
      </c>
      <c r="L7497" t="n">
        <v>0</v>
      </c>
      <c r="M7497" t="n">
        <v>0</v>
      </c>
      <c r="N7497" t="n">
        <v>0</v>
      </c>
      <c r="O7497" t="n">
        <v>0</v>
      </c>
      <c r="P7497" t="n">
        <v>0</v>
      </c>
      <c r="Q7497" t="n">
        <v>0</v>
      </c>
      <c r="R7497" t="n">
        <v>0</v>
      </c>
      <c r="S7497" t="n">
        <v>0</v>
      </c>
      <c r="T7497" t="n">
        <v>0</v>
      </c>
      <c r="U7497" t="n">
        <v>0</v>
      </c>
      <c r="V7497" s="2" t="inlineStr"/>
    </row>
    <row r="7498" ht="15" customHeight="1">
      <c r="A7498" t="inlineStr">
        <is>
          <t>A 13327-2026</t>
        </is>
      </c>
      <c r="B7498" t="inlineStr">
        <is>
          <t>avverkningsanmälan</t>
        </is>
      </c>
      <c r="C7498" t="inlineStr">
        <is>
          <t>Föryngringsavverkning</t>
        </is>
      </c>
      <c r="D7498" s="1" t="n">
        <v>46094</v>
      </c>
      <c r="E7498" s="1" t="n">
        <v>46326</v>
      </c>
      <c r="F7498" t="inlineStr">
        <is>
          <t>GÄVLEBORGS LÄN</t>
        </is>
      </c>
      <c r="G7498" t="inlineStr">
        <is>
          <t>BOLLNÄS</t>
        </is>
      </c>
      <c r="I7498" t="n">
        <v>1.7</v>
      </c>
      <c r="J7498" t="n">
        <v>0</v>
      </c>
      <c r="K7498" t="n">
        <v>0</v>
      </c>
      <c r="L7498" t="n">
        <v>0</v>
      </c>
      <c r="M7498" t="n">
        <v>0</v>
      </c>
      <c r="N7498" t="n">
        <v>0</v>
      </c>
      <c r="O7498" t="n">
        <v>0</v>
      </c>
      <c r="P7498" t="n">
        <v>0</v>
      </c>
      <c r="Q7498" t="n">
        <v>0</v>
      </c>
      <c r="R7498" t="n">
        <v>0</v>
      </c>
      <c r="S7498" t="n">
        <v>0</v>
      </c>
      <c r="T7498" t="n">
        <v>0</v>
      </c>
      <c r="U7498" t="n">
        <v>0</v>
      </c>
      <c r="V7498" s="2" t="inlineStr"/>
    </row>
    <row r="7499" ht="15" customHeight="1">
      <c r="A7499" t="inlineStr">
        <is>
          <t>A 18264-2026</t>
        </is>
      </c>
      <c r="B7499" t="inlineStr">
        <is>
          <t>avverkningsanmälan</t>
        </is>
      </c>
      <c r="C7499" t="inlineStr">
        <is>
          <t>Föryngringsavverkning</t>
        </is>
      </c>
      <c r="D7499" s="1" t="n">
        <v>46126</v>
      </c>
      <c r="E7499" s="1" t="n">
        <v>46326</v>
      </c>
      <c r="F7499" t="inlineStr">
        <is>
          <t>GÄVLEBORGS LÄN</t>
        </is>
      </c>
      <c r="G7499" t="inlineStr">
        <is>
          <t>OVANÅKER</t>
        </is>
      </c>
      <c r="H7499" t="inlineStr">
        <is>
          <t>Bergvik skog öst AB</t>
        </is>
      </c>
      <c r="I7499" t="n">
        <v>1.3</v>
      </c>
      <c r="J7499" t="n">
        <v>0</v>
      </c>
      <c r="K7499" t="n">
        <v>0</v>
      </c>
      <c r="L7499" t="n">
        <v>0</v>
      </c>
      <c r="M7499" t="n">
        <v>0</v>
      </c>
      <c r="N7499" t="n">
        <v>0</v>
      </c>
      <c r="O7499" t="n">
        <v>0</v>
      </c>
      <c r="P7499" t="n">
        <v>0</v>
      </c>
      <c r="Q7499" t="n">
        <v>0</v>
      </c>
      <c r="R7499" t="n">
        <v>0</v>
      </c>
      <c r="S7499" t="n">
        <v>0</v>
      </c>
      <c r="T7499" t="n">
        <v>0</v>
      </c>
      <c r="U7499" t="n">
        <v>0</v>
      </c>
      <c r="V7499" s="2" t="inlineStr"/>
    </row>
    <row r="7500" ht="15" customHeight="1">
      <c r="A7500" t="inlineStr">
        <is>
          <t>A 20859-2026</t>
        </is>
      </c>
      <c r="B7500" t="inlineStr">
        <is>
          <t>avverkningsanmälan</t>
        </is>
      </c>
      <c r="C7500" t="inlineStr">
        <is>
          <t>Föryngringsavverkning</t>
        </is>
      </c>
      <c r="D7500" s="1" t="n">
        <v>46142</v>
      </c>
      <c r="E7500" s="1" t="n">
        <v>46326</v>
      </c>
      <c r="F7500" t="inlineStr">
        <is>
          <t>GÄVLEBORGS LÄN</t>
        </is>
      </c>
      <c r="G7500" t="inlineStr">
        <is>
          <t>BOLLNÄS</t>
        </is>
      </c>
      <c r="H7500" t="inlineStr">
        <is>
          <t>Bergvik skog väst AB</t>
        </is>
      </c>
      <c r="I7500" t="n">
        <v>0.5</v>
      </c>
      <c r="J7500" t="n">
        <v>0</v>
      </c>
      <c r="K7500" t="n">
        <v>0</v>
      </c>
      <c r="L7500" t="n">
        <v>0</v>
      </c>
      <c r="M7500" t="n">
        <v>0</v>
      </c>
      <c r="N7500" t="n">
        <v>0</v>
      </c>
      <c r="O7500" t="n">
        <v>0</v>
      </c>
      <c r="P7500" t="n">
        <v>0</v>
      </c>
      <c r="Q7500" t="n">
        <v>0</v>
      </c>
      <c r="R7500" t="n">
        <v>0</v>
      </c>
      <c r="S7500" t="n">
        <v>0</v>
      </c>
      <c r="T7500" t="n">
        <v>0</v>
      </c>
      <c r="U7500" t="n">
        <v>0</v>
      </c>
      <c r="V7500" s="2" t="inlineStr"/>
    </row>
    <row r="7501" ht="15" customHeight="1">
      <c r="A7501" t="inlineStr">
        <is>
          <t>A 21003-2026</t>
        </is>
      </c>
      <c r="B7501" t="inlineStr">
        <is>
          <t>avverkningsanmälan</t>
        </is>
      </c>
      <c r="C7501" t="inlineStr">
        <is>
          <t>Föryngringsavverkning</t>
        </is>
      </c>
      <c r="D7501" s="1" t="n">
        <v>46142</v>
      </c>
      <c r="E7501" s="1" t="n">
        <v>46326</v>
      </c>
      <c r="F7501" t="inlineStr">
        <is>
          <t>GÄVLEBORGS LÄN</t>
        </is>
      </c>
      <c r="G7501" t="inlineStr">
        <is>
          <t>SÖDERHAMN</t>
        </is>
      </c>
      <c r="I7501" t="n">
        <v>1.6</v>
      </c>
      <c r="J7501" t="n">
        <v>0</v>
      </c>
      <c r="K7501" t="n">
        <v>0</v>
      </c>
      <c r="L7501" t="n">
        <v>0</v>
      </c>
      <c r="M7501" t="n">
        <v>0</v>
      </c>
      <c r="N7501" t="n">
        <v>0</v>
      </c>
      <c r="O7501" t="n">
        <v>0</v>
      </c>
      <c r="P7501" t="n">
        <v>0</v>
      </c>
      <c r="Q7501" t="n">
        <v>0</v>
      </c>
      <c r="R7501" t="n">
        <v>0</v>
      </c>
      <c r="S7501" t="n">
        <v>0</v>
      </c>
      <c r="T7501" t="n">
        <v>0</v>
      </c>
      <c r="U7501" t="n">
        <v>0</v>
      </c>
      <c r="V7501" s="2" t="inlineStr"/>
    </row>
    <row r="7502" ht="15" customHeight="1">
      <c r="A7502" t="inlineStr">
        <is>
          <t>A 21005-2026</t>
        </is>
      </c>
      <c r="B7502" t="inlineStr">
        <is>
          <t>avverkningsanmälan</t>
        </is>
      </c>
      <c r="C7502" t="inlineStr">
        <is>
          <t>Föryngringsavverkning</t>
        </is>
      </c>
      <c r="D7502" s="1" t="n">
        <v>46142</v>
      </c>
      <c r="E7502" s="1" t="n">
        <v>46326</v>
      </c>
      <c r="F7502" t="inlineStr">
        <is>
          <t>GÄVLEBORGS LÄN</t>
        </is>
      </c>
      <c r="G7502" t="inlineStr">
        <is>
          <t>OVANÅKER</t>
        </is>
      </c>
      <c r="I7502" t="n">
        <v>0.9</v>
      </c>
      <c r="J7502" t="n">
        <v>0</v>
      </c>
      <c r="K7502" t="n">
        <v>0</v>
      </c>
      <c r="L7502" t="n">
        <v>0</v>
      </c>
      <c r="M7502" t="n">
        <v>0</v>
      </c>
      <c r="N7502" t="n">
        <v>0</v>
      </c>
      <c r="O7502" t="n">
        <v>0</v>
      </c>
      <c r="P7502" t="n">
        <v>0</v>
      </c>
      <c r="Q7502" t="n">
        <v>0</v>
      </c>
      <c r="R7502" t="n">
        <v>0</v>
      </c>
      <c r="S7502" t="n">
        <v>0</v>
      </c>
      <c r="T7502" t="n">
        <v>0</v>
      </c>
      <c r="U7502" t="n">
        <v>0</v>
      </c>
      <c r="V7502" s="2" t="inlineStr"/>
    </row>
    <row r="7503" ht="15" customHeight="1">
      <c r="A7503" t="inlineStr">
        <is>
          <t>A 18540-2026</t>
        </is>
      </c>
      <c r="B7503" t="inlineStr">
        <is>
          <t>avverkningsanmälan</t>
        </is>
      </c>
      <c r="C7503" t="inlineStr">
        <is>
          <t>Föryngringsavverkning</t>
        </is>
      </c>
      <c r="D7503" s="1" t="n">
        <v>46127</v>
      </c>
      <c r="E7503" s="1" t="n">
        <v>46326</v>
      </c>
      <c r="F7503" t="inlineStr">
        <is>
          <t>GÄVLEBORGS LÄN</t>
        </is>
      </c>
      <c r="G7503" t="inlineStr">
        <is>
          <t>OVANÅKER</t>
        </is>
      </c>
      <c r="H7503" t="inlineStr">
        <is>
          <t>Bergvik skog öst AB</t>
        </is>
      </c>
      <c r="I7503" t="n">
        <v>3.8</v>
      </c>
      <c r="J7503" t="n">
        <v>0</v>
      </c>
      <c r="K7503" t="n">
        <v>0</v>
      </c>
      <c r="L7503" t="n">
        <v>0</v>
      </c>
      <c r="M7503" t="n">
        <v>0</v>
      </c>
      <c r="N7503" t="n">
        <v>0</v>
      </c>
      <c r="O7503" t="n">
        <v>0</v>
      </c>
      <c r="P7503" t="n">
        <v>0</v>
      </c>
      <c r="Q7503" t="n">
        <v>0</v>
      </c>
      <c r="R7503" t="n">
        <v>0</v>
      </c>
      <c r="S7503" t="n">
        <v>0</v>
      </c>
      <c r="T7503" t="n">
        <v>0</v>
      </c>
      <c r="U7503" t="n">
        <v>0</v>
      </c>
      <c r="V7503" s="2" t="inlineStr"/>
    </row>
    <row r="7504" ht="15" customHeight="1">
      <c r="A7504" t="inlineStr">
        <is>
          <t>A 20868-2026</t>
        </is>
      </c>
      <c r="B7504" t="inlineStr">
        <is>
          <t>avverkningsanmälan</t>
        </is>
      </c>
      <c r="C7504" t="inlineStr">
        <is>
          <t>Föryngringsavverkning</t>
        </is>
      </c>
      <c r="D7504" s="1" t="n">
        <v>46142</v>
      </c>
      <c r="E7504" s="1" t="n">
        <v>46326</v>
      </c>
      <c r="F7504" t="inlineStr">
        <is>
          <t>GÄVLEBORGS LÄN</t>
        </is>
      </c>
      <c r="G7504" t="inlineStr">
        <is>
          <t>BOLLNÄS</t>
        </is>
      </c>
      <c r="H7504" t="inlineStr">
        <is>
          <t>Bergvik skog väst AB</t>
        </is>
      </c>
      <c r="I7504" t="n">
        <v>2.9</v>
      </c>
      <c r="J7504" t="n">
        <v>0</v>
      </c>
      <c r="K7504" t="n">
        <v>0</v>
      </c>
      <c r="L7504" t="n">
        <v>0</v>
      </c>
      <c r="M7504" t="n">
        <v>0</v>
      </c>
      <c r="N7504" t="n">
        <v>0</v>
      </c>
      <c r="O7504" t="n">
        <v>0</v>
      </c>
      <c r="P7504" t="n">
        <v>0</v>
      </c>
      <c r="Q7504" t="n">
        <v>0</v>
      </c>
      <c r="R7504" t="n">
        <v>0</v>
      </c>
      <c r="S7504" t="n">
        <v>0</v>
      </c>
      <c r="T7504" t="n">
        <v>0</v>
      </c>
      <c r="U7504" t="n">
        <v>0</v>
      </c>
      <c r="V7504" s="2" t="inlineStr"/>
    </row>
    <row r="7505" ht="15" customHeight="1">
      <c r="A7505" t="inlineStr">
        <is>
          <t>A 8600-2026</t>
        </is>
      </c>
      <c r="B7505" t="inlineStr">
        <is>
          <t>avverkningsanmälan</t>
        </is>
      </c>
      <c r="C7505" t="inlineStr">
        <is>
          <t>Föryngringsavverkning</t>
        </is>
      </c>
      <c r="D7505" s="1" t="n">
        <v>46065</v>
      </c>
      <c r="E7505" s="1" t="n">
        <v>46326</v>
      </c>
      <c r="F7505" t="inlineStr">
        <is>
          <t>GÄVLEBORGS LÄN</t>
        </is>
      </c>
      <c r="G7505" t="inlineStr">
        <is>
          <t>SANDVIKEN</t>
        </is>
      </c>
      <c r="I7505" t="n">
        <v>4.2</v>
      </c>
      <c r="J7505" t="n">
        <v>0</v>
      </c>
      <c r="K7505" t="n">
        <v>0</v>
      </c>
      <c r="L7505" t="n">
        <v>0</v>
      </c>
      <c r="M7505" t="n">
        <v>0</v>
      </c>
      <c r="N7505" t="n">
        <v>0</v>
      </c>
      <c r="O7505" t="n">
        <v>0</v>
      </c>
      <c r="P7505" t="n">
        <v>0</v>
      </c>
      <c r="Q7505" t="n">
        <v>0</v>
      </c>
      <c r="R7505" t="n">
        <v>0</v>
      </c>
      <c r="S7505" t="n">
        <v>0</v>
      </c>
      <c r="T7505" t="n">
        <v>0</v>
      </c>
      <c r="U7505" t="n">
        <v>0</v>
      </c>
      <c r="V7505" s="2" t="inlineStr"/>
    </row>
    <row r="7506" ht="15" customHeight="1">
      <c r="A7506" t="inlineStr">
        <is>
          <t>A 2993-2026</t>
        </is>
      </c>
      <c r="B7506" t="inlineStr">
        <is>
          <t>avverkningsanmälan</t>
        </is>
      </c>
      <c r="C7506" t="inlineStr">
        <is>
          <t>Föryngringsavverkning</t>
        </is>
      </c>
      <c r="D7506" s="1" t="n">
        <v>46038</v>
      </c>
      <c r="E7506" s="1" t="n">
        <v>46326</v>
      </c>
      <c r="F7506" t="inlineStr">
        <is>
          <t>GÄVLEBORGS LÄN</t>
        </is>
      </c>
      <c r="G7506" t="inlineStr">
        <is>
          <t>BOLLNÄS</t>
        </is>
      </c>
      <c r="I7506" t="n">
        <v>5.2</v>
      </c>
      <c r="J7506" t="n">
        <v>0</v>
      </c>
      <c r="K7506" t="n">
        <v>0</v>
      </c>
      <c r="L7506" t="n">
        <v>0</v>
      </c>
      <c r="M7506" t="n">
        <v>0</v>
      </c>
      <c r="N7506" t="n">
        <v>0</v>
      </c>
      <c r="O7506" t="n">
        <v>0</v>
      </c>
      <c r="P7506" t="n">
        <v>0</v>
      </c>
      <c r="Q7506" t="n">
        <v>0</v>
      </c>
      <c r="R7506" t="n">
        <v>0</v>
      </c>
      <c r="S7506" t="n">
        <v>0</v>
      </c>
      <c r="T7506" t="n">
        <v>0</v>
      </c>
      <c r="U7506" t="n">
        <v>0</v>
      </c>
      <c r="V7506" s="2" t="inlineStr"/>
    </row>
    <row r="7507" ht="15" customHeight="1">
      <c r="A7507" t="inlineStr">
        <is>
          <t>A 56634-2023</t>
        </is>
      </c>
      <c r="B7507" t="inlineStr">
        <is>
          <t>avverkningsanmälan</t>
        </is>
      </c>
      <c r="C7507" t="inlineStr">
        <is>
          <t>Föryngringsavverkning</t>
        </is>
      </c>
      <c r="D7507" s="1" t="n">
        <v>45243</v>
      </c>
      <c r="E7507" s="1" t="n">
        <v>46326</v>
      </c>
      <c r="F7507" t="inlineStr">
        <is>
          <t>GÄVLEBORGS LÄN</t>
        </is>
      </c>
      <c r="G7507" t="inlineStr">
        <is>
          <t>OCKELBO</t>
        </is>
      </c>
      <c r="I7507" t="n">
        <v>4.7</v>
      </c>
      <c r="J7507" t="n">
        <v>0</v>
      </c>
      <c r="K7507" t="n">
        <v>0</v>
      </c>
      <c r="L7507" t="n">
        <v>0</v>
      </c>
      <c r="M7507" t="n">
        <v>0</v>
      </c>
      <c r="N7507" t="n">
        <v>0</v>
      </c>
      <c r="O7507" t="n">
        <v>0</v>
      </c>
      <c r="P7507" t="n">
        <v>0</v>
      </c>
      <c r="Q7507" t="n">
        <v>0</v>
      </c>
      <c r="R7507" t="n">
        <v>0</v>
      </c>
      <c r="S7507" t="n">
        <v>0</v>
      </c>
      <c r="T7507" t="n">
        <v>0</v>
      </c>
      <c r="U7507" t="n">
        <v>0</v>
      </c>
      <c r="V7507" s="2" t="inlineStr"/>
    </row>
    <row r="7508" ht="15" customHeight="1">
      <c r="A7508" t="inlineStr">
        <is>
          <t>A 17264-2026</t>
        </is>
      </c>
      <c r="B7508" t="inlineStr">
        <is>
          <t>avverkningsanmälan</t>
        </is>
      </c>
      <c r="C7508" t="inlineStr">
        <is>
          <t>Föryngringsavverkning</t>
        </is>
      </c>
      <c r="D7508" s="1" t="n">
        <v>46119</v>
      </c>
      <c r="E7508" s="1" t="n">
        <v>46326</v>
      </c>
      <c r="F7508" t="inlineStr">
        <is>
          <t>GÄVLEBORGS LÄN</t>
        </is>
      </c>
      <c r="G7508" t="inlineStr">
        <is>
          <t>OVANÅKER</t>
        </is>
      </c>
      <c r="H7508" t="inlineStr">
        <is>
          <t>Bergvik skog öst AB</t>
        </is>
      </c>
      <c r="I7508" t="n">
        <v>24.8</v>
      </c>
      <c r="J7508" t="n">
        <v>0</v>
      </c>
      <c r="K7508" t="n">
        <v>0</v>
      </c>
      <c r="L7508" t="n">
        <v>0</v>
      </c>
      <c r="M7508" t="n">
        <v>0</v>
      </c>
      <c r="N7508" t="n">
        <v>0</v>
      </c>
      <c r="O7508" t="n">
        <v>0</v>
      </c>
      <c r="P7508" t="n">
        <v>0</v>
      </c>
      <c r="Q7508" t="n">
        <v>0</v>
      </c>
      <c r="R7508" t="n">
        <v>0</v>
      </c>
      <c r="S7508" t="n">
        <v>0</v>
      </c>
      <c r="T7508" t="n">
        <v>0</v>
      </c>
      <c r="U7508" t="n">
        <v>0</v>
      </c>
      <c r="V7508" s="2" t="inlineStr"/>
    </row>
    <row r="7509" ht="15" customHeight="1">
      <c r="A7509" t="inlineStr">
        <is>
          <t>A 19330-2026</t>
        </is>
      </c>
      <c r="B7509" t="inlineStr">
        <is>
          <t>avverkningsanmälan</t>
        </is>
      </c>
      <c r="C7509" t="inlineStr">
        <is>
          <t>Föryngringsavverkning</t>
        </is>
      </c>
      <c r="D7509" s="1" t="n">
        <v>46133</v>
      </c>
      <c r="E7509" s="1" t="n">
        <v>46326</v>
      </c>
      <c r="F7509" t="inlineStr">
        <is>
          <t>GÄVLEBORGS LÄN</t>
        </is>
      </c>
      <c r="G7509" t="inlineStr">
        <is>
          <t>OVANÅKER</t>
        </is>
      </c>
      <c r="H7509" t="inlineStr">
        <is>
          <t>Bergvik skog öst AB</t>
        </is>
      </c>
      <c r="I7509" t="n">
        <v>4.7</v>
      </c>
      <c r="J7509" t="n">
        <v>0</v>
      </c>
      <c r="K7509" t="n">
        <v>0</v>
      </c>
      <c r="L7509" t="n">
        <v>0</v>
      </c>
      <c r="M7509" t="n">
        <v>0</v>
      </c>
      <c r="N7509" t="n">
        <v>0</v>
      </c>
      <c r="O7509" t="n">
        <v>0</v>
      </c>
      <c r="P7509" t="n">
        <v>0</v>
      </c>
      <c r="Q7509" t="n">
        <v>0</v>
      </c>
      <c r="R7509" t="n">
        <v>0</v>
      </c>
      <c r="S7509" t="n">
        <v>0</v>
      </c>
      <c r="T7509" t="n">
        <v>0</v>
      </c>
      <c r="U7509" t="n">
        <v>0</v>
      </c>
      <c r="V7509" s="2" t="inlineStr"/>
    </row>
    <row r="7510" ht="15" customHeight="1">
      <c r="A7510" t="inlineStr">
        <is>
          <t>A 19607-2026</t>
        </is>
      </c>
      <c r="B7510" t="inlineStr">
        <is>
          <t>avverkningsanmälan</t>
        </is>
      </c>
      <c r="C7510" t="inlineStr">
        <is>
          <t>Föryngringsavverkning</t>
        </is>
      </c>
      <c r="D7510" s="1" t="n">
        <v>46134</v>
      </c>
      <c r="E7510" s="1" t="n">
        <v>46326</v>
      </c>
      <c r="F7510" t="inlineStr">
        <is>
          <t>GÄVLEBORGS LÄN</t>
        </is>
      </c>
      <c r="G7510" t="inlineStr">
        <is>
          <t>OVANÅKER</t>
        </is>
      </c>
      <c r="H7510" t="inlineStr">
        <is>
          <t>Bergvik skog öst AB</t>
        </is>
      </c>
      <c r="I7510" t="n">
        <v>22.6</v>
      </c>
      <c r="J7510" t="n">
        <v>0</v>
      </c>
      <c r="K7510" t="n">
        <v>0</v>
      </c>
      <c r="L7510" t="n">
        <v>0</v>
      </c>
      <c r="M7510" t="n">
        <v>0</v>
      </c>
      <c r="N7510" t="n">
        <v>0</v>
      </c>
      <c r="O7510" t="n">
        <v>0</v>
      </c>
      <c r="P7510" t="n">
        <v>0</v>
      </c>
      <c r="Q7510" t="n">
        <v>0</v>
      </c>
      <c r="R7510" t="n">
        <v>0</v>
      </c>
      <c r="S7510" t="n">
        <v>0</v>
      </c>
      <c r="T7510" t="n">
        <v>0</v>
      </c>
      <c r="U7510" t="n">
        <v>0</v>
      </c>
      <c r="V7510" s="2" t="inlineStr"/>
    </row>
    <row r="7511" ht="15" customHeight="1">
      <c r="A7511" t="inlineStr">
        <is>
          <t>A 60117-2025</t>
        </is>
      </c>
      <c r="B7511" t="inlineStr">
        <is>
          <t>avverkningsanmälan</t>
        </is>
      </c>
      <c r="C7511" t="inlineStr">
        <is>
          <t>Föryngringsavverkning</t>
        </is>
      </c>
      <c r="D7511" s="1" t="n">
        <v>45994</v>
      </c>
      <c r="E7511" s="1" t="n">
        <v>46326</v>
      </c>
      <c r="F7511" t="inlineStr">
        <is>
          <t>GÄVLEBORGS LÄN</t>
        </is>
      </c>
      <c r="G7511" t="inlineStr">
        <is>
          <t>OCKELBO</t>
        </is>
      </c>
      <c r="I7511" t="n">
        <v>0.8</v>
      </c>
      <c r="J7511" t="n">
        <v>0</v>
      </c>
      <c r="K7511" t="n">
        <v>0</v>
      </c>
      <c r="L7511" t="n">
        <v>0</v>
      </c>
      <c r="M7511" t="n">
        <v>0</v>
      </c>
      <c r="N7511" t="n">
        <v>0</v>
      </c>
      <c r="O7511" t="n">
        <v>0</v>
      </c>
      <c r="P7511" t="n">
        <v>0</v>
      </c>
      <c r="Q7511" t="n">
        <v>0</v>
      </c>
      <c r="R7511" t="n">
        <v>0</v>
      </c>
      <c r="S7511" t="n">
        <v>0</v>
      </c>
      <c r="T7511" t="n">
        <v>0</v>
      </c>
      <c r="U7511" t="n">
        <v>0</v>
      </c>
      <c r="V7511" s="2" t="inlineStr"/>
    </row>
    <row r="7512" ht="15" customHeight="1">
      <c r="A7512" t="inlineStr">
        <is>
          <t>A 20123-2026</t>
        </is>
      </c>
      <c r="B7512" t="inlineStr">
        <is>
          <t>avverkningsanmälan</t>
        </is>
      </c>
      <c r="C7512" t="inlineStr">
        <is>
          <t>Föryngringsavverkning</t>
        </is>
      </c>
      <c r="D7512" s="1" t="n">
        <v>46136</v>
      </c>
      <c r="E7512" s="1" t="n">
        <v>46326</v>
      </c>
      <c r="F7512" t="inlineStr">
        <is>
          <t>GÄVLEBORGS LÄN</t>
        </is>
      </c>
      <c r="G7512" t="inlineStr">
        <is>
          <t>OVANÅKER</t>
        </is>
      </c>
      <c r="I7512" t="n">
        <v>1.7</v>
      </c>
      <c r="J7512" t="n">
        <v>0</v>
      </c>
      <c r="K7512" t="n">
        <v>0</v>
      </c>
      <c r="L7512" t="n">
        <v>0</v>
      </c>
      <c r="M7512" t="n">
        <v>0</v>
      </c>
      <c r="N7512" t="n">
        <v>0</v>
      </c>
      <c r="O7512" t="n">
        <v>0</v>
      </c>
      <c r="P7512" t="n">
        <v>0</v>
      </c>
      <c r="Q7512" t="n">
        <v>0</v>
      </c>
      <c r="R7512" t="n">
        <v>0</v>
      </c>
      <c r="S7512" t="n">
        <v>0</v>
      </c>
      <c r="T7512" t="n">
        <v>0</v>
      </c>
      <c r="U7512" t="n">
        <v>0</v>
      </c>
      <c r="V7512" s="2" t="inlineStr"/>
    </row>
    <row r="7513" ht="15" customHeight="1">
      <c r="A7513" t="inlineStr">
        <is>
          <t>A 57753-2023</t>
        </is>
      </c>
      <c r="B7513" t="inlineStr">
        <is>
          <t>avverkningsanmälan</t>
        </is>
      </c>
      <c r="C7513" t="inlineStr">
        <is>
          <t>Föryngringsavverkning</t>
        </is>
      </c>
      <c r="D7513" s="1" t="n">
        <v>45246</v>
      </c>
      <c r="E7513" s="1" t="n">
        <v>46326</v>
      </c>
      <c r="F7513" t="inlineStr">
        <is>
          <t>GÄVLEBORGS LÄN</t>
        </is>
      </c>
      <c r="G7513" t="inlineStr">
        <is>
          <t>SÖDERHAMN</t>
        </is>
      </c>
      <c r="I7513" t="n">
        <v>1.4</v>
      </c>
      <c r="J7513" t="n">
        <v>0</v>
      </c>
      <c r="K7513" t="n">
        <v>0</v>
      </c>
      <c r="L7513" t="n">
        <v>0</v>
      </c>
      <c r="M7513" t="n">
        <v>0</v>
      </c>
      <c r="N7513" t="n">
        <v>0</v>
      </c>
      <c r="O7513" t="n">
        <v>0</v>
      </c>
      <c r="P7513" t="n">
        <v>0</v>
      </c>
      <c r="Q7513" t="n">
        <v>0</v>
      </c>
      <c r="R7513" t="n">
        <v>0</v>
      </c>
      <c r="S7513" t="n">
        <v>0</v>
      </c>
      <c r="T7513" t="n">
        <v>0</v>
      </c>
      <c r="U7513" t="n">
        <v>0</v>
      </c>
      <c r="V7513" s="2" t="inlineStr"/>
    </row>
    <row r="7514" ht="15" customHeight="1">
      <c r="A7514" t="inlineStr">
        <is>
          <t>A 21136-2026</t>
        </is>
      </c>
      <c r="B7514" t="inlineStr">
        <is>
          <t>avverkningsanmälan</t>
        </is>
      </c>
      <c r="C7514" t="inlineStr">
        <is>
          <t>Föryngringsavverkning</t>
        </is>
      </c>
      <c r="D7514" s="1" t="n">
        <v>46146</v>
      </c>
      <c r="E7514" s="1" t="n">
        <v>46326</v>
      </c>
      <c r="F7514" t="inlineStr">
        <is>
          <t>GÄVLEBORGS LÄN</t>
        </is>
      </c>
      <c r="G7514" t="inlineStr">
        <is>
          <t>OVANÅKER</t>
        </is>
      </c>
      <c r="H7514" t="inlineStr">
        <is>
          <t>Bergvik skog öst AB</t>
        </is>
      </c>
      <c r="I7514" t="n">
        <v>0.9</v>
      </c>
      <c r="J7514" t="n">
        <v>0</v>
      </c>
      <c r="K7514" t="n">
        <v>0</v>
      </c>
      <c r="L7514" t="n">
        <v>0</v>
      </c>
      <c r="M7514" t="n">
        <v>0</v>
      </c>
      <c r="N7514" t="n">
        <v>0</v>
      </c>
      <c r="O7514" t="n">
        <v>0</v>
      </c>
      <c r="P7514" t="n">
        <v>0</v>
      </c>
      <c r="Q7514" t="n">
        <v>0</v>
      </c>
      <c r="R7514" t="n">
        <v>0</v>
      </c>
      <c r="S7514" t="n">
        <v>0</v>
      </c>
      <c r="T7514" t="n">
        <v>0</v>
      </c>
      <c r="U7514" t="n">
        <v>0</v>
      </c>
      <c r="V7514" s="2" t="inlineStr"/>
    </row>
    <row r="7515" ht="15" customHeight="1">
      <c r="A7515" t="inlineStr">
        <is>
          <t>A 21094-2026</t>
        </is>
      </c>
      <c r="B7515" t="inlineStr">
        <is>
          <t>avverkningsanmälan</t>
        </is>
      </c>
      <c r="C7515" t="inlineStr">
        <is>
          <t>Föryngringsavverkning</t>
        </is>
      </c>
      <c r="D7515" s="1" t="n">
        <v>46146</v>
      </c>
      <c r="E7515" s="1" t="n">
        <v>46326</v>
      </c>
      <c r="F7515" t="inlineStr">
        <is>
          <t>GÄVLEBORGS LÄN</t>
        </is>
      </c>
      <c r="G7515" t="inlineStr">
        <is>
          <t>HUDIKSVALL</t>
        </is>
      </c>
      <c r="I7515" t="n">
        <v>1.2</v>
      </c>
      <c r="J7515" t="n">
        <v>0</v>
      </c>
      <c r="K7515" t="n">
        <v>0</v>
      </c>
      <c r="L7515" t="n">
        <v>0</v>
      </c>
      <c r="M7515" t="n">
        <v>0</v>
      </c>
      <c r="N7515" t="n">
        <v>0</v>
      </c>
      <c r="O7515" t="n">
        <v>0</v>
      </c>
      <c r="P7515" t="n">
        <v>0</v>
      </c>
      <c r="Q7515" t="n">
        <v>0</v>
      </c>
      <c r="R7515" t="n">
        <v>0</v>
      </c>
      <c r="S7515" t="n">
        <v>0</v>
      </c>
      <c r="T7515" t="n">
        <v>0</v>
      </c>
      <c r="U7515" t="n">
        <v>0</v>
      </c>
      <c r="V7515" s="2" t="inlineStr"/>
    </row>
    <row r="7516" ht="15" customHeight="1">
      <c r="A7516" t="inlineStr">
        <is>
          <t>A 21097-2026</t>
        </is>
      </c>
      <c r="B7516" t="inlineStr">
        <is>
          <t>avverkningsanmälan</t>
        </is>
      </c>
      <c r="C7516" t="inlineStr">
        <is>
          <t>Föryngringsavverkning</t>
        </is>
      </c>
      <c r="D7516" s="1" t="n">
        <v>46146</v>
      </c>
      <c r="E7516" s="1" t="n">
        <v>46326</v>
      </c>
      <c r="F7516" t="inlineStr">
        <is>
          <t>GÄVLEBORGS LÄN</t>
        </is>
      </c>
      <c r="G7516" t="inlineStr">
        <is>
          <t>HUDIKSVALL</t>
        </is>
      </c>
      <c r="I7516" t="n">
        <v>6.6</v>
      </c>
      <c r="J7516" t="n">
        <v>0</v>
      </c>
      <c r="K7516" t="n">
        <v>0</v>
      </c>
      <c r="L7516" t="n">
        <v>0</v>
      </c>
      <c r="M7516" t="n">
        <v>0</v>
      </c>
      <c r="N7516" t="n">
        <v>0</v>
      </c>
      <c r="O7516" t="n">
        <v>0</v>
      </c>
      <c r="P7516" t="n">
        <v>0</v>
      </c>
      <c r="Q7516" t="n">
        <v>0</v>
      </c>
      <c r="R7516" t="n">
        <v>0</v>
      </c>
      <c r="S7516" t="n">
        <v>0</v>
      </c>
      <c r="T7516" t="n">
        <v>0</v>
      </c>
      <c r="U7516" t="n">
        <v>0</v>
      </c>
      <c r="V7516" s="2" t="inlineStr"/>
    </row>
    <row r="7517" ht="15" customHeight="1">
      <c r="A7517" t="inlineStr">
        <is>
          <t>A 21105-2026</t>
        </is>
      </c>
      <c r="B7517" t="inlineStr">
        <is>
          <t>avverkningsanmälan</t>
        </is>
      </c>
      <c r="C7517" t="inlineStr">
        <is>
          <t>Föryngringsavverkning</t>
        </is>
      </c>
      <c r="D7517" s="1" t="n">
        <v>46146</v>
      </c>
      <c r="E7517" s="1" t="n">
        <v>46326</v>
      </c>
      <c r="F7517" t="inlineStr">
        <is>
          <t>GÄVLEBORGS LÄN</t>
        </is>
      </c>
      <c r="G7517" t="inlineStr">
        <is>
          <t>HUDIKSVALL</t>
        </is>
      </c>
      <c r="I7517" t="n">
        <v>2.6</v>
      </c>
      <c r="J7517" t="n">
        <v>0</v>
      </c>
      <c r="K7517" t="n">
        <v>0</v>
      </c>
      <c r="L7517" t="n">
        <v>0</v>
      </c>
      <c r="M7517" t="n">
        <v>0</v>
      </c>
      <c r="N7517" t="n">
        <v>0</v>
      </c>
      <c r="O7517" t="n">
        <v>0</v>
      </c>
      <c r="P7517" t="n">
        <v>0</v>
      </c>
      <c r="Q7517" t="n">
        <v>0</v>
      </c>
      <c r="R7517" t="n">
        <v>0</v>
      </c>
      <c r="S7517" t="n">
        <v>0</v>
      </c>
      <c r="T7517" t="n">
        <v>0</v>
      </c>
      <c r="U7517" t="n">
        <v>0</v>
      </c>
      <c r="V7517" s="2" t="inlineStr"/>
    </row>
    <row r="7518" ht="15" customHeight="1">
      <c r="A7518" t="inlineStr">
        <is>
          <t>A 21118-2026</t>
        </is>
      </c>
      <c r="B7518" t="inlineStr">
        <is>
          <t>avverkningsanmälan</t>
        </is>
      </c>
      <c r="C7518" t="inlineStr">
        <is>
          <t>Avverkning för annat ändamål</t>
        </is>
      </c>
      <c r="D7518" s="1" t="n">
        <v>46146</v>
      </c>
      <c r="E7518" s="1" t="n">
        <v>46326</v>
      </c>
      <c r="F7518" t="inlineStr">
        <is>
          <t>GÄVLEBORGS LÄN</t>
        </is>
      </c>
      <c r="G7518" t="inlineStr">
        <is>
          <t>NORDANSTIG</t>
        </is>
      </c>
      <c r="I7518" t="n">
        <v>0.4</v>
      </c>
      <c r="J7518" t="n">
        <v>0</v>
      </c>
      <c r="K7518" t="n">
        <v>0</v>
      </c>
      <c r="L7518" t="n">
        <v>0</v>
      </c>
      <c r="M7518" t="n">
        <v>0</v>
      </c>
      <c r="N7518" t="n">
        <v>0</v>
      </c>
      <c r="O7518" t="n">
        <v>0</v>
      </c>
      <c r="P7518" t="n">
        <v>0</v>
      </c>
      <c r="Q7518" t="n">
        <v>0</v>
      </c>
      <c r="R7518" t="n">
        <v>0</v>
      </c>
      <c r="S7518" t="n">
        <v>0</v>
      </c>
      <c r="T7518" t="n">
        <v>0</v>
      </c>
      <c r="U7518" t="n">
        <v>0</v>
      </c>
      <c r="V7518" s="2" t="inlineStr"/>
    </row>
    <row r="7519" ht="15" customHeight="1">
      <c r="A7519" t="inlineStr">
        <is>
          <t>A 21173-2026</t>
        </is>
      </c>
      <c r="B7519" t="inlineStr">
        <is>
          <t>avverkningsanmälan</t>
        </is>
      </c>
      <c r="C7519" t="inlineStr">
        <is>
          <t>Föryngringsavverkning</t>
        </is>
      </c>
      <c r="D7519" s="1" t="n">
        <v>46146</v>
      </c>
      <c r="E7519" s="1" t="n">
        <v>46326</v>
      </c>
      <c r="F7519" t="inlineStr">
        <is>
          <t>GÄVLEBORGS LÄN</t>
        </is>
      </c>
      <c r="G7519" t="inlineStr">
        <is>
          <t>OCKELBO</t>
        </is>
      </c>
      <c r="H7519" t="inlineStr">
        <is>
          <t>Bergvik skog väst AB</t>
        </is>
      </c>
      <c r="I7519" t="n">
        <v>3.1</v>
      </c>
      <c r="J7519" t="n">
        <v>0</v>
      </c>
      <c r="K7519" t="n">
        <v>0</v>
      </c>
      <c r="L7519" t="n">
        <v>0</v>
      </c>
      <c r="M7519" t="n">
        <v>0</v>
      </c>
      <c r="N7519" t="n">
        <v>0</v>
      </c>
      <c r="O7519" t="n">
        <v>0</v>
      </c>
      <c r="P7519" t="n">
        <v>0</v>
      </c>
      <c r="Q7519" t="n">
        <v>0</v>
      </c>
      <c r="R7519" t="n">
        <v>0</v>
      </c>
      <c r="S7519" t="n">
        <v>0</v>
      </c>
      <c r="T7519" t="n">
        <v>0</v>
      </c>
      <c r="U7519" t="n">
        <v>0</v>
      </c>
      <c r="V7519" s="2" t="inlineStr"/>
    </row>
    <row r="7520" ht="15" customHeight="1">
      <c r="A7520" t="inlineStr">
        <is>
          <t>A 49401-2024</t>
        </is>
      </c>
      <c r="B7520" t="inlineStr">
        <is>
          <t>avverkningsanmälan</t>
        </is>
      </c>
      <c r="C7520" t="inlineStr">
        <is>
          <t>Föryngringsavverkning</t>
        </is>
      </c>
      <c r="D7520" s="1" t="n">
        <v>45595</v>
      </c>
      <c r="E7520" s="1" t="n">
        <v>46326</v>
      </c>
      <c r="F7520" t="inlineStr">
        <is>
          <t>GÄVLEBORGS LÄN</t>
        </is>
      </c>
      <c r="G7520" t="inlineStr">
        <is>
          <t>GÄVLE</t>
        </is>
      </c>
      <c r="I7520" t="n">
        <v>1</v>
      </c>
      <c r="J7520" t="n">
        <v>0</v>
      </c>
      <c r="K7520" t="n">
        <v>0</v>
      </c>
      <c r="L7520" t="n">
        <v>0</v>
      </c>
      <c r="M7520" t="n">
        <v>0</v>
      </c>
      <c r="N7520" t="n">
        <v>0</v>
      </c>
      <c r="O7520" t="n">
        <v>0</v>
      </c>
      <c r="P7520" t="n">
        <v>0</v>
      </c>
      <c r="Q7520" t="n">
        <v>0</v>
      </c>
      <c r="R7520" t="n">
        <v>0</v>
      </c>
      <c r="S7520" t="n">
        <v>0</v>
      </c>
      <c r="T7520" t="n">
        <v>0</v>
      </c>
      <c r="U7520" t="n">
        <v>0</v>
      </c>
      <c r="V7520" s="2" t="inlineStr"/>
    </row>
    <row r="7521" ht="15" customHeight="1">
      <c r="A7521" t="inlineStr">
        <is>
          <t>A 21144-2026</t>
        </is>
      </c>
      <c r="B7521" t="inlineStr">
        <is>
          <t>avverkningsanmälan</t>
        </is>
      </c>
      <c r="C7521" t="inlineStr">
        <is>
          <t>Föryngringsavverkning</t>
        </is>
      </c>
      <c r="D7521" s="1" t="n">
        <v>46146</v>
      </c>
      <c r="E7521" s="1" t="n">
        <v>46326</v>
      </c>
      <c r="F7521" t="inlineStr">
        <is>
          <t>GÄVLEBORGS LÄN</t>
        </is>
      </c>
      <c r="G7521" t="inlineStr">
        <is>
          <t>LJUSDAL</t>
        </is>
      </c>
      <c r="H7521" t="inlineStr">
        <is>
          <t>Bergvik skog väst AB</t>
        </is>
      </c>
      <c r="I7521" t="n">
        <v>2.3</v>
      </c>
      <c r="J7521" t="n">
        <v>0</v>
      </c>
      <c r="K7521" t="n">
        <v>0</v>
      </c>
      <c r="L7521" t="n">
        <v>0</v>
      </c>
      <c r="M7521" t="n">
        <v>0</v>
      </c>
      <c r="N7521" t="n">
        <v>0</v>
      </c>
      <c r="O7521" t="n">
        <v>0</v>
      </c>
      <c r="P7521" t="n">
        <v>0</v>
      </c>
      <c r="Q7521" t="n">
        <v>0</v>
      </c>
      <c r="R7521" t="n">
        <v>0</v>
      </c>
      <c r="S7521" t="n">
        <v>0</v>
      </c>
      <c r="T7521" t="n">
        <v>0</v>
      </c>
      <c r="U7521" t="n">
        <v>0</v>
      </c>
      <c r="V7521" s="2" t="inlineStr"/>
    </row>
    <row r="7522" ht="15" customHeight="1">
      <c r="A7522" t="inlineStr">
        <is>
          <t>A 12800-2025</t>
        </is>
      </c>
      <c r="B7522" t="inlineStr">
        <is>
          <t>avverkningsanmälan</t>
        </is>
      </c>
      <c r="C7522" t="inlineStr">
        <is>
          <t>Föryngringsavverkning</t>
        </is>
      </c>
      <c r="D7522" s="1" t="n">
        <v>45733</v>
      </c>
      <c r="E7522" s="1" t="n">
        <v>46326</v>
      </c>
      <c r="F7522" t="inlineStr">
        <is>
          <t>GÄVLEBORGS LÄN</t>
        </is>
      </c>
      <c r="G7522" t="inlineStr">
        <is>
          <t>BOLLNÄS</t>
        </is>
      </c>
      <c r="I7522" t="n">
        <v>2</v>
      </c>
      <c r="J7522" t="n">
        <v>0</v>
      </c>
      <c r="K7522" t="n">
        <v>0</v>
      </c>
      <c r="L7522" t="n">
        <v>0</v>
      </c>
      <c r="M7522" t="n">
        <v>0</v>
      </c>
      <c r="N7522" t="n">
        <v>0</v>
      </c>
      <c r="O7522" t="n">
        <v>0</v>
      </c>
      <c r="P7522" t="n">
        <v>0</v>
      </c>
      <c r="Q7522" t="n">
        <v>0</v>
      </c>
      <c r="R7522" t="n">
        <v>0</v>
      </c>
      <c r="S7522" t="n">
        <v>0</v>
      </c>
      <c r="T7522" t="n">
        <v>0</v>
      </c>
      <c r="U7522" t="n">
        <v>0</v>
      </c>
      <c r="V7522" s="2" t="inlineStr"/>
    </row>
    <row r="7523" ht="15" customHeight="1">
      <c r="A7523" t="inlineStr">
        <is>
          <t>A 12858-2025</t>
        </is>
      </c>
      <c r="B7523" t="inlineStr">
        <is>
          <t>avverkningsanmälan</t>
        </is>
      </c>
      <c r="C7523" t="inlineStr">
        <is>
          <t>Föryngringsavverkning</t>
        </is>
      </c>
      <c r="D7523" s="1" t="n">
        <v>45733</v>
      </c>
      <c r="E7523" s="1" t="n">
        <v>46326</v>
      </c>
      <c r="F7523" t="inlineStr">
        <is>
          <t>GÄVLEBORGS LÄN</t>
        </is>
      </c>
      <c r="G7523" t="inlineStr">
        <is>
          <t>NORDANSTIG</t>
        </is>
      </c>
      <c r="H7523" t="inlineStr">
        <is>
          <t>Holmen skog AB</t>
        </is>
      </c>
      <c r="I7523" t="n">
        <v>5.4</v>
      </c>
      <c r="J7523" t="n">
        <v>0</v>
      </c>
      <c r="K7523" t="n">
        <v>0</v>
      </c>
      <c r="L7523" t="n">
        <v>0</v>
      </c>
      <c r="M7523" t="n">
        <v>0</v>
      </c>
      <c r="N7523" t="n">
        <v>0</v>
      </c>
      <c r="O7523" t="n">
        <v>0</v>
      </c>
      <c r="P7523" t="n">
        <v>0</v>
      </c>
      <c r="Q7523" t="n">
        <v>0</v>
      </c>
      <c r="R7523" t="n">
        <v>0</v>
      </c>
      <c r="S7523" t="n">
        <v>0</v>
      </c>
      <c r="T7523" t="n">
        <v>0</v>
      </c>
      <c r="U7523" t="n">
        <v>0</v>
      </c>
      <c r="V7523" s="2" t="inlineStr"/>
    </row>
    <row r="7524" ht="15" customHeight="1">
      <c r="A7524" t="inlineStr">
        <is>
          <t>A 12867-2025</t>
        </is>
      </c>
      <c r="B7524" t="inlineStr">
        <is>
          <t>avverkningsanmälan</t>
        </is>
      </c>
      <c r="C7524" t="inlineStr">
        <is>
          <t>Föryngringsavverkning</t>
        </is>
      </c>
      <c r="D7524" s="1" t="n">
        <v>45733</v>
      </c>
      <c r="E7524" s="1" t="n">
        <v>46326</v>
      </c>
      <c r="F7524" t="inlineStr">
        <is>
          <t>GÄVLEBORGS LÄN</t>
        </is>
      </c>
      <c r="G7524" t="inlineStr">
        <is>
          <t>BOLLNÄS</t>
        </is>
      </c>
      <c r="I7524" t="n">
        <v>0.9</v>
      </c>
      <c r="J7524" t="n">
        <v>0</v>
      </c>
      <c r="K7524" t="n">
        <v>0</v>
      </c>
      <c r="L7524" t="n">
        <v>0</v>
      </c>
      <c r="M7524" t="n">
        <v>0</v>
      </c>
      <c r="N7524" t="n">
        <v>0</v>
      </c>
      <c r="O7524" t="n">
        <v>0</v>
      </c>
      <c r="P7524" t="n">
        <v>0</v>
      </c>
      <c r="Q7524" t="n">
        <v>0</v>
      </c>
      <c r="R7524" t="n">
        <v>0</v>
      </c>
      <c r="S7524" t="n">
        <v>0</v>
      </c>
      <c r="T7524" t="n">
        <v>0</v>
      </c>
      <c r="U7524" t="n">
        <v>0</v>
      </c>
      <c r="V7524" s="2" t="inlineStr"/>
    </row>
    <row r="7525" ht="15" customHeight="1">
      <c r="A7525" t="inlineStr">
        <is>
          <t>A 18549-2026</t>
        </is>
      </c>
      <c r="B7525" t="inlineStr">
        <is>
          <t>avverkningsanmälan</t>
        </is>
      </c>
      <c r="C7525" t="inlineStr">
        <is>
          <t>Föryngringsavverkning</t>
        </is>
      </c>
      <c r="D7525" s="1" t="n">
        <v>46127</v>
      </c>
      <c r="E7525" s="1" t="n">
        <v>46326</v>
      </c>
      <c r="F7525" t="inlineStr">
        <is>
          <t>GÄVLEBORGS LÄN</t>
        </is>
      </c>
      <c r="G7525" t="inlineStr">
        <is>
          <t>OCKELBO</t>
        </is>
      </c>
      <c r="H7525" t="inlineStr">
        <is>
          <t>Bergvik skog väst AB</t>
        </is>
      </c>
      <c r="I7525" t="n">
        <v>2.2</v>
      </c>
      <c r="J7525" t="n">
        <v>0</v>
      </c>
      <c r="K7525" t="n">
        <v>0</v>
      </c>
      <c r="L7525" t="n">
        <v>0</v>
      </c>
      <c r="M7525" t="n">
        <v>0</v>
      </c>
      <c r="N7525" t="n">
        <v>0</v>
      </c>
      <c r="O7525" t="n">
        <v>0</v>
      </c>
      <c r="P7525" t="n">
        <v>0</v>
      </c>
      <c r="Q7525" t="n">
        <v>0</v>
      </c>
      <c r="R7525" t="n">
        <v>0</v>
      </c>
      <c r="S7525" t="n">
        <v>0</v>
      </c>
      <c r="T7525" t="n">
        <v>0</v>
      </c>
      <c r="U7525" t="n">
        <v>0</v>
      </c>
      <c r="V7525" s="2" t="inlineStr"/>
    </row>
    <row r="7526" ht="15" customHeight="1">
      <c r="A7526" t="inlineStr">
        <is>
          <t>A 21195-2026</t>
        </is>
      </c>
      <c r="B7526" t="inlineStr">
        <is>
          <t>avverkningsanmälan</t>
        </is>
      </c>
      <c r="C7526" t="inlineStr">
        <is>
          <t>Föryngringsavverkning</t>
        </is>
      </c>
      <c r="D7526" s="1" t="n">
        <v>46146</v>
      </c>
      <c r="E7526" s="1" t="n">
        <v>46326</v>
      </c>
      <c r="F7526" t="inlineStr">
        <is>
          <t>GÄVLEBORGS LÄN</t>
        </is>
      </c>
      <c r="G7526" t="inlineStr">
        <is>
          <t>SÖDERHAMN</t>
        </is>
      </c>
      <c r="I7526" t="n">
        <v>0.6</v>
      </c>
      <c r="J7526" t="n">
        <v>0</v>
      </c>
      <c r="K7526" t="n">
        <v>0</v>
      </c>
      <c r="L7526" t="n">
        <v>0</v>
      </c>
      <c r="M7526" t="n">
        <v>0</v>
      </c>
      <c r="N7526" t="n">
        <v>0</v>
      </c>
      <c r="O7526" t="n">
        <v>0</v>
      </c>
      <c r="P7526" t="n">
        <v>0</v>
      </c>
      <c r="Q7526" t="n">
        <v>0</v>
      </c>
      <c r="R7526" t="n">
        <v>0</v>
      </c>
      <c r="S7526" t="n">
        <v>0</v>
      </c>
      <c r="T7526" t="n">
        <v>0</v>
      </c>
      <c r="U7526" t="n">
        <v>0</v>
      </c>
      <c r="V7526" s="2" t="inlineStr"/>
    </row>
    <row r="7527" ht="15" customHeight="1">
      <c r="A7527" t="inlineStr">
        <is>
          <t>A 55765-2025</t>
        </is>
      </c>
      <c r="B7527" t="inlineStr">
        <is>
          <t>avverkningsanmälan</t>
        </is>
      </c>
      <c r="C7527" t="inlineStr">
        <is>
          <t>Avverkning för annat ändamål</t>
        </is>
      </c>
      <c r="D7527" s="1" t="n">
        <v>45972</v>
      </c>
      <c r="E7527" s="1" t="n">
        <v>46326</v>
      </c>
      <c r="F7527" t="inlineStr">
        <is>
          <t>GÄVLEBORGS LÄN</t>
        </is>
      </c>
      <c r="G7527" t="inlineStr">
        <is>
          <t>SÖDERHAMN</t>
        </is>
      </c>
      <c r="I7527" t="n">
        <v>0.6</v>
      </c>
      <c r="J7527" t="n">
        <v>0</v>
      </c>
      <c r="K7527" t="n">
        <v>0</v>
      </c>
      <c r="L7527" t="n">
        <v>0</v>
      </c>
      <c r="M7527" t="n">
        <v>0</v>
      </c>
      <c r="N7527" t="n">
        <v>0</v>
      </c>
      <c r="O7527" t="n">
        <v>0</v>
      </c>
      <c r="P7527" t="n">
        <v>0</v>
      </c>
      <c r="Q7527" t="n">
        <v>0</v>
      </c>
      <c r="R7527" t="n">
        <v>0</v>
      </c>
      <c r="S7527" t="n">
        <v>0</v>
      </c>
      <c r="T7527" t="n">
        <v>0</v>
      </c>
      <c r="U7527" t="n">
        <v>0</v>
      </c>
      <c r="V7527" s="2" t="inlineStr"/>
    </row>
    <row r="7528" ht="15" customHeight="1">
      <c r="A7528" t="inlineStr">
        <is>
          <t>A 60838-2025</t>
        </is>
      </c>
      <c r="B7528" t="inlineStr">
        <is>
          <t>avverkningsanmälan</t>
        </is>
      </c>
      <c r="C7528" t="inlineStr">
        <is>
          <t>Avverkning för annat ändamål</t>
        </is>
      </c>
      <c r="D7528" s="1" t="n">
        <v>45999</v>
      </c>
      <c r="E7528" s="1" t="n">
        <v>46326</v>
      </c>
      <c r="F7528" t="inlineStr">
        <is>
          <t>GÄVLEBORGS LÄN</t>
        </is>
      </c>
      <c r="G7528" t="inlineStr">
        <is>
          <t>LJUSDAL</t>
        </is>
      </c>
      <c r="H7528" t="inlineStr">
        <is>
          <t>Sveaskog</t>
        </is>
      </c>
      <c r="I7528" t="n">
        <v>1.6</v>
      </c>
      <c r="J7528" t="n">
        <v>0</v>
      </c>
      <c r="K7528" t="n">
        <v>0</v>
      </c>
      <c r="L7528" t="n">
        <v>0</v>
      </c>
      <c r="M7528" t="n">
        <v>0</v>
      </c>
      <c r="N7528" t="n">
        <v>0</v>
      </c>
      <c r="O7528" t="n">
        <v>0</v>
      </c>
      <c r="P7528" t="n">
        <v>0</v>
      </c>
      <c r="Q7528" t="n">
        <v>0</v>
      </c>
      <c r="R7528" t="n">
        <v>0</v>
      </c>
      <c r="S7528" t="n">
        <v>0</v>
      </c>
      <c r="T7528" t="n">
        <v>0</v>
      </c>
      <c r="U7528" t="n">
        <v>0</v>
      </c>
      <c r="V7528" s="2" t="inlineStr"/>
    </row>
    <row r="7529" ht="15" customHeight="1">
      <c r="A7529" t="inlineStr">
        <is>
          <t>A 130-2026</t>
        </is>
      </c>
      <c r="B7529" t="inlineStr">
        <is>
          <t>avverkningsanmälan</t>
        </is>
      </c>
      <c r="C7529" t="inlineStr">
        <is>
          <t>Föryngringsavverkning</t>
        </is>
      </c>
      <c r="D7529" s="1" t="n">
        <v>46024</v>
      </c>
      <c r="E7529" s="1" t="n">
        <v>46326</v>
      </c>
      <c r="F7529" t="inlineStr">
        <is>
          <t>GÄVLEBORGS LÄN</t>
        </is>
      </c>
      <c r="G7529" t="inlineStr">
        <is>
          <t>SÖDERHAMN</t>
        </is>
      </c>
      <c r="I7529" t="n">
        <v>1.6</v>
      </c>
      <c r="J7529" t="n">
        <v>0</v>
      </c>
      <c r="K7529" t="n">
        <v>0</v>
      </c>
      <c r="L7529" t="n">
        <v>0</v>
      </c>
      <c r="M7529" t="n">
        <v>0</v>
      </c>
      <c r="N7529" t="n">
        <v>0</v>
      </c>
      <c r="O7529" t="n">
        <v>0</v>
      </c>
      <c r="P7529" t="n">
        <v>0</v>
      </c>
      <c r="Q7529" t="n">
        <v>0</v>
      </c>
      <c r="R7529" t="n">
        <v>0</v>
      </c>
      <c r="S7529" t="n">
        <v>0</v>
      </c>
      <c r="T7529" t="n">
        <v>0</v>
      </c>
      <c r="U7529" t="n">
        <v>0</v>
      </c>
      <c r="V7529" s="2" t="inlineStr"/>
    </row>
    <row r="7530" ht="15" customHeight="1">
      <c r="A7530" t="inlineStr">
        <is>
          <t>A 28658-2024</t>
        </is>
      </c>
      <c r="B7530" t="inlineStr">
        <is>
          <t>avverkningsanmälan</t>
        </is>
      </c>
      <c r="C7530" t="inlineStr">
        <is>
          <t>Föryngringsavverkning</t>
        </is>
      </c>
      <c r="D7530" s="1" t="n">
        <v>45478</v>
      </c>
      <c r="E7530" s="1" t="n">
        <v>46326</v>
      </c>
      <c r="F7530" t="inlineStr">
        <is>
          <t>GÄVLEBORGS LÄN</t>
        </is>
      </c>
      <c r="G7530" t="inlineStr">
        <is>
          <t>BOLLNÄS</t>
        </is>
      </c>
      <c r="H7530" t="inlineStr">
        <is>
          <t>Bergvik skog väst AB</t>
        </is>
      </c>
      <c r="I7530" t="n">
        <v>0.4</v>
      </c>
      <c r="J7530" t="n">
        <v>0</v>
      </c>
      <c r="K7530" t="n">
        <v>0</v>
      </c>
      <c r="L7530" t="n">
        <v>0</v>
      </c>
      <c r="M7530" t="n">
        <v>0</v>
      </c>
      <c r="N7530" t="n">
        <v>0</v>
      </c>
      <c r="O7530" t="n">
        <v>0</v>
      </c>
      <c r="P7530" t="n">
        <v>0</v>
      </c>
      <c r="Q7530" t="n">
        <v>0</v>
      </c>
      <c r="R7530" t="n">
        <v>0</v>
      </c>
      <c r="S7530" t="n">
        <v>0</v>
      </c>
      <c r="T7530" t="n">
        <v>0</v>
      </c>
      <c r="U7530" t="n">
        <v>0</v>
      </c>
      <c r="V7530" s="2" t="inlineStr"/>
    </row>
    <row r="7531" ht="15" customHeight="1">
      <c r="A7531" t="inlineStr">
        <is>
          <t>A 72644-2021</t>
        </is>
      </c>
      <c r="B7531" t="inlineStr">
        <is>
          <t>avverkningsanmälan</t>
        </is>
      </c>
      <c r="C7531" t="inlineStr">
        <is>
          <t>Föryngringsavverkning</t>
        </is>
      </c>
      <c r="D7531" s="1" t="n">
        <v>44546</v>
      </c>
      <c r="E7531" s="1" t="n">
        <v>46326</v>
      </c>
      <c r="F7531" t="inlineStr">
        <is>
          <t>GÄVLEBORGS LÄN</t>
        </is>
      </c>
      <c r="G7531" t="inlineStr">
        <is>
          <t>SÖDERHAMN</t>
        </is>
      </c>
      <c r="I7531" t="n">
        <v>2.1</v>
      </c>
      <c r="J7531" t="n">
        <v>0</v>
      </c>
      <c r="K7531" t="n">
        <v>0</v>
      </c>
      <c r="L7531" t="n">
        <v>0</v>
      </c>
      <c r="M7531" t="n">
        <v>0</v>
      </c>
      <c r="N7531" t="n">
        <v>0</v>
      </c>
      <c r="O7531" t="n">
        <v>0</v>
      </c>
      <c r="P7531" t="n">
        <v>0</v>
      </c>
      <c r="Q7531" t="n">
        <v>0</v>
      </c>
      <c r="R7531" t="n">
        <v>0</v>
      </c>
      <c r="S7531" t="n">
        <v>0</v>
      </c>
      <c r="T7531" t="n">
        <v>0</v>
      </c>
      <c r="U7531" t="n">
        <v>0</v>
      </c>
      <c r="V7531" s="2" t="inlineStr"/>
    </row>
    <row r="7532" ht="15" customHeight="1">
      <c r="A7532" t="inlineStr">
        <is>
          <t>A 6895-2026</t>
        </is>
      </c>
      <c r="B7532" t="inlineStr">
        <is>
          <t>avverkningsanmälan</t>
        </is>
      </c>
      <c r="C7532" t="inlineStr">
        <is>
          <t>Föryngringsavverkning</t>
        </is>
      </c>
      <c r="D7532" s="1" t="n">
        <v>46057</v>
      </c>
      <c r="E7532" s="1" t="n">
        <v>46326</v>
      </c>
      <c r="F7532" t="inlineStr">
        <is>
          <t>GÄVLEBORGS LÄN</t>
        </is>
      </c>
      <c r="G7532" t="inlineStr">
        <is>
          <t>HUDIKSVALL</t>
        </is>
      </c>
      <c r="I7532" t="n">
        <v>3.2</v>
      </c>
      <c r="J7532" t="n">
        <v>0</v>
      </c>
      <c r="K7532" t="n">
        <v>0</v>
      </c>
      <c r="L7532" t="n">
        <v>0</v>
      </c>
      <c r="M7532" t="n">
        <v>0</v>
      </c>
      <c r="N7532" t="n">
        <v>0</v>
      </c>
      <c r="O7532" t="n">
        <v>0</v>
      </c>
      <c r="P7532" t="n">
        <v>0</v>
      </c>
      <c r="Q7532" t="n">
        <v>0</v>
      </c>
      <c r="R7532" t="n">
        <v>0</v>
      </c>
      <c r="S7532" t="n">
        <v>0</v>
      </c>
      <c r="T7532" t="n">
        <v>0</v>
      </c>
      <c r="U7532" t="n">
        <v>0</v>
      </c>
      <c r="V7532" s="2" t="inlineStr"/>
    </row>
    <row r="7533" ht="15" customHeight="1">
      <c r="A7533" t="inlineStr">
        <is>
          <t>A 2807-2026</t>
        </is>
      </c>
      <c r="B7533" t="inlineStr">
        <is>
          <t>avverkningsanmälan</t>
        </is>
      </c>
      <c r="C7533" t="inlineStr">
        <is>
          <t>Föryngringsavverkning</t>
        </is>
      </c>
      <c r="D7533" s="1" t="n">
        <v>46038</v>
      </c>
      <c r="E7533" s="1" t="n">
        <v>46326</v>
      </c>
      <c r="F7533" t="inlineStr">
        <is>
          <t>GÄVLEBORGS LÄN</t>
        </is>
      </c>
      <c r="G7533" t="inlineStr">
        <is>
          <t>BOLLNÄS</t>
        </is>
      </c>
      <c r="I7533" t="n">
        <v>5.4</v>
      </c>
      <c r="J7533" t="n">
        <v>0</v>
      </c>
      <c r="K7533" t="n">
        <v>0</v>
      </c>
      <c r="L7533" t="n">
        <v>0</v>
      </c>
      <c r="M7533" t="n">
        <v>0</v>
      </c>
      <c r="N7533" t="n">
        <v>0</v>
      </c>
      <c r="O7533" t="n">
        <v>0</v>
      </c>
      <c r="P7533" t="n">
        <v>0</v>
      </c>
      <c r="Q7533" t="n">
        <v>0</v>
      </c>
      <c r="R7533" t="n">
        <v>0</v>
      </c>
      <c r="S7533" t="n">
        <v>0</v>
      </c>
      <c r="T7533" t="n">
        <v>0</v>
      </c>
      <c r="U7533" t="n">
        <v>0</v>
      </c>
      <c r="V7533" s="2" t="inlineStr"/>
    </row>
    <row r="7534" ht="15" customHeight="1">
      <c r="A7534" t="inlineStr">
        <is>
          <t>A 21040-2026</t>
        </is>
      </c>
      <c r="B7534" t="inlineStr">
        <is>
          <t>avverkningsanmälan</t>
        </is>
      </c>
      <c r="C7534" t="inlineStr">
        <is>
          <t>Föryngringsavverkning</t>
        </is>
      </c>
      <c r="D7534" s="1" t="n">
        <v>46146</v>
      </c>
      <c r="E7534" s="1" t="n">
        <v>46326</v>
      </c>
      <c r="F7534" t="inlineStr">
        <is>
          <t>GÄVLEBORGS LÄN</t>
        </is>
      </c>
      <c r="G7534" t="inlineStr">
        <is>
          <t>BOLLNÄS</t>
        </is>
      </c>
      <c r="I7534" t="n">
        <v>1.2</v>
      </c>
      <c r="J7534" t="n">
        <v>0</v>
      </c>
      <c r="K7534" t="n">
        <v>0</v>
      </c>
      <c r="L7534" t="n">
        <v>0</v>
      </c>
      <c r="M7534" t="n">
        <v>0</v>
      </c>
      <c r="N7534" t="n">
        <v>0</v>
      </c>
      <c r="O7534" t="n">
        <v>0</v>
      </c>
      <c r="P7534" t="n">
        <v>0</v>
      </c>
      <c r="Q7534" t="n">
        <v>0</v>
      </c>
      <c r="R7534" t="n">
        <v>0</v>
      </c>
      <c r="S7534" t="n">
        <v>0</v>
      </c>
      <c r="T7534" t="n">
        <v>0</v>
      </c>
      <c r="U7534" t="n">
        <v>0</v>
      </c>
      <c r="V7534" s="2" t="inlineStr"/>
    </row>
    <row r="7535" ht="15" customHeight="1">
      <c r="A7535" t="inlineStr">
        <is>
          <t>A 12607-2026</t>
        </is>
      </c>
      <c r="B7535" t="inlineStr">
        <is>
          <t>avverkningsanmälan</t>
        </is>
      </c>
      <c r="C7535" t="inlineStr">
        <is>
          <t>Föryngringsavverkning</t>
        </is>
      </c>
      <c r="D7535" s="1" t="n">
        <v>46091</v>
      </c>
      <c r="E7535" s="1" t="n">
        <v>46326</v>
      </c>
      <c r="F7535" t="inlineStr">
        <is>
          <t>GÄVLEBORGS LÄN</t>
        </is>
      </c>
      <c r="G7535" t="inlineStr">
        <is>
          <t>BOLLNÄS</t>
        </is>
      </c>
      <c r="I7535" t="n">
        <v>1.5</v>
      </c>
      <c r="J7535" t="n">
        <v>0</v>
      </c>
      <c r="K7535" t="n">
        <v>0</v>
      </c>
      <c r="L7535" t="n">
        <v>0</v>
      </c>
      <c r="M7535" t="n">
        <v>0</v>
      </c>
      <c r="N7535" t="n">
        <v>0</v>
      </c>
      <c r="O7535" t="n">
        <v>0</v>
      </c>
      <c r="P7535" t="n">
        <v>0</v>
      </c>
      <c r="Q7535" t="n">
        <v>0</v>
      </c>
      <c r="R7535" t="n">
        <v>0</v>
      </c>
      <c r="S7535" t="n">
        <v>0</v>
      </c>
      <c r="T7535" t="n">
        <v>0</v>
      </c>
      <c r="U7535" t="n">
        <v>0</v>
      </c>
      <c r="V7535" s="2" t="inlineStr"/>
    </row>
    <row r="7536" ht="15" customHeight="1">
      <c r="A7536" t="inlineStr">
        <is>
          <t>A 27723-2024</t>
        </is>
      </c>
      <c r="B7536" t="inlineStr">
        <is>
          <t>avverkningsanmälan</t>
        </is>
      </c>
      <c r="C7536" t="inlineStr">
        <is>
          <t>Föryngringsavverkning</t>
        </is>
      </c>
      <c r="D7536" s="1" t="n">
        <v>45475</v>
      </c>
      <c r="E7536" s="1" t="n">
        <v>46326</v>
      </c>
      <c r="F7536" t="inlineStr">
        <is>
          <t>GÄVLEBORGS LÄN</t>
        </is>
      </c>
      <c r="G7536" t="inlineStr">
        <is>
          <t>LJUSDAL</t>
        </is>
      </c>
      <c r="I7536" t="n">
        <v>3.7</v>
      </c>
      <c r="J7536" t="n">
        <v>0</v>
      </c>
      <c r="K7536" t="n">
        <v>0</v>
      </c>
      <c r="L7536" t="n">
        <v>0</v>
      </c>
      <c r="M7536" t="n">
        <v>0</v>
      </c>
      <c r="N7536" t="n">
        <v>0</v>
      </c>
      <c r="O7536" t="n">
        <v>0</v>
      </c>
      <c r="P7536" t="n">
        <v>0</v>
      </c>
      <c r="Q7536" t="n">
        <v>0</v>
      </c>
      <c r="R7536" t="n">
        <v>0</v>
      </c>
      <c r="S7536" t="n">
        <v>0</v>
      </c>
      <c r="T7536" t="n">
        <v>0</v>
      </c>
      <c r="U7536" t="n">
        <v>0</v>
      </c>
      <c r="V7536" s="2" t="inlineStr"/>
    </row>
    <row r="7537" ht="15" customHeight="1">
      <c r="A7537" t="inlineStr">
        <is>
          <t>A 17951-2026</t>
        </is>
      </c>
      <c r="B7537" t="inlineStr">
        <is>
          <t>avverkningsanmälan</t>
        </is>
      </c>
      <c r="C7537" t="inlineStr">
        <is>
          <t>Avverkning för annat ändamål</t>
        </is>
      </c>
      <c r="D7537" s="1" t="n">
        <v>46122</v>
      </c>
      <c r="E7537" s="1" t="n">
        <v>46326</v>
      </c>
      <c r="F7537" t="inlineStr">
        <is>
          <t>GÄVLEBORGS LÄN</t>
        </is>
      </c>
      <c r="G7537" t="inlineStr">
        <is>
          <t>OCKELBO</t>
        </is>
      </c>
      <c r="H7537" t="inlineStr">
        <is>
          <t>Bergvik skog väst AB</t>
        </is>
      </c>
      <c r="I7537" t="n">
        <v>12.6</v>
      </c>
      <c r="J7537" t="n">
        <v>0</v>
      </c>
      <c r="K7537" t="n">
        <v>0</v>
      </c>
      <c r="L7537" t="n">
        <v>0</v>
      </c>
      <c r="M7537" t="n">
        <v>0</v>
      </c>
      <c r="N7537" t="n">
        <v>0</v>
      </c>
      <c r="O7537" t="n">
        <v>0</v>
      </c>
      <c r="P7537" t="n">
        <v>0</v>
      </c>
      <c r="Q7537" t="n">
        <v>0</v>
      </c>
      <c r="R7537" t="n">
        <v>0</v>
      </c>
      <c r="S7537" t="n">
        <v>0</v>
      </c>
      <c r="T7537" t="n">
        <v>0</v>
      </c>
      <c r="U7537" t="n">
        <v>0</v>
      </c>
      <c r="V7537" s="2" t="inlineStr"/>
    </row>
    <row r="7538" ht="15" customHeight="1">
      <c r="A7538" t="inlineStr">
        <is>
          <t>A 17254-2026</t>
        </is>
      </c>
      <c r="B7538" t="inlineStr">
        <is>
          <t>avverkningsanmälan</t>
        </is>
      </c>
      <c r="C7538" t="inlineStr">
        <is>
          <t>Föryngringsavverkning</t>
        </is>
      </c>
      <c r="D7538" s="1" t="n">
        <v>46119</v>
      </c>
      <c r="E7538" s="1" t="n">
        <v>46326</v>
      </c>
      <c r="F7538" t="inlineStr">
        <is>
          <t>GÄVLEBORGS LÄN</t>
        </is>
      </c>
      <c r="G7538" t="inlineStr">
        <is>
          <t>NORDANSTIG</t>
        </is>
      </c>
      <c r="I7538" t="n">
        <v>6.3</v>
      </c>
      <c r="J7538" t="n">
        <v>0</v>
      </c>
      <c r="K7538" t="n">
        <v>0</v>
      </c>
      <c r="L7538" t="n">
        <v>0</v>
      </c>
      <c r="M7538" t="n">
        <v>0</v>
      </c>
      <c r="N7538" t="n">
        <v>0</v>
      </c>
      <c r="O7538" t="n">
        <v>0</v>
      </c>
      <c r="P7538" t="n">
        <v>0</v>
      </c>
      <c r="Q7538" t="n">
        <v>0</v>
      </c>
      <c r="R7538" t="n">
        <v>0</v>
      </c>
      <c r="S7538" t="n">
        <v>0</v>
      </c>
      <c r="T7538" t="n">
        <v>0</v>
      </c>
      <c r="U7538" t="n">
        <v>0</v>
      </c>
      <c r="V7538" s="2" t="inlineStr"/>
    </row>
    <row r="7539" ht="15" customHeight="1">
      <c r="A7539" t="inlineStr">
        <is>
          <t>A 17505-2025</t>
        </is>
      </c>
      <c r="B7539" t="inlineStr">
        <is>
          <t>avverkningsanmälan</t>
        </is>
      </c>
      <c r="C7539" t="inlineStr">
        <is>
          <t>Föryngringsavverkning</t>
        </is>
      </c>
      <c r="D7539" s="1" t="n">
        <v>45757</v>
      </c>
      <c r="E7539" s="1" t="n">
        <v>46326</v>
      </c>
      <c r="F7539" t="inlineStr">
        <is>
          <t>GÄVLEBORGS LÄN</t>
        </is>
      </c>
      <c r="G7539" t="inlineStr">
        <is>
          <t>NORDANSTIG</t>
        </is>
      </c>
      <c r="H7539" t="inlineStr">
        <is>
          <t>Holmen skog AB</t>
        </is>
      </c>
      <c r="I7539" t="n">
        <v>8.300000000000001</v>
      </c>
      <c r="J7539" t="n">
        <v>0</v>
      </c>
      <c r="K7539" t="n">
        <v>0</v>
      </c>
      <c r="L7539" t="n">
        <v>0</v>
      </c>
      <c r="M7539" t="n">
        <v>0</v>
      </c>
      <c r="N7539" t="n">
        <v>0</v>
      </c>
      <c r="O7539" t="n">
        <v>0</v>
      </c>
      <c r="P7539" t="n">
        <v>0</v>
      </c>
      <c r="Q7539" t="n">
        <v>0</v>
      </c>
      <c r="R7539" t="n">
        <v>0</v>
      </c>
      <c r="S7539" t="n">
        <v>0</v>
      </c>
      <c r="T7539" t="n">
        <v>0</v>
      </c>
      <c r="U7539" t="n">
        <v>0</v>
      </c>
      <c r="V7539" s="2" t="inlineStr"/>
    </row>
    <row r="7540" ht="15" customHeight="1">
      <c r="A7540" t="inlineStr">
        <is>
          <t>A 21377-2026</t>
        </is>
      </c>
      <c r="B7540" t="inlineStr">
        <is>
          <t>avverkningsanmälan</t>
        </is>
      </c>
      <c r="C7540" t="inlineStr">
        <is>
          <t>Föryngringsavverkning</t>
        </is>
      </c>
      <c r="D7540" s="1" t="n">
        <v>46147</v>
      </c>
      <c r="E7540" s="1" t="n">
        <v>46326</v>
      </c>
      <c r="F7540" t="inlineStr">
        <is>
          <t>GÄVLEBORGS LÄN</t>
        </is>
      </c>
      <c r="G7540" t="inlineStr">
        <is>
          <t>SANDVIKEN</t>
        </is>
      </c>
      <c r="H7540" t="inlineStr">
        <is>
          <t>Kommuner</t>
        </is>
      </c>
      <c r="I7540" t="n">
        <v>3.1</v>
      </c>
      <c r="J7540" t="n">
        <v>0</v>
      </c>
      <c r="K7540" t="n">
        <v>0</v>
      </c>
      <c r="L7540" t="n">
        <v>0</v>
      </c>
      <c r="M7540" t="n">
        <v>0</v>
      </c>
      <c r="N7540" t="n">
        <v>0</v>
      </c>
      <c r="O7540" t="n">
        <v>0</v>
      </c>
      <c r="P7540" t="n">
        <v>0</v>
      </c>
      <c r="Q7540" t="n">
        <v>0</v>
      </c>
      <c r="R7540" t="n">
        <v>0</v>
      </c>
      <c r="S7540" t="n">
        <v>0</v>
      </c>
      <c r="T7540" t="n">
        <v>0</v>
      </c>
      <c r="U7540" t="n">
        <v>0</v>
      </c>
      <c r="V7540" s="2" t="inlineStr"/>
    </row>
    <row r="7541" ht="15" customHeight="1">
      <c r="A7541" t="inlineStr">
        <is>
          <t>A 19802-2026</t>
        </is>
      </c>
      <c r="B7541" t="inlineStr">
        <is>
          <t>avverkningsanmälan</t>
        </is>
      </c>
      <c r="C7541" t="inlineStr">
        <is>
          <t>Föryngringsavverkning</t>
        </is>
      </c>
      <c r="D7541" s="1" t="n">
        <v>46135</v>
      </c>
      <c r="E7541" s="1" t="n">
        <v>46326</v>
      </c>
      <c r="F7541" t="inlineStr">
        <is>
          <t>GÄVLEBORGS LÄN</t>
        </is>
      </c>
      <c r="G7541" t="inlineStr">
        <is>
          <t>OVANÅKER</t>
        </is>
      </c>
      <c r="H7541" t="inlineStr">
        <is>
          <t>Bergvik skog öst AB</t>
        </is>
      </c>
      <c r="I7541" t="n">
        <v>1.3</v>
      </c>
      <c r="J7541" t="n">
        <v>0</v>
      </c>
      <c r="K7541" t="n">
        <v>0</v>
      </c>
      <c r="L7541" t="n">
        <v>0</v>
      </c>
      <c r="M7541" t="n">
        <v>0</v>
      </c>
      <c r="N7541" t="n">
        <v>0</v>
      </c>
      <c r="O7541" t="n">
        <v>0</v>
      </c>
      <c r="P7541" t="n">
        <v>0</v>
      </c>
      <c r="Q7541" t="n">
        <v>0</v>
      </c>
      <c r="R7541" t="n">
        <v>0</v>
      </c>
      <c r="S7541" t="n">
        <v>0</v>
      </c>
      <c r="T7541" t="n">
        <v>0</v>
      </c>
      <c r="U7541" t="n">
        <v>0</v>
      </c>
      <c r="V7541" s="2" t="inlineStr"/>
    </row>
    <row r="7542" ht="15" customHeight="1">
      <c r="A7542" t="inlineStr">
        <is>
          <t>A 35737-2023</t>
        </is>
      </c>
      <c r="B7542" t="inlineStr">
        <is>
          <t>avverkningsanmälan</t>
        </is>
      </c>
      <c r="C7542" t="inlineStr">
        <is>
          <t>Föryngringsavverkning</t>
        </is>
      </c>
      <c r="D7542" s="1" t="n">
        <v>45147</v>
      </c>
      <c r="E7542" s="1" t="n">
        <v>46326</v>
      </c>
      <c r="F7542" t="inlineStr">
        <is>
          <t>GÄVLEBORGS LÄN</t>
        </is>
      </c>
      <c r="G7542" t="inlineStr">
        <is>
          <t>HUDIKSVALL</t>
        </is>
      </c>
      <c r="I7542" t="n">
        <v>2.4</v>
      </c>
      <c r="J7542" t="n">
        <v>0</v>
      </c>
      <c r="K7542" t="n">
        <v>0</v>
      </c>
      <c r="L7542" t="n">
        <v>0</v>
      </c>
      <c r="M7542" t="n">
        <v>0</v>
      </c>
      <c r="N7542" t="n">
        <v>0</v>
      </c>
      <c r="O7542" t="n">
        <v>0</v>
      </c>
      <c r="P7542" t="n">
        <v>0</v>
      </c>
      <c r="Q7542" t="n">
        <v>0</v>
      </c>
      <c r="R7542" t="n">
        <v>0</v>
      </c>
      <c r="S7542" t="n">
        <v>0</v>
      </c>
      <c r="T7542" t="n">
        <v>0</v>
      </c>
      <c r="U7542" t="n">
        <v>0</v>
      </c>
      <c r="V7542" s="2" t="inlineStr"/>
    </row>
    <row r="7543" ht="15" customHeight="1">
      <c r="A7543" t="inlineStr">
        <is>
          <t>A 21038-2026</t>
        </is>
      </c>
      <c r="B7543" t="inlineStr">
        <is>
          <t>avverkningsanmälan</t>
        </is>
      </c>
      <c r="C7543" t="inlineStr">
        <is>
          <t>Föryngringsavverkning</t>
        </is>
      </c>
      <c r="D7543" s="1" t="n">
        <v>46146</v>
      </c>
      <c r="E7543" s="1" t="n">
        <v>46326</v>
      </c>
      <c r="F7543" t="inlineStr">
        <is>
          <t>GÄVLEBORGS LÄN</t>
        </is>
      </c>
      <c r="G7543" t="inlineStr">
        <is>
          <t>BOLLNÄS</t>
        </is>
      </c>
      <c r="I7543" t="n">
        <v>3.4</v>
      </c>
      <c r="J7543" t="n">
        <v>0</v>
      </c>
      <c r="K7543" t="n">
        <v>0</v>
      </c>
      <c r="L7543" t="n">
        <v>0</v>
      </c>
      <c r="M7543" t="n">
        <v>0</v>
      </c>
      <c r="N7543" t="n">
        <v>0</v>
      </c>
      <c r="O7543" t="n">
        <v>0</v>
      </c>
      <c r="P7543" t="n">
        <v>0</v>
      </c>
      <c r="Q7543" t="n">
        <v>0</v>
      </c>
      <c r="R7543" t="n">
        <v>0</v>
      </c>
      <c r="S7543" t="n">
        <v>0</v>
      </c>
      <c r="T7543" t="n">
        <v>0</v>
      </c>
      <c r="U7543" t="n">
        <v>0</v>
      </c>
      <c r="V7543" s="2" t="inlineStr"/>
    </row>
    <row r="7544" ht="15" customHeight="1">
      <c r="A7544" t="inlineStr">
        <is>
          <t>A 21045-2026</t>
        </is>
      </c>
      <c r="B7544" t="inlineStr">
        <is>
          <t>avverkningsanmälan</t>
        </is>
      </c>
      <c r="C7544" t="inlineStr">
        <is>
          <t>Föryngringsavverkning</t>
        </is>
      </c>
      <c r="D7544" s="1" t="n">
        <v>46146</v>
      </c>
      <c r="E7544" s="1" t="n">
        <v>46326</v>
      </c>
      <c r="F7544" t="inlineStr">
        <is>
          <t>GÄVLEBORGS LÄN</t>
        </is>
      </c>
      <c r="G7544" t="inlineStr">
        <is>
          <t>LJUSDAL</t>
        </is>
      </c>
      <c r="H7544" t="inlineStr">
        <is>
          <t>Sveaskog</t>
        </is>
      </c>
      <c r="I7544" t="n">
        <v>21.7</v>
      </c>
      <c r="J7544" t="n">
        <v>0</v>
      </c>
      <c r="K7544" t="n">
        <v>0</v>
      </c>
      <c r="L7544" t="n">
        <v>0</v>
      </c>
      <c r="M7544" t="n">
        <v>0</v>
      </c>
      <c r="N7544" t="n">
        <v>0</v>
      </c>
      <c r="O7544" t="n">
        <v>0</v>
      </c>
      <c r="P7544" t="n">
        <v>0</v>
      </c>
      <c r="Q7544" t="n">
        <v>0</v>
      </c>
      <c r="R7544" t="n">
        <v>0</v>
      </c>
      <c r="S7544" t="n">
        <v>0</v>
      </c>
      <c r="T7544" t="n">
        <v>0</v>
      </c>
      <c r="U7544" t="n">
        <v>0</v>
      </c>
      <c r="V7544" s="2" t="inlineStr"/>
    </row>
    <row r="7545" ht="15" customHeight="1">
      <c r="A7545" t="inlineStr">
        <is>
          <t>A 21050-2026</t>
        </is>
      </c>
      <c r="B7545" t="inlineStr">
        <is>
          <t>avverkningsanmälan</t>
        </is>
      </c>
      <c r="C7545" t="inlineStr">
        <is>
          <t>Föryngringsavverkning</t>
        </is>
      </c>
      <c r="D7545" s="1" t="n">
        <v>46146</v>
      </c>
      <c r="E7545" s="1" t="n">
        <v>46326</v>
      </c>
      <c r="F7545" t="inlineStr">
        <is>
          <t>GÄVLEBORGS LÄN</t>
        </is>
      </c>
      <c r="G7545" t="inlineStr">
        <is>
          <t>OVANÅKER</t>
        </is>
      </c>
      <c r="I7545" t="n">
        <v>1.6</v>
      </c>
      <c r="J7545" t="n">
        <v>0</v>
      </c>
      <c r="K7545" t="n">
        <v>0</v>
      </c>
      <c r="L7545" t="n">
        <v>0</v>
      </c>
      <c r="M7545" t="n">
        <v>0</v>
      </c>
      <c r="N7545" t="n">
        <v>0</v>
      </c>
      <c r="O7545" t="n">
        <v>0</v>
      </c>
      <c r="P7545" t="n">
        <v>0</v>
      </c>
      <c r="Q7545" t="n">
        <v>0</v>
      </c>
      <c r="R7545" t="n">
        <v>0</v>
      </c>
      <c r="S7545" t="n">
        <v>0</v>
      </c>
      <c r="T7545" t="n">
        <v>0</v>
      </c>
      <c r="U7545" t="n">
        <v>0</v>
      </c>
      <c r="V7545" s="2" t="inlineStr"/>
    </row>
    <row r="7546" ht="15" customHeight="1">
      <c r="A7546" t="inlineStr">
        <is>
          <t>A 21060-2026</t>
        </is>
      </c>
      <c r="B7546" t="inlineStr">
        <is>
          <t>avverkningsanmälan</t>
        </is>
      </c>
      <c r="C7546" t="inlineStr">
        <is>
          <t>Föryngringsavverkning</t>
        </is>
      </c>
      <c r="D7546" s="1" t="n">
        <v>46146</v>
      </c>
      <c r="E7546" s="1" t="n">
        <v>46326</v>
      </c>
      <c r="F7546" t="inlineStr">
        <is>
          <t>GÄVLEBORGS LÄN</t>
        </is>
      </c>
      <c r="G7546" t="inlineStr">
        <is>
          <t>NORDANSTIG</t>
        </is>
      </c>
      <c r="I7546" t="n">
        <v>2.7</v>
      </c>
      <c r="J7546" t="n">
        <v>0</v>
      </c>
      <c r="K7546" t="n">
        <v>0</v>
      </c>
      <c r="L7546" t="n">
        <v>0</v>
      </c>
      <c r="M7546" t="n">
        <v>0</v>
      </c>
      <c r="N7546" t="n">
        <v>0</v>
      </c>
      <c r="O7546" t="n">
        <v>0</v>
      </c>
      <c r="P7546" t="n">
        <v>0</v>
      </c>
      <c r="Q7546" t="n">
        <v>0</v>
      </c>
      <c r="R7546" t="n">
        <v>0</v>
      </c>
      <c r="S7546" t="n">
        <v>0</v>
      </c>
      <c r="T7546" t="n">
        <v>0</v>
      </c>
      <c r="U7546" t="n">
        <v>0</v>
      </c>
      <c r="V7546" s="2" t="inlineStr"/>
    </row>
    <row r="7547" ht="15" customHeight="1">
      <c r="A7547" t="inlineStr">
        <is>
          <t>A 21100-2026</t>
        </is>
      </c>
      <c r="B7547" t="inlineStr">
        <is>
          <t>avverkningsanmälan</t>
        </is>
      </c>
      <c r="C7547" t="inlineStr">
        <is>
          <t>Föryngringsavverkning</t>
        </is>
      </c>
      <c r="D7547" s="1" t="n">
        <v>46146</v>
      </c>
      <c r="E7547" s="1" t="n">
        <v>46326</v>
      </c>
      <c r="F7547" t="inlineStr">
        <is>
          <t>GÄVLEBORGS LÄN</t>
        </is>
      </c>
      <c r="G7547" t="inlineStr">
        <is>
          <t>OVANÅKER</t>
        </is>
      </c>
      <c r="I7547" t="n">
        <v>1.9</v>
      </c>
      <c r="J7547" t="n">
        <v>0</v>
      </c>
      <c r="K7547" t="n">
        <v>0</v>
      </c>
      <c r="L7547" t="n">
        <v>0</v>
      </c>
      <c r="M7547" t="n">
        <v>0</v>
      </c>
      <c r="N7547" t="n">
        <v>0</v>
      </c>
      <c r="O7547" t="n">
        <v>0</v>
      </c>
      <c r="P7547" t="n">
        <v>0</v>
      </c>
      <c r="Q7547" t="n">
        <v>0</v>
      </c>
      <c r="R7547" t="n">
        <v>0</v>
      </c>
      <c r="S7547" t="n">
        <v>0</v>
      </c>
      <c r="T7547" t="n">
        <v>0</v>
      </c>
      <c r="U7547" t="n">
        <v>0</v>
      </c>
      <c r="V7547" s="2" t="inlineStr"/>
    </row>
    <row r="7548" ht="15" customHeight="1">
      <c r="A7548" t="inlineStr">
        <is>
          <t>A 21101-2026</t>
        </is>
      </c>
      <c r="B7548" t="inlineStr">
        <is>
          <t>avverkningsanmälan</t>
        </is>
      </c>
      <c r="C7548" t="inlineStr">
        <is>
          <t>Föryngringsavverkning</t>
        </is>
      </c>
      <c r="D7548" s="1" t="n">
        <v>46146</v>
      </c>
      <c r="E7548" s="1" t="n">
        <v>46326</v>
      </c>
      <c r="F7548" t="inlineStr">
        <is>
          <t>GÄVLEBORGS LÄN</t>
        </is>
      </c>
      <c r="G7548" t="inlineStr">
        <is>
          <t>BOLLNÄS</t>
        </is>
      </c>
      <c r="I7548" t="n">
        <v>1</v>
      </c>
      <c r="J7548" t="n">
        <v>0</v>
      </c>
      <c r="K7548" t="n">
        <v>0</v>
      </c>
      <c r="L7548" t="n">
        <v>0</v>
      </c>
      <c r="M7548" t="n">
        <v>0</v>
      </c>
      <c r="N7548" t="n">
        <v>0</v>
      </c>
      <c r="O7548" t="n">
        <v>0</v>
      </c>
      <c r="P7548" t="n">
        <v>0</v>
      </c>
      <c r="Q7548" t="n">
        <v>0</v>
      </c>
      <c r="R7548" t="n">
        <v>0</v>
      </c>
      <c r="S7548" t="n">
        <v>0</v>
      </c>
      <c r="T7548" t="n">
        <v>0</v>
      </c>
      <c r="U7548" t="n">
        <v>0</v>
      </c>
      <c r="V7548" s="2" t="inlineStr"/>
    </row>
    <row r="7549" ht="15" customHeight="1">
      <c r="A7549" t="inlineStr">
        <is>
          <t>A 17586-2026</t>
        </is>
      </c>
      <c r="B7549" t="inlineStr">
        <is>
          <t>avverkningsanmälan</t>
        </is>
      </c>
      <c r="C7549" t="inlineStr">
        <is>
          <t>Föryngringsavverkning</t>
        </is>
      </c>
      <c r="D7549" s="1" t="n">
        <v>46121</v>
      </c>
      <c r="E7549" s="1" t="n">
        <v>46326</v>
      </c>
      <c r="F7549" t="inlineStr">
        <is>
          <t>GÄVLEBORGS LÄN</t>
        </is>
      </c>
      <c r="G7549" t="inlineStr">
        <is>
          <t>HUDIKSVALL</t>
        </is>
      </c>
      <c r="I7549" t="n">
        <v>5.6</v>
      </c>
      <c r="J7549" t="n">
        <v>0</v>
      </c>
      <c r="K7549" t="n">
        <v>0</v>
      </c>
      <c r="L7549" t="n">
        <v>0</v>
      </c>
      <c r="M7549" t="n">
        <v>0</v>
      </c>
      <c r="N7549" t="n">
        <v>0</v>
      </c>
      <c r="O7549" t="n">
        <v>0</v>
      </c>
      <c r="P7549" t="n">
        <v>0</v>
      </c>
      <c r="Q7549" t="n">
        <v>0</v>
      </c>
      <c r="R7549" t="n">
        <v>0</v>
      </c>
      <c r="S7549" t="n">
        <v>0</v>
      </c>
      <c r="T7549" t="n">
        <v>0</v>
      </c>
      <c r="U7549" t="n">
        <v>0</v>
      </c>
      <c r="V7549" s="2" t="inlineStr"/>
    </row>
    <row r="7550" ht="15" customHeight="1">
      <c r="A7550" t="inlineStr">
        <is>
          <t>A 4463-2026</t>
        </is>
      </c>
      <c r="B7550" t="inlineStr">
        <is>
          <t>avverkningsanmälan</t>
        </is>
      </c>
      <c r="C7550" t="inlineStr">
        <is>
          <t>Föryngringsavverkning</t>
        </is>
      </c>
      <c r="D7550" s="1" t="n">
        <v>46045</v>
      </c>
      <c r="E7550" s="1" t="n">
        <v>46326</v>
      </c>
      <c r="F7550" t="inlineStr">
        <is>
          <t>GÄVLEBORGS LÄN</t>
        </is>
      </c>
      <c r="G7550" t="inlineStr">
        <is>
          <t>GÄVLE</t>
        </is>
      </c>
      <c r="I7550" t="n">
        <v>3.8</v>
      </c>
      <c r="J7550" t="n">
        <v>0</v>
      </c>
      <c r="K7550" t="n">
        <v>0</v>
      </c>
      <c r="L7550" t="n">
        <v>0</v>
      </c>
      <c r="M7550" t="n">
        <v>0</v>
      </c>
      <c r="N7550" t="n">
        <v>0</v>
      </c>
      <c r="O7550" t="n">
        <v>0</v>
      </c>
      <c r="P7550" t="n">
        <v>0</v>
      </c>
      <c r="Q7550" t="n">
        <v>0</v>
      </c>
      <c r="R7550" t="n">
        <v>0</v>
      </c>
      <c r="S7550" t="n">
        <v>0</v>
      </c>
      <c r="T7550" t="n">
        <v>0</v>
      </c>
      <c r="U7550" t="n">
        <v>0</v>
      </c>
      <c r="V7550" s="2" t="inlineStr"/>
    </row>
    <row r="7551" ht="15" customHeight="1">
      <c r="A7551" t="inlineStr">
        <is>
          <t>A 1975-2026</t>
        </is>
      </c>
      <c r="B7551" t="inlineStr">
        <is>
          <t>avverkningsanmälan</t>
        </is>
      </c>
      <c r="C7551" t="inlineStr">
        <is>
          <t>Föryngringsavverkning</t>
        </is>
      </c>
      <c r="D7551" s="1" t="n">
        <v>46035</v>
      </c>
      <c r="E7551" s="1" t="n">
        <v>46326</v>
      </c>
      <c r="F7551" t="inlineStr">
        <is>
          <t>GÄVLEBORGS LÄN</t>
        </is>
      </c>
      <c r="G7551" t="inlineStr">
        <is>
          <t>NORDANSTIG</t>
        </is>
      </c>
      <c r="I7551" t="n">
        <v>2.5</v>
      </c>
      <c r="J7551" t="n">
        <v>0</v>
      </c>
      <c r="K7551" t="n">
        <v>0</v>
      </c>
      <c r="L7551" t="n">
        <v>0</v>
      </c>
      <c r="M7551" t="n">
        <v>0</v>
      </c>
      <c r="N7551" t="n">
        <v>0</v>
      </c>
      <c r="O7551" t="n">
        <v>0</v>
      </c>
      <c r="P7551" t="n">
        <v>0</v>
      </c>
      <c r="Q7551" t="n">
        <v>0</v>
      </c>
      <c r="R7551" t="n">
        <v>0</v>
      </c>
      <c r="S7551" t="n">
        <v>0</v>
      </c>
      <c r="T7551" t="n">
        <v>0</v>
      </c>
      <c r="U7551" t="n">
        <v>0</v>
      </c>
      <c r="V7551" s="2" t="inlineStr"/>
    </row>
    <row r="7552" ht="15" customHeight="1">
      <c r="A7552" t="inlineStr">
        <is>
          <t>A 4881-2026</t>
        </is>
      </c>
      <c r="B7552" t="inlineStr">
        <is>
          <t>avverkningsanmälan</t>
        </is>
      </c>
      <c r="C7552" t="inlineStr">
        <is>
          <t>Föryngringsavverkning</t>
        </is>
      </c>
      <c r="D7552" s="1" t="n">
        <v>46048</v>
      </c>
      <c r="E7552" s="1" t="n">
        <v>46326</v>
      </c>
      <c r="F7552" t="inlineStr">
        <is>
          <t>GÄVLEBORGS LÄN</t>
        </is>
      </c>
      <c r="G7552" t="inlineStr">
        <is>
          <t>HUDIKSVALL</t>
        </is>
      </c>
      <c r="I7552" t="n">
        <v>8.1</v>
      </c>
      <c r="J7552" t="n">
        <v>0</v>
      </c>
      <c r="K7552" t="n">
        <v>0</v>
      </c>
      <c r="L7552" t="n">
        <v>0</v>
      </c>
      <c r="M7552" t="n">
        <v>0</v>
      </c>
      <c r="N7552" t="n">
        <v>0</v>
      </c>
      <c r="O7552" t="n">
        <v>0</v>
      </c>
      <c r="P7552" t="n">
        <v>0</v>
      </c>
      <c r="Q7552" t="n">
        <v>0</v>
      </c>
      <c r="R7552" t="n">
        <v>0</v>
      </c>
      <c r="S7552" t="n">
        <v>0</v>
      </c>
      <c r="T7552" t="n">
        <v>0</v>
      </c>
      <c r="U7552" t="n">
        <v>0</v>
      </c>
      <c r="V7552" s="2" t="inlineStr"/>
    </row>
    <row r="7553" ht="15" customHeight="1">
      <c r="A7553" t="inlineStr">
        <is>
          <t>A 21036-2026</t>
        </is>
      </c>
      <c r="B7553" t="inlineStr">
        <is>
          <t>avverkningsanmälan</t>
        </is>
      </c>
      <c r="C7553" t="inlineStr">
        <is>
          <t>Föryngringsavverkning</t>
        </is>
      </c>
      <c r="D7553" s="1" t="n">
        <v>46146</v>
      </c>
      <c r="E7553" s="1" t="n">
        <v>46326</v>
      </c>
      <c r="F7553" t="inlineStr">
        <is>
          <t>GÄVLEBORGS LÄN</t>
        </is>
      </c>
      <c r="G7553" t="inlineStr">
        <is>
          <t>BOLLNÄS</t>
        </is>
      </c>
      <c r="I7553" t="n">
        <v>4.1</v>
      </c>
      <c r="J7553" t="n">
        <v>0</v>
      </c>
      <c r="K7553" t="n">
        <v>0</v>
      </c>
      <c r="L7553" t="n">
        <v>0</v>
      </c>
      <c r="M7553" t="n">
        <v>0</v>
      </c>
      <c r="N7553" t="n">
        <v>0</v>
      </c>
      <c r="O7553" t="n">
        <v>0</v>
      </c>
      <c r="P7553" t="n">
        <v>0</v>
      </c>
      <c r="Q7553" t="n">
        <v>0</v>
      </c>
      <c r="R7553" t="n">
        <v>0</v>
      </c>
      <c r="S7553" t="n">
        <v>0</v>
      </c>
      <c r="T7553" t="n">
        <v>0</v>
      </c>
      <c r="U7553" t="n">
        <v>0</v>
      </c>
      <c r="V7553" s="2" t="inlineStr"/>
    </row>
    <row r="7554" ht="15" customHeight="1">
      <c r="A7554" t="inlineStr">
        <is>
          <t>A 39207-2024</t>
        </is>
      </c>
      <c r="B7554" t="inlineStr">
        <is>
          <t>avverkningsanmälan</t>
        </is>
      </c>
      <c r="C7554" t="inlineStr">
        <is>
          <t>Föryngringsavverkning</t>
        </is>
      </c>
      <c r="D7554" s="1" t="n">
        <v>45548</v>
      </c>
      <c r="E7554" s="1" t="n">
        <v>46326</v>
      </c>
      <c r="F7554" t="inlineStr">
        <is>
          <t>GÄVLEBORGS LÄN</t>
        </is>
      </c>
      <c r="G7554" t="inlineStr">
        <is>
          <t>SÖDERHAMN</t>
        </is>
      </c>
      <c r="I7554" t="n">
        <v>2.7</v>
      </c>
      <c r="J7554" t="n">
        <v>0</v>
      </c>
      <c r="K7554" t="n">
        <v>0</v>
      </c>
      <c r="L7554" t="n">
        <v>0</v>
      </c>
      <c r="M7554" t="n">
        <v>0</v>
      </c>
      <c r="N7554" t="n">
        <v>0</v>
      </c>
      <c r="O7554" t="n">
        <v>0</v>
      </c>
      <c r="P7554" t="n">
        <v>0</v>
      </c>
      <c r="Q7554" t="n">
        <v>0</v>
      </c>
      <c r="R7554" t="n">
        <v>0</v>
      </c>
      <c r="S7554" t="n">
        <v>0</v>
      </c>
      <c r="T7554" t="n">
        <v>0</v>
      </c>
      <c r="U7554" t="n">
        <v>0</v>
      </c>
      <c r="V7554" s="2" t="inlineStr"/>
    </row>
    <row r="7555" ht="15" customHeight="1">
      <c r="A7555" t="inlineStr">
        <is>
          <t>A 21243-2026</t>
        </is>
      </c>
      <c r="B7555" t="inlineStr">
        <is>
          <t>avverkningsanmälan</t>
        </is>
      </c>
      <c r="C7555" t="inlineStr">
        <is>
          <t>Föryngringsavverkning</t>
        </is>
      </c>
      <c r="D7555" s="1" t="n">
        <v>46147</v>
      </c>
      <c r="E7555" s="1" t="n">
        <v>46326</v>
      </c>
      <c r="F7555" t="inlineStr">
        <is>
          <t>GÄVLEBORGS LÄN</t>
        </is>
      </c>
      <c r="G7555" t="inlineStr">
        <is>
          <t>HUDIKSVALL</t>
        </is>
      </c>
      <c r="I7555" t="n">
        <v>2.6</v>
      </c>
      <c r="J7555" t="n">
        <v>0</v>
      </c>
      <c r="K7555" t="n">
        <v>0</v>
      </c>
      <c r="L7555" t="n">
        <v>0</v>
      </c>
      <c r="M7555" t="n">
        <v>0</v>
      </c>
      <c r="N7555" t="n">
        <v>0</v>
      </c>
      <c r="O7555" t="n">
        <v>0</v>
      </c>
      <c r="P7555" t="n">
        <v>0</v>
      </c>
      <c r="Q7555" t="n">
        <v>0</v>
      </c>
      <c r="R7555" t="n">
        <v>0</v>
      </c>
      <c r="S7555" t="n">
        <v>0</v>
      </c>
      <c r="T7555" t="n">
        <v>0</v>
      </c>
      <c r="U7555" t="n">
        <v>0</v>
      </c>
      <c r="V7555" s="2" t="inlineStr"/>
    </row>
    <row r="7556" ht="15" customHeight="1">
      <c r="A7556" t="inlineStr">
        <is>
          <t>A 21245-2026</t>
        </is>
      </c>
      <c r="B7556" t="inlineStr">
        <is>
          <t>avverkningsanmälan</t>
        </is>
      </c>
      <c r="C7556" t="inlineStr">
        <is>
          <t>Föryngringsavverkning</t>
        </is>
      </c>
      <c r="D7556" s="1" t="n">
        <v>46147</v>
      </c>
      <c r="E7556" s="1" t="n">
        <v>46326</v>
      </c>
      <c r="F7556" t="inlineStr">
        <is>
          <t>GÄVLEBORGS LÄN</t>
        </is>
      </c>
      <c r="G7556" t="inlineStr">
        <is>
          <t>OVANÅKER</t>
        </is>
      </c>
      <c r="H7556" t="inlineStr">
        <is>
          <t>Bergvik skog öst AB</t>
        </is>
      </c>
      <c r="I7556" t="n">
        <v>10.1</v>
      </c>
      <c r="J7556" t="n">
        <v>0</v>
      </c>
      <c r="K7556" t="n">
        <v>0</v>
      </c>
      <c r="L7556" t="n">
        <v>0</v>
      </c>
      <c r="M7556" t="n">
        <v>0</v>
      </c>
      <c r="N7556" t="n">
        <v>0</v>
      </c>
      <c r="O7556" t="n">
        <v>0</v>
      </c>
      <c r="P7556" t="n">
        <v>0</v>
      </c>
      <c r="Q7556" t="n">
        <v>0</v>
      </c>
      <c r="R7556" t="n">
        <v>0</v>
      </c>
      <c r="S7556" t="n">
        <v>0</v>
      </c>
      <c r="T7556" t="n">
        <v>0</v>
      </c>
      <c r="U7556" t="n">
        <v>0</v>
      </c>
      <c r="V7556" s="2" t="inlineStr"/>
    </row>
    <row r="7557" ht="15" customHeight="1">
      <c r="A7557" t="inlineStr">
        <is>
          <t>A 11599-2024</t>
        </is>
      </c>
      <c r="B7557" t="inlineStr">
        <is>
          <t>avverkningsanmälan</t>
        </is>
      </c>
      <c r="C7557" t="inlineStr">
        <is>
          <t>Föryngringsavverkning</t>
        </is>
      </c>
      <c r="D7557" s="1" t="n">
        <v>45373</v>
      </c>
      <c r="E7557" s="1" t="n">
        <v>46326</v>
      </c>
      <c r="F7557" t="inlineStr">
        <is>
          <t>GÄVLEBORGS LÄN</t>
        </is>
      </c>
      <c r="G7557" t="inlineStr">
        <is>
          <t>NORDANSTIG</t>
        </is>
      </c>
      <c r="H7557" t="inlineStr">
        <is>
          <t>Holmen skog AB</t>
        </is>
      </c>
      <c r="I7557" t="n">
        <v>3.4</v>
      </c>
      <c r="J7557" t="n">
        <v>0</v>
      </c>
      <c r="K7557" t="n">
        <v>0</v>
      </c>
      <c r="L7557" t="n">
        <v>0</v>
      </c>
      <c r="M7557" t="n">
        <v>0</v>
      </c>
      <c r="N7557" t="n">
        <v>0</v>
      </c>
      <c r="O7557" t="n">
        <v>0</v>
      </c>
      <c r="P7557" t="n">
        <v>0</v>
      </c>
      <c r="Q7557" t="n">
        <v>0</v>
      </c>
      <c r="R7557" t="n">
        <v>0</v>
      </c>
      <c r="S7557" t="n">
        <v>0</v>
      </c>
      <c r="T7557" t="n">
        <v>0</v>
      </c>
      <c r="U7557" t="n">
        <v>0</v>
      </c>
      <c r="V7557" s="2" t="inlineStr"/>
    </row>
    <row r="7558" ht="15" customHeight="1">
      <c r="A7558" t="inlineStr">
        <is>
          <t>A 21288-2026</t>
        </is>
      </c>
      <c r="B7558" t="inlineStr">
        <is>
          <t>avverkningsanmälan</t>
        </is>
      </c>
      <c r="C7558" t="inlineStr">
        <is>
          <t>Föryngringsavverkning</t>
        </is>
      </c>
      <c r="D7558" s="1" t="n">
        <v>46147</v>
      </c>
      <c r="E7558" s="1" t="n">
        <v>46326</v>
      </c>
      <c r="F7558" t="inlineStr">
        <is>
          <t>GÄVLEBORGS LÄN</t>
        </is>
      </c>
      <c r="G7558" t="inlineStr">
        <is>
          <t>SANDVIKEN</t>
        </is>
      </c>
      <c r="H7558" t="inlineStr">
        <is>
          <t>Kommuner</t>
        </is>
      </c>
      <c r="I7558" t="n">
        <v>4.7</v>
      </c>
      <c r="J7558" t="n">
        <v>0</v>
      </c>
      <c r="K7558" t="n">
        <v>0</v>
      </c>
      <c r="L7558" t="n">
        <v>0</v>
      </c>
      <c r="M7558" t="n">
        <v>0</v>
      </c>
      <c r="N7558" t="n">
        <v>0</v>
      </c>
      <c r="O7558" t="n">
        <v>0</v>
      </c>
      <c r="P7558" t="n">
        <v>0</v>
      </c>
      <c r="Q7558" t="n">
        <v>0</v>
      </c>
      <c r="R7558" t="n">
        <v>0</v>
      </c>
      <c r="S7558" t="n">
        <v>0</v>
      </c>
      <c r="T7558" t="n">
        <v>0</v>
      </c>
      <c r="U7558" t="n">
        <v>0</v>
      </c>
      <c r="V7558" s="2" t="inlineStr"/>
    </row>
    <row r="7559" ht="15" customHeight="1">
      <c r="A7559" t="inlineStr">
        <is>
          <t>A 1716-2025</t>
        </is>
      </c>
      <c r="B7559" t="inlineStr">
        <is>
          <t>avverkningsanmälan</t>
        </is>
      </c>
      <c r="C7559" t="inlineStr">
        <is>
          <t>Föryngringsavverkning</t>
        </is>
      </c>
      <c r="D7559" s="1" t="n">
        <v>45671</v>
      </c>
      <c r="E7559" s="1" t="n">
        <v>46326</v>
      </c>
      <c r="F7559" t="inlineStr">
        <is>
          <t>GÄVLEBORGS LÄN</t>
        </is>
      </c>
      <c r="G7559" t="inlineStr">
        <is>
          <t>OCKELBO</t>
        </is>
      </c>
      <c r="H7559" t="inlineStr">
        <is>
          <t>Bergvik skog väst AB</t>
        </is>
      </c>
      <c r="I7559" t="n">
        <v>3.2</v>
      </c>
      <c r="J7559" t="n">
        <v>0</v>
      </c>
      <c r="K7559" t="n">
        <v>0</v>
      </c>
      <c r="L7559" t="n">
        <v>0</v>
      </c>
      <c r="M7559" t="n">
        <v>0</v>
      </c>
      <c r="N7559" t="n">
        <v>0</v>
      </c>
      <c r="O7559" t="n">
        <v>0</v>
      </c>
      <c r="P7559" t="n">
        <v>0</v>
      </c>
      <c r="Q7559" t="n">
        <v>0</v>
      </c>
      <c r="R7559" t="n">
        <v>0</v>
      </c>
      <c r="S7559" t="n">
        <v>0</v>
      </c>
      <c r="T7559" t="n">
        <v>0</v>
      </c>
      <c r="U7559" t="n">
        <v>0</v>
      </c>
      <c r="V7559" s="2" t="inlineStr"/>
    </row>
    <row r="7560" ht="15" customHeight="1">
      <c r="A7560" t="inlineStr">
        <is>
          <t>A 21334-2026</t>
        </is>
      </c>
      <c r="B7560" t="inlineStr">
        <is>
          <t>avverkningsanmälan</t>
        </is>
      </c>
      <c r="C7560" t="inlineStr">
        <is>
          <t>Föryngringsavverkning</t>
        </is>
      </c>
      <c r="D7560" s="1" t="n">
        <v>46147</v>
      </c>
      <c r="E7560" s="1" t="n">
        <v>46326</v>
      </c>
      <c r="F7560" t="inlineStr">
        <is>
          <t>GÄVLEBORGS LÄN</t>
        </is>
      </c>
      <c r="G7560" t="inlineStr">
        <is>
          <t>SANDVIKEN</t>
        </is>
      </c>
      <c r="H7560" t="inlineStr">
        <is>
          <t>Kommuner</t>
        </is>
      </c>
      <c r="I7560" t="n">
        <v>1</v>
      </c>
      <c r="J7560" t="n">
        <v>0</v>
      </c>
      <c r="K7560" t="n">
        <v>0</v>
      </c>
      <c r="L7560" t="n">
        <v>0</v>
      </c>
      <c r="M7560" t="n">
        <v>0</v>
      </c>
      <c r="N7560" t="n">
        <v>0</v>
      </c>
      <c r="O7560" t="n">
        <v>0</v>
      </c>
      <c r="P7560" t="n">
        <v>0</v>
      </c>
      <c r="Q7560" t="n">
        <v>0</v>
      </c>
      <c r="R7560" t="n">
        <v>0</v>
      </c>
      <c r="S7560" t="n">
        <v>0</v>
      </c>
      <c r="T7560" t="n">
        <v>0</v>
      </c>
      <c r="U7560" t="n">
        <v>0</v>
      </c>
      <c r="V7560" s="2" t="inlineStr"/>
    </row>
    <row r="7561" ht="15" customHeight="1">
      <c r="A7561" t="inlineStr">
        <is>
          <t>A 62156-2025</t>
        </is>
      </c>
      <c r="B7561" t="inlineStr">
        <is>
          <t>avverkningsanmälan</t>
        </is>
      </c>
      <c r="C7561" t="inlineStr">
        <is>
          <t>Föryngringsavverkning</t>
        </is>
      </c>
      <c r="D7561" s="1" t="n">
        <v>46006</v>
      </c>
      <c r="E7561" s="1" t="n">
        <v>46326</v>
      </c>
      <c r="F7561" t="inlineStr">
        <is>
          <t>GÄVLEBORGS LÄN</t>
        </is>
      </c>
      <c r="G7561" t="inlineStr">
        <is>
          <t>LJUSDAL</t>
        </is>
      </c>
      <c r="H7561" t="inlineStr">
        <is>
          <t>SCA</t>
        </is>
      </c>
      <c r="I7561" t="n">
        <v>7.5</v>
      </c>
      <c r="J7561" t="n">
        <v>0</v>
      </c>
      <c r="K7561" t="n">
        <v>0</v>
      </c>
      <c r="L7561" t="n">
        <v>0</v>
      </c>
      <c r="M7561" t="n">
        <v>0</v>
      </c>
      <c r="N7561" t="n">
        <v>0</v>
      </c>
      <c r="O7561" t="n">
        <v>0</v>
      </c>
      <c r="P7561" t="n">
        <v>0</v>
      </c>
      <c r="Q7561" t="n">
        <v>0</v>
      </c>
      <c r="R7561" t="n">
        <v>0</v>
      </c>
      <c r="S7561" t="n">
        <v>0</v>
      </c>
      <c r="T7561" t="n">
        <v>0</v>
      </c>
      <c r="U7561" t="n">
        <v>0</v>
      </c>
      <c r="V7561" s="2" t="inlineStr"/>
    </row>
    <row r="7562" ht="15" customHeight="1">
      <c r="A7562" t="inlineStr">
        <is>
          <t>A 12529-2026</t>
        </is>
      </c>
      <c r="B7562" t="inlineStr">
        <is>
          <t>avverkningsanmälan</t>
        </is>
      </c>
      <c r="C7562" t="inlineStr">
        <is>
          <t>Föryngringsavverkning</t>
        </is>
      </c>
      <c r="D7562" s="1" t="n">
        <v>46090</v>
      </c>
      <c r="E7562" s="1" t="n">
        <v>46326</v>
      </c>
      <c r="F7562" t="inlineStr">
        <is>
          <t>GÄVLEBORGS LÄN</t>
        </is>
      </c>
      <c r="G7562" t="inlineStr">
        <is>
          <t>HUDIKSVALL</t>
        </is>
      </c>
      <c r="H7562" t="inlineStr">
        <is>
          <t>Holmen skog AB</t>
        </is>
      </c>
      <c r="I7562" t="n">
        <v>1.3</v>
      </c>
      <c r="J7562" t="n">
        <v>0</v>
      </c>
      <c r="K7562" t="n">
        <v>0</v>
      </c>
      <c r="L7562" t="n">
        <v>0</v>
      </c>
      <c r="M7562" t="n">
        <v>0</v>
      </c>
      <c r="N7562" t="n">
        <v>0</v>
      </c>
      <c r="O7562" t="n">
        <v>0</v>
      </c>
      <c r="P7562" t="n">
        <v>0</v>
      </c>
      <c r="Q7562" t="n">
        <v>0</v>
      </c>
      <c r="R7562" t="n">
        <v>0</v>
      </c>
      <c r="S7562" t="n">
        <v>0</v>
      </c>
      <c r="T7562" t="n">
        <v>0</v>
      </c>
      <c r="U7562" t="n">
        <v>0</v>
      </c>
      <c r="V7562" s="2" t="inlineStr"/>
    </row>
    <row r="7563" ht="15" customHeight="1">
      <c r="A7563" t="inlineStr">
        <is>
          <t>A 6325-2026</t>
        </is>
      </c>
      <c r="B7563" t="inlineStr">
        <is>
          <t>avverkningsanmälan</t>
        </is>
      </c>
      <c r="C7563" t="inlineStr">
        <is>
          <t>Föryngringsavverkning</t>
        </is>
      </c>
      <c r="D7563" s="1" t="n">
        <v>46055</v>
      </c>
      <c r="E7563" s="1" t="n">
        <v>46326</v>
      </c>
      <c r="F7563" t="inlineStr">
        <is>
          <t>GÄVLEBORGS LÄN</t>
        </is>
      </c>
      <c r="G7563" t="inlineStr">
        <is>
          <t>BOLLNÄS</t>
        </is>
      </c>
      <c r="I7563" t="n">
        <v>3.8</v>
      </c>
      <c r="J7563" t="n">
        <v>0</v>
      </c>
      <c r="K7563" t="n">
        <v>0</v>
      </c>
      <c r="L7563" t="n">
        <v>0</v>
      </c>
      <c r="M7563" t="n">
        <v>0</v>
      </c>
      <c r="N7563" t="n">
        <v>0</v>
      </c>
      <c r="O7563" t="n">
        <v>0</v>
      </c>
      <c r="P7563" t="n">
        <v>0</v>
      </c>
      <c r="Q7563" t="n">
        <v>0</v>
      </c>
      <c r="R7563" t="n">
        <v>0</v>
      </c>
      <c r="S7563" t="n">
        <v>0</v>
      </c>
      <c r="T7563" t="n">
        <v>0</v>
      </c>
      <c r="U7563" t="n">
        <v>0</v>
      </c>
      <c r="V7563" s="2" t="inlineStr"/>
    </row>
    <row r="7564" ht="15" customHeight="1">
      <c r="A7564" t="inlineStr">
        <is>
          <t>A 21364-2026</t>
        </is>
      </c>
      <c r="B7564" t="inlineStr">
        <is>
          <t>avverkningsanmälan</t>
        </is>
      </c>
      <c r="C7564" t="inlineStr">
        <is>
          <t>Föryngringsavverkning</t>
        </is>
      </c>
      <c r="D7564" s="1" t="n">
        <v>46147</v>
      </c>
      <c r="E7564" s="1" t="n">
        <v>46326</v>
      </c>
      <c r="F7564" t="inlineStr">
        <is>
          <t>GÄVLEBORGS LÄN</t>
        </is>
      </c>
      <c r="G7564" t="inlineStr">
        <is>
          <t>GÄVLE</t>
        </is>
      </c>
      <c r="H7564" t="inlineStr">
        <is>
          <t>Bergvik skog öst AB</t>
        </is>
      </c>
      <c r="I7564" t="n">
        <v>4.9</v>
      </c>
      <c r="J7564" t="n">
        <v>0</v>
      </c>
      <c r="K7564" t="n">
        <v>0</v>
      </c>
      <c r="L7564" t="n">
        <v>0</v>
      </c>
      <c r="M7564" t="n">
        <v>0</v>
      </c>
      <c r="N7564" t="n">
        <v>0</v>
      </c>
      <c r="O7564" t="n">
        <v>0</v>
      </c>
      <c r="P7564" t="n">
        <v>0</v>
      </c>
      <c r="Q7564" t="n">
        <v>0</v>
      </c>
      <c r="R7564" t="n">
        <v>0</v>
      </c>
      <c r="S7564" t="n">
        <v>0</v>
      </c>
      <c r="T7564" t="n">
        <v>0</v>
      </c>
      <c r="U7564" t="n">
        <v>0</v>
      </c>
      <c r="V7564" s="2" t="inlineStr"/>
    </row>
    <row r="7565" ht="15" customHeight="1">
      <c r="A7565" t="inlineStr">
        <is>
          <t>A 58912-2024</t>
        </is>
      </c>
      <c r="B7565" t="inlineStr">
        <is>
          <t>avverkningsanmälan</t>
        </is>
      </c>
      <c r="C7565" t="inlineStr">
        <is>
          <t>Föryngringsavverkning</t>
        </is>
      </c>
      <c r="D7565" s="1" t="n">
        <v>45636</v>
      </c>
      <c r="E7565" s="1" t="n">
        <v>46326</v>
      </c>
      <c r="F7565" t="inlineStr">
        <is>
          <t>GÄVLEBORGS LÄN</t>
        </is>
      </c>
      <c r="G7565" t="inlineStr">
        <is>
          <t>NORDANSTIG</t>
        </is>
      </c>
      <c r="H7565" t="inlineStr">
        <is>
          <t>Holmen skog AB</t>
        </is>
      </c>
      <c r="I7565" t="n">
        <v>2.6</v>
      </c>
      <c r="J7565" t="n">
        <v>0</v>
      </c>
      <c r="K7565" t="n">
        <v>0</v>
      </c>
      <c r="L7565" t="n">
        <v>0</v>
      </c>
      <c r="M7565" t="n">
        <v>0</v>
      </c>
      <c r="N7565" t="n">
        <v>0</v>
      </c>
      <c r="O7565" t="n">
        <v>0</v>
      </c>
      <c r="P7565" t="n">
        <v>0</v>
      </c>
      <c r="Q7565" t="n">
        <v>0</v>
      </c>
      <c r="R7565" t="n">
        <v>0</v>
      </c>
      <c r="S7565" t="n">
        <v>0</v>
      </c>
      <c r="T7565" t="n">
        <v>0</v>
      </c>
      <c r="U7565" t="n">
        <v>0</v>
      </c>
      <c r="V7565" s="2" t="inlineStr"/>
    </row>
    <row r="7566" ht="15" customHeight="1">
      <c r="A7566" t="inlineStr">
        <is>
          <t>A 55962-2022</t>
        </is>
      </c>
      <c r="B7566" t="inlineStr">
        <is>
          <t>avverkningsanmälan</t>
        </is>
      </c>
      <c r="C7566" t="inlineStr">
        <is>
          <t>Avverkning för annat ändamål</t>
        </is>
      </c>
      <c r="D7566" s="1" t="n">
        <v>44889</v>
      </c>
      <c r="E7566" s="1" t="n">
        <v>46326</v>
      </c>
      <c r="F7566" t="inlineStr">
        <is>
          <t>GÄVLEBORGS LÄN</t>
        </is>
      </c>
      <c r="G7566" t="inlineStr">
        <is>
          <t>LJUSDAL</t>
        </is>
      </c>
      <c r="I7566" t="n">
        <v>0.1</v>
      </c>
      <c r="J7566" t="n">
        <v>0</v>
      </c>
      <c r="K7566" t="n">
        <v>0</v>
      </c>
      <c r="L7566" t="n">
        <v>0</v>
      </c>
      <c r="M7566" t="n">
        <v>0</v>
      </c>
      <c r="N7566" t="n">
        <v>0</v>
      </c>
      <c r="O7566" t="n">
        <v>0</v>
      </c>
      <c r="P7566" t="n">
        <v>0</v>
      </c>
      <c r="Q7566" t="n">
        <v>0</v>
      </c>
      <c r="R7566" t="n">
        <v>0</v>
      </c>
      <c r="S7566" t="n">
        <v>0</v>
      </c>
      <c r="T7566" t="n">
        <v>0</v>
      </c>
      <c r="U7566" t="n">
        <v>0</v>
      </c>
      <c r="V7566" s="2" t="inlineStr"/>
    </row>
    <row r="7567" ht="15" customHeight="1">
      <c r="A7567" t="inlineStr">
        <is>
          <t>A 23796-2024</t>
        </is>
      </c>
      <c r="B7567" t="inlineStr">
        <is>
          <t>avverkningsanmälan</t>
        </is>
      </c>
      <c r="C7567" t="inlineStr">
        <is>
          <t>Föryngringsavverkning</t>
        </is>
      </c>
      <c r="D7567" s="1" t="n">
        <v>45455</v>
      </c>
      <c r="E7567" s="1" t="n">
        <v>46326</v>
      </c>
      <c r="F7567" t="inlineStr">
        <is>
          <t>GÄVLEBORGS LÄN</t>
        </is>
      </c>
      <c r="G7567" t="inlineStr">
        <is>
          <t>BOLLNÄS</t>
        </is>
      </c>
      <c r="I7567" t="n">
        <v>2.2</v>
      </c>
      <c r="J7567" t="n">
        <v>0</v>
      </c>
      <c r="K7567" t="n">
        <v>0</v>
      </c>
      <c r="L7567" t="n">
        <v>0</v>
      </c>
      <c r="M7567" t="n">
        <v>0</v>
      </c>
      <c r="N7567" t="n">
        <v>0</v>
      </c>
      <c r="O7567" t="n">
        <v>0</v>
      </c>
      <c r="P7567" t="n">
        <v>0</v>
      </c>
      <c r="Q7567" t="n">
        <v>0</v>
      </c>
      <c r="R7567" t="n">
        <v>0</v>
      </c>
      <c r="S7567" t="n">
        <v>0</v>
      </c>
      <c r="T7567" t="n">
        <v>0</v>
      </c>
      <c r="U7567" t="n">
        <v>0</v>
      </c>
      <c r="V7567" s="2" t="inlineStr"/>
    </row>
    <row r="7568" ht="15" customHeight="1">
      <c r="A7568" t="inlineStr">
        <is>
          <t>A 21133-2026</t>
        </is>
      </c>
      <c r="B7568" t="inlineStr">
        <is>
          <t>avverkningsanmälan</t>
        </is>
      </c>
      <c r="C7568" t="inlineStr">
        <is>
          <t>Föryngringsavverkning</t>
        </is>
      </c>
      <c r="D7568" s="1" t="n">
        <v>46146</v>
      </c>
      <c r="E7568" s="1" t="n">
        <v>46326</v>
      </c>
      <c r="F7568" t="inlineStr">
        <is>
          <t>GÄVLEBORGS LÄN</t>
        </is>
      </c>
      <c r="G7568" t="inlineStr">
        <is>
          <t>BOLLNÄS</t>
        </is>
      </c>
      <c r="H7568" t="inlineStr">
        <is>
          <t>Bergvik skog väst AB</t>
        </is>
      </c>
      <c r="I7568" t="n">
        <v>2.2</v>
      </c>
      <c r="J7568" t="n">
        <v>0</v>
      </c>
      <c r="K7568" t="n">
        <v>0</v>
      </c>
      <c r="L7568" t="n">
        <v>0</v>
      </c>
      <c r="M7568" t="n">
        <v>0</v>
      </c>
      <c r="N7568" t="n">
        <v>0</v>
      </c>
      <c r="O7568" t="n">
        <v>0</v>
      </c>
      <c r="P7568" t="n">
        <v>0</v>
      </c>
      <c r="Q7568" t="n">
        <v>0</v>
      </c>
      <c r="R7568" t="n">
        <v>0</v>
      </c>
      <c r="S7568" t="n">
        <v>0</v>
      </c>
      <c r="T7568" t="n">
        <v>0</v>
      </c>
      <c r="U7568" t="n">
        <v>0</v>
      </c>
      <c r="V7568" s="2" t="inlineStr"/>
    </row>
    <row r="7569" ht="15" customHeight="1">
      <c r="A7569" t="inlineStr">
        <is>
          <t>A 21159-2026</t>
        </is>
      </c>
      <c r="B7569" t="inlineStr">
        <is>
          <t>avverkningsanmälan</t>
        </is>
      </c>
      <c r="C7569" t="inlineStr">
        <is>
          <t>Föryngringsavverkning</t>
        </is>
      </c>
      <c r="D7569" s="1" t="n">
        <v>46146</v>
      </c>
      <c r="E7569" s="1" t="n">
        <v>46326</v>
      </c>
      <c r="F7569" t="inlineStr">
        <is>
          <t>GÄVLEBORGS LÄN</t>
        </is>
      </c>
      <c r="G7569" t="inlineStr">
        <is>
          <t>HUDIKSVALL</t>
        </is>
      </c>
      <c r="H7569" t="inlineStr">
        <is>
          <t>Kyrkan</t>
        </is>
      </c>
      <c r="I7569" t="n">
        <v>0.7</v>
      </c>
      <c r="J7569" t="n">
        <v>0</v>
      </c>
      <c r="K7569" t="n">
        <v>0</v>
      </c>
      <c r="L7569" t="n">
        <v>0</v>
      </c>
      <c r="M7569" t="n">
        <v>0</v>
      </c>
      <c r="N7569" t="n">
        <v>0</v>
      </c>
      <c r="O7569" t="n">
        <v>0</v>
      </c>
      <c r="P7569" t="n">
        <v>0</v>
      </c>
      <c r="Q7569" t="n">
        <v>0</v>
      </c>
      <c r="R7569" t="n">
        <v>0</v>
      </c>
      <c r="S7569" t="n">
        <v>0</v>
      </c>
      <c r="T7569" t="n">
        <v>0</v>
      </c>
      <c r="U7569" t="n">
        <v>0</v>
      </c>
      <c r="V7569" s="2" t="inlineStr"/>
    </row>
    <row r="7570" ht="15" customHeight="1">
      <c r="A7570" t="inlineStr">
        <is>
          <t>A 21234-2026</t>
        </is>
      </c>
      <c r="B7570" t="inlineStr">
        <is>
          <t>avverkningsanmälan</t>
        </is>
      </c>
      <c r="C7570" t="inlineStr">
        <is>
          <t>Föryngringsavverkning</t>
        </is>
      </c>
      <c r="D7570" s="1" t="n">
        <v>46147</v>
      </c>
      <c r="E7570" s="1" t="n">
        <v>46326</v>
      </c>
      <c r="F7570" t="inlineStr">
        <is>
          <t>GÄVLEBORGS LÄN</t>
        </is>
      </c>
      <c r="G7570" t="inlineStr">
        <is>
          <t>LJUSDAL</t>
        </is>
      </c>
      <c r="I7570" t="n">
        <v>4.9</v>
      </c>
      <c r="J7570" t="n">
        <v>0</v>
      </c>
      <c r="K7570" t="n">
        <v>0</v>
      </c>
      <c r="L7570" t="n">
        <v>0</v>
      </c>
      <c r="M7570" t="n">
        <v>0</v>
      </c>
      <c r="N7570" t="n">
        <v>0</v>
      </c>
      <c r="O7570" t="n">
        <v>0</v>
      </c>
      <c r="P7570" t="n">
        <v>0</v>
      </c>
      <c r="Q7570" t="n">
        <v>0</v>
      </c>
      <c r="R7570" t="n">
        <v>0</v>
      </c>
      <c r="S7570" t="n">
        <v>0</v>
      </c>
      <c r="T7570" t="n">
        <v>0</v>
      </c>
      <c r="U7570" t="n">
        <v>0</v>
      </c>
      <c r="V7570" s="2" t="inlineStr"/>
    </row>
    <row r="7571" ht="15" customHeight="1">
      <c r="A7571" t="inlineStr">
        <is>
          <t>A 21241-2026</t>
        </is>
      </c>
      <c r="B7571" t="inlineStr">
        <is>
          <t>avverkningsanmälan</t>
        </is>
      </c>
      <c r="C7571" t="inlineStr">
        <is>
          <t>Föryngringsavverkning</t>
        </is>
      </c>
      <c r="D7571" s="1" t="n">
        <v>46147</v>
      </c>
      <c r="E7571" s="1" t="n">
        <v>46326</v>
      </c>
      <c r="F7571" t="inlineStr">
        <is>
          <t>GÄVLEBORGS LÄN</t>
        </is>
      </c>
      <c r="G7571" t="inlineStr">
        <is>
          <t>BOLLNÄS</t>
        </is>
      </c>
      <c r="I7571" t="n">
        <v>2</v>
      </c>
      <c r="J7571" t="n">
        <v>0</v>
      </c>
      <c r="K7571" t="n">
        <v>0</v>
      </c>
      <c r="L7571" t="n">
        <v>0</v>
      </c>
      <c r="M7571" t="n">
        <v>0</v>
      </c>
      <c r="N7571" t="n">
        <v>0</v>
      </c>
      <c r="O7571" t="n">
        <v>0</v>
      </c>
      <c r="P7571" t="n">
        <v>0</v>
      </c>
      <c r="Q7571" t="n">
        <v>0</v>
      </c>
      <c r="R7571" t="n">
        <v>0</v>
      </c>
      <c r="S7571" t="n">
        <v>0</v>
      </c>
      <c r="T7571" t="n">
        <v>0</v>
      </c>
      <c r="U7571" t="n">
        <v>0</v>
      </c>
      <c r="V7571" s="2" t="inlineStr"/>
    </row>
    <row r="7572" ht="15" customHeight="1">
      <c r="A7572" t="inlineStr">
        <is>
          <t>A 21242-2026</t>
        </is>
      </c>
      <c r="B7572" t="inlineStr">
        <is>
          <t>avverkningsanmälan</t>
        </is>
      </c>
      <c r="C7572" t="inlineStr">
        <is>
          <t>Föryngringsavverkning</t>
        </is>
      </c>
      <c r="D7572" s="1" t="n">
        <v>46147</v>
      </c>
      <c r="E7572" s="1" t="n">
        <v>46326</v>
      </c>
      <c r="F7572" t="inlineStr">
        <is>
          <t>GÄVLEBORGS LÄN</t>
        </is>
      </c>
      <c r="G7572" t="inlineStr">
        <is>
          <t>BOLLNÄS</t>
        </is>
      </c>
      <c r="I7572" t="n">
        <v>1</v>
      </c>
      <c r="J7572" t="n">
        <v>0</v>
      </c>
      <c r="K7572" t="n">
        <v>0</v>
      </c>
      <c r="L7572" t="n">
        <v>0</v>
      </c>
      <c r="M7572" t="n">
        <v>0</v>
      </c>
      <c r="N7572" t="n">
        <v>0</v>
      </c>
      <c r="O7572" t="n">
        <v>0</v>
      </c>
      <c r="P7572" t="n">
        <v>0</v>
      </c>
      <c r="Q7572" t="n">
        <v>0</v>
      </c>
      <c r="R7572" t="n">
        <v>0</v>
      </c>
      <c r="S7572" t="n">
        <v>0</v>
      </c>
      <c r="T7572" t="n">
        <v>0</v>
      </c>
      <c r="U7572" t="n">
        <v>0</v>
      </c>
      <c r="V7572" s="2" t="inlineStr"/>
    </row>
    <row r="7573" ht="15" customHeight="1">
      <c r="A7573" t="inlineStr">
        <is>
          <t>A 21249-2026</t>
        </is>
      </c>
      <c r="B7573" t="inlineStr">
        <is>
          <t>avverkningsanmälan</t>
        </is>
      </c>
      <c r="C7573" t="inlineStr">
        <is>
          <t>Föryngringsavverkning</t>
        </is>
      </c>
      <c r="D7573" s="1" t="n">
        <v>46147</v>
      </c>
      <c r="E7573" s="1" t="n">
        <v>46326</v>
      </c>
      <c r="F7573" t="inlineStr">
        <is>
          <t>GÄVLEBORGS LÄN</t>
        </is>
      </c>
      <c r="G7573" t="inlineStr">
        <is>
          <t>HUDIKSVALL</t>
        </is>
      </c>
      <c r="I7573" t="n">
        <v>13.8</v>
      </c>
      <c r="J7573" t="n">
        <v>0</v>
      </c>
      <c r="K7573" t="n">
        <v>0</v>
      </c>
      <c r="L7573" t="n">
        <v>0</v>
      </c>
      <c r="M7573" t="n">
        <v>0</v>
      </c>
      <c r="N7573" t="n">
        <v>0</v>
      </c>
      <c r="O7573" t="n">
        <v>0</v>
      </c>
      <c r="P7573" t="n">
        <v>0</v>
      </c>
      <c r="Q7573" t="n">
        <v>0</v>
      </c>
      <c r="R7573" t="n">
        <v>0</v>
      </c>
      <c r="S7573" t="n">
        <v>0</v>
      </c>
      <c r="T7573" t="n">
        <v>0</v>
      </c>
      <c r="U7573" t="n">
        <v>0</v>
      </c>
      <c r="V7573" s="2" t="inlineStr"/>
    </row>
    <row r="7574" ht="15" customHeight="1">
      <c r="A7574" t="inlineStr">
        <is>
          <t>A 21266-2026</t>
        </is>
      </c>
      <c r="B7574" t="inlineStr">
        <is>
          <t>avverkningsanmälan</t>
        </is>
      </c>
      <c r="C7574" t="inlineStr">
        <is>
          <t>Föryngringsavverkning</t>
        </is>
      </c>
      <c r="D7574" s="1" t="n">
        <v>46147</v>
      </c>
      <c r="E7574" s="1" t="n">
        <v>46326</v>
      </c>
      <c r="F7574" t="inlineStr">
        <is>
          <t>GÄVLEBORGS LÄN</t>
        </is>
      </c>
      <c r="G7574" t="inlineStr">
        <is>
          <t>OVANÅKER</t>
        </is>
      </c>
      <c r="H7574" t="inlineStr">
        <is>
          <t>Bergvik skog öst AB</t>
        </is>
      </c>
      <c r="I7574" t="n">
        <v>2.2</v>
      </c>
      <c r="J7574" t="n">
        <v>0</v>
      </c>
      <c r="K7574" t="n">
        <v>0</v>
      </c>
      <c r="L7574" t="n">
        <v>0</v>
      </c>
      <c r="M7574" t="n">
        <v>0</v>
      </c>
      <c r="N7574" t="n">
        <v>0</v>
      </c>
      <c r="O7574" t="n">
        <v>0</v>
      </c>
      <c r="P7574" t="n">
        <v>0</v>
      </c>
      <c r="Q7574" t="n">
        <v>0</v>
      </c>
      <c r="R7574" t="n">
        <v>0</v>
      </c>
      <c r="S7574" t="n">
        <v>0</v>
      </c>
      <c r="T7574" t="n">
        <v>0</v>
      </c>
      <c r="U7574" t="n">
        <v>0</v>
      </c>
      <c r="V7574" s="2" t="inlineStr"/>
    </row>
    <row r="7575" ht="15" customHeight="1">
      <c r="A7575" t="inlineStr">
        <is>
          <t>A 21318-2026</t>
        </is>
      </c>
      <c r="B7575" t="inlineStr">
        <is>
          <t>avverkningsanmälan</t>
        </is>
      </c>
      <c r="C7575" t="inlineStr">
        <is>
          <t>Föryngringsavverkning</t>
        </is>
      </c>
      <c r="D7575" s="1" t="n">
        <v>46147</v>
      </c>
      <c r="E7575" s="1" t="n">
        <v>46326</v>
      </c>
      <c r="F7575" t="inlineStr">
        <is>
          <t>GÄVLEBORGS LÄN</t>
        </is>
      </c>
      <c r="G7575" t="inlineStr">
        <is>
          <t>HUDIKSVALL</t>
        </is>
      </c>
      <c r="H7575" t="inlineStr">
        <is>
          <t>Kyrkan</t>
        </is>
      </c>
      <c r="I7575" t="n">
        <v>0.7</v>
      </c>
      <c r="J7575" t="n">
        <v>0</v>
      </c>
      <c r="K7575" t="n">
        <v>0</v>
      </c>
      <c r="L7575" t="n">
        <v>0</v>
      </c>
      <c r="M7575" t="n">
        <v>0</v>
      </c>
      <c r="N7575" t="n">
        <v>0</v>
      </c>
      <c r="O7575" t="n">
        <v>0</v>
      </c>
      <c r="P7575" t="n">
        <v>0</v>
      </c>
      <c r="Q7575" t="n">
        <v>0</v>
      </c>
      <c r="R7575" t="n">
        <v>0</v>
      </c>
      <c r="S7575" t="n">
        <v>0</v>
      </c>
      <c r="T7575" t="n">
        <v>0</v>
      </c>
      <c r="U7575" t="n">
        <v>0</v>
      </c>
      <c r="V7575" s="2" t="inlineStr"/>
    </row>
    <row r="7576" ht="15" customHeight="1">
      <c r="A7576" t="inlineStr">
        <is>
          <t>A 21323-2026</t>
        </is>
      </c>
      <c r="B7576" t="inlineStr">
        <is>
          <t>avverkningsanmälan</t>
        </is>
      </c>
      <c r="C7576" t="inlineStr">
        <is>
          <t>Föryngringsavverkning</t>
        </is>
      </c>
      <c r="D7576" s="1" t="n">
        <v>46147</v>
      </c>
      <c r="E7576" s="1" t="n">
        <v>46326</v>
      </c>
      <c r="F7576" t="inlineStr">
        <is>
          <t>GÄVLEBORGS LÄN</t>
        </is>
      </c>
      <c r="G7576" t="inlineStr">
        <is>
          <t>HUDIKSVALL</t>
        </is>
      </c>
      <c r="H7576" t="inlineStr">
        <is>
          <t>Kyrkan</t>
        </is>
      </c>
      <c r="I7576" t="n">
        <v>2.3</v>
      </c>
      <c r="J7576" t="n">
        <v>0</v>
      </c>
      <c r="K7576" t="n">
        <v>0</v>
      </c>
      <c r="L7576" t="n">
        <v>0</v>
      </c>
      <c r="M7576" t="n">
        <v>0</v>
      </c>
      <c r="N7576" t="n">
        <v>0</v>
      </c>
      <c r="O7576" t="n">
        <v>0</v>
      </c>
      <c r="P7576" t="n">
        <v>0</v>
      </c>
      <c r="Q7576" t="n">
        <v>0</v>
      </c>
      <c r="R7576" t="n">
        <v>0</v>
      </c>
      <c r="S7576" t="n">
        <v>0</v>
      </c>
      <c r="T7576" t="n">
        <v>0</v>
      </c>
      <c r="U7576" t="n">
        <v>0</v>
      </c>
      <c r="V7576" s="2" t="inlineStr"/>
    </row>
    <row r="7577" ht="15" customHeight="1">
      <c r="A7577" t="inlineStr">
        <is>
          <t>A 21342-2026</t>
        </is>
      </c>
      <c r="B7577" t="inlineStr">
        <is>
          <t>avverkningsanmälan</t>
        </is>
      </c>
      <c r="C7577" t="inlineStr">
        <is>
          <t>Föryngringsavverkning</t>
        </is>
      </c>
      <c r="D7577" s="1" t="n">
        <v>46147</v>
      </c>
      <c r="E7577" s="1" t="n">
        <v>46326</v>
      </c>
      <c r="F7577" t="inlineStr">
        <is>
          <t>GÄVLEBORGS LÄN</t>
        </is>
      </c>
      <c r="G7577" t="inlineStr">
        <is>
          <t>OVANÅKER</t>
        </is>
      </c>
      <c r="H7577" t="inlineStr">
        <is>
          <t>Bergvik skog väst AB</t>
        </is>
      </c>
      <c r="I7577" t="n">
        <v>1.2</v>
      </c>
      <c r="J7577" t="n">
        <v>0</v>
      </c>
      <c r="K7577" t="n">
        <v>0</v>
      </c>
      <c r="L7577" t="n">
        <v>0</v>
      </c>
      <c r="M7577" t="n">
        <v>0</v>
      </c>
      <c r="N7577" t="n">
        <v>0</v>
      </c>
      <c r="O7577" t="n">
        <v>0</v>
      </c>
      <c r="P7577" t="n">
        <v>0</v>
      </c>
      <c r="Q7577" t="n">
        <v>0</v>
      </c>
      <c r="R7577" t="n">
        <v>0</v>
      </c>
      <c r="S7577" t="n">
        <v>0</v>
      </c>
      <c r="T7577" t="n">
        <v>0</v>
      </c>
      <c r="U7577" t="n">
        <v>0</v>
      </c>
      <c r="V7577" s="2" t="inlineStr"/>
    </row>
    <row r="7578" ht="15" customHeight="1">
      <c r="A7578" t="inlineStr">
        <is>
          <t>A 21353-2026</t>
        </is>
      </c>
      <c r="B7578" t="inlineStr">
        <is>
          <t>avverkningsanmälan</t>
        </is>
      </c>
      <c r="C7578" t="inlineStr">
        <is>
          <t>Föryngringsavverkning</t>
        </is>
      </c>
      <c r="D7578" s="1" t="n">
        <v>46147</v>
      </c>
      <c r="E7578" s="1" t="n">
        <v>46326</v>
      </c>
      <c r="F7578" t="inlineStr">
        <is>
          <t>GÄVLEBORGS LÄN</t>
        </is>
      </c>
      <c r="G7578" t="inlineStr">
        <is>
          <t>HUDIKSVALL</t>
        </is>
      </c>
      <c r="I7578" t="n">
        <v>1.3</v>
      </c>
      <c r="J7578" t="n">
        <v>0</v>
      </c>
      <c r="K7578" t="n">
        <v>0</v>
      </c>
      <c r="L7578" t="n">
        <v>0</v>
      </c>
      <c r="M7578" t="n">
        <v>0</v>
      </c>
      <c r="N7578" t="n">
        <v>0</v>
      </c>
      <c r="O7578" t="n">
        <v>0</v>
      </c>
      <c r="P7578" t="n">
        <v>0</v>
      </c>
      <c r="Q7578" t="n">
        <v>0</v>
      </c>
      <c r="R7578" t="n">
        <v>0</v>
      </c>
      <c r="S7578" t="n">
        <v>0</v>
      </c>
      <c r="T7578" t="n">
        <v>0</v>
      </c>
      <c r="U7578" t="n">
        <v>0</v>
      </c>
      <c r="V7578" s="2" t="inlineStr"/>
    </row>
    <row r="7579" ht="15" customHeight="1">
      <c r="A7579" t="inlineStr">
        <is>
          <t>A 60291-2022</t>
        </is>
      </c>
      <c r="B7579" t="inlineStr">
        <is>
          <t>avverkningsanmälan</t>
        </is>
      </c>
      <c r="C7579" t="inlineStr">
        <is>
          <t>Avverkning för att bevara och utveckla /försöksver</t>
        </is>
      </c>
      <c r="D7579" s="1" t="n">
        <v>44910</v>
      </c>
      <c r="E7579" s="1" t="n">
        <v>46326</v>
      </c>
      <c r="F7579" t="inlineStr">
        <is>
          <t>GÄVLEBORGS LÄN</t>
        </is>
      </c>
      <c r="G7579" t="inlineStr">
        <is>
          <t>OVANÅKER</t>
        </is>
      </c>
      <c r="H7579" t="inlineStr">
        <is>
          <t>Sveaskog</t>
        </is>
      </c>
      <c r="I7579" t="n">
        <v>2.4</v>
      </c>
      <c r="J7579" t="n">
        <v>0</v>
      </c>
      <c r="K7579" t="n">
        <v>0</v>
      </c>
      <c r="L7579" t="n">
        <v>0</v>
      </c>
      <c r="M7579" t="n">
        <v>0</v>
      </c>
      <c r="N7579" t="n">
        <v>0</v>
      </c>
      <c r="O7579" t="n">
        <v>0</v>
      </c>
      <c r="P7579" t="n">
        <v>0</v>
      </c>
      <c r="Q7579" t="n">
        <v>0</v>
      </c>
      <c r="R7579" t="n">
        <v>0</v>
      </c>
      <c r="S7579" t="n">
        <v>0</v>
      </c>
      <c r="T7579" t="n">
        <v>0</v>
      </c>
      <c r="U7579" t="n">
        <v>0</v>
      </c>
      <c r="V7579" s="2" t="inlineStr"/>
    </row>
    <row r="7580" ht="15" customHeight="1">
      <c r="A7580" t="inlineStr">
        <is>
          <t>A 21387-2026</t>
        </is>
      </c>
      <c r="B7580" t="inlineStr">
        <is>
          <t>avverkningsanmälan</t>
        </is>
      </c>
      <c r="C7580" t="inlineStr">
        <is>
          <t>Föryngringsavverkning</t>
        </is>
      </c>
      <c r="D7580" s="1" t="n">
        <v>46147</v>
      </c>
      <c r="E7580" s="1" t="n">
        <v>46326</v>
      </c>
      <c r="F7580" t="inlineStr">
        <is>
          <t>GÄVLEBORGS LÄN</t>
        </is>
      </c>
      <c r="G7580" t="inlineStr">
        <is>
          <t>SÖDERHAMN</t>
        </is>
      </c>
      <c r="I7580" t="n">
        <v>1</v>
      </c>
      <c r="J7580" t="n">
        <v>0</v>
      </c>
      <c r="K7580" t="n">
        <v>0</v>
      </c>
      <c r="L7580" t="n">
        <v>0</v>
      </c>
      <c r="M7580" t="n">
        <v>0</v>
      </c>
      <c r="N7580" t="n">
        <v>0</v>
      </c>
      <c r="O7580" t="n">
        <v>0</v>
      </c>
      <c r="P7580" t="n">
        <v>0</v>
      </c>
      <c r="Q7580" t="n">
        <v>0</v>
      </c>
      <c r="R7580" t="n">
        <v>0</v>
      </c>
      <c r="S7580" t="n">
        <v>0</v>
      </c>
      <c r="T7580" t="n">
        <v>0</v>
      </c>
      <c r="U7580" t="n">
        <v>0</v>
      </c>
      <c r="V7580" s="2" t="inlineStr"/>
    </row>
    <row r="7581" ht="15" customHeight="1">
      <c r="A7581" t="inlineStr">
        <is>
          <t>A 27867-2024</t>
        </is>
      </c>
      <c r="B7581" t="inlineStr">
        <is>
          <t>avverkningsanmälan</t>
        </is>
      </c>
      <c r="C7581" t="inlineStr">
        <is>
          <t>Föryngringsavverkning</t>
        </is>
      </c>
      <c r="D7581" s="1" t="n">
        <v>45475</v>
      </c>
      <c r="E7581" s="1" t="n">
        <v>46326</v>
      </c>
      <c r="F7581" t="inlineStr">
        <is>
          <t>GÄVLEBORGS LÄN</t>
        </is>
      </c>
      <c r="G7581" t="inlineStr">
        <is>
          <t>LJUSDAL</t>
        </is>
      </c>
      <c r="H7581" t="inlineStr">
        <is>
          <t>Allmännings- och besparingsskogar</t>
        </is>
      </c>
      <c r="I7581" t="n">
        <v>1.4</v>
      </c>
      <c r="J7581" t="n">
        <v>0</v>
      </c>
      <c r="K7581" t="n">
        <v>0</v>
      </c>
      <c r="L7581" t="n">
        <v>0</v>
      </c>
      <c r="M7581" t="n">
        <v>0</v>
      </c>
      <c r="N7581" t="n">
        <v>0</v>
      </c>
      <c r="O7581" t="n">
        <v>0</v>
      </c>
      <c r="P7581" t="n">
        <v>0</v>
      </c>
      <c r="Q7581" t="n">
        <v>0</v>
      </c>
      <c r="R7581" t="n">
        <v>0</v>
      </c>
      <c r="S7581" t="n">
        <v>0</v>
      </c>
      <c r="T7581" t="n">
        <v>0</v>
      </c>
      <c r="U7581" t="n">
        <v>0</v>
      </c>
      <c r="V7581" s="2" t="inlineStr"/>
    </row>
    <row r="7582" ht="15" customHeight="1">
      <c r="A7582" t="inlineStr">
        <is>
          <t>A 64871-2023</t>
        </is>
      </c>
      <c r="B7582" t="inlineStr">
        <is>
          <t>avverkningsanmälan</t>
        </is>
      </c>
      <c r="C7582" t="inlineStr">
        <is>
          <t>Avverkning för annat ändamål</t>
        </is>
      </c>
      <c r="D7582" s="1" t="n">
        <v>45282</v>
      </c>
      <c r="E7582" s="1" t="n">
        <v>46326</v>
      </c>
      <c r="F7582" t="inlineStr">
        <is>
          <t>GÄVLEBORGS LÄN</t>
        </is>
      </c>
      <c r="G7582" t="inlineStr">
        <is>
          <t>GÄVLE</t>
        </is>
      </c>
      <c r="I7582" t="n">
        <v>0.3</v>
      </c>
      <c r="J7582" t="n">
        <v>0</v>
      </c>
      <c r="K7582" t="n">
        <v>0</v>
      </c>
      <c r="L7582" t="n">
        <v>0</v>
      </c>
      <c r="M7582" t="n">
        <v>0</v>
      </c>
      <c r="N7582" t="n">
        <v>0</v>
      </c>
      <c r="O7582" t="n">
        <v>0</v>
      </c>
      <c r="P7582" t="n">
        <v>0</v>
      </c>
      <c r="Q7582" t="n">
        <v>0</v>
      </c>
      <c r="R7582" t="n">
        <v>0</v>
      </c>
      <c r="S7582" t="n">
        <v>0</v>
      </c>
      <c r="T7582" t="n">
        <v>0</v>
      </c>
      <c r="U7582" t="n">
        <v>0</v>
      </c>
      <c r="V7582" s="2" t="inlineStr"/>
    </row>
    <row r="7583" ht="15" customHeight="1">
      <c r="A7583" t="inlineStr">
        <is>
          <t>A 64875-2023</t>
        </is>
      </c>
      <c r="B7583" t="inlineStr">
        <is>
          <t>avverkningsanmälan</t>
        </is>
      </c>
      <c r="C7583" t="inlineStr">
        <is>
          <t>Avverkning för annat ändamål</t>
        </is>
      </c>
      <c r="D7583" s="1" t="n">
        <v>45282</v>
      </c>
      <c r="E7583" s="1" t="n">
        <v>46326</v>
      </c>
      <c r="F7583" t="inlineStr">
        <is>
          <t>GÄVLEBORGS LÄN</t>
        </is>
      </c>
      <c r="G7583" t="inlineStr">
        <is>
          <t>GÄVLE</t>
        </is>
      </c>
      <c r="I7583" t="n">
        <v>0.1</v>
      </c>
      <c r="J7583" t="n">
        <v>0</v>
      </c>
      <c r="K7583" t="n">
        <v>0</v>
      </c>
      <c r="L7583" t="n">
        <v>0</v>
      </c>
      <c r="M7583" t="n">
        <v>0</v>
      </c>
      <c r="N7583" t="n">
        <v>0</v>
      </c>
      <c r="O7583" t="n">
        <v>0</v>
      </c>
      <c r="P7583" t="n">
        <v>0</v>
      </c>
      <c r="Q7583" t="n">
        <v>0</v>
      </c>
      <c r="R7583" t="n">
        <v>0</v>
      </c>
      <c r="S7583" t="n">
        <v>0</v>
      </c>
      <c r="T7583" t="n">
        <v>0</v>
      </c>
      <c r="U7583" t="n">
        <v>0</v>
      </c>
      <c r="V7583" s="2" t="inlineStr"/>
    </row>
    <row r="7584" ht="15" customHeight="1">
      <c r="A7584" t="inlineStr">
        <is>
          <t>A 64878-2023</t>
        </is>
      </c>
      <c r="B7584" t="inlineStr">
        <is>
          <t>avverkningsanmälan</t>
        </is>
      </c>
      <c r="C7584" t="inlineStr">
        <is>
          <t>Avverkning för annat ändamål</t>
        </is>
      </c>
      <c r="D7584" s="1" t="n">
        <v>45282</v>
      </c>
      <c r="E7584" s="1" t="n">
        <v>46326</v>
      </c>
      <c r="F7584" t="inlineStr">
        <is>
          <t>GÄVLEBORGS LÄN</t>
        </is>
      </c>
      <c r="G7584" t="inlineStr">
        <is>
          <t>GÄVLE</t>
        </is>
      </c>
      <c r="I7584" t="n">
        <v>0</v>
      </c>
      <c r="J7584" t="n">
        <v>0</v>
      </c>
      <c r="K7584" t="n">
        <v>0</v>
      </c>
      <c r="L7584" t="n">
        <v>0</v>
      </c>
      <c r="M7584" t="n">
        <v>0</v>
      </c>
      <c r="N7584" t="n">
        <v>0</v>
      </c>
      <c r="O7584" t="n">
        <v>0</v>
      </c>
      <c r="P7584" t="n">
        <v>0</v>
      </c>
      <c r="Q7584" t="n">
        <v>0</v>
      </c>
      <c r="R7584" t="n">
        <v>0</v>
      </c>
      <c r="S7584" t="n">
        <v>0</v>
      </c>
      <c r="T7584" t="n">
        <v>0</v>
      </c>
      <c r="U7584" t="n">
        <v>0</v>
      </c>
      <c r="V7584" s="2" t="inlineStr"/>
    </row>
    <row r="7585" ht="15" customHeight="1">
      <c r="A7585" t="inlineStr">
        <is>
          <t>A 2587-2026</t>
        </is>
      </c>
      <c r="B7585" t="inlineStr">
        <is>
          <t>avverkningsanmälan</t>
        </is>
      </c>
      <c r="C7585" t="inlineStr">
        <is>
          <t>Föryngringsavverkning</t>
        </is>
      </c>
      <c r="D7585" s="1" t="n">
        <v>46037</v>
      </c>
      <c r="E7585" s="1" t="n">
        <v>46326</v>
      </c>
      <c r="F7585" t="inlineStr">
        <is>
          <t>GÄVLEBORGS LÄN</t>
        </is>
      </c>
      <c r="G7585" t="inlineStr">
        <is>
          <t>BOLLNÄS</t>
        </is>
      </c>
      <c r="I7585" t="n">
        <v>3</v>
      </c>
      <c r="J7585" t="n">
        <v>0</v>
      </c>
      <c r="K7585" t="n">
        <v>0</v>
      </c>
      <c r="L7585" t="n">
        <v>0</v>
      </c>
      <c r="M7585" t="n">
        <v>0</v>
      </c>
      <c r="N7585" t="n">
        <v>0</v>
      </c>
      <c r="O7585" t="n">
        <v>0</v>
      </c>
      <c r="P7585" t="n">
        <v>0</v>
      </c>
      <c r="Q7585" t="n">
        <v>0</v>
      </c>
      <c r="R7585" t="n">
        <v>0</v>
      </c>
      <c r="S7585" t="n">
        <v>0</v>
      </c>
      <c r="T7585" t="n">
        <v>0</v>
      </c>
      <c r="U7585" t="n">
        <v>0</v>
      </c>
      <c r="V7585" s="2" t="inlineStr"/>
    </row>
    <row r="7586" ht="15" customHeight="1">
      <c r="A7586" t="inlineStr">
        <is>
          <t>A 4758-2026</t>
        </is>
      </c>
      <c r="B7586" t="inlineStr">
        <is>
          <t>avverkningsanmälan</t>
        </is>
      </c>
      <c r="C7586" t="inlineStr">
        <is>
          <t>Avverkning för annat ändamål</t>
        </is>
      </c>
      <c r="D7586" s="1" t="n">
        <v>46048</v>
      </c>
      <c r="E7586" s="1" t="n">
        <v>46326</v>
      </c>
      <c r="F7586" t="inlineStr">
        <is>
          <t>GÄVLEBORGS LÄN</t>
        </is>
      </c>
      <c r="G7586" t="inlineStr">
        <is>
          <t>HUDIKSVALL</t>
        </is>
      </c>
      <c r="I7586" t="n">
        <v>1.6</v>
      </c>
      <c r="J7586" t="n">
        <v>0</v>
      </c>
      <c r="K7586" t="n">
        <v>0</v>
      </c>
      <c r="L7586" t="n">
        <v>0</v>
      </c>
      <c r="M7586" t="n">
        <v>0</v>
      </c>
      <c r="N7586" t="n">
        <v>0</v>
      </c>
      <c r="O7586" t="n">
        <v>0</v>
      </c>
      <c r="P7586" t="n">
        <v>0</v>
      </c>
      <c r="Q7586" t="n">
        <v>0</v>
      </c>
      <c r="R7586" t="n">
        <v>0</v>
      </c>
      <c r="S7586" t="n">
        <v>0</v>
      </c>
      <c r="T7586" t="n">
        <v>0</v>
      </c>
      <c r="U7586" t="n">
        <v>0</v>
      </c>
      <c r="V7586" s="2" t="inlineStr"/>
    </row>
    <row r="7587" ht="15" customHeight="1">
      <c r="A7587" t="inlineStr">
        <is>
          <t>A 21048-2026</t>
        </is>
      </c>
      <c r="B7587" t="inlineStr">
        <is>
          <t>avverkningsanmälan</t>
        </is>
      </c>
      <c r="C7587" t="inlineStr">
        <is>
          <t>Föryngringsavverkning</t>
        </is>
      </c>
      <c r="D7587" s="1" t="n">
        <v>46146</v>
      </c>
      <c r="E7587" s="1" t="n">
        <v>46326</v>
      </c>
      <c r="F7587" t="inlineStr">
        <is>
          <t>GÄVLEBORGS LÄN</t>
        </is>
      </c>
      <c r="G7587" t="inlineStr">
        <is>
          <t>OVANÅKER</t>
        </is>
      </c>
      <c r="I7587" t="n">
        <v>0.9</v>
      </c>
      <c r="J7587" t="n">
        <v>0</v>
      </c>
      <c r="K7587" t="n">
        <v>0</v>
      </c>
      <c r="L7587" t="n">
        <v>0</v>
      </c>
      <c r="M7587" t="n">
        <v>0</v>
      </c>
      <c r="N7587" t="n">
        <v>0</v>
      </c>
      <c r="O7587" t="n">
        <v>0</v>
      </c>
      <c r="P7587" t="n">
        <v>0</v>
      </c>
      <c r="Q7587" t="n">
        <v>0</v>
      </c>
      <c r="R7587" t="n">
        <v>0</v>
      </c>
      <c r="S7587" t="n">
        <v>0</v>
      </c>
      <c r="T7587" t="n">
        <v>0</v>
      </c>
      <c r="U7587" t="n">
        <v>0</v>
      </c>
      <c r="V7587" s="2" t="inlineStr"/>
    </row>
    <row r="7588" ht="15" customHeight="1">
      <c r="A7588" t="inlineStr">
        <is>
          <t>A 21089-2026</t>
        </is>
      </c>
      <c r="B7588" t="inlineStr">
        <is>
          <t>avverkningsanmälan</t>
        </is>
      </c>
      <c r="C7588" t="inlineStr">
        <is>
          <t>Föryngringsavverkning</t>
        </is>
      </c>
      <c r="D7588" s="1" t="n">
        <v>46146</v>
      </c>
      <c r="E7588" s="1" t="n">
        <v>46326</v>
      </c>
      <c r="F7588" t="inlineStr">
        <is>
          <t>GÄVLEBORGS LÄN</t>
        </is>
      </c>
      <c r="G7588" t="inlineStr">
        <is>
          <t>HUDIKSVALL</t>
        </is>
      </c>
      <c r="I7588" t="n">
        <v>1.5</v>
      </c>
      <c r="J7588" t="n">
        <v>0</v>
      </c>
      <c r="K7588" t="n">
        <v>0</v>
      </c>
      <c r="L7588" t="n">
        <v>0</v>
      </c>
      <c r="M7588" t="n">
        <v>0</v>
      </c>
      <c r="N7588" t="n">
        <v>0</v>
      </c>
      <c r="O7588" t="n">
        <v>0</v>
      </c>
      <c r="P7588" t="n">
        <v>0</v>
      </c>
      <c r="Q7588" t="n">
        <v>0</v>
      </c>
      <c r="R7588" t="n">
        <v>0</v>
      </c>
      <c r="S7588" t="n">
        <v>0</v>
      </c>
      <c r="T7588" t="n">
        <v>0</v>
      </c>
      <c r="U7588" t="n">
        <v>0</v>
      </c>
      <c r="V7588" s="2" t="inlineStr"/>
    </row>
    <row r="7589" ht="15" customHeight="1">
      <c r="A7589" t="inlineStr">
        <is>
          <t>A 21093-2026</t>
        </is>
      </c>
      <c r="B7589" t="inlineStr">
        <is>
          <t>avverkningsanmälan</t>
        </is>
      </c>
      <c r="C7589" t="inlineStr">
        <is>
          <t>Föryngringsavverkning</t>
        </is>
      </c>
      <c r="D7589" s="1" t="n">
        <v>46146</v>
      </c>
      <c r="E7589" s="1" t="n">
        <v>46326</v>
      </c>
      <c r="F7589" t="inlineStr">
        <is>
          <t>GÄVLEBORGS LÄN</t>
        </is>
      </c>
      <c r="G7589" t="inlineStr">
        <is>
          <t>NORDANSTIG</t>
        </is>
      </c>
      <c r="I7589" t="n">
        <v>1</v>
      </c>
      <c r="J7589" t="n">
        <v>0</v>
      </c>
      <c r="K7589" t="n">
        <v>0</v>
      </c>
      <c r="L7589" t="n">
        <v>0</v>
      </c>
      <c r="M7589" t="n">
        <v>0</v>
      </c>
      <c r="N7589" t="n">
        <v>0</v>
      </c>
      <c r="O7589" t="n">
        <v>0</v>
      </c>
      <c r="P7589" t="n">
        <v>0</v>
      </c>
      <c r="Q7589" t="n">
        <v>0</v>
      </c>
      <c r="R7589" t="n">
        <v>0</v>
      </c>
      <c r="S7589" t="n">
        <v>0</v>
      </c>
      <c r="T7589" t="n">
        <v>0</v>
      </c>
      <c r="U7589" t="n">
        <v>0</v>
      </c>
      <c r="V7589" s="2" t="inlineStr"/>
    </row>
    <row r="7590" ht="15" customHeight="1">
      <c r="A7590" t="inlineStr">
        <is>
          <t>A 21104-2026</t>
        </is>
      </c>
      <c r="B7590" t="inlineStr">
        <is>
          <t>avverkningsanmälan</t>
        </is>
      </c>
      <c r="C7590" t="inlineStr">
        <is>
          <t>Föryngringsavverkning</t>
        </is>
      </c>
      <c r="D7590" s="1" t="n">
        <v>46146</v>
      </c>
      <c r="E7590" s="1" t="n">
        <v>46326</v>
      </c>
      <c r="F7590" t="inlineStr">
        <is>
          <t>GÄVLEBORGS LÄN</t>
        </is>
      </c>
      <c r="G7590" t="inlineStr">
        <is>
          <t>BOLLNÄS</t>
        </is>
      </c>
      <c r="I7590" t="n">
        <v>2</v>
      </c>
      <c r="J7590" t="n">
        <v>0</v>
      </c>
      <c r="K7590" t="n">
        <v>0</v>
      </c>
      <c r="L7590" t="n">
        <v>0</v>
      </c>
      <c r="M7590" t="n">
        <v>0</v>
      </c>
      <c r="N7590" t="n">
        <v>0</v>
      </c>
      <c r="O7590" t="n">
        <v>0</v>
      </c>
      <c r="P7590" t="n">
        <v>0</v>
      </c>
      <c r="Q7590" t="n">
        <v>0</v>
      </c>
      <c r="R7590" t="n">
        <v>0</v>
      </c>
      <c r="S7590" t="n">
        <v>0</v>
      </c>
      <c r="T7590" t="n">
        <v>0</v>
      </c>
      <c r="U7590" t="n">
        <v>0</v>
      </c>
      <c r="V7590" s="2" t="inlineStr"/>
    </row>
    <row r="7591" ht="15" customHeight="1">
      <c r="A7591" t="inlineStr">
        <is>
          <t>A 57100-2024</t>
        </is>
      </c>
      <c r="B7591" t="inlineStr">
        <is>
          <t>avverkningsanmälan</t>
        </is>
      </c>
      <c r="C7591" t="inlineStr">
        <is>
          <t>Avverkning för annat ändamål</t>
        </is>
      </c>
      <c r="D7591" s="1" t="n">
        <v>45629</v>
      </c>
      <c r="E7591" s="1" t="n">
        <v>46326</v>
      </c>
      <c r="F7591" t="inlineStr">
        <is>
          <t>GÄVLEBORGS LÄN</t>
        </is>
      </c>
      <c r="G7591" t="inlineStr">
        <is>
          <t>OVANÅKER</t>
        </is>
      </c>
      <c r="H7591" t="inlineStr">
        <is>
          <t>Bergvik skog väst AB</t>
        </is>
      </c>
      <c r="I7591" t="n">
        <v>0.4</v>
      </c>
      <c r="J7591" t="n">
        <v>0</v>
      </c>
      <c r="K7591" t="n">
        <v>0</v>
      </c>
      <c r="L7591" t="n">
        <v>0</v>
      </c>
      <c r="M7591" t="n">
        <v>0</v>
      </c>
      <c r="N7591" t="n">
        <v>0</v>
      </c>
      <c r="O7591" t="n">
        <v>0</v>
      </c>
      <c r="P7591" t="n">
        <v>0</v>
      </c>
      <c r="Q7591" t="n">
        <v>0</v>
      </c>
      <c r="R7591" t="n">
        <v>0</v>
      </c>
      <c r="S7591" t="n">
        <v>0</v>
      </c>
      <c r="T7591" t="n">
        <v>0</v>
      </c>
      <c r="U7591" t="n">
        <v>0</v>
      </c>
      <c r="V7591" s="2" t="inlineStr"/>
    </row>
    <row r="7592" ht="15" customHeight="1">
      <c r="A7592" t="inlineStr">
        <is>
          <t>A 20806-2026</t>
        </is>
      </c>
      <c r="B7592" t="inlineStr">
        <is>
          <t>avverkningsanmälan</t>
        </is>
      </c>
      <c r="C7592" t="inlineStr">
        <is>
          <t>Föryngringsavverkning</t>
        </is>
      </c>
      <c r="D7592" s="1" t="n">
        <v>46141</v>
      </c>
      <c r="E7592" s="1" t="n">
        <v>46326</v>
      </c>
      <c r="F7592" t="inlineStr">
        <is>
          <t>GÄVLEBORGS LÄN</t>
        </is>
      </c>
      <c r="G7592" t="inlineStr">
        <is>
          <t>SÖDERHAMN</t>
        </is>
      </c>
      <c r="I7592" t="n">
        <v>1.9</v>
      </c>
      <c r="J7592" t="n">
        <v>0</v>
      </c>
      <c r="K7592" t="n">
        <v>0</v>
      </c>
      <c r="L7592" t="n">
        <v>0</v>
      </c>
      <c r="M7592" t="n">
        <v>0</v>
      </c>
      <c r="N7592" t="n">
        <v>0</v>
      </c>
      <c r="O7592" t="n">
        <v>0</v>
      </c>
      <c r="P7592" t="n">
        <v>0</v>
      </c>
      <c r="Q7592" t="n">
        <v>0</v>
      </c>
      <c r="R7592" t="n">
        <v>0</v>
      </c>
      <c r="S7592" t="n">
        <v>0</v>
      </c>
      <c r="T7592" t="n">
        <v>0</v>
      </c>
      <c r="U7592" t="n">
        <v>0</v>
      </c>
      <c r="V7592" s="2" t="inlineStr"/>
    </row>
    <row r="7593" ht="15" customHeight="1">
      <c r="A7593" t="inlineStr">
        <is>
          <t>A 43665-2023</t>
        </is>
      </c>
      <c r="B7593" t="inlineStr">
        <is>
          <t>avverkningsanmälan</t>
        </is>
      </c>
      <c r="C7593" t="inlineStr">
        <is>
          <t>Föryngringsavverkning</t>
        </is>
      </c>
      <c r="D7593" s="1" t="n">
        <v>45187</v>
      </c>
      <c r="E7593" s="1" t="n">
        <v>46326</v>
      </c>
      <c r="F7593" t="inlineStr">
        <is>
          <t>GÄVLEBORGS LÄN</t>
        </is>
      </c>
      <c r="G7593" t="inlineStr">
        <is>
          <t>HUDIKSVALL</t>
        </is>
      </c>
      <c r="H7593" t="inlineStr">
        <is>
          <t>Holmen skog AB</t>
        </is>
      </c>
      <c r="I7593" t="n">
        <v>8</v>
      </c>
      <c r="J7593" t="n">
        <v>0</v>
      </c>
      <c r="K7593" t="n">
        <v>0</v>
      </c>
      <c r="L7593" t="n">
        <v>0</v>
      </c>
      <c r="M7593" t="n">
        <v>0</v>
      </c>
      <c r="N7593" t="n">
        <v>0</v>
      </c>
      <c r="O7593" t="n">
        <v>0</v>
      </c>
      <c r="P7593" t="n">
        <v>0</v>
      </c>
      <c r="Q7593" t="n">
        <v>0</v>
      </c>
      <c r="R7593" t="n">
        <v>0</v>
      </c>
      <c r="S7593" t="n">
        <v>0</v>
      </c>
      <c r="T7593" t="n">
        <v>0</v>
      </c>
      <c r="U7593" t="n">
        <v>0</v>
      </c>
      <c r="V7593" s="2" t="inlineStr"/>
    </row>
    <row r="7594" ht="15" customHeight="1">
      <c r="A7594" t="inlineStr">
        <is>
          <t>A 58141-2024</t>
        </is>
      </c>
      <c r="B7594" t="inlineStr">
        <is>
          <t>avverkningsanmälan</t>
        </is>
      </c>
      <c r="C7594" t="inlineStr">
        <is>
          <t>Föryngringsavverkning</t>
        </is>
      </c>
      <c r="D7594" s="1" t="n">
        <v>45632</v>
      </c>
      <c r="E7594" s="1" t="n">
        <v>46326</v>
      </c>
      <c r="F7594" t="inlineStr">
        <is>
          <t>GÄVLEBORGS LÄN</t>
        </is>
      </c>
      <c r="G7594" t="inlineStr">
        <is>
          <t>SÖDERHAMN</t>
        </is>
      </c>
      <c r="H7594" t="inlineStr">
        <is>
          <t>Bergvik skog väst AB</t>
        </is>
      </c>
      <c r="I7594" t="n">
        <v>1.1</v>
      </c>
      <c r="J7594" t="n">
        <v>0</v>
      </c>
      <c r="K7594" t="n">
        <v>0</v>
      </c>
      <c r="L7594" t="n">
        <v>0</v>
      </c>
      <c r="M7594" t="n">
        <v>0</v>
      </c>
      <c r="N7594" t="n">
        <v>0</v>
      </c>
      <c r="O7594" t="n">
        <v>0</v>
      </c>
      <c r="P7594" t="n">
        <v>0</v>
      </c>
      <c r="Q7594" t="n">
        <v>0</v>
      </c>
      <c r="R7594" t="n">
        <v>0</v>
      </c>
      <c r="S7594" t="n">
        <v>0</v>
      </c>
      <c r="T7594" t="n">
        <v>0</v>
      </c>
      <c r="U7594" t="n">
        <v>0</v>
      </c>
      <c r="V7594" s="2" t="inlineStr"/>
    </row>
    <row r="7595" ht="15" customHeight="1">
      <c r="A7595" t="inlineStr">
        <is>
          <t>A 17082-2026</t>
        </is>
      </c>
      <c r="B7595" t="inlineStr">
        <is>
          <t>avverkningsanmälan</t>
        </is>
      </c>
      <c r="C7595" t="inlineStr">
        <is>
          <t>Föryngringsavverkning</t>
        </is>
      </c>
      <c r="D7595" s="1" t="n">
        <v>46114</v>
      </c>
      <c r="E7595" s="1" t="n">
        <v>46326</v>
      </c>
      <c r="F7595" t="inlineStr">
        <is>
          <t>GÄVLEBORGS LÄN</t>
        </is>
      </c>
      <c r="G7595" t="inlineStr">
        <is>
          <t>HUDIKSVALL</t>
        </is>
      </c>
      <c r="I7595" t="n">
        <v>1.4</v>
      </c>
      <c r="J7595" t="n">
        <v>0</v>
      </c>
      <c r="K7595" t="n">
        <v>0</v>
      </c>
      <c r="L7595" t="n">
        <v>0</v>
      </c>
      <c r="M7595" t="n">
        <v>0</v>
      </c>
      <c r="N7595" t="n">
        <v>0</v>
      </c>
      <c r="O7595" t="n">
        <v>0</v>
      </c>
      <c r="P7595" t="n">
        <v>0</v>
      </c>
      <c r="Q7595" t="n">
        <v>0</v>
      </c>
      <c r="R7595" t="n">
        <v>0</v>
      </c>
      <c r="S7595" t="n">
        <v>0</v>
      </c>
      <c r="T7595" t="n">
        <v>0</v>
      </c>
      <c r="U7595" t="n">
        <v>0</v>
      </c>
      <c r="V7595" s="2" t="inlineStr"/>
    </row>
    <row r="7596" ht="15" customHeight="1">
      <c r="A7596" t="inlineStr">
        <is>
          <t>A 18097-2026</t>
        </is>
      </c>
      <c r="B7596" t="inlineStr">
        <is>
          <t>avverkningsanmälan</t>
        </is>
      </c>
      <c r="C7596" t="inlineStr">
        <is>
          <t>Avverkning för annat ändamål</t>
        </is>
      </c>
      <c r="D7596" s="1" t="n">
        <v>46125</v>
      </c>
      <c r="E7596" s="1" t="n">
        <v>46326</v>
      </c>
      <c r="F7596" t="inlineStr">
        <is>
          <t>GÄVLEBORGS LÄN</t>
        </is>
      </c>
      <c r="G7596" t="inlineStr">
        <is>
          <t>OCKELBO</t>
        </is>
      </c>
      <c r="H7596" t="inlineStr">
        <is>
          <t>Bergvik skog väst AB</t>
        </is>
      </c>
      <c r="I7596" t="n">
        <v>12.6</v>
      </c>
      <c r="J7596" t="n">
        <v>0</v>
      </c>
      <c r="K7596" t="n">
        <v>0</v>
      </c>
      <c r="L7596" t="n">
        <v>0</v>
      </c>
      <c r="M7596" t="n">
        <v>0</v>
      </c>
      <c r="N7596" t="n">
        <v>0</v>
      </c>
      <c r="O7596" t="n">
        <v>0</v>
      </c>
      <c r="P7596" t="n">
        <v>0</v>
      </c>
      <c r="Q7596" t="n">
        <v>0</v>
      </c>
      <c r="R7596" t="n">
        <v>0</v>
      </c>
      <c r="S7596" t="n">
        <v>0</v>
      </c>
      <c r="T7596" t="n">
        <v>0</v>
      </c>
      <c r="U7596" t="n">
        <v>0</v>
      </c>
      <c r="V7596" s="2" t="inlineStr"/>
    </row>
    <row r="7597" ht="15" customHeight="1">
      <c r="A7597" t="inlineStr">
        <is>
          <t>A 20116-2026</t>
        </is>
      </c>
      <c r="B7597" t="inlineStr">
        <is>
          <t>avverkningsanmälan</t>
        </is>
      </c>
      <c r="C7597" t="inlineStr">
        <is>
          <t>Föryngringsavverkning</t>
        </is>
      </c>
      <c r="D7597" s="1" t="n">
        <v>46136</v>
      </c>
      <c r="E7597" s="1" t="n">
        <v>46326</v>
      </c>
      <c r="F7597" t="inlineStr">
        <is>
          <t>GÄVLEBORGS LÄN</t>
        </is>
      </c>
      <c r="G7597" t="inlineStr">
        <is>
          <t>OVANÅKER</t>
        </is>
      </c>
      <c r="I7597" t="n">
        <v>5.9</v>
      </c>
      <c r="J7597" t="n">
        <v>0</v>
      </c>
      <c r="K7597" t="n">
        <v>0</v>
      </c>
      <c r="L7597" t="n">
        <v>0</v>
      </c>
      <c r="M7597" t="n">
        <v>0</v>
      </c>
      <c r="N7597" t="n">
        <v>0</v>
      </c>
      <c r="O7597" t="n">
        <v>0</v>
      </c>
      <c r="P7597" t="n">
        <v>0</v>
      </c>
      <c r="Q7597" t="n">
        <v>0</v>
      </c>
      <c r="R7597" t="n">
        <v>0</v>
      </c>
      <c r="S7597" t="n">
        <v>0</v>
      </c>
      <c r="T7597" t="n">
        <v>0</v>
      </c>
      <c r="U7597" t="n">
        <v>0</v>
      </c>
      <c r="V7597" s="2" t="inlineStr"/>
    </row>
    <row r="7598" ht="15" customHeight="1">
      <c r="A7598" t="inlineStr">
        <is>
          <t>A 21295-2026</t>
        </is>
      </c>
      <c r="B7598" t="inlineStr">
        <is>
          <t>avverkningsanmälan</t>
        </is>
      </c>
      <c r="C7598" t="inlineStr">
        <is>
          <t>Föryngringsavverkning</t>
        </is>
      </c>
      <c r="D7598" s="1" t="n">
        <v>46147</v>
      </c>
      <c r="E7598" s="1" t="n">
        <v>46326</v>
      </c>
      <c r="F7598" t="inlineStr">
        <is>
          <t>GÄVLEBORGS LÄN</t>
        </is>
      </c>
      <c r="G7598" t="inlineStr">
        <is>
          <t>SANDVIKEN</t>
        </is>
      </c>
      <c r="H7598" t="inlineStr">
        <is>
          <t>Kommuner</t>
        </is>
      </c>
      <c r="I7598" t="n">
        <v>3.8</v>
      </c>
      <c r="J7598" t="n">
        <v>0</v>
      </c>
      <c r="K7598" t="n">
        <v>0</v>
      </c>
      <c r="L7598" t="n">
        <v>0</v>
      </c>
      <c r="M7598" t="n">
        <v>0</v>
      </c>
      <c r="N7598" t="n">
        <v>0</v>
      </c>
      <c r="O7598" t="n">
        <v>0</v>
      </c>
      <c r="P7598" t="n">
        <v>0</v>
      </c>
      <c r="Q7598" t="n">
        <v>0</v>
      </c>
      <c r="R7598" t="n">
        <v>0</v>
      </c>
      <c r="S7598" t="n">
        <v>0</v>
      </c>
      <c r="T7598" t="n">
        <v>0</v>
      </c>
      <c r="U7598" t="n">
        <v>0</v>
      </c>
      <c r="V7598" s="2" t="inlineStr"/>
    </row>
    <row r="7599" ht="15" customHeight="1">
      <c r="A7599" t="inlineStr">
        <is>
          <t>A 21309-2026</t>
        </is>
      </c>
      <c r="B7599" t="inlineStr">
        <is>
          <t>avverkningsanmälan</t>
        </is>
      </c>
      <c r="C7599" t="inlineStr">
        <is>
          <t>Föryngringsavverkning</t>
        </is>
      </c>
      <c r="D7599" s="1" t="n">
        <v>46147</v>
      </c>
      <c r="E7599" s="1" t="n">
        <v>46326</v>
      </c>
      <c r="F7599" t="inlineStr">
        <is>
          <t>GÄVLEBORGS LÄN</t>
        </is>
      </c>
      <c r="G7599" t="inlineStr">
        <is>
          <t>BOLLNÄS</t>
        </is>
      </c>
      <c r="H7599" t="inlineStr">
        <is>
          <t>Bergvik skog väst AB</t>
        </is>
      </c>
      <c r="I7599" t="n">
        <v>1.9</v>
      </c>
      <c r="J7599" t="n">
        <v>0</v>
      </c>
      <c r="K7599" t="n">
        <v>0</v>
      </c>
      <c r="L7599" t="n">
        <v>0</v>
      </c>
      <c r="M7599" t="n">
        <v>0</v>
      </c>
      <c r="N7599" t="n">
        <v>0</v>
      </c>
      <c r="O7599" t="n">
        <v>0</v>
      </c>
      <c r="P7599" t="n">
        <v>0</v>
      </c>
      <c r="Q7599" t="n">
        <v>0</v>
      </c>
      <c r="R7599" t="n">
        <v>0</v>
      </c>
      <c r="S7599" t="n">
        <v>0</v>
      </c>
      <c r="T7599" t="n">
        <v>0</v>
      </c>
      <c r="U7599" t="n">
        <v>0</v>
      </c>
      <c r="V7599" s="2" t="inlineStr"/>
    </row>
    <row r="7600" ht="15" customHeight="1">
      <c r="A7600" t="inlineStr">
        <is>
          <t>A 21313-2026</t>
        </is>
      </c>
      <c r="B7600" t="inlineStr">
        <is>
          <t>avverkningsanmälan</t>
        </is>
      </c>
      <c r="C7600" t="inlineStr">
        <is>
          <t>Föryngringsavverkning</t>
        </is>
      </c>
      <c r="D7600" s="1" t="n">
        <v>46147</v>
      </c>
      <c r="E7600" s="1" t="n">
        <v>46326</v>
      </c>
      <c r="F7600" t="inlineStr">
        <is>
          <t>GÄVLEBORGS LÄN</t>
        </is>
      </c>
      <c r="G7600" t="inlineStr">
        <is>
          <t>BOLLNÄS</t>
        </is>
      </c>
      <c r="H7600" t="inlineStr">
        <is>
          <t>Bergvik skog väst AB</t>
        </is>
      </c>
      <c r="I7600" t="n">
        <v>2.5</v>
      </c>
      <c r="J7600" t="n">
        <v>0</v>
      </c>
      <c r="K7600" t="n">
        <v>0</v>
      </c>
      <c r="L7600" t="n">
        <v>0</v>
      </c>
      <c r="M7600" t="n">
        <v>0</v>
      </c>
      <c r="N7600" t="n">
        <v>0</v>
      </c>
      <c r="O7600" t="n">
        <v>0</v>
      </c>
      <c r="P7600" t="n">
        <v>0</v>
      </c>
      <c r="Q7600" t="n">
        <v>0</v>
      </c>
      <c r="R7600" t="n">
        <v>0</v>
      </c>
      <c r="S7600" t="n">
        <v>0</v>
      </c>
      <c r="T7600" t="n">
        <v>0</v>
      </c>
      <c r="U7600" t="n">
        <v>0</v>
      </c>
      <c r="V7600" s="2" t="inlineStr"/>
    </row>
    <row r="7601" ht="15" customHeight="1">
      <c r="A7601" t="inlineStr">
        <is>
          <t>A 21251-2023</t>
        </is>
      </c>
      <c r="B7601" t="inlineStr">
        <is>
          <t>avverkningsanmälan</t>
        </is>
      </c>
      <c r="C7601" t="inlineStr">
        <is>
          <t>Avverkning för annat ändamål</t>
        </is>
      </c>
      <c r="D7601" s="1" t="n">
        <v>45062</v>
      </c>
      <c r="E7601" s="1" t="n">
        <v>46326</v>
      </c>
      <c r="F7601" t="inlineStr">
        <is>
          <t>GÄVLEBORGS LÄN</t>
        </is>
      </c>
      <c r="G7601" t="inlineStr">
        <is>
          <t>HUDIKSVALL</t>
        </is>
      </c>
      <c r="I7601" t="n">
        <v>0.6</v>
      </c>
      <c r="J7601" t="n">
        <v>0</v>
      </c>
      <c r="K7601" t="n">
        <v>0</v>
      </c>
      <c r="L7601" t="n">
        <v>0</v>
      </c>
      <c r="M7601" t="n">
        <v>0</v>
      </c>
      <c r="N7601" t="n">
        <v>0</v>
      </c>
      <c r="O7601" t="n">
        <v>0</v>
      </c>
      <c r="P7601" t="n">
        <v>0</v>
      </c>
      <c r="Q7601" t="n">
        <v>0</v>
      </c>
      <c r="R7601" t="n">
        <v>0</v>
      </c>
      <c r="S7601" t="n">
        <v>0</v>
      </c>
      <c r="T7601" t="n">
        <v>0</v>
      </c>
      <c r="U7601" t="n">
        <v>0</v>
      </c>
      <c r="V7601" s="2" t="inlineStr"/>
    </row>
    <row r="7602" ht="15" customHeight="1">
      <c r="A7602" t="inlineStr">
        <is>
          <t>A 21283-2023</t>
        </is>
      </c>
      <c r="B7602" t="inlineStr">
        <is>
          <t>avverkningsanmälan</t>
        </is>
      </c>
      <c r="C7602" t="inlineStr">
        <is>
          <t>Föryngringsavverkning</t>
        </is>
      </c>
      <c r="D7602" s="1" t="n">
        <v>45062</v>
      </c>
      <c r="E7602" s="1" t="n">
        <v>46326</v>
      </c>
      <c r="F7602" t="inlineStr">
        <is>
          <t>GÄVLEBORGS LÄN</t>
        </is>
      </c>
      <c r="G7602" t="inlineStr">
        <is>
          <t>SÖDERHAMN</t>
        </is>
      </c>
      <c r="I7602" t="n">
        <v>1.5</v>
      </c>
      <c r="J7602" t="n">
        <v>0</v>
      </c>
      <c r="K7602" t="n">
        <v>0</v>
      </c>
      <c r="L7602" t="n">
        <v>0</v>
      </c>
      <c r="M7602" t="n">
        <v>0</v>
      </c>
      <c r="N7602" t="n">
        <v>0</v>
      </c>
      <c r="O7602" t="n">
        <v>0</v>
      </c>
      <c r="P7602" t="n">
        <v>0</v>
      </c>
      <c r="Q7602" t="n">
        <v>0</v>
      </c>
      <c r="R7602" t="n">
        <v>0</v>
      </c>
      <c r="S7602" t="n">
        <v>0</v>
      </c>
      <c r="T7602" t="n">
        <v>0</v>
      </c>
      <c r="U7602" t="n">
        <v>0</v>
      </c>
      <c r="V7602" s="2" t="inlineStr"/>
    </row>
    <row r="7603" ht="15" customHeight="1">
      <c r="A7603" t="inlineStr">
        <is>
          <t>A 21055-2026</t>
        </is>
      </c>
      <c r="B7603" t="inlineStr">
        <is>
          <t>avverkningsanmälan</t>
        </is>
      </c>
      <c r="C7603" t="inlineStr">
        <is>
          <t>Föryngringsavverkning</t>
        </is>
      </c>
      <c r="D7603" s="1" t="n">
        <v>46146</v>
      </c>
      <c r="E7603" s="1" t="n">
        <v>46326</v>
      </c>
      <c r="F7603" t="inlineStr">
        <is>
          <t>GÄVLEBORGS LÄN</t>
        </is>
      </c>
      <c r="G7603" t="inlineStr">
        <is>
          <t>NORDANSTIG</t>
        </is>
      </c>
      <c r="I7603" t="n">
        <v>1.1</v>
      </c>
      <c r="J7603" t="n">
        <v>0</v>
      </c>
      <c r="K7603" t="n">
        <v>0</v>
      </c>
      <c r="L7603" t="n">
        <v>0</v>
      </c>
      <c r="M7603" t="n">
        <v>0</v>
      </c>
      <c r="N7603" t="n">
        <v>0</v>
      </c>
      <c r="O7603" t="n">
        <v>0</v>
      </c>
      <c r="P7603" t="n">
        <v>0</v>
      </c>
      <c r="Q7603" t="n">
        <v>0</v>
      </c>
      <c r="R7603" t="n">
        <v>0</v>
      </c>
      <c r="S7603" t="n">
        <v>0</v>
      </c>
      <c r="T7603" t="n">
        <v>0</v>
      </c>
      <c r="U7603" t="n">
        <v>0</v>
      </c>
      <c r="V7603" s="2" t="inlineStr"/>
    </row>
    <row r="7604" ht="15" customHeight="1">
      <c r="A7604" t="inlineStr">
        <is>
          <t>A 21059-2026</t>
        </is>
      </c>
      <c r="B7604" t="inlineStr">
        <is>
          <t>avverkningsanmälan</t>
        </is>
      </c>
      <c r="C7604" t="inlineStr">
        <is>
          <t>Föryngringsavverkning</t>
        </is>
      </c>
      <c r="D7604" s="1" t="n">
        <v>46146</v>
      </c>
      <c r="E7604" s="1" t="n">
        <v>46326</v>
      </c>
      <c r="F7604" t="inlineStr">
        <is>
          <t>GÄVLEBORGS LÄN</t>
        </is>
      </c>
      <c r="G7604" t="inlineStr">
        <is>
          <t>SÖDERHAMN</t>
        </is>
      </c>
      <c r="I7604" t="n">
        <v>2.8</v>
      </c>
      <c r="J7604" t="n">
        <v>0</v>
      </c>
      <c r="K7604" t="n">
        <v>0</v>
      </c>
      <c r="L7604" t="n">
        <v>0</v>
      </c>
      <c r="M7604" t="n">
        <v>0</v>
      </c>
      <c r="N7604" t="n">
        <v>0</v>
      </c>
      <c r="O7604" t="n">
        <v>0</v>
      </c>
      <c r="P7604" t="n">
        <v>0</v>
      </c>
      <c r="Q7604" t="n">
        <v>0</v>
      </c>
      <c r="R7604" t="n">
        <v>0</v>
      </c>
      <c r="S7604" t="n">
        <v>0</v>
      </c>
      <c r="T7604" t="n">
        <v>0</v>
      </c>
      <c r="U7604" t="n">
        <v>0</v>
      </c>
      <c r="V7604" s="2" t="inlineStr"/>
    </row>
    <row r="7605" ht="15" customHeight="1">
      <c r="A7605" t="inlineStr">
        <is>
          <t>A 21072-2026</t>
        </is>
      </c>
      <c r="B7605" t="inlineStr">
        <is>
          <t>avverkningsanmälan</t>
        </is>
      </c>
      <c r="C7605" t="inlineStr">
        <is>
          <t>Föryngringsavverkning</t>
        </is>
      </c>
      <c r="D7605" s="1" t="n">
        <v>46146</v>
      </c>
      <c r="E7605" s="1" t="n">
        <v>46326</v>
      </c>
      <c r="F7605" t="inlineStr">
        <is>
          <t>GÄVLEBORGS LÄN</t>
        </is>
      </c>
      <c r="G7605" t="inlineStr">
        <is>
          <t>LJUSDAL</t>
        </is>
      </c>
      <c r="H7605" t="inlineStr">
        <is>
          <t>Allmännings- och besparingsskogar</t>
        </is>
      </c>
      <c r="I7605" t="n">
        <v>13.6</v>
      </c>
      <c r="J7605" t="n">
        <v>0</v>
      </c>
      <c r="K7605" t="n">
        <v>0</v>
      </c>
      <c r="L7605" t="n">
        <v>0</v>
      </c>
      <c r="M7605" t="n">
        <v>0</v>
      </c>
      <c r="N7605" t="n">
        <v>0</v>
      </c>
      <c r="O7605" t="n">
        <v>0</v>
      </c>
      <c r="P7605" t="n">
        <v>0</v>
      </c>
      <c r="Q7605" t="n">
        <v>0</v>
      </c>
      <c r="R7605" t="n">
        <v>0</v>
      </c>
      <c r="S7605" t="n">
        <v>0</v>
      </c>
      <c r="T7605" t="n">
        <v>0</v>
      </c>
      <c r="U7605" t="n">
        <v>0</v>
      </c>
      <c r="V7605" s="2" t="inlineStr"/>
    </row>
    <row r="7606" ht="15" customHeight="1">
      <c r="A7606" t="inlineStr">
        <is>
          <t>A 23985-2022</t>
        </is>
      </c>
      <c r="B7606" t="inlineStr">
        <is>
          <t>avverkningsanmälan</t>
        </is>
      </c>
      <c r="C7606" t="inlineStr">
        <is>
          <t>Föryngringsavverkning</t>
        </is>
      </c>
      <c r="D7606" s="1" t="n">
        <v>44722</v>
      </c>
      <c r="E7606" s="1" t="n">
        <v>46326</v>
      </c>
      <c r="F7606" t="inlineStr">
        <is>
          <t>GÄVLEBORGS LÄN</t>
        </is>
      </c>
      <c r="G7606" t="inlineStr">
        <is>
          <t>LJUSDAL</t>
        </is>
      </c>
      <c r="I7606" t="n">
        <v>6.6</v>
      </c>
      <c r="J7606" t="n">
        <v>0</v>
      </c>
      <c r="K7606" t="n">
        <v>0</v>
      </c>
      <c r="L7606" t="n">
        <v>0</v>
      </c>
      <c r="M7606" t="n">
        <v>0</v>
      </c>
      <c r="N7606" t="n">
        <v>0</v>
      </c>
      <c r="O7606" t="n">
        <v>0</v>
      </c>
      <c r="P7606" t="n">
        <v>0</v>
      </c>
      <c r="Q7606" t="n">
        <v>0</v>
      </c>
      <c r="R7606" t="n">
        <v>0</v>
      </c>
      <c r="S7606" t="n">
        <v>0</v>
      </c>
      <c r="T7606" t="n">
        <v>0</v>
      </c>
      <c r="U7606" t="n">
        <v>0</v>
      </c>
      <c r="V7606" s="2" t="inlineStr"/>
    </row>
    <row r="7607" ht="15" customHeight="1">
      <c r="A7607" t="inlineStr">
        <is>
          <t>A 18828-2024</t>
        </is>
      </c>
      <c r="B7607" t="inlineStr">
        <is>
          <t>avverkningsanmälan</t>
        </is>
      </c>
      <c r="C7607" t="inlineStr">
        <is>
          <t>Föryngringsavverkning</t>
        </is>
      </c>
      <c r="D7607" s="1" t="n">
        <v>45426</v>
      </c>
      <c r="E7607" s="1" t="n">
        <v>46326</v>
      </c>
      <c r="F7607" t="inlineStr">
        <is>
          <t>GÄVLEBORGS LÄN</t>
        </is>
      </c>
      <c r="G7607" t="inlineStr">
        <is>
          <t>HUDIKSVALL</t>
        </is>
      </c>
      <c r="I7607" t="n">
        <v>0.6</v>
      </c>
      <c r="J7607" t="n">
        <v>0</v>
      </c>
      <c r="K7607" t="n">
        <v>0</v>
      </c>
      <c r="L7607" t="n">
        <v>0</v>
      </c>
      <c r="M7607" t="n">
        <v>0</v>
      </c>
      <c r="N7607" t="n">
        <v>0</v>
      </c>
      <c r="O7607" t="n">
        <v>0</v>
      </c>
      <c r="P7607" t="n">
        <v>0</v>
      </c>
      <c r="Q7607" t="n">
        <v>0</v>
      </c>
      <c r="R7607" t="n">
        <v>0</v>
      </c>
      <c r="S7607" t="n">
        <v>0</v>
      </c>
      <c r="T7607" t="n">
        <v>0</v>
      </c>
      <c r="U7607" t="n">
        <v>0</v>
      </c>
      <c r="V7607" s="2" t="inlineStr"/>
    </row>
    <row r="7608" ht="15" customHeight="1">
      <c r="A7608" t="inlineStr">
        <is>
          <t>A 21343-2026</t>
        </is>
      </c>
      <c r="B7608" t="inlineStr">
        <is>
          <t>avverkningsanmälan</t>
        </is>
      </c>
      <c r="C7608" t="inlineStr">
        <is>
          <t>Föryngringsavverkning</t>
        </is>
      </c>
      <c r="D7608" s="1" t="n">
        <v>46147</v>
      </c>
      <c r="E7608" s="1" t="n">
        <v>46326</v>
      </c>
      <c r="F7608" t="inlineStr">
        <is>
          <t>GÄVLEBORGS LÄN</t>
        </is>
      </c>
      <c r="G7608" t="inlineStr">
        <is>
          <t>SANDVIKEN</t>
        </is>
      </c>
      <c r="H7608" t="inlineStr">
        <is>
          <t>Kommuner</t>
        </is>
      </c>
      <c r="I7608" t="n">
        <v>3.1</v>
      </c>
      <c r="J7608" t="n">
        <v>0</v>
      </c>
      <c r="K7608" t="n">
        <v>0</v>
      </c>
      <c r="L7608" t="n">
        <v>0</v>
      </c>
      <c r="M7608" t="n">
        <v>0</v>
      </c>
      <c r="N7608" t="n">
        <v>0</v>
      </c>
      <c r="O7608" t="n">
        <v>0</v>
      </c>
      <c r="P7608" t="n">
        <v>0</v>
      </c>
      <c r="Q7608" t="n">
        <v>0</v>
      </c>
      <c r="R7608" t="n">
        <v>0</v>
      </c>
      <c r="S7608" t="n">
        <v>0</v>
      </c>
      <c r="T7608" t="n">
        <v>0</v>
      </c>
      <c r="U7608" t="n">
        <v>0</v>
      </c>
      <c r="V7608" s="2" t="inlineStr"/>
    </row>
    <row r="7609" ht="15" customHeight="1">
      <c r="A7609" t="inlineStr">
        <is>
          <t>A 2862-2026</t>
        </is>
      </c>
      <c r="B7609" t="inlineStr">
        <is>
          <t>avverkningsanmälan</t>
        </is>
      </c>
      <c r="C7609" t="inlineStr">
        <is>
          <t>Föryngringsavverkning</t>
        </is>
      </c>
      <c r="D7609" s="1" t="n">
        <v>46038</v>
      </c>
      <c r="E7609" s="1" t="n">
        <v>46326</v>
      </c>
      <c r="F7609" t="inlineStr">
        <is>
          <t>GÄVLEBORGS LÄN</t>
        </is>
      </c>
      <c r="G7609" t="inlineStr">
        <is>
          <t>NORDANSTIG</t>
        </is>
      </c>
      <c r="I7609" t="n">
        <v>4.4</v>
      </c>
      <c r="J7609" t="n">
        <v>0</v>
      </c>
      <c r="K7609" t="n">
        <v>0</v>
      </c>
      <c r="L7609" t="n">
        <v>0</v>
      </c>
      <c r="M7609" t="n">
        <v>0</v>
      </c>
      <c r="N7609" t="n">
        <v>0</v>
      </c>
      <c r="O7609" t="n">
        <v>0</v>
      </c>
      <c r="P7609" t="n">
        <v>0</v>
      </c>
      <c r="Q7609" t="n">
        <v>0</v>
      </c>
      <c r="R7609" t="n">
        <v>0</v>
      </c>
      <c r="S7609" t="n">
        <v>0</v>
      </c>
      <c r="T7609" t="n">
        <v>0</v>
      </c>
      <c r="U7609" t="n">
        <v>0</v>
      </c>
      <c r="V7609" s="2" t="inlineStr"/>
    </row>
    <row r="7610" ht="15" customHeight="1">
      <c r="A7610" t="inlineStr">
        <is>
          <t>A 2905-2026</t>
        </is>
      </c>
      <c r="B7610" t="inlineStr">
        <is>
          <t>avverkningsanmälan</t>
        </is>
      </c>
      <c r="C7610" t="inlineStr">
        <is>
          <t>Föryngringsavverkning</t>
        </is>
      </c>
      <c r="D7610" s="1" t="n">
        <v>46038</v>
      </c>
      <c r="E7610" s="1" t="n">
        <v>46326</v>
      </c>
      <c r="F7610" t="inlineStr">
        <is>
          <t>GÄVLEBORGS LÄN</t>
        </is>
      </c>
      <c r="G7610" t="inlineStr">
        <is>
          <t>SANDVIKEN</t>
        </is>
      </c>
      <c r="I7610" t="n">
        <v>4.2</v>
      </c>
      <c r="J7610" t="n">
        <v>0</v>
      </c>
      <c r="K7610" t="n">
        <v>0</v>
      </c>
      <c r="L7610" t="n">
        <v>0</v>
      </c>
      <c r="M7610" t="n">
        <v>0</v>
      </c>
      <c r="N7610" t="n">
        <v>0</v>
      </c>
      <c r="O7610" t="n">
        <v>0</v>
      </c>
      <c r="P7610" t="n">
        <v>0</v>
      </c>
      <c r="Q7610" t="n">
        <v>0</v>
      </c>
      <c r="R7610" t="n">
        <v>0</v>
      </c>
      <c r="S7610" t="n">
        <v>0</v>
      </c>
      <c r="T7610" t="n">
        <v>0</v>
      </c>
      <c r="U7610" t="n">
        <v>0</v>
      </c>
      <c r="V7610" s="2" t="inlineStr"/>
    </row>
    <row r="7611" ht="15" customHeight="1">
      <c r="A7611" t="inlineStr">
        <is>
          <t>A 21280-2026</t>
        </is>
      </c>
      <c r="B7611" t="inlineStr">
        <is>
          <t>avverkningsanmälan</t>
        </is>
      </c>
      <c r="C7611" t="inlineStr">
        <is>
          <t>Föryngringsavverkning</t>
        </is>
      </c>
      <c r="D7611" s="1" t="n">
        <v>46147</v>
      </c>
      <c r="E7611" s="1" t="n">
        <v>46326</v>
      </c>
      <c r="F7611" t="inlineStr">
        <is>
          <t>GÄVLEBORGS LÄN</t>
        </is>
      </c>
      <c r="G7611" t="inlineStr">
        <is>
          <t>OCKELBO</t>
        </is>
      </c>
      <c r="H7611" t="inlineStr">
        <is>
          <t>Bergvik skog öst AB</t>
        </is>
      </c>
      <c r="I7611" t="n">
        <v>1.8</v>
      </c>
      <c r="J7611" t="n">
        <v>0</v>
      </c>
      <c r="K7611" t="n">
        <v>0</v>
      </c>
      <c r="L7611" t="n">
        <v>0</v>
      </c>
      <c r="M7611" t="n">
        <v>0</v>
      </c>
      <c r="N7611" t="n">
        <v>0</v>
      </c>
      <c r="O7611" t="n">
        <v>0</v>
      </c>
      <c r="P7611" t="n">
        <v>0</v>
      </c>
      <c r="Q7611" t="n">
        <v>0</v>
      </c>
      <c r="R7611" t="n">
        <v>0</v>
      </c>
      <c r="S7611" t="n">
        <v>0</v>
      </c>
      <c r="T7611" t="n">
        <v>0</v>
      </c>
      <c r="U7611" t="n">
        <v>0</v>
      </c>
      <c r="V7611" s="2" t="inlineStr"/>
    </row>
    <row r="7612" ht="15" customHeight="1">
      <c r="A7612" t="inlineStr">
        <is>
          <t>A 63309-2023</t>
        </is>
      </c>
      <c r="B7612" t="inlineStr">
        <is>
          <t>avverkningsanmälan</t>
        </is>
      </c>
      <c r="C7612" t="inlineStr">
        <is>
          <t>Föryngringsavverkning</t>
        </is>
      </c>
      <c r="D7612" s="1" t="n">
        <v>45274</v>
      </c>
      <c r="E7612" s="1" t="n">
        <v>46326</v>
      </c>
      <c r="F7612" t="inlineStr">
        <is>
          <t>GÄVLEBORGS LÄN</t>
        </is>
      </c>
      <c r="G7612" t="inlineStr">
        <is>
          <t>SANDVIKEN</t>
        </is>
      </c>
      <c r="I7612" t="n">
        <v>3.4</v>
      </c>
      <c r="J7612" t="n">
        <v>0</v>
      </c>
      <c r="K7612" t="n">
        <v>0</v>
      </c>
      <c r="L7612" t="n">
        <v>0</v>
      </c>
      <c r="M7612" t="n">
        <v>0</v>
      </c>
      <c r="N7612" t="n">
        <v>0</v>
      </c>
      <c r="O7612" t="n">
        <v>0</v>
      </c>
      <c r="P7612" t="n">
        <v>0</v>
      </c>
      <c r="Q7612" t="n">
        <v>0</v>
      </c>
      <c r="R7612" t="n">
        <v>0</v>
      </c>
      <c r="S7612" t="n">
        <v>0</v>
      </c>
      <c r="T7612" t="n">
        <v>0</v>
      </c>
      <c r="U7612" t="n">
        <v>0</v>
      </c>
      <c r="V7612" s="2" t="inlineStr"/>
    </row>
    <row r="7613" ht="15" customHeight="1">
      <c r="A7613" t="inlineStr">
        <is>
          <t>A 21277-2026</t>
        </is>
      </c>
      <c r="B7613" t="inlineStr">
        <is>
          <t>avverkningsanmälan</t>
        </is>
      </c>
      <c r="C7613" t="inlineStr">
        <is>
          <t>Föryngringsavverkning</t>
        </is>
      </c>
      <c r="D7613" s="1" t="n">
        <v>46147</v>
      </c>
      <c r="E7613" s="1" t="n">
        <v>46326</v>
      </c>
      <c r="F7613" t="inlineStr">
        <is>
          <t>GÄVLEBORGS LÄN</t>
        </is>
      </c>
      <c r="G7613" t="inlineStr">
        <is>
          <t>OCKELBO</t>
        </is>
      </c>
      <c r="H7613" t="inlineStr">
        <is>
          <t>Bergvik skog öst AB</t>
        </is>
      </c>
      <c r="I7613" t="n">
        <v>2.4</v>
      </c>
      <c r="J7613" t="n">
        <v>0</v>
      </c>
      <c r="K7613" t="n">
        <v>0</v>
      </c>
      <c r="L7613" t="n">
        <v>0</v>
      </c>
      <c r="M7613" t="n">
        <v>0</v>
      </c>
      <c r="N7613" t="n">
        <v>0</v>
      </c>
      <c r="O7613" t="n">
        <v>0</v>
      </c>
      <c r="P7613" t="n">
        <v>0</v>
      </c>
      <c r="Q7613" t="n">
        <v>0</v>
      </c>
      <c r="R7613" t="n">
        <v>0</v>
      </c>
      <c r="S7613" t="n">
        <v>0</v>
      </c>
      <c r="T7613" t="n">
        <v>0</v>
      </c>
      <c r="U7613" t="n">
        <v>0</v>
      </c>
      <c r="V7613" s="2" t="inlineStr"/>
    </row>
    <row r="7614" ht="15" customHeight="1">
      <c r="A7614" t="inlineStr">
        <is>
          <t>A 6349-2026</t>
        </is>
      </c>
      <c r="B7614" t="inlineStr">
        <is>
          <t>avverkningsanmälan</t>
        </is>
      </c>
      <c r="C7614" t="inlineStr">
        <is>
          <t>Föryngringsavverkning</t>
        </is>
      </c>
      <c r="D7614" s="1" t="n">
        <v>46055</v>
      </c>
      <c r="E7614" s="1" t="n">
        <v>46326</v>
      </c>
      <c r="F7614" t="inlineStr">
        <is>
          <t>GÄVLEBORGS LÄN</t>
        </is>
      </c>
      <c r="G7614" t="inlineStr">
        <is>
          <t>NORDANSTIG</t>
        </is>
      </c>
      <c r="I7614" t="n">
        <v>5.4</v>
      </c>
      <c r="J7614" t="n">
        <v>0</v>
      </c>
      <c r="K7614" t="n">
        <v>0</v>
      </c>
      <c r="L7614" t="n">
        <v>0</v>
      </c>
      <c r="M7614" t="n">
        <v>0</v>
      </c>
      <c r="N7614" t="n">
        <v>0</v>
      </c>
      <c r="O7614" t="n">
        <v>0</v>
      </c>
      <c r="P7614" t="n">
        <v>0</v>
      </c>
      <c r="Q7614" t="n">
        <v>0</v>
      </c>
      <c r="R7614" t="n">
        <v>0</v>
      </c>
      <c r="S7614" t="n">
        <v>0</v>
      </c>
      <c r="T7614" t="n">
        <v>0</v>
      </c>
      <c r="U7614" t="n">
        <v>0</v>
      </c>
      <c r="V7614" s="2" t="inlineStr"/>
    </row>
    <row r="7615" ht="15" customHeight="1">
      <c r="A7615" t="inlineStr">
        <is>
          <t>A 21168-2026</t>
        </is>
      </c>
      <c r="B7615" t="inlineStr">
        <is>
          <t>avverkningsanmälan</t>
        </is>
      </c>
      <c r="C7615" t="inlineStr">
        <is>
          <t>Föryngringsavverkning</t>
        </is>
      </c>
      <c r="D7615" s="1" t="n">
        <v>46146</v>
      </c>
      <c r="E7615" s="1" t="n">
        <v>46326</v>
      </c>
      <c r="F7615" t="inlineStr">
        <is>
          <t>GÄVLEBORGS LÄN</t>
        </is>
      </c>
      <c r="G7615" t="inlineStr">
        <is>
          <t>OVANÅKER</t>
        </is>
      </c>
      <c r="H7615" t="inlineStr">
        <is>
          <t>Bergvik skog väst AB</t>
        </is>
      </c>
      <c r="I7615" t="n">
        <v>1.2</v>
      </c>
      <c r="J7615" t="n">
        <v>0</v>
      </c>
      <c r="K7615" t="n">
        <v>0</v>
      </c>
      <c r="L7615" t="n">
        <v>0</v>
      </c>
      <c r="M7615" t="n">
        <v>0</v>
      </c>
      <c r="N7615" t="n">
        <v>0</v>
      </c>
      <c r="O7615" t="n">
        <v>0</v>
      </c>
      <c r="P7615" t="n">
        <v>0</v>
      </c>
      <c r="Q7615" t="n">
        <v>0</v>
      </c>
      <c r="R7615" t="n">
        <v>0</v>
      </c>
      <c r="S7615" t="n">
        <v>0</v>
      </c>
      <c r="T7615" t="n">
        <v>0</v>
      </c>
      <c r="U7615" t="n">
        <v>0</v>
      </c>
      <c r="V7615" s="2" t="inlineStr"/>
    </row>
    <row r="7616" ht="15" customHeight="1">
      <c r="A7616" t="inlineStr">
        <is>
          <t>A 49207-2023</t>
        </is>
      </c>
      <c r="B7616" t="inlineStr">
        <is>
          <t>avverkningsanmälan</t>
        </is>
      </c>
      <c r="C7616" t="inlineStr">
        <is>
          <t>Avverkning för annat ändamål</t>
        </is>
      </c>
      <c r="D7616" s="1" t="n">
        <v>45210</v>
      </c>
      <c r="E7616" s="1" t="n">
        <v>46326</v>
      </c>
      <c r="F7616" t="inlineStr">
        <is>
          <t>GÄVLEBORGS LÄN</t>
        </is>
      </c>
      <c r="G7616" t="inlineStr">
        <is>
          <t>OCKELBO</t>
        </is>
      </c>
      <c r="I7616" t="n">
        <v>0.1</v>
      </c>
      <c r="J7616" t="n">
        <v>0</v>
      </c>
      <c r="K7616" t="n">
        <v>0</v>
      </c>
      <c r="L7616" t="n">
        <v>0</v>
      </c>
      <c r="M7616" t="n">
        <v>0</v>
      </c>
      <c r="N7616" t="n">
        <v>0</v>
      </c>
      <c r="O7616" t="n">
        <v>0</v>
      </c>
      <c r="P7616" t="n">
        <v>0</v>
      </c>
      <c r="Q7616" t="n">
        <v>0</v>
      </c>
      <c r="R7616" t="n">
        <v>0</v>
      </c>
      <c r="S7616" t="n">
        <v>0</v>
      </c>
      <c r="T7616" t="n">
        <v>0</v>
      </c>
      <c r="U7616" t="n">
        <v>0</v>
      </c>
      <c r="V7616" s="2" t="inlineStr"/>
    </row>
    <row r="7617" ht="15" customHeight="1">
      <c r="A7617" t="inlineStr">
        <is>
          <t>A 21033-2026</t>
        </is>
      </c>
      <c r="B7617" t="inlineStr">
        <is>
          <t>avverkningsanmälan</t>
        </is>
      </c>
      <c r="C7617" t="inlineStr">
        <is>
          <t>Föryngringsavverkning</t>
        </is>
      </c>
      <c r="D7617" s="1" t="n">
        <v>46146</v>
      </c>
      <c r="E7617" s="1" t="n">
        <v>46326</v>
      </c>
      <c r="F7617" t="inlineStr">
        <is>
          <t>GÄVLEBORGS LÄN</t>
        </is>
      </c>
      <c r="G7617" t="inlineStr">
        <is>
          <t>GÄVLE</t>
        </is>
      </c>
      <c r="H7617" t="inlineStr">
        <is>
          <t>Kyrkan</t>
        </is>
      </c>
      <c r="I7617" t="n">
        <v>1.2</v>
      </c>
      <c r="J7617" t="n">
        <v>0</v>
      </c>
      <c r="K7617" t="n">
        <v>0</v>
      </c>
      <c r="L7617" t="n">
        <v>0</v>
      </c>
      <c r="M7617" t="n">
        <v>0</v>
      </c>
      <c r="N7617" t="n">
        <v>0</v>
      </c>
      <c r="O7617" t="n">
        <v>0</v>
      </c>
      <c r="P7617" t="n">
        <v>0</v>
      </c>
      <c r="Q7617" t="n">
        <v>0</v>
      </c>
      <c r="R7617" t="n">
        <v>0</v>
      </c>
      <c r="S7617" t="n">
        <v>0</v>
      </c>
      <c r="T7617" t="n">
        <v>0</v>
      </c>
      <c r="U7617" t="n">
        <v>0</v>
      </c>
      <c r="V7617" s="2" t="inlineStr"/>
    </row>
    <row r="7618" ht="15" customHeight="1">
      <c r="A7618" t="inlineStr">
        <is>
          <t>A 21232-2026</t>
        </is>
      </c>
      <c r="B7618" t="inlineStr">
        <is>
          <t>avverkningsanmälan</t>
        </is>
      </c>
      <c r="C7618" t="inlineStr">
        <is>
          <t>Föryngringsavverkning</t>
        </is>
      </c>
      <c r="D7618" s="1" t="n">
        <v>46147</v>
      </c>
      <c r="E7618" s="1" t="n">
        <v>46326</v>
      </c>
      <c r="F7618" t="inlineStr">
        <is>
          <t>GÄVLEBORGS LÄN</t>
        </is>
      </c>
      <c r="G7618" t="inlineStr">
        <is>
          <t>LJUSDAL</t>
        </is>
      </c>
      <c r="I7618" t="n">
        <v>1.3</v>
      </c>
      <c r="J7618" t="n">
        <v>0</v>
      </c>
      <c r="K7618" t="n">
        <v>0</v>
      </c>
      <c r="L7618" t="n">
        <v>0</v>
      </c>
      <c r="M7618" t="n">
        <v>0</v>
      </c>
      <c r="N7618" t="n">
        <v>0</v>
      </c>
      <c r="O7618" t="n">
        <v>0</v>
      </c>
      <c r="P7618" t="n">
        <v>0</v>
      </c>
      <c r="Q7618" t="n">
        <v>0</v>
      </c>
      <c r="R7618" t="n">
        <v>0</v>
      </c>
      <c r="S7618" t="n">
        <v>0</v>
      </c>
      <c r="T7618" t="n">
        <v>0</v>
      </c>
      <c r="U7618" t="n">
        <v>0</v>
      </c>
      <c r="V7618" s="2" t="inlineStr"/>
    </row>
    <row r="7619" ht="15" customHeight="1">
      <c r="A7619" t="inlineStr">
        <is>
          <t>A 21269-2026</t>
        </is>
      </c>
      <c r="B7619" t="inlineStr">
        <is>
          <t>avverkningsanmälan</t>
        </is>
      </c>
      <c r="C7619" t="inlineStr">
        <is>
          <t>Avverkning för annat ändamål</t>
        </is>
      </c>
      <c r="D7619" s="1" t="n">
        <v>46147</v>
      </c>
      <c r="E7619" s="1" t="n">
        <v>46326</v>
      </c>
      <c r="F7619" t="inlineStr">
        <is>
          <t>GÄVLEBORGS LÄN</t>
        </is>
      </c>
      <c r="G7619" t="inlineStr">
        <is>
          <t>LJUSDAL</t>
        </is>
      </c>
      <c r="H7619" t="inlineStr">
        <is>
          <t>Bergvik skog väst AB</t>
        </is>
      </c>
      <c r="I7619" t="n">
        <v>2.2</v>
      </c>
      <c r="J7619" t="n">
        <v>0</v>
      </c>
      <c r="K7619" t="n">
        <v>0</v>
      </c>
      <c r="L7619" t="n">
        <v>0</v>
      </c>
      <c r="M7619" t="n">
        <v>0</v>
      </c>
      <c r="N7619" t="n">
        <v>0</v>
      </c>
      <c r="O7619" t="n">
        <v>0</v>
      </c>
      <c r="P7619" t="n">
        <v>0</v>
      </c>
      <c r="Q7619" t="n">
        <v>0</v>
      </c>
      <c r="R7619" t="n">
        <v>0</v>
      </c>
      <c r="S7619" t="n">
        <v>0</v>
      </c>
      <c r="T7619" t="n">
        <v>0</v>
      </c>
      <c r="U7619" t="n">
        <v>0</v>
      </c>
      <c r="V7619" s="2" t="inlineStr"/>
    </row>
    <row r="7620" ht="15" customHeight="1">
      <c r="A7620" t="inlineStr">
        <is>
          <t>A 21299-2026</t>
        </is>
      </c>
      <c r="B7620" t="inlineStr">
        <is>
          <t>avverkningsanmälan</t>
        </is>
      </c>
      <c r="C7620" t="inlineStr">
        <is>
          <t>Föryngringsavverkning</t>
        </is>
      </c>
      <c r="D7620" s="1" t="n">
        <v>46147</v>
      </c>
      <c r="E7620" s="1" t="n">
        <v>46326</v>
      </c>
      <c r="F7620" t="inlineStr">
        <is>
          <t>GÄVLEBORGS LÄN</t>
        </is>
      </c>
      <c r="G7620" t="inlineStr">
        <is>
          <t>BOLLNÄS</t>
        </is>
      </c>
      <c r="H7620" t="inlineStr">
        <is>
          <t>Bergvik skog väst AB</t>
        </is>
      </c>
      <c r="I7620" t="n">
        <v>2.4</v>
      </c>
      <c r="J7620" t="n">
        <v>0</v>
      </c>
      <c r="K7620" t="n">
        <v>0</v>
      </c>
      <c r="L7620" t="n">
        <v>0</v>
      </c>
      <c r="M7620" t="n">
        <v>0</v>
      </c>
      <c r="N7620" t="n">
        <v>0</v>
      </c>
      <c r="O7620" t="n">
        <v>0</v>
      </c>
      <c r="P7620" t="n">
        <v>0</v>
      </c>
      <c r="Q7620" t="n">
        <v>0</v>
      </c>
      <c r="R7620" t="n">
        <v>0</v>
      </c>
      <c r="S7620" t="n">
        <v>0</v>
      </c>
      <c r="T7620" t="n">
        <v>0</v>
      </c>
      <c r="U7620" t="n">
        <v>0</v>
      </c>
      <c r="V7620" s="2" t="inlineStr"/>
    </row>
    <row r="7621" ht="15" customHeight="1">
      <c r="A7621" t="inlineStr">
        <is>
          <t>A 21300-2026</t>
        </is>
      </c>
      <c r="B7621" t="inlineStr">
        <is>
          <t>avverkningsanmälan</t>
        </is>
      </c>
      <c r="C7621" t="inlineStr">
        <is>
          <t>Föryngringsavverkning</t>
        </is>
      </c>
      <c r="D7621" s="1" t="n">
        <v>46147</v>
      </c>
      <c r="E7621" s="1" t="n">
        <v>46326</v>
      </c>
      <c r="F7621" t="inlineStr">
        <is>
          <t>GÄVLEBORGS LÄN</t>
        </is>
      </c>
      <c r="G7621" t="inlineStr">
        <is>
          <t>BOLLNÄS</t>
        </is>
      </c>
      <c r="H7621" t="inlineStr">
        <is>
          <t>Bergvik skog väst AB</t>
        </is>
      </c>
      <c r="I7621" t="n">
        <v>1.1</v>
      </c>
      <c r="J7621" t="n">
        <v>0</v>
      </c>
      <c r="K7621" t="n">
        <v>0</v>
      </c>
      <c r="L7621" t="n">
        <v>0</v>
      </c>
      <c r="M7621" t="n">
        <v>0</v>
      </c>
      <c r="N7621" t="n">
        <v>0</v>
      </c>
      <c r="O7621" t="n">
        <v>0</v>
      </c>
      <c r="P7621" t="n">
        <v>0</v>
      </c>
      <c r="Q7621" t="n">
        <v>0</v>
      </c>
      <c r="R7621" t="n">
        <v>0</v>
      </c>
      <c r="S7621" t="n">
        <v>0</v>
      </c>
      <c r="T7621" t="n">
        <v>0</v>
      </c>
      <c r="U7621" t="n">
        <v>0</v>
      </c>
      <c r="V7621" s="2" t="inlineStr"/>
    </row>
    <row r="7622" ht="15" customHeight="1">
      <c r="A7622" t="inlineStr">
        <is>
          <t>A 17052-2023</t>
        </is>
      </c>
      <c r="B7622" t="inlineStr">
        <is>
          <t>avverkningsanmälan</t>
        </is>
      </c>
      <c r="C7622" t="inlineStr">
        <is>
          <t>Föryngringsavverkning</t>
        </is>
      </c>
      <c r="D7622" s="1" t="n">
        <v>45034</v>
      </c>
      <c r="E7622" s="1" t="n">
        <v>46326</v>
      </c>
      <c r="F7622" t="inlineStr">
        <is>
          <t>GÄVLEBORGS LÄN</t>
        </is>
      </c>
      <c r="G7622" t="inlineStr">
        <is>
          <t>NORDANSTIG</t>
        </is>
      </c>
      <c r="H7622" t="inlineStr">
        <is>
          <t>Holmen skog AB</t>
        </is>
      </c>
      <c r="I7622" t="n">
        <v>8.6</v>
      </c>
      <c r="J7622" t="n">
        <v>0</v>
      </c>
      <c r="K7622" t="n">
        <v>0</v>
      </c>
      <c r="L7622" t="n">
        <v>0</v>
      </c>
      <c r="M7622" t="n">
        <v>0</v>
      </c>
      <c r="N7622" t="n">
        <v>0</v>
      </c>
      <c r="O7622" t="n">
        <v>0</v>
      </c>
      <c r="P7622" t="n">
        <v>0</v>
      </c>
      <c r="Q7622" t="n">
        <v>0</v>
      </c>
      <c r="R7622" t="n">
        <v>0</v>
      </c>
      <c r="S7622" t="n">
        <v>0</v>
      </c>
      <c r="T7622" t="n">
        <v>0</v>
      </c>
      <c r="U7622" t="n">
        <v>0</v>
      </c>
      <c r="V7622" s="2" t="inlineStr"/>
    </row>
    <row r="7623" ht="15" customHeight="1">
      <c r="A7623" t="inlineStr">
        <is>
          <t>A 18988-2022</t>
        </is>
      </c>
      <c r="B7623" t="inlineStr">
        <is>
          <t>avverkningsanmälan</t>
        </is>
      </c>
      <c r="C7623" t="inlineStr">
        <is>
          <t>Föryngringsavverkning</t>
        </is>
      </c>
      <c r="D7623" s="1" t="n">
        <v>44690</v>
      </c>
      <c r="E7623" s="1" t="n">
        <v>46326</v>
      </c>
      <c r="F7623" t="inlineStr">
        <is>
          <t>GÄVLEBORGS LÄN</t>
        </is>
      </c>
      <c r="G7623" t="inlineStr">
        <is>
          <t>NORDANSTIG</t>
        </is>
      </c>
      <c r="I7623" t="n">
        <v>9.300000000000001</v>
      </c>
      <c r="J7623" t="n">
        <v>0</v>
      </c>
      <c r="K7623" t="n">
        <v>0</v>
      </c>
      <c r="L7623" t="n">
        <v>0</v>
      </c>
      <c r="M7623" t="n">
        <v>0</v>
      </c>
      <c r="N7623" t="n">
        <v>0</v>
      </c>
      <c r="O7623" t="n">
        <v>0</v>
      </c>
      <c r="P7623" t="n">
        <v>0</v>
      </c>
      <c r="Q7623" t="n">
        <v>0</v>
      </c>
      <c r="R7623" t="n">
        <v>0</v>
      </c>
      <c r="S7623" t="n">
        <v>0</v>
      </c>
      <c r="T7623" t="n">
        <v>0</v>
      </c>
      <c r="U7623" t="n">
        <v>0</v>
      </c>
      <c r="V7623" s="2" t="inlineStr"/>
    </row>
    <row r="7624" ht="15" customHeight="1">
      <c r="A7624" t="inlineStr">
        <is>
          <t>A 19773-2026</t>
        </is>
      </c>
      <c r="B7624" t="inlineStr">
        <is>
          <t>avverkningsanmälan</t>
        </is>
      </c>
      <c r="C7624" t="inlineStr">
        <is>
          <t>Föryngringsavverkning</t>
        </is>
      </c>
      <c r="D7624" s="1" t="n">
        <v>46135</v>
      </c>
      <c r="E7624" s="1" t="n">
        <v>46326</v>
      </c>
      <c r="F7624" t="inlineStr">
        <is>
          <t>GÄVLEBORGS LÄN</t>
        </is>
      </c>
      <c r="G7624" t="inlineStr">
        <is>
          <t>OVANÅKER</t>
        </is>
      </c>
      <c r="H7624" t="inlineStr">
        <is>
          <t>Bergvik skog öst AB</t>
        </is>
      </c>
      <c r="I7624" t="n">
        <v>4.5</v>
      </c>
      <c r="J7624" t="n">
        <v>0</v>
      </c>
      <c r="K7624" t="n">
        <v>0</v>
      </c>
      <c r="L7624" t="n">
        <v>0</v>
      </c>
      <c r="M7624" t="n">
        <v>0</v>
      </c>
      <c r="N7624" t="n">
        <v>0</v>
      </c>
      <c r="O7624" t="n">
        <v>0</v>
      </c>
      <c r="P7624" t="n">
        <v>0</v>
      </c>
      <c r="Q7624" t="n">
        <v>0</v>
      </c>
      <c r="R7624" t="n">
        <v>0</v>
      </c>
      <c r="S7624" t="n">
        <v>0</v>
      </c>
      <c r="T7624" t="n">
        <v>0</v>
      </c>
      <c r="U7624" t="n">
        <v>0</v>
      </c>
      <c r="V7624" s="2" t="inlineStr"/>
    </row>
    <row r="7625" ht="15" customHeight="1">
      <c r="A7625" t="inlineStr">
        <is>
          <t>A 14772-2026</t>
        </is>
      </c>
      <c r="B7625" t="inlineStr">
        <is>
          <t>avverkningsanmälan</t>
        </is>
      </c>
      <c r="C7625" t="inlineStr">
        <is>
          <t>Föryngringsavverkning</t>
        </is>
      </c>
      <c r="D7625" s="1" t="n">
        <v>46101</v>
      </c>
      <c r="E7625" s="1" t="n">
        <v>46326</v>
      </c>
      <c r="F7625" t="inlineStr">
        <is>
          <t>GÄVLEBORGS LÄN</t>
        </is>
      </c>
      <c r="G7625" t="inlineStr">
        <is>
          <t>BOLLNÄS</t>
        </is>
      </c>
      <c r="H7625" t="inlineStr">
        <is>
          <t>Kommuner</t>
        </is>
      </c>
      <c r="I7625" t="n">
        <v>3.5</v>
      </c>
      <c r="J7625" t="n">
        <v>0</v>
      </c>
      <c r="K7625" t="n">
        <v>0</v>
      </c>
      <c r="L7625" t="n">
        <v>0</v>
      </c>
      <c r="M7625" t="n">
        <v>0</v>
      </c>
      <c r="N7625" t="n">
        <v>0</v>
      </c>
      <c r="O7625" t="n">
        <v>0</v>
      </c>
      <c r="P7625" t="n">
        <v>0</v>
      </c>
      <c r="Q7625" t="n">
        <v>0</v>
      </c>
      <c r="R7625" t="n">
        <v>0</v>
      </c>
      <c r="S7625" t="n">
        <v>0</v>
      </c>
      <c r="T7625" t="n">
        <v>0</v>
      </c>
      <c r="U7625" t="n">
        <v>0</v>
      </c>
      <c r="V7625" s="2" t="inlineStr"/>
    </row>
    <row r="7626" ht="15" customHeight="1">
      <c r="A7626" t="inlineStr">
        <is>
          <t>A 55992-2022</t>
        </is>
      </c>
      <c r="B7626" t="inlineStr">
        <is>
          <t>avverkningsanmälan</t>
        </is>
      </c>
      <c r="C7626" t="inlineStr">
        <is>
          <t>Föryngringsavverkning</t>
        </is>
      </c>
      <c r="D7626" s="1" t="n">
        <v>44889</v>
      </c>
      <c r="E7626" s="1" t="n">
        <v>46326</v>
      </c>
      <c r="F7626" t="inlineStr">
        <is>
          <t>GÄVLEBORGS LÄN</t>
        </is>
      </c>
      <c r="G7626" t="inlineStr">
        <is>
          <t>OVANÅKER</t>
        </is>
      </c>
      <c r="I7626" t="n">
        <v>2.1</v>
      </c>
      <c r="J7626" t="n">
        <v>0</v>
      </c>
      <c r="K7626" t="n">
        <v>0</v>
      </c>
      <c r="L7626" t="n">
        <v>0</v>
      </c>
      <c r="M7626" t="n">
        <v>0</v>
      </c>
      <c r="N7626" t="n">
        <v>0</v>
      </c>
      <c r="O7626" t="n">
        <v>0</v>
      </c>
      <c r="P7626" t="n">
        <v>0</v>
      </c>
      <c r="Q7626" t="n">
        <v>0</v>
      </c>
      <c r="R7626" t="n">
        <v>0</v>
      </c>
      <c r="S7626" t="n">
        <v>0</v>
      </c>
      <c r="T7626" t="n">
        <v>0</v>
      </c>
      <c r="U7626" t="n">
        <v>0</v>
      </c>
      <c r="V7626" s="2" t="inlineStr"/>
    </row>
    <row r="7627" ht="15" customHeight="1">
      <c r="A7627" t="inlineStr">
        <is>
          <t>A 14707-2026</t>
        </is>
      </c>
      <c r="B7627" t="inlineStr">
        <is>
          <t>avverkningsanmälan</t>
        </is>
      </c>
      <c r="C7627" t="inlineStr">
        <is>
          <t>Föryngringsavverkning</t>
        </is>
      </c>
      <c r="D7627" s="1" t="n">
        <v>46101</v>
      </c>
      <c r="E7627" s="1" t="n">
        <v>46326</v>
      </c>
      <c r="F7627" t="inlineStr">
        <is>
          <t>GÄVLEBORGS LÄN</t>
        </is>
      </c>
      <c r="G7627" t="inlineStr">
        <is>
          <t>GÄVLE</t>
        </is>
      </c>
      <c r="H7627" t="inlineStr">
        <is>
          <t>Bergvik skog öst AB</t>
        </is>
      </c>
      <c r="I7627" t="n">
        <v>1</v>
      </c>
      <c r="J7627" t="n">
        <v>0</v>
      </c>
      <c r="K7627" t="n">
        <v>0</v>
      </c>
      <c r="L7627" t="n">
        <v>0</v>
      </c>
      <c r="M7627" t="n">
        <v>0</v>
      </c>
      <c r="N7627" t="n">
        <v>0</v>
      </c>
      <c r="O7627" t="n">
        <v>0</v>
      </c>
      <c r="P7627" t="n">
        <v>0</v>
      </c>
      <c r="Q7627" t="n">
        <v>0</v>
      </c>
      <c r="R7627" t="n">
        <v>0</v>
      </c>
      <c r="S7627" t="n">
        <v>0</v>
      </c>
      <c r="T7627" t="n">
        <v>0</v>
      </c>
      <c r="U7627" t="n">
        <v>0</v>
      </c>
      <c r="V7627" s="2" t="inlineStr"/>
    </row>
    <row r="7628" ht="15" customHeight="1">
      <c r="A7628" t="inlineStr">
        <is>
          <t>A 924-2026</t>
        </is>
      </c>
      <c r="B7628" t="inlineStr">
        <is>
          <t>avverkningsanmälan</t>
        </is>
      </c>
      <c r="C7628" t="inlineStr">
        <is>
          <t>Föryngringsavverkning</t>
        </is>
      </c>
      <c r="D7628" s="1" t="n">
        <v>46030</v>
      </c>
      <c r="E7628" s="1" t="n">
        <v>46326</v>
      </c>
      <c r="F7628" t="inlineStr">
        <is>
          <t>GÄVLEBORGS LÄN</t>
        </is>
      </c>
      <c r="G7628" t="inlineStr">
        <is>
          <t>NORDANSTIG</t>
        </is>
      </c>
      <c r="I7628" t="n">
        <v>1.5</v>
      </c>
      <c r="J7628" t="n">
        <v>0</v>
      </c>
      <c r="K7628" t="n">
        <v>0</v>
      </c>
      <c r="L7628" t="n">
        <v>0</v>
      </c>
      <c r="M7628" t="n">
        <v>0</v>
      </c>
      <c r="N7628" t="n">
        <v>0</v>
      </c>
      <c r="O7628" t="n">
        <v>0</v>
      </c>
      <c r="P7628" t="n">
        <v>0</v>
      </c>
      <c r="Q7628" t="n">
        <v>0</v>
      </c>
      <c r="R7628" t="n">
        <v>0</v>
      </c>
      <c r="S7628" t="n">
        <v>0</v>
      </c>
      <c r="T7628" t="n">
        <v>0</v>
      </c>
      <c r="U7628" t="n">
        <v>0</v>
      </c>
      <c r="V7628" s="2" t="inlineStr"/>
    </row>
    <row r="7629" ht="15" customHeight="1">
      <c r="A7629" t="inlineStr">
        <is>
          <t>A 16144-2026</t>
        </is>
      </c>
      <c r="B7629" t="inlineStr">
        <is>
          <t>avverkningsanmälan</t>
        </is>
      </c>
      <c r="C7629" t="inlineStr">
        <is>
          <t>Föryngringsavverkning</t>
        </is>
      </c>
      <c r="D7629" s="1" t="n">
        <v>46108</v>
      </c>
      <c r="E7629" s="1" t="n">
        <v>46326</v>
      </c>
      <c r="F7629" t="inlineStr">
        <is>
          <t>GÄVLEBORGS LÄN</t>
        </is>
      </c>
      <c r="G7629" t="inlineStr">
        <is>
          <t>GÄVLE</t>
        </is>
      </c>
      <c r="H7629" t="inlineStr">
        <is>
          <t>Bergvik skog öst AB</t>
        </is>
      </c>
      <c r="I7629" t="n">
        <v>2</v>
      </c>
      <c r="J7629" t="n">
        <v>0</v>
      </c>
      <c r="K7629" t="n">
        <v>0</v>
      </c>
      <c r="L7629" t="n">
        <v>0</v>
      </c>
      <c r="M7629" t="n">
        <v>0</v>
      </c>
      <c r="N7629" t="n">
        <v>0</v>
      </c>
      <c r="O7629" t="n">
        <v>0</v>
      </c>
      <c r="P7629" t="n">
        <v>0</v>
      </c>
      <c r="Q7629" t="n">
        <v>0</v>
      </c>
      <c r="R7629" t="n">
        <v>0</v>
      </c>
      <c r="S7629" t="n">
        <v>0</v>
      </c>
      <c r="T7629" t="n">
        <v>0</v>
      </c>
      <c r="U7629" t="n">
        <v>0</v>
      </c>
      <c r="V7629" s="2" t="inlineStr"/>
    </row>
    <row r="7630" ht="15" customHeight="1">
      <c r="A7630" t="inlineStr">
        <is>
          <t>A 21404-2026</t>
        </is>
      </c>
      <c r="B7630" t="inlineStr">
        <is>
          <t>avverkningsanmälan</t>
        </is>
      </c>
      <c r="C7630" t="inlineStr">
        <is>
          <t>Föryngringsavverkning</t>
        </is>
      </c>
      <c r="D7630" s="1" t="n">
        <v>46148</v>
      </c>
      <c r="E7630" s="1" t="n">
        <v>46326</v>
      </c>
      <c r="F7630" t="inlineStr">
        <is>
          <t>GÄVLEBORGS LÄN</t>
        </is>
      </c>
      <c r="G7630" t="inlineStr">
        <is>
          <t>LJUSDAL</t>
        </is>
      </c>
      <c r="H7630" t="inlineStr">
        <is>
          <t>SCA</t>
        </is>
      </c>
      <c r="I7630" t="n">
        <v>17.3</v>
      </c>
      <c r="J7630" t="n">
        <v>0</v>
      </c>
      <c r="K7630" t="n">
        <v>0</v>
      </c>
      <c r="L7630" t="n">
        <v>0</v>
      </c>
      <c r="M7630" t="n">
        <v>0</v>
      </c>
      <c r="N7630" t="n">
        <v>0</v>
      </c>
      <c r="O7630" t="n">
        <v>0</v>
      </c>
      <c r="P7630" t="n">
        <v>0</v>
      </c>
      <c r="Q7630" t="n">
        <v>0</v>
      </c>
      <c r="R7630" t="n">
        <v>0</v>
      </c>
      <c r="S7630" t="n">
        <v>0</v>
      </c>
      <c r="T7630" t="n">
        <v>0</v>
      </c>
      <c r="U7630" t="n">
        <v>0</v>
      </c>
      <c r="V7630" s="2" t="inlineStr"/>
    </row>
    <row r="7631" ht="15" customHeight="1">
      <c r="A7631" t="inlineStr">
        <is>
          <t>A 21517-2026</t>
        </is>
      </c>
      <c r="B7631" t="inlineStr">
        <is>
          <t>avverkningsanmälan</t>
        </is>
      </c>
      <c r="C7631" t="inlineStr">
        <is>
          <t>Föryngringsavverkning</t>
        </is>
      </c>
      <c r="D7631" s="1" t="n">
        <v>46148</v>
      </c>
      <c r="E7631" s="1" t="n">
        <v>46326</v>
      </c>
      <c r="F7631" t="inlineStr">
        <is>
          <t>GÄVLEBORGS LÄN</t>
        </is>
      </c>
      <c r="G7631" t="inlineStr">
        <is>
          <t>BOLLNÄS</t>
        </is>
      </c>
      <c r="I7631" t="n">
        <v>0.5</v>
      </c>
      <c r="J7631" t="n">
        <v>0</v>
      </c>
      <c r="K7631" t="n">
        <v>0</v>
      </c>
      <c r="L7631" t="n">
        <v>0</v>
      </c>
      <c r="M7631" t="n">
        <v>0</v>
      </c>
      <c r="N7631" t="n">
        <v>0</v>
      </c>
      <c r="O7631" t="n">
        <v>0</v>
      </c>
      <c r="P7631" t="n">
        <v>0</v>
      </c>
      <c r="Q7631" t="n">
        <v>0</v>
      </c>
      <c r="R7631" t="n">
        <v>0</v>
      </c>
      <c r="S7631" t="n">
        <v>0</v>
      </c>
      <c r="T7631" t="n">
        <v>0</v>
      </c>
      <c r="U7631" t="n">
        <v>0</v>
      </c>
      <c r="V7631" s="2" t="inlineStr"/>
    </row>
    <row r="7632" ht="15" customHeight="1">
      <c r="A7632" t="inlineStr">
        <is>
          <t>A 21431-2026</t>
        </is>
      </c>
      <c r="B7632" t="inlineStr">
        <is>
          <t>avverkningsanmälan</t>
        </is>
      </c>
      <c r="C7632" t="inlineStr">
        <is>
          <t>Föryngringsavverkning</t>
        </is>
      </c>
      <c r="D7632" s="1" t="n">
        <v>46148</v>
      </c>
      <c r="E7632" s="1" t="n">
        <v>46326</v>
      </c>
      <c r="F7632" t="inlineStr">
        <is>
          <t>GÄVLEBORGS LÄN</t>
        </is>
      </c>
      <c r="G7632" t="inlineStr">
        <is>
          <t>HUDIKSVALL</t>
        </is>
      </c>
      <c r="H7632" t="inlineStr">
        <is>
          <t>Kyrkan</t>
        </is>
      </c>
      <c r="I7632" t="n">
        <v>8.800000000000001</v>
      </c>
      <c r="J7632" t="n">
        <v>0</v>
      </c>
      <c r="K7632" t="n">
        <v>0</v>
      </c>
      <c r="L7632" t="n">
        <v>0</v>
      </c>
      <c r="M7632" t="n">
        <v>0</v>
      </c>
      <c r="N7632" t="n">
        <v>0</v>
      </c>
      <c r="O7632" t="n">
        <v>0</v>
      </c>
      <c r="P7632" t="n">
        <v>0</v>
      </c>
      <c r="Q7632" t="n">
        <v>0</v>
      </c>
      <c r="R7632" t="n">
        <v>0</v>
      </c>
      <c r="S7632" t="n">
        <v>0</v>
      </c>
      <c r="T7632" t="n">
        <v>0</v>
      </c>
      <c r="U7632" t="n">
        <v>0</v>
      </c>
      <c r="V7632" s="2" t="inlineStr"/>
    </row>
    <row r="7633" ht="15" customHeight="1">
      <c r="A7633" t="inlineStr">
        <is>
          <t>A 21458-2026</t>
        </is>
      </c>
      <c r="B7633" t="inlineStr">
        <is>
          <t>avverkningsanmälan</t>
        </is>
      </c>
      <c r="C7633" t="inlineStr">
        <is>
          <t>Föryngringsavverkning</t>
        </is>
      </c>
      <c r="D7633" s="1" t="n">
        <v>46148</v>
      </c>
      <c r="E7633" s="1" t="n">
        <v>46326</v>
      </c>
      <c r="F7633" t="inlineStr">
        <is>
          <t>GÄVLEBORGS LÄN</t>
        </is>
      </c>
      <c r="G7633" t="inlineStr">
        <is>
          <t>OVANÅKER</t>
        </is>
      </c>
      <c r="H7633" t="inlineStr">
        <is>
          <t>Bergvik skog väst AB</t>
        </is>
      </c>
      <c r="I7633" t="n">
        <v>0.7</v>
      </c>
      <c r="J7633" t="n">
        <v>0</v>
      </c>
      <c r="K7633" t="n">
        <v>0</v>
      </c>
      <c r="L7633" t="n">
        <v>0</v>
      </c>
      <c r="M7633" t="n">
        <v>0</v>
      </c>
      <c r="N7633" t="n">
        <v>0</v>
      </c>
      <c r="O7633" t="n">
        <v>0</v>
      </c>
      <c r="P7633" t="n">
        <v>0</v>
      </c>
      <c r="Q7633" t="n">
        <v>0</v>
      </c>
      <c r="R7633" t="n">
        <v>0</v>
      </c>
      <c r="S7633" t="n">
        <v>0</v>
      </c>
      <c r="T7633" t="n">
        <v>0</v>
      </c>
      <c r="U7633" t="n">
        <v>0</v>
      </c>
      <c r="V7633" s="2" t="inlineStr"/>
    </row>
    <row r="7634" ht="15" customHeight="1">
      <c r="A7634" t="inlineStr">
        <is>
          <t>A 21461-2026</t>
        </is>
      </c>
      <c r="B7634" t="inlineStr">
        <is>
          <t>avverkningsanmälan</t>
        </is>
      </c>
      <c r="C7634" t="inlineStr">
        <is>
          <t>Föryngringsavverkning</t>
        </is>
      </c>
      <c r="D7634" s="1" t="n">
        <v>46148</v>
      </c>
      <c r="E7634" s="1" t="n">
        <v>46326</v>
      </c>
      <c r="F7634" t="inlineStr">
        <is>
          <t>GÄVLEBORGS LÄN</t>
        </is>
      </c>
      <c r="G7634" t="inlineStr">
        <is>
          <t>OCKELBO</t>
        </is>
      </c>
      <c r="H7634" t="inlineStr">
        <is>
          <t>Bergvik skog väst AB</t>
        </is>
      </c>
      <c r="I7634" t="n">
        <v>0.7</v>
      </c>
      <c r="J7634" t="n">
        <v>0</v>
      </c>
      <c r="K7634" t="n">
        <v>0</v>
      </c>
      <c r="L7634" t="n">
        <v>0</v>
      </c>
      <c r="M7634" t="n">
        <v>0</v>
      </c>
      <c r="N7634" t="n">
        <v>0</v>
      </c>
      <c r="O7634" t="n">
        <v>0</v>
      </c>
      <c r="P7634" t="n">
        <v>0</v>
      </c>
      <c r="Q7634" t="n">
        <v>0</v>
      </c>
      <c r="R7634" t="n">
        <v>0</v>
      </c>
      <c r="S7634" t="n">
        <v>0</v>
      </c>
      <c r="T7634" t="n">
        <v>0</v>
      </c>
      <c r="U7634" t="n">
        <v>0</v>
      </c>
      <c r="V7634" s="2" t="inlineStr"/>
    </row>
    <row r="7635" ht="15" customHeight="1">
      <c r="A7635" t="inlineStr">
        <is>
          <t>A 21473-2026</t>
        </is>
      </c>
      <c r="B7635" t="inlineStr">
        <is>
          <t>avverkningsanmälan</t>
        </is>
      </c>
      <c r="C7635" t="inlineStr">
        <is>
          <t>Föryngringsavverkning</t>
        </is>
      </c>
      <c r="D7635" s="1" t="n">
        <v>46148</v>
      </c>
      <c r="E7635" s="1" t="n">
        <v>46326</v>
      </c>
      <c r="F7635" t="inlineStr">
        <is>
          <t>GÄVLEBORGS LÄN</t>
        </is>
      </c>
      <c r="G7635" t="inlineStr">
        <is>
          <t>HUDIKSVALL</t>
        </is>
      </c>
      <c r="H7635" t="inlineStr">
        <is>
          <t>Kyrkan</t>
        </is>
      </c>
      <c r="I7635" t="n">
        <v>6.9</v>
      </c>
      <c r="J7635" t="n">
        <v>0</v>
      </c>
      <c r="K7635" t="n">
        <v>0</v>
      </c>
      <c r="L7635" t="n">
        <v>0</v>
      </c>
      <c r="M7635" t="n">
        <v>0</v>
      </c>
      <c r="N7635" t="n">
        <v>0</v>
      </c>
      <c r="O7635" t="n">
        <v>0</v>
      </c>
      <c r="P7635" t="n">
        <v>0</v>
      </c>
      <c r="Q7635" t="n">
        <v>0</v>
      </c>
      <c r="R7635" t="n">
        <v>0</v>
      </c>
      <c r="S7635" t="n">
        <v>0</v>
      </c>
      <c r="T7635" t="n">
        <v>0</v>
      </c>
      <c r="U7635" t="n">
        <v>0</v>
      </c>
      <c r="V7635" s="2" t="inlineStr"/>
    </row>
    <row r="7636" ht="15" customHeight="1">
      <c r="A7636" t="inlineStr">
        <is>
          <t>A 21572-2026</t>
        </is>
      </c>
      <c r="B7636" t="inlineStr">
        <is>
          <t>avverkningsanmälan</t>
        </is>
      </c>
      <c r="C7636" t="inlineStr">
        <is>
          <t>Föryngringsavverkning</t>
        </is>
      </c>
      <c r="D7636" s="1" t="n">
        <v>46148</v>
      </c>
      <c r="E7636" s="1" t="n">
        <v>46326</v>
      </c>
      <c r="F7636" t="inlineStr">
        <is>
          <t>GÄVLEBORGS LÄN</t>
        </is>
      </c>
      <c r="G7636" t="inlineStr">
        <is>
          <t>BOLLNÄS</t>
        </is>
      </c>
      <c r="H7636" t="inlineStr">
        <is>
          <t>Bergvik skog väst AB</t>
        </is>
      </c>
      <c r="I7636" t="n">
        <v>1.6</v>
      </c>
      <c r="J7636" t="n">
        <v>0</v>
      </c>
      <c r="K7636" t="n">
        <v>0</v>
      </c>
      <c r="L7636" t="n">
        <v>0</v>
      </c>
      <c r="M7636" t="n">
        <v>0</v>
      </c>
      <c r="N7636" t="n">
        <v>0</v>
      </c>
      <c r="O7636" t="n">
        <v>0</v>
      </c>
      <c r="P7636" t="n">
        <v>0</v>
      </c>
      <c r="Q7636" t="n">
        <v>0</v>
      </c>
      <c r="R7636" t="n">
        <v>0</v>
      </c>
      <c r="S7636" t="n">
        <v>0</v>
      </c>
      <c r="T7636" t="n">
        <v>0</v>
      </c>
      <c r="U7636" t="n">
        <v>0</v>
      </c>
      <c r="V7636" s="2" t="inlineStr"/>
    </row>
    <row r="7637" ht="15" customHeight="1">
      <c r="A7637" t="inlineStr">
        <is>
          <t>A 21699-2026</t>
        </is>
      </c>
      <c r="B7637" t="inlineStr">
        <is>
          <t>avverkningsanmälan</t>
        </is>
      </c>
      <c r="C7637" t="inlineStr">
        <is>
          <t>Föryngringsavverkning</t>
        </is>
      </c>
      <c r="D7637" s="1" t="n">
        <v>46149</v>
      </c>
      <c r="E7637" s="1" t="n">
        <v>46326</v>
      </c>
      <c r="F7637" t="inlineStr">
        <is>
          <t>GÄVLEBORGS LÄN</t>
        </is>
      </c>
      <c r="G7637" t="inlineStr">
        <is>
          <t>SÖDERHAMN</t>
        </is>
      </c>
      <c r="I7637" t="n">
        <v>1</v>
      </c>
      <c r="J7637" t="n">
        <v>0</v>
      </c>
      <c r="K7637" t="n">
        <v>0</v>
      </c>
      <c r="L7637" t="n">
        <v>0</v>
      </c>
      <c r="M7637" t="n">
        <v>0</v>
      </c>
      <c r="N7637" t="n">
        <v>0</v>
      </c>
      <c r="O7637" t="n">
        <v>0</v>
      </c>
      <c r="P7637" t="n">
        <v>0</v>
      </c>
      <c r="Q7637" t="n">
        <v>0</v>
      </c>
      <c r="R7637" t="n">
        <v>0</v>
      </c>
      <c r="S7637" t="n">
        <v>0</v>
      </c>
      <c r="T7637" t="n">
        <v>0</v>
      </c>
      <c r="U7637" t="n">
        <v>0</v>
      </c>
      <c r="V7637" s="2" t="inlineStr"/>
    </row>
    <row r="7638" ht="15" customHeight="1">
      <c r="A7638" t="inlineStr">
        <is>
          <t>A 21715-2026</t>
        </is>
      </c>
      <c r="B7638" t="inlineStr">
        <is>
          <t>avverkningsanmälan</t>
        </is>
      </c>
      <c r="C7638" t="inlineStr">
        <is>
          <t>Föryngringsavverkning</t>
        </is>
      </c>
      <c r="D7638" s="1" t="n">
        <v>46149</v>
      </c>
      <c r="E7638" s="1" t="n">
        <v>46326</v>
      </c>
      <c r="F7638" t="inlineStr">
        <is>
          <t>GÄVLEBORGS LÄN</t>
        </is>
      </c>
      <c r="G7638" t="inlineStr">
        <is>
          <t>BOLLNÄS</t>
        </is>
      </c>
      <c r="I7638" t="n">
        <v>5.3</v>
      </c>
      <c r="J7638" t="n">
        <v>0</v>
      </c>
      <c r="K7638" t="n">
        <v>0</v>
      </c>
      <c r="L7638" t="n">
        <v>0</v>
      </c>
      <c r="M7638" t="n">
        <v>0</v>
      </c>
      <c r="N7638" t="n">
        <v>0</v>
      </c>
      <c r="O7638" t="n">
        <v>0</v>
      </c>
      <c r="P7638" t="n">
        <v>0</v>
      </c>
      <c r="Q7638" t="n">
        <v>0</v>
      </c>
      <c r="R7638" t="n">
        <v>0</v>
      </c>
      <c r="S7638" t="n">
        <v>0</v>
      </c>
      <c r="T7638" t="n">
        <v>0</v>
      </c>
      <c r="U7638" t="n">
        <v>0</v>
      </c>
      <c r="V7638" s="2" t="inlineStr"/>
    </row>
    <row r="7639" ht="15" customHeight="1">
      <c r="A7639" t="inlineStr">
        <is>
          <t>A 20653-2024</t>
        </is>
      </c>
      <c r="B7639" t="inlineStr">
        <is>
          <t>avverkningsanmälan</t>
        </is>
      </c>
      <c r="C7639" t="inlineStr">
        <is>
          <t>Föryngringsavverkning</t>
        </is>
      </c>
      <c r="D7639" s="1" t="n">
        <v>45436</v>
      </c>
      <c r="E7639" s="1" t="n">
        <v>46326</v>
      </c>
      <c r="F7639" t="inlineStr">
        <is>
          <t>GÄVLEBORGS LÄN</t>
        </is>
      </c>
      <c r="G7639" t="inlineStr">
        <is>
          <t>LJUSDAL</t>
        </is>
      </c>
      <c r="H7639" t="inlineStr">
        <is>
          <t>Sveaskog</t>
        </is>
      </c>
      <c r="I7639" t="n">
        <v>0.7</v>
      </c>
      <c r="J7639" t="n">
        <v>0</v>
      </c>
      <c r="K7639" t="n">
        <v>0</v>
      </c>
      <c r="L7639" t="n">
        <v>0</v>
      </c>
      <c r="M7639" t="n">
        <v>0</v>
      </c>
      <c r="N7639" t="n">
        <v>0</v>
      </c>
      <c r="O7639" t="n">
        <v>0</v>
      </c>
      <c r="P7639" t="n">
        <v>0</v>
      </c>
      <c r="Q7639" t="n">
        <v>0</v>
      </c>
      <c r="R7639" t="n">
        <v>0</v>
      </c>
      <c r="S7639" t="n">
        <v>0</v>
      </c>
      <c r="T7639" t="n">
        <v>0</v>
      </c>
      <c r="U7639" t="n">
        <v>0</v>
      </c>
      <c r="V7639" s="2" t="inlineStr"/>
    </row>
    <row r="7640" ht="15" customHeight="1">
      <c r="A7640" t="inlineStr">
        <is>
          <t>A 21709-2024</t>
        </is>
      </c>
      <c r="B7640" t="inlineStr">
        <is>
          <t>avverkningsanmälan</t>
        </is>
      </c>
      <c r="C7640" t="inlineStr">
        <is>
          <t>Föryngringsavverkning</t>
        </is>
      </c>
      <c r="D7640" s="1" t="n">
        <v>45442</v>
      </c>
      <c r="E7640" s="1" t="n">
        <v>46326</v>
      </c>
      <c r="F7640" t="inlineStr">
        <is>
          <t>GÄVLEBORGS LÄN</t>
        </is>
      </c>
      <c r="G7640" t="inlineStr">
        <is>
          <t>LJUSDAL</t>
        </is>
      </c>
      <c r="I7640" t="n">
        <v>0.9</v>
      </c>
      <c r="J7640" t="n">
        <v>0</v>
      </c>
      <c r="K7640" t="n">
        <v>0</v>
      </c>
      <c r="L7640" t="n">
        <v>0</v>
      </c>
      <c r="M7640" t="n">
        <v>0</v>
      </c>
      <c r="N7640" t="n">
        <v>0</v>
      </c>
      <c r="O7640" t="n">
        <v>0</v>
      </c>
      <c r="P7640" t="n">
        <v>0</v>
      </c>
      <c r="Q7640" t="n">
        <v>0</v>
      </c>
      <c r="R7640" t="n">
        <v>0</v>
      </c>
      <c r="S7640" t="n">
        <v>0</v>
      </c>
      <c r="T7640" t="n">
        <v>0</v>
      </c>
      <c r="U7640" t="n">
        <v>0</v>
      </c>
      <c r="V7640" s="2" t="inlineStr"/>
    </row>
    <row r="7641" ht="15" customHeight="1">
      <c r="A7641" t="inlineStr">
        <is>
          <t>A 21557-2026</t>
        </is>
      </c>
      <c r="B7641" t="inlineStr">
        <is>
          <t>avverkningsanmälan</t>
        </is>
      </c>
      <c r="C7641" t="inlineStr">
        <is>
          <t>Föryngringsavverkning</t>
        </is>
      </c>
      <c r="D7641" s="1" t="n">
        <v>46148</v>
      </c>
      <c r="E7641" s="1" t="n">
        <v>46326</v>
      </c>
      <c r="F7641" t="inlineStr">
        <is>
          <t>GÄVLEBORGS LÄN</t>
        </is>
      </c>
      <c r="G7641" t="inlineStr">
        <is>
          <t>HUDIKSVALL</t>
        </is>
      </c>
      <c r="I7641" t="n">
        <v>2.1</v>
      </c>
      <c r="J7641" t="n">
        <v>0</v>
      </c>
      <c r="K7641" t="n">
        <v>0</v>
      </c>
      <c r="L7641" t="n">
        <v>0</v>
      </c>
      <c r="M7641" t="n">
        <v>0</v>
      </c>
      <c r="N7641" t="n">
        <v>0</v>
      </c>
      <c r="O7641" t="n">
        <v>0</v>
      </c>
      <c r="P7641" t="n">
        <v>0</v>
      </c>
      <c r="Q7641" t="n">
        <v>0</v>
      </c>
      <c r="R7641" t="n">
        <v>0</v>
      </c>
      <c r="S7641" t="n">
        <v>0</v>
      </c>
      <c r="T7641" t="n">
        <v>0</v>
      </c>
      <c r="U7641" t="n">
        <v>0</v>
      </c>
      <c r="V7641" s="2" t="inlineStr"/>
    </row>
    <row r="7642" ht="15" customHeight="1">
      <c r="A7642" t="inlineStr">
        <is>
          <t>A 21500-2026</t>
        </is>
      </c>
      <c r="B7642" t="inlineStr">
        <is>
          <t>avverkningsanmälan</t>
        </is>
      </c>
      <c r="C7642" t="inlineStr">
        <is>
          <t>Föryngringsavverkning</t>
        </is>
      </c>
      <c r="D7642" s="1" t="n">
        <v>46148</v>
      </c>
      <c r="E7642" s="1" t="n">
        <v>46326</v>
      </c>
      <c r="F7642" t="inlineStr">
        <is>
          <t>GÄVLEBORGS LÄN</t>
        </is>
      </c>
      <c r="G7642" t="inlineStr">
        <is>
          <t>OCKELBO</t>
        </is>
      </c>
      <c r="H7642" t="inlineStr">
        <is>
          <t>Bergvik skog väst AB</t>
        </is>
      </c>
      <c r="I7642" t="n">
        <v>3.4</v>
      </c>
      <c r="J7642" t="n">
        <v>0</v>
      </c>
      <c r="K7642" t="n">
        <v>0</v>
      </c>
      <c r="L7642" t="n">
        <v>0</v>
      </c>
      <c r="M7642" t="n">
        <v>0</v>
      </c>
      <c r="N7642" t="n">
        <v>0</v>
      </c>
      <c r="O7642" t="n">
        <v>0</v>
      </c>
      <c r="P7642" t="n">
        <v>0</v>
      </c>
      <c r="Q7642" t="n">
        <v>0</v>
      </c>
      <c r="R7642" t="n">
        <v>0</v>
      </c>
      <c r="S7642" t="n">
        <v>0</v>
      </c>
      <c r="T7642" t="n">
        <v>0</v>
      </c>
      <c r="U7642" t="n">
        <v>0</v>
      </c>
      <c r="V7642" s="2" t="inlineStr"/>
    </row>
    <row r="7643" ht="15" customHeight="1">
      <c r="A7643" t="inlineStr">
        <is>
          <t>A 21633-2026</t>
        </is>
      </c>
      <c r="B7643" t="inlineStr">
        <is>
          <t>avverkningsanmälan</t>
        </is>
      </c>
      <c r="C7643" t="inlineStr">
        <is>
          <t>Föryngringsavverkning</t>
        </is>
      </c>
      <c r="D7643" s="1" t="n">
        <v>46149</v>
      </c>
      <c r="E7643" s="1" t="n">
        <v>46326</v>
      </c>
      <c r="F7643" t="inlineStr">
        <is>
          <t>GÄVLEBORGS LÄN</t>
        </is>
      </c>
      <c r="G7643" t="inlineStr">
        <is>
          <t>BOLLNÄS</t>
        </is>
      </c>
      <c r="H7643" t="inlineStr">
        <is>
          <t>Bergvik skog väst AB</t>
        </is>
      </c>
      <c r="I7643" t="n">
        <v>0.7</v>
      </c>
      <c r="J7643" t="n">
        <v>0</v>
      </c>
      <c r="K7643" t="n">
        <v>0</v>
      </c>
      <c r="L7643" t="n">
        <v>0</v>
      </c>
      <c r="M7643" t="n">
        <v>0</v>
      </c>
      <c r="N7643" t="n">
        <v>0</v>
      </c>
      <c r="O7643" t="n">
        <v>0</v>
      </c>
      <c r="P7643" t="n">
        <v>0</v>
      </c>
      <c r="Q7643" t="n">
        <v>0</v>
      </c>
      <c r="R7643" t="n">
        <v>0</v>
      </c>
      <c r="S7643" t="n">
        <v>0</v>
      </c>
      <c r="T7643" t="n">
        <v>0</v>
      </c>
      <c r="U7643" t="n">
        <v>0</v>
      </c>
      <c r="V7643" s="2" t="inlineStr"/>
    </row>
    <row r="7644" ht="15" customHeight="1">
      <c r="A7644" t="inlineStr">
        <is>
          <t>A 21681-2026</t>
        </is>
      </c>
      <c r="B7644" t="inlineStr">
        <is>
          <t>avverkningsanmälan</t>
        </is>
      </c>
      <c r="C7644" t="inlineStr">
        <is>
          <t>Föryngringsavverkning</t>
        </is>
      </c>
      <c r="D7644" s="1" t="n">
        <v>46149</v>
      </c>
      <c r="E7644" s="1" t="n">
        <v>46326</v>
      </c>
      <c r="F7644" t="inlineStr">
        <is>
          <t>GÄVLEBORGS LÄN</t>
        </is>
      </c>
      <c r="G7644" t="inlineStr">
        <is>
          <t>BOLLNÄS</t>
        </is>
      </c>
      <c r="I7644" t="n">
        <v>1.8</v>
      </c>
      <c r="J7644" t="n">
        <v>0</v>
      </c>
      <c r="K7644" t="n">
        <v>0</v>
      </c>
      <c r="L7644" t="n">
        <v>0</v>
      </c>
      <c r="M7644" t="n">
        <v>0</v>
      </c>
      <c r="N7644" t="n">
        <v>0</v>
      </c>
      <c r="O7644" t="n">
        <v>0</v>
      </c>
      <c r="P7644" t="n">
        <v>0</v>
      </c>
      <c r="Q7644" t="n">
        <v>0</v>
      </c>
      <c r="R7644" t="n">
        <v>0</v>
      </c>
      <c r="S7644" t="n">
        <v>0</v>
      </c>
      <c r="T7644" t="n">
        <v>0</v>
      </c>
      <c r="U7644" t="n">
        <v>0</v>
      </c>
      <c r="V7644" s="2" t="inlineStr"/>
    </row>
    <row r="7645" ht="15" customHeight="1">
      <c r="A7645" t="inlineStr">
        <is>
          <t>A 21721-2026</t>
        </is>
      </c>
      <c r="B7645" t="inlineStr">
        <is>
          <t>avverkningsanmälan</t>
        </is>
      </c>
      <c r="C7645" t="inlineStr">
        <is>
          <t>Föryngringsavverkning</t>
        </is>
      </c>
      <c r="D7645" s="1" t="n">
        <v>46149</v>
      </c>
      <c r="E7645" s="1" t="n">
        <v>46326</v>
      </c>
      <c r="F7645" t="inlineStr">
        <is>
          <t>GÄVLEBORGS LÄN</t>
        </is>
      </c>
      <c r="G7645" t="inlineStr">
        <is>
          <t>LJUSDAL</t>
        </is>
      </c>
      <c r="H7645" t="inlineStr">
        <is>
          <t>Bergvik skog väst AB</t>
        </is>
      </c>
      <c r="I7645" t="n">
        <v>0.8</v>
      </c>
      <c r="J7645" t="n">
        <v>0</v>
      </c>
      <c r="K7645" t="n">
        <v>0</v>
      </c>
      <c r="L7645" t="n">
        <v>0</v>
      </c>
      <c r="M7645" t="n">
        <v>0</v>
      </c>
      <c r="N7645" t="n">
        <v>0</v>
      </c>
      <c r="O7645" t="n">
        <v>0</v>
      </c>
      <c r="P7645" t="n">
        <v>0</v>
      </c>
      <c r="Q7645" t="n">
        <v>0</v>
      </c>
      <c r="R7645" t="n">
        <v>0</v>
      </c>
      <c r="S7645" t="n">
        <v>0</v>
      </c>
      <c r="T7645" t="n">
        <v>0</v>
      </c>
      <c r="U7645" t="n">
        <v>0</v>
      </c>
      <c r="V7645" s="2" t="inlineStr"/>
    </row>
    <row r="7646" ht="15" customHeight="1">
      <c r="A7646" t="inlineStr">
        <is>
          <t>A 21741-2026</t>
        </is>
      </c>
      <c r="B7646" t="inlineStr">
        <is>
          <t>avverkningsanmälan</t>
        </is>
      </c>
      <c r="C7646" t="inlineStr">
        <is>
          <t>Föryngringsavverkning</t>
        </is>
      </c>
      <c r="D7646" s="1" t="n">
        <v>46149</v>
      </c>
      <c r="E7646" s="1" t="n">
        <v>46326</v>
      </c>
      <c r="F7646" t="inlineStr">
        <is>
          <t>GÄVLEBORGS LÄN</t>
        </is>
      </c>
      <c r="G7646" t="inlineStr">
        <is>
          <t>BOLLNÄS</t>
        </is>
      </c>
      <c r="I7646" t="n">
        <v>0.9</v>
      </c>
      <c r="J7646" t="n">
        <v>0</v>
      </c>
      <c r="K7646" t="n">
        <v>0</v>
      </c>
      <c r="L7646" t="n">
        <v>0</v>
      </c>
      <c r="M7646" t="n">
        <v>0</v>
      </c>
      <c r="N7646" t="n">
        <v>0</v>
      </c>
      <c r="O7646" t="n">
        <v>0</v>
      </c>
      <c r="P7646" t="n">
        <v>0</v>
      </c>
      <c r="Q7646" t="n">
        <v>0</v>
      </c>
      <c r="R7646" t="n">
        <v>0</v>
      </c>
      <c r="S7646" t="n">
        <v>0</v>
      </c>
      <c r="T7646" t="n">
        <v>0</v>
      </c>
      <c r="U7646" t="n">
        <v>0</v>
      </c>
      <c r="V7646" s="2" t="inlineStr"/>
    </row>
    <row r="7647" ht="15" customHeight="1">
      <c r="A7647" t="inlineStr">
        <is>
          <t>A 19537-2026</t>
        </is>
      </c>
      <c r="B7647" t="inlineStr">
        <is>
          <t>avverkningsanmälan</t>
        </is>
      </c>
      <c r="C7647" t="inlineStr">
        <is>
          <t>Föryngringsavverkning</t>
        </is>
      </c>
      <c r="D7647" s="1" t="n">
        <v>46134</v>
      </c>
      <c r="E7647" s="1" t="n">
        <v>46326</v>
      </c>
      <c r="F7647" t="inlineStr">
        <is>
          <t>GÄVLEBORGS LÄN</t>
        </is>
      </c>
      <c r="G7647" t="inlineStr">
        <is>
          <t>OCKELBO</t>
        </is>
      </c>
      <c r="H7647" t="inlineStr">
        <is>
          <t>Bergvik skog väst AB</t>
        </is>
      </c>
      <c r="I7647" t="n">
        <v>5.1</v>
      </c>
      <c r="J7647" t="n">
        <v>0</v>
      </c>
      <c r="K7647" t="n">
        <v>0</v>
      </c>
      <c r="L7647" t="n">
        <v>0</v>
      </c>
      <c r="M7647" t="n">
        <v>0</v>
      </c>
      <c r="N7647" t="n">
        <v>0</v>
      </c>
      <c r="O7647" t="n">
        <v>0</v>
      </c>
      <c r="P7647" t="n">
        <v>0</v>
      </c>
      <c r="Q7647" t="n">
        <v>0</v>
      </c>
      <c r="R7647" t="n">
        <v>0</v>
      </c>
      <c r="S7647" t="n">
        <v>0</v>
      </c>
      <c r="T7647" t="n">
        <v>0</v>
      </c>
      <c r="U7647" t="n">
        <v>0</v>
      </c>
      <c r="V7647" s="2" t="inlineStr"/>
    </row>
    <row r="7648" ht="15" customHeight="1">
      <c r="A7648" t="inlineStr">
        <is>
          <t>A 12935-2025</t>
        </is>
      </c>
      <c r="B7648" t="inlineStr">
        <is>
          <t>avverkningsanmälan</t>
        </is>
      </c>
      <c r="C7648" t="inlineStr">
        <is>
          <t>Föryngringsavverkning</t>
        </is>
      </c>
      <c r="D7648" s="1" t="n">
        <v>45734</v>
      </c>
      <c r="E7648" s="1" t="n">
        <v>46326</v>
      </c>
      <c r="F7648" t="inlineStr">
        <is>
          <t>GÄVLEBORGS LÄN</t>
        </is>
      </c>
      <c r="G7648" t="inlineStr">
        <is>
          <t>BOLLNÄS</t>
        </is>
      </c>
      <c r="I7648" t="n">
        <v>1</v>
      </c>
      <c r="J7648" t="n">
        <v>0</v>
      </c>
      <c r="K7648" t="n">
        <v>0</v>
      </c>
      <c r="L7648" t="n">
        <v>0</v>
      </c>
      <c r="M7648" t="n">
        <v>0</v>
      </c>
      <c r="N7648" t="n">
        <v>0</v>
      </c>
      <c r="O7648" t="n">
        <v>0</v>
      </c>
      <c r="P7648" t="n">
        <v>0</v>
      </c>
      <c r="Q7648" t="n">
        <v>0</v>
      </c>
      <c r="R7648" t="n">
        <v>0</v>
      </c>
      <c r="S7648" t="n">
        <v>0</v>
      </c>
      <c r="T7648" t="n">
        <v>0</v>
      </c>
      <c r="U7648" t="n">
        <v>0</v>
      </c>
      <c r="V7648" s="2" t="inlineStr"/>
    </row>
    <row r="7649" ht="15" customHeight="1">
      <c r="A7649" t="inlineStr">
        <is>
          <t>A 21520-2026</t>
        </is>
      </c>
      <c r="B7649" t="inlineStr">
        <is>
          <t>avverkningsanmälan</t>
        </is>
      </c>
      <c r="C7649" t="inlineStr">
        <is>
          <t>Föryngringsavverkning</t>
        </is>
      </c>
      <c r="D7649" s="1" t="n">
        <v>46148</v>
      </c>
      <c r="E7649" s="1" t="n">
        <v>46326</v>
      </c>
      <c r="F7649" t="inlineStr">
        <is>
          <t>GÄVLEBORGS LÄN</t>
        </is>
      </c>
      <c r="G7649" t="inlineStr">
        <is>
          <t>BOLLNÄS</t>
        </is>
      </c>
      <c r="I7649" t="n">
        <v>0.5</v>
      </c>
      <c r="J7649" t="n">
        <v>0</v>
      </c>
      <c r="K7649" t="n">
        <v>0</v>
      </c>
      <c r="L7649" t="n">
        <v>0</v>
      </c>
      <c r="M7649" t="n">
        <v>0</v>
      </c>
      <c r="N7649" t="n">
        <v>0</v>
      </c>
      <c r="O7649" t="n">
        <v>0</v>
      </c>
      <c r="P7649" t="n">
        <v>0</v>
      </c>
      <c r="Q7649" t="n">
        <v>0</v>
      </c>
      <c r="R7649" t="n">
        <v>0</v>
      </c>
      <c r="S7649" t="n">
        <v>0</v>
      </c>
      <c r="T7649" t="n">
        <v>0</v>
      </c>
      <c r="U7649" t="n">
        <v>0</v>
      </c>
      <c r="V7649" s="2" t="inlineStr"/>
    </row>
    <row r="7650" ht="15" customHeight="1">
      <c r="A7650" t="inlineStr">
        <is>
          <t>A 21521-2026</t>
        </is>
      </c>
      <c r="B7650" t="inlineStr">
        <is>
          <t>avverkningsanmälan</t>
        </is>
      </c>
      <c r="C7650" t="inlineStr">
        <is>
          <t>Föryngringsavverkning</t>
        </is>
      </c>
      <c r="D7650" s="1" t="n">
        <v>46148</v>
      </c>
      <c r="E7650" s="1" t="n">
        <v>46326</v>
      </c>
      <c r="F7650" t="inlineStr">
        <is>
          <t>GÄVLEBORGS LÄN</t>
        </is>
      </c>
      <c r="G7650" t="inlineStr">
        <is>
          <t>BOLLNÄS</t>
        </is>
      </c>
      <c r="I7650" t="n">
        <v>1.6</v>
      </c>
      <c r="J7650" t="n">
        <v>0</v>
      </c>
      <c r="K7650" t="n">
        <v>0</v>
      </c>
      <c r="L7650" t="n">
        <v>0</v>
      </c>
      <c r="M7650" t="n">
        <v>0</v>
      </c>
      <c r="N7650" t="n">
        <v>0</v>
      </c>
      <c r="O7650" t="n">
        <v>0</v>
      </c>
      <c r="P7650" t="n">
        <v>0</v>
      </c>
      <c r="Q7650" t="n">
        <v>0</v>
      </c>
      <c r="R7650" t="n">
        <v>0</v>
      </c>
      <c r="S7650" t="n">
        <v>0</v>
      </c>
      <c r="T7650" t="n">
        <v>0</v>
      </c>
      <c r="U7650" t="n">
        <v>0</v>
      </c>
      <c r="V7650" s="2" t="inlineStr"/>
    </row>
    <row r="7651" ht="15" customHeight="1">
      <c r="A7651" t="inlineStr">
        <is>
          <t>A 21399-2026</t>
        </is>
      </c>
      <c r="B7651" t="inlineStr">
        <is>
          <t>avverkningsanmälan</t>
        </is>
      </c>
      <c r="C7651" t="inlineStr">
        <is>
          <t>Föryngringsavverkning</t>
        </is>
      </c>
      <c r="D7651" s="1" t="n">
        <v>46148</v>
      </c>
      <c r="E7651" s="1" t="n">
        <v>46326</v>
      </c>
      <c r="F7651" t="inlineStr">
        <is>
          <t>GÄVLEBORGS LÄN</t>
        </is>
      </c>
      <c r="G7651" t="inlineStr">
        <is>
          <t>BOLLNÄS</t>
        </is>
      </c>
      <c r="H7651" t="inlineStr">
        <is>
          <t>Bergvik skog väst AB</t>
        </is>
      </c>
      <c r="I7651" t="n">
        <v>0.6</v>
      </c>
      <c r="J7651" t="n">
        <v>0</v>
      </c>
      <c r="K7651" t="n">
        <v>0</v>
      </c>
      <c r="L7651" t="n">
        <v>0</v>
      </c>
      <c r="M7651" t="n">
        <v>0</v>
      </c>
      <c r="N7651" t="n">
        <v>0</v>
      </c>
      <c r="O7651" t="n">
        <v>0</v>
      </c>
      <c r="P7651" t="n">
        <v>0</v>
      </c>
      <c r="Q7651" t="n">
        <v>0</v>
      </c>
      <c r="R7651" t="n">
        <v>0</v>
      </c>
      <c r="S7651" t="n">
        <v>0</v>
      </c>
      <c r="T7651" t="n">
        <v>0</v>
      </c>
      <c r="U7651" t="n">
        <v>0</v>
      </c>
      <c r="V7651" s="2" t="inlineStr"/>
    </row>
    <row r="7652" ht="15" customHeight="1">
      <c r="A7652" t="inlineStr">
        <is>
          <t>A 21639-2026</t>
        </is>
      </c>
      <c r="B7652" t="inlineStr">
        <is>
          <t>avverkningsanmälan</t>
        </is>
      </c>
      <c r="C7652" t="inlineStr">
        <is>
          <t>Föryngringsavverkning</t>
        </is>
      </c>
      <c r="D7652" s="1" t="n">
        <v>46149</v>
      </c>
      <c r="E7652" s="1" t="n">
        <v>46326</v>
      </c>
      <c r="F7652" t="inlineStr">
        <is>
          <t>GÄVLEBORGS LÄN</t>
        </is>
      </c>
      <c r="G7652" t="inlineStr">
        <is>
          <t>BOLLNÄS</t>
        </is>
      </c>
      <c r="I7652" t="n">
        <v>1.8</v>
      </c>
      <c r="J7652" t="n">
        <v>0</v>
      </c>
      <c r="K7652" t="n">
        <v>0</v>
      </c>
      <c r="L7652" t="n">
        <v>0</v>
      </c>
      <c r="M7652" t="n">
        <v>0</v>
      </c>
      <c r="N7652" t="n">
        <v>0</v>
      </c>
      <c r="O7652" t="n">
        <v>0</v>
      </c>
      <c r="P7652" t="n">
        <v>0</v>
      </c>
      <c r="Q7652" t="n">
        <v>0</v>
      </c>
      <c r="R7652" t="n">
        <v>0</v>
      </c>
      <c r="S7652" t="n">
        <v>0</v>
      </c>
      <c r="T7652" t="n">
        <v>0</v>
      </c>
      <c r="U7652" t="n">
        <v>0</v>
      </c>
      <c r="V7652" s="2" t="inlineStr"/>
    </row>
    <row r="7653" ht="15" customHeight="1">
      <c r="A7653" t="inlineStr">
        <is>
          <t>A 21640-2026</t>
        </is>
      </c>
      <c r="B7653" t="inlineStr">
        <is>
          <t>avverkningsanmälan</t>
        </is>
      </c>
      <c r="C7653" t="inlineStr">
        <is>
          <t>Föryngringsavverkning</t>
        </is>
      </c>
      <c r="D7653" s="1" t="n">
        <v>46149</v>
      </c>
      <c r="E7653" s="1" t="n">
        <v>46326</v>
      </c>
      <c r="F7653" t="inlineStr">
        <is>
          <t>GÄVLEBORGS LÄN</t>
        </is>
      </c>
      <c r="G7653" t="inlineStr">
        <is>
          <t>OCKELBO</t>
        </is>
      </c>
      <c r="I7653" t="n">
        <v>1.8</v>
      </c>
      <c r="J7653" t="n">
        <v>0</v>
      </c>
      <c r="K7653" t="n">
        <v>0</v>
      </c>
      <c r="L7653" t="n">
        <v>0</v>
      </c>
      <c r="M7653" t="n">
        <v>0</v>
      </c>
      <c r="N7653" t="n">
        <v>0</v>
      </c>
      <c r="O7653" t="n">
        <v>0</v>
      </c>
      <c r="P7653" t="n">
        <v>0</v>
      </c>
      <c r="Q7653" t="n">
        <v>0</v>
      </c>
      <c r="R7653" t="n">
        <v>0</v>
      </c>
      <c r="S7653" t="n">
        <v>0</v>
      </c>
      <c r="T7653" t="n">
        <v>0</v>
      </c>
      <c r="U7653" t="n">
        <v>0</v>
      </c>
      <c r="V7653" s="2" t="inlineStr"/>
    </row>
    <row r="7654" ht="15" customHeight="1">
      <c r="A7654" t="inlineStr">
        <is>
          <t>A 14479-2023</t>
        </is>
      </c>
      <c r="B7654" t="inlineStr">
        <is>
          <t>avverkningsanmälan</t>
        </is>
      </c>
      <c r="C7654" t="inlineStr">
        <is>
          <t>Föryngringsavverkning</t>
        </is>
      </c>
      <c r="D7654" s="1" t="n">
        <v>45012</v>
      </c>
      <c r="E7654" s="1" t="n">
        <v>46326</v>
      </c>
      <c r="F7654" t="inlineStr">
        <is>
          <t>GÄVLEBORGS LÄN</t>
        </is>
      </c>
      <c r="G7654" t="inlineStr">
        <is>
          <t>LJUSDAL</t>
        </is>
      </c>
      <c r="H7654" t="inlineStr">
        <is>
          <t>Kyrkan</t>
        </is>
      </c>
      <c r="I7654" t="n">
        <v>27.5</v>
      </c>
      <c r="J7654" t="n">
        <v>0</v>
      </c>
      <c r="K7654" t="n">
        <v>0</v>
      </c>
      <c r="L7654" t="n">
        <v>0</v>
      </c>
      <c r="M7654" t="n">
        <v>0</v>
      </c>
      <c r="N7654" t="n">
        <v>0</v>
      </c>
      <c r="O7654" t="n">
        <v>0</v>
      </c>
      <c r="P7654" t="n">
        <v>0</v>
      </c>
      <c r="Q7654" t="n">
        <v>0</v>
      </c>
      <c r="R7654" t="n">
        <v>0</v>
      </c>
      <c r="S7654" t="n">
        <v>0</v>
      </c>
      <c r="T7654" t="n">
        <v>0</v>
      </c>
      <c r="U7654" t="n">
        <v>0</v>
      </c>
      <c r="V7654" s="2" t="inlineStr"/>
    </row>
    <row r="7655" ht="15" customHeight="1">
      <c r="A7655" t="inlineStr">
        <is>
          <t>A 21459-2026</t>
        </is>
      </c>
      <c r="B7655" t="inlineStr">
        <is>
          <t>avverkningsanmälan</t>
        </is>
      </c>
      <c r="C7655" t="inlineStr">
        <is>
          <t>Föryngringsavverkning</t>
        </is>
      </c>
      <c r="D7655" s="1" t="n">
        <v>46148</v>
      </c>
      <c r="E7655" s="1" t="n">
        <v>46326</v>
      </c>
      <c r="F7655" t="inlineStr">
        <is>
          <t>GÄVLEBORGS LÄN</t>
        </is>
      </c>
      <c r="G7655" t="inlineStr">
        <is>
          <t>OCKELBO</t>
        </is>
      </c>
      <c r="H7655" t="inlineStr">
        <is>
          <t>Bergvik skog väst AB</t>
        </is>
      </c>
      <c r="I7655" t="n">
        <v>2.7</v>
      </c>
      <c r="J7655" t="n">
        <v>0</v>
      </c>
      <c r="K7655" t="n">
        <v>0</v>
      </c>
      <c r="L7655" t="n">
        <v>0</v>
      </c>
      <c r="M7655" t="n">
        <v>0</v>
      </c>
      <c r="N7655" t="n">
        <v>0</v>
      </c>
      <c r="O7655" t="n">
        <v>0</v>
      </c>
      <c r="P7655" t="n">
        <v>0</v>
      </c>
      <c r="Q7655" t="n">
        <v>0</v>
      </c>
      <c r="R7655" t="n">
        <v>0</v>
      </c>
      <c r="S7655" t="n">
        <v>0</v>
      </c>
      <c r="T7655" t="n">
        <v>0</v>
      </c>
      <c r="U7655" t="n">
        <v>0</v>
      </c>
      <c r="V7655" s="2" t="inlineStr"/>
    </row>
    <row r="7656" ht="15" customHeight="1">
      <c r="A7656" t="inlineStr">
        <is>
          <t>A 21468-2026</t>
        </is>
      </c>
      <c r="B7656" t="inlineStr">
        <is>
          <t>avverkningsanmälan</t>
        </is>
      </c>
      <c r="C7656" t="inlineStr">
        <is>
          <t>Föryngringsavverkning</t>
        </is>
      </c>
      <c r="D7656" s="1" t="n">
        <v>46148</v>
      </c>
      <c r="E7656" s="1" t="n">
        <v>46326</v>
      </c>
      <c r="F7656" t="inlineStr">
        <is>
          <t>GÄVLEBORGS LÄN</t>
        </is>
      </c>
      <c r="G7656" t="inlineStr">
        <is>
          <t>OCKELBO</t>
        </is>
      </c>
      <c r="H7656" t="inlineStr">
        <is>
          <t>Bergvik skog väst AB</t>
        </is>
      </c>
      <c r="I7656" t="n">
        <v>3.4</v>
      </c>
      <c r="J7656" t="n">
        <v>0</v>
      </c>
      <c r="K7656" t="n">
        <v>0</v>
      </c>
      <c r="L7656" t="n">
        <v>0</v>
      </c>
      <c r="M7656" t="n">
        <v>0</v>
      </c>
      <c r="N7656" t="n">
        <v>0</v>
      </c>
      <c r="O7656" t="n">
        <v>0</v>
      </c>
      <c r="P7656" t="n">
        <v>0</v>
      </c>
      <c r="Q7656" t="n">
        <v>0</v>
      </c>
      <c r="R7656" t="n">
        <v>0</v>
      </c>
      <c r="S7656" t="n">
        <v>0</v>
      </c>
      <c r="T7656" t="n">
        <v>0</v>
      </c>
      <c r="U7656" t="n">
        <v>0</v>
      </c>
      <c r="V7656" s="2" t="inlineStr"/>
    </row>
    <row r="7657" ht="15" customHeight="1">
      <c r="A7657" t="inlineStr">
        <is>
          <t>A 21474-2026</t>
        </is>
      </c>
      <c r="B7657" t="inlineStr">
        <is>
          <t>avverkningsanmälan</t>
        </is>
      </c>
      <c r="C7657" t="inlineStr">
        <is>
          <t>Föryngringsavverkning</t>
        </is>
      </c>
      <c r="D7657" s="1" t="n">
        <v>46148</v>
      </c>
      <c r="E7657" s="1" t="n">
        <v>46326</v>
      </c>
      <c r="F7657" t="inlineStr">
        <is>
          <t>GÄVLEBORGS LÄN</t>
        </is>
      </c>
      <c r="G7657" t="inlineStr">
        <is>
          <t>BOLLNÄS</t>
        </is>
      </c>
      <c r="H7657" t="inlineStr">
        <is>
          <t>Bergvik skog väst AB</t>
        </is>
      </c>
      <c r="I7657" t="n">
        <v>2.7</v>
      </c>
      <c r="J7657" t="n">
        <v>0</v>
      </c>
      <c r="K7657" t="n">
        <v>0</v>
      </c>
      <c r="L7657" t="n">
        <v>0</v>
      </c>
      <c r="M7657" t="n">
        <v>0</v>
      </c>
      <c r="N7657" t="n">
        <v>0</v>
      </c>
      <c r="O7657" t="n">
        <v>0</v>
      </c>
      <c r="P7657" t="n">
        <v>0</v>
      </c>
      <c r="Q7657" t="n">
        <v>0</v>
      </c>
      <c r="R7657" t="n">
        <v>0</v>
      </c>
      <c r="S7657" t="n">
        <v>0</v>
      </c>
      <c r="T7657" t="n">
        <v>0</v>
      </c>
      <c r="U7657" t="n">
        <v>0</v>
      </c>
      <c r="V7657" s="2" t="inlineStr"/>
    </row>
    <row r="7658" ht="15" customHeight="1">
      <c r="A7658" t="inlineStr">
        <is>
          <t>A 56087-2024</t>
        </is>
      </c>
      <c r="B7658" t="inlineStr">
        <is>
          <t>avverkningsanmälan</t>
        </is>
      </c>
      <c r="C7658" t="inlineStr">
        <is>
          <t>Föryngringsavverkning</t>
        </is>
      </c>
      <c r="D7658" s="1" t="n">
        <v>45624</v>
      </c>
      <c r="E7658" s="1" t="n">
        <v>46326</v>
      </c>
      <c r="F7658" t="inlineStr">
        <is>
          <t>GÄVLEBORGS LÄN</t>
        </is>
      </c>
      <c r="G7658" t="inlineStr">
        <is>
          <t>OVANÅKER</t>
        </is>
      </c>
      <c r="I7658" t="n">
        <v>5.4</v>
      </c>
      <c r="J7658" t="n">
        <v>0</v>
      </c>
      <c r="K7658" t="n">
        <v>0</v>
      </c>
      <c r="L7658" t="n">
        <v>0</v>
      </c>
      <c r="M7658" t="n">
        <v>0</v>
      </c>
      <c r="N7658" t="n">
        <v>0</v>
      </c>
      <c r="O7658" t="n">
        <v>0</v>
      </c>
      <c r="P7658" t="n">
        <v>0</v>
      </c>
      <c r="Q7658" t="n">
        <v>0</v>
      </c>
      <c r="R7658" t="n">
        <v>0</v>
      </c>
      <c r="S7658" t="n">
        <v>0</v>
      </c>
      <c r="T7658" t="n">
        <v>0</v>
      </c>
      <c r="U7658" t="n">
        <v>0</v>
      </c>
      <c r="V7658" s="2" t="inlineStr"/>
    </row>
    <row r="7659" ht="15" customHeight="1">
      <c r="A7659" t="inlineStr">
        <is>
          <t>A 20778-2023</t>
        </is>
      </c>
      <c r="B7659" t="inlineStr">
        <is>
          <t>avverkningsanmälan</t>
        </is>
      </c>
      <c r="C7659" t="inlineStr">
        <is>
          <t>Föryngringsavverkning</t>
        </is>
      </c>
      <c r="D7659" s="1" t="n">
        <v>45058</v>
      </c>
      <c r="E7659" s="1" t="n">
        <v>46326</v>
      </c>
      <c r="F7659" t="inlineStr">
        <is>
          <t>GÄVLEBORGS LÄN</t>
        </is>
      </c>
      <c r="G7659" t="inlineStr">
        <is>
          <t>BOLLNÄS</t>
        </is>
      </c>
      <c r="H7659" t="inlineStr">
        <is>
          <t>Sveaskog</t>
        </is>
      </c>
      <c r="I7659" t="n">
        <v>0.9</v>
      </c>
      <c r="J7659" t="n">
        <v>0</v>
      </c>
      <c r="K7659" t="n">
        <v>0</v>
      </c>
      <c r="L7659" t="n">
        <v>0</v>
      </c>
      <c r="M7659" t="n">
        <v>0</v>
      </c>
      <c r="N7659" t="n">
        <v>0</v>
      </c>
      <c r="O7659" t="n">
        <v>0</v>
      </c>
      <c r="P7659" t="n">
        <v>0</v>
      </c>
      <c r="Q7659" t="n">
        <v>0</v>
      </c>
      <c r="R7659" t="n">
        <v>0</v>
      </c>
      <c r="S7659" t="n">
        <v>0</v>
      </c>
      <c r="T7659" t="n">
        <v>0</v>
      </c>
      <c r="U7659" t="n">
        <v>0</v>
      </c>
      <c r="V7659" s="2" t="inlineStr"/>
    </row>
    <row r="7660" ht="15" customHeight="1">
      <c r="A7660" t="inlineStr">
        <is>
          <t>A 10805-2026</t>
        </is>
      </c>
      <c r="B7660" t="inlineStr">
        <is>
          <t>avverkningsanmälan</t>
        </is>
      </c>
      <c r="C7660" t="inlineStr">
        <is>
          <t>Föryngringsavverkning</t>
        </is>
      </c>
      <c r="D7660" s="1" t="n">
        <v>46078</v>
      </c>
      <c r="E7660" s="1" t="n">
        <v>46326</v>
      </c>
      <c r="F7660" t="inlineStr">
        <is>
          <t>GÄVLEBORGS LÄN</t>
        </is>
      </c>
      <c r="G7660" t="inlineStr">
        <is>
          <t>BOLLNÄS</t>
        </is>
      </c>
      <c r="I7660" t="n">
        <v>9.6</v>
      </c>
      <c r="J7660" t="n">
        <v>0</v>
      </c>
      <c r="K7660" t="n">
        <v>0</v>
      </c>
      <c r="L7660" t="n">
        <v>0</v>
      </c>
      <c r="M7660" t="n">
        <v>0</v>
      </c>
      <c r="N7660" t="n">
        <v>0</v>
      </c>
      <c r="O7660" t="n">
        <v>0</v>
      </c>
      <c r="P7660" t="n">
        <v>0</v>
      </c>
      <c r="Q7660" t="n">
        <v>0</v>
      </c>
      <c r="R7660" t="n">
        <v>0</v>
      </c>
      <c r="S7660" t="n">
        <v>0</v>
      </c>
      <c r="T7660" t="n">
        <v>0</v>
      </c>
      <c r="U7660" t="n">
        <v>0</v>
      </c>
      <c r="V7660" s="2" t="inlineStr"/>
    </row>
    <row r="7661" ht="15" customHeight="1">
      <c r="A7661" t="inlineStr">
        <is>
          <t>A 21698-2026</t>
        </is>
      </c>
      <c r="B7661" t="inlineStr">
        <is>
          <t>avverkningsanmälan</t>
        </is>
      </c>
      <c r="C7661" t="inlineStr">
        <is>
          <t>Föryngringsavverkning</t>
        </is>
      </c>
      <c r="D7661" s="1" t="n">
        <v>46149</v>
      </c>
      <c r="E7661" s="1" t="n">
        <v>46326</v>
      </c>
      <c r="F7661" t="inlineStr">
        <is>
          <t>GÄVLEBORGS LÄN</t>
        </is>
      </c>
      <c r="G7661" t="inlineStr">
        <is>
          <t>BOLLNÄS</t>
        </is>
      </c>
      <c r="I7661" t="n">
        <v>2.1</v>
      </c>
      <c r="J7661" t="n">
        <v>0</v>
      </c>
      <c r="K7661" t="n">
        <v>0</v>
      </c>
      <c r="L7661" t="n">
        <v>0</v>
      </c>
      <c r="M7661" t="n">
        <v>0</v>
      </c>
      <c r="N7661" t="n">
        <v>0</v>
      </c>
      <c r="O7661" t="n">
        <v>0</v>
      </c>
      <c r="P7661" t="n">
        <v>0</v>
      </c>
      <c r="Q7661" t="n">
        <v>0</v>
      </c>
      <c r="R7661" t="n">
        <v>0</v>
      </c>
      <c r="S7661" t="n">
        <v>0</v>
      </c>
      <c r="T7661" t="n">
        <v>0</v>
      </c>
      <c r="U7661" t="n">
        <v>0</v>
      </c>
      <c r="V7661" s="2" t="inlineStr"/>
    </row>
    <row r="7662" ht="15" customHeight="1">
      <c r="A7662" t="inlineStr">
        <is>
          <t>A 31176-2023</t>
        </is>
      </c>
      <c r="B7662" t="inlineStr">
        <is>
          <t>avverkningsanmälan</t>
        </is>
      </c>
      <c r="C7662" t="inlineStr">
        <is>
          <t>Föryngringsavverkning</t>
        </is>
      </c>
      <c r="D7662" s="1" t="n">
        <v>45113</v>
      </c>
      <c r="E7662" s="1" t="n">
        <v>46326</v>
      </c>
      <c r="F7662" t="inlineStr">
        <is>
          <t>GÄVLEBORGS LÄN</t>
        </is>
      </c>
      <c r="G7662" t="inlineStr">
        <is>
          <t>SÖDERHAMN</t>
        </is>
      </c>
      <c r="I7662" t="n">
        <v>2.9</v>
      </c>
      <c r="J7662" t="n">
        <v>0</v>
      </c>
      <c r="K7662" t="n">
        <v>0</v>
      </c>
      <c r="L7662" t="n">
        <v>0</v>
      </c>
      <c r="M7662" t="n">
        <v>0</v>
      </c>
      <c r="N7662" t="n">
        <v>0</v>
      </c>
      <c r="O7662" t="n">
        <v>0</v>
      </c>
      <c r="P7662" t="n">
        <v>0</v>
      </c>
      <c r="Q7662" t="n">
        <v>0</v>
      </c>
      <c r="R7662" t="n">
        <v>0</v>
      </c>
      <c r="S7662" t="n">
        <v>0</v>
      </c>
      <c r="T7662" t="n">
        <v>0</v>
      </c>
      <c r="U7662" t="n">
        <v>0</v>
      </c>
      <c r="V7662" s="2" t="inlineStr"/>
    </row>
    <row r="7663" ht="15" customHeight="1">
      <c r="A7663" t="inlineStr">
        <is>
          <t>A 21574-2026</t>
        </is>
      </c>
      <c r="B7663" t="inlineStr">
        <is>
          <t>avverkningsanmälan</t>
        </is>
      </c>
      <c r="C7663" t="inlineStr">
        <is>
          <t>Föryngringsavverkning</t>
        </is>
      </c>
      <c r="D7663" s="1" t="n">
        <v>46148</v>
      </c>
      <c r="E7663" s="1" t="n">
        <v>46326</v>
      </c>
      <c r="F7663" t="inlineStr">
        <is>
          <t>GÄVLEBORGS LÄN</t>
        </is>
      </c>
      <c r="G7663" t="inlineStr">
        <is>
          <t>HUDIKSVALL</t>
        </is>
      </c>
      <c r="I7663" t="n">
        <v>1.3</v>
      </c>
      <c r="J7663" t="n">
        <v>0</v>
      </c>
      <c r="K7663" t="n">
        <v>0</v>
      </c>
      <c r="L7663" t="n">
        <v>0</v>
      </c>
      <c r="M7663" t="n">
        <v>0</v>
      </c>
      <c r="N7663" t="n">
        <v>0</v>
      </c>
      <c r="O7663" t="n">
        <v>0</v>
      </c>
      <c r="P7663" t="n">
        <v>0</v>
      </c>
      <c r="Q7663" t="n">
        <v>0</v>
      </c>
      <c r="R7663" t="n">
        <v>0</v>
      </c>
      <c r="S7663" t="n">
        <v>0</v>
      </c>
      <c r="T7663" t="n">
        <v>0</v>
      </c>
      <c r="U7663" t="n">
        <v>0</v>
      </c>
      <c r="V7663" s="2" t="inlineStr"/>
    </row>
    <row r="7664" ht="15" customHeight="1">
      <c r="A7664" t="inlineStr">
        <is>
          <t>A 21576-2026</t>
        </is>
      </c>
      <c r="B7664" t="inlineStr">
        <is>
          <t>avverkningsanmälan</t>
        </is>
      </c>
      <c r="C7664" t="inlineStr">
        <is>
          <t>Föryngringsavverkning</t>
        </is>
      </c>
      <c r="D7664" s="1" t="n">
        <v>46148</v>
      </c>
      <c r="E7664" s="1" t="n">
        <v>46326</v>
      </c>
      <c r="F7664" t="inlineStr">
        <is>
          <t>GÄVLEBORGS LÄN</t>
        </is>
      </c>
      <c r="G7664" t="inlineStr">
        <is>
          <t>SANDVIKEN</t>
        </is>
      </c>
      <c r="I7664" t="n">
        <v>0.9</v>
      </c>
      <c r="J7664" t="n">
        <v>0</v>
      </c>
      <c r="K7664" t="n">
        <v>0</v>
      </c>
      <c r="L7664" t="n">
        <v>0</v>
      </c>
      <c r="M7664" t="n">
        <v>0</v>
      </c>
      <c r="N7664" t="n">
        <v>0</v>
      </c>
      <c r="O7664" t="n">
        <v>0</v>
      </c>
      <c r="P7664" t="n">
        <v>0</v>
      </c>
      <c r="Q7664" t="n">
        <v>0</v>
      </c>
      <c r="R7664" t="n">
        <v>0</v>
      </c>
      <c r="S7664" t="n">
        <v>0</v>
      </c>
      <c r="T7664" t="n">
        <v>0</v>
      </c>
      <c r="U7664" t="n">
        <v>0</v>
      </c>
      <c r="V7664" s="2" t="inlineStr"/>
    </row>
    <row r="7665" ht="15" customHeight="1">
      <c r="A7665" t="inlineStr">
        <is>
          <t>A 32365-2023</t>
        </is>
      </c>
      <c r="B7665" t="inlineStr">
        <is>
          <t>avverkningsanmälan</t>
        </is>
      </c>
      <c r="C7665" t="inlineStr">
        <is>
          <t>Föryngringsavverkning</t>
        </is>
      </c>
      <c r="D7665" s="1" t="n">
        <v>45120</v>
      </c>
      <c r="E7665" s="1" t="n">
        <v>46326</v>
      </c>
      <c r="F7665" t="inlineStr">
        <is>
          <t>GÄVLEBORGS LÄN</t>
        </is>
      </c>
      <c r="G7665" t="inlineStr">
        <is>
          <t>LJUSDAL</t>
        </is>
      </c>
      <c r="H7665" t="inlineStr">
        <is>
          <t>Holmen skog AB</t>
        </is>
      </c>
      <c r="I7665" t="n">
        <v>2.5</v>
      </c>
      <c r="J7665" t="n">
        <v>0</v>
      </c>
      <c r="K7665" t="n">
        <v>0</v>
      </c>
      <c r="L7665" t="n">
        <v>0</v>
      </c>
      <c r="M7665" t="n">
        <v>0</v>
      </c>
      <c r="N7665" t="n">
        <v>0</v>
      </c>
      <c r="O7665" t="n">
        <v>0</v>
      </c>
      <c r="P7665" t="n">
        <v>0</v>
      </c>
      <c r="Q7665" t="n">
        <v>0</v>
      </c>
      <c r="R7665" t="n">
        <v>0</v>
      </c>
      <c r="S7665" t="n">
        <v>0</v>
      </c>
      <c r="T7665" t="n">
        <v>0</v>
      </c>
      <c r="U7665" t="n">
        <v>0</v>
      </c>
      <c r="V7665" s="2" t="inlineStr"/>
    </row>
    <row r="7666" ht="15" customHeight="1">
      <c r="A7666" t="inlineStr">
        <is>
          <t>A 17776-2025</t>
        </is>
      </c>
      <c r="B7666" t="inlineStr">
        <is>
          <t>avverkningsanmälan</t>
        </is>
      </c>
      <c r="C7666" t="inlineStr">
        <is>
          <t>Föryngringsavverkning</t>
        </is>
      </c>
      <c r="D7666" s="1" t="n">
        <v>45758</v>
      </c>
      <c r="E7666" s="1" t="n">
        <v>46326</v>
      </c>
      <c r="F7666" t="inlineStr">
        <is>
          <t>GÄVLEBORGS LÄN</t>
        </is>
      </c>
      <c r="G7666" t="inlineStr">
        <is>
          <t>BOLLNÄS</t>
        </is>
      </c>
      <c r="I7666" t="n">
        <v>0.4</v>
      </c>
      <c r="J7666" t="n">
        <v>0</v>
      </c>
      <c r="K7666" t="n">
        <v>0</v>
      </c>
      <c r="L7666" t="n">
        <v>0</v>
      </c>
      <c r="M7666" t="n">
        <v>0</v>
      </c>
      <c r="N7666" t="n">
        <v>0</v>
      </c>
      <c r="O7666" t="n">
        <v>0</v>
      </c>
      <c r="P7666" t="n">
        <v>0</v>
      </c>
      <c r="Q7666" t="n">
        <v>0</v>
      </c>
      <c r="R7666" t="n">
        <v>0</v>
      </c>
      <c r="S7666" t="n">
        <v>0</v>
      </c>
      <c r="T7666" t="n">
        <v>0</v>
      </c>
      <c r="U7666" t="n">
        <v>0</v>
      </c>
      <c r="V7666" s="2" t="inlineStr"/>
    </row>
    <row r="7667" ht="15" customHeight="1">
      <c r="A7667" t="inlineStr">
        <is>
          <t>A 21614-2026</t>
        </is>
      </c>
      <c r="B7667" t="inlineStr">
        <is>
          <t>avverkningsanmälan</t>
        </is>
      </c>
      <c r="C7667" t="inlineStr">
        <is>
          <t>Föryngringsavverkning</t>
        </is>
      </c>
      <c r="D7667" s="1" t="n">
        <v>46149</v>
      </c>
      <c r="E7667" s="1" t="n">
        <v>46326</v>
      </c>
      <c r="F7667" t="inlineStr">
        <is>
          <t>GÄVLEBORGS LÄN</t>
        </is>
      </c>
      <c r="G7667" t="inlineStr">
        <is>
          <t>BOLLNÄS</t>
        </is>
      </c>
      <c r="I7667" t="n">
        <v>1</v>
      </c>
      <c r="J7667" t="n">
        <v>0</v>
      </c>
      <c r="K7667" t="n">
        <v>0</v>
      </c>
      <c r="L7667" t="n">
        <v>0</v>
      </c>
      <c r="M7667" t="n">
        <v>0</v>
      </c>
      <c r="N7667" t="n">
        <v>0</v>
      </c>
      <c r="O7667" t="n">
        <v>0</v>
      </c>
      <c r="P7667" t="n">
        <v>0</v>
      </c>
      <c r="Q7667" t="n">
        <v>0</v>
      </c>
      <c r="R7667" t="n">
        <v>0</v>
      </c>
      <c r="S7667" t="n">
        <v>0</v>
      </c>
      <c r="T7667" t="n">
        <v>0</v>
      </c>
      <c r="U7667" t="n">
        <v>0</v>
      </c>
      <c r="V7667" s="2" t="inlineStr"/>
    </row>
    <row r="7668" ht="15" customHeight="1">
      <c r="A7668" t="inlineStr">
        <is>
          <t>A 21622-2026</t>
        </is>
      </c>
      <c r="B7668" t="inlineStr">
        <is>
          <t>avverkningsanmälan</t>
        </is>
      </c>
      <c r="C7668" t="inlineStr">
        <is>
          <t>Föryngringsavverkning</t>
        </is>
      </c>
      <c r="D7668" s="1" t="n">
        <v>46149</v>
      </c>
      <c r="E7668" s="1" t="n">
        <v>46326</v>
      </c>
      <c r="F7668" t="inlineStr">
        <is>
          <t>GÄVLEBORGS LÄN</t>
        </is>
      </c>
      <c r="G7668" t="inlineStr">
        <is>
          <t>HUDIKSVALL</t>
        </is>
      </c>
      <c r="H7668" t="inlineStr">
        <is>
          <t>Holmen skog AB</t>
        </is>
      </c>
      <c r="I7668" t="n">
        <v>16.9</v>
      </c>
      <c r="J7668" t="n">
        <v>0</v>
      </c>
      <c r="K7668" t="n">
        <v>0</v>
      </c>
      <c r="L7668" t="n">
        <v>0</v>
      </c>
      <c r="M7668" t="n">
        <v>0</v>
      </c>
      <c r="N7668" t="n">
        <v>0</v>
      </c>
      <c r="O7668" t="n">
        <v>0</v>
      </c>
      <c r="P7668" t="n">
        <v>0</v>
      </c>
      <c r="Q7668" t="n">
        <v>0</v>
      </c>
      <c r="R7668" t="n">
        <v>0</v>
      </c>
      <c r="S7668" t="n">
        <v>0</v>
      </c>
      <c r="T7668" t="n">
        <v>0</v>
      </c>
      <c r="U7668" t="n">
        <v>0</v>
      </c>
      <c r="V7668" s="2" t="inlineStr"/>
    </row>
    <row r="7669" ht="15" customHeight="1">
      <c r="A7669" t="inlineStr">
        <is>
          <t>A 21637-2026</t>
        </is>
      </c>
      <c r="B7669" t="inlineStr">
        <is>
          <t>avverkningsanmälan</t>
        </is>
      </c>
      <c r="C7669" t="inlineStr">
        <is>
          <t>Föryngringsavverkning</t>
        </is>
      </c>
      <c r="D7669" s="1" t="n">
        <v>46149</v>
      </c>
      <c r="E7669" s="1" t="n">
        <v>46326</v>
      </c>
      <c r="F7669" t="inlineStr">
        <is>
          <t>GÄVLEBORGS LÄN</t>
        </is>
      </c>
      <c r="G7669" t="inlineStr">
        <is>
          <t>BOLLNÄS</t>
        </is>
      </c>
      <c r="I7669" t="n">
        <v>1.4</v>
      </c>
      <c r="J7669" t="n">
        <v>0</v>
      </c>
      <c r="K7669" t="n">
        <v>0</v>
      </c>
      <c r="L7669" t="n">
        <v>0</v>
      </c>
      <c r="M7669" t="n">
        <v>0</v>
      </c>
      <c r="N7669" t="n">
        <v>0</v>
      </c>
      <c r="O7669" t="n">
        <v>0</v>
      </c>
      <c r="P7669" t="n">
        <v>0</v>
      </c>
      <c r="Q7669" t="n">
        <v>0</v>
      </c>
      <c r="R7669" t="n">
        <v>0</v>
      </c>
      <c r="S7669" t="n">
        <v>0</v>
      </c>
      <c r="T7669" t="n">
        <v>0</v>
      </c>
      <c r="U7669" t="n">
        <v>0</v>
      </c>
      <c r="V7669" s="2" t="inlineStr"/>
    </row>
    <row r="7670" ht="15" customHeight="1">
      <c r="A7670" t="inlineStr">
        <is>
          <t>A 21508-2026</t>
        </is>
      </c>
      <c r="B7670" t="inlineStr">
        <is>
          <t>avverkningsanmälan</t>
        </is>
      </c>
      <c r="C7670" t="inlineStr">
        <is>
          <t>Föryngringsavverkning</t>
        </is>
      </c>
      <c r="D7670" s="1" t="n">
        <v>46148</v>
      </c>
      <c r="E7670" s="1" t="n">
        <v>46326</v>
      </c>
      <c r="F7670" t="inlineStr">
        <is>
          <t>GÄVLEBORGS LÄN</t>
        </is>
      </c>
      <c r="G7670" t="inlineStr">
        <is>
          <t>HUDIKSVALL</t>
        </is>
      </c>
      <c r="I7670" t="n">
        <v>8</v>
      </c>
      <c r="J7670" t="n">
        <v>0</v>
      </c>
      <c r="K7670" t="n">
        <v>0</v>
      </c>
      <c r="L7670" t="n">
        <v>0</v>
      </c>
      <c r="M7670" t="n">
        <v>0</v>
      </c>
      <c r="N7670" t="n">
        <v>0</v>
      </c>
      <c r="O7670" t="n">
        <v>0</v>
      </c>
      <c r="P7670" t="n">
        <v>0</v>
      </c>
      <c r="Q7670" t="n">
        <v>0</v>
      </c>
      <c r="R7670" t="n">
        <v>0</v>
      </c>
      <c r="S7670" t="n">
        <v>0</v>
      </c>
      <c r="T7670" t="n">
        <v>0</v>
      </c>
      <c r="U7670" t="n">
        <v>0</v>
      </c>
      <c r="V7670" s="2" t="inlineStr"/>
    </row>
    <row r="7671" ht="15" customHeight="1">
      <c r="A7671" t="inlineStr">
        <is>
          <t>A 21510-2026</t>
        </is>
      </c>
      <c r="B7671" t="inlineStr">
        <is>
          <t>avverkningsanmälan</t>
        </is>
      </c>
      <c r="C7671" t="inlineStr">
        <is>
          <t>Föryngringsavverkning</t>
        </is>
      </c>
      <c r="D7671" s="1" t="n">
        <v>46148</v>
      </c>
      <c r="E7671" s="1" t="n">
        <v>46326</v>
      </c>
      <c r="F7671" t="inlineStr">
        <is>
          <t>GÄVLEBORGS LÄN</t>
        </is>
      </c>
      <c r="G7671" t="inlineStr">
        <is>
          <t>BOLLNÄS</t>
        </is>
      </c>
      <c r="I7671" t="n">
        <v>4.3</v>
      </c>
      <c r="J7671" t="n">
        <v>0</v>
      </c>
      <c r="K7671" t="n">
        <v>0</v>
      </c>
      <c r="L7671" t="n">
        <v>0</v>
      </c>
      <c r="M7671" t="n">
        <v>0</v>
      </c>
      <c r="N7671" t="n">
        <v>0</v>
      </c>
      <c r="O7671" t="n">
        <v>0</v>
      </c>
      <c r="P7671" t="n">
        <v>0</v>
      </c>
      <c r="Q7671" t="n">
        <v>0</v>
      </c>
      <c r="R7671" t="n">
        <v>0</v>
      </c>
      <c r="S7671" t="n">
        <v>0</v>
      </c>
      <c r="T7671" t="n">
        <v>0</v>
      </c>
      <c r="U7671" t="n">
        <v>0</v>
      </c>
      <c r="V7671" s="2" t="inlineStr"/>
    </row>
    <row r="7672" ht="15" customHeight="1">
      <c r="A7672" t="inlineStr">
        <is>
          <t>A 21547-2026</t>
        </is>
      </c>
      <c r="B7672" t="inlineStr">
        <is>
          <t>avverkningsanmälan</t>
        </is>
      </c>
      <c r="C7672" t="inlineStr">
        <is>
          <t>Föryngringsavverkning</t>
        </is>
      </c>
      <c r="D7672" s="1" t="n">
        <v>46148</v>
      </c>
      <c r="E7672" s="1" t="n">
        <v>46326</v>
      </c>
      <c r="F7672" t="inlineStr">
        <is>
          <t>GÄVLEBORGS LÄN</t>
        </is>
      </c>
      <c r="G7672" t="inlineStr">
        <is>
          <t>SÖDERHAMN</t>
        </is>
      </c>
      <c r="I7672" t="n">
        <v>2.2</v>
      </c>
      <c r="J7672" t="n">
        <v>0</v>
      </c>
      <c r="K7672" t="n">
        <v>0</v>
      </c>
      <c r="L7672" t="n">
        <v>0</v>
      </c>
      <c r="M7672" t="n">
        <v>0</v>
      </c>
      <c r="N7672" t="n">
        <v>0</v>
      </c>
      <c r="O7672" t="n">
        <v>0</v>
      </c>
      <c r="P7672" t="n">
        <v>0</v>
      </c>
      <c r="Q7672" t="n">
        <v>0</v>
      </c>
      <c r="R7672" t="n">
        <v>0</v>
      </c>
      <c r="S7672" t="n">
        <v>0</v>
      </c>
      <c r="T7672" t="n">
        <v>0</v>
      </c>
      <c r="U7672" t="n">
        <v>0</v>
      </c>
      <c r="V7672" s="2" t="inlineStr"/>
    </row>
    <row r="7673" ht="15" customHeight="1">
      <c r="A7673" t="inlineStr">
        <is>
          <t>A 21648-2026</t>
        </is>
      </c>
      <c r="B7673" t="inlineStr">
        <is>
          <t>avverkningsanmälan</t>
        </is>
      </c>
      <c r="C7673" t="inlineStr">
        <is>
          <t>Föryngringsavverkning</t>
        </is>
      </c>
      <c r="D7673" s="1" t="n">
        <v>46149</v>
      </c>
      <c r="E7673" s="1" t="n">
        <v>46326</v>
      </c>
      <c r="F7673" t="inlineStr">
        <is>
          <t>GÄVLEBORGS LÄN</t>
        </is>
      </c>
      <c r="G7673" t="inlineStr">
        <is>
          <t>NORDANSTIG</t>
        </is>
      </c>
      <c r="I7673" t="n">
        <v>4.6</v>
      </c>
      <c r="J7673" t="n">
        <v>0</v>
      </c>
      <c r="K7673" t="n">
        <v>0</v>
      </c>
      <c r="L7673" t="n">
        <v>0</v>
      </c>
      <c r="M7673" t="n">
        <v>0</v>
      </c>
      <c r="N7673" t="n">
        <v>0</v>
      </c>
      <c r="O7673" t="n">
        <v>0</v>
      </c>
      <c r="P7673" t="n">
        <v>0</v>
      </c>
      <c r="Q7673" t="n">
        <v>0</v>
      </c>
      <c r="R7673" t="n">
        <v>0</v>
      </c>
      <c r="S7673" t="n">
        <v>0</v>
      </c>
      <c r="T7673" t="n">
        <v>0</v>
      </c>
      <c r="U7673" t="n">
        <v>0</v>
      </c>
      <c r="V7673" s="2" t="inlineStr"/>
    </row>
    <row r="7674" ht="15" customHeight="1">
      <c r="A7674" t="inlineStr">
        <is>
          <t>A 21600-2026</t>
        </is>
      </c>
      <c r="B7674" t="inlineStr">
        <is>
          <t>avverkningsanmälan</t>
        </is>
      </c>
      <c r="C7674" t="inlineStr">
        <is>
          <t>Föryngringsavverkning</t>
        </is>
      </c>
      <c r="D7674" s="1" t="n">
        <v>46149</v>
      </c>
      <c r="E7674" s="1" t="n">
        <v>46326</v>
      </c>
      <c r="F7674" t="inlineStr">
        <is>
          <t>GÄVLEBORGS LÄN</t>
        </is>
      </c>
      <c r="G7674" t="inlineStr">
        <is>
          <t>BOLLNÄS</t>
        </is>
      </c>
      <c r="I7674" t="n">
        <v>0.9</v>
      </c>
      <c r="J7674" t="n">
        <v>0</v>
      </c>
      <c r="K7674" t="n">
        <v>0</v>
      </c>
      <c r="L7674" t="n">
        <v>0</v>
      </c>
      <c r="M7674" t="n">
        <v>0</v>
      </c>
      <c r="N7674" t="n">
        <v>0</v>
      </c>
      <c r="O7674" t="n">
        <v>0</v>
      </c>
      <c r="P7674" t="n">
        <v>0</v>
      </c>
      <c r="Q7674" t="n">
        <v>0</v>
      </c>
      <c r="R7674" t="n">
        <v>0</v>
      </c>
      <c r="S7674" t="n">
        <v>0</v>
      </c>
      <c r="T7674" t="n">
        <v>0</v>
      </c>
      <c r="U7674" t="n">
        <v>0</v>
      </c>
      <c r="V7674" s="2" t="inlineStr"/>
    </row>
    <row r="7675" ht="15" customHeight="1">
      <c r="A7675" t="inlineStr">
        <is>
          <t>A 45629-2023</t>
        </is>
      </c>
      <c r="B7675" t="inlineStr">
        <is>
          <t>avverkningsanmälan</t>
        </is>
      </c>
      <c r="C7675" t="inlineStr">
        <is>
          <t>Avverkning för att bevara och utveckla /försöksver</t>
        </is>
      </c>
      <c r="D7675" s="1" t="n">
        <v>45194</v>
      </c>
      <c r="E7675" s="1" t="n">
        <v>46326</v>
      </c>
      <c r="F7675" t="inlineStr">
        <is>
          <t>GÄVLEBORGS LÄN</t>
        </is>
      </c>
      <c r="G7675" t="inlineStr">
        <is>
          <t>BOLLNÄS</t>
        </is>
      </c>
      <c r="I7675" t="n">
        <v>11.5</v>
      </c>
      <c r="J7675" t="n">
        <v>0</v>
      </c>
      <c r="K7675" t="n">
        <v>0</v>
      </c>
      <c r="L7675" t="n">
        <v>0</v>
      </c>
      <c r="M7675" t="n">
        <v>0</v>
      </c>
      <c r="N7675" t="n">
        <v>0</v>
      </c>
      <c r="O7675" t="n">
        <v>0</v>
      </c>
      <c r="P7675" t="n">
        <v>0</v>
      </c>
      <c r="Q7675" t="n">
        <v>0</v>
      </c>
      <c r="R7675" t="n">
        <v>0</v>
      </c>
      <c r="S7675" t="n">
        <v>0</v>
      </c>
      <c r="T7675" t="n">
        <v>0</v>
      </c>
      <c r="U7675" t="n">
        <v>0</v>
      </c>
      <c r="V7675" s="2" t="inlineStr"/>
    </row>
    <row r="7676" ht="15" customHeight="1">
      <c r="A7676" t="inlineStr">
        <is>
          <t>A 21661-2026</t>
        </is>
      </c>
      <c r="B7676" t="inlineStr">
        <is>
          <t>avverkningsanmälan</t>
        </is>
      </c>
      <c r="C7676" t="inlineStr">
        <is>
          <t>Föryngringsavverkning</t>
        </is>
      </c>
      <c r="D7676" s="1" t="n">
        <v>46149</v>
      </c>
      <c r="E7676" s="1" t="n">
        <v>46326</v>
      </c>
      <c r="F7676" t="inlineStr">
        <is>
          <t>GÄVLEBORGS LÄN</t>
        </is>
      </c>
      <c r="G7676" t="inlineStr">
        <is>
          <t>NORDANSTIG</t>
        </is>
      </c>
      <c r="I7676" t="n">
        <v>10.7</v>
      </c>
      <c r="J7676" t="n">
        <v>0</v>
      </c>
      <c r="K7676" t="n">
        <v>0</v>
      </c>
      <c r="L7676" t="n">
        <v>0</v>
      </c>
      <c r="M7676" t="n">
        <v>0</v>
      </c>
      <c r="N7676" t="n">
        <v>0</v>
      </c>
      <c r="O7676" t="n">
        <v>0</v>
      </c>
      <c r="P7676" t="n">
        <v>0</v>
      </c>
      <c r="Q7676" t="n">
        <v>0</v>
      </c>
      <c r="R7676" t="n">
        <v>0</v>
      </c>
      <c r="S7676" t="n">
        <v>0</v>
      </c>
      <c r="T7676" t="n">
        <v>0</v>
      </c>
      <c r="U7676" t="n">
        <v>0</v>
      </c>
      <c r="V7676" s="2" t="inlineStr"/>
    </row>
    <row r="7677" ht="15" customHeight="1">
      <c r="A7677" t="inlineStr">
        <is>
          <t>A 21694-2026</t>
        </is>
      </c>
      <c r="B7677" t="inlineStr">
        <is>
          <t>avverkningsanmälan</t>
        </is>
      </c>
      <c r="C7677" t="inlineStr">
        <is>
          <t>Föryngringsavverkning</t>
        </is>
      </c>
      <c r="D7677" s="1" t="n">
        <v>46149</v>
      </c>
      <c r="E7677" s="1" t="n">
        <v>46326</v>
      </c>
      <c r="F7677" t="inlineStr">
        <is>
          <t>GÄVLEBORGS LÄN</t>
        </is>
      </c>
      <c r="G7677" t="inlineStr">
        <is>
          <t>SÖDERHAMN</t>
        </is>
      </c>
      <c r="I7677" t="n">
        <v>2.1</v>
      </c>
      <c r="J7677" t="n">
        <v>0</v>
      </c>
      <c r="K7677" t="n">
        <v>0</v>
      </c>
      <c r="L7677" t="n">
        <v>0</v>
      </c>
      <c r="M7677" t="n">
        <v>0</v>
      </c>
      <c r="N7677" t="n">
        <v>0</v>
      </c>
      <c r="O7677" t="n">
        <v>0</v>
      </c>
      <c r="P7677" t="n">
        <v>0</v>
      </c>
      <c r="Q7677" t="n">
        <v>0</v>
      </c>
      <c r="R7677" t="n">
        <v>0</v>
      </c>
      <c r="S7677" t="n">
        <v>0</v>
      </c>
      <c r="T7677" t="n">
        <v>0</v>
      </c>
      <c r="U7677" t="n">
        <v>0</v>
      </c>
      <c r="V7677" s="2" t="inlineStr"/>
    </row>
    <row r="7678" ht="15" customHeight="1">
      <c r="A7678" t="inlineStr">
        <is>
          <t>A 21697-2026</t>
        </is>
      </c>
      <c r="B7678" t="inlineStr">
        <is>
          <t>avverkningsanmälan</t>
        </is>
      </c>
      <c r="C7678" t="inlineStr">
        <is>
          <t>Föryngringsavverkning</t>
        </is>
      </c>
      <c r="D7678" s="1" t="n">
        <v>46149</v>
      </c>
      <c r="E7678" s="1" t="n">
        <v>46326</v>
      </c>
      <c r="F7678" t="inlineStr">
        <is>
          <t>GÄVLEBORGS LÄN</t>
        </is>
      </c>
      <c r="G7678" t="inlineStr">
        <is>
          <t>LJUSDAL</t>
        </is>
      </c>
      <c r="I7678" t="n">
        <v>0.6</v>
      </c>
      <c r="J7678" t="n">
        <v>0</v>
      </c>
      <c r="K7678" t="n">
        <v>0</v>
      </c>
      <c r="L7678" t="n">
        <v>0</v>
      </c>
      <c r="M7678" t="n">
        <v>0</v>
      </c>
      <c r="N7678" t="n">
        <v>0</v>
      </c>
      <c r="O7678" t="n">
        <v>0</v>
      </c>
      <c r="P7678" t="n">
        <v>0</v>
      </c>
      <c r="Q7678" t="n">
        <v>0</v>
      </c>
      <c r="R7678" t="n">
        <v>0</v>
      </c>
      <c r="S7678" t="n">
        <v>0</v>
      </c>
      <c r="T7678" t="n">
        <v>0</v>
      </c>
      <c r="U7678" t="n">
        <v>0</v>
      </c>
      <c r="V7678" s="2" t="inlineStr"/>
    </row>
    <row r="7679" ht="15" customHeight="1">
      <c r="A7679" t="inlineStr">
        <is>
          <t>A 21485-2026</t>
        </is>
      </c>
      <c r="B7679" t="inlineStr">
        <is>
          <t>avverkningsanmälan</t>
        </is>
      </c>
      <c r="C7679" t="inlineStr">
        <is>
          <t>Föryngringsavverkning</t>
        </is>
      </c>
      <c r="D7679" s="1" t="n">
        <v>46148</v>
      </c>
      <c r="E7679" s="1" t="n">
        <v>46326</v>
      </c>
      <c r="F7679" t="inlineStr">
        <is>
          <t>GÄVLEBORGS LÄN</t>
        </is>
      </c>
      <c r="G7679" t="inlineStr">
        <is>
          <t>BOLLNÄS</t>
        </is>
      </c>
      <c r="H7679" t="inlineStr">
        <is>
          <t>Bergvik skog väst AB</t>
        </is>
      </c>
      <c r="I7679" t="n">
        <v>3.3</v>
      </c>
      <c r="J7679" t="n">
        <v>0</v>
      </c>
      <c r="K7679" t="n">
        <v>0</v>
      </c>
      <c r="L7679" t="n">
        <v>0</v>
      </c>
      <c r="M7679" t="n">
        <v>0</v>
      </c>
      <c r="N7679" t="n">
        <v>0</v>
      </c>
      <c r="O7679" t="n">
        <v>0</v>
      </c>
      <c r="P7679" t="n">
        <v>0</v>
      </c>
      <c r="Q7679" t="n">
        <v>0</v>
      </c>
      <c r="R7679" t="n">
        <v>0</v>
      </c>
      <c r="S7679" t="n">
        <v>0</v>
      </c>
      <c r="T7679" t="n">
        <v>0</v>
      </c>
      <c r="U7679" t="n">
        <v>0</v>
      </c>
      <c r="V7679" s="2" t="inlineStr"/>
    </row>
    <row r="7680" ht="15" customHeight="1">
      <c r="A7680" t="inlineStr">
        <is>
          <t>A 21546-2026</t>
        </is>
      </c>
      <c r="B7680" t="inlineStr">
        <is>
          <t>avverkningsanmälan</t>
        </is>
      </c>
      <c r="C7680" t="inlineStr">
        <is>
          <t>Föryngringsavverkning</t>
        </is>
      </c>
      <c r="D7680" s="1" t="n">
        <v>46148</v>
      </c>
      <c r="E7680" s="1" t="n">
        <v>46326</v>
      </c>
      <c r="F7680" t="inlineStr">
        <is>
          <t>GÄVLEBORGS LÄN</t>
        </is>
      </c>
      <c r="G7680" t="inlineStr">
        <is>
          <t>HUDIKSVALL</t>
        </is>
      </c>
      <c r="I7680" t="n">
        <v>3.9</v>
      </c>
      <c r="J7680" t="n">
        <v>0</v>
      </c>
      <c r="K7680" t="n">
        <v>0</v>
      </c>
      <c r="L7680" t="n">
        <v>0</v>
      </c>
      <c r="M7680" t="n">
        <v>0</v>
      </c>
      <c r="N7680" t="n">
        <v>0</v>
      </c>
      <c r="O7680" t="n">
        <v>0</v>
      </c>
      <c r="P7680" t="n">
        <v>0</v>
      </c>
      <c r="Q7680" t="n">
        <v>0</v>
      </c>
      <c r="R7680" t="n">
        <v>0</v>
      </c>
      <c r="S7680" t="n">
        <v>0</v>
      </c>
      <c r="T7680" t="n">
        <v>0</v>
      </c>
      <c r="U7680" t="n">
        <v>0</v>
      </c>
      <c r="V7680" s="2" t="inlineStr"/>
    </row>
    <row r="7681" ht="15" customHeight="1">
      <c r="A7681" t="inlineStr">
        <is>
          <t>A 21690-2026</t>
        </is>
      </c>
      <c r="B7681" t="inlineStr">
        <is>
          <t>avverkningsanmälan</t>
        </is>
      </c>
      <c r="C7681" t="inlineStr">
        <is>
          <t>Föryngringsavverkning</t>
        </is>
      </c>
      <c r="D7681" s="1" t="n">
        <v>46149</v>
      </c>
      <c r="E7681" s="1" t="n">
        <v>46326</v>
      </c>
      <c r="F7681" t="inlineStr">
        <is>
          <t>GÄVLEBORGS LÄN</t>
        </is>
      </c>
      <c r="G7681" t="inlineStr">
        <is>
          <t>SÖDERHAMN</t>
        </is>
      </c>
      <c r="I7681" t="n">
        <v>6.2</v>
      </c>
      <c r="J7681" t="n">
        <v>0</v>
      </c>
      <c r="K7681" t="n">
        <v>0</v>
      </c>
      <c r="L7681" t="n">
        <v>0</v>
      </c>
      <c r="M7681" t="n">
        <v>0</v>
      </c>
      <c r="N7681" t="n">
        <v>0</v>
      </c>
      <c r="O7681" t="n">
        <v>0</v>
      </c>
      <c r="P7681" t="n">
        <v>0</v>
      </c>
      <c r="Q7681" t="n">
        <v>0</v>
      </c>
      <c r="R7681" t="n">
        <v>0</v>
      </c>
      <c r="S7681" t="n">
        <v>0</v>
      </c>
      <c r="T7681" t="n">
        <v>0</v>
      </c>
      <c r="U7681" t="n">
        <v>0</v>
      </c>
      <c r="V7681" s="2" t="inlineStr"/>
    </row>
    <row r="7682" ht="15" customHeight="1">
      <c r="A7682" t="inlineStr">
        <is>
          <t>A 12274-2026</t>
        </is>
      </c>
      <c r="B7682" t="inlineStr">
        <is>
          <t>avverkningsanmälan</t>
        </is>
      </c>
      <c r="C7682" t="inlineStr">
        <is>
          <t>Föryngringsavverkning</t>
        </is>
      </c>
      <c r="D7682" s="1" t="n">
        <v>46087</v>
      </c>
      <c r="E7682" s="1" t="n">
        <v>46326</v>
      </c>
      <c r="F7682" t="inlineStr">
        <is>
          <t>GÄVLEBORGS LÄN</t>
        </is>
      </c>
      <c r="G7682" t="inlineStr">
        <is>
          <t>SÖDERHAMN</t>
        </is>
      </c>
      <c r="I7682" t="n">
        <v>3.9</v>
      </c>
      <c r="J7682" t="n">
        <v>0</v>
      </c>
      <c r="K7682" t="n">
        <v>0</v>
      </c>
      <c r="L7682" t="n">
        <v>0</v>
      </c>
      <c r="M7682" t="n">
        <v>0</v>
      </c>
      <c r="N7682" t="n">
        <v>0</v>
      </c>
      <c r="O7682" t="n">
        <v>0</v>
      </c>
      <c r="P7682" t="n">
        <v>0</v>
      </c>
      <c r="Q7682" t="n">
        <v>0</v>
      </c>
      <c r="R7682" t="n">
        <v>0</v>
      </c>
      <c r="S7682" t="n">
        <v>0</v>
      </c>
      <c r="T7682" t="n">
        <v>0</v>
      </c>
      <c r="U7682" t="n">
        <v>0</v>
      </c>
      <c r="V7682" s="2" t="inlineStr"/>
    </row>
    <row r="7683" ht="15" customHeight="1">
      <c r="A7683" t="inlineStr">
        <is>
          <t>A 56464-2023</t>
        </is>
      </c>
      <c r="B7683" t="inlineStr">
        <is>
          <t>avverkningsanmälan</t>
        </is>
      </c>
      <c r="C7683" t="inlineStr">
        <is>
          <t>Föryngringsavverkning</t>
        </is>
      </c>
      <c r="D7683" s="1" t="n">
        <v>45243</v>
      </c>
      <c r="E7683" s="1" t="n">
        <v>46326</v>
      </c>
      <c r="F7683" t="inlineStr">
        <is>
          <t>GÄVLEBORGS LÄN</t>
        </is>
      </c>
      <c r="G7683" t="inlineStr">
        <is>
          <t>LJUSDAL</t>
        </is>
      </c>
      <c r="I7683" t="n">
        <v>0.9</v>
      </c>
      <c r="J7683" t="n">
        <v>0</v>
      </c>
      <c r="K7683" t="n">
        <v>0</v>
      </c>
      <c r="L7683" t="n">
        <v>0</v>
      </c>
      <c r="M7683" t="n">
        <v>0</v>
      </c>
      <c r="N7683" t="n">
        <v>0</v>
      </c>
      <c r="O7683" t="n">
        <v>0</v>
      </c>
      <c r="P7683" t="n">
        <v>0</v>
      </c>
      <c r="Q7683" t="n">
        <v>0</v>
      </c>
      <c r="R7683" t="n">
        <v>0</v>
      </c>
      <c r="S7683" t="n">
        <v>0</v>
      </c>
      <c r="T7683" t="n">
        <v>0</v>
      </c>
      <c r="U7683" t="n">
        <v>0</v>
      </c>
      <c r="V7683" s="2" t="inlineStr"/>
    </row>
    <row r="7684" ht="15" customHeight="1">
      <c r="A7684" t="inlineStr">
        <is>
          <t>A 17233-2026</t>
        </is>
      </c>
      <c r="B7684" t="inlineStr">
        <is>
          <t>avverkningsanmälan</t>
        </is>
      </c>
      <c r="C7684" t="inlineStr">
        <is>
          <t>Föryngringsavverkning</t>
        </is>
      </c>
      <c r="D7684" s="1" t="n">
        <v>46119</v>
      </c>
      <c r="E7684" s="1" t="n">
        <v>46326</v>
      </c>
      <c r="F7684" t="inlineStr">
        <is>
          <t>GÄVLEBORGS LÄN</t>
        </is>
      </c>
      <c r="G7684" t="inlineStr">
        <is>
          <t>OCKELBO</t>
        </is>
      </c>
      <c r="H7684" t="inlineStr">
        <is>
          <t>Bergvik skog väst AB</t>
        </is>
      </c>
      <c r="I7684" t="n">
        <v>2.2</v>
      </c>
      <c r="J7684" t="n">
        <v>0</v>
      </c>
      <c r="K7684" t="n">
        <v>0</v>
      </c>
      <c r="L7684" t="n">
        <v>0</v>
      </c>
      <c r="M7684" t="n">
        <v>0</v>
      </c>
      <c r="N7684" t="n">
        <v>0</v>
      </c>
      <c r="O7684" t="n">
        <v>0</v>
      </c>
      <c r="P7684" t="n">
        <v>0</v>
      </c>
      <c r="Q7684" t="n">
        <v>0</v>
      </c>
      <c r="R7684" t="n">
        <v>0</v>
      </c>
      <c r="S7684" t="n">
        <v>0</v>
      </c>
      <c r="T7684" t="n">
        <v>0</v>
      </c>
      <c r="U7684" t="n">
        <v>0</v>
      </c>
      <c r="V7684" s="2" t="inlineStr"/>
    </row>
    <row r="7685" ht="15" customHeight="1">
      <c r="A7685" t="inlineStr">
        <is>
          <t>A 21568-2026</t>
        </is>
      </c>
      <c r="B7685" t="inlineStr">
        <is>
          <t>avverkningsanmälan</t>
        </is>
      </c>
      <c r="C7685" t="inlineStr">
        <is>
          <t>Föryngringsavverkning</t>
        </is>
      </c>
      <c r="D7685" s="1" t="n">
        <v>46148</v>
      </c>
      <c r="E7685" s="1" t="n">
        <v>46326</v>
      </c>
      <c r="F7685" t="inlineStr">
        <is>
          <t>GÄVLEBORGS LÄN</t>
        </is>
      </c>
      <c r="G7685" t="inlineStr">
        <is>
          <t>HUDIKSVALL</t>
        </is>
      </c>
      <c r="I7685" t="n">
        <v>2.7</v>
      </c>
      <c r="J7685" t="n">
        <v>0</v>
      </c>
      <c r="K7685" t="n">
        <v>0</v>
      </c>
      <c r="L7685" t="n">
        <v>0</v>
      </c>
      <c r="M7685" t="n">
        <v>0</v>
      </c>
      <c r="N7685" t="n">
        <v>0</v>
      </c>
      <c r="O7685" t="n">
        <v>0</v>
      </c>
      <c r="P7685" t="n">
        <v>0</v>
      </c>
      <c r="Q7685" t="n">
        <v>0</v>
      </c>
      <c r="R7685" t="n">
        <v>0</v>
      </c>
      <c r="S7685" t="n">
        <v>0</v>
      </c>
      <c r="T7685" t="n">
        <v>0</v>
      </c>
      <c r="U7685" t="n">
        <v>0</v>
      </c>
      <c r="V7685" s="2" t="inlineStr"/>
    </row>
    <row r="7686" ht="15" customHeight="1">
      <c r="A7686" t="inlineStr">
        <is>
          <t>A 42934-2023</t>
        </is>
      </c>
      <c r="B7686" t="inlineStr">
        <is>
          <t>avverkningsanmälan</t>
        </is>
      </c>
      <c r="C7686" t="inlineStr">
        <is>
          <t>Föryngringsavverkning</t>
        </is>
      </c>
      <c r="D7686" s="1" t="n">
        <v>45182</v>
      </c>
      <c r="E7686" s="1" t="n">
        <v>46326</v>
      </c>
      <c r="F7686" t="inlineStr">
        <is>
          <t>GÄVLEBORGS LÄN</t>
        </is>
      </c>
      <c r="G7686" t="inlineStr">
        <is>
          <t>GÄVLE</t>
        </is>
      </c>
      <c r="H7686" t="inlineStr">
        <is>
          <t>Bergvik skog väst AB</t>
        </is>
      </c>
      <c r="I7686" t="n">
        <v>1.2</v>
      </c>
      <c r="J7686" t="n">
        <v>0</v>
      </c>
      <c r="K7686" t="n">
        <v>0</v>
      </c>
      <c r="L7686" t="n">
        <v>0</v>
      </c>
      <c r="M7686" t="n">
        <v>0</v>
      </c>
      <c r="N7686" t="n">
        <v>0</v>
      </c>
      <c r="O7686" t="n">
        <v>0</v>
      </c>
      <c r="P7686" t="n">
        <v>0</v>
      </c>
      <c r="Q7686" t="n">
        <v>0</v>
      </c>
      <c r="R7686" t="n">
        <v>0</v>
      </c>
      <c r="S7686" t="n">
        <v>0</v>
      </c>
      <c r="T7686" t="n">
        <v>0</v>
      </c>
      <c r="U7686" t="n">
        <v>0</v>
      </c>
      <c r="V7686" s="2" t="inlineStr"/>
    </row>
    <row r="7687" ht="15" customHeight="1">
      <c r="A7687" t="inlineStr">
        <is>
          <t>A 8865-2026</t>
        </is>
      </c>
      <c r="B7687" t="inlineStr">
        <is>
          <t>avverkningsanmälan</t>
        </is>
      </c>
      <c r="C7687" t="inlineStr">
        <is>
          <t>Föryngringsavverkning</t>
        </is>
      </c>
      <c r="D7687" s="1" t="n">
        <v>46066</v>
      </c>
      <c r="E7687" s="1" t="n">
        <v>46326</v>
      </c>
      <c r="F7687" t="inlineStr">
        <is>
          <t>GÄVLEBORGS LÄN</t>
        </is>
      </c>
      <c r="G7687" t="inlineStr">
        <is>
          <t>OCKELBO</t>
        </is>
      </c>
      <c r="H7687" t="inlineStr">
        <is>
          <t>Bergvik skog väst AB</t>
        </is>
      </c>
      <c r="I7687" t="n">
        <v>3.8</v>
      </c>
      <c r="J7687" t="n">
        <v>0</v>
      </c>
      <c r="K7687" t="n">
        <v>0</v>
      </c>
      <c r="L7687" t="n">
        <v>0</v>
      </c>
      <c r="M7687" t="n">
        <v>0</v>
      </c>
      <c r="N7687" t="n">
        <v>0</v>
      </c>
      <c r="O7687" t="n">
        <v>0</v>
      </c>
      <c r="P7687" t="n">
        <v>0</v>
      </c>
      <c r="Q7687" t="n">
        <v>0</v>
      </c>
      <c r="R7687" t="n">
        <v>0</v>
      </c>
      <c r="S7687" t="n">
        <v>0</v>
      </c>
      <c r="T7687" t="n">
        <v>0</v>
      </c>
      <c r="U7687" t="n">
        <v>0</v>
      </c>
      <c r="V7687" s="2" t="inlineStr"/>
    </row>
    <row r="7688" ht="15" customHeight="1">
      <c r="A7688" t="inlineStr">
        <is>
          <t>A 36638-2022</t>
        </is>
      </c>
      <c r="B7688" t="inlineStr">
        <is>
          <t>avverkningsanmälan</t>
        </is>
      </c>
      <c r="C7688" t="inlineStr">
        <is>
          <t>Föryngringsavverkning</t>
        </is>
      </c>
      <c r="D7688" s="1" t="n">
        <v>44804</v>
      </c>
      <c r="E7688" s="1" t="n">
        <v>46326</v>
      </c>
      <c r="F7688" t="inlineStr">
        <is>
          <t>GÄVLEBORGS LÄN</t>
        </is>
      </c>
      <c r="G7688" t="inlineStr">
        <is>
          <t>GÄVLE</t>
        </is>
      </c>
      <c r="I7688" t="n">
        <v>4.2</v>
      </c>
      <c r="J7688" t="n">
        <v>0</v>
      </c>
      <c r="K7688" t="n">
        <v>0</v>
      </c>
      <c r="L7688" t="n">
        <v>0</v>
      </c>
      <c r="M7688" t="n">
        <v>0</v>
      </c>
      <c r="N7688" t="n">
        <v>0</v>
      </c>
      <c r="O7688" t="n">
        <v>0</v>
      </c>
      <c r="P7688" t="n">
        <v>0</v>
      </c>
      <c r="Q7688" t="n">
        <v>0</v>
      </c>
      <c r="R7688" t="n">
        <v>0</v>
      </c>
      <c r="S7688" t="n">
        <v>0</v>
      </c>
      <c r="T7688" t="n">
        <v>0</v>
      </c>
      <c r="U7688" t="n">
        <v>0</v>
      </c>
      <c r="V7688" s="2" t="inlineStr"/>
    </row>
    <row r="7689" ht="15" customHeight="1">
      <c r="A7689" t="inlineStr">
        <is>
          <t>A 32631-2024</t>
        </is>
      </c>
      <c r="B7689" t="inlineStr">
        <is>
          <t>avverkningsanmälan</t>
        </is>
      </c>
      <c r="C7689" t="inlineStr">
        <is>
          <t>Föryngringsavverkning</t>
        </is>
      </c>
      <c r="D7689" s="1" t="n">
        <v>45513</v>
      </c>
      <c r="E7689" s="1" t="n">
        <v>46326</v>
      </c>
      <c r="F7689" t="inlineStr">
        <is>
          <t>GÄVLEBORGS LÄN</t>
        </is>
      </c>
      <c r="G7689" t="inlineStr">
        <is>
          <t>HUDIKSVALL</t>
        </is>
      </c>
      <c r="H7689" t="inlineStr">
        <is>
          <t>Holmen skog AB</t>
        </is>
      </c>
      <c r="I7689" t="n">
        <v>3.5</v>
      </c>
      <c r="J7689" t="n">
        <v>0</v>
      </c>
      <c r="K7689" t="n">
        <v>0</v>
      </c>
      <c r="L7689" t="n">
        <v>0</v>
      </c>
      <c r="M7689" t="n">
        <v>0</v>
      </c>
      <c r="N7689" t="n">
        <v>0</v>
      </c>
      <c r="O7689" t="n">
        <v>0</v>
      </c>
      <c r="P7689" t="n">
        <v>0</v>
      </c>
      <c r="Q7689" t="n">
        <v>0</v>
      </c>
      <c r="R7689" t="n">
        <v>0</v>
      </c>
      <c r="S7689" t="n">
        <v>0</v>
      </c>
      <c r="T7689" t="n">
        <v>0</v>
      </c>
      <c r="U7689" t="n">
        <v>0</v>
      </c>
      <c r="V7689" s="2" t="inlineStr"/>
    </row>
    <row r="7690" ht="15" customHeight="1">
      <c r="A7690" t="inlineStr">
        <is>
          <t>A 27987-2024</t>
        </is>
      </c>
      <c r="B7690" t="inlineStr">
        <is>
          <t>avverkningsanmälan</t>
        </is>
      </c>
      <c r="C7690" t="inlineStr">
        <is>
          <t>Föryngringsavverkning</t>
        </is>
      </c>
      <c r="D7690" s="1" t="n">
        <v>45476</v>
      </c>
      <c r="E7690" s="1" t="n">
        <v>46326</v>
      </c>
      <c r="F7690" t="inlineStr">
        <is>
          <t>GÄVLEBORGS LÄN</t>
        </is>
      </c>
      <c r="G7690" t="inlineStr">
        <is>
          <t>SANDVIKEN</t>
        </is>
      </c>
      <c r="H7690" t="inlineStr">
        <is>
          <t>Kommuner</t>
        </is>
      </c>
      <c r="I7690" t="n">
        <v>1.6</v>
      </c>
      <c r="J7690" t="n">
        <v>0</v>
      </c>
      <c r="K7690" t="n">
        <v>0</v>
      </c>
      <c r="L7690" t="n">
        <v>0</v>
      </c>
      <c r="M7690" t="n">
        <v>0</v>
      </c>
      <c r="N7690" t="n">
        <v>0</v>
      </c>
      <c r="O7690" t="n">
        <v>0</v>
      </c>
      <c r="P7690" t="n">
        <v>0</v>
      </c>
      <c r="Q7690" t="n">
        <v>0</v>
      </c>
      <c r="R7690" t="n">
        <v>0</v>
      </c>
      <c r="S7690" t="n">
        <v>0</v>
      </c>
      <c r="T7690" t="n">
        <v>0</v>
      </c>
      <c r="U7690" t="n">
        <v>0</v>
      </c>
      <c r="V7690" s="2" t="inlineStr"/>
    </row>
    <row r="7691" ht="15" customHeight="1">
      <c r="A7691" t="inlineStr">
        <is>
          <t>A 22111-2026</t>
        </is>
      </c>
      <c r="B7691" t="inlineStr">
        <is>
          <t>avverkningsanmälan</t>
        </is>
      </c>
      <c r="C7691" t="inlineStr">
        <is>
          <t>Föryngringsavverkning</t>
        </is>
      </c>
      <c r="D7691" s="1" t="n">
        <v>46153</v>
      </c>
      <c r="E7691" s="1" t="n">
        <v>46326</v>
      </c>
      <c r="F7691" t="inlineStr">
        <is>
          <t>GÄVLEBORGS LÄN</t>
        </is>
      </c>
      <c r="G7691" t="inlineStr">
        <is>
          <t>GÄVLE</t>
        </is>
      </c>
      <c r="I7691" t="n">
        <v>1.6</v>
      </c>
      <c r="J7691" t="n">
        <v>0</v>
      </c>
      <c r="K7691" t="n">
        <v>0</v>
      </c>
      <c r="L7691" t="n">
        <v>0</v>
      </c>
      <c r="M7691" t="n">
        <v>0</v>
      </c>
      <c r="N7691" t="n">
        <v>0</v>
      </c>
      <c r="O7691" t="n">
        <v>0</v>
      </c>
      <c r="P7691" t="n">
        <v>0</v>
      </c>
      <c r="Q7691" t="n">
        <v>0</v>
      </c>
      <c r="R7691" t="n">
        <v>0</v>
      </c>
      <c r="S7691" t="n">
        <v>0</v>
      </c>
      <c r="T7691" t="n">
        <v>0</v>
      </c>
      <c r="U7691" t="n">
        <v>0</v>
      </c>
      <c r="V7691" s="2" t="inlineStr"/>
    </row>
    <row r="7692" ht="15" customHeight="1">
      <c r="A7692" t="inlineStr">
        <is>
          <t>A 3296-2026</t>
        </is>
      </c>
      <c r="B7692" t="inlineStr">
        <is>
          <t>avverkningsanmälan</t>
        </is>
      </c>
      <c r="C7692" t="inlineStr">
        <is>
          <t>Föryngringsavverkning</t>
        </is>
      </c>
      <c r="D7692" s="1" t="n">
        <v>46041</v>
      </c>
      <c r="E7692" s="1" t="n">
        <v>46326</v>
      </c>
      <c r="F7692" t="inlineStr">
        <is>
          <t>GÄVLEBORGS LÄN</t>
        </is>
      </c>
      <c r="G7692" t="inlineStr">
        <is>
          <t>HUDIKSVALL</t>
        </is>
      </c>
      <c r="I7692" t="n">
        <v>1.5</v>
      </c>
      <c r="J7692" t="n">
        <v>0</v>
      </c>
      <c r="K7692" t="n">
        <v>0</v>
      </c>
      <c r="L7692" t="n">
        <v>0</v>
      </c>
      <c r="M7692" t="n">
        <v>0</v>
      </c>
      <c r="N7692" t="n">
        <v>0</v>
      </c>
      <c r="O7692" t="n">
        <v>0</v>
      </c>
      <c r="P7692" t="n">
        <v>0</v>
      </c>
      <c r="Q7692" t="n">
        <v>0</v>
      </c>
      <c r="R7692" t="n">
        <v>0</v>
      </c>
      <c r="S7692" t="n">
        <v>0</v>
      </c>
      <c r="T7692" t="n">
        <v>0</v>
      </c>
      <c r="U7692" t="n">
        <v>0</v>
      </c>
      <c r="V7692" s="2" t="inlineStr"/>
    </row>
    <row r="7693" ht="15" customHeight="1">
      <c r="A7693" t="inlineStr">
        <is>
          <t>A 21956-2026</t>
        </is>
      </c>
      <c r="B7693" t="inlineStr">
        <is>
          <t>avverkningsanmälan</t>
        </is>
      </c>
      <c r="C7693" t="inlineStr">
        <is>
          <t>Föryngringsavverkning</t>
        </is>
      </c>
      <c r="D7693" s="1" t="n">
        <v>46152</v>
      </c>
      <c r="E7693" s="1" t="n">
        <v>46326</v>
      </c>
      <c r="F7693" t="inlineStr">
        <is>
          <t>GÄVLEBORGS LÄN</t>
        </is>
      </c>
      <c r="G7693" t="inlineStr">
        <is>
          <t>OVANÅKER</t>
        </is>
      </c>
      <c r="I7693" t="n">
        <v>1.4</v>
      </c>
      <c r="J7693" t="n">
        <v>0</v>
      </c>
      <c r="K7693" t="n">
        <v>0</v>
      </c>
      <c r="L7693" t="n">
        <v>0</v>
      </c>
      <c r="M7693" t="n">
        <v>0</v>
      </c>
      <c r="N7693" t="n">
        <v>0</v>
      </c>
      <c r="O7693" t="n">
        <v>0</v>
      </c>
      <c r="P7693" t="n">
        <v>0</v>
      </c>
      <c r="Q7693" t="n">
        <v>0</v>
      </c>
      <c r="R7693" t="n">
        <v>0</v>
      </c>
      <c r="S7693" t="n">
        <v>0</v>
      </c>
      <c r="T7693" t="n">
        <v>0</v>
      </c>
      <c r="U7693" t="n">
        <v>0</v>
      </c>
      <c r="V7693" s="2" t="inlineStr"/>
    </row>
    <row r="7694" ht="15" customHeight="1">
      <c r="A7694" t="inlineStr">
        <is>
          <t>A 21958-2026</t>
        </is>
      </c>
      <c r="B7694" t="inlineStr">
        <is>
          <t>avverkningsanmälan</t>
        </is>
      </c>
      <c r="C7694" t="inlineStr">
        <is>
          <t>Föryngringsavverkning</t>
        </is>
      </c>
      <c r="D7694" s="1" t="n">
        <v>46152</v>
      </c>
      <c r="E7694" s="1" t="n">
        <v>46326</v>
      </c>
      <c r="F7694" t="inlineStr">
        <is>
          <t>GÄVLEBORGS LÄN</t>
        </is>
      </c>
      <c r="G7694" t="inlineStr">
        <is>
          <t>OVANÅKER</t>
        </is>
      </c>
      <c r="I7694" t="n">
        <v>1.4</v>
      </c>
      <c r="J7694" t="n">
        <v>0</v>
      </c>
      <c r="K7694" t="n">
        <v>0</v>
      </c>
      <c r="L7694" t="n">
        <v>0</v>
      </c>
      <c r="M7694" t="n">
        <v>0</v>
      </c>
      <c r="N7694" t="n">
        <v>0</v>
      </c>
      <c r="O7694" t="n">
        <v>0</v>
      </c>
      <c r="P7694" t="n">
        <v>0</v>
      </c>
      <c r="Q7694" t="n">
        <v>0</v>
      </c>
      <c r="R7694" t="n">
        <v>0</v>
      </c>
      <c r="S7694" t="n">
        <v>0</v>
      </c>
      <c r="T7694" t="n">
        <v>0</v>
      </c>
      <c r="U7694" t="n">
        <v>0</v>
      </c>
      <c r="V7694" s="2" t="inlineStr"/>
    </row>
    <row r="7695" ht="15" customHeight="1">
      <c r="A7695" t="inlineStr">
        <is>
          <t>A 7450-2026</t>
        </is>
      </c>
      <c r="B7695" t="inlineStr">
        <is>
          <t>avverkningsanmälan</t>
        </is>
      </c>
      <c r="C7695" t="inlineStr">
        <is>
          <t>Föryngringsavverkning</t>
        </is>
      </c>
      <c r="D7695" s="1" t="n">
        <v>46059</v>
      </c>
      <c r="E7695" s="1" t="n">
        <v>46326</v>
      </c>
      <c r="F7695" t="inlineStr">
        <is>
          <t>GÄVLEBORGS LÄN</t>
        </is>
      </c>
      <c r="G7695" t="inlineStr">
        <is>
          <t>OVANÅKER</t>
        </is>
      </c>
      <c r="I7695" t="n">
        <v>4.5</v>
      </c>
      <c r="J7695" t="n">
        <v>0</v>
      </c>
      <c r="K7695" t="n">
        <v>0</v>
      </c>
      <c r="L7695" t="n">
        <v>0</v>
      </c>
      <c r="M7695" t="n">
        <v>0</v>
      </c>
      <c r="N7695" t="n">
        <v>0</v>
      </c>
      <c r="O7695" t="n">
        <v>0</v>
      </c>
      <c r="P7695" t="n">
        <v>0</v>
      </c>
      <c r="Q7695" t="n">
        <v>0</v>
      </c>
      <c r="R7695" t="n">
        <v>0</v>
      </c>
      <c r="S7695" t="n">
        <v>0</v>
      </c>
      <c r="T7695" t="n">
        <v>0</v>
      </c>
      <c r="U7695" t="n">
        <v>0</v>
      </c>
      <c r="V7695" s="2" t="inlineStr"/>
    </row>
    <row r="7696" ht="15" customHeight="1">
      <c r="A7696" t="inlineStr">
        <is>
          <t>A 22426-2026</t>
        </is>
      </c>
      <c r="B7696" t="inlineStr">
        <is>
          <t>avverkningsanmälan</t>
        </is>
      </c>
      <c r="C7696" t="inlineStr">
        <is>
          <t>Föryngringsavverkning</t>
        </is>
      </c>
      <c r="D7696" s="1" t="n">
        <v>46153</v>
      </c>
      <c r="E7696" s="1" t="n">
        <v>46326</v>
      </c>
      <c r="F7696" t="inlineStr">
        <is>
          <t>GÄVLEBORGS LÄN</t>
        </is>
      </c>
      <c r="G7696" t="inlineStr">
        <is>
          <t>OCKELBO</t>
        </is>
      </c>
      <c r="I7696" t="n">
        <v>1.3</v>
      </c>
      <c r="J7696" t="n">
        <v>0</v>
      </c>
      <c r="K7696" t="n">
        <v>0</v>
      </c>
      <c r="L7696" t="n">
        <v>0</v>
      </c>
      <c r="M7696" t="n">
        <v>0</v>
      </c>
      <c r="N7696" t="n">
        <v>0</v>
      </c>
      <c r="O7696" t="n">
        <v>0</v>
      </c>
      <c r="P7696" t="n">
        <v>0</v>
      </c>
      <c r="Q7696" t="n">
        <v>0</v>
      </c>
      <c r="R7696" t="n">
        <v>0</v>
      </c>
      <c r="S7696" t="n">
        <v>0</v>
      </c>
      <c r="T7696" t="n">
        <v>0</v>
      </c>
      <c r="U7696" t="n">
        <v>0</v>
      </c>
      <c r="V7696" s="2" t="inlineStr"/>
    </row>
    <row r="7697" ht="15" customHeight="1">
      <c r="A7697" t="inlineStr">
        <is>
          <t>A 46590-2024</t>
        </is>
      </c>
      <c r="B7697" t="inlineStr">
        <is>
          <t>avverkningsanmälan</t>
        </is>
      </c>
      <c r="C7697" t="inlineStr">
        <is>
          <t>Föryngringsavverkning</t>
        </is>
      </c>
      <c r="D7697" s="1" t="n">
        <v>45582</v>
      </c>
      <c r="E7697" s="1" t="n">
        <v>46326</v>
      </c>
      <c r="F7697" t="inlineStr">
        <is>
          <t>GÄVLEBORGS LÄN</t>
        </is>
      </c>
      <c r="G7697" t="inlineStr">
        <is>
          <t>HUDIKSVALL</t>
        </is>
      </c>
      <c r="H7697" t="inlineStr">
        <is>
          <t>Holmen skog AB</t>
        </is>
      </c>
      <c r="I7697" t="n">
        <v>1</v>
      </c>
      <c r="J7697" t="n">
        <v>0</v>
      </c>
      <c r="K7697" t="n">
        <v>0</v>
      </c>
      <c r="L7697" t="n">
        <v>0</v>
      </c>
      <c r="M7697" t="n">
        <v>0</v>
      </c>
      <c r="N7697" t="n">
        <v>0</v>
      </c>
      <c r="O7697" t="n">
        <v>0</v>
      </c>
      <c r="P7697" t="n">
        <v>0</v>
      </c>
      <c r="Q7697" t="n">
        <v>0</v>
      </c>
      <c r="R7697" t="n">
        <v>0</v>
      </c>
      <c r="S7697" t="n">
        <v>0</v>
      </c>
      <c r="T7697" t="n">
        <v>0</v>
      </c>
      <c r="U7697" t="n">
        <v>0</v>
      </c>
      <c r="V7697" s="2" t="inlineStr"/>
    </row>
    <row r="7698" ht="15" customHeight="1">
      <c r="A7698" t="inlineStr">
        <is>
          <t>A 45628-2022</t>
        </is>
      </c>
      <c r="B7698" t="inlineStr">
        <is>
          <t>avverkningsanmälan</t>
        </is>
      </c>
      <c r="C7698" t="inlineStr">
        <is>
          <t>Föryngringsavverkning</t>
        </is>
      </c>
      <c r="D7698" s="1" t="n">
        <v>44845</v>
      </c>
      <c r="E7698" s="1" t="n">
        <v>46326</v>
      </c>
      <c r="F7698" t="inlineStr">
        <is>
          <t>GÄVLEBORGS LÄN</t>
        </is>
      </c>
      <c r="G7698" t="inlineStr">
        <is>
          <t>GÄVLE</t>
        </is>
      </c>
      <c r="I7698" t="n">
        <v>0.9</v>
      </c>
      <c r="J7698" t="n">
        <v>0</v>
      </c>
      <c r="K7698" t="n">
        <v>0</v>
      </c>
      <c r="L7698" t="n">
        <v>0</v>
      </c>
      <c r="M7698" t="n">
        <v>0</v>
      </c>
      <c r="N7698" t="n">
        <v>0</v>
      </c>
      <c r="O7698" t="n">
        <v>0</v>
      </c>
      <c r="P7698" t="n">
        <v>0</v>
      </c>
      <c r="Q7698" t="n">
        <v>0</v>
      </c>
      <c r="R7698" t="n">
        <v>0</v>
      </c>
      <c r="S7698" t="n">
        <v>0</v>
      </c>
      <c r="T7698" t="n">
        <v>0</v>
      </c>
      <c r="U7698" t="n">
        <v>0</v>
      </c>
      <c r="V7698" s="2" t="inlineStr"/>
    </row>
    <row r="7699" ht="15" customHeight="1">
      <c r="A7699" t="inlineStr">
        <is>
          <t>A 6761-2024</t>
        </is>
      </c>
      <c r="B7699" t="inlineStr">
        <is>
          <t>avverkningsanmälan</t>
        </is>
      </c>
      <c r="C7699" t="inlineStr">
        <is>
          <t>Föryngringsavverkning</t>
        </is>
      </c>
      <c r="D7699" s="1" t="n">
        <v>45342</v>
      </c>
      <c r="E7699" s="1" t="n">
        <v>46326</v>
      </c>
      <c r="F7699" t="inlineStr">
        <is>
          <t>GÄVLEBORGS LÄN</t>
        </is>
      </c>
      <c r="G7699" t="inlineStr">
        <is>
          <t>OVANÅKER</t>
        </is>
      </c>
      <c r="I7699" t="n">
        <v>1.4</v>
      </c>
      <c r="J7699" t="n">
        <v>0</v>
      </c>
      <c r="K7699" t="n">
        <v>0</v>
      </c>
      <c r="L7699" t="n">
        <v>0</v>
      </c>
      <c r="M7699" t="n">
        <v>0</v>
      </c>
      <c r="N7699" t="n">
        <v>0</v>
      </c>
      <c r="O7699" t="n">
        <v>0</v>
      </c>
      <c r="P7699" t="n">
        <v>0</v>
      </c>
      <c r="Q7699" t="n">
        <v>0</v>
      </c>
      <c r="R7699" t="n">
        <v>0</v>
      </c>
      <c r="S7699" t="n">
        <v>0</v>
      </c>
      <c r="T7699" t="n">
        <v>0</v>
      </c>
      <c r="U7699" t="n">
        <v>0</v>
      </c>
      <c r="V7699" s="2" t="inlineStr"/>
    </row>
    <row r="7700" ht="15" customHeight="1">
      <c r="A7700" t="inlineStr">
        <is>
          <t>A 21951-2026</t>
        </is>
      </c>
      <c r="B7700" t="inlineStr">
        <is>
          <t>avverkningsanmälan</t>
        </is>
      </c>
      <c r="C7700" t="inlineStr">
        <is>
          <t>Föryngringsavverkning</t>
        </is>
      </c>
      <c r="D7700" s="1" t="n">
        <v>46151</v>
      </c>
      <c r="E7700" s="1" t="n">
        <v>46326</v>
      </c>
      <c r="F7700" t="inlineStr">
        <is>
          <t>GÄVLEBORGS LÄN</t>
        </is>
      </c>
      <c r="G7700" t="inlineStr">
        <is>
          <t>SANDVIKEN</t>
        </is>
      </c>
      <c r="I7700" t="n">
        <v>11</v>
      </c>
      <c r="J7700" t="n">
        <v>0</v>
      </c>
      <c r="K7700" t="n">
        <v>0</v>
      </c>
      <c r="L7700" t="n">
        <v>0</v>
      </c>
      <c r="M7700" t="n">
        <v>0</v>
      </c>
      <c r="N7700" t="n">
        <v>0</v>
      </c>
      <c r="O7700" t="n">
        <v>0</v>
      </c>
      <c r="P7700" t="n">
        <v>0</v>
      </c>
      <c r="Q7700" t="n">
        <v>0</v>
      </c>
      <c r="R7700" t="n">
        <v>0</v>
      </c>
      <c r="S7700" t="n">
        <v>0</v>
      </c>
      <c r="T7700" t="n">
        <v>0</v>
      </c>
      <c r="U7700" t="n">
        <v>0</v>
      </c>
      <c r="V7700" s="2" t="inlineStr"/>
    </row>
    <row r="7701" ht="15" customHeight="1">
      <c r="A7701" t="inlineStr">
        <is>
          <t>A 21953-2026</t>
        </is>
      </c>
      <c r="B7701" t="inlineStr">
        <is>
          <t>avverkningsanmälan</t>
        </is>
      </c>
      <c r="C7701" t="inlineStr">
        <is>
          <t>Föryngringsavverkning</t>
        </is>
      </c>
      <c r="D7701" s="1" t="n">
        <v>46152</v>
      </c>
      <c r="E7701" s="1" t="n">
        <v>46326</v>
      </c>
      <c r="F7701" t="inlineStr">
        <is>
          <t>GÄVLEBORGS LÄN</t>
        </is>
      </c>
      <c r="G7701" t="inlineStr">
        <is>
          <t>OVANÅKER</t>
        </is>
      </c>
      <c r="I7701" t="n">
        <v>10</v>
      </c>
      <c r="J7701" t="n">
        <v>0</v>
      </c>
      <c r="K7701" t="n">
        <v>0</v>
      </c>
      <c r="L7701" t="n">
        <v>0</v>
      </c>
      <c r="M7701" t="n">
        <v>0</v>
      </c>
      <c r="N7701" t="n">
        <v>0</v>
      </c>
      <c r="O7701" t="n">
        <v>0</v>
      </c>
      <c r="P7701" t="n">
        <v>0</v>
      </c>
      <c r="Q7701" t="n">
        <v>0</v>
      </c>
      <c r="R7701" t="n">
        <v>0</v>
      </c>
      <c r="S7701" t="n">
        <v>0</v>
      </c>
      <c r="T7701" t="n">
        <v>0</v>
      </c>
      <c r="U7701" t="n">
        <v>0</v>
      </c>
      <c r="V7701" s="2" t="inlineStr"/>
    </row>
    <row r="7702" ht="15" customHeight="1">
      <c r="A7702" t="inlineStr">
        <is>
          <t>A 21957-2026</t>
        </is>
      </c>
      <c r="B7702" t="inlineStr">
        <is>
          <t>avverkningsanmälan</t>
        </is>
      </c>
      <c r="C7702" t="inlineStr">
        <is>
          <t>Föryngringsavverkning</t>
        </is>
      </c>
      <c r="D7702" s="1" t="n">
        <v>46152</v>
      </c>
      <c r="E7702" s="1" t="n">
        <v>46326</v>
      </c>
      <c r="F7702" t="inlineStr">
        <is>
          <t>GÄVLEBORGS LÄN</t>
        </is>
      </c>
      <c r="G7702" t="inlineStr">
        <is>
          <t>OVANÅKER</t>
        </is>
      </c>
      <c r="I7702" t="n">
        <v>0.6</v>
      </c>
      <c r="J7702" t="n">
        <v>0</v>
      </c>
      <c r="K7702" t="n">
        <v>0</v>
      </c>
      <c r="L7702" t="n">
        <v>0</v>
      </c>
      <c r="M7702" t="n">
        <v>0</v>
      </c>
      <c r="N7702" t="n">
        <v>0</v>
      </c>
      <c r="O7702" t="n">
        <v>0</v>
      </c>
      <c r="P7702" t="n">
        <v>0</v>
      </c>
      <c r="Q7702" t="n">
        <v>0</v>
      </c>
      <c r="R7702" t="n">
        <v>0</v>
      </c>
      <c r="S7702" t="n">
        <v>0</v>
      </c>
      <c r="T7702" t="n">
        <v>0</v>
      </c>
      <c r="U7702" t="n">
        <v>0</v>
      </c>
      <c r="V7702" s="2" t="inlineStr"/>
    </row>
    <row r="7703" ht="15" customHeight="1">
      <c r="A7703" t="inlineStr">
        <is>
          <t>A 22150-2026</t>
        </is>
      </c>
      <c r="B7703" t="inlineStr">
        <is>
          <t>avverkningsanmälan</t>
        </is>
      </c>
      <c r="C7703" t="inlineStr">
        <is>
          <t>Föryngringsavverkning</t>
        </is>
      </c>
      <c r="D7703" s="1" t="n">
        <v>46153</v>
      </c>
      <c r="E7703" s="1" t="n">
        <v>46326</v>
      </c>
      <c r="F7703" t="inlineStr">
        <is>
          <t>GÄVLEBORGS LÄN</t>
        </is>
      </c>
      <c r="G7703" t="inlineStr">
        <is>
          <t>OVANÅKER</t>
        </is>
      </c>
      <c r="I7703" t="n">
        <v>2.1</v>
      </c>
      <c r="J7703" t="n">
        <v>0</v>
      </c>
      <c r="K7703" t="n">
        <v>0</v>
      </c>
      <c r="L7703" t="n">
        <v>0</v>
      </c>
      <c r="M7703" t="n">
        <v>0</v>
      </c>
      <c r="N7703" t="n">
        <v>0</v>
      </c>
      <c r="O7703" t="n">
        <v>0</v>
      </c>
      <c r="P7703" t="n">
        <v>0</v>
      </c>
      <c r="Q7703" t="n">
        <v>0</v>
      </c>
      <c r="R7703" t="n">
        <v>0</v>
      </c>
      <c r="S7703" t="n">
        <v>0</v>
      </c>
      <c r="T7703" t="n">
        <v>0</v>
      </c>
      <c r="U7703" t="n">
        <v>0</v>
      </c>
      <c r="V7703" s="2" t="inlineStr"/>
    </row>
    <row r="7704" ht="15" customHeight="1">
      <c r="A7704" t="inlineStr">
        <is>
          <t>A 5257-2026</t>
        </is>
      </c>
      <c r="B7704" t="inlineStr">
        <is>
          <t>avverkningsanmälan</t>
        </is>
      </c>
      <c r="C7704" t="inlineStr">
        <is>
          <t>Föryngringsavverkning</t>
        </is>
      </c>
      <c r="D7704" s="1" t="n">
        <v>46050</v>
      </c>
      <c r="E7704" s="1" t="n">
        <v>46326</v>
      </c>
      <c r="F7704" t="inlineStr">
        <is>
          <t>GÄVLEBORGS LÄN</t>
        </is>
      </c>
      <c r="G7704" t="inlineStr">
        <is>
          <t>SANDVIKEN</t>
        </is>
      </c>
      <c r="I7704" t="n">
        <v>3</v>
      </c>
      <c r="J7704" t="n">
        <v>0</v>
      </c>
      <c r="K7704" t="n">
        <v>0</v>
      </c>
      <c r="L7704" t="n">
        <v>0</v>
      </c>
      <c r="M7704" t="n">
        <v>0</v>
      </c>
      <c r="N7704" t="n">
        <v>0</v>
      </c>
      <c r="O7704" t="n">
        <v>0</v>
      </c>
      <c r="P7704" t="n">
        <v>0</v>
      </c>
      <c r="Q7704" t="n">
        <v>0</v>
      </c>
      <c r="R7704" t="n">
        <v>0</v>
      </c>
      <c r="S7704" t="n">
        <v>0</v>
      </c>
      <c r="T7704" t="n">
        <v>0</v>
      </c>
      <c r="U7704" t="n">
        <v>0</v>
      </c>
      <c r="V7704" s="2" t="inlineStr"/>
    </row>
    <row r="7705" ht="15" customHeight="1">
      <c r="A7705" t="inlineStr">
        <is>
          <t>A 21791-2026</t>
        </is>
      </c>
      <c r="B7705" t="inlineStr">
        <is>
          <t>avverkningsanmälan</t>
        </is>
      </c>
      <c r="C7705" t="inlineStr">
        <is>
          <t>Föryngringsavverkning</t>
        </is>
      </c>
      <c r="D7705" s="1" t="n">
        <v>46150</v>
      </c>
      <c r="E7705" s="1" t="n">
        <v>46326</v>
      </c>
      <c r="F7705" t="inlineStr">
        <is>
          <t>GÄVLEBORGS LÄN</t>
        </is>
      </c>
      <c r="G7705" t="inlineStr">
        <is>
          <t>BOLLNÄS</t>
        </is>
      </c>
      <c r="I7705" t="n">
        <v>1.3</v>
      </c>
      <c r="J7705" t="n">
        <v>0</v>
      </c>
      <c r="K7705" t="n">
        <v>0</v>
      </c>
      <c r="L7705" t="n">
        <v>0</v>
      </c>
      <c r="M7705" t="n">
        <v>0</v>
      </c>
      <c r="N7705" t="n">
        <v>0</v>
      </c>
      <c r="O7705" t="n">
        <v>0</v>
      </c>
      <c r="P7705" t="n">
        <v>0</v>
      </c>
      <c r="Q7705" t="n">
        <v>0</v>
      </c>
      <c r="R7705" t="n">
        <v>0</v>
      </c>
      <c r="S7705" t="n">
        <v>0</v>
      </c>
      <c r="T7705" t="n">
        <v>0</v>
      </c>
      <c r="U7705" t="n">
        <v>0</v>
      </c>
      <c r="V7705" s="2" t="inlineStr"/>
    </row>
    <row r="7706" ht="15" customHeight="1">
      <c r="A7706" t="inlineStr">
        <is>
          <t>A 953-2026</t>
        </is>
      </c>
      <c r="B7706" t="inlineStr">
        <is>
          <t>avverkningsanmälan</t>
        </is>
      </c>
      <c r="C7706" t="inlineStr">
        <is>
          <t>Föryngringsavverkning</t>
        </is>
      </c>
      <c r="D7706" s="1" t="n">
        <v>46030</v>
      </c>
      <c r="E7706" s="1" t="n">
        <v>46326</v>
      </c>
      <c r="F7706" t="inlineStr">
        <is>
          <t>GÄVLEBORGS LÄN</t>
        </is>
      </c>
      <c r="G7706" t="inlineStr">
        <is>
          <t>OVANÅKER</t>
        </is>
      </c>
      <c r="I7706" t="n">
        <v>1.8</v>
      </c>
      <c r="J7706" t="n">
        <v>0</v>
      </c>
      <c r="K7706" t="n">
        <v>0</v>
      </c>
      <c r="L7706" t="n">
        <v>0</v>
      </c>
      <c r="M7706" t="n">
        <v>0</v>
      </c>
      <c r="N7706" t="n">
        <v>0</v>
      </c>
      <c r="O7706" t="n">
        <v>0</v>
      </c>
      <c r="P7706" t="n">
        <v>0</v>
      </c>
      <c r="Q7706" t="n">
        <v>0</v>
      </c>
      <c r="R7706" t="n">
        <v>0</v>
      </c>
      <c r="S7706" t="n">
        <v>0</v>
      </c>
      <c r="T7706" t="n">
        <v>0</v>
      </c>
      <c r="U7706" t="n">
        <v>0</v>
      </c>
      <c r="V7706" s="2" t="inlineStr"/>
    </row>
    <row r="7707" ht="15" customHeight="1">
      <c r="A7707" t="inlineStr">
        <is>
          <t>A 20451-2026</t>
        </is>
      </c>
      <c r="B7707" t="inlineStr">
        <is>
          <t>avverkningsanmälan</t>
        </is>
      </c>
      <c r="C7707" t="inlineStr">
        <is>
          <t>Föryngringsavverkning</t>
        </is>
      </c>
      <c r="D7707" s="1" t="n">
        <v>46140</v>
      </c>
      <c r="E7707" s="1" t="n">
        <v>46326</v>
      </c>
      <c r="F7707" t="inlineStr">
        <is>
          <t>GÄVLEBORGS LÄN</t>
        </is>
      </c>
      <c r="G7707" t="inlineStr">
        <is>
          <t>BOLLNÄS</t>
        </is>
      </c>
      <c r="H7707" t="inlineStr">
        <is>
          <t>Bergvik skog väst AB</t>
        </is>
      </c>
      <c r="I7707" t="n">
        <v>3.5</v>
      </c>
      <c r="J7707" t="n">
        <v>0</v>
      </c>
      <c r="K7707" t="n">
        <v>0</v>
      </c>
      <c r="L7707" t="n">
        <v>0</v>
      </c>
      <c r="M7707" t="n">
        <v>0</v>
      </c>
      <c r="N7707" t="n">
        <v>0</v>
      </c>
      <c r="O7707" t="n">
        <v>0</v>
      </c>
      <c r="P7707" t="n">
        <v>0</v>
      </c>
      <c r="Q7707" t="n">
        <v>0</v>
      </c>
      <c r="R7707" t="n">
        <v>0</v>
      </c>
      <c r="S7707" t="n">
        <v>0</v>
      </c>
      <c r="T7707" t="n">
        <v>0</v>
      </c>
      <c r="U7707" t="n">
        <v>0</v>
      </c>
      <c r="V7707" s="2" t="inlineStr"/>
    </row>
    <row r="7708" ht="15" customHeight="1">
      <c r="A7708" t="inlineStr">
        <is>
          <t>A 10255-2026</t>
        </is>
      </c>
      <c r="B7708" t="inlineStr">
        <is>
          <t>avverkningsanmälan</t>
        </is>
      </c>
      <c r="C7708" t="inlineStr">
        <is>
          <t>Föryngringsavverkning</t>
        </is>
      </c>
      <c r="D7708" s="1" t="n">
        <v>46076</v>
      </c>
      <c r="E7708" s="1" t="n">
        <v>46326</v>
      </c>
      <c r="F7708" t="inlineStr">
        <is>
          <t>GÄVLEBORGS LÄN</t>
        </is>
      </c>
      <c r="G7708" t="inlineStr">
        <is>
          <t>LJUSDAL</t>
        </is>
      </c>
      <c r="H7708" t="inlineStr">
        <is>
          <t>Bergvik skog väst AB</t>
        </is>
      </c>
      <c r="I7708" t="n">
        <v>0.6</v>
      </c>
      <c r="J7708" t="n">
        <v>0</v>
      </c>
      <c r="K7708" t="n">
        <v>0</v>
      </c>
      <c r="L7708" t="n">
        <v>0</v>
      </c>
      <c r="M7708" t="n">
        <v>0</v>
      </c>
      <c r="N7708" t="n">
        <v>0</v>
      </c>
      <c r="O7708" t="n">
        <v>0</v>
      </c>
      <c r="P7708" t="n">
        <v>0</v>
      </c>
      <c r="Q7708" t="n">
        <v>0</v>
      </c>
      <c r="R7708" t="n">
        <v>0</v>
      </c>
      <c r="S7708" t="n">
        <v>0</v>
      </c>
      <c r="T7708" t="n">
        <v>0</v>
      </c>
      <c r="U7708" t="n">
        <v>0</v>
      </c>
      <c r="V7708" s="2" t="inlineStr"/>
    </row>
    <row r="7709" ht="15" customHeight="1">
      <c r="A7709" t="inlineStr">
        <is>
          <t>A 13596-2026</t>
        </is>
      </c>
      <c r="B7709" t="inlineStr">
        <is>
          <t>avverkningsanmälan</t>
        </is>
      </c>
      <c r="C7709" t="inlineStr">
        <is>
          <t>Föryngringsavverkning</t>
        </is>
      </c>
      <c r="D7709" s="1" t="n">
        <v>46097</v>
      </c>
      <c r="E7709" s="1" t="n">
        <v>46326</v>
      </c>
      <c r="F7709" t="inlineStr">
        <is>
          <t>GÄVLEBORGS LÄN</t>
        </is>
      </c>
      <c r="G7709" t="inlineStr">
        <is>
          <t>BOLLNÄS</t>
        </is>
      </c>
      <c r="I7709" t="n">
        <v>3.3</v>
      </c>
      <c r="J7709" t="n">
        <v>0</v>
      </c>
      <c r="K7709" t="n">
        <v>0</v>
      </c>
      <c r="L7709" t="n">
        <v>0</v>
      </c>
      <c r="M7709" t="n">
        <v>0</v>
      </c>
      <c r="N7709" t="n">
        <v>0</v>
      </c>
      <c r="O7709" t="n">
        <v>0</v>
      </c>
      <c r="P7709" t="n">
        <v>0</v>
      </c>
      <c r="Q7709" t="n">
        <v>0</v>
      </c>
      <c r="R7709" t="n">
        <v>0</v>
      </c>
      <c r="S7709" t="n">
        <v>0</v>
      </c>
      <c r="T7709" t="n">
        <v>0</v>
      </c>
      <c r="U7709" t="n">
        <v>0</v>
      </c>
      <c r="V7709" s="2" t="inlineStr"/>
    </row>
    <row r="7710" ht="15" customHeight="1">
      <c r="A7710" t="inlineStr">
        <is>
          <t>A 16049-2026</t>
        </is>
      </c>
      <c r="B7710" t="inlineStr">
        <is>
          <t>avverkningsanmälan</t>
        </is>
      </c>
      <c r="C7710" t="inlineStr">
        <is>
          <t>Föryngringsavverkning</t>
        </is>
      </c>
      <c r="D7710" s="1" t="n">
        <v>46108</v>
      </c>
      <c r="E7710" s="1" t="n">
        <v>46326</v>
      </c>
      <c r="F7710" t="inlineStr">
        <is>
          <t>GÄVLEBORGS LÄN</t>
        </is>
      </c>
      <c r="G7710" t="inlineStr">
        <is>
          <t>BOLLNÄS</t>
        </is>
      </c>
      <c r="I7710" t="n">
        <v>13.8</v>
      </c>
      <c r="J7710" t="n">
        <v>0</v>
      </c>
      <c r="K7710" t="n">
        <v>0</v>
      </c>
      <c r="L7710" t="n">
        <v>0</v>
      </c>
      <c r="M7710" t="n">
        <v>0</v>
      </c>
      <c r="N7710" t="n">
        <v>0</v>
      </c>
      <c r="O7710" t="n">
        <v>0</v>
      </c>
      <c r="P7710" t="n">
        <v>0</v>
      </c>
      <c r="Q7710" t="n">
        <v>0</v>
      </c>
      <c r="R7710" t="n">
        <v>0</v>
      </c>
      <c r="S7710" t="n">
        <v>0</v>
      </c>
      <c r="T7710" t="n">
        <v>0</v>
      </c>
      <c r="U7710" t="n">
        <v>0</v>
      </c>
      <c r="V7710" s="2" t="inlineStr"/>
    </row>
    <row r="7711" ht="15" customHeight="1">
      <c r="A7711" t="inlineStr">
        <is>
          <t>A 16020-2024</t>
        </is>
      </c>
      <c r="B7711" t="inlineStr">
        <is>
          <t>avverkningsanmälan</t>
        </is>
      </c>
      <c r="C7711" t="inlineStr">
        <is>
          <t>Föryngringsavverkning</t>
        </is>
      </c>
      <c r="D7711" s="1" t="n">
        <v>45405</v>
      </c>
      <c r="E7711" s="1" t="n">
        <v>46326</v>
      </c>
      <c r="F7711" t="inlineStr">
        <is>
          <t>GÄVLEBORGS LÄN</t>
        </is>
      </c>
      <c r="G7711" t="inlineStr">
        <is>
          <t>BOLLNÄS</t>
        </is>
      </c>
      <c r="I7711" t="n">
        <v>1.6</v>
      </c>
      <c r="J7711" t="n">
        <v>0</v>
      </c>
      <c r="K7711" t="n">
        <v>0</v>
      </c>
      <c r="L7711" t="n">
        <v>0</v>
      </c>
      <c r="M7711" t="n">
        <v>0</v>
      </c>
      <c r="N7711" t="n">
        <v>0</v>
      </c>
      <c r="O7711" t="n">
        <v>0</v>
      </c>
      <c r="P7711" t="n">
        <v>0</v>
      </c>
      <c r="Q7711" t="n">
        <v>0</v>
      </c>
      <c r="R7711" t="n">
        <v>0</v>
      </c>
      <c r="S7711" t="n">
        <v>0</v>
      </c>
      <c r="T7711" t="n">
        <v>0</v>
      </c>
      <c r="U7711" t="n">
        <v>0</v>
      </c>
      <c r="V7711" s="2" t="inlineStr"/>
    </row>
    <row r="7712" ht="15" customHeight="1">
      <c r="A7712" t="inlineStr">
        <is>
          <t>A 18657-2023</t>
        </is>
      </c>
      <c r="B7712" t="inlineStr">
        <is>
          <t>avverkningsanmälan</t>
        </is>
      </c>
      <c r="C7712" t="inlineStr">
        <is>
          <t>Föryngringsavverkning</t>
        </is>
      </c>
      <c r="D7712" s="1" t="n">
        <v>45043</v>
      </c>
      <c r="E7712" s="1" t="n">
        <v>46326</v>
      </c>
      <c r="F7712" t="inlineStr">
        <is>
          <t>GÄVLEBORGS LÄN</t>
        </is>
      </c>
      <c r="G7712" t="inlineStr">
        <is>
          <t>HUDIKSVALL</t>
        </is>
      </c>
      <c r="H7712" t="inlineStr">
        <is>
          <t>Holmen skog AB</t>
        </is>
      </c>
      <c r="I7712" t="n">
        <v>2</v>
      </c>
      <c r="J7712" t="n">
        <v>0</v>
      </c>
      <c r="K7712" t="n">
        <v>0</v>
      </c>
      <c r="L7712" t="n">
        <v>0</v>
      </c>
      <c r="M7712" t="n">
        <v>0</v>
      </c>
      <c r="N7712" t="n">
        <v>0</v>
      </c>
      <c r="O7712" t="n">
        <v>0</v>
      </c>
      <c r="P7712" t="n">
        <v>0</v>
      </c>
      <c r="Q7712" t="n">
        <v>0</v>
      </c>
      <c r="R7712" t="n">
        <v>0</v>
      </c>
      <c r="S7712" t="n">
        <v>0</v>
      </c>
      <c r="T7712" t="n">
        <v>0</v>
      </c>
      <c r="U7712" t="n">
        <v>0</v>
      </c>
      <c r="V7712" s="2" t="inlineStr"/>
    </row>
    <row r="7713" ht="15" customHeight="1">
      <c r="A7713" t="inlineStr">
        <is>
          <t>A 11561-2026</t>
        </is>
      </c>
      <c r="B7713" t="inlineStr">
        <is>
          <t>avverkningsanmälan</t>
        </is>
      </c>
      <c r="C7713" t="inlineStr">
        <is>
          <t>Föryngringsavverkning</t>
        </is>
      </c>
      <c r="D7713" s="1" t="n">
        <v>46084</v>
      </c>
      <c r="E7713" s="1" t="n">
        <v>46326</v>
      </c>
      <c r="F7713" t="inlineStr">
        <is>
          <t>GÄVLEBORGS LÄN</t>
        </is>
      </c>
      <c r="G7713" t="inlineStr">
        <is>
          <t>BOLLNÄS</t>
        </is>
      </c>
      <c r="I7713" t="n">
        <v>8.199999999999999</v>
      </c>
      <c r="J7713" t="n">
        <v>0</v>
      </c>
      <c r="K7713" t="n">
        <v>0</v>
      </c>
      <c r="L7713" t="n">
        <v>0</v>
      </c>
      <c r="M7713" t="n">
        <v>0</v>
      </c>
      <c r="N7713" t="n">
        <v>0</v>
      </c>
      <c r="O7713" t="n">
        <v>0</v>
      </c>
      <c r="P7713" t="n">
        <v>0</v>
      </c>
      <c r="Q7713" t="n">
        <v>0</v>
      </c>
      <c r="R7713" t="n">
        <v>0</v>
      </c>
      <c r="S7713" t="n">
        <v>0</v>
      </c>
      <c r="T7713" t="n">
        <v>0</v>
      </c>
      <c r="U7713" t="n">
        <v>0</v>
      </c>
      <c r="V7713" s="2" t="inlineStr"/>
    </row>
    <row r="7714" ht="15" customHeight="1">
      <c r="A7714" t="inlineStr">
        <is>
          <t>A 12638-2026</t>
        </is>
      </c>
      <c r="B7714" t="inlineStr">
        <is>
          <t>avverkningsanmälan</t>
        </is>
      </c>
      <c r="C7714" t="inlineStr">
        <is>
          <t>Föryngringsavverkning</t>
        </is>
      </c>
      <c r="D7714" s="1" t="n">
        <v>46091</v>
      </c>
      <c r="E7714" s="1" t="n">
        <v>46326</v>
      </c>
      <c r="F7714" t="inlineStr">
        <is>
          <t>GÄVLEBORGS LÄN</t>
        </is>
      </c>
      <c r="G7714" t="inlineStr">
        <is>
          <t>LJUSDAL</t>
        </is>
      </c>
      <c r="I7714" t="n">
        <v>0.5</v>
      </c>
      <c r="J7714" t="n">
        <v>0</v>
      </c>
      <c r="K7714" t="n">
        <v>0</v>
      </c>
      <c r="L7714" t="n">
        <v>0</v>
      </c>
      <c r="M7714" t="n">
        <v>0</v>
      </c>
      <c r="N7714" t="n">
        <v>0</v>
      </c>
      <c r="O7714" t="n">
        <v>0</v>
      </c>
      <c r="P7714" t="n">
        <v>0</v>
      </c>
      <c r="Q7714" t="n">
        <v>0</v>
      </c>
      <c r="R7714" t="n">
        <v>0</v>
      </c>
      <c r="S7714" t="n">
        <v>0</v>
      </c>
      <c r="T7714" t="n">
        <v>0</v>
      </c>
      <c r="U7714" t="n">
        <v>0</v>
      </c>
      <c r="V7714" s="2" t="inlineStr"/>
    </row>
    <row r="7715" ht="15" customHeight="1">
      <c r="A7715" t="inlineStr">
        <is>
          <t>A 17919-2026</t>
        </is>
      </c>
      <c r="B7715" t="inlineStr">
        <is>
          <t>avverkningsanmälan</t>
        </is>
      </c>
      <c r="C7715" t="inlineStr">
        <is>
          <t>Föryngringsavverkning</t>
        </is>
      </c>
      <c r="D7715" s="1" t="n">
        <v>46122</v>
      </c>
      <c r="E7715" s="1" t="n">
        <v>46326</v>
      </c>
      <c r="F7715" t="inlineStr">
        <is>
          <t>GÄVLEBORGS LÄN</t>
        </is>
      </c>
      <c r="G7715" t="inlineStr">
        <is>
          <t>HUDIKSVALL</t>
        </is>
      </c>
      <c r="I7715" t="n">
        <v>2.6</v>
      </c>
      <c r="J7715" t="n">
        <v>0</v>
      </c>
      <c r="K7715" t="n">
        <v>0</v>
      </c>
      <c r="L7715" t="n">
        <v>0</v>
      </c>
      <c r="M7715" t="n">
        <v>0</v>
      </c>
      <c r="N7715" t="n">
        <v>0</v>
      </c>
      <c r="O7715" t="n">
        <v>0</v>
      </c>
      <c r="P7715" t="n">
        <v>0</v>
      </c>
      <c r="Q7715" t="n">
        <v>0</v>
      </c>
      <c r="R7715" t="n">
        <v>0</v>
      </c>
      <c r="S7715" t="n">
        <v>0</v>
      </c>
      <c r="T7715" t="n">
        <v>0</v>
      </c>
      <c r="U7715" t="n">
        <v>0</v>
      </c>
      <c r="V7715" s="2" t="inlineStr"/>
    </row>
    <row r="7716" ht="15" customHeight="1">
      <c r="A7716" t="inlineStr">
        <is>
          <t>A 9413-2026</t>
        </is>
      </c>
      <c r="B7716" t="inlineStr">
        <is>
          <t>avverkningsanmälan</t>
        </is>
      </c>
      <c r="C7716" t="inlineStr">
        <is>
          <t>Föryngringsavverkning</t>
        </is>
      </c>
      <c r="D7716" s="1" t="n">
        <v>46071</v>
      </c>
      <c r="E7716" s="1" t="n">
        <v>46326</v>
      </c>
      <c r="F7716" t="inlineStr">
        <is>
          <t>GÄVLEBORGS LÄN</t>
        </is>
      </c>
      <c r="G7716" t="inlineStr">
        <is>
          <t>OCKELBO</t>
        </is>
      </c>
      <c r="H7716" t="inlineStr">
        <is>
          <t>Bergvik skog väst AB</t>
        </is>
      </c>
      <c r="I7716" t="n">
        <v>9.1</v>
      </c>
      <c r="J7716" t="n">
        <v>0</v>
      </c>
      <c r="K7716" t="n">
        <v>0</v>
      </c>
      <c r="L7716" t="n">
        <v>0</v>
      </c>
      <c r="M7716" t="n">
        <v>0</v>
      </c>
      <c r="N7716" t="n">
        <v>0</v>
      </c>
      <c r="O7716" t="n">
        <v>0</v>
      </c>
      <c r="P7716" t="n">
        <v>0</v>
      </c>
      <c r="Q7716" t="n">
        <v>0</v>
      </c>
      <c r="R7716" t="n">
        <v>0</v>
      </c>
      <c r="S7716" t="n">
        <v>0</v>
      </c>
      <c r="T7716" t="n">
        <v>0</v>
      </c>
      <c r="U7716" t="n">
        <v>0</v>
      </c>
      <c r="V7716" s="2" t="inlineStr"/>
    </row>
    <row r="7717" ht="15" customHeight="1">
      <c r="A7717" t="inlineStr">
        <is>
          <t>A 16453-2026</t>
        </is>
      </c>
      <c r="B7717" t="inlineStr">
        <is>
          <t>avverkningsanmälan</t>
        </is>
      </c>
      <c r="C7717" t="inlineStr">
        <is>
          <t>Föryngringsavverkning</t>
        </is>
      </c>
      <c r="D7717" s="1" t="n">
        <v>46112</v>
      </c>
      <c r="E7717" s="1" t="n">
        <v>46326</v>
      </c>
      <c r="F7717" t="inlineStr">
        <is>
          <t>GÄVLEBORGS LÄN</t>
        </is>
      </c>
      <c r="G7717" t="inlineStr">
        <is>
          <t>BOLLNÄS</t>
        </is>
      </c>
      <c r="H7717" t="inlineStr">
        <is>
          <t>Bergvik skog väst AB</t>
        </is>
      </c>
      <c r="I7717" t="n">
        <v>4.9</v>
      </c>
      <c r="J7717" t="n">
        <v>0</v>
      </c>
      <c r="K7717" t="n">
        <v>0</v>
      </c>
      <c r="L7717" t="n">
        <v>0</v>
      </c>
      <c r="M7717" t="n">
        <v>0</v>
      </c>
      <c r="N7717" t="n">
        <v>0</v>
      </c>
      <c r="O7717" t="n">
        <v>0</v>
      </c>
      <c r="P7717" t="n">
        <v>0</v>
      </c>
      <c r="Q7717" t="n">
        <v>0</v>
      </c>
      <c r="R7717" t="n">
        <v>0</v>
      </c>
      <c r="S7717" t="n">
        <v>0</v>
      </c>
      <c r="T7717" t="n">
        <v>0</v>
      </c>
      <c r="U7717" t="n">
        <v>0</v>
      </c>
      <c r="V7717" s="2" t="inlineStr"/>
    </row>
    <row r="7718" ht="15" customHeight="1">
      <c r="A7718" t="inlineStr">
        <is>
          <t>A 18645-2026</t>
        </is>
      </c>
      <c r="B7718" t="inlineStr">
        <is>
          <t>avverkningsanmälan</t>
        </is>
      </c>
      <c r="C7718" t="inlineStr">
        <is>
          <t>Föryngringsavverkning</t>
        </is>
      </c>
      <c r="D7718" s="1" t="n">
        <v>46128</v>
      </c>
      <c r="E7718" s="1" t="n">
        <v>46326</v>
      </c>
      <c r="F7718" t="inlineStr">
        <is>
          <t>GÄVLEBORGS LÄN</t>
        </is>
      </c>
      <c r="G7718" t="inlineStr">
        <is>
          <t>OCKELBO</t>
        </is>
      </c>
      <c r="H7718" t="inlineStr">
        <is>
          <t>Bergvik skog väst AB</t>
        </is>
      </c>
      <c r="I7718" t="n">
        <v>1.5</v>
      </c>
      <c r="J7718" t="n">
        <v>0</v>
      </c>
      <c r="K7718" t="n">
        <v>0</v>
      </c>
      <c r="L7718" t="n">
        <v>0</v>
      </c>
      <c r="M7718" t="n">
        <v>0</v>
      </c>
      <c r="N7718" t="n">
        <v>0</v>
      </c>
      <c r="O7718" t="n">
        <v>0</v>
      </c>
      <c r="P7718" t="n">
        <v>0</v>
      </c>
      <c r="Q7718" t="n">
        <v>0</v>
      </c>
      <c r="R7718" t="n">
        <v>0</v>
      </c>
      <c r="S7718" t="n">
        <v>0</v>
      </c>
      <c r="T7718" t="n">
        <v>0</v>
      </c>
      <c r="U7718" t="n">
        <v>0</v>
      </c>
      <c r="V7718" s="2" t="inlineStr"/>
    </row>
    <row r="7719" ht="15" customHeight="1">
      <c r="A7719" t="inlineStr">
        <is>
          <t>A 18691-2026</t>
        </is>
      </c>
      <c r="B7719" t="inlineStr">
        <is>
          <t>avverkningsanmälan</t>
        </is>
      </c>
      <c r="C7719" t="inlineStr">
        <is>
          <t>Föryngringsavverkning</t>
        </is>
      </c>
      <c r="D7719" s="1" t="n">
        <v>46128</v>
      </c>
      <c r="E7719" s="1" t="n">
        <v>46326</v>
      </c>
      <c r="F7719" t="inlineStr">
        <is>
          <t>GÄVLEBORGS LÄN</t>
        </is>
      </c>
      <c r="G7719" t="inlineStr">
        <is>
          <t>NORDANSTIG</t>
        </is>
      </c>
      <c r="I7719" t="n">
        <v>2</v>
      </c>
      <c r="J7719" t="n">
        <v>0</v>
      </c>
      <c r="K7719" t="n">
        <v>0</v>
      </c>
      <c r="L7719" t="n">
        <v>0</v>
      </c>
      <c r="M7719" t="n">
        <v>0</v>
      </c>
      <c r="N7719" t="n">
        <v>0</v>
      </c>
      <c r="O7719" t="n">
        <v>0</v>
      </c>
      <c r="P7719" t="n">
        <v>0</v>
      </c>
      <c r="Q7719" t="n">
        <v>0</v>
      </c>
      <c r="R7719" t="n">
        <v>0</v>
      </c>
      <c r="S7719" t="n">
        <v>0</v>
      </c>
      <c r="T7719" t="n">
        <v>0</v>
      </c>
      <c r="U7719" t="n">
        <v>0</v>
      </c>
      <c r="V7719" s="2" t="inlineStr"/>
    </row>
    <row r="7720" ht="15" customHeight="1">
      <c r="A7720" t="inlineStr">
        <is>
          <t>A 21637-2024</t>
        </is>
      </c>
      <c r="B7720" t="inlineStr">
        <is>
          <t>avverkningsanmälan</t>
        </is>
      </c>
      <c r="C7720" t="inlineStr">
        <is>
          <t>Föryngringsavverkning</t>
        </is>
      </c>
      <c r="D7720" s="1" t="n">
        <v>45442</v>
      </c>
      <c r="E7720" s="1" t="n">
        <v>46326</v>
      </c>
      <c r="F7720" t="inlineStr">
        <is>
          <t>GÄVLEBORGS LÄN</t>
        </is>
      </c>
      <c r="G7720" t="inlineStr">
        <is>
          <t>LJUSDAL</t>
        </is>
      </c>
      <c r="I7720" t="n">
        <v>0.6</v>
      </c>
      <c r="J7720" t="n">
        <v>0</v>
      </c>
      <c r="K7720" t="n">
        <v>0</v>
      </c>
      <c r="L7720" t="n">
        <v>0</v>
      </c>
      <c r="M7720" t="n">
        <v>0</v>
      </c>
      <c r="N7720" t="n">
        <v>0</v>
      </c>
      <c r="O7720" t="n">
        <v>0</v>
      </c>
      <c r="P7720" t="n">
        <v>0</v>
      </c>
      <c r="Q7720" t="n">
        <v>0</v>
      </c>
      <c r="R7720" t="n">
        <v>0</v>
      </c>
      <c r="S7720" t="n">
        <v>0</v>
      </c>
      <c r="T7720" t="n">
        <v>0</v>
      </c>
      <c r="U7720" t="n">
        <v>0</v>
      </c>
      <c r="V7720" s="2" t="inlineStr"/>
    </row>
    <row r="7721" ht="15" customHeight="1">
      <c r="A7721" t="inlineStr">
        <is>
          <t>A 2016-2026</t>
        </is>
      </c>
      <c r="B7721" t="inlineStr">
        <is>
          <t>avverkningsanmälan</t>
        </is>
      </c>
      <c r="C7721" t="inlineStr">
        <is>
          <t>Föryngringsavverkning</t>
        </is>
      </c>
      <c r="D7721" s="1" t="n">
        <v>46035</v>
      </c>
      <c r="E7721" s="1" t="n">
        <v>46326</v>
      </c>
      <c r="F7721" t="inlineStr">
        <is>
          <t>GÄVLEBORGS LÄN</t>
        </is>
      </c>
      <c r="G7721" t="inlineStr">
        <is>
          <t>SANDVIKEN</t>
        </is>
      </c>
      <c r="I7721" t="n">
        <v>3</v>
      </c>
      <c r="J7721" t="n">
        <v>0</v>
      </c>
      <c r="K7721" t="n">
        <v>0</v>
      </c>
      <c r="L7721" t="n">
        <v>0</v>
      </c>
      <c r="M7721" t="n">
        <v>0</v>
      </c>
      <c r="N7721" t="n">
        <v>0</v>
      </c>
      <c r="O7721" t="n">
        <v>0</v>
      </c>
      <c r="P7721" t="n">
        <v>0</v>
      </c>
      <c r="Q7721" t="n">
        <v>0</v>
      </c>
      <c r="R7721" t="n">
        <v>0</v>
      </c>
      <c r="S7721" t="n">
        <v>0</v>
      </c>
      <c r="T7721" t="n">
        <v>0</v>
      </c>
      <c r="U7721" t="n">
        <v>0</v>
      </c>
      <c r="V7721" s="2" t="inlineStr"/>
    </row>
    <row r="7722" ht="15" customHeight="1">
      <c r="A7722" t="inlineStr">
        <is>
          <t>A 21764-2026</t>
        </is>
      </c>
      <c r="B7722" t="inlineStr">
        <is>
          <t>avverkningsanmälan</t>
        </is>
      </c>
      <c r="C7722" t="inlineStr">
        <is>
          <t>Föryngringsavverkning</t>
        </is>
      </c>
      <c r="D7722" s="1" t="n">
        <v>46150</v>
      </c>
      <c r="E7722" s="1" t="n">
        <v>46326</v>
      </c>
      <c r="F7722" t="inlineStr">
        <is>
          <t>GÄVLEBORGS LÄN</t>
        </is>
      </c>
      <c r="G7722" t="inlineStr">
        <is>
          <t>BOLLNÄS</t>
        </is>
      </c>
      <c r="H7722" t="inlineStr">
        <is>
          <t>Bergvik skog väst AB</t>
        </is>
      </c>
      <c r="I7722" t="n">
        <v>0.6</v>
      </c>
      <c r="J7722" t="n">
        <v>0</v>
      </c>
      <c r="K7722" t="n">
        <v>0</v>
      </c>
      <c r="L7722" t="n">
        <v>0</v>
      </c>
      <c r="M7722" t="n">
        <v>0</v>
      </c>
      <c r="N7722" t="n">
        <v>0</v>
      </c>
      <c r="O7722" t="n">
        <v>0</v>
      </c>
      <c r="P7722" t="n">
        <v>0</v>
      </c>
      <c r="Q7722" t="n">
        <v>0</v>
      </c>
      <c r="R7722" t="n">
        <v>0</v>
      </c>
      <c r="S7722" t="n">
        <v>0</v>
      </c>
      <c r="T7722" t="n">
        <v>0</v>
      </c>
      <c r="U7722" t="n">
        <v>0</v>
      </c>
      <c r="V7722" s="2" t="inlineStr"/>
    </row>
    <row r="7723" ht="15" customHeight="1">
      <c r="A7723" t="inlineStr">
        <is>
          <t>A 21793-2026</t>
        </is>
      </c>
      <c r="B7723" t="inlineStr">
        <is>
          <t>avverkningsanmälan</t>
        </is>
      </c>
      <c r="C7723" t="inlineStr">
        <is>
          <t>Föryngringsavverkning</t>
        </is>
      </c>
      <c r="D7723" s="1" t="n">
        <v>46150</v>
      </c>
      <c r="E7723" s="1" t="n">
        <v>46326</v>
      </c>
      <c r="F7723" t="inlineStr">
        <is>
          <t>GÄVLEBORGS LÄN</t>
        </is>
      </c>
      <c r="G7723" t="inlineStr">
        <is>
          <t>BOLLNÄS</t>
        </is>
      </c>
      <c r="H7723" t="inlineStr">
        <is>
          <t>Bergvik skog väst AB</t>
        </is>
      </c>
      <c r="I7723" t="n">
        <v>2.7</v>
      </c>
      <c r="J7723" t="n">
        <v>0</v>
      </c>
      <c r="K7723" t="n">
        <v>0</v>
      </c>
      <c r="L7723" t="n">
        <v>0</v>
      </c>
      <c r="M7723" t="n">
        <v>0</v>
      </c>
      <c r="N7723" t="n">
        <v>0</v>
      </c>
      <c r="O7723" t="n">
        <v>0</v>
      </c>
      <c r="P7723" t="n">
        <v>0</v>
      </c>
      <c r="Q7723" t="n">
        <v>0</v>
      </c>
      <c r="R7723" t="n">
        <v>0</v>
      </c>
      <c r="S7723" t="n">
        <v>0</v>
      </c>
      <c r="T7723" t="n">
        <v>0</v>
      </c>
      <c r="U7723" t="n">
        <v>0</v>
      </c>
      <c r="V7723" s="2" t="inlineStr"/>
    </row>
    <row r="7724" ht="15" customHeight="1">
      <c r="A7724" t="inlineStr">
        <is>
          <t>A 21920-2026</t>
        </is>
      </c>
      <c r="B7724" t="inlineStr">
        <is>
          <t>avverkningsanmälan</t>
        </is>
      </c>
      <c r="C7724" t="inlineStr">
        <is>
          <t>Föryngringsavverkning</t>
        </is>
      </c>
      <c r="D7724" s="1" t="n">
        <v>46150</v>
      </c>
      <c r="E7724" s="1" t="n">
        <v>46326</v>
      </c>
      <c r="F7724" t="inlineStr">
        <is>
          <t>GÄVLEBORGS LÄN</t>
        </is>
      </c>
      <c r="G7724" t="inlineStr">
        <is>
          <t>BOLLNÄS</t>
        </is>
      </c>
      <c r="I7724" t="n">
        <v>4</v>
      </c>
      <c r="J7724" t="n">
        <v>0</v>
      </c>
      <c r="K7724" t="n">
        <v>0</v>
      </c>
      <c r="L7724" t="n">
        <v>0</v>
      </c>
      <c r="M7724" t="n">
        <v>0</v>
      </c>
      <c r="N7724" t="n">
        <v>0</v>
      </c>
      <c r="O7724" t="n">
        <v>0</v>
      </c>
      <c r="P7724" t="n">
        <v>0</v>
      </c>
      <c r="Q7724" t="n">
        <v>0</v>
      </c>
      <c r="R7724" t="n">
        <v>0</v>
      </c>
      <c r="S7724" t="n">
        <v>0</v>
      </c>
      <c r="T7724" t="n">
        <v>0</v>
      </c>
      <c r="U7724" t="n">
        <v>0</v>
      </c>
      <c r="V7724" s="2" t="inlineStr"/>
    </row>
    <row r="7725" ht="15" customHeight="1">
      <c r="A7725" t="inlineStr">
        <is>
          <t>A 37485-2025</t>
        </is>
      </c>
      <c r="B7725" t="inlineStr">
        <is>
          <t>avverkningsanmälan</t>
        </is>
      </c>
      <c r="C7725" t="inlineStr">
        <is>
          <t>Föryngringsavverkning</t>
        </is>
      </c>
      <c r="D7725" s="1" t="n">
        <v>45877</v>
      </c>
      <c r="E7725" s="1" t="n">
        <v>46326</v>
      </c>
      <c r="F7725" t="inlineStr">
        <is>
          <t>GÄVLEBORGS LÄN</t>
        </is>
      </c>
      <c r="G7725" t="inlineStr">
        <is>
          <t>HUDIKSVALL</t>
        </is>
      </c>
      <c r="H7725" t="inlineStr">
        <is>
          <t>Holmen skog AB</t>
        </is>
      </c>
      <c r="I7725" t="n">
        <v>12.9</v>
      </c>
      <c r="J7725" t="n">
        <v>0</v>
      </c>
      <c r="K7725" t="n">
        <v>0</v>
      </c>
      <c r="L7725" t="n">
        <v>0</v>
      </c>
      <c r="M7725" t="n">
        <v>0</v>
      </c>
      <c r="N7725" t="n">
        <v>0</v>
      </c>
      <c r="O7725" t="n">
        <v>0</v>
      </c>
      <c r="P7725" t="n">
        <v>0</v>
      </c>
      <c r="Q7725" t="n">
        <v>0</v>
      </c>
      <c r="R7725" t="n">
        <v>0</v>
      </c>
      <c r="S7725" t="n">
        <v>0</v>
      </c>
      <c r="T7725" t="n">
        <v>0</v>
      </c>
      <c r="U7725" t="n">
        <v>0</v>
      </c>
      <c r="V7725" s="2" t="inlineStr"/>
    </row>
    <row r="7726" ht="15" customHeight="1">
      <c r="A7726" t="inlineStr">
        <is>
          <t>A 19797-2024</t>
        </is>
      </c>
      <c r="B7726" t="inlineStr">
        <is>
          <t>avverkningsanmälan</t>
        </is>
      </c>
      <c r="C7726" t="inlineStr">
        <is>
          <t>Föryngringsavverkning</t>
        </is>
      </c>
      <c r="D7726" s="1" t="n">
        <v>45432</v>
      </c>
      <c r="E7726" s="1" t="n">
        <v>46326</v>
      </c>
      <c r="F7726" t="inlineStr">
        <is>
          <t>GÄVLEBORGS LÄN</t>
        </is>
      </c>
      <c r="G7726" t="inlineStr">
        <is>
          <t>LJUSDAL</t>
        </is>
      </c>
      <c r="I7726" t="n">
        <v>0.7</v>
      </c>
      <c r="J7726" t="n">
        <v>0</v>
      </c>
      <c r="K7726" t="n">
        <v>0</v>
      </c>
      <c r="L7726" t="n">
        <v>0</v>
      </c>
      <c r="M7726" t="n">
        <v>0</v>
      </c>
      <c r="N7726" t="n">
        <v>0</v>
      </c>
      <c r="O7726" t="n">
        <v>0</v>
      </c>
      <c r="P7726" t="n">
        <v>0</v>
      </c>
      <c r="Q7726" t="n">
        <v>0</v>
      </c>
      <c r="R7726" t="n">
        <v>0</v>
      </c>
      <c r="S7726" t="n">
        <v>0</v>
      </c>
      <c r="T7726" t="n">
        <v>0</v>
      </c>
      <c r="U7726" t="n">
        <v>0</v>
      </c>
      <c r="V7726" s="2" t="inlineStr"/>
    </row>
    <row r="7727" ht="15" customHeight="1">
      <c r="A7727" t="inlineStr">
        <is>
          <t>A 21767-2026</t>
        </is>
      </c>
      <c r="B7727" t="inlineStr">
        <is>
          <t>avverkningsanmälan</t>
        </is>
      </c>
      <c r="C7727" t="inlineStr">
        <is>
          <t>Föryngringsavverkning</t>
        </is>
      </c>
      <c r="D7727" s="1" t="n">
        <v>46150</v>
      </c>
      <c r="E7727" s="1" t="n">
        <v>46326</v>
      </c>
      <c r="F7727" t="inlineStr">
        <is>
          <t>GÄVLEBORGS LÄN</t>
        </is>
      </c>
      <c r="G7727" t="inlineStr">
        <is>
          <t>BOLLNÄS</t>
        </is>
      </c>
      <c r="I7727" t="n">
        <v>1.7</v>
      </c>
      <c r="J7727" t="n">
        <v>0</v>
      </c>
      <c r="K7727" t="n">
        <v>0</v>
      </c>
      <c r="L7727" t="n">
        <v>0</v>
      </c>
      <c r="M7727" t="n">
        <v>0</v>
      </c>
      <c r="N7727" t="n">
        <v>0</v>
      </c>
      <c r="O7727" t="n">
        <v>0</v>
      </c>
      <c r="P7727" t="n">
        <v>0</v>
      </c>
      <c r="Q7727" t="n">
        <v>0</v>
      </c>
      <c r="R7727" t="n">
        <v>0</v>
      </c>
      <c r="S7727" t="n">
        <v>0</v>
      </c>
      <c r="T7727" t="n">
        <v>0</v>
      </c>
      <c r="U7727" t="n">
        <v>0</v>
      </c>
      <c r="V7727" s="2" t="inlineStr"/>
    </row>
    <row r="7728" ht="15" customHeight="1">
      <c r="A7728" t="inlineStr">
        <is>
          <t>A 44346-2023</t>
        </is>
      </c>
      <c r="B7728" t="inlineStr">
        <is>
          <t>avverkningsanmälan</t>
        </is>
      </c>
      <c r="C7728" t="inlineStr">
        <is>
          <t>Föryngringsavverkning</t>
        </is>
      </c>
      <c r="D7728" s="1" t="n">
        <v>45188</v>
      </c>
      <c r="E7728" s="1" t="n">
        <v>46326</v>
      </c>
      <c r="F7728" t="inlineStr">
        <is>
          <t>GÄVLEBORGS LÄN</t>
        </is>
      </c>
      <c r="G7728" t="inlineStr">
        <is>
          <t>OVANÅKER</t>
        </is>
      </c>
      <c r="I7728" t="n">
        <v>1.1</v>
      </c>
      <c r="J7728" t="n">
        <v>0</v>
      </c>
      <c r="K7728" t="n">
        <v>0</v>
      </c>
      <c r="L7728" t="n">
        <v>0</v>
      </c>
      <c r="M7728" t="n">
        <v>0</v>
      </c>
      <c r="N7728" t="n">
        <v>0</v>
      </c>
      <c r="O7728" t="n">
        <v>0</v>
      </c>
      <c r="P7728" t="n">
        <v>0</v>
      </c>
      <c r="Q7728" t="n">
        <v>0</v>
      </c>
      <c r="R7728" t="n">
        <v>0</v>
      </c>
      <c r="S7728" t="n">
        <v>0</v>
      </c>
      <c r="T7728" t="n">
        <v>0</v>
      </c>
      <c r="U7728" t="n">
        <v>0</v>
      </c>
      <c r="V7728" s="2" t="inlineStr"/>
    </row>
    <row r="7729" ht="15" customHeight="1">
      <c r="A7729" t="inlineStr">
        <is>
          <t>A 15812-2026</t>
        </is>
      </c>
      <c r="B7729" t="inlineStr">
        <is>
          <t>avverkningsanmälan</t>
        </is>
      </c>
      <c r="C7729" t="inlineStr">
        <is>
          <t>Föryngringsavverkning</t>
        </is>
      </c>
      <c r="D7729" s="1" t="n">
        <v>46107</v>
      </c>
      <c r="E7729" s="1" t="n">
        <v>46326</v>
      </c>
      <c r="F7729" t="inlineStr">
        <is>
          <t>GÄVLEBORGS LÄN</t>
        </is>
      </c>
      <c r="G7729" t="inlineStr">
        <is>
          <t>BOLLNÄS</t>
        </is>
      </c>
      <c r="I7729" t="n">
        <v>2.1</v>
      </c>
      <c r="J7729" t="n">
        <v>0</v>
      </c>
      <c r="K7729" t="n">
        <v>0</v>
      </c>
      <c r="L7729" t="n">
        <v>0</v>
      </c>
      <c r="M7729" t="n">
        <v>0</v>
      </c>
      <c r="N7729" t="n">
        <v>0</v>
      </c>
      <c r="O7729" t="n">
        <v>0</v>
      </c>
      <c r="P7729" t="n">
        <v>0</v>
      </c>
      <c r="Q7729" t="n">
        <v>0</v>
      </c>
      <c r="R7729" t="n">
        <v>0</v>
      </c>
      <c r="S7729" t="n">
        <v>0</v>
      </c>
      <c r="T7729" t="n">
        <v>0</v>
      </c>
      <c r="U7729" t="n">
        <v>0</v>
      </c>
      <c r="V7729" s="2" t="inlineStr"/>
    </row>
    <row r="7730" ht="15" customHeight="1">
      <c r="A7730" t="inlineStr">
        <is>
          <t>A 22195-2026</t>
        </is>
      </c>
      <c r="B7730" t="inlineStr">
        <is>
          <t>avverkningsanmälan</t>
        </is>
      </c>
      <c r="C7730" t="inlineStr">
        <is>
          <t>Föryngringsavverkning</t>
        </is>
      </c>
      <c r="D7730" s="1" t="n">
        <v>46153</v>
      </c>
      <c r="E7730" s="1" t="n">
        <v>46326</v>
      </c>
      <c r="F7730" t="inlineStr">
        <is>
          <t>GÄVLEBORGS LÄN</t>
        </is>
      </c>
      <c r="G7730" t="inlineStr">
        <is>
          <t>BOLLNÄS</t>
        </is>
      </c>
      <c r="I7730" t="n">
        <v>2.2</v>
      </c>
      <c r="J7730" t="n">
        <v>0</v>
      </c>
      <c r="K7730" t="n">
        <v>0</v>
      </c>
      <c r="L7730" t="n">
        <v>0</v>
      </c>
      <c r="M7730" t="n">
        <v>0</v>
      </c>
      <c r="N7730" t="n">
        <v>0</v>
      </c>
      <c r="O7730" t="n">
        <v>0</v>
      </c>
      <c r="P7730" t="n">
        <v>0</v>
      </c>
      <c r="Q7730" t="n">
        <v>0</v>
      </c>
      <c r="R7730" t="n">
        <v>0</v>
      </c>
      <c r="S7730" t="n">
        <v>0</v>
      </c>
      <c r="T7730" t="n">
        <v>0</v>
      </c>
      <c r="U7730" t="n">
        <v>0</v>
      </c>
      <c r="V7730" s="2" t="inlineStr"/>
    </row>
    <row r="7731" ht="15" customHeight="1">
      <c r="A7731" t="inlineStr">
        <is>
          <t>A 22065-2026</t>
        </is>
      </c>
      <c r="B7731" t="inlineStr">
        <is>
          <t>avverkningsanmälan</t>
        </is>
      </c>
      <c r="C7731" t="inlineStr">
        <is>
          <t>Föryngringsavverkning</t>
        </is>
      </c>
      <c r="D7731" s="1" t="n">
        <v>46153</v>
      </c>
      <c r="E7731" s="1" t="n">
        <v>46326</v>
      </c>
      <c r="F7731" t="inlineStr">
        <is>
          <t>GÄVLEBORGS LÄN</t>
        </is>
      </c>
      <c r="G7731" t="inlineStr">
        <is>
          <t>BOLLNÄS</t>
        </is>
      </c>
      <c r="I7731" t="n">
        <v>1.5</v>
      </c>
      <c r="J7731" t="n">
        <v>0</v>
      </c>
      <c r="K7731" t="n">
        <v>0</v>
      </c>
      <c r="L7731" t="n">
        <v>0</v>
      </c>
      <c r="M7731" t="n">
        <v>0</v>
      </c>
      <c r="N7731" t="n">
        <v>0</v>
      </c>
      <c r="O7731" t="n">
        <v>0</v>
      </c>
      <c r="P7731" t="n">
        <v>0</v>
      </c>
      <c r="Q7731" t="n">
        <v>0</v>
      </c>
      <c r="R7731" t="n">
        <v>0</v>
      </c>
      <c r="S7731" t="n">
        <v>0</v>
      </c>
      <c r="T7731" t="n">
        <v>0</v>
      </c>
      <c r="U7731" t="n">
        <v>0</v>
      </c>
      <c r="V7731" s="2" t="inlineStr"/>
    </row>
    <row r="7732" ht="15" customHeight="1">
      <c r="A7732" t="inlineStr">
        <is>
          <t>A 45534-2024</t>
        </is>
      </c>
      <c r="B7732" t="inlineStr">
        <is>
          <t>avverkningsanmälan</t>
        </is>
      </c>
      <c r="C7732" t="inlineStr">
        <is>
          <t>Föryngringsavverkning</t>
        </is>
      </c>
      <c r="D7732" s="1" t="n">
        <v>45579</v>
      </c>
      <c r="E7732" s="1" t="n">
        <v>46326</v>
      </c>
      <c r="F7732" t="inlineStr">
        <is>
          <t>GÄVLEBORGS LÄN</t>
        </is>
      </c>
      <c r="G7732" t="inlineStr">
        <is>
          <t>OVANÅKER</t>
        </is>
      </c>
      <c r="I7732" t="n">
        <v>0.4</v>
      </c>
      <c r="J7732" t="n">
        <v>0</v>
      </c>
      <c r="K7732" t="n">
        <v>0</v>
      </c>
      <c r="L7732" t="n">
        <v>0</v>
      </c>
      <c r="M7732" t="n">
        <v>0</v>
      </c>
      <c r="N7732" t="n">
        <v>0</v>
      </c>
      <c r="O7732" t="n">
        <v>0</v>
      </c>
      <c r="P7732" t="n">
        <v>0</v>
      </c>
      <c r="Q7732" t="n">
        <v>0</v>
      </c>
      <c r="R7732" t="n">
        <v>0</v>
      </c>
      <c r="S7732" t="n">
        <v>0</v>
      </c>
      <c r="T7732" t="n">
        <v>0</v>
      </c>
      <c r="U7732" t="n">
        <v>0</v>
      </c>
      <c r="V7732" s="2" t="inlineStr"/>
    </row>
    <row r="7733" ht="15" customHeight="1">
      <c r="A7733" t="inlineStr">
        <is>
          <t>A 45546-2024</t>
        </is>
      </c>
      <c r="B7733" t="inlineStr">
        <is>
          <t>avverkningsanmälan</t>
        </is>
      </c>
      <c r="C7733" t="inlineStr">
        <is>
          <t>Föryngringsavverkning</t>
        </is>
      </c>
      <c r="D7733" s="1" t="n">
        <v>45579</v>
      </c>
      <c r="E7733" s="1" t="n">
        <v>46326</v>
      </c>
      <c r="F7733" t="inlineStr">
        <is>
          <t>GÄVLEBORGS LÄN</t>
        </is>
      </c>
      <c r="G7733" t="inlineStr">
        <is>
          <t>OVANÅKER</t>
        </is>
      </c>
      <c r="I7733" t="n">
        <v>1.8</v>
      </c>
      <c r="J7733" t="n">
        <v>0</v>
      </c>
      <c r="K7733" t="n">
        <v>0</v>
      </c>
      <c r="L7733" t="n">
        <v>0</v>
      </c>
      <c r="M7733" t="n">
        <v>0</v>
      </c>
      <c r="N7733" t="n">
        <v>0</v>
      </c>
      <c r="O7733" t="n">
        <v>0</v>
      </c>
      <c r="P7733" t="n">
        <v>0</v>
      </c>
      <c r="Q7733" t="n">
        <v>0</v>
      </c>
      <c r="R7733" t="n">
        <v>0</v>
      </c>
      <c r="S7733" t="n">
        <v>0</v>
      </c>
      <c r="T7733" t="n">
        <v>0</v>
      </c>
      <c r="U7733" t="n">
        <v>0</v>
      </c>
      <c r="V7733" s="2" t="inlineStr"/>
    </row>
    <row r="7734" ht="15" customHeight="1">
      <c r="A7734" t="inlineStr">
        <is>
          <t>A 1733-2026</t>
        </is>
      </c>
      <c r="B7734" t="inlineStr">
        <is>
          <t>avverkningsanmälan</t>
        </is>
      </c>
      <c r="C7734" t="inlineStr">
        <is>
          <t>Föryngringsavverkning</t>
        </is>
      </c>
      <c r="D7734" s="1" t="n">
        <v>46034</v>
      </c>
      <c r="E7734" s="1" t="n">
        <v>46326</v>
      </c>
      <c r="F7734" t="inlineStr">
        <is>
          <t>GÄVLEBORGS LÄN</t>
        </is>
      </c>
      <c r="G7734" t="inlineStr">
        <is>
          <t>HUDIKSVALL</t>
        </is>
      </c>
      <c r="I7734" t="n">
        <v>0.7</v>
      </c>
      <c r="J7734" t="n">
        <v>0</v>
      </c>
      <c r="K7734" t="n">
        <v>0</v>
      </c>
      <c r="L7734" t="n">
        <v>0</v>
      </c>
      <c r="M7734" t="n">
        <v>0</v>
      </c>
      <c r="N7734" t="n">
        <v>0</v>
      </c>
      <c r="O7734" t="n">
        <v>0</v>
      </c>
      <c r="P7734" t="n">
        <v>0</v>
      </c>
      <c r="Q7734" t="n">
        <v>0</v>
      </c>
      <c r="R7734" t="n">
        <v>0</v>
      </c>
      <c r="S7734" t="n">
        <v>0</v>
      </c>
      <c r="T7734" t="n">
        <v>0</v>
      </c>
      <c r="U7734" t="n">
        <v>0</v>
      </c>
      <c r="V7734" s="2" t="inlineStr"/>
    </row>
    <row r="7735" ht="15" customHeight="1">
      <c r="A7735" t="inlineStr">
        <is>
          <t>A 45550-2024</t>
        </is>
      </c>
      <c r="B7735" t="inlineStr">
        <is>
          <t>avverkningsanmälan</t>
        </is>
      </c>
      <c r="C7735" t="inlineStr">
        <is>
          <t>Föryngringsavverkning</t>
        </is>
      </c>
      <c r="D7735" s="1" t="n">
        <v>45579</v>
      </c>
      <c r="E7735" s="1" t="n">
        <v>46326</v>
      </c>
      <c r="F7735" t="inlineStr">
        <is>
          <t>GÄVLEBORGS LÄN</t>
        </is>
      </c>
      <c r="G7735" t="inlineStr">
        <is>
          <t>NORDANSTIG</t>
        </is>
      </c>
      <c r="I7735" t="n">
        <v>2</v>
      </c>
      <c r="J7735" t="n">
        <v>0</v>
      </c>
      <c r="K7735" t="n">
        <v>0</v>
      </c>
      <c r="L7735" t="n">
        <v>0</v>
      </c>
      <c r="M7735" t="n">
        <v>0</v>
      </c>
      <c r="N7735" t="n">
        <v>0</v>
      </c>
      <c r="O7735" t="n">
        <v>0</v>
      </c>
      <c r="P7735" t="n">
        <v>0</v>
      </c>
      <c r="Q7735" t="n">
        <v>0</v>
      </c>
      <c r="R7735" t="n">
        <v>0</v>
      </c>
      <c r="S7735" t="n">
        <v>0</v>
      </c>
      <c r="T7735" t="n">
        <v>0</v>
      </c>
      <c r="U7735" t="n">
        <v>0</v>
      </c>
      <c r="V7735" s="2" t="inlineStr"/>
    </row>
    <row r="7736" ht="15" customHeight="1">
      <c r="A7736" t="inlineStr">
        <is>
          <t>A 34557-2023</t>
        </is>
      </c>
      <c r="B7736" t="inlineStr">
        <is>
          <t>avverkningsanmälan</t>
        </is>
      </c>
      <c r="C7736" t="inlineStr">
        <is>
          <t>Föryngringsavverkning</t>
        </is>
      </c>
      <c r="D7736" s="1" t="n">
        <v>45140</v>
      </c>
      <c r="E7736" s="1" t="n">
        <v>46326</v>
      </c>
      <c r="F7736" t="inlineStr">
        <is>
          <t>GÄVLEBORGS LÄN</t>
        </is>
      </c>
      <c r="G7736" t="inlineStr">
        <is>
          <t>NORDANSTIG</t>
        </is>
      </c>
      <c r="I7736" t="n">
        <v>3.2</v>
      </c>
      <c r="J7736" t="n">
        <v>0</v>
      </c>
      <c r="K7736" t="n">
        <v>0</v>
      </c>
      <c r="L7736" t="n">
        <v>0</v>
      </c>
      <c r="M7736" t="n">
        <v>0</v>
      </c>
      <c r="N7736" t="n">
        <v>0</v>
      </c>
      <c r="O7736" t="n">
        <v>0</v>
      </c>
      <c r="P7736" t="n">
        <v>0</v>
      </c>
      <c r="Q7736" t="n">
        <v>0</v>
      </c>
      <c r="R7736" t="n">
        <v>0</v>
      </c>
      <c r="S7736" t="n">
        <v>0</v>
      </c>
      <c r="T7736" t="n">
        <v>0</v>
      </c>
      <c r="U7736" t="n">
        <v>0</v>
      </c>
      <c r="V7736" s="2" t="inlineStr"/>
    </row>
    <row r="7737" ht="15" customHeight="1">
      <c r="A7737" t="inlineStr">
        <is>
          <t>A 48797-2024</t>
        </is>
      </c>
      <c r="B7737" t="inlineStr">
        <is>
          <t>avverkningsanmälan</t>
        </is>
      </c>
      <c r="C7737" t="inlineStr">
        <is>
          <t>Föryngringsavverkning</t>
        </is>
      </c>
      <c r="D7737" s="1" t="n">
        <v>45593</v>
      </c>
      <c r="E7737" s="1" t="n">
        <v>46326</v>
      </c>
      <c r="F7737" t="inlineStr">
        <is>
          <t>GÄVLEBORGS LÄN</t>
        </is>
      </c>
      <c r="G7737" t="inlineStr">
        <is>
          <t>SÖDERHAMN</t>
        </is>
      </c>
      <c r="I7737" t="n">
        <v>1.2</v>
      </c>
      <c r="J7737" t="n">
        <v>0</v>
      </c>
      <c r="K7737" t="n">
        <v>0</v>
      </c>
      <c r="L7737" t="n">
        <v>0</v>
      </c>
      <c r="M7737" t="n">
        <v>0</v>
      </c>
      <c r="N7737" t="n">
        <v>0</v>
      </c>
      <c r="O7737" t="n">
        <v>0</v>
      </c>
      <c r="P7737" t="n">
        <v>0</v>
      </c>
      <c r="Q7737" t="n">
        <v>0</v>
      </c>
      <c r="R7737" t="n">
        <v>0</v>
      </c>
      <c r="S7737" t="n">
        <v>0</v>
      </c>
      <c r="T7737" t="n">
        <v>0</v>
      </c>
      <c r="U7737" t="n">
        <v>0</v>
      </c>
      <c r="V7737" s="2" t="inlineStr"/>
    </row>
    <row r="7738" ht="15" customHeight="1">
      <c r="A7738" t="inlineStr">
        <is>
          <t>A 48804-2024</t>
        </is>
      </c>
      <c r="B7738" t="inlineStr">
        <is>
          <t>avverkningsanmälan</t>
        </is>
      </c>
      <c r="C7738" t="inlineStr">
        <is>
          <t>Föryngringsavverkning</t>
        </is>
      </c>
      <c r="D7738" s="1" t="n">
        <v>45593</v>
      </c>
      <c r="E7738" s="1" t="n">
        <v>46326</v>
      </c>
      <c r="F7738" t="inlineStr">
        <is>
          <t>GÄVLEBORGS LÄN</t>
        </is>
      </c>
      <c r="G7738" t="inlineStr">
        <is>
          <t>OCKELBO</t>
        </is>
      </c>
      <c r="I7738" t="n">
        <v>2.4</v>
      </c>
      <c r="J7738" t="n">
        <v>0</v>
      </c>
      <c r="K7738" t="n">
        <v>0</v>
      </c>
      <c r="L7738" t="n">
        <v>0</v>
      </c>
      <c r="M7738" t="n">
        <v>0</v>
      </c>
      <c r="N7738" t="n">
        <v>0</v>
      </c>
      <c r="O7738" t="n">
        <v>0</v>
      </c>
      <c r="P7738" t="n">
        <v>0</v>
      </c>
      <c r="Q7738" t="n">
        <v>0</v>
      </c>
      <c r="R7738" t="n">
        <v>0</v>
      </c>
      <c r="S7738" t="n">
        <v>0</v>
      </c>
      <c r="T7738" t="n">
        <v>0</v>
      </c>
      <c r="U7738" t="n">
        <v>0</v>
      </c>
      <c r="V7738" s="2" t="inlineStr"/>
    </row>
    <row r="7739" ht="15" customHeight="1">
      <c r="A7739" t="inlineStr">
        <is>
          <t>A 7100-2026</t>
        </is>
      </c>
      <c r="B7739" t="inlineStr">
        <is>
          <t>avverkningsanmälan</t>
        </is>
      </c>
      <c r="C7739" t="inlineStr">
        <is>
          <t>Föryngringsavverkning</t>
        </is>
      </c>
      <c r="D7739" s="1" t="n">
        <v>46058</v>
      </c>
      <c r="E7739" s="1" t="n">
        <v>46326</v>
      </c>
      <c r="F7739" t="inlineStr">
        <is>
          <t>GÄVLEBORGS LÄN</t>
        </is>
      </c>
      <c r="G7739" t="inlineStr">
        <is>
          <t>BOLLNÄS</t>
        </is>
      </c>
      <c r="H7739" t="inlineStr">
        <is>
          <t>Bergvik skog väst AB</t>
        </is>
      </c>
      <c r="I7739" t="n">
        <v>0.9</v>
      </c>
      <c r="J7739" t="n">
        <v>0</v>
      </c>
      <c r="K7739" t="n">
        <v>0</v>
      </c>
      <c r="L7739" t="n">
        <v>0</v>
      </c>
      <c r="M7739" t="n">
        <v>0</v>
      </c>
      <c r="N7739" t="n">
        <v>0</v>
      </c>
      <c r="O7739" t="n">
        <v>0</v>
      </c>
      <c r="P7739" t="n">
        <v>0</v>
      </c>
      <c r="Q7739" t="n">
        <v>0</v>
      </c>
      <c r="R7739" t="n">
        <v>0</v>
      </c>
      <c r="S7739" t="n">
        <v>0</v>
      </c>
      <c r="T7739" t="n">
        <v>0</v>
      </c>
      <c r="U7739" t="n">
        <v>0</v>
      </c>
      <c r="V7739" s="2" t="inlineStr"/>
    </row>
    <row r="7740" ht="15" customHeight="1">
      <c r="A7740" t="inlineStr">
        <is>
          <t>A 21913-2026</t>
        </is>
      </c>
      <c r="B7740" t="inlineStr">
        <is>
          <t>avverkningsanmälan</t>
        </is>
      </c>
      <c r="C7740" t="inlineStr">
        <is>
          <t>Föryngringsavverkning</t>
        </is>
      </c>
      <c r="D7740" s="1" t="n">
        <v>46150</v>
      </c>
      <c r="E7740" s="1" t="n">
        <v>46326</v>
      </c>
      <c r="F7740" t="inlineStr">
        <is>
          <t>GÄVLEBORGS LÄN</t>
        </is>
      </c>
      <c r="G7740" t="inlineStr">
        <is>
          <t>SÖDERHAMN</t>
        </is>
      </c>
      <c r="I7740" t="n">
        <v>3.5</v>
      </c>
      <c r="J7740" t="n">
        <v>0</v>
      </c>
      <c r="K7740" t="n">
        <v>0</v>
      </c>
      <c r="L7740" t="n">
        <v>0</v>
      </c>
      <c r="M7740" t="n">
        <v>0</v>
      </c>
      <c r="N7740" t="n">
        <v>0</v>
      </c>
      <c r="O7740" t="n">
        <v>0</v>
      </c>
      <c r="P7740" t="n">
        <v>0</v>
      </c>
      <c r="Q7740" t="n">
        <v>0</v>
      </c>
      <c r="R7740" t="n">
        <v>0</v>
      </c>
      <c r="S7740" t="n">
        <v>0</v>
      </c>
      <c r="T7740" t="n">
        <v>0</v>
      </c>
      <c r="U7740" t="n">
        <v>0</v>
      </c>
      <c r="V7740" s="2" t="inlineStr"/>
    </row>
    <row r="7741" ht="15" customHeight="1">
      <c r="A7741" t="inlineStr">
        <is>
          <t>A 60425-2024</t>
        </is>
      </c>
      <c r="B7741" t="inlineStr">
        <is>
          <t>avverkningsanmälan</t>
        </is>
      </c>
      <c r="C7741" t="inlineStr">
        <is>
          <t>Föryngringsavverkning</t>
        </is>
      </c>
      <c r="D7741" s="1" t="n">
        <v>45643</v>
      </c>
      <c r="E7741" s="1" t="n">
        <v>46326</v>
      </c>
      <c r="F7741" t="inlineStr">
        <is>
          <t>GÄVLEBORGS LÄN</t>
        </is>
      </c>
      <c r="G7741" t="inlineStr">
        <is>
          <t>BOLLNÄS</t>
        </is>
      </c>
      <c r="I7741" t="n">
        <v>0.7</v>
      </c>
      <c r="J7741" t="n">
        <v>0</v>
      </c>
      <c r="K7741" t="n">
        <v>0</v>
      </c>
      <c r="L7741" t="n">
        <v>0</v>
      </c>
      <c r="M7741" t="n">
        <v>0</v>
      </c>
      <c r="N7741" t="n">
        <v>0</v>
      </c>
      <c r="O7741" t="n">
        <v>0</v>
      </c>
      <c r="P7741" t="n">
        <v>0</v>
      </c>
      <c r="Q7741" t="n">
        <v>0</v>
      </c>
      <c r="R7741" t="n">
        <v>0</v>
      </c>
      <c r="S7741" t="n">
        <v>0</v>
      </c>
      <c r="T7741" t="n">
        <v>0</v>
      </c>
      <c r="U7741" t="n">
        <v>0</v>
      </c>
      <c r="V7741" s="2" t="inlineStr"/>
    </row>
    <row r="7742" ht="15" customHeight="1">
      <c r="A7742" t="inlineStr">
        <is>
          <t>A 22187-2026</t>
        </is>
      </c>
      <c r="B7742" t="inlineStr">
        <is>
          <t>avverkningsanmälan</t>
        </is>
      </c>
      <c r="C7742" t="inlineStr">
        <is>
          <t>Föryngringsavverkning</t>
        </is>
      </c>
      <c r="D7742" s="1" t="n">
        <v>46153</v>
      </c>
      <c r="E7742" s="1" t="n">
        <v>46326</v>
      </c>
      <c r="F7742" t="inlineStr">
        <is>
          <t>GÄVLEBORGS LÄN</t>
        </is>
      </c>
      <c r="G7742" t="inlineStr">
        <is>
          <t>BOLLNÄS</t>
        </is>
      </c>
      <c r="I7742" t="n">
        <v>0.6</v>
      </c>
      <c r="J7742" t="n">
        <v>0</v>
      </c>
      <c r="K7742" t="n">
        <v>0</v>
      </c>
      <c r="L7742" t="n">
        <v>0</v>
      </c>
      <c r="M7742" t="n">
        <v>0</v>
      </c>
      <c r="N7742" t="n">
        <v>0</v>
      </c>
      <c r="O7742" t="n">
        <v>0</v>
      </c>
      <c r="P7742" t="n">
        <v>0</v>
      </c>
      <c r="Q7742" t="n">
        <v>0</v>
      </c>
      <c r="R7742" t="n">
        <v>0</v>
      </c>
      <c r="S7742" t="n">
        <v>0</v>
      </c>
      <c r="T7742" t="n">
        <v>0</v>
      </c>
      <c r="U7742" t="n">
        <v>0</v>
      </c>
      <c r="V7742" s="2" t="inlineStr"/>
    </row>
    <row r="7743" ht="15" customHeight="1">
      <c r="A7743" t="inlineStr">
        <is>
          <t>A 30893-2023</t>
        </is>
      </c>
      <c r="B7743" t="inlineStr">
        <is>
          <t>avverkningsanmälan</t>
        </is>
      </c>
      <c r="C7743" t="inlineStr">
        <is>
          <t>Föryngringsavverkning</t>
        </is>
      </c>
      <c r="D7743" s="1" t="n">
        <v>45113</v>
      </c>
      <c r="E7743" s="1" t="n">
        <v>46326</v>
      </c>
      <c r="F7743" t="inlineStr">
        <is>
          <t>GÄVLEBORGS LÄN</t>
        </is>
      </c>
      <c r="G7743" t="inlineStr">
        <is>
          <t>OVANÅKER</t>
        </is>
      </c>
      <c r="I7743" t="n">
        <v>1.5</v>
      </c>
      <c r="J7743" t="n">
        <v>0</v>
      </c>
      <c r="K7743" t="n">
        <v>0</v>
      </c>
      <c r="L7743" t="n">
        <v>0</v>
      </c>
      <c r="M7743" t="n">
        <v>0</v>
      </c>
      <c r="N7743" t="n">
        <v>0</v>
      </c>
      <c r="O7743" t="n">
        <v>0</v>
      </c>
      <c r="P7743" t="n">
        <v>0</v>
      </c>
      <c r="Q7743" t="n">
        <v>0</v>
      </c>
      <c r="R7743" t="n">
        <v>0</v>
      </c>
      <c r="S7743" t="n">
        <v>0</v>
      </c>
      <c r="T7743" t="n">
        <v>0</v>
      </c>
      <c r="U7743" t="n">
        <v>0</v>
      </c>
      <c r="V7743" s="2" t="inlineStr"/>
    </row>
    <row r="7744" ht="15" customHeight="1">
      <c r="A7744" t="inlineStr">
        <is>
          <t>A 12016-2026</t>
        </is>
      </c>
      <c r="B7744" t="inlineStr">
        <is>
          <t>avverkningsanmälan</t>
        </is>
      </c>
      <c r="C7744" t="inlineStr">
        <is>
          <t>Föryngringsavverkning</t>
        </is>
      </c>
      <c r="D7744" s="1" t="n">
        <v>46085</v>
      </c>
      <c r="E7744" s="1" t="n">
        <v>46326</v>
      </c>
      <c r="F7744" t="inlineStr">
        <is>
          <t>GÄVLEBORGS LÄN</t>
        </is>
      </c>
      <c r="G7744" t="inlineStr">
        <is>
          <t>OVANÅKER</t>
        </is>
      </c>
      <c r="I7744" t="n">
        <v>9.199999999999999</v>
      </c>
      <c r="J7744" t="n">
        <v>0</v>
      </c>
      <c r="K7744" t="n">
        <v>0</v>
      </c>
      <c r="L7744" t="n">
        <v>0</v>
      </c>
      <c r="M7744" t="n">
        <v>0</v>
      </c>
      <c r="N7744" t="n">
        <v>0</v>
      </c>
      <c r="O7744" t="n">
        <v>0</v>
      </c>
      <c r="P7744" t="n">
        <v>0</v>
      </c>
      <c r="Q7744" t="n">
        <v>0</v>
      </c>
      <c r="R7744" t="n">
        <v>0</v>
      </c>
      <c r="S7744" t="n">
        <v>0</v>
      </c>
      <c r="T7744" t="n">
        <v>0</v>
      </c>
      <c r="U7744" t="n">
        <v>0</v>
      </c>
      <c r="V7744" s="2" t="inlineStr"/>
    </row>
    <row r="7745" ht="15" customHeight="1">
      <c r="A7745" t="inlineStr">
        <is>
          <t>A 16964-2026</t>
        </is>
      </c>
      <c r="B7745" t="inlineStr">
        <is>
          <t>avverkningsanmälan</t>
        </is>
      </c>
      <c r="C7745" t="inlineStr">
        <is>
          <t>Föryngringsavverkning</t>
        </is>
      </c>
      <c r="D7745" s="1" t="n">
        <v>46114</v>
      </c>
      <c r="E7745" s="1" t="n">
        <v>46326</v>
      </c>
      <c r="F7745" t="inlineStr">
        <is>
          <t>GÄVLEBORGS LÄN</t>
        </is>
      </c>
      <c r="G7745" t="inlineStr">
        <is>
          <t>BOLLNÄS</t>
        </is>
      </c>
      <c r="I7745" t="n">
        <v>1.1</v>
      </c>
      <c r="J7745" t="n">
        <v>0</v>
      </c>
      <c r="K7745" t="n">
        <v>0</v>
      </c>
      <c r="L7745" t="n">
        <v>0</v>
      </c>
      <c r="M7745" t="n">
        <v>0</v>
      </c>
      <c r="N7745" t="n">
        <v>0</v>
      </c>
      <c r="O7745" t="n">
        <v>0</v>
      </c>
      <c r="P7745" t="n">
        <v>0</v>
      </c>
      <c r="Q7745" t="n">
        <v>0</v>
      </c>
      <c r="R7745" t="n">
        <v>0</v>
      </c>
      <c r="S7745" t="n">
        <v>0</v>
      </c>
      <c r="T7745" t="n">
        <v>0</v>
      </c>
      <c r="U7745" t="n">
        <v>0</v>
      </c>
      <c r="V7745" s="2" t="inlineStr"/>
    </row>
    <row r="7746" ht="15" customHeight="1">
      <c r="A7746" t="inlineStr">
        <is>
          <t>A 16965-2026</t>
        </is>
      </c>
      <c r="B7746" t="inlineStr">
        <is>
          <t>avverkningsanmälan</t>
        </is>
      </c>
      <c r="C7746" t="inlineStr">
        <is>
          <t>Föryngringsavverkning</t>
        </is>
      </c>
      <c r="D7746" s="1" t="n">
        <v>46114</v>
      </c>
      <c r="E7746" s="1" t="n">
        <v>46326</v>
      </c>
      <c r="F7746" t="inlineStr">
        <is>
          <t>GÄVLEBORGS LÄN</t>
        </is>
      </c>
      <c r="G7746" t="inlineStr">
        <is>
          <t>BOLLNÄS</t>
        </is>
      </c>
      <c r="I7746" t="n">
        <v>0.5</v>
      </c>
      <c r="J7746" t="n">
        <v>0</v>
      </c>
      <c r="K7746" t="n">
        <v>0</v>
      </c>
      <c r="L7746" t="n">
        <v>0</v>
      </c>
      <c r="M7746" t="n">
        <v>0</v>
      </c>
      <c r="N7746" t="n">
        <v>0</v>
      </c>
      <c r="O7746" t="n">
        <v>0</v>
      </c>
      <c r="P7746" t="n">
        <v>0</v>
      </c>
      <c r="Q7746" t="n">
        <v>0</v>
      </c>
      <c r="R7746" t="n">
        <v>0</v>
      </c>
      <c r="S7746" t="n">
        <v>0</v>
      </c>
      <c r="T7746" t="n">
        <v>0</v>
      </c>
      <c r="U7746" t="n">
        <v>0</v>
      </c>
      <c r="V7746" s="2" t="inlineStr"/>
    </row>
    <row r="7747" ht="15" customHeight="1">
      <c r="A7747" t="inlineStr">
        <is>
          <t>A 21773-2026</t>
        </is>
      </c>
      <c r="B7747" t="inlineStr">
        <is>
          <t>avverkningsanmälan</t>
        </is>
      </c>
      <c r="C7747" t="inlineStr">
        <is>
          <t>Föryngringsavverkning</t>
        </is>
      </c>
      <c r="D7747" s="1" t="n">
        <v>46150</v>
      </c>
      <c r="E7747" s="1" t="n">
        <v>46326</v>
      </c>
      <c r="F7747" t="inlineStr">
        <is>
          <t>GÄVLEBORGS LÄN</t>
        </is>
      </c>
      <c r="G7747" t="inlineStr">
        <is>
          <t>SANDVIKEN</t>
        </is>
      </c>
      <c r="I7747" t="n">
        <v>1.2</v>
      </c>
      <c r="J7747" t="n">
        <v>0</v>
      </c>
      <c r="K7747" t="n">
        <v>0</v>
      </c>
      <c r="L7747" t="n">
        <v>0</v>
      </c>
      <c r="M7747" t="n">
        <v>0</v>
      </c>
      <c r="N7747" t="n">
        <v>0</v>
      </c>
      <c r="O7747" t="n">
        <v>0</v>
      </c>
      <c r="P7747" t="n">
        <v>0</v>
      </c>
      <c r="Q7747" t="n">
        <v>0</v>
      </c>
      <c r="R7747" t="n">
        <v>0</v>
      </c>
      <c r="S7747" t="n">
        <v>0</v>
      </c>
      <c r="T7747" t="n">
        <v>0</v>
      </c>
      <c r="U7747" t="n">
        <v>0</v>
      </c>
      <c r="V7747" s="2" t="inlineStr"/>
    </row>
    <row r="7748" ht="15" customHeight="1">
      <c r="A7748" t="inlineStr">
        <is>
          <t>A 21954-2026</t>
        </is>
      </c>
      <c r="B7748" t="inlineStr">
        <is>
          <t>avverkningsanmälan</t>
        </is>
      </c>
      <c r="C7748" t="inlineStr">
        <is>
          <t>Föryngringsavverkning</t>
        </is>
      </c>
      <c r="D7748" s="1" t="n">
        <v>46152</v>
      </c>
      <c r="E7748" s="1" t="n">
        <v>46326</v>
      </c>
      <c r="F7748" t="inlineStr">
        <is>
          <t>GÄVLEBORGS LÄN</t>
        </is>
      </c>
      <c r="G7748" t="inlineStr">
        <is>
          <t>OVANÅKER</t>
        </is>
      </c>
      <c r="I7748" t="n">
        <v>4.3</v>
      </c>
      <c r="J7748" t="n">
        <v>0</v>
      </c>
      <c r="K7748" t="n">
        <v>0</v>
      </c>
      <c r="L7748" t="n">
        <v>0</v>
      </c>
      <c r="M7748" t="n">
        <v>0</v>
      </c>
      <c r="N7748" t="n">
        <v>0</v>
      </c>
      <c r="O7748" t="n">
        <v>0</v>
      </c>
      <c r="P7748" t="n">
        <v>0</v>
      </c>
      <c r="Q7748" t="n">
        <v>0</v>
      </c>
      <c r="R7748" t="n">
        <v>0</v>
      </c>
      <c r="S7748" t="n">
        <v>0</v>
      </c>
      <c r="T7748" t="n">
        <v>0</v>
      </c>
      <c r="U7748" t="n">
        <v>0</v>
      </c>
      <c r="V7748" s="2" t="inlineStr"/>
    </row>
    <row r="7749" ht="15" customHeight="1">
      <c r="A7749" t="inlineStr">
        <is>
          <t>A 51560-2023</t>
        </is>
      </c>
      <c r="B7749" t="inlineStr">
        <is>
          <t>avverkningsanmälan</t>
        </is>
      </c>
      <c r="C7749" t="inlineStr">
        <is>
          <t>Föryngringsavverkning</t>
        </is>
      </c>
      <c r="D7749" s="1" t="n">
        <v>45222</v>
      </c>
      <c r="E7749" s="1" t="n">
        <v>46326</v>
      </c>
      <c r="F7749" t="inlineStr">
        <is>
          <t>GÄVLEBORGS LÄN</t>
        </is>
      </c>
      <c r="G7749" t="inlineStr">
        <is>
          <t>NORDANSTIG</t>
        </is>
      </c>
      <c r="I7749" t="n">
        <v>26.9</v>
      </c>
      <c r="J7749" t="n">
        <v>0</v>
      </c>
      <c r="K7749" t="n">
        <v>0</v>
      </c>
      <c r="L7749" t="n">
        <v>0</v>
      </c>
      <c r="M7749" t="n">
        <v>0</v>
      </c>
      <c r="N7749" t="n">
        <v>0</v>
      </c>
      <c r="O7749" t="n">
        <v>0</v>
      </c>
      <c r="P7749" t="n">
        <v>0</v>
      </c>
      <c r="Q7749" t="n">
        <v>0</v>
      </c>
      <c r="R7749" t="n">
        <v>0</v>
      </c>
      <c r="S7749" t="n">
        <v>0</v>
      </c>
      <c r="T7749" t="n">
        <v>0</v>
      </c>
      <c r="U7749" t="n">
        <v>0</v>
      </c>
      <c r="V7749" s="2" t="inlineStr"/>
    </row>
    <row r="7750" ht="15" customHeight="1">
      <c r="A7750" t="inlineStr">
        <is>
          <t>A 27204-2023</t>
        </is>
      </c>
      <c r="B7750" t="inlineStr">
        <is>
          <t>avverkningsanmälan</t>
        </is>
      </c>
      <c r="C7750" t="inlineStr">
        <is>
          <t>Avverkning för annat ändamål</t>
        </is>
      </c>
      <c r="D7750" s="1" t="n">
        <v>45096</v>
      </c>
      <c r="E7750" s="1" t="n">
        <v>46326</v>
      </c>
      <c r="F7750" t="inlineStr">
        <is>
          <t>GÄVLEBORGS LÄN</t>
        </is>
      </c>
      <c r="G7750" t="inlineStr">
        <is>
          <t>HUDIKSVALL</t>
        </is>
      </c>
      <c r="I7750" t="n">
        <v>0.7</v>
      </c>
      <c r="J7750" t="n">
        <v>0</v>
      </c>
      <c r="K7750" t="n">
        <v>0</v>
      </c>
      <c r="L7750" t="n">
        <v>0</v>
      </c>
      <c r="M7750" t="n">
        <v>0</v>
      </c>
      <c r="N7750" t="n">
        <v>0</v>
      </c>
      <c r="O7750" t="n">
        <v>0</v>
      </c>
      <c r="P7750" t="n">
        <v>0</v>
      </c>
      <c r="Q7750" t="n">
        <v>0</v>
      </c>
      <c r="R7750" t="n">
        <v>0</v>
      </c>
      <c r="S7750" t="n">
        <v>0</v>
      </c>
      <c r="T7750" t="n">
        <v>0</v>
      </c>
      <c r="U7750" t="n">
        <v>0</v>
      </c>
      <c r="V7750" s="2" t="inlineStr"/>
    </row>
    <row r="7751" ht="15" customHeight="1">
      <c r="A7751" t="inlineStr">
        <is>
          <t>A 22057-2026</t>
        </is>
      </c>
      <c r="B7751" t="inlineStr">
        <is>
          <t>avverkningsanmälan</t>
        </is>
      </c>
      <c r="C7751" t="inlineStr">
        <is>
          <t>Föryngringsavverkning</t>
        </is>
      </c>
      <c r="D7751" s="1" t="n">
        <v>46153</v>
      </c>
      <c r="E7751" s="1" t="n">
        <v>46326</v>
      </c>
      <c r="F7751" t="inlineStr">
        <is>
          <t>GÄVLEBORGS LÄN</t>
        </is>
      </c>
      <c r="G7751" t="inlineStr">
        <is>
          <t>OCKELBO</t>
        </is>
      </c>
      <c r="I7751" t="n">
        <v>2.4</v>
      </c>
      <c r="J7751" t="n">
        <v>0</v>
      </c>
      <c r="K7751" t="n">
        <v>0</v>
      </c>
      <c r="L7751" t="n">
        <v>0</v>
      </c>
      <c r="M7751" t="n">
        <v>0</v>
      </c>
      <c r="N7751" t="n">
        <v>0</v>
      </c>
      <c r="O7751" t="n">
        <v>0</v>
      </c>
      <c r="P7751" t="n">
        <v>0</v>
      </c>
      <c r="Q7751" t="n">
        <v>0</v>
      </c>
      <c r="R7751" t="n">
        <v>0</v>
      </c>
      <c r="S7751" t="n">
        <v>0</v>
      </c>
      <c r="T7751" t="n">
        <v>0</v>
      </c>
      <c r="U7751" t="n">
        <v>0</v>
      </c>
      <c r="V7751" s="2" t="inlineStr"/>
    </row>
    <row r="7752" ht="15" customHeight="1">
      <c r="A7752" t="inlineStr">
        <is>
          <t>A 22058-2026</t>
        </is>
      </c>
      <c r="B7752" t="inlineStr">
        <is>
          <t>avverkningsanmälan</t>
        </is>
      </c>
      <c r="C7752" t="inlineStr">
        <is>
          <t>Föryngringsavverkning</t>
        </is>
      </c>
      <c r="D7752" s="1" t="n">
        <v>46153</v>
      </c>
      <c r="E7752" s="1" t="n">
        <v>46326</v>
      </c>
      <c r="F7752" t="inlineStr">
        <is>
          <t>GÄVLEBORGS LÄN</t>
        </is>
      </c>
      <c r="G7752" t="inlineStr">
        <is>
          <t>BOLLNÄS</t>
        </is>
      </c>
      <c r="I7752" t="n">
        <v>1.5</v>
      </c>
      <c r="J7752" t="n">
        <v>0</v>
      </c>
      <c r="K7752" t="n">
        <v>0</v>
      </c>
      <c r="L7752" t="n">
        <v>0</v>
      </c>
      <c r="M7752" t="n">
        <v>0</v>
      </c>
      <c r="N7752" t="n">
        <v>0</v>
      </c>
      <c r="O7752" t="n">
        <v>0</v>
      </c>
      <c r="P7752" t="n">
        <v>0</v>
      </c>
      <c r="Q7752" t="n">
        <v>0</v>
      </c>
      <c r="R7752" t="n">
        <v>0</v>
      </c>
      <c r="S7752" t="n">
        <v>0</v>
      </c>
      <c r="T7752" t="n">
        <v>0</v>
      </c>
      <c r="U7752" t="n">
        <v>0</v>
      </c>
      <c r="V7752" s="2" t="inlineStr"/>
    </row>
    <row r="7753" ht="15" customHeight="1">
      <c r="A7753" t="inlineStr">
        <is>
          <t>A 32287-2023</t>
        </is>
      </c>
      <c r="B7753" t="inlineStr">
        <is>
          <t>avverkningsanmälan</t>
        </is>
      </c>
      <c r="C7753" t="inlineStr">
        <is>
          <t>Föryngringsavverkning</t>
        </is>
      </c>
      <c r="D7753" s="1" t="n">
        <v>45107</v>
      </c>
      <c r="E7753" s="1" t="n">
        <v>46326</v>
      </c>
      <c r="F7753" t="inlineStr">
        <is>
          <t>GÄVLEBORGS LÄN</t>
        </is>
      </c>
      <c r="G7753" t="inlineStr">
        <is>
          <t>LJUSDAL</t>
        </is>
      </c>
      <c r="I7753" t="n">
        <v>0.7</v>
      </c>
      <c r="J7753" t="n">
        <v>0</v>
      </c>
      <c r="K7753" t="n">
        <v>0</v>
      </c>
      <c r="L7753" t="n">
        <v>0</v>
      </c>
      <c r="M7753" t="n">
        <v>0</v>
      </c>
      <c r="N7753" t="n">
        <v>0</v>
      </c>
      <c r="O7753" t="n">
        <v>0</v>
      </c>
      <c r="P7753" t="n">
        <v>0</v>
      </c>
      <c r="Q7753" t="n">
        <v>0</v>
      </c>
      <c r="R7753" t="n">
        <v>0</v>
      </c>
      <c r="S7753" t="n">
        <v>0</v>
      </c>
      <c r="T7753" t="n">
        <v>0</v>
      </c>
      <c r="U7753" t="n">
        <v>0</v>
      </c>
      <c r="V7753" s="2" t="inlineStr"/>
    </row>
    <row r="7754" ht="15" customHeight="1">
      <c r="A7754" t="inlineStr">
        <is>
          <t>A 22124-2026</t>
        </is>
      </c>
      <c r="B7754" t="inlineStr">
        <is>
          <t>avverkningsanmälan</t>
        </is>
      </c>
      <c r="C7754" t="inlineStr">
        <is>
          <t>Föryngringsavverkning</t>
        </is>
      </c>
      <c r="D7754" s="1" t="n">
        <v>46153</v>
      </c>
      <c r="E7754" s="1" t="n">
        <v>46326</v>
      </c>
      <c r="F7754" t="inlineStr">
        <is>
          <t>GÄVLEBORGS LÄN</t>
        </is>
      </c>
      <c r="G7754" t="inlineStr">
        <is>
          <t>LJUSDAL</t>
        </is>
      </c>
      <c r="I7754" t="n">
        <v>1.7</v>
      </c>
      <c r="J7754" t="n">
        <v>0</v>
      </c>
      <c r="K7754" t="n">
        <v>0</v>
      </c>
      <c r="L7754" t="n">
        <v>0</v>
      </c>
      <c r="M7754" t="n">
        <v>0</v>
      </c>
      <c r="N7754" t="n">
        <v>0</v>
      </c>
      <c r="O7754" t="n">
        <v>0</v>
      </c>
      <c r="P7754" t="n">
        <v>0</v>
      </c>
      <c r="Q7754" t="n">
        <v>0</v>
      </c>
      <c r="R7754" t="n">
        <v>0</v>
      </c>
      <c r="S7754" t="n">
        <v>0</v>
      </c>
      <c r="T7754" t="n">
        <v>0</v>
      </c>
      <c r="U7754" t="n">
        <v>0</v>
      </c>
      <c r="V7754" s="2" t="inlineStr"/>
    </row>
    <row r="7755" ht="15" customHeight="1">
      <c r="A7755" t="inlineStr">
        <is>
          <t>A 22179-2026</t>
        </is>
      </c>
      <c r="B7755" t="inlineStr">
        <is>
          <t>avverkningsanmälan</t>
        </is>
      </c>
      <c r="C7755" t="inlineStr">
        <is>
          <t>Föryngringsavverkning</t>
        </is>
      </c>
      <c r="D7755" s="1" t="n">
        <v>46153</v>
      </c>
      <c r="E7755" s="1" t="n">
        <v>46326</v>
      </c>
      <c r="F7755" t="inlineStr">
        <is>
          <t>GÄVLEBORGS LÄN</t>
        </is>
      </c>
      <c r="G7755" t="inlineStr">
        <is>
          <t>BOLLNÄS</t>
        </is>
      </c>
      <c r="I7755" t="n">
        <v>0.5</v>
      </c>
      <c r="J7755" t="n">
        <v>0</v>
      </c>
      <c r="K7755" t="n">
        <v>0</v>
      </c>
      <c r="L7755" t="n">
        <v>0</v>
      </c>
      <c r="M7755" t="n">
        <v>0</v>
      </c>
      <c r="N7755" t="n">
        <v>0</v>
      </c>
      <c r="O7755" t="n">
        <v>0</v>
      </c>
      <c r="P7755" t="n">
        <v>0</v>
      </c>
      <c r="Q7755" t="n">
        <v>0</v>
      </c>
      <c r="R7755" t="n">
        <v>0</v>
      </c>
      <c r="S7755" t="n">
        <v>0</v>
      </c>
      <c r="T7755" t="n">
        <v>0</v>
      </c>
      <c r="U7755" t="n">
        <v>0</v>
      </c>
      <c r="V7755" s="2" t="inlineStr"/>
    </row>
    <row r="7756" ht="15" customHeight="1">
      <c r="A7756" t="inlineStr">
        <is>
          <t>A 22165-2026</t>
        </is>
      </c>
      <c r="B7756" t="inlineStr">
        <is>
          <t>avverkningsanmälan</t>
        </is>
      </c>
      <c r="C7756" t="inlineStr">
        <is>
          <t>Föryngringsavverkning</t>
        </is>
      </c>
      <c r="D7756" s="1" t="n">
        <v>46153</v>
      </c>
      <c r="E7756" s="1" t="n">
        <v>46326</v>
      </c>
      <c r="F7756" t="inlineStr">
        <is>
          <t>GÄVLEBORGS LÄN</t>
        </is>
      </c>
      <c r="G7756" t="inlineStr">
        <is>
          <t>OVANÅKER</t>
        </is>
      </c>
      <c r="H7756" t="inlineStr">
        <is>
          <t>Bergvik skog väst AB</t>
        </is>
      </c>
      <c r="I7756" t="n">
        <v>0.9</v>
      </c>
      <c r="J7756" t="n">
        <v>0</v>
      </c>
      <c r="K7756" t="n">
        <v>0</v>
      </c>
      <c r="L7756" t="n">
        <v>0</v>
      </c>
      <c r="M7756" t="n">
        <v>0</v>
      </c>
      <c r="N7756" t="n">
        <v>0</v>
      </c>
      <c r="O7756" t="n">
        <v>0</v>
      </c>
      <c r="P7756" t="n">
        <v>0</v>
      </c>
      <c r="Q7756" t="n">
        <v>0</v>
      </c>
      <c r="R7756" t="n">
        <v>0</v>
      </c>
      <c r="S7756" t="n">
        <v>0</v>
      </c>
      <c r="T7756" t="n">
        <v>0</v>
      </c>
      <c r="U7756" t="n">
        <v>0</v>
      </c>
      <c r="V7756" s="2" t="inlineStr"/>
    </row>
    <row r="7757" ht="15" customHeight="1">
      <c r="A7757" t="inlineStr">
        <is>
          <t>A 3635-2026</t>
        </is>
      </c>
      <c r="B7757" t="inlineStr">
        <is>
          <t>avverkningsanmälan</t>
        </is>
      </c>
      <c r="C7757" t="inlineStr">
        <is>
          <t>Föryngringsavverkning</t>
        </is>
      </c>
      <c r="D7757" s="1" t="n">
        <v>46043</v>
      </c>
      <c r="E7757" s="1" t="n">
        <v>46326</v>
      </c>
      <c r="F7757" t="inlineStr">
        <is>
          <t>GÄVLEBORGS LÄN</t>
        </is>
      </c>
      <c r="G7757" t="inlineStr">
        <is>
          <t>SANDVIKEN</t>
        </is>
      </c>
      <c r="I7757" t="n">
        <v>1.1</v>
      </c>
      <c r="J7757" t="n">
        <v>0</v>
      </c>
      <c r="K7757" t="n">
        <v>0</v>
      </c>
      <c r="L7757" t="n">
        <v>0</v>
      </c>
      <c r="M7757" t="n">
        <v>0</v>
      </c>
      <c r="N7757" t="n">
        <v>0</v>
      </c>
      <c r="O7757" t="n">
        <v>0</v>
      </c>
      <c r="P7757" t="n">
        <v>0</v>
      </c>
      <c r="Q7757" t="n">
        <v>0</v>
      </c>
      <c r="R7757" t="n">
        <v>0</v>
      </c>
      <c r="S7757" t="n">
        <v>0</v>
      </c>
      <c r="T7757" t="n">
        <v>0</v>
      </c>
      <c r="U7757" t="n">
        <v>0</v>
      </c>
      <c r="V7757" s="2" t="inlineStr"/>
    </row>
    <row r="7758" ht="15" customHeight="1">
      <c r="A7758" t="inlineStr">
        <is>
          <t>A 6115-2026</t>
        </is>
      </c>
      <c r="B7758" t="inlineStr">
        <is>
          <t>avverkningsanmälan</t>
        </is>
      </c>
      <c r="C7758" t="inlineStr">
        <is>
          <t>Föryngringsavverkning</t>
        </is>
      </c>
      <c r="D7758" s="1" t="n">
        <v>46053</v>
      </c>
      <c r="E7758" s="1" t="n">
        <v>46326</v>
      </c>
      <c r="F7758" t="inlineStr">
        <is>
          <t>GÄVLEBORGS LÄN</t>
        </is>
      </c>
      <c r="G7758" t="inlineStr">
        <is>
          <t>OVANÅKER</t>
        </is>
      </c>
      <c r="I7758" t="n">
        <v>1.6</v>
      </c>
      <c r="J7758" t="n">
        <v>0</v>
      </c>
      <c r="K7758" t="n">
        <v>0</v>
      </c>
      <c r="L7758" t="n">
        <v>0</v>
      </c>
      <c r="M7758" t="n">
        <v>0</v>
      </c>
      <c r="N7758" t="n">
        <v>0</v>
      </c>
      <c r="O7758" t="n">
        <v>0</v>
      </c>
      <c r="P7758" t="n">
        <v>0</v>
      </c>
      <c r="Q7758" t="n">
        <v>0</v>
      </c>
      <c r="R7758" t="n">
        <v>0</v>
      </c>
      <c r="S7758" t="n">
        <v>0</v>
      </c>
      <c r="T7758" t="n">
        <v>0</v>
      </c>
      <c r="U7758" t="n">
        <v>0</v>
      </c>
      <c r="V7758" s="2" t="inlineStr"/>
    </row>
    <row r="7759" ht="15" customHeight="1">
      <c r="A7759" t="inlineStr">
        <is>
          <t>A 6312-2026</t>
        </is>
      </c>
      <c r="B7759" t="inlineStr">
        <is>
          <t>avverkningsanmälan</t>
        </is>
      </c>
      <c r="C7759" t="inlineStr">
        <is>
          <t>Föryngringsavverkning</t>
        </is>
      </c>
      <c r="D7759" s="1" t="n">
        <v>46055</v>
      </c>
      <c r="E7759" s="1" t="n">
        <v>46326</v>
      </c>
      <c r="F7759" t="inlineStr">
        <is>
          <t>GÄVLEBORGS LÄN</t>
        </is>
      </c>
      <c r="G7759" t="inlineStr">
        <is>
          <t>HUDIKSVALL</t>
        </is>
      </c>
      <c r="I7759" t="n">
        <v>4.1</v>
      </c>
      <c r="J7759" t="n">
        <v>0</v>
      </c>
      <c r="K7759" t="n">
        <v>0</v>
      </c>
      <c r="L7759" t="n">
        <v>0</v>
      </c>
      <c r="M7759" t="n">
        <v>0</v>
      </c>
      <c r="N7759" t="n">
        <v>0</v>
      </c>
      <c r="O7759" t="n">
        <v>0</v>
      </c>
      <c r="P7759" t="n">
        <v>0</v>
      </c>
      <c r="Q7759" t="n">
        <v>0</v>
      </c>
      <c r="R7759" t="n">
        <v>0</v>
      </c>
      <c r="S7759" t="n">
        <v>0</v>
      </c>
      <c r="T7759" t="n">
        <v>0</v>
      </c>
      <c r="U7759" t="n">
        <v>0</v>
      </c>
      <c r="V7759" s="2" t="inlineStr"/>
    </row>
    <row r="7760" ht="15" customHeight="1">
      <c r="A7760" t="inlineStr">
        <is>
          <t>A 8036-2026</t>
        </is>
      </c>
      <c r="B7760" t="inlineStr">
        <is>
          <t>avverkningsanmälan</t>
        </is>
      </c>
      <c r="C7760" t="inlineStr">
        <is>
          <t>Föryngringsavverkning</t>
        </is>
      </c>
      <c r="D7760" s="1" t="n">
        <v>46063</v>
      </c>
      <c r="E7760" s="1" t="n">
        <v>46326</v>
      </c>
      <c r="F7760" t="inlineStr">
        <is>
          <t>GÄVLEBORGS LÄN</t>
        </is>
      </c>
      <c r="G7760" t="inlineStr">
        <is>
          <t>BOLLNÄS</t>
        </is>
      </c>
      <c r="I7760" t="n">
        <v>1.2</v>
      </c>
      <c r="J7760" t="n">
        <v>0</v>
      </c>
      <c r="K7760" t="n">
        <v>0</v>
      </c>
      <c r="L7760" t="n">
        <v>0</v>
      </c>
      <c r="M7760" t="n">
        <v>0</v>
      </c>
      <c r="N7760" t="n">
        <v>0</v>
      </c>
      <c r="O7760" t="n">
        <v>0</v>
      </c>
      <c r="P7760" t="n">
        <v>0</v>
      </c>
      <c r="Q7760" t="n">
        <v>0</v>
      </c>
      <c r="R7760" t="n">
        <v>0</v>
      </c>
      <c r="S7760" t="n">
        <v>0</v>
      </c>
      <c r="T7760" t="n">
        <v>0</v>
      </c>
      <c r="U7760" t="n">
        <v>0</v>
      </c>
      <c r="V7760" s="2" t="inlineStr"/>
    </row>
    <row r="7761" ht="15" customHeight="1">
      <c r="A7761" t="inlineStr">
        <is>
          <t>A 16798-2026</t>
        </is>
      </c>
      <c r="B7761" t="inlineStr">
        <is>
          <t>avverkningsanmälan</t>
        </is>
      </c>
      <c r="C7761" t="inlineStr">
        <is>
          <t>Föryngringsavverkning</t>
        </is>
      </c>
      <c r="D7761" s="1" t="n">
        <v>46113</v>
      </c>
      <c r="E7761" s="1" t="n">
        <v>46326</v>
      </c>
      <c r="F7761" t="inlineStr">
        <is>
          <t>GÄVLEBORGS LÄN</t>
        </is>
      </c>
      <c r="G7761" t="inlineStr">
        <is>
          <t>OVANÅKER</t>
        </is>
      </c>
      <c r="I7761" t="n">
        <v>2.7</v>
      </c>
      <c r="J7761" t="n">
        <v>0</v>
      </c>
      <c r="K7761" t="n">
        <v>0</v>
      </c>
      <c r="L7761" t="n">
        <v>0</v>
      </c>
      <c r="M7761" t="n">
        <v>0</v>
      </c>
      <c r="N7761" t="n">
        <v>0</v>
      </c>
      <c r="O7761" t="n">
        <v>0</v>
      </c>
      <c r="P7761" t="n">
        <v>0</v>
      </c>
      <c r="Q7761" t="n">
        <v>0</v>
      </c>
      <c r="R7761" t="n">
        <v>0</v>
      </c>
      <c r="S7761" t="n">
        <v>0</v>
      </c>
      <c r="T7761" t="n">
        <v>0</v>
      </c>
      <c r="U7761" t="n">
        <v>0</v>
      </c>
      <c r="V7761" s="2" t="inlineStr"/>
    </row>
    <row r="7762" ht="15" customHeight="1">
      <c r="A7762" t="inlineStr">
        <is>
          <t>A 16966-2026</t>
        </is>
      </c>
      <c r="B7762" t="inlineStr">
        <is>
          <t>avverkningsanmälan</t>
        </is>
      </c>
      <c r="C7762" t="inlineStr">
        <is>
          <t>Föryngringsavverkning</t>
        </is>
      </c>
      <c r="D7762" s="1" t="n">
        <v>46114</v>
      </c>
      <c r="E7762" s="1" t="n">
        <v>46326</v>
      </c>
      <c r="F7762" t="inlineStr">
        <is>
          <t>GÄVLEBORGS LÄN</t>
        </is>
      </c>
      <c r="G7762" t="inlineStr">
        <is>
          <t>BOLLNÄS</t>
        </is>
      </c>
      <c r="I7762" t="n">
        <v>0.4</v>
      </c>
      <c r="J7762" t="n">
        <v>0</v>
      </c>
      <c r="K7762" t="n">
        <v>0</v>
      </c>
      <c r="L7762" t="n">
        <v>0</v>
      </c>
      <c r="M7762" t="n">
        <v>0</v>
      </c>
      <c r="N7762" t="n">
        <v>0</v>
      </c>
      <c r="O7762" t="n">
        <v>0</v>
      </c>
      <c r="P7762" t="n">
        <v>0</v>
      </c>
      <c r="Q7762" t="n">
        <v>0</v>
      </c>
      <c r="R7762" t="n">
        <v>0</v>
      </c>
      <c r="S7762" t="n">
        <v>0</v>
      </c>
      <c r="T7762" t="n">
        <v>0</v>
      </c>
      <c r="U7762" t="n">
        <v>0</v>
      </c>
      <c r="V7762" s="2" t="inlineStr"/>
    </row>
    <row r="7763" ht="15" customHeight="1">
      <c r="A7763" t="inlineStr">
        <is>
          <t>A 16971-2026</t>
        </is>
      </c>
      <c r="B7763" t="inlineStr">
        <is>
          <t>avverkningsanmälan</t>
        </is>
      </c>
      <c r="C7763" t="inlineStr">
        <is>
          <t>Föryngringsavverkning</t>
        </is>
      </c>
      <c r="D7763" s="1" t="n">
        <v>46114</v>
      </c>
      <c r="E7763" s="1" t="n">
        <v>46326</v>
      </c>
      <c r="F7763" t="inlineStr">
        <is>
          <t>GÄVLEBORGS LÄN</t>
        </is>
      </c>
      <c r="G7763" t="inlineStr">
        <is>
          <t>BOLLNÄS</t>
        </is>
      </c>
      <c r="I7763" t="n">
        <v>2.2</v>
      </c>
      <c r="J7763" t="n">
        <v>0</v>
      </c>
      <c r="K7763" t="n">
        <v>0</v>
      </c>
      <c r="L7763" t="n">
        <v>0</v>
      </c>
      <c r="M7763" t="n">
        <v>0</v>
      </c>
      <c r="N7763" t="n">
        <v>0</v>
      </c>
      <c r="O7763" t="n">
        <v>0</v>
      </c>
      <c r="P7763" t="n">
        <v>0</v>
      </c>
      <c r="Q7763" t="n">
        <v>0</v>
      </c>
      <c r="R7763" t="n">
        <v>0</v>
      </c>
      <c r="S7763" t="n">
        <v>0</v>
      </c>
      <c r="T7763" t="n">
        <v>0</v>
      </c>
      <c r="U7763" t="n">
        <v>0</v>
      </c>
      <c r="V7763" s="2" t="inlineStr"/>
    </row>
    <row r="7764" ht="15" customHeight="1">
      <c r="A7764" t="inlineStr">
        <is>
          <t>A 21855-2026</t>
        </is>
      </c>
      <c r="B7764" t="inlineStr">
        <is>
          <t>avverkningsanmälan</t>
        </is>
      </c>
      <c r="C7764" t="inlineStr">
        <is>
          <t>Föryngringsavverkning</t>
        </is>
      </c>
      <c r="D7764" s="1" t="n">
        <v>46150</v>
      </c>
      <c r="E7764" s="1" t="n">
        <v>46326</v>
      </c>
      <c r="F7764" t="inlineStr">
        <is>
          <t>GÄVLEBORGS LÄN</t>
        </is>
      </c>
      <c r="G7764" t="inlineStr">
        <is>
          <t>OVANÅKER</t>
        </is>
      </c>
      <c r="I7764" t="n">
        <v>0.9</v>
      </c>
      <c r="J7764" t="n">
        <v>0</v>
      </c>
      <c r="K7764" t="n">
        <v>0</v>
      </c>
      <c r="L7764" t="n">
        <v>0</v>
      </c>
      <c r="M7764" t="n">
        <v>0</v>
      </c>
      <c r="N7764" t="n">
        <v>0</v>
      </c>
      <c r="O7764" t="n">
        <v>0</v>
      </c>
      <c r="P7764" t="n">
        <v>0</v>
      </c>
      <c r="Q7764" t="n">
        <v>0</v>
      </c>
      <c r="R7764" t="n">
        <v>0</v>
      </c>
      <c r="S7764" t="n">
        <v>0</v>
      </c>
      <c r="T7764" t="n">
        <v>0</v>
      </c>
      <c r="U7764" t="n">
        <v>0</v>
      </c>
      <c r="V7764" s="2" t="inlineStr"/>
    </row>
    <row r="7765" ht="15" customHeight="1">
      <c r="A7765" t="inlineStr">
        <is>
          <t>A 16633-2024</t>
        </is>
      </c>
      <c r="B7765" t="inlineStr">
        <is>
          <t>avverkningsanmälan</t>
        </is>
      </c>
      <c r="C7765" t="inlineStr">
        <is>
          <t>Föryngringsavverkning</t>
        </is>
      </c>
      <c r="D7765" s="1" t="n">
        <v>45408</v>
      </c>
      <c r="E7765" s="1" t="n">
        <v>46326</v>
      </c>
      <c r="F7765" t="inlineStr">
        <is>
          <t>GÄVLEBORGS LÄN</t>
        </is>
      </c>
      <c r="G7765" t="inlineStr">
        <is>
          <t>HUDIKSVALL</t>
        </is>
      </c>
      <c r="I7765" t="n">
        <v>2.2</v>
      </c>
      <c r="J7765" t="n">
        <v>0</v>
      </c>
      <c r="K7765" t="n">
        <v>0</v>
      </c>
      <c r="L7765" t="n">
        <v>0</v>
      </c>
      <c r="M7765" t="n">
        <v>0</v>
      </c>
      <c r="N7765" t="n">
        <v>0</v>
      </c>
      <c r="O7765" t="n">
        <v>0</v>
      </c>
      <c r="P7765" t="n">
        <v>0</v>
      </c>
      <c r="Q7765" t="n">
        <v>0</v>
      </c>
      <c r="R7765" t="n">
        <v>0</v>
      </c>
      <c r="S7765" t="n">
        <v>0</v>
      </c>
      <c r="T7765" t="n">
        <v>0</v>
      </c>
      <c r="U7765" t="n">
        <v>0</v>
      </c>
      <c r="V7765" s="2" t="inlineStr"/>
    </row>
    <row r="7766" ht="15" customHeight="1">
      <c r="A7766" t="inlineStr">
        <is>
          <t>A 9834-2026</t>
        </is>
      </c>
      <c r="B7766" t="inlineStr">
        <is>
          <t>avverkningsanmälan</t>
        </is>
      </c>
      <c r="C7766" t="inlineStr">
        <is>
          <t>Föryngringsavverkning</t>
        </is>
      </c>
      <c r="D7766" s="1" t="n">
        <v>46072</v>
      </c>
      <c r="E7766" s="1" t="n">
        <v>46326</v>
      </c>
      <c r="F7766" t="inlineStr">
        <is>
          <t>GÄVLEBORGS LÄN</t>
        </is>
      </c>
      <c r="G7766" t="inlineStr">
        <is>
          <t>HUDIKSVALL</t>
        </is>
      </c>
      <c r="I7766" t="n">
        <v>2.4</v>
      </c>
      <c r="J7766" t="n">
        <v>0</v>
      </c>
      <c r="K7766" t="n">
        <v>0</v>
      </c>
      <c r="L7766" t="n">
        <v>0</v>
      </c>
      <c r="M7766" t="n">
        <v>0</v>
      </c>
      <c r="N7766" t="n">
        <v>0</v>
      </c>
      <c r="O7766" t="n">
        <v>0</v>
      </c>
      <c r="P7766" t="n">
        <v>0</v>
      </c>
      <c r="Q7766" t="n">
        <v>0</v>
      </c>
      <c r="R7766" t="n">
        <v>0</v>
      </c>
      <c r="S7766" t="n">
        <v>0</v>
      </c>
      <c r="T7766" t="n">
        <v>0</v>
      </c>
      <c r="U7766" t="n">
        <v>0</v>
      </c>
      <c r="V7766" s="2" t="inlineStr"/>
    </row>
    <row r="7767" ht="15" customHeight="1">
      <c r="A7767" t="inlineStr">
        <is>
          <t>A 21792-2026</t>
        </is>
      </c>
      <c r="B7767" t="inlineStr">
        <is>
          <t>avverkningsanmälan</t>
        </is>
      </c>
      <c r="C7767" t="inlineStr">
        <is>
          <t>Föryngringsavverkning</t>
        </is>
      </c>
      <c r="D7767" s="1" t="n">
        <v>46150</v>
      </c>
      <c r="E7767" s="1" t="n">
        <v>46326</v>
      </c>
      <c r="F7767" t="inlineStr">
        <is>
          <t>GÄVLEBORGS LÄN</t>
        </is>
      </c>
      <c r="G7767" t="inlineStr">
        <is>
          <t>HUDIKSVALL</t>
        </is>
      </c>
      <c r="I7767" t="n">
        <v>1.8</v>
      </c>
      <c r="J7767" t="n">
        <v>0</v>
      </c>
      <c r="K7767" t="n">
        <v>0</v>
      </c>
      <c r="L7767" t="n">
        <v>0</v>
      </c>
      <c r="M7767" t="n">
        <v>0</v>
      </c>
      <c r="N7767" t="n">
        <v>0</v>
      </c>
      <c r="O7767" t="n">
        <v>0</v>
      </c>
      <c r="P7767" t="n">
        <v>0</v>
      </c>
      <c r="Q7767" t="n">
        <v>0</v>
      </c>
      <c r="R7767" t="n">
        <v>0</v>
      </c>
      <c r="S7767" t="n">
        <v>0</v>
      </c>
      <c r="T7767" t="n">
        <v>0</v>
      </c>
      <c r="U7767" t="n">
        <v>0</v>
      </c>
      <c r="V7767" s="2" t="inlineStr"/>
    </row>
    <row r="7768" ht="15" customHeight="1">
      <c r="A7768" t="inlineStr">
        <is>
          <t>A 1542-2026</t>
        </is>
      </c>
      <c r="B7768" t="inlineStr">
        <is>
          <t>avverkningsanmälan</t>
        </is>
      </c>
      <c r="C7768" t="inlineStr">
        <is>
          <t>Föryngringsavverkning</t>
        </is>
      </c>
      <c r="D7768" s="1" t="n">
        <v>46034</v>
      </c>
      <c r="E7768" s="1" t="n">
        <v>46326</v>
      </c>
      <c r="F7768" t="inlineStr">
        <is>
          <t>GÄVLEBORGS LÄN</t>
        </is>
      </c>
      <c r="G7768" t="inlineStr">
        <is>
          <t>BOLLNÄS</t>
        </is>
      </c>
      <c r="I7768" t="n">
        <v>6</v>
      </c>
      <c r="J7768" t="n">
        <v>0</v>
      </c>
      <c r="K7768" t="n">
        <v>0</v>
      </c>
      <c r="L7768" t="n">
        <v>0</v>
      </c>
      <c r="M7768" t="n">
        <v>0</v>
      </c>
      <c r="N7768" t="n">
        <v>0</v>
      </c>
      <c r="O7768" t="n">
        <v>0</v>
      </c>
      <c r="P7768" t="n">
        <v>0</v>
      </c>
      <c r="Q7768" t="n">
        <v>0</v>
      </c>
      <c r="R7768" t="n">
        <v>0</v>
      </c>
      <c r="S7768" t="n">
        <v>0</v>
      </c>
      <c r="T7768" t="n">
        <v>0</v>
      </c>
      <c r="U7768" t="n">
        <v>0</v>
      </c>
      <c r="V7768" s="2" t="inlineStr"/>
    </row>
    <row r="7769" ht="15" customHeight="1">
      <c r="A7769" t="inlineStr">
        <is>
          <t>A 22206-2026</t>
        </is>
      </c>
      <c r="B7769" t="inlineStr">
        <is>
          <t>avverkningsanmälan</t>
        </is>
      </c>
      <c r="C7769" t="inlineStr">
        <is>
          <t>Föryngringsavverkning</t>
        </is>
      </c>
      <c r="D7769" s="1" t="n">
        <v>46153</v>
      </c>
      <c r="E7769" s="1" t="n">
        <v>46326</v>
      </c>
      <c r="F7769" t="inlineStr">
        <is>
          <t>GÄVLEBORGS LÄN</t>
        </is>
      </c>
      <c r="G7769" t="inlineStr">
        <is>
          <t>BOLLNÄS</t>
        </is>
      </c>
      <c r="I7769" t="n">
        <v>3.8</v>
      </c>
      <c r="J7769" t="n">
        <v>0</v>
      </c>
      <c r="K7769" t="n">
        <v>0</v>
      </c>
      <c r="L7769" t="n">
        <v>0</v>
      </c>
      <c r="M7769" t="n">
        <v>0</v>
      </c>
      <c r="N7769" t="n">
        <v>0</v>
      </c>
      <c r="O7769" t="n">
        <v>0</v>
      </c>
      <c r="P7769" t="n">
        <v>0</v>
      </c>
      <c r="Q7769" t="n">
        <v>0</v>
      </c>
      <c r="R7769" t="n">
        <v>0</v>
      </c>
      <c r="S7769" t="n">
        <v>0</v>
      </c>
      <c r="T7769" t="n">
        <v>0</v>
      </c>
      <c r="U7769" t="n">
        <v>0</v>
      </c>
      <c r="V7769" s="2" t="inlineStr"/>
    </row>
    <row r="7770" ht="15" customHeight="1">
      <c r="A7770" t="inlineStr">
        <is>
          <t>A 18063-2026</t>
        </is>
      </c>
      <c r="B7770" t="inlineStr">
        <is>
          <t>avverkningsanmälan</t>
        </is>
      </c>
      <c r="C7770" t="inlineStr">
        <is>
          <t>Föryngringsavverkning</t>
        </is>
      </c>
      <c r="D7770" s="1" t="n">
        <v>46125</v>
      </c>
      <c r="E7770" s="1" t="n">
        <v>46326</v>
      </c>
      <c r="F7770" t="inlineStr">
        <is>
          <t>GÄVLEBORGS LÄN</t>
        </is>
      </c>
      <c r="G7770" t="inlineStr">
        <is>
          <t>OVANÅKER</t>
        </is>
      </c>
      <c r="I7770" t="n">
        <v>3.8</v>
      </c>
      <c r="J7770" t="n">
        <v>0</v>
      </c>
      <c r="K7770" t="n">
        <v>0</v>
      </c>
      <c r="L7770" t="n">
        <v>0</v>
      </c>
      <c r="M7770" t="n">
        <v>0</v>
      </c>
      <c r="N7770" t="n">
        <v>0</v>
      </c>
      <c r="O7770" t="n">
        <v>0</v>
      </c>
      <c r="P7770" t="n">
        <v>0</v>
      </c>
      <c r="Q7770" t="n">
        <v>0</v>
      </c>
      <c r="R7770" t="n">
        <v>0</v>
      </c>
      <c r="S7770" t="n">
        <v>0</v>
      </c>
      <c r="T7770" t="n">
        <v>0</v>
      </c>
      <c r="U7770" t="n">
        <v>0</v>
      </c>
      <c r="V7770" s="2" t="inlineStr"/>
    </row>
    <row r="7771" ht="15" customHeight="1">
      <c r="A7771" t="inlineStr">
        <is>
          <t>A 22185-2026</t>
        </is>
      </c>
      <c r="B7771" t="inlineStr">
        <is>
          <t>avverkningsanmälan</t>
        </is>
      </c>
      <c r="C7771" t="inlineStr">
        <is>
          <t>Föryngringsavverkning</t>
        </is>
      </c>
      <c r="D7771" s="1" t="n">
        <v>46153</v>
      </c>
      <c r="E7771" s="1" t="n">
        <v>46326</v>
      </c>
      <c r="F7771" t="inlineStr">
        <is>
          <t>GÄVLEBORGS LÄN</t>
        </is>
      </c>
      <c r="G7771" t="inlineStr">
        <is>
          <t>BOLLNÄS</t>
        </is>
      </c>
      <c r="I7771" t="n">
        <v>1.6</v>
      </c>
      <c r="J7771" t="n">
        <v>0</v>
      </c>
      <c r="K7771" t="n">
        <v>0</v>
      </c>
      <c r="L7771" t="n">
        <v>0</v>
      </c>
      <c r="M7771" t="n">
        <v>0</v>
      </c>
      <c r="N7771" t="n">
        <v>0</v>
      </c>
      <c r="O7771" t="n">
        <v>0</v>
      </c>
      <c r="P7771" t="n">
        <v>0</v>
      </c>
      <c r="Q7771" t="n">
        <v>0</v>
      </c>
      <c r="R7771" t="n">
        <v>0</v>
      </c>
      <c r="S7771" t="n">
        <v>0</v>
      </c>
      <c r="T7771" t="n">
        <v>0</v>
      </c>
      <c r="U7771" t="n">
        <v>0</v>
      </c>
      <c r="V7771" s="2" t="inlineStr"/>
    </row>
    <row r="7772" ht="15" customHeight="1">
      <c r="A7772" t="inlineStr">
        <is>
          <t>A 22190-2026</t>
        </is>
      </c>
      <c r="B7772" t="inlineStr">
        <is>
          <t>avverkningsanmälan</t>
        </is>
      </c>
      <c r="C7772" t="inlineStr">
        <is>
          <t>Föryngringsavverkning</t>
        </is>
      </c>
      <c r="D7772" s="1" t="n">
        <v>46153</v>
      </c>
      <c r="E7772" s="1" t="n">
        <v>46326</v>
      </c>
      <c r="F7772" t="inlineStr">
        <is>
          <t>GÄVLEBORGS LÄN</t>
        </is>
      </c>
      <c r="G7772" t="inlineStr">
        <is>
          <t>BOLLNÄS</t>
        </is>
      </c>
      <c r="I7772" t="n">
        <v>0.9</v>
      </c>
      <c r="J7772" t="n">
        <v>0</v>
      </c>
      <c r="K7772" t="n">
        <v>0</v>
      </c>
      <c r="L7772" t="n">
        <v>0</v>
      </c>
      <c r="M7772" t="n">
        <v>0</v>
      </c>
      <c r="N7772" t="n">
        <v>0</v>
      </c>
      <c r="O7772" t="n">
        <v>0</v>
      </c>
      <c r="P7772" t="n">
        <v>0</v>
      </c>
      <c r="Q7772" t="n">
        <v>0</v>
      </c>
      <c r="R7772" t="n">
        <v>0</v>
      </c>
      <c r="S7772" t="n">
        <v>0</v>
      </c>
      <c r="T7772" t="n">
        <v>0</v>
      </c>
      <c r="U7772" t="n">
        <v>0</v>
      </c>
      <c r="V7772" s="2" t="inlineStr"/>
    </row>
    <row r="7773" ht="15" customHeight="1">
      <c r="A7773" t="inlineStr">
        <is>
          <t>A 8156-2026</t>
        </is>
      </c>
      <c r="B7773" t="inlineStr">
        <is>
          <t>avverkningsanmälan</t>
        </is>
      </c>
      <c r="C7773" t="inlineStr">
        <is>
          <t>Föryngringsavverkning</t>
        </is>
      </c>
      <c r="D7773" s="1" t="n">
        <v>46064</v>
      </c>
      <c r="E7773" s="1" t="n">
        <v>46326</v>
      </c>
      <c r="F7773" t="inlineStr">
        <is>
          <t>GÄVLEBORGS LÄN</t>
        </is>
      </c>
      <c r="G7773" t="inlineStr">
        <is>
          <t>BOLLNÄS</t>
        </is>
      </c>
      <c r="I7773" t="n">
        <v>6.8</v>
      </c>
      <c r="J7773" t="n">
        <v>0</v>
      </c>
      <c r="K7773" t="n">
        <v>0</v>
      </c>
      <c r="L7773" t="n">
        <v>0</v>
      </c>
      <c r="M7773" t="n">
        <v>0</v>
      </c>
      <c r="N7773" t="n">
        <v>0</v>
      </c>
      <c r="O7773" t="n">
        <v>0</v>
      </c>
      <c r="P7773" t="n">
        <v>0</v>
      </c>
      <c r="Q7773" t="n">
        <v>0</v>
      </c>
      <c r="R7773" t="n">
        <v>0</v>
      </c>
      <c r="S7773" t="n">
        <v>0</v>
      </c>
      <c r="T7773" t="n">
        <v>0</v>
      </c>
      <c r="U7773" t="n">
        <v>0</v>
      </c>
      <c r="V7773" s="2" t="inlineStr"/>
    </row>
    <row r="7774" ht="15" customHeight="1">
      <c r="A7774" t="inlineStr">
        <is>
          <t>A 60792-2024</t>
        </is>
      </c>
      <c r="B7774" t="inlineStr">
        <is>
          <t>avverkningsanmälan</t>
        </is>
      </c>
      <c r="C7774" t="inlineStr">
        <is>
          <t>Föryngringsavverkning</t>
        </is>
      </c>
      <c r="D7774" s="1" t="n">
        <v>45644</v>
      </c>
      <c r="E7774" s="1" t="n">
        <v>46326</v>
      </c>
      <c r="F7774" t="inlineStr">
        <is>
          <t>GÄVLEBORGS LÄN</t>
        </is>
      </c>
      <c r="G7774" t="inlineStr">
        <is>
          <t>GÄVLE</t>
        </is>
      </c>
      <c r="H7774" t="inlineStr">
        <is>
          <t>Kyrkan</t>
        </is>
      </c>
      <c r="I7774" t="n">
        <v>1.7</v>
      </c>
      <c r="J7774" t="n">
        <v>0</v>
      </c>
      <c r="K7774" t="n">
        <v>0</v>
      </c>
      <c r="L7774" t="n">
        <v>0</v>
      </c>
      <c r="M7774" t="n">
        <v>0</v>
      </c>
      <c r="N7774" t="n">
        <v>0</v>
      </c>
      <c r="O7774" t="n">
        <v>0</v>
      </c>
      <c r="P7774" t="n">
        <v>0</v>
      </c>
      <c r="Q7774" t="n">
        <v>0</v>
      </c>
      <c r="R7774" t="n">
        <v>0</v>
      </c>
      <c r="S7774" t="n">
        <v>0</v>
      </c>
      <c r="T7774" t="n">
        <v>0</v>
      </c>
      <c r="U7774" t="n">
        <v>0</v>
      </c>
      <c r="V7774" s="2" t="inlineStr"/>
    </row>
    <row r="7775" ht="15" customHeight="1">
      <c r="A7775" t="inlineStr">
        <is>
          <t>A 22075-2026</t>
        </is>
      </c>
      <c r="B7775" t="inlineStr">
        <is>
          <t>avverkningsanmälan</t>
        </is>
      </c>
      <c r="C7775" t="inlineStr">
        <is>
          <t>Föryngringsavverkning</t>
        </is>
      </c>
      <c r="D7775" s="1" t="n">
        <v>46153</v>
      </c>
      <c r="E7775" s="1" t="n">
        <v>46326</v>
      </c>
      <c r="F7775" t="inlineStr">
        <is>
          <t>GÄVLEBORGS LÄN</t>
        </is>
      </c>
      <c r="G7775" t="inlineStr">
        <is>
          <t>GÄVLE</t>
        </is>
      </c>
      <c r="H7775" t="inlineStr">
        <is>
          <t>Bergvik skog öst AB</t>
        </is>
      </c>
      <c r="I7775" t="n">
        <v>1</v>
      </c>
      <c r="J7775" t="n">
        <v>0</v>
      </c>
      <c r="K7775" t="n">
        <v>0</v>
      </c>
      <c r="L7775" t="n">
        <v>0</v>
      </c>
      <c r="M7775" t="n">
        <v>0</v>
      </c>
      <c r="N7775" t="n">
        <v>0</v>
      </c>
      <c r="O7775" t="n">
        <v>0</v>
      </c>
      <c r="P7775" t="n">
        <v>0</v>
      </c>
      <c r="Q7775" t="n">
        <v>0</v>
      </c>
      <c r="R7775" t="n">
        <v>0</v>
      </c>
      <c r="S7775" t="n">
        <v>0</v>
      </c>
      <c r="T7775" t="n">
        <v>0</v>
      </c>
      <c r="U7775" t="n">
        <v>0</v>
      </c>
      <c r="V7775" s="2" t="inlineStr"/>
    </row>
    <row r="7776" ht="15" customHeight="1">
      <c r="A7776" t="inlineStr">
        <is>
          <t>A 60801-2024</t>
        </is>
      </c>
      <c r="B7776" t="inlineStr">
        <is>
          <t>avverkningsanmälan</t>
        </is>
      </c>
      <c r="C7776" t="inlineStr">
        <is>
          <t>Föryngringsavverkning</t>
        </is>
      </c>
      <c r="D7776" s="1" t="n">
        <v>45644</v>
      </c>
      <c r="E7776" s="1" t="n">
        <v>46326</v>
      </c>
      <c r="F7776" t="inlineStr">
        <is>
          <t>GÄVLEBORGS LÄN</t>
        </is>
      </c>
      <c r="G7776" t="inlineStr">
        <is>
          <t>GÄVLE</t>
        </is>
      </c>
      <c r="H7776" t="inlineStr">
        <is>
          <t>Kyrkan</t>
        </is>
      </c>
      <c r="I7776" t="n">
        <v>1.9</v>
      </c>
      <c r="J7776" t="n">
        <v>0</v>
      </c>
      <c r="K7776" t="n">
        <v>0</v>
      </c>
      <c r="L7776" t="n">
        <v>0</v>
      </c>
      <c r="M7776" t="n">
        <v>0</v>
      </c>
      <c r="N7776" t="n">
        <v>0</v>
      </c>
      <c r="O7776" t="n">
        <v>0</v>
      </c>
      <c r="P7776" t="n">
        <v>0</v>
      </c>
      <c r="Q7776" t="n">
        <v>0</v>
      </c>
      <c r="R7776" t="n">
        <v>0</v>
      </c>
      <c r="S7776" t="n">
        <v>0</v>
      </c>
      <c r="T7776" t="n">
        <v>0</v>
      </c>
      <c r="U7776" t="n">
        <v>0</v>
      </c>
      <c r="V7776" s="2" t="inlineStr"/>
    </row>
    <row r="7777" ht="15" customHeight="1">
      <c r="A7777" t="inlineStr">
        <is>
          <t>A 35136-2023</t>
        </is>
      </c>
      <c r="B7777" t="inlineStr">
        <is>
          <t>avverkningsanmälan</t>
        </is>
      </c>
      <c r="C7777" t="inlineStr">
        <is>
          <t>Föryngringsavverkning</t>
        </is>
      </c>
      <c r="D7777" s="1" t="n">
        <v>45145</v>
      </c>
      <c r="E7777" s="1" t="n">
        <v>46326</v>
      </c>
      <c r="F7777" t="inlineStr">
        <is>
          <t>GÄVLEBORGS LÄN</t>
        </is>
      </c>
      <c r="G7777" t="inlineStr">
        <is>
          <t>HOFORS</t>
        </is>
      </c>
      <c r="I7777" t="n">
        <v>2</v>
      </c>
      <c r="J7777" t="n">
        <v>0</v>
      </c>
      <c r="K7777" t="n">
        <v>0</v>
      </c>
      <c r="L7777" t="n">
        <v>0</v>
      </c>
      <c r="M7777" t="n">
        <v>0</v>
      </c>
      <c r="N7777" t="n">
        <v>0</v>
      </c>
      <c r="O7777" t="n">
        <v>0</v>
      </c>
      <c r="P7777" t="n">
        <v>0</v>
      </c>
      <c r="Q7777" t="n">
        <v>0</v>
      </c>
      <c r="R7777" t="n">
        <v>0</v>
      </c>
      <c r="S7777" t="n">
        <v>0</v>
      </c>
      <c r="T7777" t="n">
        <v>0</v>
      </c>
      <c r="U7777" t="n">
        <v>0</v>
      </c>
      <c r="V7777" s="2" t="inlineStr"/>
    </row>
    <row r="7778" ht="15" customHeight="1">
      <c r="A7778" t="inlineStr">
        <is>
          <t>A 22002-2026</t>
        </is>
      </c>
      <c r="B7778" t="inlineStr">
        <is>
          <t>avverkningsanmälan</t>
        </is>
      </c>
      <c r="C7778" t="inlineStr">
        <is>
          <t>Föryngringsavverkning</t>
        </is>
      </c>
      <c r="D7778" s="1" t="n">
        <v>46153</v>
      </c>
      <c r="E7778" s="1" t="n">
        <v>46326</v>
      </c>
      <c r="F7778" t="inlineStr">
        <is>
          <t>GÄVLEBORGS LÄN</t>
        </is>
      </c>
      <c r="G7778" t="inlineStr">
        <is>
          <t>BOLLNÄS</t>
        </is>
      </c>
      <c r="H7778" t="inlineStr">
        <is>
          <t>Bergvik skog väst AB</t>
        </is>
      </c>
      <c r="I7778" t="n">
        <v>9.199999999999999</v>
      </c>
      <c r="J7778" t="n">
        <v>0</v>
      </c>
      <c r="K7778" t="n">
        <v>0</v>
      </c>
      <c r="L7778" t="n">
        <v>0</v>
      </c>
      <c r="M7778" t="n">
        <v>0</v>
      </c>
      <c r="N7778" t="n">
        <v>0</v>
      </c>
      <c r="O7778" t="n">
        <v>0</v>
      </c>
      <c r="P7778" t="n">
        <v>0</v>
      </c>
      <c r="Q7778" t="n">
        <v>0</v>
      </c>
      <c r="R7778" t="n">
        <v>0</v>
      </c>
      <c r="S7778" t="n">
        <v>0</v>
      </c>
      <c r="T7778" t="n">
        <v>0</v>
      </c>
      <c r="U7778" t="n">
        <v>0</v>
      </c>
      <c r="V7778" s="2" t="inlineStr"/>
    </row>
    <row r="7779" ht="15" customHeight="1">
      <c r="A7779" t="inlineStr">
        <is>
          <t>A 18466-2024</t>
        </is>
      </c>
      <c r="B7779" t="inlineStr">
        <is>
          <t>avverkningsanmälan</t>
        </is>
      </c>
      <c r="C7779" t="inlineStr">
        <is>
          <t>Föryngringsavverkning</t>
        </is>
      </c>
      <c r="D7779" s="1" t="n">
        <v>45425</v>
      </c>
      <c r="E7779" s="1" t="n">
        <v>46326</v>
      </c>
      <c r="F7779" t="inlineStr">
        <is>
          <t>GÄVLEBORGS LÄN</t>
        </is>
      </c>
      <c r="G7779" t="inlineStr">
        <is>
          <t>SÖDERHAMN</t>
        </is>
      </c>
      <c r="I7779" t="n">
        <v>1</v>
      </c>
      <c r="J7779" t="n">
        <v>0</v>
      </c>
      <c r="K7779" t="n">
        <v>0</v>
      </c>
      <c r="L7779" t="n">
        <v>0</v>
      </c>
      <c r="M7779" t="n">
        <v>0</v>
      </c>
      <c r="N7779" t="n">
        <v>0</v>
      </c>
      <c r="O7779" t="n">
        <v>0</v>
      </c>
      <c r="P7779" t="n">
        <v>0</v>
      </c>
      <c r="Q7779" t="n">
        <v>0</v>
      </c>
      <c r="R7779" t="n">
        <v>0</v>
      </c>
      <c r="S7779" t="n">
        <v>0</v>
      </c>
      <c r="T7779" t="n">
        <v>0</v>
      </c>
      <c r="U7779" t="n">
        <v>0</v>
      </c>
      <c r="V7779" s="2" t="inlineStr"/>
    </row>
    <row r="7780" ht="15" customHeight="1">
      <c r="A7780" t="inlineStr">
        <is>
          <t>A 49125-2023</t>
        </is>
      </c>
      <c r="B7780" t="inlineStr">
        <is>
          <t>avverkningsanmälan</t>
        </is>
      </c>
      <c r="C7780" t="inlineStr">
        <is>
          <t>Föryngringsavverkning</t>
        </is>
      </c>
      <c r="D7780" s="1" t="n">
        <v>45210</v>
      </c>
      <c r="E7780" s="1" t="n">
        <v>46326</v>
      </c>
      <c r="F7780" t="inlineStr">
        <is>
          <t>GÄVLEBORGS LÄN</t>
        </is>
      </c>
      <c r="G7780" t="inlineStr">
        <is>
          <t>OVANÅKER</t>
        </is>
      </c>
      <c r="I7780" t="n">
        <v>1</v>
      </c>
      <c r="J7780" t="n">
        <v>0</v>
      </c>
      <c r="K7780" t="n">
        <v>0</v>
      </c>
      <c r="L7780" t="n">
        <v>0</v>
      </c>
      <c r="M7780" t="n">
        <v>0</v>
      </c>
      <c r="N7780" t="n">
        <v>0</v>
      </c>
      <c r="O7780" t="n">
        <v>0</v>
      </c>
      <c r="P7780" t="n">
        <v>0</v>
      </c>
      <c r="Q7780" t="n">
        <v>0</v>
      </c>
      <c r="R7780" t="n">
        <v>0</v>
      </c>
      <c r="S7780" t="n">
        <v>0</v>
      </c>
      <c r="T7780" t="n">
        <v>0</v>
      </c>
      <c r="U7780" t="n">
        <v>0</v>
      </c>
      <c r="V7780" s="2" t="inlineStr"/>
    </row>
    <row r="7781" ht="15" customHeight="1">
      <c r="A7781" t="inlineStr">
        <is>
          <t>A 22068-2026</t>
        </is>
      </c>
      <c r="B7781" t="inlineStr">
        <is>
          <t>avverkningsanmälan</t>
        </is>
      </c>
      <c r="C7781" t="inlineStr">
        <is>
          <t>Föryngringsavverkning</t>
        </is>
      </c>
      <c r="D7781" s="1" t="n">
        <v>46153</v>
      </c>
      <c r="E7781" s="1" t="n">
        <v>46326</v>
      </c>
      <c r="F7781" t="inlineStr">
        <is>
          <t>GÄVLEBORGS LÄN</t>
        </is>
      </c>
      <c r="G7781" t="inlineStr">
        <is>
          <t>SANDVIKEN</t>
        </is>
      </c>
      <c r="I7781" t="n">
        <v>1.3</v>
      </c>
      <c r="J7781" t="n">
        <v>0</v>
      </c>
      <c r="K7781" t="n">
        <v>0</v>
      </c>
      <c r="L7781" t="n">
        <v>0</v>
      </c>
      <c r="M7781" t="n">
        <v>0</v>
      </c>
      <c r="N7781" t="n">
        <v>0</v>
      </c>
      <c r="O7781" t="n">
        <v>0</v>
      </c>
      <c r="P7781" t="n">
        <v>0</v>
      </c>
      <c r="Q7781" t="n">
        <v>0</v>
      </c>
      <c r="R7781" t="n">
        <v>0</v>
      </c>
      <c r="S7781" t="n">
        <v>0</v>
      </c>
      <c r="T7781" t="n">
        <v>0</v>
      </c>
      <c r="U7781" t="n">
        <v>0</v>
      </c>
      <c r="V7781" s="2" t="inlineStr"/>
    </row>
    <row r="7782" ht="15" customHeight="1">
      <c r="A7782" t="inlineStr">
        <is>
          <t>A 26181-2023</t>
        </is>
      </c>
      <c r="B7782" t="inlineStr">
        <is>
          <t>avverkningsanmälan</t>
        </is>
      </c>
      <c r="C7782" t="inlineStr">
        <is>
          <t>Föryngringsavverkning</t>
        </is>
      </c>
      <c r="D7782" s="1" t="n">
        <v>45091</v>
      </c>
      <c r="E7782" s="1" t="n">
        <v>46326</v>
      </c>
      <c r="F7782" t="inlineStr">
        <is>
          <t>GÄVLEBORGS LÄN</t>
        </is>
      </c>
      <c r="G7782" t="inlineStr">
        <is>
          <t>LJUSDAL</t>
        </is>
      </c>
      <c r="H7782" t="inlineStr">
        <is>
          <t>Sveaskog</t>
        </is>
      </c>
      <c r="I7782" t="n">
        <v>6.8</v>
      </c>
      <c r="J7782" t="n">
        <v>0</v>
      </c>
      <c r="K7782" t="n">
        <v>0</v>
      </c>
      <c r="L7782" t="n">
        <v>0</v>
      </c>
      <c r="M7782" t="n">
        <v>0</v>
      </c>
      <c r="N7782" t="n">
        <v>0</v>
      </c>
      <c r="O7782" t="n">
        <v>0</v>
      </c>
      <c r="P7782" t="n">
        <v>0</v>
      </c>
      <c r="Q7782" t="n">
        <v>0</v>
      </c>
      <c r="R7782" t="n">
        <v>0</v>
      </c>
      <c r="S7782" t="n">
        <v>0</v>
      </c>
      <c r="T7782" t="n">
        <v>0</v>
      </c>
      <c r="U7782" t="n">
        <v>0</v>
      </c>
      <c r="V7782" s="2" t="inlineStr"/>
    </row>
    <row r="7783" ht="15" customHeight="1">
      <c r="A7783" t="inlineStr">
        <is>
          <t>A 26184-2023</t>
        </is>
      </c>
      <c r="B7783" t="inlineStr">
        <is>
          <t>avverkningsanmälan</t>
        </is>
      </c>
      <c r="C7783" t="inlineStr">
        <is>
          <t>Föryngringsavverkning</t>
        </is>
      </c>
      <c r="D7783" s="1" t="n">
        <v>45091</v>
      </c>
      <c r="E7783" s="1" t="n">
        <v>46326</v>
      </c>
      <c r="F7783" t="inlineStr">
        <is>
          <t>GÄVLEBORGS LÄN</t>
        </is>
      </c>
      <c r="G7783" t="inlineStr">
        <is>
          <t>LJUSDAL</t>
        </is>
      </c>
      <c r="H7783" t="inlineStr">
        <is>
          <t>Sveaskog</t>
        </is>
      </c>
      <c r="I7783" t="n">
        <v>11.8</v>
      </c>
      <c r="J7783" t="n">
        <v>0</v>
      </c>
      <c r="K7783" t="n">
        <v>0</v>
      </c>
      <c r="L7783" t="n">
        <v>0</v>
      </c>
      <c r="M7783" t="n">
        <v>0</v>
      </c>
      <c r="N7783" t="n">
        <v>0</v>
      </c>
      <c r="O7783" t="n">
        <v>0</v>
      </c>
      <c r="P7783" t="n">
        <v>0</v>
      </c>
      <c r="Q7783" t="n">
        <v>0</v>
      </c>
      <c r="R7783" t="n">
        <v>0</v>
      </c>
      <c r="S7783" t="n">
        <v>0</v>
      </c>
      <c r="T7783" t="n">
        <v>0</v>
      </c>
      <c r="U7783" t="n">
        <v>0</v>
      </c>
      <c r="V7783" s="2" t="inlineStr"/>
    </row>
    <row r="7784" ht="15" customHeight="1">
      <c r="A7784" t="inlineStr">
        <is>
          <t>A 4471-2026</t>
        </is>
      </c>
      <c r="B7784" t="inlineStr">
        <is>
          <t>avverkningsanmälan</t>
        </is>
      </c>
      <c r="C7784" t="inlineStr">
        <is>
          <t>Föryngringsavverkning</t>
        </is>
      </c>
      <c r="D7784" s="1" t="n">
        <v>46045</v>
      </c>
      <c r="E7784" s="1" t="n">
        <v>46326</v>
      </c>
      <c r="F7784" t="inlineStr">
        <is>
          <t>GÄVLEBORGS LÄN</t>
        </is>
      </c>
      <c r="G7784" t="inlineStr">
        <is>
          <t>HUDIKSVALL</t>
        </is>
      </c>
      <c r="I7784" t="n">
        <v>16.1</v>
      </c>
      <c r="J7784" t="n">
        <v>0</v>
      </c>
      <c r="K7784" t="n">
        <v>0</v>
      </c>
      <c r="L7784" t="n">
        <v>0</v>
      </c>
      <c r="M7784" t="n">
        <v>0</v>
      </c>
      <c r="N7784" t="n">
        <v>0</v>
      </c>
      <c r="O7784" t="n">
        <v>0</v>
      </c>
      <c r="P7784" t="n">
        <v>0</v>
      </c>
      <c r="Q7784" t="n">
        <v>0</v>
      </c>
      <c r="R7784" t="n">
        <v>0</v>
      </c>
      <c r="S7784" t="n">
        <v>0</v>
      </c>
      <c r="T7784" t="n">
        <v>0</v>
      </c>
      <c r="U7784" t="n">
        <v>0</v>
      </c>
      <c r="V7784" s="2" t="inlineStr"/>
    </row>
    <row r="7785" ht="15" customHeight="1">
      <c r="A7785" t="inlineStr">
        <is>
          <t>A 22455-2026</t>
        </is>
      </c>
      <c r="B7785" t="inlineStr">
        <is>
          <t>avverkningsanmälan</t>
        </is>
      </c>
      <c r="C7785" t="inlineStr">
        <is>
          <t>Föryngringsavverkning</t>
        </is>
      </c>
      <c r="D7785" s="1" t="n">
        <v>46155</v>
      </c>
      <c r="E7785" s="1" t="n">
        <v>46326</v>
      </c>
      <c r="F7785" t="inlineStr">
        <is>
          <t>GÄVLEBORGS LÄN</t>
        </is>
      </c>
      <c r="G7785" t="inlineStr">
        <is>
          <t>HUDIKSVALL</t>
        </is>
      </c>
      <c r="H7785" t="inlineStr">
        <is>
          <t>Holmen skog AB</t>
        </is>
      </c>
      <c r="I7785" t="n">
        <v>4.4</v>
      </c>
      <c r="J7785" t="n">
        <v>0</v>
      </c>
      <c r="K7785" t="n">
        <v>0</v>
      </c>
      <c r="L7785" t="n">
        <v>0</v>
      </c>
      <c r="M7785" t="n">
        <v>0</v>
      </c>
      <c r="N7785" t="n">
        <v>0</v>
      </c>
      <c r="O7785" t="n">
        <v>0</v>
      </c>
      <c r="P7785" t="n">
        <v>0</v>
      </c>
      <c r="Q7785" t="n">
        <v>0</v>
      </c>
      <c r="R7785" t="n">
        <v>0</v>
      </c>
      <c r="S7785" t="n">
        <v>0</v>
      </c>
      <c r="T7785" t="n">
        <v>0</v>
      </c>
      <c r="U7785" t="n">
        <v>0</v>
      </c>
      <c r="V7785" s="2" t="inlineStr"/>
    </row>
    <row r="7786" ht="15" customHeight="1">
      <c r="A7786" t="inlineStr">
        <is>
          <t>A 22494-2026</t>
        </is>
      </c>
      <c r="B7786" t="inlineStr">
        <is>
          <t>avverkningsanmälan</t>
        </is>
      </c>
      <c r="C7786" t="inlineStr">
        <is>
          <t>Föryngringsavverkning</t>
        </is>
      </c>
      <c r="D7786" s="1" t="n">
        <v>46155</v>
      </c>
      <c r="E7786" s="1" t="n">
        <v>46326</v>
      </c>
      <c r="F7786" t="inlineStr">
        <is>
          <t>GÄVLEBORGS LÄN</t>
        </is>
      </c>
      <c r="G7786" t="inlineStr">
        <is>
          <t>BOLLNÄS</t>
        </is>
      </c>
      <c r="I7786" t="n">
        <v>0.5</v>
      </c>
      <c r="J7786" t="n">
        <v>0</v>
      </c>
      <c r="K7786" t="n">
        <v>0</v>
      </c>
      <c r="L7786" t="n">
        <v>0</v>
      </c>
      <c r="M7786" t="n">
        <v>0</v>
      </c>
      <c r="N7786" t="n">
        <v>0</v>
      </c>
      <c r="O7786" t="n">
        <v>0</v>
      </c>
      <c r="P7786" t="n">
        <v>0</v>
      </c>
      <c r="Q7786" t="n">
        <v>0</v>
      </c>
      <c r="R7786" t="n">
        <v>0</v>
      </c>
      <c r="S7786" t="n">
        <v>0</v>
      </c>
      <c r="T7786" t="n">
        <v>0</v>
      </c>
      <c r="U7786" t="n">
        <v>0</v>
      </c>
      <c r="V7786" s="2" t="inlineStr"/>
    </row>
    <row r="7787" ht="15" customHeight="1">
      <c r="A7787" t="inlineStr">
        <is>
          <t>A 22500-2026</t>
        </is>
      </c>
      <c r="B7787" t="inlineStr">
        <is>
          <t>avverkningsanmälan</t>
        </is>
      </c>
      <c r="C7787" t="inlineStr">
        <is>
          <t>Föryngringsavverkning</t>
        </is>
      </c>
      <c r="D7787" s="1" t="n">
        <v>46155</v>
      </c>
      <c r="E7787" s="1" t="n">
        <v>46326</v>
      </c>
      <c r="F7787" t="inlineStr">
        <is>
          <t>GÄVLEBORGS LÄN</t>
        </is>
      </c>
      <c r="G7787" t="inlineStr">
        <is>
          <t>NORDANSTIG</t>
        </is>
      </c>
      <c r="I7787" t="n">
        <v>2.6</v>
      </c>
      <c r="J7787" t="n">
        <v>0</v>
      </c>
      <c r="K7787" t="n">
        <v>0</v>
      </c>
      <c r="L7787" t="n">
        <v>0</v>
      </c>
      <c r="M7787" t="n">
        <v>0</v>
      </c>
      <c r="N7787" t="n">
        <v>0</v>
      </c>
      <c r="O7787" t="n">
        <v>0</v>
      </c>
      <c r="P7787" t="n">
        <v>0</v>
      </c>
      <c r="Q7787" t="n">
        <v>0</v>
      </c>
      <c r="R7787" t="n">
        <v>0</v>
      </c>
      <c r="S7787" t="n">
        <v>0</v>
      </c>
      <c r="T7787" t="n">
        <v>0</v>
      </c>
      <c r="U7787" t="n">
        <v>0</v>
      </c>
      <c r="V7787" s="2" t="inlineStr"/>
    </row>
    <row r="7788" ht="15" customHeight="1">
      <c r="A7788" t="inlineStr">
        <is>
          <t>A 22554-2026</t>
        </is>
      </c>
      <c r="B7788" t="inlineStr">
        <is>
          <t>avverkningsanmälan</t>
        </is>
      </c>
      <c r="C7788" t="inlineStr">
        <is>
          <t>Föryngringsavverkning</t>
        </is>
      </c>
      <c r="D7788" s="1" t="n">
        <v>46155</v>
      </c>
      <c r="E7788" s="1" t="n">
        <v>46326</v>
      </c>
      <c r="F7788" t="inlineStr">
        <is>
          <t>GÄVLEBORGS LÄN</t>
        </is>
      </c>
      <c r="G7788" t="inlineStr">
        <is>
          <t>BOLLNÄS</t>
        </is>
      </c>
      <c r="I7788" t="n">
        <v>29.4</v>
      </c>
      <c r="J7788" t="n">
        <v>0</v>
      </c>
      <c r="K7788" t="n">
        <v>0</v>
      </c>
      <c r="L7788" t="n">
        <v>0</v>
      </c>
      <c r="M7788" t="n">
        <v>0</v>
      </c>
      <c r="N7788" t="n">
        <v>0</v>
      </c>
      <c r="O7788" t="n">
        <v>0</v>
      </c>
      <c r="P7788" t="n">
        <v>0</v>
      </c>
      <c r="Q7788" t="n">
        <v>0</v>
      </c>
      <c r="R7788" t="n">
        <v>0</v>
      </c>
      <c r="S7788" t="n">
        <v>0</v>
      </c>
      <c r="T7788" t="n">
        <v>0</v>
      </c>
      <c r="U7788" t="n">
        <v>0</v>
      </c>
      <c r="V7788" s="2" t="inlineStr"/>
    </row>
    <row r="7789" ht="15" customHeight="1">
      <c r="A7789" t="inlineStr">
        <is>
          <t>A 33389-2024</t>
        </is>
      </c>
      <c r="B7789" t="inlineStr">
        <is>
          <t>avverkningsanmälan</t>
        </is>
      </c>
      <c r="C7789" t="inlineStr">
        <is>
          <t>Föryngringsavverkning</t>
        </is>
      </c>
      <c r="D7789" s="1" t="n">
        <v>45519</v>
      </c>
      <c r="E7789" s="1" t="n">
        <v>46326</v>
      </c>
      <c r="F7789" t="inlineStr">
        <is>
          <t>GÄVLEBORGS LÄN</t>
        </is>
      </c>
      <c r="G7789" t="inlineStr">
        <is>
          <t>LJUSDAL</t>
        </is>
      </c>
      <c r="H7789" t="inlineStr">
        <is>
          <t>Sveaskog</t>
        </is>
      </c>
      <c r="I7789" t="n">
        <v>2</v>
      </c>
      <c r="J7789" t="n">
        <v>0</v>
      </c>
      <c r="K7789" t="n">
        <v>0</v>
      </c>
      <c r="L7789" t="n">
        <v>0</v>
      </c>
      <c r="M7789" t="n">
        <v>0</v>
      </c>
      <c r="N7789" t="n">
        <v>0</v>
      </c>
      <c r="O7789" t="n">
        <v>0</v>
      </c>
      <c r="P7789" t="n">
        <v>0</v>
      </c>
      <c r="Q7789" t="n">
        <v>0</v>
      </c>
      <c r="R7789" t="n">
        <v>0</v>
      </c>
      <c r="S7789" t="n">
        <v>0</v>
      </c>
      <c r="T7789" t="n">
        <v>0</v>
      </c>
      <c r="U7789" t="n">
        <v>0</v>
      </c>
      <c r="V7789" s="2" t="inlineStr"/>
    </row>
    <row r="7790" ht="15" customHeight="1">
      <c r="A7790" t="inlineStr">
        <is>
          <t>A 96-2026</t>
        </is>
      </c>
      <c r="B7790" t="inlineStr">
        <is>
          <t>avverkningsanmälan</t>
        </is>
      </c>
      <c r="C7790" t="inlineStr">
        <is>
          <t>Föryngringsavverkning</t>
        </is>
      </c>
      <c r="D7790" s="1" t="n">
        <v>46024</v>
      </c>
      <c r="E7790" s="1" t="n">
        <v>46326</v>
      </c>
      <c r="F7790" t="inlineStr">
        <is>
          <t>GÄVLEBORGS LÄN</t>
        </is>
      </c>
      <c r="G7790" t="inlineStr">
        <is>
          <t>OVANÅKER</t>
        </is>
      </c>
      <c r="I7790" t="n">
        <v>4.4</v>
      </c>
      <c r="J7790" t="n">
        <v>0</v>
      </c>
      <c r="K7790" t="n">
        <v>0</v>
      </c>
      <c r="L7790" t="n">
        <v>0</v>
      </c>
      <c r="M7790" t="n">
        <v>0</v>
      </c>
      <c r="N7790" t="n">
        <v>0</v>
      </c>
      <c r="O7790" t="n">
        <v>0</v>
      </c>
      <c r="P7790" t="n">
        <v>0</v>
      </c>
      <c r="Q7790" t="n">
        <v>0</v>
      </c>
      <c r="R7790" t="n">
        <v>0</v>
      </c>
      <c r="S7790" t="n">
        <v>0</v>
      </c>
      <c r="T7790" t="n">
        <v>0</v>
      </c>
      <c r="U7790" t="n">
        <v>0</v>
      </c>
      <c r="V7790" s="2" t="inlineStr"/>
    </row>
    <row r="7791" ht="15" customHeight="1">
      <c r="A7791" t="inlineStr">
        <is>
          <t>A 22375-2026</t>
        </is>
      </c>
      <c r="B7791" t="inlineStr">
        <is>
          <t>avverkningsanmälan</t>
        </is>
      </c>
      <c r="C7791" t="inlineStr">
        <is>
          <t>Föryngringsavverkning</t>
        </is>
      </c>
      <c r="D7791" s="1" t="n">
        <v>46154</v>
      </c>
      <c r="E7791" s="1" t="n">
        <v>46326</v>
      </c>
      <c r="F7791" t="inlineStr">
        <is>
          <t>GÄVLEBORGS LÄN</t>
        </is>
      </c>
      <c r="G7791" t="inlineStr">
        <is>
          <t>LJUSDAL</t>
        </is>
      </c>
      <c r="I7791" t="n">
        <v>2.8</v>
      </c>
      <c r="J7791" t="n">
        <v>0</v>
      </c>
      <c r="K7791" t="n">
        <v>0</v>
      </c>
      <c r="L7791" t="n">
        <v>0</v>
      </c>
      <c r="M7791" t="n">
        <v>0</v>
      </c>
      <c r="N7791" t="n">
        <v>0</v>
      </c>
      <c r="O7791" t="n">
        <v>0</v>
      </c>
      <c r="P7791" t="n">
        <v>0</v>
      </c>
      <c r="Q7791" t="n">
        <v>0</v>
      </c>
      <c r="R7791" t="n">
        <v>0</v>
      </c>
      <c r="S7791" t="n">
        <v>0</v>
      </c>
      <c r="T7791" t="n">
        <v>0</v>
      </c>
      <c r="U7791" t="n">
        <v>0</v>
      </c>
      <c r="V7791" s="2" t="inlineStr"/>
    </row>
    <row r="7792" ht="15" customHeight="1">
      <c r="A7792" t="inlineStr">
        <is>
          <t>A 47794-2024</t>
        </is>
      </c>
      <c r="B7792" t="inlineStr">
        <is>
          <t>avverkningsanmälan</t>
        </is>
      </c>
      <c r="C7792" t="inlineStr">
        <is>
          <t>Föryngringsavverkning</t>
        </is>
      </c>
      <c r="D7792" s="1" t="n">
        <v>45588</v>
      </c>
      <c r="E7792" s="1" t="n">
        <v>46326</v>
      </c>
      <c r="F7792" t="inlineStr">
        <is>
          <t>GÄVLEBORGS LÄN</t>
        </is>
      </c>
      <c r="G7792" t="inlineStr">
        <is>
          <t>SÖDERHAMN</t>
        </is>
      </c>
      <c r="I7792" t="n">
        <v>0.6</v>
      </c>
      <c r="J7792" t="n">
        <v>0</v>
      </c>
      <c r="K7792" t="n">
        <v>0</v>
      </c>
      <c r="L7792" t="n">
        <v>0</v>
      </c>
      <c r="M7792" t="n">
        <v>0</v>
      </c>
      <c r="N7792" t="n">
        <v>0</v>
      </c>
      <c r="O7792" t="n">
        <v>0</v>
      </c>
      <c r="P7792" t="n">
        <v>0</v>
      </c>
      <c r="Q7792" t="n">
        <v>0</v>
      </c>
      <c r="R7792" t="n">
        <v>0</v>
      </c>
      <c r="S7792" t="n">
        <v>0</v>
      </c>
      <c r="T7792" t="n">
        <v>0</v>
      </c>
      <c r="U7792" t="n">
        <v>0</v>
      </c>
      <c r="V7792" s="2" t="inlineStr"/>
    </row>
    <row r="7793" ht="15" customHeight="1">
      <c r="A7793" t="inlineStr">
        <is>
          <t>A 22394-2026</t>
        </is>
      </c>
      <c r="B7793" t="inlineStr">
        <is>
          <t>avverkningsanmälan</t>
        </is>
      </c>
      <c r="C7793" t="inlineStr">
        <is>
          <t>Föryngringsavverkning</t>
        </is>
      </c>
      <c r="D7793" s="1" t="n">
        <v>46154</v>
      </c>
      <c r="E7793" s="1" t="n">
        <v>46326</v>
      </c>
      <c r="F7793" t="inlineStr">
        <is>
          <t>GÄVLEBORGS LÄN</t>
        </is>
      </c>
      <c r="G7793" t="inlineStr">
        <is>
          <t>BOLLNÄS</t>
        </is>
      </c>
      <c r="I7793" t="n">
        <v>2.7</v>
      </c>
      <c r="J7793" t="n">
        <v>0</v>
      </c>
      <c r="K7793" t="n">
        <v>0</v>
      </c>
      <c r="L7793" t="n">
        <v>0</v>
      </c>
      <c r="M7793" t="n">
        <v>0</v>
      </c>
      <c r="N7793" t="n">
        <v>0</v>
      </c>
      <c r="O7793" t="n">
        <v>0</v>
      </c>
      <c r="P7793" t="n">
        <v>0</v>
      </c>
      <c r="Q7793" t="n">
        <v>0</v>
      </c>
      <c r="R7793" t="n">
        <v>0</v>
      </c>
      <c r="S7793" t="n">
        <v>0</v>
      </c>
      <c r="T7793" t="n">
        <v>0</v>
      </c>
      <c r="U7793" t="n">
        <v>0</v>
      </c>
      <c r="V7793" s="2" t="inlineStr"/>
    </row>
    <row r="7794" ht="15" customHeight="1">
      <c r="A7794" t="inlineStr">
        <is>
          <t>A 12763-2026</t>
        </is>
      </c>
      <c r="B7794" t="inlineStr">
        <is>
          <t>avverkningsanmälan</t>
        </is>
      </c>
      <c r="C7794" t="inlineStr">
        <is>
          <t>Föryngringsavverkning</t>
        </is>
      </c>
      <c r="D7794" s="1" t="n">
        <v>46091</v>
      </c>
      <c r="E7794" s="1" t="n">
        <v>46326</v>
      </c>
      <c r="F7794" t="inlineStr">
        <is>
          <t>GÄVLEBORGS LÄN</t>
        </is>
      </c>
      <c r="G7794" t="inlineStr">
        <is>
          <t>BOLLNÄS</t>
        </is>
      </c>
      <c r="I7794" t="n">
        <v>3.3</v>
      </c>
      <c r="J7794" t="n">
        <v>0</v>
      </c>
      <c r="K7794" t="n">
        <v>0</v>
      </c>
      <c r="L7794" t="n">
        <v>0</v>
      </c>
      <c r="M7794" t="n">
        <v>0</v>
      </c>
      <c r="N7794" t="n">
        <v>0</v>
      </c>
      <c r="O7794" t="n">
        <v>0</v>
      </c>
      <c r="P7794" t="n">
        <v>0</v>
      </c>
      <c r="Q7794" t="n">
        <v>0</v>
      </c>
      <c r="R7794" t="n">
        <v>0</v>
      </c>
      <c r="S7794" t="n">
        <v>0</v>
      </c>
      <c r="T7794" t="n">
        <v>0</v>
      </c>
      <c r="U7794" t="n">
        <v>0</v>
      </c>
      <c r="V7794" s="2" t="inlineStr"/>
    </row>
    <row r="7795" ht="15" customHeight="1">
      <c r="A7795" t="inlineStr">
        <is>
          <t>A 12487-2026</t>
        </is>
      </c>
      <c r="B7795" t="inlineStr">
        <is>
          <t>avverkningsanmälan</t>
        </is>
      </c>
      <c r="C7795" t="inlineStr">
        <is>
          <t>Föryngringsavverkning</t>
        </is>
      </c>
      <c r="D7795" s="1" t="n">
        <v>46090</v>
      </c>
      <c r="E7795" s="1" t="n">
        <v>46326</v>
      </c>
      <c r="F7795" t="inlineStr">
        <is>
          <t>GÄVLEBORGS LÄN</t>
        </is>
      </c>
      <c r="G7795" t="inlineStr">
        <is>
          <t>BOLLNÄS</t>
        </is>
      </c>
      <c r="H7795" t="inlineStr">
        <is>
          <t>Holmen skog AB</t>
        </is>
      </c>
      <c r="I7795" t="n">
        <v>8.199999999999999</v>
      </c>
      <c r="J7795" t="n">
        <v>0</v>
      </c>
      <c r="K7795" t="n">
        <v>0</v>
      </c>
      <c r="L7795" t="n">
        <v>0</v>
      </c>
      <c r="M7795" t="n">
        <v>0</v>
      </c>
      <c r="N7795" t="n">
        <v>0</v>
      </c>
      <c r="O7795" t="n">
        <v>0</v>
      </c>
      <c r="P7795" t="n">
        <v>0</v>
      </c>
      <c r="Q7795" t="n">
        <v>0</v>
      </c>
      <c r="R7795" t="n">
        <v>0</v>
      </c>
      <c r="S7795" t="n">
        <v>0</v>
      </c>
      <c r="T7795" t="n">
        <v>0</v>
      </c>
      <c r="U7795" t="n">
        <v>0</v>
      </c>
      <c r="V7795" s="2" t="inlineStr"/>
    </row>
    <row r="7796" ht="15" customHeight="1">
      <c r="A7796" t="inlineStr">
        <is>
          <t>A 7294-2026</t>
        </is>
      </c>
      <c r="B7796" t="inlineStr">
        <is>
          <t>avverkningsanmälan</t>
        </is>
      </c>
      <c r="C7796" t="inlineStr">
        <is>
          <t>Föryngringsavverkning</t>
        </is>
      </c>
      <c r="D7796" s="1" t="n">
        <v>46058</v>
      </c>
      <c r="E7796" s="1" t="n">
        <v>46326</v>
      </c>
      <c r="F7796" t="inlineStr">
        <is>
          <t>GÄVLEBORGS LÄN</t>
        </is>
      </c>
      <c r="G7796" t="inlineStr">
        <is>
          <t>OVANÅKER</t>
        </is>
      </c>
      <c r="I7796" t="n">
        <v>30.5</v>
      </c>
      <c r="J7796" t="n">
        <v>0</v>
      </c>
      <c r="K7796" t="n">
        <v>0</v>
      </c>
      <c r="L7796" t="n">
        <v>0</v>
      </c>
      <c r="M7796" t="n">
        <v>0</v>
      </c>
      <c r="N7796" t="n">
        <v>0</v>
      </c>
      <c r="O7796" t="n">
        <v>0</v>
      </c>
      <c r="P7796" t="n">
        <v>0</v>
      </c>
      <c r="Q7796" t="n">
        <v>0</v>
      </c>
      <c r="R7796" t="n">
        <v>0</v>
      </c>
      <c r="S7796" t="n">
        <v>0</v>
      </c>
      <c r="T7796" t="n">
        <v>0</v>
      </c>
      <c r="U7796" t="n">
        <v>0</v>
      </c>
      <c r="V7796" s="2" t="inlineStr"/>
    </row>
    <row r="7797" ht="15" customHeight="1">
      <c r="A7797" t="inlineStr">
        <is>
          <t>A 13246-2026</t>
        </is>
      </c>
      <c r="B7797" t="inlineStr">
        <is>
          <t>avverkningsanmälan</t>
        </is>
      </c>
      <c r="C7797" t="inlineStr">
        <is>
          <t>Föryngringsavverkning</t>
        </is>
      </c>
      <c r="D7797" s="1" t="n">
        <v>46093</v>
      </c>
      <c r="E7797" s="1" t="n">
        <v>46326</v>
      </c>
      <c r="F7797" t="inlineStr">
        <is>
          <t>GÄVLEBORGS LÄN</t>
        </is>
      </c>
      <c r="G7797" t="inlineStr">
        <is>
          <t>HUDIKSVALL</t>
        </is>
      </c>
      <c r="I7797" t="n">
        <v>1.4</v>
      </c>
      <c r="J7797" t="n">
        <v>0</v>
      </c>
      <c r="K7797" t="n">
        <v>0</v>
      </c>
      <c r="L7797" t="n">
        <v>0</v>
      </c>
      <c r="M7797" t="n">
        <v>0</v>
      </c>
      <c r="N7797" t="n">
        <v>0</v>
      </c>
      <c r="O7797" t="n">
        <v>0</v>
      </c>
      <c r="P7797" t="n">
        <v>0</v>
      </c>
      <c r="Q7797" t="n">
        <v>0</v>
      </c>
      <c r="R7797" t="n">
        <v>0</v>
      </c>
      <c r="S7797" t="n">
        <v>0</v>
      </c>
      <c r="T7797" t="n">
        <v>0</v>
      </c>
      <c r="U7797" t="n">
        <v>0</v>
      </c>
      <c r="V7797" s="2" t="inlineStr"/>
    </row>
    <row r="7798" ht="15" customHeight="1">
      <c r="A7798" t="inlineStr">
        <is>
          <t>A 22584-2026</t>
        </is>
      </c>
      <c r="B7798" t="inlineStr">
        <is>
          <t>avverkningsanmälan</t>
        </is>
      </c>
      <c r="C7798" t="inlineStr">
        <is>
          <t>Föryngringsavverkning</t>
        </is>
      </c>
      <c r="D7798" s="1" t="n">
        <v>46155</v>
      </c>
      <c r="E7798" s="1" t="n">
        <v>46326</v>
      </c>
      <c r="F7798" t="inlineStr">
        <is>
          <t>GÄVLEBORGS LÄN</t>
        </is>
      </c>
      <c r="G7798" t="inlineStr">
        <is>
          <t>GÄVLE</t>
        </is>
      </c>
      <c r="I7798" t="n">
        <v>3.2</v>
      </c>
      <c r="J7798" t="n">
        <v>0</v>
      </c>
      <c r="K7798" t="n">
        <v>0</v>
      </c>
      <c r="L7798" t="n">
        <v>0</v>
      </c>
      <c r="M7798" t="n">
        <v>0</v>
      </c>
      <c r="N7798" t="n">
        <v>0</v>
      </c>
      <c r="O7798" t="n">
        <v>0</v>
      </c>
      <c r="P7798" t="n">
        <v>0</v>
      </c>
      <c r="Q7798" t="n">
        <v>0</v>
      </c>
      <c r="R7798" t="n">
        <v>0</v>
      </c>
      <c r="S7798" t="n">
        <v>0</v>
      </c>
      <c r="T7798" t="n">
        <v>0</v>
      </c>
      <c r="U7798" t="n">
        <v>0</v>
      </c>
      <c r="V7798" s="2" t="inlineStr"/>
    </row>
    <row r="7799" ht="15" customHeight="1">
      <c r="A7799" t="inlineStr">
        <is>
          <t>A 25647-2024</t>
        </is>
      </c>
      <c r="B7799" t="inlineStr">
        <is>
          <t>avverkningsanmälan</t>
        </is>
      </c>
      <c r="C7799" t="inlineStr">
        <is>
          <t>Föryngringsavverkning</t>
        </is>
      </c>
      <c r="D7799" s="1" t="n">
        <v>45463</v>
      </c>
      <c r="E7799" s="1" t="n">
        <v>46326</v>
      </c>
      <c r="F7799" t="inlineStr">
        <is>
          <t>GÄVLEBORGS LÄN</t>
        </is>
      </c>
      <c r="G7799" t="inlineStr">
        <is>
          <t>HUDIKSVALL</t>
        </is>
      </c>
      <c r="H7799" t="inlineStr">
        <is>
          <t>Sveaskog</t>
        </is>
      </c>
      <c r="I7799" t="n">
        <v>7.7</v>
      </c>
      <c r="J7799" t="n">
        <v>0</v>
      </c>
      <c r="K7799" t="n">
        <v>0</v>
      </c>
      <c r="L7799" t="n">
        <v>0</v>
      </c>
      <c r="M7799" t="n">
        <v>0</v>
      </c>
      <c r="N7799" t="n">
        <v>0</v>
      </c>
      <c r="O7799" t="n">
        <v>0</v>
      </c>
      <c r="P7799" t="n">
        <v>0</v>
      </c>
      <c r="Q7799" t="n">
        <v>0</v>
      </c>
      <c r="R7799" t="n">
        <v>0</v>
      </c>
      <c r="S7799" t="n">
        <v>0</v>
      </c>
      <c r="T7799" t="n">
        <v>0</v>
      </c>
      <c r="U7799" t="n">
        <v>0</v>
      </c>
      <c r="V7799" s="2" t="inlineStr"/>
    </row>
    <row r="7800" ht="15" customHeight="1">
      <c r="A7800" t="inlineStr">
        <is>
          <t>A 22597-2026</t>
        </is>
      </c>
      <c r="B7800" t="inlineStr">
        <is>
          <t>avverkningsanmälan</t>
        </is>
      </c>
      <c r="C7800" t="inlineStr">
        <is>
          <t>Föryngringsavverkning</t>
        </is>
      </c>
      <c r="D7800" s="1" t="n">
        <v>46155</v>
      </c>
      <c r="E7800" s="1" t="n">
        <v>46326</v>
      </c>
      <c r="F7800" t="inlineStr">
        <is>
          <t>GÄVLEBORGS LÄN</t>
        </is>
      </c>
      <c r="G7800" t="inlineStr">
        <is>
          <t>OVANÅKER</t>
        </is>
      </c>
      <c r="I7800" t="n">
        <v>1</v>
      </c>
      <c r="J7800" t="n">
        <v>0</v>
      </c>
      <c r="K7800" t="n">
        <v>0</v>
      </c>
      <c r="L7800" t="n">
        <v>0</v>
      </c>
      <c r="M7800" t="n">
        <v>0</v>
      </c>
      <c r="N7800" t="n">
        <v>0</v>
      </c>
      <c r="O7800" t="n">
        <v>0</v>
      </c>
      <c r="P7800" t="n">
        <v>0</v>
      </c>
      <c r="Q7800" t="n">
        <v>0</v>
      </c>
      <c r="R7800" t="n">
        <v>0</v>
      </c>
      <c r="S7800" t="n">
        <v>0</v>
      </c>
      <c r="T7800" t="n">
        <v>0</v>
      </c>
      <c r="U7800" t="n">
        <v>0</v>
      </c>
      <c r="V7800" s="2" t="inlineStr"/>
    </row>
    <row r="7801" ht="15" customHeight="1">
      <c r="A7801" t="inlineStr">
        <is>
          <t>A 17283-2026</t>
        </is>
      </c>
      <c r="B7801" t="inlineStr">
        <is>
          <t>avverkningsanmälan</t>
        </is>
      </c>
      <c r="C7801" t="inlineStr">
        <is>
          <t>Föryngringsavverkning</t>
        </is>
      </c>
      <c r="D7801" s="1" t="n">
        <v>46119</v>
      </c>
      <c r="E7801" s="1" t="n">
        <v>46326</v>
      </c>
      <c r="F7801" t="inlineStr">
        <is>
          <t>GÄVLEBORGS LÄN</t>
        </is>
      </c>
      <c r="G7801" t="inlineStr">
        <is>
          <t>NORDANSTIG</t>
        </is>
      </c>
      <c r="I7801" t="n">
        <v>3.3</v>
      </c>
      <c r="J7801" t="n">
        <v>0</v>
      </c>
      <c r="K7801" t="n">
        <v>0</v>
      </c>
      <c r="L7801" t="n">
        <v>0</v>
      </c>
      <c r="M7801" t="n">
        <v>0</v>
      </c>
      <c r="N7801" t="n">
        <v>0</v>
      </c>
      <c r="O7801" t="n">
        <v>0</v>
      </c>
      <c r="P7801" t="n">
        <v>0</v>
      </c>
      <c r="Q7801" t="n">
        <v>0</v>
      </c>
      <c r="R7801" t="n">
        <v>0</v>
      </c>
      <c r="S7801" t="n">
        <v>0</v>
      </c>
      <c r="T7801" t="n">
        <v>0</v>
      </c>
      <c r="U7801" t="n">
        <v>0</v>
      </c>
      <c r="V7801" s="2" t="inlineStr"/>
    </row>
    <row r="7802" ht="15" customHeight="1">
      <c r="A7802" t="inlineStr">
        <is>
          <t>A 17300-2026</t>
        </is>
      </c>
      <c r="B7802" t="inlineStr">
        <is>
          <t>avverkningsanmälan</t>
        </is>
      </c>
      <c r="C7802" t="inlineStr">
        <is>
          <t>Föryngringsavverkning</t>
        </is>
      </c>
      <c r="D7802" s="1" t="n">
        <v>46119</v>
      </c>
      <c r="E7802" s="1" t="n">
        <v>46326</v>
      </c>
      <c r="F7802" t="inlineStr">
        <is>
          <t>GÄVLEBORGS LÄN</t>
        </is>
      </c>
      <c r="G7802" t="inlineStr">
        <is>
          <t>GÄVLE</t>
        </is>
      </c>
      <c r="I7802" t="n">
        <v>1.2</v>
      </c>
      <c r="J7802" t="n">
        <v>0</v>
      </c>
      <c r="K7802" t="n">
        <v>0</v>
      </c>
      <c r="L7802" t="n">
        <v>0</v>
      </c>
      <c r="M7802" t="n">
        <v>0</v>
      </c>
      <c r="N7802" t="n">
        <v>0</v>
      </c>
      <c r="O7802" t="n">
        <v>0</v>
      </c>
      <c r="P7802" t="n">
        <v>0</v>
      </c>
      <c r="Q7802" t="n">
        <v>0</v>
      </c>
      <c r="R7802" t="n">
        <v>0</v>
      </c>
      <c r="S7802" t="n">
        <v>0</v>
      </c>
      <c r="T7802" t="n">
        <v>0</v>
      </c>
      <c r="U7802" t="n">
        <v>0</v>
      </c>
      <c r="V7802" s="2" t="inlineStr"/>
    </row>
    <row r="7803" ht="15" customHeight="1">
      <c r="A7803" t="inlineStr">
        <is>
          <t>A 22532-2026</t>
        </is>
      </c>
      <c r="B7803" t="inlineStr">
        <is>
          <t>avverkningsanmälan</t>
        </is>
      </c>
      <c r="C7803" t="inlineStr">
        <is>
          <t>Föryngringsavverkning</t>
        </is>
      </c>
      <c r="D7803" s="1" t="n">
        <v>46155</v>
      </c>
      <c r="E7803" s="1" t="n">
        <v>46326</v>
      </c>
      <c r="F7803" t="inlineStr">
        <is>
          <t>GÄVLEBORGS LÄN</t>
        </is>
      </c>
      <c r="G7803" t="inlineStr">
        <is>
          <t>BOLLNÄS</t>
        </is>
      </c>
      <c r="I7803" t="n">
        <v>10.6</v>
      </c>
      <c r="J7803" t="n">
        <v>0</v>
      </c>
      <c r="K7803" t="n">
        <v>0</v>
      </c>
      <c r="L7803" t="n">
        <v>0</v>
      </c>
      <c r="M7803" t="n">
        <v>0</v>
      </c>
      <c r="N7803" t="n">
        <v>0</v>
      </c>
      <c r="O7803" t="n">
        <v>0</v>
      </c>
      <c r="P7803" t="n">
        <v>0</v>
      </c>
      <c r="Q7803" t="n">
        <v>0</v>
      </c>
      <c r="R7803" t="n">
        <v>0</v>
      </c>
      <c r="S7803" t="n">
        <v>0</v>
      </c>
      <c r="T7803" t="n">
        <v>0</v>
      </c>
      <c r="U7803" t="n">
        <v>0</v>
      </c>
      <c r="V7803" s="2" t="inlineStr"/>
    </row>
    <row r="7804" ht="15" customHeight="1">
      <c r="A7804" t="inlineStr">
        <is>
          <t>A 12474-2026</t>
        </is>
      </c>
      <c r="B7804" t="inlineStr">
        <is>
          <t>avverkningsanmälan</t>
        </is>
      </c>
      <c r="C7804" t="inlineStr">
        <is>
          <t>Föryngringsavverkning</t>
        </is>
      </c>
      <c r="D7804" s="1" t="n">
        <v>46090</v>
      </c>
      <c r="E7804" s="1" t="n">
        <v>46326</v>
      </c>
      <c r="F7804" t="inlineStr">
        <is>
          <t>GÄVLEBORGS LÄN</t>
        </is>
      </c>
      <c r="G7804" t="inlineStr">
        <is>
          <t>HUDIKSVALL</t>
        </is>
      </c>
      <c r="H7804" t="inlineStr">
        <is>
          <t>Naturvårdsverket</t>
        </is>
      </c>
      <c r="I7804" t="n">
        <v>6.3</v>
      </c>
      <c r="J7804" t="n">
        <v>0</v>
      </c>
      <c r="K7804" t="n">
        <v>0</v>
      </c>
      <c r="L7804" t="n">
        <v>0</v>
      </c>
      <c r="M7804" t="n">
        <v>0</v>
      </c>
      <c r="N7804" t="n">
        <v>0</v>
      </c>
      <c r="O7804" t="n">
        <v>0</v>
      </c>
      <c r="P7804" t="n">
        <v>0</v>
      </c>
      <c r="Q7804" t="n">
        <v>0</v>
      </c>
      <c r="R7804" t="n">
        <v>0</v>
      </c>
      <c r="S7804" t="n">
        <v>0</v>
      </c>
      <c r="T7804" t="n">
        <v>0</v>
      </c>
      <c r="U7804" t="n">
        <v>0</v>
      </c>
      <c r="V7804" s="2" t="inlineStr"/>
    </row>
    <row r="7805" ht="15" customHeight="1">
      <c r="A7805" t="inlineStr">
        <is>
          <t>A 12869-2026</t>
        </is>
      </c>
      <c r="B7805" t="inlineStr">
        <is>
          <t>avverkningsanmälan</t>
        </is>
      </c>
      <c r="C7805" t="inlineStr">
        <is>
          <t>Föryngringsavverkning</t>
        </is>
      </c>
      <c r="D7805" s="1" t="n">
        <v>46092</v>
      </c>
      <c r="E7805" s="1" t="n">
        <v>46326</v>
      </c>
      <c r="F7805" t="inlineStr">
        <is>
          <t>GÄVLEBORGS LÄN</t>
        </is>
      </c>
      <c r="G7805" t="inlineStr">
        <is>
          <t>BOLLNÄS</t>
        </is>
      </c>
      <c r="I7805" t="n">
        <v>3.5</v>
      </c>
      <c r="J7805" t="n">
        <v>0</v>
      </c>
      <c r="K7805" t="n">
        <v>0</v>
      </c>
      <c r="L7805" t="n">
        <v>0</v>
      </c>
      <c r="M7805" t="n">
        <v>0</v>
      </c>
      <c r="N7805" t="n">
        <v>0</v>
      </c>
      <c r="O7805" t="n">
        <v>0</v>
      </c>
      <c r="P7805" t="n">
        <v>0</v>
      </c>
      <c r="Q7805" t="n">
        <v>0</v>
      </c>
      <c r="R7805" t="n">
        <v>0</v>
      </c>
      <c r="S7805" t="n">
        <v>0</v>
      </c>
      <c r="T7805" t="n">
        <v>0</v>
      </c>
      <c r="U7805" t="n">
        <v>0</v>
      </c>
      <c r="V7805" s="2" t="inlineStr"/>
    </row>
    <row r="7806" ht="15" customHeight="1">
      <c r="A7806" t="inlineStr">
        <is>
          <t>A 1198-2024</t>
        </is>
      </c>
      <c r="B7806" t="inlineStr">
        <is>
          <t>avverkningsanmälan</t>
        </is>
      </c>
      <c r="C7806" t="inlineStr">
        <is>
          <t>Föryngringsavverkning</t>
        </is>
      </c>
      <c r="D7806" s="1" t="n">
        <v>45302</v>
      </c>
      <c r="E7806" s="1" t="n">
        <v>46326</v>
      </c>
      <c r="F7806" t="inlineStr">
        <is>
          <t>GÄVLEBORGS LÄN</t>
        </is>
      </c>
      <c r="G7806" t="inlineStr">
        <is>
          <t>OVANÅKER</t>
        </is>
      </c>
      <c r="H7806" t="inlineStr">
        <is>
          <t>Bergvik skog väst AB</t>
        </is>
      </c>
      <c r="I7806" t="n">
        <v>0.6</v>
      </c>
      <c r="J7806" t="n">
        <v>0</v>
      </c>
      <c r="K7806" t="n">
        <v>0</v>
      </c>
      <c r="L7806" t="n">
        <v>0</v>
      </c>
      <c r="M7806" t="n">
        <v>0</v>
      </c>
      <c r="N7806" t="n">
        <v>0</v>
      </c>
      <c r="O7806" t="n">
        <v>0</v>
      </c>
      <c r="P7806" t="n">
        <v>0</v>
      </c>
      <c r="Q7806" t="n">
        <v>0</v>
      </c>
      <c r="R7806" t="n">
        <v>0</v>
      </c>
      <c r="S7806" t="n">
        <v>0</v>
      </c>
      <c r="T7806" t="n">
        <v>0</v>
      </c>
      <c r="U7806" t="n">
        <v>0</v>
      </c>
      <c r="V7806" s="2" t="inlineStr"/>
    </row>
    <row r="7807" ht="15" customHeight="1">
      <c r="A7807" t="inlineStr">
        <is>
          <t>A 8203-2026</t>
        </is>
      </c>
      <c r="B7807" t="inlineStr">
        <is>
          <t>avverkningsanmälan</t>
        </is>
      </c>
      <c r="C7807" t="inlineStr">
        <is>
          <t>Föryngringsavverkning</t>
        </is>
      </c>
      <c r="D7807" s="1" t="n">
        <v>46064</v>
      </c>
      <c r="E7807" s="1" t="n">
        <v>46326</v>
      </c>
      <c r="F7807" t="inlineStr">
        <is>
          <t>GÄVLEBORGS LÄN</t>
        </is>
      </c>
      <c r="G7807" t="inlineStr">
        <is>
          <t>BOLLNÄS</t>
        </is>
      </c>
      <c r="I7807" t="n">
        <v>1.2</v>
      </c>
      <c r="J7807" t="n">
        <v>0</v>
      </c>
      <c r="K7807" t="n">
        <v>0</v>
      </c>
      <c r="L7807" t="n">
        <v>0</v>
      </c>
      <c r="M7807" t="n">
        <v>0</v>
      </c>
      <c r="N7807" t="n">
        <v>0</v>
      </c>
      <c r="O7807" t="n">
        <v>0</v>
      </c>
      <c r="P7807" t="n">
        <v>0</v>
      </c>
      <c r="Q7807" t="n">
        <v>0</v>
      </c>
      <c r="R7807" t="n">
        <v>0</v>
      </c>
      <c r="S7807" t="n">
        <v>0</v>
      </c>
      <c r="T7807" t="n">
        <v>0</v>
      </c>
      <c r="U7807" t="n">
        <v>0</v>
      </c>
      <c r="V7807" s="2" t="inlineStr"/>
    </row>
    <row r="7808" ht="15" customHeight="1">
      <c r="A7808" t="inlineStr">
        <is>
          <t>A 22637-2026</t>
        </is>
      </c>
      <c r="B7808" t="inlineStr">
        <is>
          <t>avverkningsanmälan</t>
        </is>
      </c>
      <c r="C7808" t="inlineStr">
        <is>
          <t>Föryngringsavverkning</t>
        </is>
      </c>
      <c r="D7808" s="1" t="n">
        <v>46155</v>
      </c>
      <c r="E7808" s="1" t="n">
        <v>46326</v>
      </c>
      <c r="F7808" t="inlineStr">
        <is>
          <t>GÄVLEBORGS LÄN</t>
        </is>
      </c>
      <c r="G7808" t="inlineStr">
        <is>
          <t>OVANÅKER</t>
        </is>
      </c>
      <c r="I7808" t="n">
        <v>1.4</v>
      </c>
      <c r="J7808" t="n">
        <v>0</v>
      </c>
      <c r="K7808" t="n">
        <v>0</v>
      </c>
      <c r="L7808" t="n">
        <v>0</v>
      </c>
      <c r="M7808" t="n">
        <v>0</v>
      </c>
      <c r="N7808" t="n">
        <v>0</v>
      </c>
      <c r="O7808" t="n">
        <v>0</v>
      </c>
      <c r="P7808" t="n">
        <v>0</v>
      </c>
      <c r="Q7808" t="n">
        <v>0</v>
      </c>
      <c r="R7808" t="n">
        <v>0</v>
      </c>
      <c r="S7808" t="n">
        <v>0</v>
      </c>
      <c r="T7808" t="n">
        <v>0</v>
      </c>
      <c r="U7808" t="n">
        <v>0</v>
      </c>
      <c r="V7808" s="2" t="inlineStr"/>
    </row>
    <row r="7809" ht="15" customHeight="1">
      <c r="A7809" t="inlineStr">
        <is>
          <t>A 16012-2026</t>
        </is>
      </c>
      <c r="B7809" t="inlineStr">
        <is>
          <t>avverkningsanmälan</t>
        </is>
      </c>
      <c r="C7809" t="inlineStr">
        <is>
          <t>Föryngringsavverkning</t>
        </is>
      </c>
      <c r="D7809" s="1" t="n">
        <v>46108</v>
      </c>
      <c r="E7809" s="1" t="n">
        <v>46326</v>
      </c>
      <c r="F7809" t="inlineStr">
        <is>
          <t>GÄVLEBORGS LÄN</t>
        </is>
      </c>
      <c r="G7809" t="inlineStr">
        <is>
          <t>SANDVIKEN</t>
        </is>
      </c>
      <c r="H7809" t="inlineStr">
        <is>
          <t>Kommuner</t>
        </is>
      </c>
      <c r="I7809" t="n">
        <v>3.4</v>
      </c>
      <c r="J7809" t="n">
        <v>0</v>
      </c>
      <c r="K7809" t="n">
        <v>0</v>
      </c>
      <c r="L7809" t="n">
        <v>0</v>
      </c>
      <c r="M7809" t="n">
        <v>0</v>
      </c>
      <c r="N7809" t="n">
        <v>0</v>
      </c>
      <c r="O7809" t="n">
        <v>0</v>
      </c>
      <c r="P7809" t="n">
        <v>0</v>
      </c>
      <c r="Q7809" t="n">
        <v>0</v>
      </c>
      <c r="R7809" t="n">
        <v>0</v>
      </c>
      <c r="S7809" t="n">
        <v>0</v>
      </c>
      <c r="T7809" t="n">
        <v>0</v>
      </c>
      <c r="U7809" t="n">
        <v>0</v>
      </c>
      <c r="V7809" s="2" t="inlineStr"/>
    </row>
    <row r="7810" ht="15" customHeight="1">
      <c r="A7810" t="inlineStr">
        <is>
          <t>A 48593-2024</t>
        </is>
      </c>
      <c r="B7810" t="inlineStr">
        <is>
          <t>avverkningsanmälan</t>
        </is>
      </c>
      <c r="C7810" t="inlineStr">
        <is>
          <t>Föryngringsavverkning</t>
        </is>
      </c>
      <c r="D7810" s="1" t="n">
        <v>45593</v>
      </c>
      <c r="E7810" s="1" t="n">
        <v>46326</v>
      </c>
      <c r="F7810" t="inlineStr">
        <is>
          <t>GÄVLEBORGS LÄN</t>
        </is>
      </c>
      <c r="G7810" t="inlineStr">
        <is>
          <t>HUDIKSVALL</t>
        </is>
      </c>
      <c r="I7810" t="n">
        <v>0.5</v>
      </c>
      <c r="J7810" t="n">
        <v>0</v>
      </c>
      <c r="K7810" t="n">
        <v>0</v>
      </c>
      <c r="L7810" t="n">
        <v>0</v>
      </c>
      <c r="M7810" t="n">
        <v>0</v>
      </c>
      <c r="N7810" t="n">
        <v>0</v>
      </c>
      <c r="O7810" t="n">
        <v>0</v>
      </c>
      <c r="P7810" t="n">
        <v>0</v>
      </c>
      <c r="Q7810" t="n">
        <v>0</v>
      </c>
      <c r="R7810" t="n">
        <v>0</v>
      </c>
      <c r="S7810" t="n">
        <v>0</v>
      </c>
      <c r="T7810" t="n">
        <v>0</v>
      </c>
      <c r="U7810" t="n">
        <v>0</v>
      </c>
      <c r="V7810" s="2" t="inlineStr"/>
    </row>
    <row r="7811" ht="15" customHeight="1">
      <c r="A7811" t="inlineStr">
        <is>
          <t>A 15158-2026</t>
        </is>
      </c>
      <c r="B7811" t="inlineStr">
        <is>
          <t>avverkningsanmälan</t>
        </is>
      </c>
      <c r="C7811" t="inlineStr">
        <is>
          <t>Föryngringsavverkning</t>
        </is>
      </c>
      <c r="D7811" s="1" t="n">
        <v>46105</v>
      </c>
      <c r="E7811" s="1" t="n">
        <v>46326</v>
      </c>
      <c r="F7811" t="inlineStr">
        <is>
          <t>GÄVLEBORGS LÄN</t>
        </is>
      </c>
      <c r="G7811" t="inlineStr">
        <is>
          <t>GÄVLE</t>
        </is>
      </c>
      <c r="H7811" t="inlineStr">
        <is>
          <t>Bergvik skog öst AB</t>
        </is>
      </c>
      <c r="I7811" t="n">
        <v>0.6</v>
      </c>
      <c r="J7811" t="n">
        <v>0</v>
      </c>
      <c r="K7811" t="n">
        <v>0</v>
      </c>
      <c r="L7811" t="n">
        <v>0</v>
      </c>
      <c r="M7811" t="n">
        <v>0</v>
      </c>
      <c r="N7811" t="n">
        <v>0</v>
      </c>
      <c r="O7811" t="n">
        <v>0</v>
      </c>
      <c r="P7811" t="n">
        <v>0</v>
      </c>
      <c r="Q7811" t="n">
        <v>0</v>
      </c>
      <c r="R7811" t="n">
        <v>0</v>
      </c>
      <c r="S7811" t="n">
        <v>0</v>
      </c>
      <c r="T7811" t="n">
        <v>0</v>
      </c>
      <c r="U7811" t="n">
        <v>0</v>
      </c>
      <c r="V7811" s="2" t="inlineStr"/>
    </row>
    <row r="7812" ht="15" customHeight="1">
      <c r="A7812" t="inlineStr">
        <is>
          <t>A 13608-2026</t>
        </is>
      </c>
      <c r="B7812" t="inlineStr">
        <is>
          <t>avverkningsanmälan</t>
        </is>
      </c>
      <c r="C7812" t="inlineStr">
        <is>
          <t>Föryngringsavverkning</t>
        </is>
      </c>
      <c r="D7812" s="1" t="n">
        <v>46097</v>
      </c>
      <c r="E7812" s="1" t="n">
        <v>46326</v>
      </c>
      <c r="F7812" t="inlineStr">
        <is>
          <t>GÄVLEBORGS LÄN</t>
        </is>
      </c>
      <c r="G7812" t="inlineStr">
        <is>
          <t>HUDIKSVALL</t>
        </is>
      </c>
      <c r="I7812" t="n">
        <v>1.6</v>
      </c>
      <c r="J7812" t="n">
        <v>0</v>
      </c>
      <c r="K7812" t="n">
        <v>0</v>
      </c>
      <c r="L7812" t="n">
        <v>0</v>
      </c>
      <c r="M7812" t="n">
        <v>0</v>
      </c>
      <c r="N7812" t="n">
        <v>0</v>
      </c>
      <c r="O7812" t="n">
        <v>0</v>
      </c>
      <c r="P7812" t="n">
        <v>0</v>
      </c>
      <c r="Q7812" t="n">
        <v>0</v>
      </c>
      <c r="R7812" t="n">
        <v>0</v>
      </c>
      <c r="S7812" t="n">
        <v>0</v>
      </c>
      <c r="T7812" t="n">
        <v>0</v>
      </c>
      <c r="U7812" t="n">
        <v>0</v>
      </c>
      <c r="V7812" s="2" t="inlineStr"/>
    </row>
    <row r="7813" ht="15" customHeight="1">
      <c r="A7813" t="inlineStr">
        <is>
          <t>A 22545-2026</t>
        </is>
      </c>
      <c r="B7813" t="inlineStr">
        <is>
          <t>avverkningsanmälan</t>
        </is>
      </c>
      <c r="C7813" t="inlineStr">
        <is>
          <t>Föryngringsavverkning</t>
        </is>
      </c>
      <c r="D7813" s="1" t="n">
        <v>46155</v>
      </c>
      <c r="E7813" s="1" t="n">
        <v>46326</v>
      </c>
      <c r="F7813" t="inlineStr">
        <is>
          <t>GÄVLEBORGS LÄN</t>
        </is>
      </c>
      <c r="G7813" t="inlineStr">
        <is>
          <t>GÄVLE</t>
        </is>
      </c>
      <c r="H7813" t="inlineStr">
        <is>
          <t>Kyrkan</t>
        </is>
      </c>
      <c r="I7813" t="n">
        <v>10.1</v>
      </c>
      <c r="J7813" t="n">
        <v>0</v>
      </c>
      <c r="K7813" t="n">
        <v>0</v>
      </c>
      <c r="L7813" t="n">
        <v>0</v>
      </c>
      <c r="M7813" t="n">
        <v>0</v>
      </c>
      <c r="N7813" t="n">
        <v>0</v>
      </c>
      <c r="O7813" t="n">
        <v>0</v>
      </c>
      <c r="P7813" t="n">
        <v>0</v>
      </c>
      <c r="Q7813" t="n">
        <v>0</v>
      </c>
      <c r="R7813" t="n">
        <v>0</v>
      </c>
      <c r="S7813" t="n">
        <v>0</v>
      </c>
      <c r="T7813" t="n">
        <v>0</v>
      </c>
      <c r="U7813" t="n">
        <v>0</v>
      </c>
      <c r="V7813" s="2" t="inlineStr"/>
    </row>
    <row r="7814" ht="15" customHeight="1">
      <c r="A7814" t="inlineStr">
        <is>
          <t>A 47876-2023</t>
        </is>
      </c>
      <c r="B7814" t="inlineStr">
        <is>
          <t>avverkningsanmälan</t>
        </is>
      </c>
      <c r="C7814" t="inlineStr">
        <is>
          <t>Avverkning för annat ändamål</t>
        </is>
      </c>
      <c r="D7814" s="1" t="n">
        <v>45204</v>
      </c>
      <c r="E7814" s="1" t="n">
        <v>46326</v>
      </c>
      <c r="F7814" t="inlineStr">
        <is>
          <t>GÄVLEBORGS LÄN</t>
        </is>
      </c>
      <c r="G7814" t="inlineStr">
        <is>
          <t>NORDANSTIG</t>
        </is>
      </c>
      <c r="I7814" t="n">
        <v>0.6</v>
      </c>
      <c r="J7814" t="n">
        <v>0</v>
      </c>
      <c r="K7814" t="n">
        <v>0</v>
      </c>
      <c r="L7814" t="n">
        <v>0</v>
      </c>
      <c r="M7814" t="n">
        <v>0</v>
      </c>
      <c r="N7814" t="n">
        <v>0</v>
      </c>
      <c r="O7814" t="n">
        <v>0</v>
      </c>
      <c r="P7814" t="n">
        <v>0</v>
      </c>
      <c r="Q7814" t="n">
        <v>0</v>
      </c>
      <c r="R7814" t="n">
        <v>0</v>
      </c>
      <c r="S7814" t="n">
        <v>0</v>
      </c>
      <c r="T7814" t="n">
        <v>0</v>
      </c>
      <c r="U7814" t="n">
        <v>0</v>
      </c>
      <c r="V7814" s="2" t="inlineStr"/>
    </row>
    <row r="7815" ht="15" customHeight="1">
      <c r="A7815" t="inlineStr">
        <is>
          <t>A 38251-2022</t>
        </is>
      </c>
      <c r="B7815" t="inlineStr">
        <is>
          <t>avverkningsanmälan</t>
        </is>
      </c>
      <c r="C7815" t="inlineStr">
        <is>
          <t>Föryngringsavverkning</t>
        </is>
      </c>
      <c r="D7815" s="1" t="n">
        <v>44812</v>
      </c>
      <c r="E7815" s="1" t="n">
        <v>46326</v>
      </c>
      <c r="F7815" t="inlineStr">
        <is>
          <t>GÄVLEBORGS LÄN</t>
        </is>
      </c>
      <c r="G7815" t="inlineStr">
        <is>
          <t>HOFORS</t>
        </is>
      </c>
      <c r="I7815" t="n">
        <v>3.5</v>
      </c>
      <c r="J7815" t="n">
        <v>0</v>
      </c>
      <c r="K7815" t="n">
        <v>0</v>
      </c>
      <c r="L7815" t="n">
        <v>0</v>
      </c>
      <c r="M7815" t="n">
        <v>0</v>
      </c>
      <c r="N7815" t="n">
        <v>0</v>
      </c>
      <c r="O7815" t="n">
        <v>0</v>
      </c>
      <c r="P7815" t="n">
        <v>0</v>
      </c>
      <c r="Q7815" t="n">
        <v>0</v>
      </c>
      <c r="R7815" t="n">
        <v>0</v>
      </c>
      <c r="S7815" t="n">
        <v>0</v>
      </c>
      <c r="T7815" t="n">
        <v>0</v>
      </c>
      <c r="U7815" t="n">
        <v>0</v>
      </c>
      <c r="V7815" s="2" t="inlineStr"/>
    </row>
    <row r="7816" ht="15" customHeight="1">
      <c r="A7816" t="inlineStr">
        <is>
          <t>A 13938-2026</t>
        </is>
      </c>
      <c r="B7816" t="inlineStr">
        <is>
          <t>avverkningsanmälan</t>
        </is>
      </c>
      <c r="C7816" t="inlineStr">
        <is>
          <t>Föryngringsavverkning</t>
        </is>
      </c>
      <c r="D7816" s="1" t="n">
        <v>46098</v>
      </c>
      <c r="E7816" s="1" t="n">
        <v>46326</v>
      </c>
      <c r="F7816" t="inlineStr">
        <is>
          <t>GÄVLEBORGS LÄN</t>
        </is>
      </c>
      <c r="G7816" t="inlineStr">
        <is>
          <t>OVANÅKER</t>
        </is>
      </c>
      <c r="I7816" t="n">
        <v>3.2</v>
      </c>
      <c r="J7816" t="n">
        <v>0</v>
      </c>
      <c r="K7816" t="n">
        <v>0</v>
      </c>
      <c r="L7816" t="n">
        <v>0</v>
      </c>
      <c r="M7816" t="n">
        <v>0</v>
      </c>
      <c r="N7816" t="n">
        <v>0</v>
      </c>
      <c r="O7816" t="n">
        <v>0</v>
      </c>
      <c r="P7816" t="n">
        <v>0</v>
      </c>
      <c r="Q7816" t="n">
        <v>0</v>
      </c>
      <c r="R7816" t="n">
        <v>0</v>
      </c>
      <c r="S7816" t="n">
        <v>0</v>
      </c>
      <c r="T7816" t="n">
        <v>0</v>
      </c>
      <c r="U7816" t="n">
        <v>0</v>
      </c>
      <c r="V7816" s="2" t="inlineStr"/>
    </row>
    <row r="7817" ht="15" customHeight="1">
      <c r="A7817" t="inlineStr">
        <is>
          <t>A 11089-2026</t>
        </is>
      </c>
      <c r="B7817" t="inlineStr">
        <is>
          <t>avverkningsanmälan</t>
        </is>
      </c>
      <c r="C7817" t="inlineStr">
        <is>
          <t>Föryngringsavverkning</t>
        </is>
      </c>
      <c r="D7817" s="1" t="n">
        <v>46079</v>
      </c>
      <c r="E7817" s="1" t="n">
        <v>46326</v>
      </c>
      <c r="F7817" t="inlineStr">
        <is>
          <t>GÄVLEBORGS LÄN</t>
        </is>
      </c>
      <c r="G7817" t="inlineStr">
        <is>
          <t>SANDVIKEN</t>
        </is>
      </c>
      <c r="I7817" t="n">
        <v>0.9</v>
      </c>
      <c r="J7817" t="n">
        <v>0</v>
      </c>
      <c r="K7817" t="n">
        <v>0</v>
      </c>
      <c r="L7817" t="n">
        <v>0</v>
      </c>
      <c r="M7817" t="n">
        <v>0</v>
      </c>
      <c r="N7817" t="n">
        <v>0</v>
      </c>
      <c r="O7817" t="n">
        <v>0</v>
      </c>
      <c r="P7817" t="n">
        <v>0</v>
      </c>
      <c r="Q7817" t="n">
        <v>0</v>
      </c>
      <c r="R7817" t="n">
        <v>0</v>
      </c>
      <c r="S7817" t="n">
        <v>0</v>
      </c>
      <c r="T7817" t="n">
        <v>0</v>
      </c>
      <c r="U7817" t="n">
        <v>0</v>
      </c>
      <c r="V7817" s="2" t="inlineStr"/>
    </row>
    <row r="7818" ht="15" customHeight="1">
      <c r="A7818" t="inlineStr">
        <is>
          <t>A 3034-2025</t>
        </is>
      </c>
      <c r="B7818" t="inlineStr">
        <is>
          <t>avverkningsanmälan</t>
        </is>
      </c>
      <c r="C7818" t="inlineStr">
        <is>
          <t>Föryngringsavverkning</t>
        </is>
      </c>
      <c r="D7818" s="1" t="n">
        <v>45678</v>
      </c>
      <c r="E7818" s="1" t="n">
        <v>46326</v>
      </c>
      <c r="F7818" t="inlineStr">
        <is>
          <t>GÄVLEBORGS LÄN</t>
        </is>
      </c>
      <c r="G7818" t="inlineStr">
        <is>
          <t>OCKELBO</t>
        </is>
      </c>
      <c r="I7818" t="n">
        <v>8.1</v>
      </c>
      <c r="J7818" t="n">
        <v>0</v>
      </c>
      <c r="K7818" t="n">
        <v>0</v>
      </c>
      <c r="L7818" t="n">
        <v>0</v>
      </c>
      <c r="M7818" t="n">
        <v>0</v>
      </c>
      <c r="N7818" t="n">
        <v>0</v>
      </c>
      <c r="O7818" t="n">
        <v>0</v>
      </c>
      <c r="P7818" t="n">
        <v>0</v>
      </c>
      <c r="Q7818" t="n">
        <v>0</v>
      </c>
      <c r="R7818" t="n">
        <v>0</v>
      </c>
      <c r="S7818" t="n">
        <v>0</v>
      </c>
      <c r="T7818" t="n">
        <v>0</v>
      </c>
      <c r="U7818" t="n">
        <v>0</v>
      </c>
      <c r="V7818" s="2" t="inlineStr"/>
    </row>
    <row r="7819" ht="15" customHeight="1">
      <c r="A7819" t="inlineStr">
        <is>
          <t>A 40811-2022</t>
        </is>
      </c>
      <c r="B7819" t="inlineStr">
        <is>
          <t>avverkningsanmälan</t>
        </is>
      </c>
      <c r="C7819" t="inlineStr">
        <is>
          <t>Föryngringsavverkning</t>
        </is>
      </c>
      <c r="D7819" s="1" t="n">
        <v>44824</v>
      </c>
      <c r="E7819" s="1" t="n">
        <v>46326</v>
      </c>
      <c r="F7819" t="inlineStr">
        <is>
          <t>GÄVLEBORGS LÄN</t>
        </is>
      </c>
      <c r="G7819" t="inlineStr">
        <is>
          <t>SÖDERHAMN</t>
        </is>
      </c>
      <c r="I7819" t="n">
        <v>2.8</v>
      </c>
      <c r="J7819" t="n">
        <v>0</v>
      </c>
      <c r="K7819" t="n">
        <v>0</v>
      </c>
      <c r="L7819" t="n">
        <v>0</v>
      </c>
      <c r="M7819" t="n">
        <v>0</v>
      </c>
      <c r="N7819" t="n">
        <v>0</v>
      </c>
      <c r="O7819" t="n">
        <v>0</v>
      </c>
      <c r="P7819" t="n">
        <v>0</v>
      </c>
      <c r="Q7819" t="n">
        <v>0</v>
      </c>
      <c r="R7819" t="n">
        <v>0</v>
      </c>
      <c r="S7819" t="n">
        <v>0</v>
      </c>
      <c r="T7819" t="n">
        <v>0</v>
      </c>
      <c r="U7819" t="n">
        <v>0</v>
      </c>
      <c r="V7819" s="2" t="inlineStr"/>
    </row>
    <row r="7820" ht="15" customHeight="1">
      <c r="A7820" t="inlineStr">
        <is>
          <t>A 62215-2022</t>
        </is>
      </c>
      <c r="B7820" t="inlineStr">
        <is>
          <t>avverkningsanmälan</t>
        </is>
      </c>
      <c r="C7820" t="inlineStr">
        <is>
          <t>Föryngringsavverkning</t>
        </is>
      </c>
      <c r="D7820" s="1" t="n">
        <v>44922</v>
      </c>
      <c r="E7820" s="1" t="n">
        <v>46326</v>
      </c>
      <c r="F7820" t="inlineStr">
        <is>
          <t>GÄVLEBORGS LÄN</t>
        </is>
      </c>
      <c r="G7820" t="inlineStr">
        <is>
          <t>OVANÅKER</t>
        </is>
      </c>
      <c r="I7820" t="n">
        <v>0.4</v>
      </c>
      <c r="J7820" t="n">
        <v>0</v>
      </c>
      <c r="K7820" t="n">
        <v>0</v>
      </c>
      <c r="L7820" t="n">
        <v>0</v>
      </c>
      <c r="M7820" t="n">
        <v>0</v>
      </c>
      <c r="N7820" t="n">
        <v>0</v>
      </c>
      <c r="O7820" t="n">
        <v>0</v>
      </c>
      <c r="P7820" t="n">
        <v>0</v>
      </c>
      <c r="Q7820" t="n">
        <v>0</v>
      </c>
      <c r="R7820" t="n">
        <v>0</v>
      </c>
      <c r="S7820" t="n">
        <v>0</v>
      </c>
      <c r="T7820" t="n">
        <v>0</v>
      </c>
      <c r="U7820" t="n">
        <v>0</v>
      </c>
      <c r="V7820" s="2" t="inlineStr"/>
    </row>
    <row r="7821" ht="15" customHeight="1">
      <c r="A7821" t="inlineStr">
        <is>
          <t>A 22577-2022</t>
        </is>
      </c>
      <c r="B7821" t="inlineStr">
        <is>
          <t>avverkningsanmälan</t>
        </is>
      </c>
      <c r="C7821" t="inlineStr">
        <is>
          <t>Föryngringsavverkning</t>
        </is>
      </c>
      <c r="D7821" s="1" t="n">
        <v>44713</v>
      </c>
      <c r="E7821" s="1" t="n">
        <v>46326</v>
      </c>
      <c r="F7821" t="inlineStr">
        <is>
          <t>GÄVLEBORGS LÄN</t>
        </is>
      </c>
      <c r="G7821" t="inlineStr">
        <is>
          <t>GÄVLE</t>
        </is>
      </c>
      <c r="H7821" t="inlineStr">
        <is>
          <t>Bergvik skog väst AB</t>
        </is>
      </c>
      <c r="I7821" t="n">
        <v>10</v>
      </c>
      <c r="J7821" t="n">
        <v>0</v>
      </c>
      <c r="K7821" t="n">
        <v>0</v>
      </c>
      <c r="L7821" t="n">
        <v>0</v>
      </c>
      <c r="M7821" t="n">
        <v>0</v>
      </c>
      <c r="N7821" t="n">
        <v>0</v>
      </c>
      <c r="O7821" t="n">
        <v>0</v>
      </c>
      <c r="P7821" t="n">
        <v>0</v>
      </c>
      <c r="Q7821" t="n">
        <v>0</v>
      </c>
      <c r="R7821" t="n">
        <v>0</v>
      </c>
      <c r="S7821" t="n">
        <v>0</v>
      </c>
      <c r="T7821" t="n">
        <v>0</v>
      </c>
      <c r="U7821" t="n">
        <v>0</v>
      </c>
      <c r="V7821" s="2" t="inlineStr"/>
    </row>
    <row r="7822" ht="15" customHeight="1">
      <c r="A7822" t="inlineStr">
        <is>
          <t>A 3391-2026</t>
        </is>
      </c>
      <c r="B7822" t="inlineStr">
        <is>
          <t>avverkningsanmälan</t>
        </is>
      </c>
      <c r="C7822" t="inlineStr">
        <is>
          <t>Föryngringsavverkning</t>
        </is>
      </c>
      <c r="D7822" s="1" t="n">
        <v>46042</v>
      </c>
      <c r="E7822" s="1" t="n">
        <v>46326</v>
      </c>
      <c r="F7822" t="inlineStr">
        <is>
          <t>GÄVLEBORGS LÄN</t>
        </is>
      </c>
      <c r="G7822" t="inlineStr">
        <is>
          <t>HOFORS</t>
        </is>
      </c>
      <c r="I7822" t="n">
        <v>0.7</v>
      </c>
      <c r="J7822" t="n">
        <v>0</v>
      </c>
      <c r="K7822" t="n">
        <v>0</v>
      </c>
      <c r="L7822" t="n">
        <v>0</v>
      </c>
      <c r="M7822" t="n">
        <v>0</v>
      </c>
      <c r="N7822" t="n">
        <v>0</v>
      </c>
      <c r="O7822" t="n">
        <v>0</v>
      </c>
      <c r="P7822" t="n">
        <v>0</v>
      </c>
      <c r="Q7822" t="n">
        <v>0</v>
      </c>
      <c r="R7822" t="n">
        <v>0</v>
      </c>
      <c r="S7822" t="n">
        <v>0</v>
      </c>
      <c r="T7822" t="n">
        <v>0</v>
      </c>
      <c r="U7822" t="n">
        <v>0</v>
      </c>
      <c r="V7822" s="2" t="inlineStr"/>
    </row>
    <row r="7823" ht="15" customHeight="1">
      <c r="A7823" t="inlineStr">
        <is>
          <t>A 3401-2026</t>
        </is>
      </c>
      <c r="B7823" t="inlineStr">
        <is>
          <t>avverkningsanmälan</t>
        </is>
      </c>
      <c r="C7823" t="inlineStr">
        <is>
          <t>Föryngringsavverkning</t>
        </is>
      </c>
      <c r="D7823" s="1" t="n">
        <v>46042</v>
      </c>
      <c r="E7823" s="1" t="n">
        <v>46326</v>
      </c>
      <c r="F7823" t="inlineStr">
        <is>
          <t>GÄVLEBORGS LÄN</t>
        </is>
      </c>
      <c r="G7823" t="inlineStr">
        <is>
          <t>NORDANSTIG</t>
        </is>
      </c>
      <c r="I7823" t="n">
        <v>4.9</v>
      </c>
      <c r="J7823" t="n">
        <v>0</v>
      </c>
      <c r="K7823" t="n">
        <v>0</v>
      </c>
      <c r="L7823" t="n">
        <v>0</v>
      </c>
      <c r="M7823" t="n">
        <v>0</v>
      </c>
      <c r="N7823" t="n">
        <v>0</v>
      </c>
      <c r="O7823" t="n">
        <v>0</v>
      </c>
      <c r="P7823" t="n">
        <v>0</v>
      </c>
      <c r="Q7823" t="n">
        <v>0</v>
      </c>
      <c r="R7823" t="n">
        <v>0</v>
      </c>
      <c r="S7823" t="n">
        <v>0</v>
      </c>
      <c r="T7823" t="n">
        <v>0</v>
      </c>
      <c r="U7823" t="n">
        <v>0</v>
      </c>
      <c r="V7823" s="2" t="inlineStr"/>
    </row>
    <row r="7824" ht="15" customHeight="1">
      <c r="A7824" t="inlineStr">
        <is>
          <t>A 57863-2024</t>
        </is>
      </c>
      <c r="B7824" t="inlineStr">
        <is>
          <t>avverkningsanmälan</t>
        </is>
      </c>
      <c r="C7824" t="inlineStr">
        <is>
          <t>Föryngringsavverkning</t>
        </is>
      </c>
      <c r="D7824" s="1" t="n">
        <v>45631</v>
      </c>
      <c r="E7824" s="1" t="n">
        <v>46326</v>
      </c>
      <c r="F7824" t="inlineStr">
        <is>
          <t>GÄVLEBORGS LÄN</t>
        </is>
      </c>
      <c r="G7824" t="inlineStr">
        <is>
          <t>NORDANSTIG</t>
        </is>
      </c>
      <c r="I7824" t="n">
        <v>2.1</v>
      </c>
      <c r="J7824" t="n">
        <v>0</v>
      </c>
      <c r="K7824" t="n">
        <v>0</v>
      </c>
      <c r="L7824" t="n">
        <v>0</v>
      </c>
      <c r="M7824" t="n">
        <v>0</v>
      </c>
      <c r="N7824" t="n">
        <v>0</v>
      </c>
      <c r="O7824" t="n">
        <v>0</v>
      </c>
      <c r="P7824" t="n">
        <v>0</v>
      </c>
      <c r="Q7824" t="n">
        <v>0</v>
      </c>
      <c r="R7824" t="n">
        <v>0</v>
      </c>
      <c r="S7824" t="n">
        <v>0</v>
      </c>
      <c r="T7824" t="n">
        <v>0</v>
      </c>
      <c r="U7824" t="n">
        <v>0</v>
      </c>
      <c r="V7824" s="2" t="inlineStr"/>
    </row>
    <row r="7825" ht="15" customHeight="1">
      <c r="A7825" t="inlineStr">
        <is>
          <t>A 13540-2026</t>
        </is>
      </c>
      <c r="B7825" t="inlineStr">
        <is>
          <t>avverkningsanmälan</t>
        </is>
      </c>
      <c r="C7825" t="inlineStr">
        <is>
          <t>Föryngringsavverkning</t>
        </is>
      </c>
      <c r="D7825" s="1" t="n">
        <v>46094</v>
      </c>
      <c r="E7825" s="1" t="n">
        <v>46326</v>
      </c>
      <c r="F7825" t="inlineStr">
        <is>
          <t>GÄVLEBORGS LÄN</t>
        </is>
      </c>
      <c r="G7825" t="inlineStr">
        <is>
          <t>BOLLNÄS</t>
        </is>
      </c>
      <c r="I7825" t="n">
        <v>2.9</v>
      </c>
      <c r="J7825" t="n">
        <v>0</v>
      </c>
      <c r="K7825" t="n">
        <v>0</v>
      </c>
      <c r="L7825" t="n">
        <v>0</v>
      </c>
      <c r="M7825" t="n">
        <v>0</v>
      </c>
      <c r="N7825" t="n">
        <v>0</v>
      </c>
      <c r="O7825" t="n">
        <v>0</v>
      </c>
      <c r="P7825" t="n">
        <v>0</v>
      </c>
      <c r="Q7825" t="n">
        <v>0</v>
      </c>
      <c r="R7825" t="n">
        <v>0</v>
      </c>
      <c r="S7825" t="n">
        <v>0</v>
      </c>
      <c r="T7825" t="n">
        <v>0</v>
      </c>
      <c r="U7825" t="n">
        <v>0</v>
      </c>
      <c r="V7825" s="2" t="inlineStr"/>
    </row>
    <row r="7826" ht="15" customHeight="1">
      <c r="A7826" t="inlineStr">
        <is>
          <t>A 56256-2025</t>
        </is>
      </c>
      <c r="B7826" t="inlineStr">
        <is>
          <t>avverkningsanmälan</t>
        </is>
      </c>
      <c r="C7826" t="inlineStr">
        <is>
          <t>Föryngringsavverkning</t>
        </is>
      </c>
      <c r="D7826" s="1" t="n">
        <v>45974</v>
      </c>
      <c r="E7826" s="1" t="n">
        <v>46326</v>
      </c>
      <c r="F7826" t="inlineStr">
        <is>
          <t>GÄVLEBORGS LÄN</t>
        </is>
      </c>
      <c r="G7826" t="inlineStr">
        <is>
          <t>HUDIKSVALL</t>
        </is>
      </c>
      <c r="H7826" t="inlineStr">
        <is>
          <t>Holmen skog AB</t>
        </is>
      </c>
      <c r="I7826" t="n">
        <v>8.6</v>
      </c>
      <c r="J7826" t="n">
        <v>0</v>
      </c>
      <c r="K7826" t="n">
        <v>0</v>
      </c>
      <c r="L7826" t="n">
        <v>0</v>
      </c>
      <c r="M7826" t="n">
        <v>0</v>
      </c>
      <c r="N7826" t="n">
        <v>0</v>
      </c>
      <c r="O7826" t="n">
        <v>0</v>
      </c>
      <c r="P7826" t="n">
        <v>0</v>
      </c>
      <c r="Q7826" t="n">
        <v>0</v>
      </c>
      <c r="R7826" t="n">
        <v>0</v>
      </c>
      <c r="S7826" t="n">
        <v>0</v>
      </c>
      <c r="T7826" t="n">
        <v>0</v>
      </c>
      <c r="U7826" t="n">
        <v>0</v>
      </c>
      <c r="V7826" s="2" t="inlineStr"/>
    </row>
    <row r="7827" ht="15" customHeight="1">
      <c r="A7827" t="inlineStr">
        <is>
          <t>A 57168-2023</t>
        </is>
      </c>
      <c r="B7827" t="inlineStr">
        <is>
          <t>avverkningsanmälan</t>
        </is>
      </c>
      <c r="C7827" t="inlineStr">
        <is>
          <t>Föryngringsavverkning</t>
        </is>
      </c>
      <c r="D7827" s="1" t="n">
        <v>45245</v>
      </c>
      <c r="E7827" s="1" t="n">
        <v>46326</v>
      </c>
      <c r="F7827" t="inlineStr">
        <is>
          <t>GÄVLEBORGS LÄN</t>
        </is>
      </c>
      <c r="G7827" t="inlineStr">
        <is>
          <t>GÄVLE</t>
        </is>
      </c>
      <c r="H7827" t="inlineStr">
        <is>
          <t>Kyrkan</t>
        </is>
      </c>
      <c r="I7827" t="n">
        <v>1.4</v>
      </c>
      <c r="J7827" t="n">
        <v>0</v>
      </c>
      <c r="K7827" t="n">
        <v>0</v>
      </c>
      <c r="L7827" t="n">
        <v>0</v>
      </c>
      <c r="M7827" t="n">
        <v>0</v>
      </c>
      <c r="N7827" t="n">
        <v>0</v>
      </c>
      <c r="O7827" t="n">
        <v>0</v>
      </c>
      <c r="P7827" t="n">
        <v>0</v>
      </c>
      <c r="Q7827" t="n">
        <v>0</v>
      </c>
      <c r="R7827" t="n">
        <v>0</v>
      </c>
      <c r="S7827" t="n">
        <v>0</v>
      </c>
      <c r="T7827" t="n">
        <v>0</v>
      </c>
      <c r="U7827" t="n">
        <v>0</v>
      </c>
      <c r="V7827" s="2" t="inlineStr"/>
    </row>
    <row r="7828" ht="15" customHeight="1">
      <c r="A7828" t="inlineStr">
        <is>
          <t>A 22252-2026</t>
        </is>
      </c>
      <c r="B7828" t="inlineStr">
        <is>
          <t>avverkningsanmälan</t>
        </is>
      </c>
      <c r="C7828" t="inlineStr">
        <is>
          <t>Föryngringsavverkning</t>
        </is>
      </c>
      <c r="D7828" s="1" t="n">
        <v>46154</v>
      </c>
      <c r="E7828" s="1" t="n">
        <v>46326</v>
      </c>
      <c r="F7828" t="inlineStr">
        <is>
          <t>GÄVLEBORGS LÄN</t>
        </is>
      </c>
      <c r="G7828" t="inlineStr">
        <is>
          <t>OVANÅKER</t>
        </is>
      </c>
      <c r="I7828" t="n">
        <v>1.7</v>
      </c>
      <c r="J7828" t="n">
        <v>0</v>
      </c>
      <c r="K7828" t="n">
        <v>0</v>
      </c>
      <c r="L7828" t="n">
        <v>0</v>
      </c>
      <c r="M7828" t="n">
        <v>0</v>
      </c>
      <c r="N7828" t="n">
        <v>0</v>
      </c>
      <c r="O7828" t="n">
        <v>0</v>
      </c>
      <c r="P7828" t="n">
        <v>0</v>
      </c>
      <c r="Q7828" t="n">
        <v>0</v>
      </c>
      <c r="R7828" t="n">
        <v>0</v>
      </c>
      <c r="S7828" t="n">
        <v>0</v>
      </c>
      <c r="T7828" t="n">
        <v>0</v>
      </c>
      <c r="U7828" t="n">
        <v>0</v>
      </c>
      <c r="V7828" s="2" t="inlineStr"/>
    </row>
    <row r="7829" ht="15" customHeight="1">
      <c r="A7829" t="inlineStr">
        <is>
          <t>A 10138-2026</t>
        </is>
      </c>
      <c r="B7829" t="inlineStr">
        <is>
          <t>avverkningsanmälan</t>
        </is>
      </c>
      <c r="C7829" t="inlineStr">
        <is>
          <t>Föryngringsavverkning</t>
        </is>
      </c>
      <c r="D7829" s="1" t="n">
        <v>46076</v>
      </c>
      <c r="E7829" s="1" t="n">
        <v>46326</v>
      </c>
      <c r="F7829" t="inlineStr">
        <is>
          <t>GÄVLEBORGS LÄN</t>
        </is>
      </c>
      <c r="G7829" t="inlineStr">
        <is>
          <t>SÖDERHAMN</t>
        </is>
      </c>
      <c r="I7829" t="n">
        <v>5.8</v>
      </c>
      <c r="J7829" t="n">
        <v>0</v>
      </c>
      <c r="K7829" t="n">
        <v>0</v>
      </c>
      <c r="L7829" t="n">
        <v>0</v>
      </c>
      <c r="M7829" t="n">
        <v>0</v>
      </c>
      <c r="N7829" t="n">
        <v>0</v>
      </c>
      <c r="O7829" t="n">
        <v>0</v>
      </c>
      <c r="P7829" t="n">
        <v>0</v>
      </c>
      <c r="Q7829" t="n">
        <v>0</v>
      </c>
      <c r="R7829" t="n">
        <v>0</v>
      </c>
      <c r="S7829" t="n">
        <v>0</v>
      </c>
      <c r="T7829" t="n">
        <v>0</v>
      </c>
      <c r="U7829" t="n">
        <v>0</v>
      </c>
      <c r="V7829" s="2" t="inlineStr"/>
    </row>
    <row r="7830" ht="15" customHeight="1">
      <c r="A7830" t="inlineStr">
        <is>
          <t>A 45279-2023</t>
        </is>
      </c>
      <c r="B7830" t="inlineStr">
        <is>
          <t>avverkningsanmälan</t>
        </is>
      </c>
      <c r="C7830" t="inlineStr">
        <is>
          <t>Föryngringsavverkning</t>
        </is>
      </c>
      <c r="D7830" s="1" t="n">
        <v>45191</v>
      </c>
      <c r="E7830" s="1" t="n">
        <v>46326</v>
      </c>
      <c r="F7830" t="inlineStr">
        <is>
          <t>GÄVLEBORGS LÄN</t>
        </is>
      </c>
      <c r="G7830" t="inlineStr">
        <is>
          <t>SANDVIKEN</t>
        </is>
      </c>
      <c r="I7830" t="n">
        <v>2.2</v>
      </c>
      <c r="J7830" t="n">
        <v>0</v>
      </c>
      <c r="K7830" t="n">
        <v>0</v>
      </c>
      <c r="L7830" t="n">
        <v>0</v>
      </c>
      <c r="M7830" t="n">
        <v>0</v>
      </c>
      <c r="N7830" t="n">
        <v>0</v>
      </c>
      <c r="O7830" t="n">
        <v>0</v>
      </c>
      <c r="P7830" t="n">
        <v>0</v>
      </c>
      <c r="Q7830" t="n">
        <v>0</v>
      </c>
      <c r="R7830" t="n">
        <v>0</v>
      </c>
      <c r="S7830" t="n">
        <v>0</v>
      </c>
      <c r="T7830" t="n">
        <v>0</v>
      </c>
      <c r="U7830" t="n">
        <v>0</v>
      </c>
      <c r="V7830" s="2" t="inlineStr"/>
    </row>
    <row r="7831" ht="15" customHeight="1">
      <c r="A7831" t="inlineStr">
        <is>
          <t>A 4848-2026</t>
        </is>
      </c>
      <c r="B7831" t="inlineStr">
        <is>
          <t>avverkningsanmälan</t>
        </is>
      </c>
      <c r="C7831" t="inlineStr">
        <is>
          <t>Föryngringsavverkning</t>
        </is>
      </c>
      <c r="D7831" s="1" t="n">
        <v>46048</v>
      </c>
      <c r="E7831" s="1" t="n">
        <v>46326</v>
      </c>
      <c r="F7831" t="inlineStr">
        <is>
          <t>GÄVLEBORGS LÄN</t>
        </is>
      </c>
      <c r="G7831" t="inlineStr">
        <is>
          <t>SANDVIKEN</t>
        </is>
      </c>
      <c r="I7831" t="n">
        <v>2.3</v>
      </c>
      <c r="J7831" t="n">
        <v>0</v>
      </c>
      <c r="K7831" t="n">
        <v>0</v>
      </c>
      <c r="L7831" t="n">
        <v>0</v>
      </c>
      <c r="M7831" t="n">
        <v>0</v>
      </c>
      <c r="N7831" t="n">
        <v>0</v>
      </c>
      <c r="O7831" t="n">
        <v>0</v>
      </c>
      <c r="P7831" t="n">
        <v>0</v>
      </c>
      <c r="Q7831" t="n">
        <v>0</v>
      </c>
      <c r="R7831" t="n">
        <v>0</v>
      </c>
      <c r="S7831" t="n">
        <v>0</v>
      </c>
      <c r="T7831" t="n">
        <v>0</v>
      </c>
      <c r="U7831" t="n">
        <v>0</v>
      </c>
      <c r="V7831" s="2" t="inlineStr"/>
    </row>
    <row r="7832" ht="15" customHeight="1">
      <c r="A7832" t="inlineStr">
        <is>
          <t>A 41990-2023</t>
        </is>
      </c>
      <c r="B7832" t="inlineStr">
        <is>
          <t>avverkningsanmälan</t>
        </is>
      </c>
      <c r="C7832" t="inlineStr">
        <is>
          <t>Avverkning för annat ändamål</t>
        </is>
      </c>
      <c r="D7832" s="1" t="n">
        <v>45177</v>
      </c>
      <c r="E7832" s="1" t="n">
        <v>46326</v>
      </c>
      <c r="F7832" t="inlineStr">
        <is>
          <t>GÄVLEBORGS LÄN</t>
        </is>
      </c>
      <c r="G7832" t="inlineStr">
        <is>
          <t>OVANÅKER</t>
        </is>
      </c>
      <c r="H7832" t="inlineStr">
        <is>
          <t>Bergvik skog väst AB</t>
        </is>
      </c>
      <c r="I7832" t="n">
        <v>2.4</v>
      </c>
      <c r="J7832" t="n">
        <v>0</v>
      </c>
      <c r="K7832" t="n">
        <v>0</v>
      </c>
      <c r="L7832" t="n">
        <v>0</v>
      </c>
      <c r="M7832" t="n">
        <v>0</v>
      </c>
      <c r="N7832" t="n">
        <v>0</v>
      </c>
      <c r="O7832" t="n">
        <v>0</v>
      </c>
      <c r="P7832" t="n">
        <v>0</v>
      </c>
      <c r="Q7832" t="n">
        <v>0</v>
      </c>
      <c r="R7832" t="n">
        <v>0</v>
      </c>
      <c r="S7832" t="n">
        <v>0</v>
      </c>
      <c r="T7832" t="n">
        <v>0</v>
      </c>
      <c r="U7832" t="n">
        <v>0</v>
      </c>
      <c r="V7832" s="2" t="inlineStr"/>
    </row>
    <row r="7833" ht="15" customHeight="1">
      <c r="A7833" t="inlineStr">
        <is>
          <t>A 58718-2025</t>
        </is>
      </c>
      <c r="B7833" t="inlineStr">
        <is>
          <t>avverkningsanmälan</t>
        </is>
      </c>
      <c r="C7833" t="inlineStr">
        <is>
          <t>Föryngringsavverkning</t>
        </is>
      </c>
      <c r="D7833" s="1" t="n">
        <v>45986</v>
      </c>
      <c r="E7833" s="1" t="n">
        <v>46326</v>
      </c>
      <c r="F7833" t="inlineStr">
        <is>
          <t>GÄVLEBORGS LÄN</t>
        </is>
      </c>
      <c r="G7833" t="inlineStr">
        <is>
          <t>OCKELBO</t>
        </is>
      </c>
      <c r="H7833" t="inlineStr">
        <is>
          <t>Bergvik skog väst AB</t>
        </is>
      </c>
      <c r="I7833" t="n">
        <v>2.6</v>
      </c>
      <c r="J7833" t="n">
        <v>0</v>
      </c>
      <c r="K7833" t="n">
        <v>0</v>
      </c>
      <c r="L7833" t="n">
        <v>0</v>
      </c>
      <c r="M7833" t="n">
        <v>0</v>
      </c>
      <c r="N7833" t="n">
        <v>0</v>
      </c>
      <c r="O7833" t="n">
        <v>0</v>
      </c>
      <c r="P7833" t="n">
        <v>0</v>
      </c>
      <c r="Q7833" t="n">
        <v>0</v>
      </c>
      <c r="R7833" t="n">
        <v>0</v>
      </c>
      <c r="S7833" t="n">
        <v>0</v>
      </c>
      <c r="T7833" t="n">
        <v>0</v>
      </c>
      <c r="U7833" t="n">
        <v>0</v>
      </c>
      <c r="V7833" s="2" t="inlineStr"/>
    </row>
    <row r="7834" ht="15" customHeight="1">
      <c r="A7834" t="inlineStr">
        <is>
          <t>A 3697-2026</t>
        </is>
      </c>
      <c r="B7834" t="inlineStr">
        <is>
          <t>avverkningsanmälan</t>
        </is>
      </c>
      <c r="C7834" t="inlineStr">
        <is>
          <t>Föryngringsavverkning</t>
        </is>
      </c>
      <c r="D7834" s="1" t="n">
        <v>46043</v>
      </c>
      <c r="E7834" s="1" t="n">
        <v>46326</v>
      </c>
      <c r="F7834" t="inlineStr">
        <is>
          <t>GÄVLEBORGS LÄN</t>
        </is>
      </c>
      <c r="G7834" t="inlineStr">
        <is>
          <t>OCKELBO</t>
        </is>
      </c>
      <c r="I7834" t="n">
        <v>1.7</v>
      </c>
      <c r="J7834" t="n">
        <v>0</v>
      </c>
      <c r="K7834" t="n">
        <v>0</v>
      </c>
      <c r="L7834" t="n">
        <v>0</v>
      </c>
      <c r="M7834" t="n">
        <v>0</v>
      </c>
      <c r="N7834" t="n">
        <v>0</v>
      </c>
      <c r="O7834" t="n">
        <v>0</v>
      </c>
      <c r="P7834" t="n">
        <v>0</v>
      </c>
      <c r="Q7834" t="n">
        <v>0</v>
      </c>
      <c r="R7834" t="n">
        <v>0</v>
      </c>
      <c r="S7834" t="n">
        <v>0</v>
      </c>
      <c r="T7834" t="n">
        <v>0</v>
      </c>
      <c r="U7834" t="n">
        <v>0</v>
      </c>
      <c r="V7834" s="2" t="inlineStr"/>
    </row>
    <row r="7835" ht="15" customHeight="1">
      <c r="A7835" t="inlineStr">
        <is>
          <t>A 46609-2025</t>
        </is>
      </c>
      <c r="B7835" t="inlineStr">
        <is>
          <t>avverkningsanmälan</t>
        </is>
      </c>
      <c r="C7835" t="inlineStr">
        <is>
          <t>Föryngringsavverkning</t>
        </is>
      </c>
      <c r="D7835" s="1" t="n">
        <v>45926</v>
      </c>
      <c r="E7835" s="1" t="n">
        <v>46326</v>
      </c>
      <c r="F7835" t="inlineStr">
        <is>
          <t>GÄVLEBORGS LÄN</t>
        </is>
      </c>
      <c r="G7835" t="inlineStr">
        <is>
          <t>OCKELBO</t>
        </is>
      </c>
      <c r="I7835" t="n">
        <v>1.8</v>
      </c>
      <c r="J7835" t="n">
        <v>0</v>
      </c>
      <c r="K7835" t="n">
        <v>0</v>
      </c>
      <c r="L7835" t="n">
        <v>0</v>
      </c>
      <c r="M7835" t="n">
        <v>0</v>
      </c>
      <c r="N7835" t="n">
        <v>0</v>
      </c>
      <c r="O7835" t="n">
        <v>0</v>
      </c>
      <c r="P7835" t="n">
        <v>0</v>
      </c>
      <c r="Q7835" t="n">
        <v>0</v>
      </c>
      <c r="R7835" t="n">
        <v>0</v>
      </c>
      <c r="S7835" t="n">
        <v>0</v>
      </c>
      <c r="T7835" t="n">
        <v>0</v>
      </c>
      <c r="U7835" t="n">
        <v>0</v>
      </c>
      <c r="V7835" s="2" t="inlineStr"/>
    </row>
    <row r="7836" ht="15" customHeight="1">
      <c r="A7836" t="inlineStr">
        <is>
          <t>A 22540-2026</t>
        </is>
      </c>
      <c r="B7836" t="inlineStr">
        <is>
          <t>avverkningsanmälan</t>
        </is>
      </c>
      <c r="C7836" t="inlineStr">
        <is>
          <t>Föryngringsavverkning</t>
        </is>
      </c>
      <c r="D7836" s="1" t="n">
        <v>46155</v>
      </c>
      <c r="E7836" s="1" t="n">
        <v>46326</v>
      </c>
      <c r="F7836" t="inlineStr">
        <is>
          <t>GÄVLEBORGS LÄN</t>
        </is>
      </c>
      <c r="G7836" t="inlineStr">
        <is>
          <t>BOLLNÄS</t>
        </is>
      </c>
      <c r="I7836" t="n">
        <v>1.2</v>
      </c>
      <c r="J7836" t="n">
        <v>0</v>
      </c>
      <c r="K7836" t="n">
        <v>0</v>
      </c>
      <c r="L7836" t="n">
        <v>0</v>
      </c>
      <c r="M7836" t="n">
        <v>0</v>
      </c>
      <c r="N7836" t="n">
        <v>0</v>
      </c>
      <c r="O7836" t="n">
        <v>0</v>
      </c>
      <c r="P7836" t="n">
        <v>0</v>
      </c>
      <c r="Q7836" t="n">
        <v>0</v>
      </c>
      <c r="R7836" t="n">
        <v>0</v>
      </c>
      <c r="S7836" t="n">
        <v>0</v>
      </c>
      <c r="T7836" t="n">
        <v>0</v>
      </c>
      <c r="U7836" t="n">
        <v>0</v>
      </c>
      <c r="V7836" s="2" t="inlineStr"/>
    </row>
    <row r="7837" ht="15" customHeight="1">
      <c r="A7837" t="inlineStr">
        <is>
          <t>A 22543-2026</t>
        </is>
      </c>
      <c r="B7837" t="inlineStr">
        <is>
          <t>avverkningsanmälan</t>
        </is>
      </c>
      <c r="C7837" t="inlineStr">
        <is>
          <t>Föryngringsavverkning</t>
        </is>
      </c>
      <c r="D7837" s="1" t="n">
        <v>46155</v>
      </c>
      <c r="E7837" s="1" t="n">
        <v>46326</v>
      </c>
      <c r="F7837" t="inlineStr">
        <is>
          <t>GÄVLEBORGS LÄN</t>
        </is>
      </c>
      <c r="G7837" t="inlineStr">
        <is>
          <t>SÖDERHAMN</t>
        </is>
      </c>
      <c r="H7837" t="inlineStr">
        <is>
          <t>Bergvik skog väst AB</t>
        </is>
      </c>
      <c r="I7837" t="n">
        <v>1.1</v>
      </c>
      <c r="J7837" t="n">
        <v>0</v>
      </c>
      <c r="K7837" t="n">
        <v>0</v>
      </c>
      <c r="L7837" t="n">
        <v>0</v>
      </c>
      <c r="M7837" t="n">
        <v>0</v>
      </c>
      <c r="N7837" t="n">
        <v>0</v>
      </c>
      <c r="O7837" t="n">
        <v>0</v>
      </c>
      <c r="P7837" t="n">
        <v>0</v>
      </c>
      <c r="Q7837" t="n">
        <v>0</v>
      </c>
      <c r="R7837" t="n">
        <v>0</v>
      </c>
      <c r="S7837" t="n">
        <v>0</v>
      </c>
      <c r="T7837" t="n">
        <v>0</v>
      </c>
      <c r="U7837" t="n">
        <v>0</v>
      </c>
      <c r="V7837" s="2" t="inlineStr"/>
    </row>
    <row r="7838" ht="15" customHeight="1">
      <c r="A7838" t="inlineStr">
        <is>
          <t>A 22549-2026</t>
        </is>
      </c>
      <c r="B7838" t="inlineStr">
        <is>
          <t>avverkningsanmälan</t>
        </is>
      </c>
      <c r="C7838" t="inlineStr">
        <is>
          <t>Föryngringsavverkning</t>
        </is>
      </c>
      <c r="D7838" s="1" t="n">
        <v>46155</v>
      </c>
      <c r="E7838" s="1" t="n">
        <v>46326</v>
      </c>
      <c r="F7838" t="inlineStr">
        <is>
          <t>GÄVLEBORGS LÄN</t>
        </is>
      </c>
      <c r="G7838" t="inlineStr">
        <is>
          <t>BOLLNÄS</t>
        </is>
      </c>
      <c r="I7838" t="n">
        <v>10.8</v>
      </c>
      <c r="J7838" t="n">
        <v>0</v>
      </c>
      <c r="K7838" t="n">
        <v>0</v>
      </c>
      <c r="L7838" t="n">
        <v>0</v>
      </c>
      <c r="M7838" t="n">
        <v>0</v>
      </c>
      <c r="N7838" t="n">
        <v>0</v>
      </c>
      <c r="O7838" t="n">
        <v>0</v>
      </c>
      <c r="P7838" t="n">
        <v>0</v>
      </c>
      <c r="Q7838" t="n">
        <v>0</v>
      </c>
      <c r="R7838" t="n">
        <v>0</v>
      </c>
      <c r="S7838" t="n">
        <v>0</v>
      </c>
      <c r="T7838" t="n">
        <v>0</v>
      </c>
      <c r="U7838" t="n">
        <v>0</v>
      </c>
      <c r="V7838" s="2" t="inlineStr"/>
    </row>
    <row r="7839" ht="15" customHeight="1">
      <c r="A7839" t="inlineStr">
        <is>
          <t>A 22621-2026</t>
        </is>
      </c>
      <c r="B7839" t="inlineStr">
        <is>
          <t>avverkningsanmälan</t>
        </is>
      </c>
      <c r="C7839" t="inlineStr">
        <is>
          <t>Föryngringsavverkning</t>
        </is>
      </c>
      <c r="D7839" s="1" t="n">
        <v>46155</v>
      </c>
      <c r="E7839" s="1" t="n">
        <v>46326</v>
      </c>
      <c r="F7839" t="inlineStr">
        <is>
          <t>GÄVLEBORGS LÄN</t>
        </is>
      </c>
      <c r="G7839" t="inlineStr">
        <is>
          <t>NORDANSTIG</t>
        </is>
      </c>
      <c r="H7839" t="inlineStr">
        <is>
          <t>Holmen skog AB</t>
        </is>
      </c>
      <c r="I7839" t="n">
        <v>1.6</v>
      </c>
      <c r="J7839" t="n">
        <v>0</v>
      </c>
      <c r="K7839" t="n">
        <v>0</v>
      </c>
      <c r="L7839" t="n">
        <v>0</v>
      </c>
      <c r="M7839" t="n">
        <v>0</v>
      </c>
      <c r="N7839" t="n">
        <v>0</v>
      </c>
      <c r="O7839" t="n">
        <v>0</v>
      </c>
      <c r="P7839" t="n">
        <v>0</v>
      </c>
      <c r="Q7839" t="n">
        <v>0</v>
      </c>
      <c r="R7839" t="n">
        <v>0</v>
      </c>
      <c r="S7839" t="n">
        <v>0</v>
      </c>
      <c r="T7839" t="n">
        <v>0</v>
      </c>
      <c r="U7839" t="n">
        <v>0</v>
      </c>
      <c r="V7839" s="2" t="inlineStr"/>
    </row>
    <row r="7840" ht="15" customHeight="1">
      <c r="A7840" t="inlineStr">
        <is>
          <t>A 22635-2026</t>
        </is>
      </c>
      <c r="B7840" t="inlineStr">
        <is>
          <t>avverkningsanmälan</t>
        </is>
      </c>
      <c r="C7840" t="inlineStr">
        <is>
          <t>Föryngringsavverkning</t>
        </is>
      </c>
      <c r="D7840" s="1" t="n">
        <v>46155</v>
      </c>
      <c r="E7840" s="1" t="n">
        <v>46326</v>
      </c>
      <c r="F7840" t="inlineStr">
        <is>
          <t>GÄVLEBORGS LÄN</t>
        </is>
      </c>
      <c r="G7840" t="inlineStr">
        <is>
          <t>OVANÅKER</t>
        </is>
      </c>
      <c r="I7840" t="n">
        <v>5.1</v>
      </c>
      <c r="J7840" t="n">
        <v>0</v>
      </c>
      <c r="K7840" t="n">
        <v>0</v>
      </c>
      <c r="L7840" t="n">
        <v>0</v>
      </c>
      <c r="M7840" t="n">
        <v>0</v>
      </c>
      <c r="N7840" t="n">
        <v>0</v>
      </c>
      <c r="O7840" t="n">
        <v>0</v>
      </c>
      <c r="P7840" t="n">
        <v>0</v>
      </c>
      <c r="Q7840" t="n">
        <v>0</v>
      </c>
      <c r="R7840" t="n">
        <v>0</v>
      </c>
      <c r="S7840" t="n">
        <v>0</v>
      </c>
      <c r="T7840" t="n">
        <v>0</v>
      </c>
      <c r="U7840" t="n">
        <v>0</v>
      </c>
      <c r="V7840" s="2" t="inlineStr"/>
    </row>
    <row r="7841" ht="15" customHeight="1">
      <c r="A7841" t="inlineStr">
        <is>
          <t>A 226-2026</t>
        </is>
      </c>
      <c r="B7841" t="inlineStr">
        <is>
          <t>avverkningsanmälan</t>
        </is>
      </c>
      <c r="C7841" t="inlineStr">
        <is>
          <t>Föryngringsavverkning</t>
        </is>
      </c>
      <c r="D7841" s="1" t="n">
        <v>46026</v>
      </c>
      <c r="E7841" s="1" t="n">
        <v>46326</v>
      </c>
      <c r="F7841" t="inlineStr">
        <is>
          <t>GÄVLEBORGS LÄN</t>
        </is>
      </c>
      <c r="G7841" t="inlineStr">
        <is>
          <t>NORDANSTIG</t>
        </is>
      </c>
      <c r="I7841" t="n">
        <v>1.5</v>
      </c>
      <c r="J7841" t="n">
        <v>0</v>
      </c>
      <c r="K7841" t="n">
        <v>0</v>
      </c>
      <c r="L7841" t="n">
        <v>0</v>
      </c>
      <c r="M7841" t="n">
        <v>0</v>
      </c>
      <c r="N7841" t="n">
        <v>0</v>
      </c>
      <c r="O7841" t="n">
        <v>0</v>
      </c>
      <c r="P7841" t="n">
        <v>0</v>
      </c>
      <c r="Q7841" t="n">
        <v>0</v>
      </c>
      <c r="R7841" t="n">
        <v>0</v>
      </c>
      <c r="S7841" t="n">
        <v>0</v>
      </c>
      <c r="T7841" t="n">
        <v>0</v>
      </c>
      <c r="U7841" t="n">
        <v>0</v>
      </c>
      <c r="V7841" s="2" t="inlineStr"/>
    </row>
    <row r="7842" ht="15" customHeight="1">
      <c r="A7842" t="inlineStr">
        <is>
          <t>A 41293-2023</t>
        </is>
      </c>
      <c r="B7842" t="inlineStr">
        <is>
          <t>avverkningsanmälan</t>
        </is>
      </c>
      <c r="C7842" t="inlineStr">
        <is>
          <t>Föryngringsavverkning</t>
        </is>
      </c>
      <c r="D7842" s="1" t="n">
        <v>45174</v>
      </c>
      <c r="E7842" s="1" t="n">
        <v>46326</v>
      </c>
      <c r="F7842" t="inlineStr">
        <is>
          <t>GÄVLEBORGS LÄN</t>
        </is>
      </c>
      <c r="G7842" t="inlineStr">
        <is>
          <t>LJUSDAL</t>
        </is>
      </c>
      <c r="H7842" t="inlineStr">
        <is>
          <t>Sveaskog</t>
        </is>
      </c>
      <c r="I7842" t="n">
        <v>2</v>
      </c>
      <c r="J7842" t="n">
        <v>0</v>
      </c>
      <c r="K7842" t="n">
        <v>0</v>
      </c>
      <c r="L7842" t="n">
        <v>0</v>
      </c>
      <c r="M7842" t="n">
        <v>0</v>
      </c>
      <c r="N7842" t="n">
        <v>0</v>
      </c>
      <c r="O7842" t="n">
        <v>0</v>
      </c>
      <c r="P7842" t="n">
        <v>0</v>
      </c>
      <c r="Q7842" t="n">
        <v>0</v>
      </c>
      <c r="R7842" t="n">
        <v>0</v>
      </c>
      <c r="S7842" t="n">
        <v>0</v>
      </c>
      <c r="T7842" t="n">
        <v>0</v>
      </c>
      <c r="U7842" t="n">
        <v>0</v>
      </c>
      <c r="V7842" s="2" t="inlineStr"/>
    </row>
    <row r="7843" ht="15" customHeight="1">
      <c r="A7843" t="inlineStr">
        <is>
          <t>A 8334-2026</t>
        </is>
      </c>
      <c r="B7843" t="inlineStr">
        <is>
          <t>avverkningsanmälan</t>
        </is>
      </c>
      <c r="C7843" t="inlineStr">
        <is>
          <t>Föryngringsavverkning</t>
        </is>
      </c>
      <c r="D7843" s="1" t="n">
        <v>46064</v>
      </c>
      <c r="E7843" s="1" t="n">
        <v>46326</v>
      </c>
      <c r="F7843" t="inlineStr">
        <is>
          <t>GÄVLEBORGS LÄN</t>
        </is>
      </c>
      <c r="G7843" t="inlineStr">
        <is>
          <t>OVANÅKER</t>
        </is>
      </c>
      <c r="I7843" t="n">
        <v>2.3</v>
      </c>
      <c r="J7843" t="n">
        <v>0</v>
      </c>
      <c r="K7843" t="n">
        <v>0</v>
      </c>
      <c r="L7843" t="n">
        <v>0</v>
      </c>
      <c r="M7843" t="n">
        <v>0</v>
      </c>
      <c r="N7843" t="n">
        <v>0</v>
      </c>
      <c r="O7843" t="n">
        <v>0</v>
      </c>
      <c r="P7843" t="n">
        <v>0</v>
      </c>
      <c r="Q7843" t="n">
        <v>0</v>
      </c>
      <c r="R7843" t="n">
        <v>0</v>
      </c>
      <c r="S7843" t="n">
        <v>0</v>
      </c>
      <c r="T7843" t="n">
        <v>0</v>
      </c>
      <c r="U7843" t="n">
        <v>0</v>
      </c>
      <c r="V7843" s="2" t="inlineStr"/>
    </row>
    <row r="7844" ht="15" customHeight="1">
      <c r="A7844" t="inlineStr">
        <is>
          <t>A 8888-2026</t>
        </is>
      </c>
      <c r="B7844" t="inlineStr">
        <is>
          <t>avverkningsanmälan</t>
        </is>
      </c>
      <c r="C7844" t="inlineStr">
        <is>
          <t>Föryngringsavverkning</t>
        </is>
      </c>
      <c r="D7844" s="1" t="n">
        <v>46068</v>
      </c>
      <c r="E7844" s="1" t="n">
        <v>46326</v>
      </c>
      <c r="F7844" t="inlineStr">
        <is>
          <t>GÄVLEBORGS LÄN</t>
        </is>
      </c>
      <c r="G7844" t="inlineStr">
        <is>
          <t>OVANÅKER</t>
        </is>
      </c>
      <c r="I7844" t="n">
        <v>2.6</v>
      </c>
      <c r="J7844" t="n">
        <v>0</v>
      </c>
      <c r="K7844" t="n">
        <v>0</v>
      </c>
      <c r="L7844" t="n">
        <v>0</v>
      </c>
      <c r="M7844" t="n">
        <v>0</v>
      </c>
      <c r="N7844" t="n">
        <v>0</v>
      </c>
      <c r="O7844" t="n">
        <v>0</v>
      </c>
      <c r="P7844" t="n">
        <v>0</v>
      </c>
      <c r="Q7844" t="n">
        <v>0</v>
      </c>
      <c r="R7844" t="n">
        <v>0</v>
      </c>
      <c r="S7844" t="n">
        <v>0</v>
      </c>
      <c r="T7844" t="n">
        <v>0</v>
      </c>
      <c r="U7844" t="n">
        <v>0</v>
      </c>
      <c r="V7844" s="2" t="inlineStr"/>
    </row>
    <row r="7845" ht="15" customHeight="1">
      <c r="A7845" t="inlineStr">
        <is>
          <t>A 42549-2024</t>
        </is>
      </c>
      <c r="B7845" t="inlineStr">
        <is>
          <t>avverkningsanmälan</t>
        </is>
      </c>
      <c r="C7845" t="inlineStr">
        <is>
          <t>Föryngringsavverkning</t>
        </is>
      </c>
      <c r="D7845" s="1" t="n">
        <v>45565</v>
      </c>
      <c r="E7845" s="1" t="n">
        <v>46326</v>
      </c>
      <c r="F7845" t="inlineStr">
        <is>
          <t>GÄVLEBORGS LÄN</t>
        </is>
      </c>
      <c r="G7845" t="inlineStr">
        <is>
          <t>SÖDERHAMN</t>
        </is>
      </c>
      <c r="I7845" t="n">
        <v>0.6</v>
      </c>
      <c r="J7845" t="n">
        <v>0</v>
      </c>
      <c r="K7845" t="n">
        <v>0</v>
      </c>
      <c r="L7845" t="n">
        <v>0</v>
      </c>
      <c r="M7845" t="n">
        <v>0</v>
      </c>
      <c r="N7845" t="n">
        <v>0</v>
      </c>
      <c r="O7845" t="n">
        <v>0</v>
      </c>
      <c r="P7845" t="n">
        <v>0</v>
      </c>
      <c r="Q7845" t="n">
        <v>0</v>
      </c>
      <c r="R7845" t="n">
        <v>0</v>
      </c>
      <c r="S7845" t="n">
        <v>0</v>
      </c>
      <c r="T7845" t="n">
        <v>0</v>
      </c>
      <c r="U7845" t="n">
        <v>0</v>
      </c>
      <c r="V7845" s="2" t="inlineStr"/>
    </row>
    <row r="7846" ht="15" customHeight="1">
      <c r="A7846" t="inlineStr">
        <is>
          <t>A 22553-2026</t>
        </is>
      </c>
      <c r="B7846" t="inlineStr">
        <is>
          <t>avverkningsanmälan</t>
        </is>
      </c>
      <c r="C7846" t="inlineStr">
        <is>
          <t>Föryngringsavverkning</t>
        </is>
      </c>
      <c r="D7846" s="1" t="n">
        <v>46155</v>
      </c>
      <c r="E7846" s="1" t="n">
        <v>46326</v>
      </c>
      <c r="F7846" t="inlineStr">
        <is>
          <t>GÄVLEBORGS LÄN</t>
        </is>
      </c>
      <c r="G7846" t="inlineStr">
        <is>
          <t>HUDIKSVALL</t>
        </is>
      </c>
      <c r="H7846" t="inlineStr">
        <is>
          <t>Holmen skog AB</t>
        </is>
      </c>
      <c r="I7846" t="n">
        <v>67.5</v>
      </c>
      <c r="J7846" t="n">
        <v>0</v>
      </c>
      <c r="K7846" t="n">
        <v>0</v>
      </c>
      <c r="L7846" t="n">
        <v>0</v>
      </c>
      <c r="M7846" t="n">
        <v>0</v>
      </c>
      <c r="N7846" t="n">
        <v>0</v>
      </c>
      <c r="O7846" t="n">
        <v>0</v>
      </c>
      <c r="P7846" t="n">
        <v>0</v>
      </c>
      <c r="Q7846" t="n">
        <v>0</v>
      </c>
      <c r="R7846" t="n">
        <v>0</v>
      </c>
      <c r="S7846" t="n">
        <v>0</v>
      </c>
      <c r="T7846" t="n">
        <v>0</v>
      </c>
      <c r="U7846" t="n">
        <v>0</v>
      </c>
      <c r="V7846" s="2" t="inlineStr"/>
    </row>
    <row r="7847" ht="15" customHeight="1">
      <c r="A7847" t="inlineStr">
        <is>
          <t>A 15168-2024</t>
        </is>
      </c>
      <c r="B7847" t="inlineStr">
        <is>
          <t>avverkningsanmälan</t>
        </is>
      </c>
      <c r="C7847" t="inlineStr">
        <is>
          <t>Föryngringsavverkning</t>
        </is>
      </c>
      <c r="D7847" s="1" t="n">
        <v>45400</v>
      </c>
      <c r="E7847" s="1" t="n">
        <v>46326</v>
      </c>
      <c r="F7847" t="inlineStr">
        <is>
          <t>GÄVLEBORGS LÄN</t>
        </is>
      </c>
      <c r="G7847" t="inlineStr">
        <is>
          <t>LJUSDAL</t>
        </is>
      </c>
      <c r="H7847" t="inlineStr">
        <is>
          <t>Holmen skog AB</t>
        </is>
      </c>
      <c r="I7847" t="n">
        <v>6.6</v>
      </c>
      <c r="J7847" t="n">
        <v>0</v>
      </c>
      <c r="K7847" t="n">
        <v>0</v>
      </c>
      <c r="L7847" t="n">
        <v>0</v>
      </c>
      <c r="M7847" t="n">
        <v>0</v>
      </c>
      <c r="N7847" t="n">
        <v>0</v>
      </c>
      <c r="O7847" t="n">
        <v>0</v>
      </c>
      <c r="P7847" t="n">
        <v>0</v>
      </c>
      <c r="Q7847" t="n">
        <v>0</v>
      </c>
      <c r="R7847" t="n">
        <v>0</v>
      </c>
      <c r="S7847" t="n">
        <v>0</v>
      </c>
      <c r="T7847" t="n">
        <v>0</v>
      </c>
      <c r="U7847" t="n">
        <v>0</v>
      </c>
      <c r="V7847" s="2" t="inlineStr"/>
    </row>
    <row r="7848" ht="15" customHeight="1">
      <c r="A7848" t="inlineStr">
        <is>
          <t>A 22513-2026</t>
        </is>
      </c>
      <c r="B7848" t="inlineStr">
        <is>
          <t>avverkningsanmälan</t>
        </is>
      </c>
      <c r="C7848" t="inlineStr">
        <is>
          <t>Föryngringsavverkning</t>
        </is>
      </c>
      <c r="D7848" s="1" t="n">
        <v>46155</v>
      </c>
      <c r="E7848" s="1" t="n">
        <v>46326</v>
      </c>
      <c r="F7848" t="inlineStr">
        <is>
          <t>GÄVLEBORGS LÄN</t>
        </is>
      </c>
      <c r="G7848" t="inlineStr">
        <is>
          <t>BOLLNÄS</t>
        </is>
      </c>
      <c r="I7848" t="n">
        <v>1.1</v>
      </c>
      <c r="J7848" t="n">
        <v>0</v>
      </c>
      <c r="K7848" t="n">
        <v>0</v>
      </c>
      <c r="L7848" t="n">
        <v>0</v>
      </c>
      <c r="M7848" t="n">
        <v>0</v>
      </c>
      <c r="N7848" t="n">
        <v>0</v>
      </c>
      <c r="O7848" t="n">
        <v>0</v>
      </c>
      <c r="P7848" t="n">
        <v>0</v>
      </c>
      <c r="Q7848" t="n">
        <v>0</v>
      </c>
      <c r="R7848" t="n">
        <v>0</v>
      </c>
      <c r="S7848" t="n">
        <v>0</v>
      </c>
      <c r="T7848" t="n">
        <v>0</v>
      </c>
      <c r="U7848" t="n">
        <v>0</v>
      </c>
      <c r="V7848" s="2" t="inlineStr"/>
    </row>
    <row r="7849" ht="15" customHeight="1">
      <c r="A7849" t="inlineStr">
        <is>
          <t>A 15207-2024</t>
        </is>
      </c>
      <c r="B7849" t="inlineStr">
        <is>
          <t>avverkningsanmälan</t>
        </is>
      </c>
      <c r="C7849" t="inlineStr">
        <is>
          <t>Föryngringsavverkning</t>
        </is>
      </c>
      <c r="D7849" s="1" t="n">
        <v>45400</v>
      </c>
      <c r="E7849" s="1" t="n">
        <v>46326</v>
      </c>
      <c r="F7849" t="inlineStr">
        <is>
          <t>GÄVLEBORGS LÄN</t>
        </is>
      </c>
      <c r="G7849" t="inlineStr">
        <is>
          <t>GÄVLE</t>
        </is>
      </c>
      <c r="I7849" t="n">
        <v>6.3</v>
      </c>
      <c r="J7849" t="n">
        <v>0</v>
      </c>
      <c r="K7849" t="n">
        <v>0</v>
      </c>
      <c r="L7849" t="n">
        <v>0</v>
      </c>
      <c r="M7849" t="n">
        <v>0</v>
      </c>
      <c r="N7849" t="n">
        <v>0</v>
      </c>
      <c r="O7849" t="n">
        <v>0</v>
      </c>
      <c r="P7849" t="n">
        <v>0</v>
      </c>
      <c r="Q7849" t="n">
        <v>0</v>
      </c>
      <c r="R7849" t="n">
        <v>0</v>
      </c>
      <c r="S7849" t="n">
        <v>0</v>
      </c>
      <c r="T7849" t="n">
        <v>0</v>
      </c>
      <c r="U7849" t="n">
        <v>0</v>
      </c>
      <c r="V7849" s="2" t="inlineStr"/>
    </row>
    <row r="7850" ht="15" customHeight="1">
      <c r="A7850" t="inlineStr">
        <is>
          <t>A 39384-2023</t>
        </is>
      </c>
      <c r="B7850" t="inlineStr">
        <is>
          <t>avverkningsanmälan</t>
        </is>
      </c>
      <c r="C7850" t="inlineStr">
        <is>
          <t>Föryngringsavverkning</t>
        </is>
      </c>
      <c r="D7850" s="1" t="n">
        <v>45166</v>
      </c>
      <c r="E7850" s="1" t="n">
        <v>46326</v>
      </c>
      <c r="F7850" t="inlineStr">
        <is>
          <t>GÄVLEBORGS LÄN</t>
        </is>
      </c>
      <c r="G7850" t="inlineStr">
        <is>
          <t>OVANÅKER</t>
        </is>
      </c>
      <c r="I7850" t="n">
        <v>1.5</v>
      </c>
      <c r="J7850" t="n">
        <v>0</v>
      </c>
      <c r="K7850" t="n">
        <v>0</v>
      </c>
      <c r="L7850" t="n">
        <v>0</v>
      </c>
      <c r="M7850" t="n">
        <v>0</v>
      </c>
      <c r="N7850" t="n">
        <v>0</v>
      </c>
      <c r="O7850" t="n">
        <v>0</v>
      </c>
      <c r="P7850" t="n">
        <v>0</v>
      </c>
      <c r="Q7850" t="n">
        <v>0</v>
      </c>
      <c r="R7850" t="n">
        <v>0</v>
      </c>
      <c r="S7850" t="n">
        <v>0</v>
      </c>
      <c r="T7850" t="n">
        <v>0</v>
      </c>
      <c r="U7850" t="n">
        <v>0</v>
      </c>
      <c r="V7850" s="2" t="inlineStr"/>
    </row>
    <row r="7851" ht="15" customHeight="1">
      <c r="A7851" t="inlineStr">
        <is>
          <t>A 40318-2024</t>
        </is>
      </c>
      <c r="B7851" t="inlineStr">
        <is>
          <t>avverkningsanmälan</t>
        </is>
      </c>
      <c r="C7851" t="inlineStr">
        <is>
          <t>Föryngringsavverkning</t>
        </is>
      </c>
      <c r="D7851" s="1" t="n">
        <v>45554</v>
      </c>
      <c r="E7851" s="1" t="n">
        <v>46326</v>
      </c>
      <c r="F7851" t="inlineStr">
        <is>
          <t>GÄVLEBORGS LÄN</t>
        </is>
      </c>
      <c r="G7851" t="inlineStr">
        <is>
          <t>LJUSDAL</t>
        </is>
      </c>
      <c r="I7851" t="n">
        <v>7.1</v>
      </c>
      <c r="J7851" t="n">
        <v>0</v>
      </c>
      <c r="K7851" t="n">
        <v>0</v>
      </c>
      <c r="L7851" t="n">
        <v>0</v>
      </c>
      <c r="M7851" t="n">
        <v>0</v>
      </c>
      <c r="N7851" t="n">
        <v>0</v>
      </c>
      <c r="O7851" t="n">
        <v>0</v>
      </c>
      <c r="P7851" t="n">
        <v>0</v>
      </c>
      <c r="Q7851" t="n">
        <v>0</v>
      </c>
      <c r="R7851" t="n">
        <v>0</v>
      </c>
      <c r="S7851" t="n">
        <v>0</v>
      </c>
      <c r="T7851" t="n">
        <v>0</v>
      </c>
      <c r="U7851" t="n">
        <v>0</v>
      </c>
      <c r="V7851" s="2" t="inlineStr"/>
    </row>
    <row r="7852" ht="15" customHeight="1">
      <c r="A7852" t="inlineStr">
        <is>
          <t>A 40321-2024</t>
        </is>
      </c>
      <c r="B7852" t="inlineStr">
        <is>
          <t>avverkningsanmälan</t>
        </is>
      </c>
      <c r="C7852" t="inlineStr">
        <is>
          <t>Föryngringsavverkning</t>
        </is>
      </c>
      <c r="D7852" s="1" t="n">
        <v>45554</v>
      </c>
      <c r="E7852" s="1" t="n">
        <v>46326</v>
      </c>
      <c r="F7852" t="inlineStr">
        <is>
          <t>GÄVLEBORGS LÄN</t>
        </is>
      </c>
      <c r="G7852" t="inlineStr">
        <is>
          <t>HUDIKSVALL</t>
        </is>
      </c>
      <c r="I7852" t="n">
        <v>1.1</v>
      </c>
      <c r="J7852" t="n">
        <v>0</v>
      </c>
      <c r="K7852" t="n">
        <v>0</v>
      </c>
      <c r="L7852" t="n">
        <v>0</v>
      </c>
      <c r="M7852" t="n">
        <v>0</v>
      </c>
      <c r="N7852" t="n">
        <v>0</v>
      </c>
      <c r="O7852" t="n">
        <v>0</v>
      </c>
      <c r="P7852" t="n">
        <v>0</v>
      </c>
      <c r="Q7852" t="n">
        <v>0</v>
      </c>
      <c r="R7852" t="n">
        <v>0</v>
      </c>
      <c r="S7852" t="n">
        <v>0</v>
      </c>
      <c r="T7852" t="n">
        <v>0</v>
      </c>
      <c r="U7852" t="n">
        <v>0</v>
      </c>
      <c r="V7852" s="2" t="inlineStr"/>
    </row>
    <row r="7853" ht="15" customHeight="1">
      <c r="A7853" t="inlineStr">
        <is>
          <t>A 40928-2024</t>
        </is>
      </c>
      <c r="B7853" t="inlineStr">
        <is>
          <t>avverkningsanmälan</t>
        </is>
      </c>
      <c r="C7853" t="inlineStr">
        <is>
          <t>Föryngringsavverkning</t>
        </is>
      </c>
      <c r="D7853" s="1" t="n">
        <v>45558</v>
      </c>
      <c r="E7853" s="1" t="n">
        <v>46326</v>
      </c>
      <c r="F7853" t="inlineStr">
        <is>
          <t>GÄVLEBORGS LÄN</t>
        </is>
      </c>
      <c r="G7853" t="inlineStr">
        <is>
          <t>BOLLNÄS</t>
        </is>
      </c>
      <c r="I7853" t="n">
        <v>1.5</v>
      </c>
      <c r="J7853" t="n">
        <v>0</v>
      </c>
      <c r="K7853" t="n">
        <v>0</v>
      </c>
      <c r="L7853" t="n">
        <v>0</v>
      </c>
      <c r="M7853" t="n">
        <v>0</v>
      </c>
      <c r="N7853" t="n">
        <v>0</v>
      </c>
      <c r="O7853" t="n">
        <v>0</v>
      </c>
      <c r="P7853" t="n">
        <v>0</v>
      </c>
      <c r="Q7853" t="n">
        <v>0</v>
      </c>
      <c r="R7853" t="n">
        <v>0</v>
      </c>
      <c r="S7853" t="n">
        <v>0</v>
      </c>
      <c r="T7853" t="n">
        <v>0</v>
      </c>
      <c r="U7853" t="n">
        <v>0</v>
      </c>
      <c r="V7853" s="2" t="inlineStr"/>
    </row>
    <row r="7854" ht="15" customHeight="1">
      <c r="A7854" t="inlineStr">
        <is>
          <t>A 22569-2026</t>
        </is>
      </c>
      <c r="B7854" t="inlineStr">
        <is>
          <t>avverkningsanmälan</t>
        </is>
      </c>
      <c r="C7854" t="inlineStr">
        <is>
          <t>Föryngringsavverkning</t>
        </is>
      </c>
      <c r="D7854" s="1" t="n">
        <v>46155</v>
      </c>
      <c r="E7854" s="1" t="n">
        <v>46326</v>
      </c>
      <c r="F7854" t="inlineStr">
        <is>
          <t>GÄVLEBORGS LÄN</t>
        </is>
      </c>
      <c r="G7854" t="inlineStr">
        <is>
          <t>OCKELBO</t>
        </is>
      </c>
      <c r="I7854" t="n">
        <v>1.1</v>
      </c>
      <c r="J7854" t="n">
        <v>0</v>
      </c>
      <c r="K7854" t="n">
        <v>0</v>
      </c>
      <c r="L7854" t="n">
        <v>0</v>
      </c>
      <c r="M7854" t="n">
        <v>0</v>
      </c>
      <c r="N7854" t="n">
        <v>0</v>
      </c>
      <c r="O7854" t="n">
        <v>0</v>
      </c>
      <c r="P7854" t="n">
        <v>0</v>
      </c>
      <c r="Q7854" t="n">
        <v>0</v>
      </c>
      <c r="R7854" t="n">
        <v>0</v>
      </c>
      <c r="S7854" t="n">
        <v>0</v>
      </c>
      <c r="T7854" t="n">
        <v>0</v>
      </c>
      <c r="U7854" t="n">
        <v>0</v>
      </c>
      <c r="V7854" s="2" t="inlineStr"/>
    </row>
    <row r="7855" ht="15" customHeight="1">
      <c r="A7855" t="inlineStr">
        <is>
          <t>A 22570-2026</t>
        </is>
      </c>
      <c r="B7855" t="inlineStr">
        <is>
          <t>avverkningsanmälan</t>
        </is>
      </c>
      <c r="C7855" t="inlineStr">
        <is>
          <t>Föryngringsavverkning</t>
        </is>
      </c>
      <c r="D7855" s="1" t="n">
        <v>46155</v>
      </c>
      <c r="E7855" s="1" t="n">
        <v>46326</v>
      </c>
      <c r="F7855" t="inlineStr">
        <is>
          <t>GÄVLEBORGS LÄN</t>
        </is>
      </c>
      <c r="G7855" t="inlineStr">
        <is>
          <t>GÄVLE</t>
        </is>
      </c>
      <c r="I7855" t="n">
        <v>3.4</v>
      </c>
      <c r="J7855" t="n">
        <v>0</v>
      </c>
      <c r="K7855" t="n">
        <v>0</v>
      </c>
      <c r="L7855" t="n">
        <v>0</v>
      </c>
      <c r="M7855" t="n">
        <v>0</v>
      </c>
      <c r="N7855" t="n">
        <v>0</v>
      </c>
      <c r="O7855" t="n">
        <v>0</v>
      </c>
      <c r="P7855" t="n">
        <v>0</v>
      </c>
      <c r="Q7855" t="n">
        <v>0</v>
      </c>
      <c r="R7855" t="n">
        <v>0</v>
      </c>
      <c r="S7855" t="n">
        <v>0</v>
      </c>
      <c r="T7855" t="n">
        <v>0</v>
      </c>
      <c r="U7855" t="n">
        <v>0</v>
      </c>
      <c r="V7855" s="2" t="inlineStr"/>
    </row>
    <row r="7856" ht="15" customHeight="1">
      <c r="A7856" t="inlineStr">
        <is>
          <t>A 22607-2026</t>
        </is>
      </c>
      <c r="B7856" t="inlineStr">
        <is>
          <t>avverkningsanmälan</t>
        </is>
      </c>
      <c r="C7856" t="inlineStr">
        <is>
          <t>Föryngringsavverkning</t>
        </is>
      </c>
      <c r="D7856" s="1" t="n">
        <v>46155</v>
      </c>
      <c r="E7856" s="1" t="n">
        <v>46326</v>
      </c>
      <c r="F7856" t="inlineStr">
        <is>
          <t>GÄVLEBORGS LÄN</t>
        </is>
      </c>
      <c r="G7856" t="inlineStr">
        <is>
          <t>NORDANSTIG</t>
        </is>
      </c>
      <c r="I7856" t="n">
        <v>3.5</v>
      </c>
      <c r="J7856" t="n">
        <v>0</v>
      </c>
      <c r="K7856" t="n">
        <v>0</v>
      </c>
      <c r="L7856" t="n">
        <v>0</v>
      </c>
      <c r="M7856" t="n">
        <v>0</v>
      </c>
      <c r="N7856" t="n">
        <v>0</v>
      </c>
      <c r="O7856" t="n">
        <v>0</v>
      </c>
      <c r="P7856" t="n">
        <v>0</v>
      </c>
      <c r="Q7856" t="n">
        <v>0</v>
      </c>
      <c r="R7856" t="n">
        <v>0</v>
      </c>
      <c r="S7856" t="n">
        <v>0</v>
      </c>
      <c r="T7856" t="n">
        <v>0</v>
      </c>
      <c r="U7856" t="n">
        <v>0</v>
      </c>
      <c r="V7856" s="2" t="inlineStr"/>
    </row>
    <row r="7857" ht="15" customHeight="1">
      <c r="A7857" t="inlineStr">
        <is>
          <t>A 23545-2025</t>
        </is>
      </c>
      <c r="B7857" t="inlineStr">
        <is>
          <t>avverkningsanmälan</t>
        </is>
      </c>
      <c r="C7857" t="inlineStr">
        <is>
          <t>Avverkning för annat ändamål</t>
        </is>
      </c>
      <c r="D7857" s="1" t="n">
        <v>45792</v>
      </c>
      <c r="E7857" s="1" t="n">
        <v>46326</v>
      </c>
      <c r="F7857" t="inlineStr">
        <is>
          <t>GÄVLEBORGS LÄN</t>
        </is>
      </c>
      <c r="G7857" t="inlineStr">
        <is>
          <t>HOFORS</t>
        </is>
      </c>
      <c r="I7857" t="n">
        <v>3.5</v>
      </c>
      <c r="J7857" t="n">
        <v>0</v>
      </c>
      <c r="K7857" t="n">
        <v>0</v>
      </c>
      <c r="L7857" t="n">
        <v>0</v>
      </c>
      <c r="M7857" t="n">
        <v>0</v>
      </c>
      <c r="N7857" t="n">
        <v>0</v>
      </c>
      <c r="O7857" t="n">
        <v>0</v>
      </c>
      <c r="P7857" t="n">
        <v>0</v>
      </c>
      <c r="Q7857" t="n">
        <v>0</v>
      </c>
      <c r="R7857" t="n">
        <v>0</v>
      </c>
      <c r="S7857" t="n">
        <v>0</v>
      </c>
      <c r="T7857" t="n">
        <v>0</v>
      </c>
      <c r="U7857" t="n">
        <v>0</v>
      </c>
      <c r="V7857" s="2" t="inlineStr"/>
    </row>
    <row r="7858" ht="15" customHeight="1">
      <c r="A7858" t="inlineStr">
        <is>
          <t>A 732-2026</t>
        </is>
      </c>
      <c r="B7858" t="inlineStr">
        <is>
          <t>avverkningsanmälan</t>
        </is>
      </c>
      <c r="C7858" t="inlineStr">
        <is>
          <t>Föryngringsavverkning</t>
        </is>
      </c>
      <c r="D7858" s="1" t="n">
        <v>46029</v>
      </c>
      <c r="E7858" s="1" t="n">
        <v>46326</v>
      </c>
      <c r="F7858" t="inlineStr">
        <is>
          <t>GÄVLEBORGS LÄN</t>
        </is>
      </c>
      <c r="G7858" t="inlineStr">
        <is>
          <t>BOLLNÄS</t>
        </is>
      </c>
      <c r="I7858" t="n">
        <v>0.9</v>
      </c>
      <c r="J7858" t="n">
        <v>0</v>
      </c>
      <c r="K7858" t="n">
        <v>0</v>
      </c>
      <c r="L7858" t="n">
        <v>0</v>
      </c>
      <c r="M7858" t="n">
        <v>0</v>
      </c>
      <c r="N7858" t="n">
        <v>0</v>
      </c>
      <c r="O7858" t="n">
        <v>0</v>
      </c>
      <c r="P7858" t="n">
        <v>0</v>
      </c>
      <c r="Q7858" t="n">
        <v>0</v>
      </c>
      <c r="R7858" t="n">
        <v>0</v>
      </c>
      <c r="S7858" t="n">
        <v>0</v>
      </c>
      <c r="T7858" t="n">
        <v>0</v>
      </c>
      <c r="U7858" t="n">
        <v>0</v>
      </c>
      <c r="V7858" s="2" t="inlineStr"/>
    </row>
    <row r="7859" ht="15" customHeight="1">
      <c r="A7859" t="inlineStr">
        <is>
          <t>A 1457-2026</t>
        </is>
      </c>
      <c r="B7859" t="inlineStr">
        <is>
          <t>avverkningsanmälan</t>
        </is>
      </c>
      <c r="C7859" t="inlineStr">
        <is>
          <t>Föryngringsavverkning</t>
        </is>
      </c>
      <c r="D7859" s="1" t="n">
        <v>46033</v>
      </c>
      <c r="E7859" s="1" t="n">
        <v>46326</v>
      </c>
      <c r="F7859" t="inlineStr">
        <is>
          <t>GÄVLEBORGS LÄN</t>
        </is>
      </c>
      <c r="G7859" t="inlineStr">
        <is>
          <t>OVANÅKER</t>
        </is>
      </c>
      <c r="I7859" t="n">
        <v>1.8</v>
      </c>
      <c r="J7859" t="n">
        <v>0</v>
      </c>
      <c r="K7859" t="n">
        <v>0</v>
      </c>
      <c r="L7859" t="n">
        <v>0</v>
      </c>
      <c r="M7859" t="n">
        <v>0</v>
      </c>
      <c r="N7859" t="n">
        <v>0</v>
      </c>
      <c r="O7859" t="n">
        <v>0</v>
      </c>
      <c r="P7859" t="n">
        <v>0</v>
      </c>
      <c r="Q7859" t="n">
        <v>0</v>
      </c>
      <c r="R7859" t="n">
        <v>0</v>
      </c>
      <c r="S7859" t="n">
        <v>0</v>
      </c>
      <c r="T7859" t="n">
        <v>0</v>
      </c>
      <c r="U7859" t="n">
        <v>0</v>
      </c>
      <c r="V7859" s="2" t="inlineStr"/>
    </row>
    <row r="7860" ht="15" customHeight="1">
      <c r="A7860" t="inlineStr">
        <is>
          <t>A 42902-2024</t>
        </is>
      </c>
      <c r="B7860" t="inlineStr">
        <is>
          <t>avverkningsanmälan</t>
        </is>
      </c>
      <c r="C7860" t="inlineStr">
        <is>
          <t>Föryngringsavverkning</t>
        </is>
      </c>
      <c r="D7860" s="1" t="n">
        <v>45566</v>
      </c>
      <c r="E7860" s="1" t="n">
        <v>46326</v>
      </c>
      <c r="F7860" t="inlineStr">
        <is>
          <t>GÄVLEBORGS LÄN</t>
        </is>
      </c>
      <c r="G7860" t="inlineStr">
        <is>
          <t>SÖDERHAMN</t>
        </is>
      </c>
      <c r="I7860" t="n">
        <v>2.3</v>
      </c>
      <c r="J7860" t="n">
        <v>0</v>
      </c>
      <c r="K7860" t="n">
        <v>0</v>
      </c>
      <c r="L7860" t="n">
        <v>0</v>
      </c>
      <c r="M7860" t="n">
        <v>0</v>
      </c>
      <c r="N7860" t="n">
        <v>0</v>
      </c>
      <c r="O7860" t="n">
        <v>0</v>
      </c>
      <c r="P7860" t="n">
        <v>0</v>
      </c>
      <c r="Q7860" t="n">
        <v>0</v>
      </c>
      <c r="R7860" t="n">
        <v>0</v>
      </c>
      <c r="S7860" t="n">
        <v>0</v>
      </c>
      <c r="T7860" t="n">
        <v>0</v>
      </c>
      <c r="U7860" t="n">
        <v>0</v>
      </c>
      <c r="V7860" s="2" t="inlineStr"/>
    </row>
    <row r="7861" ht="15" customHeight="1">
      <c r="A7861" t="inlineStr">
        <is>
          <t>A 9336-2026</t>
        </is>
      </c>
      <c r="B7861" t="inlineStr">
        <is>
          <t>avverkningsanmälan</t>
        </is>
      </c>
      <c r="C7861" t="inlineStr">
        <is>
          <t>Föryngringsavverkning</t>
        </is>
      </c>
      <c r="D7861" s="1" t="n">
        <v>46070</v>
      </c>
      <c r="E7861" s="1" t="n">
        <v>46326</v>
      </c>
      <c r="F7861" t="inlineStr">
        <is>
          <t>GÄVLEBORGS LÄN</t>
        </is>
      </c>
      <c r="G7861" t="inlineStr">
        <is>
          <t>BOLLNÄS</t>
        </is>
      </c>
      <c r="I7861" t="n">
        <v>6.2</v>
      </c>
      <c r="J7861" t="n">
        <v>0</v>
      </c>
      <c r="K7861" t="n">
        <v>0</v>
      </c>
      <c r="L7861" t="n">
        <v>0</v>
      </c>
      <c r="M7861" t="n">
        <v>0</v>
      </c>
      <c r="N7861" t="n">
        <v>0</v>
      </c>
      <c r="O7861" t="n">
        <v>0</v>
      </c>
      <c r="P7861" t="n">
        <v>0</v>
      </c>
      <c r="Q7861" t="n">
        <v>0</v>
      </c>
      <c r="R7861" t="n">
        <v>0</v>
      </c>
      <c r="S7861" t="n">
        <v>0</v>
      </c>
      <c r="T7861" t="n">
        <v>0</v>
      </c>
      <c r="U7861" t="n">
        <v>0</v>
      </c>
      <c r="V7861" s="2" t="inlineStr"/>
    </row>
    <row r="7862" ht="15" customHeight="1">
      <c r="A7862" t="inlineStr">
        <is>
          <t>A 1829-2026</t>
        </is>
      </c>
      <c r="B7862" t="inlineStr">
        <is>
          <t>avverkningsanmälan</t>
        </is>
      </c>
      <c r="C7862" t="inlineStr">
        <is>
          <t>Föryngringsavverkning</t>
        </is>
      </c>
      <c r="D7862" s="1" t="n">
        <v>46035</v>
      </c>
      <c r="E7862" s="1" t="n">
        <v>46326</v>
      </c>
      <c r="F7862" t="inlineStr">
        <is>
          <t>GÄVLEBORGS LÄN</t>
        </is>
      </c>
      <c r="G7862" t="inlineStr">
        <is>
          <t>NORDANSTIG</t>
        </is>
      </c>
      <c r="I7862" t="n">
        <v>15.6</v>
      </c>
      <c r="J7862" t="n">
        <v>0</v>
      </c>
      <c r="K7862" t="n">
        <v>0</v>
      </c>
      <c r="L7862" t="n">
        <v>0</v>
      </c>
      <c r="M7862" t="n">
        <v>0</v>
      </c>
      <c r="N7862" t="n">
        <v>0</v>
      </c>
      <c r="O7862" t="n">
        <v>0</v>
      </c>
      <c r="P7862" t="n">
        <v>0</v>
      </c>
      <c r="Q7862" t="n">
        <v>0</v>
      </c>
      <c r="R7862" t="n">
        <v>0</v>
      </c>
      <c r="S7862" t="n">
        <v>0</v>
      </c>
      <c r="T7862" t="n">
        <v>0</v>
      </c>
      <c r="U7862" t="n">
        <v>0</v>
      </c>
      <c r="V7862" s="2" t="inlineStr"/>
    </row>
    <row r="7863" ht="15" customHeight="1">
      <c r="A7863" t="inlineStr">
        <is>
          <t>A 1893-2026</t>
        </is>
      </c>
      <c r="B7863" t="inlineStr">
        <is>
          <t>avverkningsanmälan</t>
        </is>
      </c>
      <c r="C7863" t="inlineStr">
        <is>
          <t>Föryngringsavverkning</t>
        </is>
      </c>
      <c r="D7863" s="1" t="n">
        <v>46035</v>
      </c>
      <c r="E7863" s="1" t="n">
        <v>46326</v>
      </c>
      <c r="F7863" t="inlineStr">
        <is>
          <t>GÄVLEBORGS LÄN</t>
        </is>
      </c>
      <c r="G7863" t="inlineStr">
        <is>
          <t>OVANÅKER</t>
        </is>
      </c>
      <c r="I7863" t="n">
        <v>2.6</v>
      </c>
      <c r="J7863" t="n">
        <v>0</v>
      </c>
      <c r="K7863" t="n">
        <v>0</v>
      </c>
      <c r="L7863" t="n">
        <v>0</v>
      </c>
      <c r="M7863" t="n">
        <v>0</v>
      </c>
      <c r="N7863" t="n">
        <v>0</v>
      </c>
      <c r="O7863" t="n">
        <v>0</v>
      </c>
      <c r="P7863" t="n">
        <v>0</v>
      </c>
      <c r="Q7863" t="n">
        <v>0</v>
      </c>
      <c r="R7863" t="n">
        <v>0</v>
      </c>
      <c r="S7863" t="n">
        <v>0</v>
      </c>
      <c r="T7863" t="n">
        <v>0</v>
      </c>
      <c r="U7863" t="n">
        <v>0</v>
      </c>
      <c r="V7863" s="2" t="inlineStr"/>
    </row>
    <row r="7864" ht="15" customHeight="1">
      <c r="A7864" t="inlineStr">
        <is>
          <t>A 36446-2024</t>
        </is>
      </c>
      <c r="B7864" t="inlineStr">
        <is>
          <t>avverkningsanmälan</t>
        </is>
      </c>
      <c r="C7864" t="inlineStr">
        <is>
          <t>Föryngringsavverkning</t>
        </is>
      </c>
      <c r="D7864" s="1" t="n">
        <v>45537</v>
      </c>
      <c r="E7864" s="1" t="n">
        <v>46326</v>
      </c>
      <c r="F7864" t="inlineStr">
        <is>
          <t>GÄVLEBORGS LÄN</t>
        </is>
      </c>
      <c r="G7864" t="inlineStr">
        <is>
          <t>LJUSDAL</t>
        </is>
      </c>
      <c r="H7864" t="inlineStr">
        <is>
          <t>Sveaskog</t>
        </is>
      </c>
      <c r="I7864" t="n">
        <v>2</v>
      </c>
      <c r="J7864" t="n">
        <v>0</v>
      </c>
      <c r="K7864" t="n">
        <v>0</v>
      </c>
      <c r="L7864" t="n">
        <v>0</v>
      </c>
      <c r="M7864" t="n">
        <v>0</v>
      </c>
      <c r="N7864" t="n">
        <v>0</v>
      </c>
      <c r="O7864" t="n">
        <v>0</v>
      </c>
      <c r="P7864" t="n">
        <v>0</v>
      </c>
      <c r="Q7864" t="n">
        <v>0</v>
      </c>
      <c r="R7864" t="n">
        <v>0</v>
      </c>
      <c r="S7864" t="n">
        <v>0</v>
      </c>
      <c r="T7864" t="n">
        <v>0</v>
      </c>
      <c r="U7864" t="n">
        <v>0</v>
      </c>
      <c r="V7864" s="2" t="inlineStr"/>
    </row>
    <row r="7865" ht="15" customHeight="1">
      <c r="A7865" t="inlineStr">
        <is>
          <t>A 37438-2023</t>
        </is>
      </c>
      <c r="B7865" t="inlineStr">
        <is>
          <t>avverkningsanmälan</t>
        </is>
      </c>
      <c r="C7865" t="inlineStr">
        <is>
          <t>Föryngringsavverkning</t>
        </is>
      </c>
      <c r="D7865" s="1" t="n">
        <v>45156</v>
      </c>
      <c r="E7865" s="1" t="n">
        <v>46326</v>
      </c>
      <c r="F7865" t="inlineStr">
        <is>
          <t>GÄVLEBORGS LÄN</t>
        </is>
      </c>
      <c r="G7865" t="inlineStr">
        <is>
          <t>OCKELBO</t>
        </is>
      </c>
      <c r="H7865" t="inlineStr">
        <is>
          <t>Bergvik skog väst AB</t>
        </is>
      </c>
      <c r="I7865" t="n">
        <v>3.4</v>
      </c>
      <c r="J7865" t="n">
        <v>0</v>
      </c>
      <c r="K7865" t="n">
        <v>0</v>
      </c>
      <c r="L7865" t="n">
        <v>0</v>
      </c>
      <c r="M7865" t="n">
        <v>0</v>
      </c>
      <c r="N7865" t="n">
        <v>0</v>
      </c>
      <c r="O7865" t="n">
        <v>0</v>
      </c>
      <c r="P7865" t="n">
        <v>0</v>
      </c>
      <c r="Q7865" t="n">
        <v>0</v>
      </c>
      <c r="R7865" t="n">
        <v>0</v>
      </c>
      <c r="S7865" t="n">
        <v>0</v>
      </c>
      <c r="T7865" t="n">
        <v>0</v>
      </c>
      <c r="U7865" t="n">
        <v>0</v>
      </c>
      <c r="V7865" s="2" t="inlineStr"/>
    </row>
    <row r="7866" ht="15" customHeight="1">
      <c r="A7866" t="inlineStr">
        <is>
          <t>A 1546-2026</t>
        </is>
      </c>
      <c r="B7866" t="inlineStr">
        <is>
          <t>avverkningsanmälan</t>
        </is>
      </c>
      <c r="C7866" t="inlineStr">
        <is>
          <t>Föryngringsavverkning</t>
        </is>
      </c>
      <c r="D7866" s="1" t="n">
        <v>46034</v>
      </c>
      <c r="E7866" s="1" t="n">
        <v>46326</v>
      </c>
      <c r="F7866" t="inlineStr">
        <is>
          <t>GÄVLEBORGS LÄN</t>
        </is>
      </c>
      <c r="G7866" t="inlineStr">
        <is>
          <t>BOLLNÄS</t>
        </is>
      </c>
      <c r="I7866" t="n">
        <v>3.5</v>
      </c>
      <c r="J7866" t="n">
        <v>0</v>
      </c>
      <c r="K7866" t="n">
        <v>0</v>
      </c>
      <c r="L7866" t="n">
        <v>0</v>
      </c>
      <c r="M7866" t="n">
        <v>0</v>
      </c>
      <c r="N7866" t="n">
        <v>0</v>
      </c>
      <c r="O7866" t="n">
        <v>0</v>
      </c>
      <c r="P7866" t="n">
        <v>0</v>
      </c>
      <c r="Q7866" t="n">
        <v>0</v>
      </c>
      <c r="R7866" t="n">
        <v>0</v>
      </c>
      <c r="S7866" t="n">
        <v>0</v>
      </c>
      <c r="T7866" t="n">
        <v>0</v>
      </c>
      <c r="U7866" t="n">
        <v>0</v>
      </c>
      <c r="V7866" s="2" t="inlineStr"/>
    </row>
    <row r="7867" ht="15" customHeight="1">
      <c r="A7867" t="inlineStr">
        <is>
          <t>A 3614-2026</t>
        </is>
      </c>
      <c r="B7867" t="inlineStr">
        <is>
          <t>avverkningsanmälan</t>
        </is>
      </c>
      <c r="C7867" t="inlineStr">
        <is>
          <t>Föryngringsavverkning</t>
        </is>
      </c>
      <c r="D7867" s="1" t="n">
        <v>46042</v>
      </c>
      <c r="E7867" s="1" t="n">
        <v>46326</v>
      </c>
      <c r="F7867" t="inlineStr">
        <is>
          <t>GÄVLEBORGS LÄN</t>
        </is>
      </c>
      <c r="G7867" t="inlineStr">
        <is>
          <t>HOFORS</t>
        </is>
      </c>
      <c r="I7867" t="n">
        <v>2.2</v>
      </c>
      <c r="J7867" t="n">
        <v>0</v>
      </c>
      <c r="K7867" t="n">
        <v>0</v>
      </c>
      <c r="L7867" t="n">
        <v>0</v>
      </c>
      <c r="M7867" t="n">
        <v>0</v>
      </c>
      <c r="N7867" t="n">
        <v>0</v>
      </c>
      <c r="O7867" t="n">
        <v>0</v>
      </c>
      <c r="P7867" t="n">
        <v>0</v>
      </c>
      <c r="Q7867" t="n">
        <v>0</v>
      </c>
      <c r="R7867" t="n">
        <v>0</v>
      </c>
      <c r="S7867" t="n">
        <v>0</v>
      </c>
      <c r="T7867" t="n">
        <v>0</v>
      </c>
      <c r="U7867" t="n">
        <v>0</v>
      </c>
      <c r="V7867" s="2" t="inlineStr"/>
    </row>
    <row r="7868" ht="15" customHeight="1">
      <c r="A7868" t="inlineStr">
        <is>
          <t>A 5833-2023</t>
        </is>
      </c>
      <c r="B7868" t="inlineStr">
        <is>
          <t>avverkningsanmälan</t>
        </is>
      </c>
      <c r="C7868" t="inlineStr">
        <is>
          <t>Föryngringsavverkning</t>
        </is>
      </c>
      <c r="D7868" s="1" t="n">
        <v>44963</v>
      </c>
      <c r="E7868" s="1" t="n">
        <v>46326</v>
      </c>
      <c r="F7868" t="inlineStr">
        <is>
          <t>GÄVLEBORGS LÄN</t>
        </is>
      </c>
      <c r="G7868" t="inlineStr">
        <is>
          <t>LJUSDAL</t>
        </is>
      </c>
      <c r="I7868" t="n">
        <v>8.9</v>
      </c>
      <c r="J7868" t="n">
        <v>0</v>
      </c>
      <c r="K7868" t="n">
        <v>0</v>
      </c>
      <c r="L7868" t="n">
        <v>0</v>
      </c>
      <c r="M7868" t="n">
        <v>0</v>
      </c>
      <c r="N7868" t="n">
        <v>0</v>
      </c>
      <c r="O7868" t="n">
        <v>0</v>
      </c>
      <c r="P7868" t="n">
        <v>0</v>
      </c>
      <c r="Q7868" t="n">
        <v>0</v>
      </c>
      <c r="R7868" t="n">
        <v>0</v>
      </c>
      <c r="S7868" t="n">
        <v>0</v>
      </c>
      <c r="T7868" t="n">
        <v>0</v>
      </c>
      <c r="U7868" t="n">
        <v>0</v>
      </c>
      <c r="V7868" s="2" t="inlineStr"/>
    </row>
    <row r="7869" ht="15" customHeight="1">
      <c r="A7869" t="inlineStr">
        <is>
          <t>A 22330-2026</t>
        </is>
      </c>
      <c r="B7869" t="inlineStr">
        <is>
          <t>avverkningsanmälan</t>
        </is>
      </c>
      <c r="C7869" t="inlineStr">
        <is>
          <t>Föryngringsavverkning</t>
        </is>
      </c>
      <c r="D7869" s="1" t="n">
        <v>46154</v>
      </c>
      <c r="E7869" s="1" t="n">
        <v>46326</v>
      </c>
      <c r="F7869" t="inlineStr">
        <is>
          <t>GÄVLEBORGS LÄN</t>
        </is>
      </c>
      <c r="G7869" t="inlineStr">
        <is>
          <t>HUDIKSVALL</t>
        </is>
      </c>
      <c r="H7869" t="inlineStr">
        <is>
          <t>Holmen skog AB</t>
        </is>
      </c>
      <c r="I7869" t="n">
        <v>0.7</v>
      </c>
      <c r="J7869" t="n">
        <v>0</v>
      </c>
      <c r="K7869" t="n">
        <v>0</v>
      </c>
      <c r="L7869" t="n">
        <v>0</v>
      </c>
      <c r="M7869" t="n">
        <v>0</v>
      </c>
      <c r="N7869" t="n">
        <v>0</v>
      </c>
      <c r="O7869" t="n">
        <v>0</v>
      </c>
      <c r="P7869" t="n">
        <v>0</v>
      </c>
      <c r="Q7869" t="n">
        <v>0</v>
      </c>
      <c r="R7869" t="n">
        <v>0</v>
      </c>
      <c r="S7869" t="n">
        <v>0</v>
      </c>
      <c r="T7869" t="n">
        <v>0</v>
      </c>
      <c r="U7869" t="n">
        <v>0</v>
      </c>
      <c r="V7869" s="2" t="inlineStr"/>
    </row>
    <row r="7870" ht="15" customHeight="1">
      <c r="A7870" t="inlineStr">
        <is>
          <t>A 675-2023</t>
        </is>
      </c>
      <c r="B7870" t="inlineStr">
        <is>
          <t>avverkningsanmälan</t>
        </is>
      </c>
      <c r="C7870" t="inlineStr">
        <is>
          <t>Föryngringsavverkning</t>
        </is>
      </c>
      <c r="D7870" s="1" t="n">
        <v>44930</v>
      </c>
      <c r="E7870" s="1" t="n">
        <v>46326</v>
      </c>
      <c r="F7870" t="inlineStr">
        <is>
          <t>GÄVLEBORGS LÄN</t>
        </is>
      </c>
      <c r="G7870" t="inlineStr">
        <is>
          <t>NORDANSTIG</t>
        </is>
      </c>
      <c r="H7870" t="inlineStr">
        <is>
          <t>Holmen skog AB</t>
        </is>
      </c>
      <c r="I7870" t="n">
        <v>2.3</v>
      </c>
      <c r="J7870" t="n">
        <v>0</v>
      </c>
      <c r="K7870" t="n">
        <v>0</v>
      </c>
      <c r="L7870" t="n">
        <v>0</v>
      </c>
      <c r="M7870" t="n">
        <v>0</v>
      </c>
      <c r="N7870" t="n">
        <v>0</v>
      </c>
      <c r="O7870" t="n">
        <v>0</v>
      </c>
      <c r="P7870" t="n">
        <v>0</v>
      </c>
      <c r="Q7870" t="n">
        <v>0</v>
      </c>
      <c r="R7870" t="n">
        <v>0</v>
      </c>
      <c r="S7870" t="n">
        <v>0</v>
      </c>
      <c r="T7870" t="n">
        <v>0</v>
      </c>
      <c r="U7870" t="n">
        <v>0</v>
      </c>
      <c r="V7870" s="2" t="inlineStr"/>
    </row>
    <row r="7871" ht="15" customHeight="1">
      <c r="A7871" t="inlineStr">
        <is>
          <t>A 11897-2024</t>
        </is>
      </c>
      <c r="B7871" t="inlineStr">
        <is>
          <t>avverkningsanmälan</t>
        </is>
      </c>
      <c r="C7871" t="inlineStr">
        <is>
          <t>Föryngringsavverkning</t>
        </is>
      </c>
      <c r="D7871" s="1" t="n">
        <v>45376</v>
      </c>
      <c r="E7871" s="1" t="n">
        <v>46326</v>
      </c>
      <c r="F7871" t="inlineStr">
        <is>
          <t>GÄVLEBORGS LÄN</t>
        </is>
      </c>
      <c r="G7871" t="inlineStr">
        <is>
          <t>SANDVIKEN</t>
        </is>
      </c>
      <c r="I7871" t="n">
        <v>1.4</v>
      </c>
      <c r="J7871" t="n">
        <v>0</v>
      </c>
      <c r="K7871" t="n">
        <v>0</v>
      </c>
      <c r="L7871" t="n">
        <v>0</v>
      </c>
      <c r="M7871" t="n">
        <v>0</v>
      </c>
      <c r="N7871" t="n">
        <v>0</v>
      </c>
      <c r="O7871" t="n">
        <v>0</v>
      </c>
      <c r="P7871" t="n">
        <v>0</v>
      </c>
      <c r="Q7871" t="n">
        <v>0</v>
      </c>
      <c r="R7871" t="n">
        <v>0</v>
      </c>
      <c r="S7871" t="n">
        <v>0</v>
      </c>
      <c r="T7871" t="n">
        <v>0</v>
      </c>
      <c r="U7871" t="n">
        <v>0</v>
      </c>
      <c r="V7871" s="2" t="inlineStr"/>
    </row>
    <row r="7872" ht="15" customHeight="1">
      <c r="A7872" t="inlineStr">
        <is>
          <t>A 1708-2023</t>
        </is>
      </c>
      <c r="B7872" t="inlineStr">
        <is>
          <t>avverkningsanmälan</t>
        </is>
      </c>
      <c r="C7872" t="inlineStr">
        <is>
          <t>Föryngringsavverkning</t>
        </is>
      </c>
      <c r="D7872" s="1" t="n">
        <v>44938</v>
      </c>
      <c r="E7872" s="1" t="n">
        <v>46326</v>
      </c>
      <c r="F7872" t="inlineStr">
        <is>
          <t>GÄVLEBORGS LÄN</t>
        </is>
      </c>
      <c r="G7872" t="inlineStr">
        <is>
          <t>NORDANSTIG</t>
        </is>
      </c>
      <c r="H7872" t="inlineStr">
        <is>
          <t>Holmen skog AB</t>
        </is>
      </c>
      <c r="I7872" t="n">
        <v>1</v>
      </c>
      <c r="J7872" t="n">
        <v>0</v>
      </c>
      <c r="K7872" t="n">
        <v>0</v>
      </c>
      <c r="L7872" t="n">
        <v>0</v>
      </c>
      <c r="M7872" t="n">
        <v>0</v>
      </c>
      <c r="N7872" t="n">
        <v>0</v>
      </c>
      <c r="O7872" t="n">
        <v>0</v>
      </c>
      <c r="P7872" t="n">
        <v>0</v>
      </c>
      <c r="Q7872" t="n">
        <v>0</v>
      </c>
      <c r="R7872" t="n">
        <v>0</v>
      </c>
      <c r="S7872" t="n">
        <v>0</v>
      </c>
      <c r="T7872" t="n">
        <v>0</v>
      </c>
      <c r="U7872" t="n">
        <v>0</v>
      </c>
      <c r="V7872" s="2" t="inlineStr"/>
    </row>
    <row r="7873" ht="15" customHeight="1">
      <c r="A7873" t="inlineStr">
        <is>
          <t>A 22329-2026</t>
        </is>
      </c>
      <c r="B7873" t="inlineStr">
        <is>
          <t>avverkningsanmälan</t>
        </is>
      </c>
      <c r="C7873" t="inlineStr">
        <is>
          <t>Föryngringsavverkning</t>
        </is>
      </c>
      <c r="D7873" s="1" t="n">
        <v>46154</v>
      </c>
      <c r="E7873" s="1" t="n">
        <v>46326</v>
      </c>
      <c r="F7873" t="inlineStr">
        <is>
          <t>GÄVLEBORGS LÄN</t>
        </is>
      </c>
      <c r="G7873" t="inlineStr">
        <is>
          <t>OCKELBO</t>
        </is>
      </c>
      <c r="I7873" t="n">
        <v>1.7</v>
      </c>
      <c r="J7873" t="n">
        <v>0</v>
      </c>
      <c r="K7873" t="n">
        <v>0</v>
      </c>
      <c r="L7873" t="n">
        <v>0</v>
      </c>
      <c r="M7873" t="n">
        <v>0</v>
      </c>
      <c r="N7873" t="n">
        <v>0</v>
      </c>
      <c r="O7873" t="n">
        <v>0</v>
      </c>
      <c r="P7873" t="n">
        <v>0</v>
      </c>
      <c r="Q7873" t="n">
        <v>0</v>
      </c>
      <c r="R7873" t="n">
        <v>0</v>
      </c>
      <c r="S7873" t="n">
        <v>0</v>
      </c>
      <c r="T7873" t="n">
        <v>0</v>
      </c>
      <c r="U7873" t="n">
        <v>0</v>
      </c>
      <c r="V7873" s="2" t="inlineStr"/>
    </row>
    <row r="7874" ht="15" customHeight="1">
      <c r="A7874" t="inlineStr">
        <is>
          <t>A 22332-2026</t>
        </is>
      </c>
      <c r="B7874" t="inlineStr">
        <is>
          <t>avverkningsanmälan</t>
        </is>
      </c>
      <c r="C7874" t="inlineStr">
        <is>
          <t>Föryngringsavverkning</t>
        </is>
      </c>
      <c r="D7874" s="1" t="n">
        <v>46154</v>
      </c>
      <c r="E7874" s="1" t="n">
        <v>46326</v>
      </c>
      <c r="F7874" t="inlineStr">
        <is>
          <t>GÄVLEBORGS LÄN</t>
        </is>
      </c>
      <c r="G7874" t="inlineStr">
        <is>
          <t>HUDIKSVALL</t>
        </is>
      </c>
      <c r="H7874" t="inlineStr">
        <is>
          <t>Holmen skog AB</t>
        </is>
      </c>
      <c r="I7874" t="n">
        <v>7.3</v>
      </c>
      <c r="J7874" t="n">
        <v>0</v>
      </c>
      <c r="K7874" t="n">
        <v>0</v>
      </c>
      <c r="L7874" t="n">
        <v>0</v>
      </c>
      <c r="M7874" t="n">
        <v>0</v>
      </c>
      <c r="N7874" t="n">
        <v>0</v>
      </c>
      <c r="O7874" t="n">
        <v>0</v>
      </c>
      <c r="P7874" t="n">
        <v>0</v>
      </c>
      <c r="Q7874" t="n">
        <v>0</v>
      </c>
      <c r="R7874" t="n">
        <v>0</v>
      </c>
      <c r="S7874" t="n">
        <v>0</v>
      </c>
      <c r="T7874" t="n">
        <v>0</v>
      </c>
      <c r="U7874" t="n">
        <v>0</v>
      </c>
      <c r="V7874" s="2" t="inlineStr"/>
    </row>
    <row r="7875" ht="15" customHeight="1">
      <c r="A7875" t="inlineStr">
        <is>
          <t>A 6473-2026</t>
        </is>
      </c>
      <c r="B7875" t="inlineStr">
        <is>
          <t>avverkningsanmälan</t>
        </is>
      </c>
      <c r="C7875" t="inlineStr">
        <is>
          <t>Föryngringsavverkning</t>
        </is>
      </c>
      <c r="D7875" s="1" t="n">
        <v>46056</v>
      </c>
      <c r="E7875" s="1" t="n">
        <v>46326</v>
      </c>
      <c r="F7875" t="inlineStr">
        <is>
          <t>GÄVLEBORGS LÄN</t>
        </is>
      </c>
      <c r="G7875" t="inlineStr">
        <is>
          <t>BOLLNÄS</t>
        </is>
      </c>
      <c r="I7875" t="n">
        <v>7.3</v>
      </c>
      <c r="J7875" t="n">
        <v>0</v>
      </c>
      <c r="K7875" t="n">
        <v>0</v>
      </c>
      <c r="L7875" t="n">
        <v>0</v>
      </c>
      <c r="M7875" t="n">
        <v>0</v>
      </c>
      <c r="N7875" t="n">
        <v>0</v>
      </c>
      <c r="O7875" t="n">
        <v>0</v>
      </c>
      <c r="P7875" t="n">
        <v>0</v>
      </c>
      <c r="Q7875" t="n">
        <v>0</v>
      </c>
      <c r="R7875" t="n">
        <v>0</v>
      </c>
      <c r="S7875" t="n">
        <v>0</v>
      </c>
      <c r="T7875" t="n">
        <v>0</v>
      </c>
      <c r="U7875" t="n">
        <v>0</v>
      </c>
      <c r="V7875" s="2" t="inlineStr"/>
    </row>
    <row r="7876" ht="15" customHeight="1">
      <c r="A7876" t="inlineStr">
        <is>
          <t>A 22254-2026</t>
        </is>
      </c>
      <c r="B7876" t="inlineStr">
        <is>
          <t>avverkningsanmälan</t>
        </is>
      </c>
      <c r="C7876" t="inlineStr">
        <is>
          <t>Föryngringsavverkning</t>
        </is>
      </c>
      <c r="D7876" s="1" t="n">
        <v>46154</v>
      </c>
      <c r="E7876" s="1" t="n">
        <v>46326</v>
      </c>
      <c r="F7876" t="inlineStr">
        <is>
          <t>GÄVLEBORGS LÄN</t>
        </is>
      </c>
      <c r="G7876" t="inlineStr">
        <is>
          <t>BOLLNÄS</t>
        </is>
      </c>
      <c r="I7876" t="n">
        <v>5.8</v>
      </c>
      <c r="J7876" t="n">
        <v>0</v>
      </c>
      <c r="K7876" t="n">
        <v>0</v>
      </c>
      <c r="L7876" t="n">
        <v>0</v>
      </c>
      <c r="M7876" t="n">
        <v>0</v>
      </c>
      <c r="N7876" t="n">
        <v>0</v>
      </c>
      <c r="O7876" t="n">
        <v>0</v>
      </c>
      <c r="P7876" t="n">
        <v>0</v>
      </c>
      <c r="Q7876" t="n">
        <v>0</v>
      </c>
      <c r="R7876" t="n">
        <v>0</v>
      </c>
      <c r="S7876" t="n">
        <v>0</v>
      </c>
      <c r="T7876" t="n">
        <v>0</v>
      </c>
      <c r="U7876" t="n">
        <v>0</v>
      </c>
      <c r="V7876" s="2" t="inlineStr"/>
    </row>
    <row r="7877" ht="15" customHeight="1">
      <c r="A7877" t="inlineStr">
        <is>
          <t>A 22303-2026</t>
        </is>
      </c>
      <c r="B7877" t="inlineStr">
        <is>
          <t>avverkningsanmälan</t>
        </is>
      </c>
      <c r="C7877" t="inlineStr">
        <is>
          <t>Föryngringsavverkning</t>
        </is>
      </c>
      <c r="D7877" s="1" t="n">
        <v>46154</v>
      </c>
      <c r="E7877" s="1" t="n">
        <v>46326</v>
      </c>
      <c r="F7877" t="inlineStr">
        <is>
          <t>GÄVLEBORGS LÄN</t>
        </is>
      </c>
      <c r="G7877" t="inlineStr">
        <is>
          <t>BOLLNÄS</t>
        </is>
      </c>
      <c r="I7877" t="n">
        <v>0.6</v>
      </c>
      <c r="J7877" t="n">
        <v>0</v>
      </c>
      <c r="K7877" t="n">
        <v>0</v>
      </c>
      <c r="L7877" t="n">
        <v>0</v>
      </c>
      <c r="M7877" t="n">
        <v>0</v>
      </c>
      <c r="N7877" t="n">
        <v>0</v>
      </c>
      <c r="O7877" t="n">
        <v>0</v>
      </c>
      <c r="P7877" t="n">
        <v>0</v>
      </c>
      <c r="Q7877" t="n">
        <v>0</v>
      </c>
      <c r="R7877" t="n">
        <v>0</v>
      </c>
      <c r="S7877" t="n">
        <v>0</v>
      </c>
      <c r="T7877" t="n">
        <v>0</v>
      </c>
      <c r="U7877" t="n">
        <v>0</v>
      </c>
      <c r="V7877" s="2" t="inlineStr"/>
    </row>
    <row r="7878" ht="15" customHeight="1">
      <c r="A7878" t="inlineStr">
        <is>
          <t>A 69620-2021</t>
        </is>
      </c>
      <c r="B7878" t="inlineStr">
        <is>
          <t>avverkningsanmälan</t>
        </is>
      </c>
      <c r="C7878" t="inlineStr">
        <is>
          <t>Föryngringsavverkning</t>
        </is>
      </c>
      <c r="D7878" s="1" t="n">
        <v>44532</v>
      </c>
      <c r="E7878" s="1" t="n">
        <v>46326</v>
      </c>
      <c r="F7878" t="inlineStr">
        <is>
          <t>GÄVLEBORGS LÄN</t>
        </is>
      </c>
      <c r="G7878" t="inlineStr">
        <is>
          <t>BOLLNÄS</t>
        </is>
      </c>
      <c r="H7878" t="inlineStr">
        <is>
          <t>Bergvik skog väst AB</t>
        </is>
      </c>
      <c r="I7878" t="n">
        <v>2.5</v>
      </c>
      <c r="J7878" t="n">
        <v>0</v>
      </c>
      <c r="K7878" t="n">
        <v>0</v>
      </c>
      <c r="L7878" t="n">
        <v>0</v>
      </c>
      <c r="M7878" t="n">
        <v>0</v>
      </c>
      <c r="N7878" t="n">
        <v>0</v>
      </c>
      <c r="O7878" t="n">
        <v>0</v>
      </c>
      <c r="P7878" t="n">
        <v>0</v>
      </c>
      <c r="Q7878" t="n">
        <v>0</v>
      </c>
      <c r="R7878" t="n">
        <v>0</v>
      </c>
      <c r="S7878" t="n">
        <v>0</v>
      </c>
      <c r="T7878" t="n">
        <v>0</v>
      </c>
      <c r="U7878" t="n">
        <v>0</v>
      </c>
      <c r="V7878" s="2" t="inlineStr"/>
    </row>
    <row r="7879" ht="15" customHeight="1">
      <c r="A7879" t="inlineStr">
        <is>
          <t>A 22311-2026</t>
        </is>
      </c>
      <c r="B7879" t="inlineStr">
        <is>
          <t>avverkningsanmälan</t>
        </is>
      </c>
      <c r="C7879" t="inlineStr">
        <is>
          <t>Föryngringsavverkning</t>
        </is>
      </c>
      <c r="D7879" s="1" t="n">
        <v>46154</v>
      </c>
      <c r="E7879" s="1" t="n">
        <v>46326</v>
      </c>
      <c r="F7879" t="inlineStr">
        <is>
          <t>GÄVLEBORGS LÄN</t>
        </is>
      </c>
      <c r="G7879" t="inlineStr">
        <is>
          <t>BOLLNÄS</t>
        </is>
      </c>
      <c r="I7879" t="n">
        <v>0.9</v>
      </c>
      <c r="J7879" t="n">
        <v>0</v>
      </c>
      <c r="K7879" t="n">
        <v>0</v>
      </c>
      <c r="L7879" t="n">
        <v>0</v>
      </c>
      <c r="M7879" t="n">
        <v>0</v>
      </c>
      <c r="N7879" t="n">
        <v>0</v>
      </c>
      <c r="O7879" t="n">
        <v>0</v>
      </c>
      <c r="P7879" t="n">
        <v>0</v>
      </c>
      <c r="Q7879" t="n">
        <v>0</v>
      </c>
      <c r="R7879" t="n">
        <v>0</v>
      </c>
      <c r="S7879" t="n">
        <v>0</v>
      </c>
      <c r="T7879" t="n">
        <v>0</v>
      </c>
      <c r="U7879" t="n">
        <v>0</v>
      </c>
      <c r="V7879" s="2" t="inlineStr"/>
    </row>
    <row r="7880" ht="15" customHeight="1">
      <c r="A7880" t="inlineStr">
        <is>
          <t>A 14271-2026</t>
        </is>
      </c>
      <c r="B7880" t="inlineStr">
        <is>
          <t>avverkningsanmälan</t>
        </is>
      </c>
      <c r="C7880" t="inlineStr">
        <is>
          <t>Föryngringsavverkning</t>
        </is>
      </c>
      <c r="D7880" s="1" t="n">
        <v>46099</v>
      </c>
      <c r="E7880" s="1" t="n">
        <v>46326</v>
      </c>
      <c r="F7880" t="inlineStr">
        <is>
          <t>GÄVLEBORGS LÄN</t>
        </is>
      </c>
      <c r="G7880" t="inlineStr">
        <is>
          <t>BOLLNÄS</t>
        </is>
      </c>
      <c r="I7880" t="n">
        <v>3.8</v>
      </c>
      <c r="J7880" t="n">
        <v>0</v>
      </c>
      <c r="K7880" t="n">
        <v>0</v>
      </c>
      <c r="L7880" t="n">
        <v>0</v>
      </c>
      <c r="M7880" t="n">
        <v>0</v>
      </c>
      <c r="N7880" t="n">
        <v>0</v>
      </c>
      <c r="O7880" t="n">
        <v>0</v>
      </c>
      <c r="P7880" t="n">
        <v>0</v>
      </c>
      <c r="Q7880" t="n">
        <v>0</v>
      </c>
      <c r="R7880" t="n">
        <v>0</v>
      </c>
      <c r="S7880" t="n">
        <v>0</v>
      </c>
      <c r="T7880" t="n">
        <v>0</v>
      </c>
      <c r="U7880" t="n">
        <v>0</v>
      </c>
      <c r="V7880" s="2" t="inlineStr"/>
    </row>
    <row r="7881" ht="15" customHeight="1">
      <c r="A7881" t="inlineStr">
        <is>
          <t>A 4955-2026</t>
        </is>
      </c>
      <c r="B7881" t="inlineStr">
        <is>
          <t>avverkningsanmälan</t>
        </is>
      </c>
      <c r="C7881" t="inlineStr">
        <is>
          <t>Föryngringsavverkning</t>
        </is>
      </c>
      <c r="D7881" s="1" t="n">
        <v>46049</v>
      </c>
      <c r="E7881" s="1" t="n">
        <v>46326</v>
      </c>
      <c r="F7881" t="inlineStr">
        <is>
          <t>GÄVLEBORGS LÄN</t>
        </is>
      </c>
      <c r="G7881" t="inlineStr">
        <is>
          <t>BOLLNÄS</t>
        </is>
      </c>
      <c r="I7881" t="n">
        <v>7.1</v>
      </c>
      <c r="J7881" t="n">
        <v>0</v>
      </c>
      <c r="K7881" t="n">
        <v>0</v>
      </c>
      <c r="L7881" t="n">
        <v>0</v>
      </c>
      <c r="M7881" t="n">
        <v>0</v>
      </c>
      <c r="N7881" t="n">
        <v>0</v>
      </c>
      <c r="O7881" t="n">
        <v>0</v>
      </c>
      <c r="P7881" t="n">
        <v>0</v>
      </c>
      <c r="Q7881" t="n">
        <v>0</v>
      </c>
      <c r="R7881" t="n">
        <v>0</v>
      </c>
      <c r="S7881" t="n">
        <v>0</v>
      </c>
      <c r="T7881" t="n">
        <v>0</v>
      </c>
      <c r="U7881" t="n">
        <v>0</v>
      </c>
      <c r="V7881" s="2" t="inlineStr"/>
    </row>
    <row r="7882" ht="15" customHeight="1">
      <c r="A7882" t="inlineStr">
        <is>
          <t>A 12149-2026</t>
        </is>
      </c>
      <c r="B7882" t="inlineStr">
        <is>
          <t>avverkningsanmälan</t>
        </is>
      </c>
      <c r="C7882" t="inlineStr">
        <is>
          <t>Föryngringsavverkning</t>
        </is>
      </c>
      <c r="D7882" s="1" t="n">
        <v>46086</v>
      </c>
      <c r="E7882" s="1" t="n">
        <v>46326</v>
      </c>
      <c r="F7882" t="inlineStr">
        <is>
          <t>GÄVLEBORGS LÄN</t>
        </is>
      </c>
      <c r="G7882" t="inlineStr">
        <is>
          <t>SANDVIKEN</t>
        </is>
      </c>
      <c r="H7882" t="inlineStr">
        <is>
          <t>Bergvik skog öst AB</t>
        </is>
      </c>
      <c r="I7882" t="n">
        <v>0.5</v>
      </c>
      <c r="J7882" t="n">
        <v>0</v>
      </c>
      <c r="K7882" t="n">
        <v>0</v>
      </c>
      <c r="L7882" t="n">
        <v>0</v>
      </c>
      <c r="M7882" t="n">
        <v>0</v>
      </c>
      <c r="N7882" t="n">
        <v>0</v>
      </c>
      <c r="O7882" t="n">
        <v>0</v>
      </c>
      <c r="P7882" t="n">
        <v>0</v>
      </c>
      <c r="Q7882" t="n">
        <v>0</v>
      </c>
      <c r="R7882" t="n">
        <v>0</v>
      </c>
      <c r="S7882" t="n">
        <v>0</v>
      </c>
      <c r="T7882" t="n">
        <v>0</v>
      </c>
      <c r="U7882" t="n">
        <v>0</v>
      </c>
      <c r="V7882" s="2" t="inlineStr"/>
    </row>
    <row r="7883" ht="15" customHeight="1">
      <c r="A7883" t="inlineStr">
        <is>
          <t>A 22427-2026</t>
        </is>
      </c>
      <c r="B7883" t="inlineStr">
        <is>
          <t>avverkningsanmälan</t>
        </is>
      </c>
      <c r="C7883" t="inlineStr">
        <is>
          <t>Föryngringsavverkning</t>
        </is>
      </c>
      <c r="D7883" s="1" t="n">
        <v>46154</v>
      </c>
      <c r="E7883" s="1" t="n">
        <v>46326</v>
      </c>
      <c r="F7883" t="inlineStr">
        <is>
          <t>GÄVLEBORGS LÄN</t>
        </is>
      </c>
      <c r="G7883" t="inlineStr">
        <is>
          <t>HUDIKSVALL</t>
        </is>
      </c>
      <c r="I7883" t="n">
        <v>0.8</v>
      </c>
      <c r="J7883" t="n">
        <v>0</v>
      </c>
      <c r="K7883" t="n">
        <v>0</v>
      </c>
      <c r="L7883" t="n">
        <v>0</v>
      </c>
      <c r="M7883" t="n">
        <v>0</v>
      </c>
      <c r="N7883" t="n">
        <v>0</v>
      </c>
      <c r="O7883" t="n">
        <v>0</v>
      </c>
      <c r="P7883" t="n">
        <v>0</v>
      </c>
      <c r="Q7883" t="n">
        <v>0</v>
      </c>
      <c r="R7883" t="n">
        <v>0</v>
      </c>
      <c r="S7883" t="n">
        <v>0</v>
      </c>
      <c r="T7883" t="n">
        <v>0</v>
      </c>
      <c r="U7883" t="n">
        <v>0</v>
      </c>
      <c r="V7883" s="2" t="inlineStr"/>
    </row>
    <row r="7884" ht="15" customHeight="1">
      <c r="A7884" t="inlineStr">
        <is>
          <t>A 22437-2026</t>
        </is>
      </c>
      <c r="B7884" t="inlineStr">
        <is>
          <t>avverkningsanmälan</t>
        </is>
      </c>
      <c r="C7884" t="inlineStr">
        <is>
          <t>Föryngringsavverkning</t>
        </is>
      </c>
      <c r="D7884" s="1" t="n">
        <v>46155</v>
      </c>
      <c r="E7884" s="1" t="n">
        <v>46326</v>
      </c>
      <c r="F7884" t="inlineStr">
        <is>
          <t>GÄVLEBORGS LÄN</t>
        </is>
      </c>
      <c r="G7884" t="inlineStr">
        <is>
          <t>OVANÅKER</t>
        </is>
      </c>
      <c r="I7884" t="n">
        <v>0.7</v>
      </c>
      <c r="J7884" t="n">
        <v>0</v>
      </c>
      <c r="K7884" t="n">
        <v>0</v>
      </c>
      <c r="L7884" t="n">
        <v>0</v>
      </c>
      <c r="M7884" t="n">
        <v>0</v>
      </c>
      <c r="N7884" t="n">
        <v>0</v>
      </c>
      <c r="O7884" t="n">
        <v>0</v>
      </c>
      <c r="P7884" t="n">
        <v>0</v>
      </c>
      <c r="Q7884" t="n">
        <v>0</v>
      </c>
      <c r="R7884" t="n">
        <v>0</v>
      </c>
      <c r="S7884" t="n">
        <v>0</v>
      </c>
      <c r="T7884" t="n">
        <v>0</v>
      </c>
      <c r="U7884" t="n">
        <v>0</v>
      </c>
      <c r="V7884" s="2" t="inlineStr"/>
    </row>
    <row r="7885" ht="15" customHeight="1">
      <c r="A7885" t="inlineStr">
        <is>
          <t>A 22460-2026</t>
        </is>
      </c>
      <c r="B7885" t="inlineStr">
        <is>
          <t>avverkningsanmälan</t>
        </is>
      </c>
      <c r="C7885" t="inlineStr">
        <is>
          <t>Föryngringsavverkning</t>
        </is>
      </c>
      <c r="D7885" s="1" t="n">
        <v>46155</v>
      </c>
      <c r="E7885" s="1" t="n">
        <v>46326</v>
      </c>
      <c r="F7885" t="inlineStr">
        <is>
          <t>GÄVLEBORGS LÄN</t>
        </is>
      </c>
      <c r="G7885" t="inlineStr">
        <is>
          <t>OCKELBO</t>
        </is>
      </c>
      <c r="I7885" t="n">
        <v>1.9</v>
      </c>
      <c r="J7885" t="n">
        <v>0</v>
      </c>
      <c r="K7885" t="n">
        <v>0</v>
      </c>
      <c r="L7885" t="n">
        <v>0</v>
      </c>
      <c r="M7885" t="n">
        <v>0</v>
      </c>
      <c r="N7885" t="n">
        <v>0</v>
      </c>
      <c r="O7885" t="n">
        <v>0</v>
      </c>
      <c r="P7885" t="n">
        <v>0</v>
      </c>
      <c r="Q7885" t="n">
        <v>0</v>
      </c>
      <c r="R7885" t="n">
        <v>0</v>
      </c>
      <c r="S7885" t="n">
        <v>0</v>
      </c>
      <c r="T7885" t="n">
        <v>0</v>
      </c>
      <c r="U7885" t="n">
        <v>0</v>
      </c>
      <c r="V7885" s="2" t="inlineStr"/>
    </row>
    <row r="7886" ht="15" customHeight="1">
      <c r="A7886" t="inlineStr">
        <is>
          <t>A 12120-2026</t>
        </is>
      </c>
      <c r="B7886" t="inlineStr">
        <is>
          <t>avverkningsanmälan</t>
        </is>
      </c>
      <c r="C7886" t="inlineStr">
        <is>
          <t>Föryngringsavverkning</t>
        </is>
      </c>
      <c r="D7886" s="1" t="n">
        <v>46086</v>
      </c>
      <c r="E7886" s="1" t="n">
        <v>46326</v>
      </c>
      <c r="F7886" t="inlineStr">
        <is>
          <t>GÄVLEBORGS LÄN</t>
        </is>
      </c>
      <c r="G7886" t="inlineStr">
        <is>
          <t>SANDVIKEN</t>
        </is>
      </c>
      <c r="H7886" t="inlineStr">
        <is>
          <t>Bergvik skog öst AB</t>
        </is>
      </c>
      <c r="I7886" t="n">
        <v>6.1</v>
      </c>
      <c r="J7886" t="n">
        <v>0</v>
      </c>
      <c r="K7886" t="n">
        <v>0</v>
      </c>
      <c r="L7886" t="n">
        <v>0</v>
      </c>
      <c r="M7886" t="n">
        <v>0</v>
      </c>
      <c r="N7886" t="n">
        <v>0</v>
      </c>
      <c r="O7886" t="n">
        <v>0</v>
      </c>
      <c r="P7886" t="n">
        <v>0</v>
      </c>
      <c r="Q7886" t="n">
        <v>0</v>
      </c>
      <c r="R7886" t="n">
        <v>0</v>
      </c>
      <c r="S7886" t="n">
        <v>0</v>
      </c>
      <c r="T7886" t="n">
        <v>0</v>
      </c>
      <c r="U7886" t="n">
        <v>0</v>
      </c>
      <c r="V7886" s="2" t="inlineStr"/>
    </row>
    <row r="7887" ht="15" customHeight="1">
      <c r="A7887" t="inlineStr">
        <is>
          <t>A 13210-2026</t>
        </is>
      </c>
      <c r="B7887" t="inlineStr">
        <is>
          <t>avverkningsanmälan</t>
        </is>
      </c>
      <c r="C7887" t="inlineStr">
        <is>
          <t>Föryngringsavverkning</t>
        </is>
      </c>
      <c r="D7887" s="1" t="n">
        <v>46093</v>
      </c>
      <c r="E7887" s="1" t="n">
        <v>46326</v>
      </c>
      <c r="F7887" t="inlineStr">
        <is>
          <t>GÄVLEBORGS LÄN</t>
        </is>
      </c>
      <c r="G7887" t="inlineStr">
        <is>
          <t>OCKELBO</t>
        </is>
      </c>
      <c r="I7887" t="n">
        <v>0.9</v>
      </c>
      <c r="J7887" t="n">
        <v>0</v>
      </c>
      <c r="K7887" t="n">
        <v>0</v>
      </c>
      <c r="L7887" t="n">
        <v>0</v>
      </c>
      <c r="M7887" t="n">
        <v>0</v>
      </c>
      <c r="N7887" t="n">
        <v>0</v>
      </c>
      <c r="O7887" t="n">
        <v>0</v>
      </c>
      <c r="P7887" t="n">
        <v>0</v>
      </c>
      <c r="Q7887" t="n">
        <v>0</v>
      </c>
      <c r="R7887" t="n">
        <v>0</v>
      </c>
      <c r="S7887" t="n">
        <v>0</v>
      </c>
      <c r="T7887" t="n">
        <v>0</v>
      </c>
      <c r="U7887" t="n">
        <v>0</v>
      </c>
      <c r="V7887" s="2" t="inlineStr"/>
    </row>
    <row r="7888" ht="15" customHeight="1">
      <c r="A7888" t="inlineStr">
        <is>
          <t>A 15152-2026</t>
        </is>
      </c>
      <c r="B7888" t="inlineStr">
        <is>
          <t>avverkningsanmälan</t>
        </is>
      </c>
      <c r="C7888" t="inlineStr">
        <is>
          <t>Föryngringsavverkning</t>
        </is>
      </c>
      <c r="D7888" s="1" t="n">
        <v>46105</v>
      </c>
      <c r="E7888" s="1" t="n">
        <v>46326</v>
      </c>
      <c r="F7888" t="inlineStr">
        <is>
          <t>GÄVLEBORGS LÄN</t>
        </is>
      </c>
      <c r="G7888" t="inlineStr">
        <is>
          <t>GÄVLE</t>
        </is>
      </c>
      <c r="H7888" t="inlineStr">
        <is>
          <t>Bergvik skog öst AB</t>
        </is>
      </c>
      <c r="I7888" t="n">
        <v>1.2</v>
      </c>
      <c r="J7888" t="n">
        <v>0</v>
      </c>
      <c r="K7888" t="n">
        <v>0</v>
      </c>
      <c r="L7888" t="n">
        <v>0</v>
      </c>
      <c r="M7888" t="n">
        <v>0</v>
      </c>
      <c r="N7888" t="n">
        <v>0</v>
      </c>
      <c r="O7888" t="n">
        <v>0</v>
      </c>
      <c r="P7888" t="n">
        <v>0</v>
      </c>
      <c r="Q7888" t="n">
        <v>0</v>
      </c>
      <c r="R7888" t="n">
        <v>0</v>
      </c>
      <c r="S7888" t="n">
        <v>0</v>
      </c>
      <c r="T7888" t="n">
        <v>0</v>
      </c>
      <c r="U7888" t="n">
        <v>0</v>
      </c>
      <c r="V7888" s="2" t="inlineStr"/>
    </row>
    <row r="7889" ht="15" customHeight="1">
      <c r="A7889" t="inlineStr">
        <is>
          <t>A 21503-2026</t>
        </is>
      </c>
      <c r="B7889" t="inlineStr">
        <is>
          <t>avverkningsanmälan</t>
        </is>
      </c>
      <c r="C7889" t="inlineStr">
        <is>
          <t>Föryngringsavverkning</t>
        </is>
      </c>
      <c r="D7889" s="1" t="n">
        <v>46148</v>
      </c>
      <c r="E7889" s="1" t="n">
        <v>46326</v>
      </c>
      <c r="F7889" t="inlineStr">
        <is>
          <t>GÄVLEBORGS LÄN</t>
        </is>
      </c>
      <c r="G7889" t="inlineStr">
        <is>
          <t>BOLLNÄS</t>
        </is>
      </c>
      <c r="I7889" t="n">
        <v>2.4</v>
      </c>
      <c r="J7889" t="n">
        <v>0</v>
      </c>
      <c r="K7889" t="n">
        <v>0</v>
      </c>
      <c r="L7889" t="n">
        <v>0</v>
      </c>
      <c r="M7889" t="n">
        <v>0</v>
      </c>
      <c r="N7889" t="n">
        <v>0</v>
      </c>
      <c r="O7889" t="n">
        <v>0</v>
      </c>
      <c r="P7889" t="n">
        <v>0</v>
      </c>
      <c r="Q7889" t="n">
        <v>0</v>
      </c>
      <c r="R7889" t="n">
        <v>0</v>
      </c>
      <c r="S7889" t="n">
        <v>0</v>
      </c>
      <c r="T7889" t="n">
        <v>0</v>
      </c>
      <c r="U7889" t="n">
        <v>0</v>
      </c>
      <c r="V7889" s="2" t="inlineStr"/>
    </row>
    <row r="7890" ht="15" customHeight="1">
      <c r="A7890" t="inlineStr">
        <is>
          <t>A 17221-2026</t>
        </is>
      </c>
      <c r="B7890" t="inlineStr">
        <is>
          <t>avverkningsanmälan</t>
        </is>
      </c>
      <c r="C7890" t="inlineStr">
        <is>
          <t>Föryngringsavverkning</t>
        </is>
      </c>
      <c r="D7890" s="1" t="n">
        <v>46119</v>
      </c>
      <c r="E7890" s="1" t="n">
        <v>46326</v>
      </c>
      <c r="F7890" t="inlineStr">
        <is>
          <t>GÄVLEBORGS LÄN</t>
        </is>
      </c>
      <c r="G7890" t="inlineStr">
        <is>
          <t>OCKELBO</t>
        </is>
      </c>
      <c r="I7890" t="n">
        <v>5.1</v>
      </c>
      <c r="J7890" t="n">
        <v>0</v>
      </c>
      <c r="K7890" t="n">
        <v>0</v>
      </c>
      <c r="L7890" t="n">
        <v>0</v>
      </c>
      <c r="M7890" t="n">
        <v>0</v>
      </c>
      <c r="N7890" t="n">
        <v>0</v>
      </c>
      <c r="O7890" t="n">
        <v>0</v>
      </c>
      <c r="P7890" t="n">
        <v>0</v>
      </c>
      <c r="Q7890" t="n">
        <v>0</v>
      </c>
      <c r="R7890" t="n">
        <v>0</v>
      </c>
      <c r="S7890" t="n">
        <v>0</v>
      </c>
      <c r="T7890" t="n">
        <v>0</v>
      </c>
      <c r="U7890" t="n">
        <v>0</v>
      </c>
      <c r="V7890" s="2" t="inlineStr"/>
    </row>
    <row r="7891" ht="15" customHeight="1">
      <c r="A7891" t="inlineStr">
        <is>
          <t>A 46827-2024</t>
        </is>
      </c>
      <c r="B7891" t="inlineStr">
        <is>
          <t>avverkningsanmälan</t>
        </is>
      </c>
      <c r="C7891" t="inlineStr">
        <is>
          <t>Avverkning för att bevara och utveckla /försöksver</t>
        </is>
      </c>
      <c r="D7891" s="1" t="n">
        <v>45583</v>
      </c>
      <c r="E7891" s="1" t="n">
        <v>46326</v>
      </c>
      <c r="F7891" t="inlineStr">
        <is>
          <t>GÄVLEBORGS LÄN</t>
        </is>
      </c>
      <c r="G7891" t="inlineStr">
        <is>
          <t>HUDIKSVALL</t>
        </is>
      </c>
      <c r="H7891" t="inlineStr">
        <is>
          <t>Sveaskog</t>
        </is>
      </c>
      <c r="I7891" t="n">
        <v>5.9</v>
      </c>
      <c r="J7891" t="n">
        <v>0</v>
      </c>
      <c r="K7891" t="n">
        <v>0</v>
      </c>
      <c r="L7891" t="n">
        <v>0</v>
      </c>
      <c r="M7891" t="n">
        <v>0</v>
      </c>
      <c r="N7891" t="n">
        <v>0</v>
      </c>
      <c r="O7891" t="n">
        <v>0</v>
      </c>
      <c r="P7891" t="n">
        <v>0</v>
      </c>
      <c r="Q7891" t="n">
        <v>0</v>
      </c>
      <c r="R7891" t="n">
        <v>0</v>
      </c>
      <c r="S7891" t="n">
        <v>0</v>
      </c>
      <c r="T7891" t="n">
        <v>0</v>
      </c>
      <c r="U7891" t="n">
        <v>0</v>
      </c>
      <c r="V7891" s="2" t="inlineStr"/>
    </row>
    <row r="7892" ht="15" customHeight="1">
      <c r="A7892" t="inlineStr">
        <is>
          <t>A 6654-2026</t>
        </is>
      </c>
      <c r="B7892" t="inlineStr">
        <is>
          <t>avverkningsanmälan</t>
        </is>
      </c>
      <c r="C7892" t="inlineStr">
        <is>
          <t>Föryngringsavverkning</t>
        </is>
      </c>
      <c r="D7892" s="1" t="n">
        <v>46056</v>
      </c>
      <c r="E7892" s="1" t="n">
        <v>46326</v>
      </c>
      <c r="F7892" t="inlineStr">
        <is>
          <t>GÄVLEBORGS LÄN</t>
        </is>
      </c>
      <c r="G7892" t="inlineStr">
        <is>
          <t>OCKELBO</t>
        </is>
      </c>
      <c r="I7892" t="n">
        <v>1.8</v>
      </c>
      <c r="J7892" t="n">
        <v>0</v>
      </c>
      <c r="K7892" t="n">
        <v>0</v>
      </c>
      <c r="L7892" t="n">
        <v>0</v>
      </c>
      <c r="M7892" t="n">
        <v>0</v>
      </c>
      <c r="N7892" t="n">
        <v>0</v>
      </c>
      <c r="O7892" t="n">
        <v>0</v>
      </c>
      <c r="P7892" t="n">
        <v>0</v>
      </c>
      <c r="Q7892" t="n">
        <v>0</v>
      </c>
      <c r="R7892" t="n">
        <v>0</v>
      </c>
      <c r="S7892" t="n">
        <v>0</v>
      </c>
      <c r="T7892" t="n">
        <v>0</v>
      </c>
      <c r="U7892" t="n">
        <v>0</v>
      </c>
      <c r="V7892" s="2" t="inlineStr"/>
    </row>
    <row r="7893" ht="15" customHeight="1">
      <c r="A7893" t="inlineStr">
        <is>
          <t>A 43071-2025</t>
        </is>
      </c>
      <c r="B7893" t="inlineStr">
        <is>
          <t>avverkningsanmälan</t>
        </is>
      </c>
      <c r="C7893" t="inlineStr">
        <is>
          <t>Föryngringsavverkning</t>
        </is>
      </c>
      <c r="D7893" s="1" t="n">
        <v>45909</v>
      </c>
      <c r="E7893" s="1" t="n">
        <v>46326</v>
      </c>
      <c r="F7893" t="inlineStr">
        <is>
          <t>GÄVLEBORGS LÄN</t>
        </is>
      </c>
      <c r="G7893" t="inlineStr">
        <is>
          <t>OCKELBO</t>
        </is>
      </c>
      <c r="I7893" t="n">
        <v>1.5</v>
      </c>
      <c r="J7893" t="n">
        <v>0</v>
      </c>
      <c r="K7893" t="n">
        <v>0</v>
      </c>
      <c r="L7893" t="n">
        <v>0</v>
      </c>
      <c r="M7893" t="n">
        <v>0</v>
      </c>
      <c r="N7893" t="n">
        <v>0</v>
      </c>
      <c r="O7893" t="n">
        <v>0</v>
      </c>
      <c r="P7893" t="n">
        <v>0</v>
      </c>
      <c r="Q7893" t="n">
        <v>0</v>
      </c>
      <c r="R7893" t="n">
        <v>0</v>
      </c>
      <c r="S7893" t="n">
        <v>0</v>
      </c>
      <c r="T7893" t="n">
        <v>0</v>
      </c>
      <c r="U7893" t="n">
        <v>0</v>
      </c>
      <c r="V7893" s="2" t="inlineStr"/>
    </row>
    <row r="7894" ht="15" customHeight="1">
      <c r="A7894" t="inlineStr">
        <is>
          <t>A 12992-2026</t>
        </is>
      </c>
      <c r="B7894" t="inlineStr">
        <is>
          <t>avverkningsanmälan</t>
        </is>
      </c>
      <c r="C7894" t="inlineStr">
        <is>
          <t>Föryngringsavverkning</t>
        </is>
      </c>
      <c r="D7894" s="1" t="n">
        <v>46092</v>
      </c>
      <c r="E7894" s="1" t="n">
        <v>46326</v>
      </c>
      <c r="F7894" t="inlineStr">
        <is>
          <t>GÄVLEBORGS LÄN</t>
        </is>
      </c>
      <c r="G7894" t="inlineStr">
        <is>
          <t>BOLLNÄS</t>
        </is>
      </c>
      <c r="I7894" t="n">
        <v>2.7</v>
      </c>
      <c r="J7894" t="n">
        <v>0</v>
      </c>
      <c r="K7894" t="n">
        <v>0</v>
      </c>
      <c r="L7894" t="n">
        <v>0</v>
      </c>
      <c r="M7894" t="n">
        <v>0</v>
      </c>
      <c r="N7894" t="n">
        <v>0</v>
      </c>
      <c r="O7894" t="n">
        <v>0</v>
      </c>
      <c r="P7894" t="n">
        <v>0</v>
      </c>
      <c r="Q7894" t="n">
        <v>0</v>
      </c>
      <c r="R7894" t="n">
        <v>0</v>
      </c>
      <c r="S7894" t="n">
        <v>0</v>
      </c>
      <c r="T7894" t="n">
        <v>0</v>
      </c>
      <c r="U7894" t="n">
        <v>0</v>
      </c>
      <c r="V7894" s="2" t="inlineStr"/>
    </row>
    <row r="7895" ht="15" customHeight="1">
      <c r="A7895" t="inlineStr">
        <is>
          <t>A 13680-2026</t>
        </is>
      </c>
      <c r="B7895" t="inlineStr">
        <is>
          <t>avverkningsanmälan</t>
        </is>
      </c>
      <c r="C7895" t="inlineStr">
        <is>
          <t>Föryngringsavverkning</t>
        </is>
      </c>
      <c r="D7895" s="1" t="n">
        <v>46097</v>
      </c>
      <c r="E7895" s="1" t="n">
        <v>46326</v>
      </c>
      <c r="F7895" t="inlineStr">
        <is>
          <t>GÄVLEBORGS LÄN</t>
        </is>
      </c>
      <c r="G7895" t="inlineStr">
        <is>
          <t>BOLLNÄS</t>
        </is>
      </c>
      <c r="H7895" t="inlineStr">
        <is>
          <t>Bergvik skog väst AB</t>
        </is>
      </c>
      <c r="I7895" t="n">
        <v>6.1</v>
      </c>
      <c r="J7895" t="n">
        <v>0</v>
      </c>
      <c r="K7895" t="n">
        <v>0</v>
      </c>
      <c r="L7895" t="n">
        <v>0</v>
      </c>
      <c r="M7895" t="n">
        <v>0</v>
      </c>
      <c r="N7895" t="n">
        <v>0</v>
      </c>
      <c r="O7895" t="n">
        <v>0</v>
      </c>
      <c r="P7895" t="n">
        <v>0</v>
      </c>
      <c r="Q7895" t="n">
        <v>0</v>
      </c>
      <c r="R7895" t="n">
        <v>0</v>
      </c>
      <c r="S7895" t="n">
        <v>0</v>
      </c>
      <c r="T7895" t="n">
        <v>0</v>
      </c>
      <c r="U7895" t="n">
        <v>0</v>
      </c>
      <c r="V7895" s="2" t="inlineStr"/>
    </row>
    <row r="7896" ht="15" customHeight="1">
      <c r="A7896" t="inlineStr">
        <is>
          <t>A 15569-2026</t>
        </is>
      </c>
      <c r="B7896" t="inlineStr">
        <is>
          <t>avverkningsanmälan</t>
        </is>
      </c>
      <c r="C7896" t="inlineStr">
        <is>
          <t>Föryngringsavverkning</t>
        </is>
      </c>
      <c r="D7896" s="1" t="n">
        <v>46106</v>
      </c>
      <c r="E7896" s="1" t="n">
        <v>46326</v>
      </c>
      <c r="F7896" t="inlineStr">
        <is>
          <t>GÄVLEBORGS LÄN</t>
        </is>
      </c>
      <c r="G7896" t="inlineStr">
        <is>
          <t>OVANÅKER</t>
        </is>
      </c>
      <c r="H7896" t="inlineStr">
        <is>
          <t>Bergvik skog öst AB</t>
        </is>
      </c>
      <c r="I7896" t="n">
        <v>18.9</v>
      </c>
      <c r="J7896" t="n">
        <v>0</v>
      </c>
      <c r="K7896" t="n">
        <v>0</v>
      </c>
      <c r="L7896" t="n">
        <v>0</v>
      </c>
      <c r="M7896" t="n">
        <v>0</v>
      </c>
      <c r="N7896" t="n">
        <v>0</v>
      </c>
      <c r="O7896" t="n">
        <v>0</v>
      </c>
      <c r="P7896" t="n">
        <v>0</v>
      </c>
      <c r="Q7896" t="n">
        <v>0</v>
      </c>
      <c r="R7896" t="n">
        <v>0</v>
      </c>
      <c r="S7896" t="n">
        <v>0</v>
      </c>
      <c r="T7896" t="n">
        <v>0</v>
      </c>
      <c r="U7896" t="n">
        <v>0</v>
      </c>
      <c r="V7896" s="2" t="inlineStr"/>
    </row>
    <row r="7897" ht="15" customHeight="1">
      <c r="A7897" t="inlineStr">
        <is>
          <t>A 37194-2023</t>
        </is>
      </c>
      <c r="B7897" t="inlineStr">
        <is>
          <t>avverkningsanmälan</t>
        </is>
      </c>
      <c r="C7897" t="inlineStr">
        <is>
          <t>Föryngringsavverkning</t>
        </is>
      </c>
      <c r="D7897" s="1" t="n">
        <v>45155</v>
      </c>
      <c r="E7897" s="1" t="n">
        <v>46326</v>
      </c>
      <c r="F7897" t="inlineStr">
        <is>
          <t>GÄVLEBORGS LÄN</t>
        </is>
      </c>
      <c r="G7897" t="inlineStr">
        <is>
          <t>BOLLNÄS</t>
        </is>
      </c>
      <c r="I7897" t="n">
        <v>2.7</v>
      </c>
      <c r="J7897" t="n">
        <v>0</v>
      </c>
      <c r="K7897" t="n">
        <v>0</v>
      </c>
      <c r="L7897" t="n">
        <v>0</v>
      </c>
      <c r="M7897" t="n">
        <v>0</v>
      </c>
      <c r="N7897" t="n">
        <v>0</v>
      </c>
      <c r="O7897" t="n">
        <v>0</v>
      </c>
      <c r="P7897" t="n">
        <v>0</v>
      </c>
      <c r="Q7897" t="n">
        <v>0</v>
      </c>
      <c r="R7897" t="n">
        <v>0</v>
      </c>
      <c r="S7897" t="n">
        <v>0</v>
      </c>
      <c r="T7897" t="n">
        <v>0</v>
      </c>
      <c r="U7897" t="n">
        <v>0</v>
      </c>
      <c r="V7897" s="2" t="inlineStr"/>
    </row>
    <row r="7898" ht="15" customHeight="1">
      <c r="A7898" t="inlineStr">
        <is>
          <t>A 37233-2023</t>
        </is>
      </c>
      <c r="B7898" t="inlineStr">
        <is>
          <t>avverkningsanmälan</t>
        </is>
      </c>
      <c r="C7898" t="inlineStr">
        <is>
          <t>Föryngringsavverkning</t>
        </is>
      </c>
      <c r="D7898" s="1" t="n">
        <v>45155</v>
      </c>
      <c r="E7898" s="1" t="n">
        <v>46326</v>
      </c>
      <c r="F7898" t="inlineStr">
        <is>
          <t>GÄVLEBORGS LÄN</t>
        </is>
      </c>
      <c r="G7898" t="inlineStr">
        <is>
          <t>BOLLNÄS</t>
        </is>
      </c>
      <c r="I7898" t="n">
        <v>3.7</v>
      </c>
      <c r="J7898" t="n">
        <v>0</v>
      </c>
      <c r="K7898" t="n">
        <v>0</v>
      </c>
      <c r="L7898" t="n">
        <v>0</v>
      </c>
      <c r="M7898" t="n">
        <v>0</v>
      </c>
      <c r="N7898" t="n">
        <v>0</v>
      </c>
      <c r="O7898" t="n">
        <v>0</v>
      </c>
      <c r="P7898" t="n">
        <v>0</v>
      </c>
      <c r="Q7898" t="n">
        <v>0</v>
      </c>
      <c r="R7898" t="n">
        <v>0</v>
      </c>
      <c r="S7898" t="n">
        <v>0</v>
      </c>
      <c r="T7898" t="n">
        <v>0</v>
      </c>
      <c r="U7898" t="n">
        <v>0</v>
      </c>
      <c r="V7898" s="2" t="inlineStr"/>
    </row>
    <row r="7899" ht="15" customHeight="1">
      <c r="A7899" t="inlineStr">
        <is>
          <t>A 22236-2026</t>
        </is>
      </c>
      <c r="B7899" t="inlineStr">
        <is>
          <t>avverkningsanmälan</t>
        </is>
      </c>
      <c r="C7899" t="inlineStr">
        <is>
          <t>Föryngringsavverkning</t>
        </is>
      </c>
      <c r="D7899" s="1" t="n">
        <v>46154</v>
      </c>
      <c r="E7899" s="1" t="n">
        <v>46326</v>
      </c>
      <c r="F7899" t="inlineStr">
        <is>
          <t>GÄVLEBORGS LÄN</t>
        </is>
      </c>
      <c r="G7899" t="inlineStr">
        <is>
          <t>OVANÅKER</t>
        </is>
      </c>
      <c r="H7899" t="inlineStr">
        <is>
          <t>Bergvik skog väst AB</t>
        </is>
      </c>
      <c r="I7899" t="n">
        <v>0.9</v>
      </c>
      <c r="J7899" t="n">
        <v>0</v>
      </c>
      <c r="K7899" t="n">
        <v>0</v>
      </c>
      <c r="L7899" t="n">
        <v>0</v>
      </c>
      <c r="M7899" t="n">
        <v>0</v>
      </c>
      <c r="N7899" t="n">
        <v>0</v>
      </c>
      <c r="O7899" t="n">
        <v>0</v>
      </c>
      <c r="P7899" t="n">
        <v>0</v>
      </c>
      <c r="Q7899" t="n">
        <v>0</v>
      </c>
      <c r="R7899" t="n">
        <v>0</v>
      </c>
      <c r="S7899" t="n">
        <v>0</v>
      </c>
      <c r="T7899" t="n">
        <v>0</v>
      </c>
      <c r="U7899" t="n">
        <v>0</v>
      </c>
      <c r="V7899" s="2" t="inlineStr"/>
    </row>
    <row r="7900" ht="15" customHeight="1">
      <c r="A7900" t="inlineStr">
        <is>
          <t>A 2555-2025</t>
        </is>
      </c>
      <c r="B7900" t="inlineStr">
        <is>
          <t>avverkningsanmälan</t>
        </is>
      </c>
      <c r="C7900" t="inlineStr">
        <is>
          <t>Föryngringsavverkning</t>
        </is>
      </c>
      <c r="D7900" s="1" t="n">
        <v>45674</v>
      </c>
      <c r="E7900" s="1" t="n">
        <v>46326</v>
      </c>
      <c r="F7900" t="inlineStr">
        <is>
          <t>GÄVLEBORGS LÄN</t>
        </is>
      </c>
      <c r="G7900" t="inlineStr">
        <is>
          <t>OCKELBO</t>
        </is>
      </c>
      <c r="I7900" t="n">
        <v>1.6</v>
      </c>
      <c r="J7900" t="n">
        <v>0</v>
      </c>
      <c r="K7900" t="n">
        <v>0</v>
      </c>
      <c r="L7900" t="n">
        <v>0</v>
      </c>
      <c r="M7900" t="n">
        <v>0</v>
      </c>
      <c r="N7900" t="n">
        <v>0</v>
      </c>
      <c r="O7900" t="n">
        <v>0</v>
      </c>
      <c r="P7900" t="n">
        <v>0</v>
      </c>
      <c r="Q7900" t="n">
        <v>0</v>
      </c>
      <c r="R7900" t="n">
        <v>0</v>
      </c>
      <c r="S7900" t="n">
        <v>0</v>
      </c>
      <c r="T7900" t="n">
        <v>0</v>
      </c>
      <c r="U7900" t="n">
        <v>0</v>
      </c>
      <c r="V7900" s="2" t="inlineStr"/>
    </row>
    <row r="7901" ht="15" customHeight="1">
      <c r="A7901" t="inlineStr">
        <is>
          <t>A 22592-2026</t>
        </is>
      </c>
      <c r="B7901" t="inlineStr">
        <is>
          <t>avverkningsanmälan</t>
        </is>
      </c>
      <c r="C7901" t="inlineStr">
        <is>
          <t>Föryngringsavverkning</t>
        </is>
      </c>
      <c r="D7901" s="1" t="n">
        <v>46155</v>
      </c>
      <c r="E7901" s="1" t="n">
        <v>46326</v>
      </c>
      <c r="F7901" t="inlineStr">
        <is>
          <t>GÄVLEBORGS LÄN</t>
        </is>
      </c>
      <c r="G7901" t="inlineStr">
        <is>
          <t>SÖDERHAMN</t>
        </is>
      </c>
      <c r="H7901" t="inlineStr">
        <is>
          <t>Bergvik skog väst AB</t>
        </is>
      </c>
      <c r="I7901" t="n">
        <v>0.7</v>
      </c>
      <c r="J7901" t="n">
        <v>0</v>
      </c>
      <c r="K7901" t="n">
        <v>0</v>
      </c>
      <c r="L7901" t="n">
        <v>0</v>
      </c>
      <c r="M7901" t="n">
        <v>0</v>
      </c>
      <c r="N7901" t="n">
        <v>0</v>
      </c>
      <c r="O7901" t="n">
        <v>0</v>
      </c>
      <c r="P7901" t="n">
        <v>0</v>
      </c>
      <c r="Q7901" t="n">
        <v>0</v>
      </c>
      <c r="R7901" t="n">
        <v>0</v>
      </c>
      <c r="S7901" t="n">
        <v>0</v>
      </c>
      <c r="T7901" t="n">
        <v>0</v>
      </c>
      <c r="U7901" t="n">
        <v>0</v>
      </c>
      <c r="V7901" s="2" t="inlineStr"/>
    </row>
    <row r="7902" ht="15" customHeight="1">
      <c r="A7902" t="inlineStr">
        <is>
          <t>A 9420-2026</t>
        </is>
      </c>
      <c r="B7902" t="inlineStr">
        <is>
          <t>avverkningsanmälan</t>
        </is>
      </c>
      <c r="C7902" t="inlineStr">
        <is>
          <t>Föryngringsavverkning</t>
        </is>
      </c>
      <c r="D7902" s="1" t="n">
        <v>46071</v>
      </c>
      <c r="E7902" s="1" t="n">
        <v>46326</v>
      </c>
      <c r="F7902" t="inlineStr">
        <is>
          <t>GÄVLEBORGS LÄN</t>
        </is>
      </c>
      <c r="G7902" t="inlineStr">
        <is>
          <t>BOLLNÄS</t>
        </is>
      </c>
      <c r="H7902" t="inlineStr">
        <is>
          <t>Bergvik skog väst AB</t>
        </is>
      </c>
      <c r="I7902" t="n">
        <v>1.6</v>
      </c>
      <c r="J7902" t="n">
        <v>0</v>
      </c>
      <c r="K7902" t="n">
        <v>0</v>
      </c>
      <c r="L7902" t="n">
        <v>0</v>
      </c>
      <c r="M7902" t="n">
        <v>0</v>
      </c>
      <c r="N7902" t="n">
        <v>0</v>
      </c>
      <c r="O7902" t="n">
        <v>0</v>
      </c>
      <c r="P7902" t="n">
        <v>0</v>
      </c>
      <c r="Q7902" t="n">
        <v>0</v>
      </c>
      <c r="R7902" t="n">
        <v>0</v>
      </c>
      <c r="S7902" t="n">
        <v>0</v>
      </c>
      <c r="T7902" t="n">
        <v>0</v>
      </c>
      <c r="U7902" t="n">
        <v>0</v>
      </c>
      <c r="V7902" s="2" t="inlineStr"/>
    </row>
    <row r="7903" ht="15" customHeight="1">
      <c r="A7903" t="inlineStr">
        <is>
          <t>A 22599-2026</t>
        </is>
      </c>
      <c r="B7903" t="inlineStr">
        <is>
          <t>avverkningsanmälan</t>
        </is>
      </c>
      <c r="C7903" t="inlineStr">
        <is>
          <t>Föryngringsavverkning</t>
        </is>
      </c>
      <c r="D7903" s="1" t="n">
        <v>46155</v>
      </c>
      <c r="E7903" s="1" t="n">
        <v>46326</v>
      </c>
      <c r="F7903" t="inlineStr">
        <is>
          <t>GÄVLEBORGS LÄN</t>
        </is>
      </c>
      <c r="G7903" t="inlineStr">
        <is>
          <t>BOLLNÄS</t>
        </is>
      </c>
      <c r="I7903" t="n">
        <v>0.3</v>
      </c>
      <c r="J7903" t="n">
        <v>0</v>
      </c>
      <c r="K7903" t="n">
        <v>0</v>
      </c>
      <c r="L7903" t="n">
        <v>0</v>
      </c>
      <c r="M7903" t="n">
        <v>0</v>
      </c>
      <c r="N7903" t="n">
        <v>0</v>
      </c>
      <c r="O7903" t="n">
        <v>0</v>
      </c>
      <c r="P7903" t="n">
        <v>0</v>
      </c>
      <c r="Q7903" t="n">
        <v>0</v>
      </c>
      <c r="R7903" t="n">
        <v>0</v>
      </c>
      <c r="S7903" t="n">
        <v>0</v>
      </c>
      <c r="T7903" t="n">
        <v>0</v>
      </c>
      <c r="U7903" t="n">
        <v>0</v>
      </c>
      <c r="V7903" s="2" t="inlineStr"/>
    </row>
    <row r="7904" ht="15" customHeight="1">
      <c r="A7904" t="inlineStr">
        <is>
          <t>A 22619-2026</t>
        </is>
      </c>
      <c r="B7904" t="inlineStr">
        <is>
          <t>avverkningsanmälan</t>
        </is>
      </c>
      <c r="C7904" t="inlineStr">
        <is>
          <t>Föryngringsavverkning</t>
        </is>
      </c>
      <c r="D7904" s="1" t="n">
        <v>46155</v>
      </c>
      <c r="E7904" s="1" t="n">
        <v>46326</v>
      </c>
      <c r="F7904" t="inlineStr">
        <is>
          <t>GÄVLEBORGS LÄN</t>
        </is>
      </c>
      <c r="G7904" t="inlineStr">
        <is>
          <t>LJUSDAL</t>
        </is>
      </c>
      <c r="H7904" t="inlineStr">
        <is>
          <t>SCA</t>
        </is>
      </c>
      <c r="I7904" t="n">
        <v>1.7</v>
      </c>
      <c r="J7904" t="n">
        <v>0</v>
      </c>
      <c r="K7904" t="n">
        <v>0</v>
      </c>
      <c r="L7904" t="n">
        <v>0</v>
      </c>
      <c r="M7904" t="n">
        <v>0</v>
      </c>
      <c r="N7904" t="n">
        <v>0</v>
      </c>
      <c r="O7904" t="n">
        <v>0</v>
      </c>
      <c r="P7904" t="n">
        <v>0</v>
      </c>
      <c r="Q7904" t="n">
        <v>0</v>
      </c>
      <c r="R7904" t="n">
        <v>0</v>
      </c>
      <c r="S7904" t="n">
        <v>0</v>
      </c>
      <c r="T7904" t="n">
        <v>0</v>
      </c>
      <c r="U7904" t="n">
        <v>0</v>
      </c>
      <c r="V7904" s="2" t="inlineStr"/>
    </row>
    <row r="7905" ht="15" customHeight="1">
      <c r="A7905" t="inlineStr">
        <is>
          <t>A 11639-2026</t>
        </is>
      </c>
      <c r="B7905" t="inlineStr">
        <is>
          <t>avverkningsanmälan</t>
        </is>
      </c>
      <c r="C7905" t="inlineStr">
        <is>
          <t>Föryngringsavverkning</t>
        </is>
      </c>
      <c r="D7905" s="1" t="n">
        <v>46084</v>
      </c>
      <c r="E7905" s="1" t="n">
        <v>46326</v>
      </c>
      <c r="F7905" t="inlineStr">
        <is>
          <t>GÄVLEBORGS LÄN</t>
        </is>
      </c>
      <c r="G7905" t="inlineStr">
        <is>
          <t>HUDIKSVALL</t>
        </is>
      </c>
      <c r="I7905" t="n">
        <v>1.9</v>
      </c>
      <c r="J7905" t="n">
        <v>0</v>
      </c>
      <c r="K7905" t="n">
        <v>0</v>
      </c>
      <c r="L7905" t="n">
        <v>0</v>
      </c>
      <c r="M7905" t="n">
        <v>0</v>
      </c>
      <c r="N7905" t="n">
        <v>0</v>
      </c>
      <c r="O7905" t="n">
        <v>0</v>
      </c>
      <c r="P7905" t="n">
        <v>0</v>
      </c>
      <c r="Q7905" t="n">
        <v>0</v>
      </c>
      <c r="R7905" t="n">
        <v>0</v>
      </c>
      <c r="S7905" t="n">
        <v>0</v>
      </c>
      <c r="T7905" t="n">
        <v>0</v>
      </c>
      <c r="U7905" t="n">
        <v>0</v>
      </c>
      <c r="V7905" s="2" t="inlineStr"/>
    </row>
    <row r="7906" ht="15" customHeight="1">
      <c r="A7906" t="inlineStr">
        <is>
          <t>A 9612-2026</t>
        </is>
      </c>
      <c r="B7906" t="inlineStr">
        <is>
          <t>avverkningsanmälan</t>
        </is>
      </c>
      <c r="C7906" t="inlineStr">
        <is>
          <t>Föryngringsavverkning</t>
        </is>
      </c>
      <c r="D7906" s="1" t="n">
        <v>46072</v>
      </c>
      <c r="E7906" s="1" t="n">
        <v>46326</v>
      </c>
      <c r="F7906" t="inlineStr">
        <is>
          <t>GÄVLEBORGS LÄN</t>
        </is>
      </c>
      <c r="G7906" t="inlineStr">
        <is>
          <t>BOLLNÄS</t>
        </is>
      </c>
      <c r="I7906" t="n">
        <v>7.9</v>
      </c>
      <c r="J7906" t="n">
        <v>0</v>
      </c>
      <c r="K7906" t="n">
        <v>0</v>
      </c>
      <c r="L7906" t="n">
        <v>0</v>
      </c>
      <c r="M7906" t="n">
        <v>0</v>
      </c>
      <c r="N7906" t="n">
        <v>0</v>
      </c>
      <c r="O7906" t="n">
        <v>0</v>
      </c>
      <c r="P7906" t="n">
        <v>0</v>
      </c>
      <c r="Q7906" t="n">
        <v>0</v>
      </c>
      <c r="R7906" t="n">
        <v>0</v>
      </c>
      <c r="S7906" t="n">
        <v>0</v>
      </c>
      <c r="T7906" t="n">
        <v>0</v>
      </c>
      <c r="U7906" t="n">
        <v>0</v>
      </c>
      <c r="V7906" s="2" t="inlineStr"/>
    </row>
    <row r="7907" ht="15" customHeight="1">
      <c r="A7907" t="inlineStr">
        <is>
          <t>A 22510-2026</t>
        </is>
      </c>
      <c r="B7907" t="inlineStr">
        <is>
          <t>avverkningsanmälan</t>
        </is>
      </c>
      <c r="C7907" t="inlineStr">
        <is>
          <t>Föryngringsavverkning</t>
        </is>
      </c>
      <c r="D7907" s="1" t="n">
        <v>46155</v>
      </c>
      <c r="E7907" s="1" t="n">
        <v>46326</v>
      </c>
      <c r="F7907" t="inlineStr">
        <is>
          <t>GÄVLEBORGS LÄN</t>
        </is>
      </c>
      <c r="G7907" t="inlineStr">
        <is>
          <t>BOLLNÄS</t>
        </is>
      </c>
      <c r="I7907" t="n">
        <v>6.1</v>
      </c>
      <c r="J7907" t="n">
        <v>0</v>
      </c>
      <c r="K7907" t="n">
        <v>0</v>
      </c>
      <c r="L7907" t="n">
        <v>0</v>
      </c>
      <c r="M7907" t="n">
        <v>0</v>
      </c>
      <c r="N7907" t="n">
        <v>0</v>
      </c>
      <c r="O7907" t="n">
        <v>0</v>
      </c>
      <c r="P7907" t="n">
        <v>0</v>
      </c>
      <c r="Q7907" t="n">
        <v>0</v>
      </c>
      <c r="R7907" t="n">
        <v>0</v>
      </c>
      <c r="S7907" t="n">
        <v>0</v>
      </c>
      <c r="T7907" t="n">
        <v>0</v>
      </c>
      <c r="U7907" t="n">
        <v>0</v>
      </c>
      <c r="V7907" s="2" t="inlineStr"/>
    </row>
    <row r="7908" ht="15" customHeight="1">
      <c r="A7908" t="inlineStr">
        <is>
          <t>A 22594-2026</t>
        </is>
      </c>
      <c r="B7908" t="inlineStr">
        <is>
          <t>avverkningsanmälan</t>
        </is>
      </c>
      <c r="C7908" t="inlineStr">
        <is>
          <t>Föryngringsavverkning</t>
        </is>
      </c>
      <c r="D7908" s="1" t="n">
        <v>46155</v>
      </c>
      <c r="E7908" s="1" t="n">
        <v>46326</v>
      </c>
      <c r="F7908" t="inlineStr">
        <is>
          <t>GÄVLEBORGS LÄN</t>
        </is>
      </c>
      <c r="G7908" t="inlineStr">
        <is>
          <t>OCKELBO</t>
        </is>
      </c>
      <c r="I7908" t="n">
        <v>2</v>
      </c>
      <c r="J7908" t="n">
        <v>0</v>
      </c>
      <c r="K7908" t="n">
        <v>0</v>
      </c>
      <c r="L7908" t="n">
        <v>0</v>
      </c>
      <c r="M7908" t="n">
        <v>0</v>
      </c>
      <c r="N7908" t="n">
        <v>0</v>
      </c>
      <c r="O7908" t="n">
        <v>0</v>
      </c>
      <c r="P7908" t="n">
        <v>0</v>
      </c>
      <c r="Q7908" t="n">
        <v>0</v>
      </c>
      <c r="R7908" t="n">
        <v>0</v>
      </c>
      <c r="S7908" t="n">
        <v>0</v>
      </c>
      <c r="T7908" t="n">
        <v>0</v>
      </c>
      <c r="U7908" t="n">
        <v>0</v>
      </c>
      <c r="V7908" s="2" t="inlineStr"/>
    </row>
    <row r="7909" ht="15" customHeight="1">
      <c r="A7909" t="inlineStr">
        <is>
          <t>A 15034-2026</t>
        </is>
      </c>
      <c r="B7909" t="inlineStr">
        <is>
          <t>avverkningsanmälan</t>
        </is>
      </c>
      <c r="C7909" t="inlineStr">
        <is>
          <t>Föryngringsavverkning</t>
        </is>
      </c>
      <c r="D7909" s="1" t="n">
        <v>46104</v>
      </c>
      <c r="E7909" s="1" t="n">
        <v>46326</v>
      </c>
      <c r="F7909" t="inlineStr">
        <is>
          <t>GÄVLEBORGS LÄN</t>
        </is>
      </c>
      <c r="G7909" t="inlineStr">
        <is>
          <t>OCKELBO</t>
        </is>
      </c>
      <c r="H7909" t="inlineStr">
        <is>
          <t>Bergvik skog väst AB</t>
        </is>
      </c>
      <c r="I7909" t="n">
        <v>3.3</v>
      </c>
      <c r="J7909" t="n">
        <v>0</v>
      </c>
      <c r="K7909" t="n">
        <v>0</v>
      </c>
      <c r="L7909" t="n">
        <v>0</v>
      </c>
      <c r="M7909" t="n">
        <v>0</v>
      </c>
      <c r="N7909" t="n">
        <v>0</v>
      </c>
      <c r="O7909" t="n">
        <v>0</v>
      </c>
      <c r="P7909" t="n">
        <v>0</v>
      </c>
      <c r="Q7909" t="n">
        <v>0</v>
      </c>
      <c r="R7909" t="n">
        <v>0</v>
      </c>
      <c r="S7909" t="n">
        <v>0</v>
      </c>
      <c r="T7909" t="n">
        <v>0</v>
      </c>
      <c r="U7909" t="n">
        <v>0</v>
      </c>
      <c r="V7909" s="2" t="inlineStr"/>
    </row>
    <row r="7910" ht="15" customHeight="1">
      <c r="A7910" t="inlineStr">
        <is>
          <t>A 16112-2026</t>
        </is>
      </c>
      <c r="B7910" t="inlineStr">
        <is>
          <t>avverkningsanmälan</t>
        </is>
      </c>
      <c r="C7910" t="inlineStr">
        <is>
          <t>Föryngringsavverkning</t>
        </is>
      </c>
      <c r="D7910" s="1" t="n">
        <v>46108</v>
      </c>
      <c r="E7910" s="1" t="n">
        <v>46326</v>
      </c>
      <c r="F7910" t="inlineStr">
        <is>
          <t>GÄVLEBORGS LÄN</t>
        </is>
      </c>
      <c r="G7910" t="inlineStr">
        <is>
          <t>HUDIKSVALL</t>
        </is>
      </c>
      <c r="H7910" t="inlineStr">
        <is>
          <t>Holmen skog AB</t>
        </is>
      </c>
      <c r="I7910" t="n">
        <v>2.1</v>
      </c>
      <c r="J7910" t="n">
        <v>0</v>
      </c>
      <c r="K7910" t="n">
        <v>0</v>
      </c>
      <c r="L7910" t="n">
        <v>0</v>
      </c>
      <c r="M7910" t="n">
        <v>0</v>
      </c>
      <c r="N7910" t="n">
        <v>0</v>
      </c>
      <c r="O7910" t="n">
        <v>0</v>
      </c>
      <c r="P7910" t="n">
        <v>0</v>
      </c>
      <c r="Q7910" t="n">
        <v>0</v>
      </c>
      <c r="R7910" t="n">
        <v>0</v>
      </c>
      <c r="S7910" t="n">
        <v>0</v>
      </c>
      <c r="T7910" t="n">
        <v>0</v>
      </c>
      <c r="U7910" t="n">
        <v>0</v>
      </c>
      <c r="V7910" s="2" t="inlineStr"/>
    </row>
    <row r="7911" ht="15" customHeight="1">
      <c r="A7911" t="inlineStr">
        <is>
          <t>A 12352-2026</t>
        </is>
      </c>
      <c r="B7911" t="inlineStr">
        <is>
          <t>avverkningsanmälan</t>
        </is>
      </c>
      <c r="C7911" t="inlineStr">
        <is>
          <t>Föryngringsavverkning</t>
        </is>
      </c>
      <c r="D7911" s="1" t="n">
        <v>46088</v>
      </c>
      <c r="E7911" s="1" t="n">
        <v>46326</v>
      </c>
      <c r="F7911" t="inlineStr">
        <is>
          <t>GÄVLEBORGS LÄN</t>
        </is>
      </c>
      <c r="G7911" t="inlineStr">
        <is>
          <t>OCKELBO</t>
        </is>
      </c>
      <c r="H7911" t="inlineStr">
        <is>
          <t>Bergvik skog väst AB</t>
        </is>
      </c>
      <c r="I7911" t="n">
        <v>9.199999999999999</v>
      </c>
      <c r="J7911" t="n">
        <v>0</v>
      </c>
      <c r="K7911" t="n">
        <v>0</v>
      </c>
      <c r="L7911" t="n">
        <v>0</v>
      </c>
      <c r="M7911" t="n">
        <v>0</v>
      </c>
      <c r="N7911" t="n">
        <v>0</v>
      </c>
      <c r="O7911" t="n">
        <v>0</v>
      </c>
      <c r="P7911" t="n">
        <v>0</v>
      </c>
      <c r="Q7911" t="n">
        <v>0</v>
      </c>
      <c r="R7911" t="n">
        <v>0</v>
      </c>
      <c r="S7911" t="n">
        <v>0</v>
      </c>
      <c r="T7911" t="n">
        <v>0</v>
      </c>
      <c r="U7911" t="n">
        <v>0</v>
      </c>
      <c r="V7911" s="2" t="inlineStr"/>
    </row>
    <row r="7912" ht="15" customHeight="1">
      <c r="A7912" t="inlineStr">
        <is>
          <t>A 14666-2026</t>
        </is>
      </c>
      <c r="B7912" t="inlineStr">
        <is>
          <t>avverkningsanmälan</t>
        </is>
      </c>
      <c r="C7912" t="inlineStr">
        <is>
          <t>Föryngringsavverkning</t>
        </is>
      </c>
      <c r="D7912" s="1" t="n">
        <v>46101</v>
      </c>
      <c r="E7912" s="1" t="n">
        <v>46326</v>
      </c>
      <c r="F7912" t="inlineStr">
        <is>
          <t>GÄVLEBORGS LÄN</t>
        </is>
      </c>
      <c r="G7912" t="inlineStr">
        <is>
          <t>GÄVLE</t>
        </is>
      </c>
      <c r="H7912" t="inlineStr">
        <is>
          <t>Bergvik skog öst AB</t>
        </is>
      </c>
      <c r="I7912" t="n">
        <v>15.1</v>
      </c>
      <c r="J7912" t="n">
        <v>0</v>
      </c>
      <c r="K7912" t="n">
        <v>0</v>
      </c>
      <c r="L7912" t="n">
        <v>0</v>
      </c>
      <c r="M7912" t="n">
        <v>0</v>
      </c>
      <c r="N7912" t="n">
        <v>0</v>
      </c>
      <c r="O7912" t="n">
        <v>0</v>
      </c>
      <c r="P7912" t="n">
        <v>0</v>
      </c>
      <c r="Q7912" t="n">
        <v>0</v>
      </c>
      <c r="R7912" t="n">
        <v>0</v>
      </c>
      <c r="S7912" t="n">
        <v>0</v>
      </c>
      <c r="T7912" t="n">
        <v>0</v>
      </c>
      <c r="U7912" t="n">
        <v>0</v>
      </c>
      <c r="V7912" s="2" t="inlineStr"/>
    </row>
    <row r="7913" ht="15" customHeight="1">
      <c r="A7913" t="inlineStr">
        <is>
          <t>A 4179-2026</t>
        </is>
      </c>
      <c r="B7913" t="inlineStr">
        <is>
          <t>avverkningsanmälan</t>
        </is>
      </c>
      <c r="C7913" t="inlineStr">
        <is>
          <t>Föryngringsavverkning</t>
        </is>
      </c>
      <c r="D7913" s="1" t="n">
        <v>46044</v>
      </c>
      <c r="E7913" s="1" t="n">
        <v>46326</v>
      </c>
      <c r="F7913" t="inlineStr">
        <is>
          <t>GÄVLEBORGS LÄN</t>
        </is>
      </c>
      <c r="G7913" t="inlineStr">
        <is>
          <t>OCKELBO</t>
        </is>
      </c>
      <c r="I7913" t="n">
        <v>1.3</v>
      </c>
      <c r="J7913" t="n">
        <v>0</v>
      </c>
      <c r="K7913" t="n">
        <v>0</v>
      </c>
      <c r="L7913" t="n">
        <v>0</v>
      </c>
      <c r="M7913" t="n">
        <v>0</v>
      </c>
      <c r="N7913" t="n">
        <v>0</v>
      </c>
      <c r="O7913" t="n">
        <v>0</v>
      </c>
      <c r="P7913" t="n">
        <v>0</v>
      </c>
      <c r="Q7913" t="n">
        <v>0</v>
      </c>
      <c r="R7913" t="n">
        <v>0</v>
      </c>
      <c r="S7913" t="n">
        <v>0</v>
      </c>
      <c r="T7913" t="n">
        <v>0</v>
      </c>
      <c r="U7913" t="n">
        <v>0</v>
      </c>
      <c r="V7913" s="2" t="inlineStr"/>
    </row>
    <row r="7914" ht="15" customHeight="1">
      <c r="A7914" t="inlineStr">
        <is>
          <t>A 5164-2026</t>
        </is>
      </c>
      <c r="B7914" t="inlineStr">
        <is>
          <t>avverkningsanmälan</t>
        </is>
      </c>
      <c r="C7914" t="inlineStr">
        <is>
          <t>Föryngringsavverkning</t>
        </is>
      </c>
      <c r="D7914" s="1" t="n">
        <v>46049</v>
      </c>
      <c r="E7914" s="1" t="n">
        <v>46326</v>
      </c>
      <c r="F7914" t="inlineStr">
        <is>
          <t>GÄVLEBORGS LÄN</t>
        </is>
      </c>
      <c r="G7914" t="inlineStr">
        <is>
          <t>OCKELBO</t>
        </is>
      </c>
      <c r="I7914" t="n">
        <v>3.9</v>
      </c>
      <c r="J7914" t="n">
        <v>0</v>
      </c>
      <c r="K7914" t="n">
        <v>0</v>
      </c>
      <c r="L7914" t="n">
        <v>0</v>
      </c>
      <c r="M7914" t="n">
        <v>0</v>
      </c>
      <c r="N7914" t="n">
        <v>0</v>
      </c>
      <c r="O7914" t="n">
        <v>0</v>
      </c>
      <c r="P7914" t="n">
        <v>0</v>
      </c>
      <c r="Q7914" t="n">
        <v>0</v>
      </c>
      <c r="R7914" t="n">
        <v>0</v>
      </c>
      <c r="S7914" t="n">
        <v>0</v>
      </c>
      <c r="T7914" t="n">
        <v>0</v>
      </c>
      <c r="U7914" t="n">
        <v>0</v>
      </c>
      <c r="V7914" s="2" t="inlineStr"/>
    </row>
    <row r="7915" ht="15" customHeight="1">
      <c r="A7915" t="inlineStr">
        <is>
          <t>A 5981-2026</t>
        </is>
      </c>
      <c r="B7915" t="inlineStr">
        <is>
          <t>avverkningsanmälan</t>
        </is>
      </c>
      <c r="C7915" t="inlineStr">
        <is>
          <t>Avverkning för annat ändamål</t>
        </is>
      </c>
      <c r="D7915" s="1" t="n">
        <v>46052</v>
      </c>
      <c r="E7915" s="1" t="n">
        <v>46326</v>
      </c>
      <c r="F7915" t="inlineStr">
        <is>
          <t>GÄVLEBORGS LÄN</t>
        </is>
      </c>
      <c r="G7915" t="inlineStr">
        <is>
          <t>NORDANSTIG</t>
        </is>
      </c>
      <c r="I7915" t="n">
        <v>2.4</v>
      </c>
      <c r="J7915" t="n">
        <v>0</v>
      </c>
      <c r="K7915" t="n">
        <v>0</v>
      </c>
      <c r="L7915" t="n">
        <v>0</v>
      </c>
      <c r="M7915" t="n">
        <v>0</v>
      </c>
      <c r="N7915" t="n">
        <v>0</v>
      </c>
      <c r="O7915" t="n">
        <v>0</v>
      </c>
      <c r="P7915" t="n">
        <v>0</v>
      </c>
      <c r="Q7915" t="n">
        <v>0</v>
      </c>
      <c r="R7915" t="n">
        <v>0</v>
      </c>
      <c r="S7915" t="n">
        <v>0</v>
      </c>
      <c r="T7915" t="n">
        <v>0</v>
      </c>
      <c r="U7915" t="n">
        <v>0</v>
      </c>
      <c r="V7915" s="2" t="inlineStr"/>
    </row>
    <row r="7916" ht="15" customHeight="1">
      <c r="A7916" t="inlineStr">
        <is>
          <t>A 6001-2026</t>
        </is>
      </c>
      <c r="B7916" t="inlineStr">
        <is>
          <t>avverkningsanmälan</t>
        </is>
      </c>
      <c r="C7916" t="inlineStr">
        <is>
          <t>Föryngringsavverkning</t>
        </is>
      </c>
      <c r="D7916" s="1" t="n">
        <v>46052</v>
      </c>
      <c r="E7916" s="1" t="n">
        <v>46326</v>
      </c>
      <c r="F7916" t="inlineStr">
        <is>
          <t>GÄVLEBORGS LÄN</t>
        </is>
      </c>
      <c r="G7916" t="inlineStr">
        <is>
          <t>BOLLNÄS</t>
        </is>
      </c>
      <c r="I7916" t="n">
        <v>6.3</v>
      </c>
      <c r="J7916" t="n">
        <v>0</v>
      </c>
      <c r="K7916" t="n">
        <v>0</v>
      </c>
      <c r="L7916" t="n">
        <v>0</v>
      </c>
      <c r="M7916" t="n">
        <v>0</v>
      </c>
      <c r="N7916" t="n">
        <v>0</v>
      </c>
      <c r="O7916" t="n">
        <v>0</v>
      </c>
      <c r="P7916" t="n">
        <v>0</v>
      </c>
      <c r="Q7916" t="n">
        <v>0</v>
      </c>
      <c r="R7916" t="n">
        <v>0</v>
      </c>
      <c r="S7916" t="n">
        <v>0</v>
      </c>
      <c r="T7916" t="n">
        <v>0</v>
      </c>
      <c r="U7916" t="n">
        <v>0</v>
      </c>
      <c r="V7916" s="2" t="inlineStr"/>
    </row>
    <row r="7917" ht="15" customHeight="1">
      <c r="A7917" t="inlineStr">
        <is>
          <t>A 22609-2026</t>
        </is>
      </c>
      <c r="B7917" t="inlineStr">
        <is>
          <t>avverkningsanmälan</t>
        </is>
      </c>
      <c r="C7917" t="inlineStr">
        <is>
          <t>Föryngringsavverkning</t>
        </is>
      </c>
      <c r="D7917" s="1" t="n">
        <v>46155</v>
      </c>
      <c r="E7917" s="1" t="n">
        <v>46326</v>
      </c>
      <c r="F7917" t="inlineStr">
        <is>
          <t>GÄVLEBORGS LÄN</t>
        </is>
      </c>
      <c r="G7917" t="inlineStr">
        <is>
          <t>BOLLNÄS</t>
        </is>
      </c>
      <c r="I7917" t="n">
        <v>1.4</v>
      </c>
      <c r="J7917" t="n">
        <v>0</v>
      </c>
      <c r="K7917" t="n">
        <v>0</v>
      </c>
      <c r="L7917" t="n">
        <v>0</v>
      </c>
      <c r="M7917" t="n">
        <v>0</v>
      </c>
      <c r="N7917" t="n">
        <v>0</v>
      </c>
      <c r="O7917" t="n">
        <v>0</v>
      </c>
      <c r="P7917" t="n">
        <v>0</v>
      </c>
      <c r="Q7917" t="n">
        <v>0</v>
      </c>
      <c r="R7917" t="n">
        <v>0</v>
      </c>
      <c r="S7917" t="n">
        <v>0</v>
      </c>
      <c r="T7917" t="n">
        <v>0</v>
      </c>
      <c r="U7917" t="n">
        <v>0</v>
      </c>
      <c r="V7917" s="2" t="inlineStr"/>
    </row>
    <row r="7918" ht="15" customHeight="1">
      <c r="A7918" t="inlineStr">
        <is>
          <t>A 7972-2025</t>
        </is>
      </c>
      <c r="B7918" t="inlineStr">
        <is>
          <t>avverkningsanmälan</t>
        </is>
      </c>
      <c r="C7918" t="inlineStr">
        <is>
          <t>Avverkning för att bevara och utveckla /försöksver</t>
        </is>
      </c>
      <c r="D7918" s="1" t="n">
        <v>45707</v>
      </c>
      <c r="E7918" s="1" t="n">
        <v>46326</v>
      </c>
      <c r="F7918" t="inlineStr">
        <is>
          <t>GÄVLEBORGS LÄN</t>
        </is>
      </c>
      <c r="G7918" t="inlineStr">
        <is>
          <t>SÖDERHAMN</t>
        </is>
      </c>
      <c r="I7918" t="n">
        <v>6.2</v>
      </c>
      <c r="J7918" t="n">
        <v>0</v>
      </c>
      <c r="K7918" t="n">
        <v>0</v>
      </c>
      <c r="L7918" t="n">
        <v>0</v>
      </c>
      <c r="M7918" t="n">
        <v>0</v>
      </c>
      <c r="N7918" t="n">
        <v>0</v>
      </c>
      <c r="O7918" t="n">
        <v>0</v>
      </c>
      <c r="P7918" t="n">
        <v>0</v>
      </c>
      <c r="Q7918" t="n">
        <v>0</v>
      </c>
      <c r="R7918" t="n">
        <v>0</v>
      </c>
      <c r="S7918" t="n">
        <v>0</v>
      </c>
      <c r="T7918" t="n">
        <v>0</v>
      </c>
      <c r="U7918" t="n">
        <v>0</v>
      </c>
      <c r="V7918" s="2" t="inlineStr"/>
    </row>
    <row r="7919" ht="15" customHeight="1">
      <c r="A7919" t="inlineStr">
        <is>
          <t>A 22305-2026</t>
        </is>
      </c>
      <c r="B7919" t="inlineStr">
        <is>
          <t>avverkningsanmälan</t>
        </is>
      </c>
      <c r="C7919" t="inlineStr">
        <is>
          <t>Föryngringsavverkning</t>
        </is>
      </c>
      <c r="D7919" s="1" t="n">
        <v>46154</v>
      </c>
      <c r="E7919" s="1" t="n">
        <v>46326</v>
      </c>
      <c r="F7919" t="inlineStr">
        <is>
          <t>GÄVLEBORGS LÄN</t>
        </is>
      </c>
      <c r="G7919" t="inlineStr">
        <is>
          <t>BOLLNÄS</t>
        </is>
      </c>
      <c r="I7919" t="n">
        <v>1.1</v>
      </c>
      <c r="J7919" t="n">
        <v>0</v>
      </c>
      <c r="K7919" t="n">
        <v>0</v>
      </c>
      <c r="L7919" t="n">
        <v>0</v>
      </c>
      <c r="M7919" t="n">
        <v>0</v>
      </c>
      <c r="N7919" t="n">
        <v>0</v>
      </c>
      <c r="O7919" t="n">
        <v>0</v>
      </c>
      <c r="P7919" t="n">
        <v>0</v>
      </c>
      <c r="Q7919" t="n">
        <v>0</v>
      </c>
      <c r="R7919" t="n">
        <v>0</v>
      </c>
      <c r="S7919" t="n">
        <v>0</v>
      </c>
      <c r="T7919" t="n">
        <v>0</v>
      </c>
      <c r="U7919" t="n">
        <v>0</v>
      </c>
      <c r="V7919" s="2" t="inlineStr"/>
    </row>
    <row r="7920" ht="15" customHeight="1">
      <c r="A7920" t="inlineStr">
        <is>
          <t>A 22316-2026</t>
        </is>
      </c>
      <c r="B7920" t="inlineStr">
        <is>
          <t>avverkningsanmälan</t>
        </is>
      </c>
      <c r="C7920" t="inlineStr">
        <is>
          <t>Föryngringsavverkning</t>
        </is>
      </c>
      <c r="D7920" s="1" t="n">
        <v>46154</v>
      </c>
      <c r="E7920" s="1" t="n">
        <v>46326</v>
      </c>
      <c r="F7920" t="inlineStr">
        <is>
          <t>GÄVLEBORGS LÄN</t>
        </is>
      </c>
      <c r="G7920" t="inlineStr">
        <is>
          <t>BOLLNÄS</t>
        </is>
      </c>
      <c r="I7920" t="n">
        <v>0.7</v>
      </c>
      <c r="J7920" t="n">
        <v>0</v>
      </c>
      <c r="K7920" t="n">
        <v>0</v>
      </c>
      <c r="L7920" t="n">
        <v>0</v>
      </c>
      <c r="M7920" t="n">
        <v>0</v>
      </c>
      <c r="N7920" t="n">
        <v>0</v>
      </c>
      <c r="O7920" t="n">
        <v>0</v>
      </c>
      <c r="P7920" t="n">
        <v>0</v>
      </c>
      <c r="Q7920" t="n">
        <v>0</v>
      </c>
      <c r="R7920" t="n">
        <v>0</v>
      </c>
      <c r="S7920" t="n">
        <v>0</v>
      </c>
      <c r="T7920" t="n">
        <v>0</v>
      </c>
      <c r="U7920" t="n">
        <v>0</v>
      </c>
      <c r="V7920" s="2" t="inlineStr"/>
    </row>
    <row r="7921" ht="15" customHeight="1">
      <c r="A7921" t="inlineStr">
        <is>
          <t>A 57814-2022</t>
        </is>
      </c>
      <c r="B7921" t="inlineStr">
        <is>
          <t>avverkningsanmälan</t>
        </is>
      </c>
      <c r="C7921" t="inlineStr">
        <is>
          <t>Föryngringsavverkning</t>
        </is>
      </c>
      <c r="D7921" s="1" t="n">
        <v>44897</v>
      </c>
      <c r="E7921" s="1" t="n">
        <v>46326</v>
      </c>
      <c r="F7921" t="inlineStr">
        <is>
          <t>GÄVLEBORGS LÄN</t>
        </is>
      </c>
      <c r="G7921" t="inlineStr">
        <is>
          <t>SÖDERHAMN</t>
        </is>
      </c>
      <c r="I7921" t="n">
        <v>2.7</v>
      </c>
      <c r="J7921" t="n">
        <v>0</v>
      </c>
      <c r="K7921" t="n">
        <v>0</v>
      </c>
      <c r="L7921" t="n">
        <v>0</v>
      </c>
      <c r="M7921" t="n">
        <v>0</v>
      </c>
      <c r="N7921" t="n">
        <v>0</v>
      </c>
      <c r="O7921" t="n">
        <v>0</v>
      </c>
      <c r="P7921" t="n">
        <v>0</v>
      </c>
      <c r="Q7921" t="n">
        <v>0</v>
      </c>
      <c r="R7921" t="n">
        <v>0</v>
      </c>
      <c r="S7921" t="n">
        <v>0</v>
      </c>
      <c r="T7921" t="n">
        <v>0</v>
      </c>
      <c r="U7921" t="n">
        <v>0</v>
      </c>
      <c r="V7921" s="2" t="inlineStr"/>
    </row>
    <row r="7922" ht="15" customHeight="1">
      <c r="A7922" t="inlineStr">
        <is>
          <t>A 23217-2023</t>
        </is>
      </c>
      <c r="B7922" t="inlineStr">
        <is>
          <t>avverkningsanmälan</t>
        </is>
      </c>
      <c r="C7922" t="inlineStr">
        <is>
          <t>Avverkning för annat ändamål</t>
        </is>
      </c>
      <c r="D7922" s="1" t="n">
        <v>45075</v>
      </c>
      <c r="E7922" s="1" t="n">
        <v>46326</v>
      </c>
      <c r="F7922" t="inlineStr">
        <is>
          <t>GÄVLEBORGS LÄN</t>
        </is>
      </c>
      <c r="G7922" t="inlineStr">
        <is>
          <t>SANDVIKEN</t>
        </is>
      </c>
      <c r="H7922" t="inlineStr">
        <is>
          <t>Sveaskog</t>
        </is>
      </c>
      <c r="I7922" t="n">
        <v>0.8</v>
      </c>
      <c r="J7922" t="n">
        <v>0</v>
      </c>
      <c r="K7922" t="n">
        <v>0</v>
      </c>
      <c r="L7922" t="n">
        <v>0</v>
      </c>
      <c r="M7922" t="n">
        <v>0</v>
      </c>
      <c r="N7922" t="n">
        <v>0</v>
      </c>
      <c r="O7922" t="n">
        <v>0</v>
      </c>
      <c r="P7922" t="n">
        <v>0</v>
      </c>
      <c r="Q7922" t="n">
        <v>0</v>
      </c>
      <c r="R7922" t="n">
        <v>0</v>
      </c>
      <c r="S7922" t="n">
        <v>0</v>
      </c>
      <c r="T7922" t="n">
        <v>0</v>
      </c>
      <c r="U7922" t="n">
        <v>0</v>
      </c>
      <c r="V7922" s="2" t="inlineStr"/>
    </row>
    <row r="7923" ht="15" customHeight="1">
      <c r="A7923" t="inlineStr">
        <is>
          <t>A 5479-2023</t>
        </is>
      </c>
      <c r="B7923" t="inlineStr">
        <is>
          <t>avverkningsanmälan</t>
        </is>
      </c>
      <c r="C7923" t="inlineStr">
        <is>
          <t>Föryngringsavverkning</t>
        </is>
      </c>
      <c r="D7923" s="1" t="n">
        <v>44960</v>
      </c>
      <c r="E7923" s="1" t="n">
        <v>46326</v>
      </c>
      <c r="F7923" t="inlineStr">
        <is>
          <t>GÄVLEBORGS LÄN</t>
        </is>
      </c>
      <c r="G7923" t="inlineStr">
        <is>
          <t>NORDANSTIG</t>
        </is>
      </c>
      <c r="I7923" t="n">
        <v>17.6</v>
      </c>
      <c r="J7923" t="n">
        <v>0</v>
      </c>
      <c r="K7923" t="n">
        <v>0</v>
      </c>
      <c r="L7923" t="n">
        <v>0</v>
      </c>
      <c r="M7923" t="n">
        <v>0</v>
      </c>
      <c r="N7923" t="n">
        <v>0</v>
      </c>
      <c r="O7923" t="n">
        <v>0</v>
      </c>
      <c r="P7923" t="n">
        <v>0</v>
      </c>
      <c r="Q7923" t="n">
        <v>0</v>
      </c>
      <c r="R7923" t="n">
        <v>0</v>
      </c>
      <c r="S7923" t="n">
        <v>0</v>
      </c>
      <c r="T7923" t="n">
        <v>0</v>
      </c>
      <c r="U7923" t="n">
        <v>0</v>
      </c>
      <c r="V7923" s="2" t="inlineStr"/>
    </row>
    <row r="7924" ht="15" customHeight="1">
      <c r="A7924" t="inlineStr">
        <is>
          <t>A 47472-2023</t>
        </is>
      </c>
      <c r="B7924" t="inlineStr">
        <is>
          <t>avverkningsanmälan</t>
        </is>
      </c>
      <c r="C7924" t="inlineStr">
        <is>
          <t>Föryngringsavverkning</t>
        </is>
      </c>
      <c r="D7924" s="1" t="n">
        <v>45202</v>
      </c>
      <c r="E7924" s="1" t="n">
        <v>46326</v>
      </c>
      <c r="F7924" t="inlineStr">
        <is>
          <t>GÄVLEBORGS LÄN</t>
        </is>
      </c>
      <c r="G7924" t="inlineStr">
        <is>
          <t>HUDIKSVALL</t>
        </is>
      </c>
      <c r="I7924" t="n">
        <v>1</v>
      </c>
      <c r="J7924" t="n">
        <v>0</v>
      </c>
      <c r="K7924" t="n">
        <v>0</v>
      </c>
      <c r="L7924" t="n">
        <v>0</v>
      </c>
      <c r="M7924" t="n">
        <v>0</v>
      </c>
      <c r="N7924" t="n">
        <v>0</v>
      </c>
      <c r="O7924" t="n">
        <v>0</v>
      </c>
      <c r="P7924" t="n">
        <v>0</v>
      </c>
      <c r="Q7924" t="n">
        <v>0</v>
      </c>
      <c r="R7924" t="n">
        <v>0</v>
      </c>
      <c r="S7924" t="n">
        <v>0</v>
      </c>
      <c r="T7924" t="n">
        <v>0</v>
      </c>
      <c r="U7924" t="n">
        <v>0</v>
      </c>
      <c r="V7924" s="2" t="inlineStr"/>
    </row>
    <row r="7925" ht="15" customHeight="1">
      <c r="A7925" t="inlineStr">
        <is>
          <t>A 55520-2023</t>
        </is>
      </c>
      <c r="B7925" t="inlineStr">
        <is>
          <t>avverkningsanmälan</t>
        </is>
      </c>
      <c r="C7925" t="inlineStr">
        <is>
          <t>Föryngringsavverkning</t>
        </is>
      </c>
      <c r="D7925" s="1" t="n">
        <v>45238</v>
      </c>
      <c r="E7925" s="1" t="n">
        <v>46326</v>
      </c>
      <c r="F7925" t="inlineStr">
        <is>
          <t>GÄVLEBORGS LÄN</t>
        </is>
      </c>
      <c r="G7925" t="inlineStr">
        <is>
          <t>BOLLNÄS</t>
        </is>
      </c>
      <c r="I7925" t="n">
        <v>2</v>
      </c>
      <c r="J7925" t="n">
        <v>0</v>
      </c>
      <c r="K7925" t="n">
        <v>0</v>
      </c>
      <c r="L7925" t="n">
        <v>0</v>
      </c>
      <c r="M7925" t="n">
        <v>0</v>
      </c>
      <c r="N7925" t="n">
        <v>0</v>
      </c>
      <c r="O7925" t="n">
        <v>0</v>
      </c>
      <c r="P7925" t="n">
        <v>0</v>
      </c>
      <c r="Q7925" t="n">
        <v>0</v>
      </c>
      <c r="R7925" t="n">
        <v>0</v>
      </c>
      <c r="S7925" t="n">
        <v>0</v>
      </c>
      <c r="T7925" t="n">
        <v>0</v>
      </c>
      <c r="U7925" t="n">
        <v>0</v>
      </c>
      <c r="V7925" s="2" t="inlineStr"/>
    </row>
    <row r="7926" ht="15" customHeight="1">
      <c r="A7926" t="inlineStr">
        <is>
          <t>A 22342-2026</t>
        </is>
      </c>
      <c r="B7926" t="inlineStr">
        <is>
          <t>avverkningsanmälan</t>
        </is>
      </c>
      <c r="C7926" t="inlineStr">
        <is>
          <t>Föryngringsavverkning</t>
        </is>
      </c>
      <c r="D7926" s="1" t="n">
        <v>46154</v>
      </c>
      <c r="E7926" s="1" t="n">
        <v>46326</v>
      </c>
      <c r="F7926" t="inlineStr">
        <is>
          <t>GÄVLEBORGS LÄN</t>
        </is>
      </c>
      <c r="G7926" t="inlineStr">
        <is>
          <t>GÄVLE</t>
        </is>
      </c>
      <c r="H7926" t="inlineStr">
        <is>
          <t>Bergvik skog väst AB</t>
        </is>
      </c>
      <c r="I7926" t="n">
        <v>1.2</v>
      </c>
      <c r="J7926" t="n">
        <v>0</v>
      </c>
      <c r="K7926" t="n">
        <v>0</v>
      </c>
      <c r="L7926" t="n">
        <v>0</v>
      </c>
      <c r="M7926" t="n">
        <v>0</v>
      </c>
      <c r="N7926" t="n">
        <v>0</v>
      </c>
      <c r="O7926" t="n">
        <v>0</v>
      </c>
      <c r="P7926" t="n">
        <v>0</v>
      </c>
      <c r="Q7926" t="n">
        <v>0</v>
      </c>
      <c r="R7926" t="n">
        <v>0</v>
      </c>
      <c r="S7926" t="n">
        <v>0</v>
      </c>
      <c r="T7926" t="n">
        <v>0</v>
      </c>
      <c r="U7926" t="n">
        <v>0</v>
      </c>
      <c r="V7926" s="2" t="inlineStr"/>
    </row>
    <row r="7927" ht="15" customHeight="1">
      <c r="A7927" t="inlineStr">
        <is>
          <t>A 13182-2026</t>
        </is>
      </c>
      <c r="B7927" t="inlineStr">
        <is>
          <t>avverkningsanmälan</t>
        </is>
      </c>
      <c r="C7927" t="inlineStr">
        <is>
          <t>Föryngringsavverkning</t>
        </is>
      </c>
      <c r="D7927" s="1" t="n">
        <v>46093</v>
      </c>
      <c r="E7927" s="1" t="n">
        <v>46326</v>
      </c>
      <c r="F7927" t="inlineStr">
        <is>
          <t>GÄVLEBORGS LÄN</t>
        </is>
      </c>
      <c r="G7927" t="inlineStr">
        <is>
          <t>OCKELBO</t>
        </is>
      </c>
      <c r="I7927" t="n">
        <v>8.199999999999999</v>
      </c>
      <c r="J7927" t="n">
        <v>0</v>
      </c>
      <c r="K7927" t="n">
        <v>0</v>
      </c>
      <c r="L7927" t="n">
        <v>0</v>
      </c>
      <c r="M7927" t="n">
        <v>0</v>
      </c>
      <c r="N7927" t="n">
        <v>0</v>
      </c>
      <c r="O7927" t="n">
        <v>0</v>
      </c>
      <c r="P7927" t="n">
        <v>0</v>
      </c>
      <c r="Q7927" t="n">
        <v>0</v>
      </c>
      <c r="R7927" t="n">
        <v>0</v>
      </c>
      <c r="S7927" t="n">
        <v>0</v>
      </c>
      <c r="T7927" t="n">
        <v>0</v>
      </c>
      <c r="U7927" t="n">
        <v>0</v>
      </c>
      <c r="V7927" s="2" t="inlineStr"/>
    </row>
    <row r="7928" ht="15" customHeight="1">
      <c r="A7928" t="inlineStr">
        <is>
          <t>A 13233-2026</t>
        </is>
      </c>
      <c r="B7928" t="inlineStr">
        <is>
          <t>avverkningsanmälan</t>
        </is>
      </c>
      <c r="C7928" t="inlineStr">
        <is>
          <t>Föryngringsavverkning</t>
        </is>
      </c>
      <c r="D7928" s="1" t="n">
        <v>46093</v>
      </c>
      <c r="E7928" s="1" t="n">
        <v>46326</v>
      </c>
      <c r="F7928" t="inlineStr">
        <is>
          <t>GÄVLEBORGS LÄN</t>
        </is>
      </c>
      <c r="G7928" t="inlineStr">
        <is>
          <t>OCKELBO</t>
        </is>
      </c>
      <c r="H7928" t="inlineStr">
        <is>
          <t>Bergvik skog väst AB</t>
        </is>
      </c>
      <c r="I7928" t="n">
        <v>1.2</v>
      </c>
      <c r="J7928" t="n">
        <v>0</v>
      </c>
      <c r="K7928" t="n">
        <v>0</v>
      </c>
      <c r="L7928" t="n">
        <v>0</v>
      </c>
      <c r="M7928" t="n">
        <v>0</v>
      </c>
      <c r="N7928" t="n">
        <v>0</v>
      </c>
      <c r="O7928" t="n">
        <v>0</v>
      </c>
      <c r="P7928" t="n">
        <v>0</v>
      </c>
      <c r="Q7928" t="n">
        <v>0</v>
      </c>
      <c r="R7928" t="n">
        <v>0</v>
      </c>
      <c r="S7928" t="n">
        <v>0</v>
      </c>
      <c r="T7928" t="n">
        <v>0</v>
      </c>
      <c r="U7928" t="n">
        <v>0</v>
      </c>
      <c r="V7928" s="2" t="inlineStr"/>
    </row>
    <row r="7929" ht="15" customHeight="1">
      <c r="A7929" t="inlineStr">
        <is>
          <t>A 34617-2024</t>
        </is>
      </c>
      <c r="B7929" t="inlineStr">
        <is>
          <t>avverkningsanmälan</t>
        </is>
      </c>
      <c r="C7929" t="inlineStr">
        <is>
          <t>Föryngringsavverkning</t>
        </is>
      </c>
      <c r="D7929" s="1" t="n">
        <v>45526</v>
      </c>
      <c r="E7929" s="1" t="n">
        <v>46326</v>
      </c>
      <c r="F7929" t="inlineStr">
        <is>
          <t>GÄVLEBORGS LÄN</t>
        </is>
      </c>
      <c r="G7929" t="inlineStr">
        <is>
          <t>LJUSDAL</t>
        </is>
      </c>
      <c r="H7929" t="inlineStr">
        <is>
          <t>Sveaskog</t>
        </is>
      </c>
      <c r="I7929" t="n">
        <v>4.6</v>
      </c>
      <c r="J7929" t="n">
        <v>0</v>
      </c>
      <c r="K7929" t="n">
        <v>0</v>
      </c>
      <c r="L7929" t="n">
        <v>0</v>
      </c>
      <c r="M7929" t="n">
        <v>0</v>
      </c>
      <c r="N7929" t="n">
        <v>0</v>
      </c>
      <c r="O7929" t="n">
        <v>0</v>
      </c>
      <c r="P7929" t="n">
        <v>0</v>
      </c>
      <c r="Q7929" t="n">
        <v>0</v>
      </c>
      <c r="R7929" t="n">
        <v>0</v>
      </c>
      <c r="S7929" t="n">
        <v>0</v>
      </c>
      <c r="T7929" t="n">
        <v>0</v>
      </c>
      <c r="U7929" t="n">
        <v>0</v>
      </c>
      <c r="V7929" s="2" t="inlineStr"/>
    </row>
    <row r="7930" ht="15" customHeight="1">
      <c r="A7930" t="inlineStr">
        <is>
          <t>A 10275-2026</t>
        </is>
      </c>
      <c r="B7930" t="inlineStr">
        <is>
          <t>avverkningsanmälan</t>
        </is>
      </c>
      <c r="C7930" t="inlineStr">
        <is>
          <t>Föryngringsavverkning</t>
        </is>
      </c>
      <c r="D7930" s="1" t="n">
        <v>46076</v>
      </c>
      <c r="E7930" s="1" t="n">
        <v>46326</v>
      </c>
      <c r="F7930" t="inlineStr">
        <is>
          <t>GÄVLEBORGS LÄN</t>
        </is>
      </c>
      <c r="G7930" t="inlineStr">
        <is>
          <t>LJUSDAL</t>
        </is>
      </c>
      <c r="I7930" t="n">
        <v>1.3</v>
      </c>
      <c r="J7930" t="n">
        <v>0</v>
      </c>
      <c r="K7930" t="n">
        <v>0</v>
      </c>
      <c r="L7930" t="n">
        <v>0</v>
      </c>
      <c r="M7930" t="n">
        <v>0</v>
      </c>
      <c r="N7930" t="n">
        <v>0</v>
      </c>
      <c r="O7930" t="n">
        <v>0</v>
      </c>
      <c r="P7930" t="n">
        <v>0</v>
      </c>
      <c r="Q7930" t="n">
        <v>0</v>
      </c>
      <c r="R7930" t="n">
        <v>0</v>
      </c>
      <c r="S7930" t="n">
        <v>0</v>
      </c>
      <c r="T7930" t="n">
        <v>0</v>
      </c>
      <c r="U7930" t="n">
        <v>0</v>
      </c>
      <c r="V7930" s="2" t="inlineStr"/>
    </row>
    <row r="7931" ht="15" customHeight="1">
      <c r="A7931" t="inlineStr">
        <is>
          <t>A 38837-2024</t>
        </is>
      </c>
      <c r="B7931" t="inlineStr">
        <is>
          <t>avverkningsanmälan</t>
        </is>
      </c>
      <c r="C7931" t="inlineStr">
        <is>
          <t>Föryngringsavverkning</t>
        </is>
      </c>
      <c r="D7931" s="1" t="n">
        <v>45547</v>
      </c>
      <c r="E7931" s="1" t="n">
        <v>46326</v>
      </c>
      <c r="F7931" t="inlineStr">
        <is>
          <t>GÄVLEBORGS LÄN</t>
        </is>
      </c>
      <c r="G7931" t="inlineStr">
        <is>
          <t>BOLLNÄS</t>
        </is>
      </c>
      <c r="I7931" t="n">
        <v>0.9</v>
      </c>
      <c r="J7931" t="n">
        <v>0</v>
      </c>
      <c r="K7931" t="n">
        <v>0</v>
      </c>
      <c r="L7931" t="n">
        <v>0</v>
      </c>
      <c r="M7931" t="n">
        <v>0</v>
      </c>
      <c r="N7931" t="n">
        <v>0</v>
      </c>
      <c r="O7931" t="n">
        <v>0</v>
      </c>
      <c r="P7931" t="n">
        <v>0</v>
      </c>
      <c r="Q7931" t="n">
        <v>0</v>
      </c>
      <c r="R7931" t="n">
        <v>0</v>
      </c>
      <c r="S7931" t="n">
        <v>0</v>
      </c>
      <c r="T7931" t="n">
        <v>0</v>
      </c>
      <c r="U7931" t="n">
        <v>0</v>
      </c>
      <c r="V7931" s="2" t="inlineStr"/>
    </row>
    <row r="7932" ht="15" customHeight="1">
      <c r="A7932" t="inlineStr">
        <is>
          <t>A 22790-2026</t>
        </is>
      </c>
      <c r="B7932" t="inlineStr">
        <is>
          <t>avverkningsanmälan</t>
        </is>
      </c>
      <c r="C7932" t="inlineStr">
        <is>
          <t>Föryngringsavverkning</t>
        </is>
      </c>
      <c r="D7932" s="1" t="n">
        <v>46157</v>
      </c>
      <c r="E7932" s="1" t="n">
        <v>46326</v>
      </c>
      <c r="F7932" t="inlineStr">
        <is>
          <t>GÄVLEBORGS LÄN</t>
        </is>
      </c>
      <c r="G7932" t="inlineStr">
        <is>
          <t>SÖDERHAMN</t>
        </is>
      </c>
      <c r="I7932" t="n">
        <v>1.2</v>
      </c>
      <c r="J7932" t="n">
        <v>0</v>
      </c>
      <c r="K7932" t="n">
        <v>0</v>
      </c>
      <c r="L7932" t="n">
        <v>0</v>
      </c>
      <c r="M7932" t="n">
        <v>0</v>
      </c>
      <c r="N7932" t="n">
        <v>0</v>
      </c>
      <c r="O7932" t="n">
        <v>0</v>
      </c>
      <c r="P7932" t="n">
        <v>0</v>
      </c>
      <c r="Q7932" t="n">
        <v>0</v>
      </c>
      <c r="R7932" t="n">
        <v>0</v>
      </c>
      <c r="S7932" t="n">
        <v>0</v>
      </c>
      <c r="T7932" t="n">
        <v>0</v>
      </c>
      <c r="U7932" t="n">
        <v>0</v>
      </c>
      <c r="V7932" s="2" t="inlineStr"/>
    </row>
    <row r="7933" ht="15" customHeight="1">
      <c r="A7933" t="inlineStr">
        <is>
          <t>A 22791-2026</t>
        </is>
      </c>
      <c r="B7933" t="inlineStr">
        <is>
          <t>avverkningsanmälan</t>
        </is>
      </c>
      <c r="C7933" t="inlineStr">
        <is>
          <t>Föryngringsavverkning</t>
        </is>
      </c>
      <c r="D7933" s="1" t="n">
        <v>46157</v>
      </c>
      <c r="E7933" s="1" t="n">
        <v>46326</v>
      </c>
      <c r="F7933" t="inlineStr">
        <is>
          <t>GÄVLEBORGS LÄN</t>
        </is>
      </c>
      <c r="G7933" t="inlineStr">
        <is>
          <t>SÖDERHAMN</t>
        </is>
      </c>
      <c r="I7933" t="n">
        <v>3.3</v>
      </c>
      <c r="J7933" t="n">
        <v>0</v>
      </c>
      <c r="K7933" t="n">
        <v>0</v>
      </c>
      <c r="L7933" t="n">
        <v>0</v>
      </c>
      <c r="M7933" t="n">
        <v>0</v>
      </c>
      <c r="N7933" t="n">
        <v>0</v>
      </c>
      <c r="O7933" t="n">
        <v>0</v>
      </c>
      <c r="P7933" t="n">
        <v>0</v>
      </c>
      <c r="Q7933" t="n">
        <v>0</v>
      </c>
      <c r="R7933" t="n">
        <v>0</v>
      </c>
      <c r="S7933" t="n">
        <v>0</v>
      </c>
      <c r="T7933" t="n">
        <v>0</v>
      </c>
      <c r="U7933" t="n">
        <v>0</v>
      </c>
      <c r="V7933" s="2" t="inlineStr"/>
    </row>
    <row r="7934" ht="15" customHeight="1">
      <c r="A7934" t="inlineStr">
        <is>
          <t>A 22733-2026</t>
        </is>
      </c>
      <c r="B7934" t="inlineStr">
        <is>
          <t>avverkningsanmälan</t>
        </is>
      </c>
      <c r="C7934" t="inlineStr">
        <is>
          <t>Föryngringsavverkning</t>
        </is>
      </c>
      <c r="D7934" s="1" t="n">
        <v>46157</v>
      </c>
      <c r="E7934" s="1" t="n">
        <v>46326</v>
      </c>
      <c r="F7934" t="inlineStr">
        <is>
          <t>GÄVLEBORGS LÄN</t>
        </is>
      </c>
      <c r="G7934" t="inlineStr">
        <is>
          <t>NORDANSTIG</t>
        </is>
      </c>
      <c r="H7934" t="inlineStr">
        <is>
          <t>Holmen skog AB</t>
        </is>
      </c>
      <c r="I7934" t="n">
        <v>1.1</v>
      </c>
      <c r="J7934" t="n">
        <v>0</v>
      </c>
      <c r="K7934" t="n">
        <v>0</v>
      </c>
      <c r="L7934" t="n">
        <v>0</v>
      </c>
      <c r="M7934" t="n">
        <v>0</v>
      </c>
      <c r="N7934" t="n">
        <v>0</v>
      </c>
      <c r="O7934" t="n">
        <v>0</v>
      </c>
      <c r="P7934" t="n">
        <v>0</v>
      </c>
      <c r="Q7934" t="n">
        <v>0</v>
      </c>
      <c r="R7934" t="n">
        <v>0</v>
      </c>
      <c r="S7934" t="n">
        <v>0</v>
      </c>
      <c r="T7934" t="n">
        <v>0</v>
      </c>
      <c r="U7934" t="n">
        <v>0</v>
      </c>
      <c r="V7934" s="2" t="inlineStr"/>
    </row>
    <row r="7935" ht="15" customHeight="1">
      <c r="A7935" t="inlineStr">
        <is>
          <t>A 22735-2026</t>
        </is>
      </c>
      <c r="B7935" t="inlineStr">
        <is>
          <t>avverkningsanmälan</t>
        </is>
      </c>
      <c r="C7935" t="inlineStr">
        <is>
          <t>Föryngringsavverkning</t>
        </is>
      </c>
      <c r="D7935" s="1" t="n">
        <v>46157</v>
      </c>
      <c r="E7935" s="1" t="n">
        <v>46326</v>
      </c>
      <c r="F7935" t="inlineStr">
        <is>
          <t>GÄVLEBORGS LÄN</t>
        </is>
      </c>
      <c r="G7935" t="inlineStr">
        <is>
          <t>SÖDERHAMN</t>
        </is>
      </c>
      <c r="I7935" t="n">
        <v>1</v>
      </c>
      <c r="J7935" t="n">
        <v>0</v>
      </c>
      <c r="K7935" t="n">
        <v>0</v>
      </c>
      <c r="L7935" t="n">
        <v>0</v>
      </c>
      <c r="M7935" t="n">
        <v>0</v>
      </c>
      <c r="N7935" t="n">
        <v>0</v>
      </c>
      <c r="O7935" t="n">
        <v>0</v>
      </c>
      <c r="P7935" t="n">
        <v>0</v>
      </c>
      <c r="Q7935" t="n">
        <v>0</v>
      </c>
      <c r="R7935" t="n">
        <v>0</v>
      </c>
      <c r="S7935" t="n">
        <v>0</v>
      </c>
      <c r="T7935" t="n">
        <v>0</v>
      </c>
      <c r="U7935" t="n">
        <v>0</v>
      </c>
      <c r="V7935" s="2" t="inlineStr"/>
    </row>
    <row r="7936" ht="15" customHeight="1">
      <c r="A7936" t="inlineStr">
        <is>
          <t>A 22736-2026</t>
        </is>
      </c>
      <c r="B7936" t="inlineStr">
        <is>
          <t>avverkningsanmälan</t>
        </is>
      </c>
      <c r="C7936" t="inlineStr">
        <is>
          <t>Föryngringsavverkning</t>
        </is>
      </c>
      <c r="D7936" s="1" t="n">
        <v>46157</v>
      </c>
      <c r="E7936" s="1" t="n">
        <v>46326</v>
      </c>
      <c r="F7936" t="inlineStr">
        <is>
          <t>GÄVLEBORGS LÄN</t>
        </is>
      </c>
      <c r="G7936" t="inlineStr">
        <is>
          <t>SÖDERHAMN</t>
        </is>
      </c>
      <c r="I7936" t="n">
        <v>0.6</v>
      </c>
      <c r="J7936" t="n">
        <v>0</v>
      </c>
      <c r="K7936" t="n">
        <v>0</v>
      </c>
      <c r="L7936" t="n">
        <v>0</v>
      </c>
      <c r="M7936" t="n">
        <v>0</v>
      </c>
      <c r="N7936" t="n">
        <v>0</v>
      </c>
      <c r="O7936" t="n">
        <v>0</v>
      </c>
      <c r="P7936" t="n">
        <v>0</v>
      </c>
      <c r="Q7936" t="n">
        <v>0</v>
      </c>
      <c r="R7936" t="n">
        <v>0</v>
      </c>
      <c r="S7936" t="n">
        <v>0</v>
      </c>
      <c r="T7936" t="n">
        <v>0</v>
      </c>
      <c r="U7936" t="n">
        <v>0</v>
      </c>
      <c r="V7936" s="2" t="inlineStr"/>
    </row>
    <row r="7937" ht="15" customHeight="1">
      <c r="A7937" t="inlineStr">
        <is>
          <t>A 22737-2026</t>
        </is>
      </c>
      <c r="B7937" t="inlineStr">
        <is>
          <t>avverkningsanmälan</t>
        </is>
      </c>
      <c r="C7937" t="inlineStr">
        <is>
          <t>Föryngringsavverkning</t>
        </is>
      </c>
      <c r="D7937" s="1" t="n">
        <v>46157</v>
      </c>
      <c r="E7937" s="1" t="n">
        <v>46326</v>
      </c>
      <c r="F7937" t="inlineStr">
        <is>
          <t>GÄVLEBORGS LÄN</t>
        </is>
      </c>
      <c r="G7937" t="inlineStr">
        <is>
          <t>SÖDERHAMN</t>
        </is>
      </c>
      <c r="I7937" t="n">
        <v>1.1</v>
      </c>
      <c r="J7937" t="n">
        <v>0</v>
      </c>
      <c r="K7937" t="n">
        <v>0</v>
      </c>
      <c r="L7937" t="n">
        <v>0</v>
      </c>
      <c r="M7937" t="n">
        <v>0</v>
      </c>
      <c r="N7937" t="n">
        <v>0</v>
      </c>
      <c r="O7937" t="n">
        <v>0</v>
      </c>
      <c r="P7937" t="n">
        <v>0</v>
      </c>
      <c r="Q7937" t="n">
        <v>0</v>
      </c>
      <c r="R7937" t="n">
        <v>0</v>
      </c>
      <c r="S7937" t="n">
        <v>0</v>
      </c>
      <c r="T7937" t="n">
        <v>0</v>
      </c>
      <c r="U7937" t="n">
        <v>0</v>
      </c>
      <c r="V7937" s="2" t="inlineStr"/>
    </row>
    <row r="7938" ht="15" customHeight="1">
      <c r="A7938" t="inlineStr">
        <is>
          <t>A 19600-2024</t>
        </is>
      </c>
      <c r="B7938" t="inlineStr">
        <is>
          <t>avverkningsanmälan</t>
        </is>
      </c>
      <c r="C7938" t="inlineStr">
        <is>
          <t>Föryngringsavverkning</t>
        </is>
      </c>
      <c r="D7938" s="1" t="n">
        <v>45431</v>
      </c>
      <c r="E7938" s="1" t="n">
        <v>46326</v>
      </c>
      <c r="F7938" t="inlineStr">
        <is>
          <t>GÄVLEBORGS LÄN</t>
        </is>
      </c>
      <c r="G7938" t="inlineStr">
        <is>
          <t>HUDIKSVALL</t>
        </is>
      </c>
      <c r="H7938" t="inlineStr">
        <is>
          <t>Holmen skog AB</t>
        </is>
      </c>
      <c r="I7938" t="n">
        <v>0.5</v>
      </c>
      <c r="J7938" t="n">
        <v>0</v>
      </c>
      <c r="K7938" t="n">
        <v>0</v>
      </c>
      <c r="L7938" t="n">
        <v>0</v>
      </c>
      <c r="M7938" t="n">
        <v>0</v>
      </c>
      <c r="N7938" t="n">
        <v>0</v>
      </c>
      <c r="O7938" t="n">
        <v>0</v>
      </c>
      <c r="P7938" t="n">
        <v>0</v>
      </c>
      <c r="Q7938" t="n">
        <v>0</v>
      </c>
      <c r="R7938" t="n">
        <v>0</v>
      </c>
      <c r="S7938" t="n">
        <v>0</v>
      </c>
      <c r="T7938" t="n">
        <v>0</v>
      </c>
      <c r="U7938" t="n">
        <v>0</v>
      </c>
      <c r="V7938" s="2" t="inlineStr"/>
    </row>
    <row r="7939" ht="15" customHeight="1">
      <c r="A7939" t="inlineStr">
        <is>
          <t>A 13551-2026</t>
        </is>
      </c>
      <c r="B7939" t="inlineStr">
        <is>
          <t>avverkningsanmälan</t>
        </is>
      </c>
      <c r="C7939" t="inlineStr">
        <is>
          <t>Föryngringsavverkning</t>
        </is>
      </c>
      <c r="D7939" s="1" t="n">
        <v>46094</v>
      </c>
      <c r="E7939" s="1" t="n">
        <v>46326</v>
      </c>
      <c r="F7939" t="inlineStr">
        <is>
          <t>GÄVLEBORGS LÄN</t>
        </is>
      </c>
      <c r="G7939" t="inlineStr">
        <is>
          <t>SANDVIKEN</t>
        </is>
      </c>
      <c r="I7939" t="n">
        <v>0.9</v>
      </c>
      <c r="J7939" t="n">
        <v>0</v>
      </c>
      <c r="K7939" t="n">
        <v>0</v>
      </c>
      <c r="L7939" t="n">
        <v>0</v>
      </c>
      <c r="M7939" t="n">
        <v>0</v>
      </c>
      <c r="N7939" t="n">
        <v>0</v>
      </c>
      <c r="O7939" t="n">
        <v>0</v>
      </c>
      <c r="P7939" t="n">
        <v>0</v>
      </c>
      <c r="Q7939" t="n">
        <v>0</v>
      </c>
      <c r="R7939" t="n">
        <v>0</v>
      </c>
      <c r="S7939" t="n">
        <v>0</v>
      </c>
      <c r="T7939" t="n">
        <v>0</v>
      </c>
      <c r="U7939" t="n">
        <v>0</v>
      </c>
      <c r="V7939" s="2" t="inlineStr"/>
    </row>
    <row r="7940" ht="15" customHeight="1">
      <c r="A7940" t="inlineStr">
        <is>
          <t>A 15790-2026</t>
        </is>
      </c>
      <c r="B7940" t="inlineStr">
        <is>
          <t>avverkningsanmälan</t>
        </is>
      </c>
      <c r="C7940" t="inlineStr">
        <is>
          <t>Föryngringsavverkning</t>
        </is>
      </c>
      <c r="D7940" s="1" t="n">
        <v>46107</v>
      </c>
      <c r="E7940" s="1" t="n">
        <v>46326</v>
      </c>
      <c r="F7940" t="inlineStr">
        <is>
          <t>GÄVLEBORGS LÄN</t>
        </is>
      </c>
      <c r="G7940" t="inlineStr">
        <is>
          <t>GÄVLE</t>
        </is>
      </c>
      <c r="H7940" t="inlineStr">
        <is>
          <t>Bergvik skog öst AB</t>
        </is>
      </c>
      <c r="I7940" t="n">
        <v>1.1</v>
      </c>
      <c r="J7940" t="n">
        <v>0</v>
      </c>
      <c r="K7940" t="n">
        <v>0</v>
      </c>
      <c r="L7940" t="n">
        <v>0</v>
      </c>
      <c r="M7940" t="n">
        <v>0</v>
      </c>
      <c r="N7940" t="n">
        <v>0</v>
      </c>
      <c r="O7940" t="n">
        <v>0</v>
      </c>
      <c r="P7940" t="n">
        <v>0</v>
      </c>
      <c r="Q7940" t="n">
        <v>0</v>
      </c>
      <c r="R7940" t="n">
        <v>0</v>
      </c>
      <c r="S7940" t="n">
        <v>0</v>
      </c>
      <c r="T7940" t="n">
        <v>0</v>
      </c>
      <c r="U7940" t="n">
        <v>0</v>
      </c>
      <c r="V7940" s="2" t="inlineStr"/>
    </row>
    <row r="7941" ht="15" customHeight="1">
      <c r="A7941" t="inlineStr">
        <is>
          <t>A 60122-2025</t>
        </is>
      </c>
      <c r="B7941" t="inlineStr">
        <is>
          <t>avverkningsanmälan</t>
        </is>
      </c>
      <c r="C7941" t="inlineStr">
        <is>
          <t>Föryngringsavverkning</t>
        </is>
      </c>
      <c r="D7941" s="1" t="n">
        <v>45994</v>
      </c>
      <c r="E7941" s="1" t="n">
        <v>46326</v>
      </c>
      <c r="F7941" t="inlineStr">
        <is>
          <t>GÄVLEBORGS LÄN</t>
        </is>
      </c>
      <c r="G7941" t="inlineStr">
        <is>
          <t>OCKELBO</t>
        </is>
      </c>
      <c r="I7941" t="n">
        <v>2.2</v>
      </c>
      <c r="J7941" t="n">
        <v>0</v>
      </c>
      <c r="K7941" t="n">
        <v>0</v>
      </c>
      <c r="L7941" t="n">
        <v>0</v>
      </c>
      <c r="M7941" t="n">
        <v>0</v>
      </c>
      <c r="N7941" t="n">
        <v>0</v>
      </c>
      <c r="O7941" t="n">
        <v>0</v>
      </c>
      <c r="P7941" t="n">
        <v>0</v>
      </c>
      <c r="Q7941" t="n">
        <v>0</v>
      </c>
      <c r="R7941" t="n">
        <v>0</v>
      </c>
      <c r="S7941" t="n">
        <v>0</v>
      </c>
      <c r="T7941" t="n">
        <v>0</v>
      </c>
      <c r="U7941" t="n">
        <v>0</v>
      </c>
      <c r="V7941" s="2" t="inlineStr"/>
    </row>
    <row r="7942" ht="15" customHeight="1">
      <c r="A7942" t="inlineStr">
        <is>
          <t>A 22761-2026</t>
        </is>
      </c>
      <c r="B7942" t="inlineStr">
        <is>
          <t>avverkningsanmälan</t>
        </is>
      </c>
      <c r="C7942" t="inlineStr">
        <is>
          <t>Föryngringsavverkning</t>
        </is>
      </c>
      <c r="D7942" s="1" t="n">
        <v>46157</v>
      </c>
      <c r="E7942" s="1" t="n">
        <v>46326</v>
      </c>
      <c r="F7942" t="inlineStr">
        <is>
          <t>GÄVLEBORGS LÄN</t>
        </is>
      </c>
      <c r="G7942" t="inlineStr">
        <is>
          <t>BOLLNÄS</t>
        </is>
      </c>
      <c r="I7942" t="n">
        <v>6.1</v>
      </c>
      <c r="J7942" t="n">
        <v>0</v>
      </c>
      <c r="K7942" t="n">
        <v>0</v>
      </c>
      <c r="L7942" t="n">
        <v>0</v>
      </c>
      <c r="M7942" t="n">
        <v>0</v>
      </c>
      <c r="N7942" t="n">
        <v>0</v>
      </c>
      <c r="O7942" t="n">
        <v>0</v>
      </c>
      <c r="P7942" t="n">
        <v>0</v>
      </c>
      <c r="Q7942" t="n">
        <v>0</v>
      </c>
      <c r="R7942" t="n">
        <v>0</v>
      </c>
      <c r="S7942" t="n">
        <v>0</v>
      </c>
      <c r="T7942" t="n">
        <v>0</v>
      </c>
      <c r="U7942" t="n">
        <v>0</v>
      </c>
      <c r="V7942" s="2" t="inlineStr"/>
    </row>
    <row r="7943" ht="15" customHeight="1">
      <c r="A7943" t="inlineStr">
        <is>
          <t>A 22746-2026</t>
        </is>
      </c>
      <c r="B7943" t="inlineStr">
        <is>
          <t>avverkningsanmälan</t>
        </is>
      </c>
      <c r="C7943" t="inlineStr">
        <is>
          <t>Föryngringsavverkning</t>
        </is>
      </c>
      <c r="D7943" s="1" t="n">
        <v>46157</v>
      </c>
      <c r="E7943" s="1" t="n">
        <v>46326</v>
      </c>
      <c r="F7943" t="inlineStr">
        <is>
          <t>GÄVLEBORGS LÄN</t>
        </is>
      </c>
      <c r="G7943" t="inlineStr">
        <is>
          <t>BOLLNÄS</t>
        </is>
      </c>
      <c r="I7943" t="n">
        <v>0.9</v>
      </c>
      <c r="J7943" t="n">
        <v>0</v>
      </c>
      <c r="K7943" t="n">
        <v>0</v>
      </c>
      <c r="L7943" t="n">
        <v>0</v>
      </c>
      <c r="M7943" t="n">
        <v>0</v>
      </c>
      <c r="N7943" t="n">
        <v>0</v>
      </c>
      <c r="O7943" t="n">
        <v>0</v>
      </c>
      <c r="P7943" t="n">
        <v>0</v>
      </c>
      <c r="Q7943" t="n">
        <v>0</v>
      </c>
      <c r="R7943" t="n">
        <v>0</v>
      </c>
      <c r="S7943" t="n">
        <v>0</v>
      </c>
      <c r="T7943" t="n">
        <v>0</v>
      </c>
      <c r="U7943" t="n">
        <v>0</v>
      </c>
      <c r="V7943" s="2" t="inlineStr"/>
    </row>
    <row r="7944" ht="15" customHeight="1">
      <c r="A7944" t="inlineStr">
        <is>
          <t>A 17539-2025</t>
        </is>
      </c>
      <c r="B7944" t="inlineStr">
        <is>
          <t>avverkningsanmälan</t>
        </is>
      </c>
      <c r="C7944" t="inlineStr">
        <is>
          <t>Föryngringsavverkning</t>
        </is>
      </c>
      <c r="D7944" s="1" t="n">
        <v>45757</v>
      </c>
      <c r="E7944" s="1" t="n">
        <v>46326</v>
      </c>
      <c r="F7944" t="inlineStr">
        <is>
          <t>GÄVLEBORGS LÄN</t>
        </is>
      </c>
      <c r="G7944" t="inlineStr">
        <is>
          <t>LJUSDAL</t>
        </is>
      </c>
      <c r="H7944" t="inlineStr">
        <is>
          <t>Sveaskog</t>
        </is>
      </c>
      <c r="I7944" t="n">
        <v>4.3</v>
      </c>
      <c r="J7944" t="n">
        <v>0</v>
      </c>
      <c r="K7944" t="n">
        <v>0</v>
      </c>
      <c r="L7944" t="n">
        <v>0</v>
      </c>
      <c r="M7944" t="n">
        <v>0</v>
      </c>
      <c r="N7944" t="n">
        <v>0</v>
      </c>
      <c r="O7944" t="n">
        <v>0</v>
      </c>
      <c r="P7944" t="n">
        <v>0</v>
      </c>
      <c r="Q7944" t="n">
        <v>0</v>
      </c>
      <c r="R7944" t="n">
        <v>0</v>
      </c>
      <c r="S7944" t="n">
        <v>0</v>
      </c>
      <c r="T7944" t="n">
        <v>0</v>
      </c>
      <c r="U7944" t="n">
        <v>0</v>
      </c>
      <c r="V7944" s="2" t="inlineStr"/>
    </row>
    <row r="7945" ht="15" customHeight="1">
      <c r="A7945" t="inlineStr">
        <is>
          <t>A 22783-2026</t>
        </is>
      </c>
      <c r="B7945" t="inlineStr">
        <is>
          <t>avverkningsanmälan</t>
        </is>
      </c>
      <c r="C7945" t="inlineStr">
        <is>
          <t>Föryngringsavverkning</t>
        </is>
      </c>
      <c r="D7945" s="1" t="n">
        <v>46157</v>
      </c>
      <c r="E7945" s="1" t="n">
        <v>46326</v>
      </c>
      <c r="F7945" t="inlineStr">
        <is>
          <t>GÄVLEBORGS LÄN</t>
        </is>
      </c>
      <c r="G7945" t="inlineStr">
        <is>
          <t>HUDIKSVALL</t>
        </is>
      </c>
      <c r="H7945" t="inlineStr">
        <is>
          <t>Holmen skog AB</t>
        </is>
      </c>
      <c r="I7945" t="n">
        <v>3.1</v>
      </c>
      <c r="J7945" t="n">
        <v>0</v>
      </c>
      <c r="K7945" t="n">
        <v>0</v>
      </c>
      <c r="L7945" t="n">
        <v>0</v>
      </c>
      <c r="M7945" t="n">
        <v>0</v>
      </c>
      <c r="N7945" t="n">
        <v>0</v>
      </c>
      <c r="O7945" t="n">
        <v>0</v>
      </c>
      <c r="P7945" t="n">
        <v>0</v>
      </c>
      <c r="Q7945" t="n">
        <v>0</v>
      </c>
      <c r="R7945" t="n">
        <v>0</v>
      </c>
      <c r="S7945" t="n">
        <v>0</v>
      </c>
      <c r="T7945" t="n">
        <v>0</v>
      </c>
      <c r="U7945" t="n">
        <v>0</v>
      </c>
      <c r="V7945" s="2" t="inlineStr"/>
    </row>
    <row r="7946" ht="15" customHeight="1">
      <c r="A7946" t="inlineStr">
        <is>
          <t>A 14867-2026</t>
        </is>
      </c>
      <c r="B7946" t="inlineStr">
        <is>
          <t>avverkningsanmälan</t>
        </is>
      </c>
      <c r="C7946" t="inlineStr">
        <is>
          <t>Föryngringsavverkning</t>
        </is>
      </c>
      <c r="D7946" s="1" t="n">
        <v>46104</v>
      </c>
      <c r="E7946" s="1" t="n">
        <v>46326</v>
      </c>
      <c r="F7946" t="inlineStr">
        <is>
          <t>GÄVLEBORGS LÄN</t>
        </is>
      </c>
      <c r="G7946" t="inlineStr">
        <is>
          <t>SANDVIKEN</t>
        </is>
      </c>
      <c r="I7946" t="n">
        <v>0.9</v>
      </c>
      <c r="J7946" t="n">
        <v>0</v>
      </c>
      <c r="K7946" t="n">
        <v>0</v>
      </c>
      <c r="L7946" t="n">
        <v>0</v>
      </c>
      <c r="M7946" t="n">
        <v>0</v>
      </c>
      <c r="N7946" t="n">
        <v>0</v>
      </c>
      <c r="O7946" t="n">
        <v>0</v>
      </c>
      <c r="P7946" t="n">
        <v>0</v>
      </c>
      <c r="Q7946" t="n">
        <v>0</v>
      </c>
      <c r="R7946" t="n">
        <v>0</v>
      </c>
      <c r="S7946" t="n">
        <v>0</v>
      </c>
      <c r="T7946" t="n">
        <v>0</v>
      </c>
      <c r="U7946" t="n">
        <v>0</v>
      </c>
      <c r="V7946" s="2" t="inlineStr"/>
    </row>
    <row r="7947" ht="15" customHeight="1">
      <c r="A7947" t="inlineStr">
        <is>
          <t>A 60120-2025</t>
        </is>
      </c>
      <c r="B7947" t="inlineStr">
        <is>
          <t>avverkningsanmälan</t>
        </is>
      </c>
      <c r="C7947" t="inlineStr">
        <is>
          <t>Föryngringsavverkning</t>
        </is>
      </c>
      <c r="D7947" s="1" t="n">
        <v>45994</v>
      </c>
      <c r="E7947" s="1" t="n">
        <v>46326</v>
      </c>
      <c r="F7947" t="inlineStr">
        <is>
          <t>GÄVLEBORGS LÄN</t>
        </is>
      </c>
      <c r="G7947" t="inlineStr">
        <is>
          <t>OCKELBO</t>
        </is>
      </c>
      <c r="I7947" t="n">
        <v>1.2</v>
      </c>
      <c r="J7947" t="n">
        <v>0</v>
      </c>
      <c r="K7947" t="n">
        <v>0</v>
      </c>
      <c r="L7947" t="n">
        <v>0</v>
      </c>
      <c r="M7947" t="n">
        <v>0</v>
      </c>
      <c r="N7947" t="n">
        <v>0</v>
      </c>
      <c r="O7947" t="n">
        <v>0</v>
      </c>
      <c r="P7947" t="n">
        <v>0</v>
      </c>
      <c r="Q7947" t="n">
        <v>0</v>
      </c>
      <c r="R7947" t="n">
        <v>0</v>
      </c>
      <c r="S7947" t="n">
        <v>0</v>
      </c>
      <c r="T7947" t="n">
        <v>0</v>
      </c>
      <c r="U7947" t="n">
        <v>0</v>
      </c>
      <c r="V7947" s="2" t="inlineStr"/>
    </row>
    <row r="7948" ht="15" customHeight="1">
      <c r="A7948" t="inlineStr">
        <is>
          <t>A 22673-2026</t>
        </is>
      </c>
      <c r="B7948" t="inlineStr">
        <is>
          <t>avverkningsanmälan</t>
        </is>
      </c>
      <c r="C7948" t="inlineStr">
        <is>
          <t>Föryngringsavverkning</t>
        </is>
      </c>
      <c r="D7948" s="1" t="n">
        <v>46155</v>
      </c>
      <c r="E7948" s="1" t="n">
        <v>46326</v>
      </c>
      <c r="F7948" t="inlineStr">
        <is>
          <t>GÄVLEBORGS LÄN</t>
        </is>
      </c>
      <c r="G7948" t="inlineStr">
        <is>
          <t>HUDIKSVALL</t>
        </is>
      </c>
      <c r="I7948" t="n">
        <v>4.3</v>
      </c>
      <c r="J7948" t="n">
        <v>0</v>
      </c>
      <c r="K7948" t="n">
        <v>0</v>
      </c>
      <c r="L7948" t="n">
        <v>0</v>
      </c>
      <c r="M7948" t="n">
        <v>0</v>
      </c>
      <c r="N7948" t="n">
        <v>0</v>
      </c>
      <c r="O7948" t="n">
        <v>0</v>
      </c>
      <c r="P7948" t="n">
        <v>0</v>
      </c>
      <c r="Q7948" t="n">
        <v>0</v>
      </c>
      <c r="R7948" t="n">
        <v>0</v>
      </c>
      <c r="S7948" t="n">
        <v>0</v>
      </c>
      <c r="T7948" t="n">
        <v>0</v>
      </c>
      <c r="U7948" t="n">
        <v>0</v>
      </c>
      <c r="V7948" s="2" t="inlineStr"/>
    </row>
    <row r="7949" ht="15" customHeight="1">
      <c r="A7949" t="inlineStr">
        <is>
          <t>A 51458-2022</t>
        </is>
      </c>
      <c r="B7949" t="inlineStr">
        <is>
          <t>avverkningsanmälan</t>
        </is>
      </c>
      <c r="C7949" t="inlineStr">
        <is>
          <t>Föryngringsavverkning</t>
        </is>
      </c>
      <c r="D7949" s="1" t="n">
        <v>44869</v>
      </c>
      <c r="E7949" s="1" t="n">
        <v>46326</v>
      </c>
      <c r="F7949" t="inlineStr">
        <is>
          <t>GÄVLEBORGS LÄN</t>
        </is>
      </c>
      <c r="G7949" t="inlineStr">
        <is>
          <t>SÖDERHAMN</t>
        </is>
      </c>
      <c r="I7949" t="n">
        <v>3.7</v>
      </c>
      <c r="J7949" t="n">
        <v>0</v>
      </c>
      <c r="K7949" t="n">
        <v>0</v>
      </c>
      <c r="L7949" t="n">
        <v>0</v>
      </c>
      <c r="M7949" t="n">
        <v>0</v>
      </c>
      <c r="N7949" t="n">
        <v>0</v>
      </c>
      <c r="O7949" t="n">
        <v>0</v>
      </c>
      <c r="P7949" t="n">
        <v>0</v>
      </c>
      <c r="Q7949" t="n">
        <v>0</v>
      </c>
      <c r="R7949" t="n">
        <v>0</v>
      </c>
      <c r="S7949" t="n">
        <v>0</v>
      </c>
      <c r="T7949" t="n">
        <v>0</v>
      </c>
      <c r="U7949" t="n">
        <v>0</v>
      </c>
      <c r="V7949" s="2" t="inlineStr"/>
    </row>
    <row r="7950" ht="15" customHeight="1">
      <c r="A7950" t="inlineStr">
        <is>
          <t>A 22712-2026</t>
        </is>
      </c>
      <c r="B7950" t="inlineStr">
        <is>
          <t>avverkningsanmälan</t>
        </is>
      </c>
      <c r="C7950" t="inlineStr">
        <is>
          <t>Föryngringsavverkning</t>
        </is>
      </c>
      <c r="D7950" s="1" t="n">
        <v>46156</v>
      </c>
      <c r="E7950" s="1" t="n">
        <v>46326</v>
      </c>
      <c r="F7950" t="inlineStr">
        <is>
          <t>GÄVLEBORGS LÄN</t>
        </is>
      </c>
      <c r="G7950" t="inlineStr">
        <is>
          <t>OCKELBO</t>
        </is>
      </c>
      <c r="I7950" t="n">
        <v>0.9</v>
      </c>
      <c r="J7950" t="n">
        <v>0</v>
      </c>
      <c r="K7950" t="n">
        <v>0</v>
      </c>
      <c r="L7950" t="n">
        <v>0</v>
      </c>
      <c r="M7950" t="n">
        <v>0</v>
      </c>
      <c r="N7950" t="n">
        <v>0</v>
      </c>
      <c r="O7950" t="n">
        <v>0</v>
      </c>
      <c r="P7950" t="n">
        <v>0</v>
      </c>
      <c r="Q7950" t="n">
        <v>0</v>
      </c>
      <c r="R7950" t="n">
        <v>0</v>
      </c>
      <c r="S7950" t="n">
        <v>0</v>
      </c>
      <c r="T7950" t="n">
        <v>0</v>
      </c>
      <c r="U7950" t="n">
        <v>0</v>
      </c>
      <c r="V7950" s="2" t="inlineStr"/>
    </row>
    <row r="7951" ht="15" customHeight="1">
      <c r="A7951" t="inlineStr">
        <is>
          <t>A 20036-2026</t>
        </is>
      </c>
      <c r="B7951" t="inlineStr">
        <is>
          <t>avverkningsanmälan</t>
        </is>
      </c>
      <c r="C7951" t="inlineStr">
        <is>
          <t>Föryngringsavverkning</t>
        </is>
      </c>
      <c r="D7951" s="1" t="n">
        <v>46136</v>
      </c>
      <c r="E7951" s="1" t="n">
        <v>46326</v>
      </c>
      <c r="F7951" t="inlineStr">
        <is>
          <t>GÄVLEBORGS LÄN</t>
        </is>
      </c>
      <c r="G7951" t="inlineStr">
        <is>
          <t>BOLLNÄS</t>
        </is>
      </c>
      <c r="H7951" t="inlineStr">
        <is>
          <t>Bergvik skog öst AB</t>
        </is>
      </c>
      <c r="I7951" t="n">
        <v>23.8</v>
      </c>
      <c r="J7951" t="n">
        <v>0</v>
      </c>
      <c r="K7951" t="n">
        <v>0</v>
      </c>
      <c r="L7951" t="n">
        <v>0</v>
      </c>
      <c r="M7951" t="n">
        <v>0</v>
      </c>
      <c r="N7951" t="n">
        <v>0</v>
      </c>
      <c r="O7951" t="n">
        <v>0</v>
      </c>
      <c r="P7951" t="n">
        <v>0</v>
      </c>
      <c r="Q7951" t="n">
        <v>0</v>
      </c>
      <c r="R7951" t="n">
        <v>0</v>
      </c>
      <c r="S7951" t="n">
        <v>0</v>
      </c>
      <c r="T7951" t="n">
        <v>0</v>
      </c>
      <c r="U7951" t="n">
        <v>0</v>
      </c>
      <c r="V7951" s="2" t="inlineStr"/>
    </row>
    <row r="7952" ht="15" customHeight="1">
      <c r="A7952" t="inlineStr">
        <is>
          <t>A 10137-2024</t>
        </is>
      </c>
      <c r="B7952" t="inlineStr">
        <is>
          <t>avverkningsanmälan</t>
        </is>
      </c>
      <c r="C7952" t="inlineStr">
        <is>
          <t>Föryngringsavverkning</t>
        </is>
      </c>
      <c r="D7952" s="1" t="n">
        <v>45364</v>
      </c>
      <c r="E7952" s="1" t="n">
        <v>46326</v>
      </c>
      <c r="F7952" t="inlineStr">
        <is>
          <t>GÄVLEBORGS LÄN</t>
        </is>
      </c>
      <c r="G7952" t="inlineStr">
        <is>
          <t>NORDANSTIG</t>
        </is>
      </c>
      <c r="H7952" t="inlineStr">
        <is>
          <t>Holmen skog AB</t>
        </is>
      </c>
      <c r="I7952" t="n">
        <v>2.8</v>
      </c>
      <c r="J7952" t="n">
        <v>0</v>
      </c>
      <c r="K7952" t="n">
        <v>0</v>
      </c>
      <c r="L7952" t="n">
        <v>0</v>
      </c>
      <c r="M7952" t="n">
        <v>0</v>
      </c>
      <c r="N7952" t="n">
        <v>0</v>
      </c>
      <c r="O7952" t="n">
        <v>0</v>
      </c>
      <c r="P7952" t="n">
        <v>0</v>
      </c>
      <c r="Q7952" t="n">
        <v>0</v>
      </c>
      <c r="R7952" t="n">
        <v>0</v>
      </c>
      <c r="S7952" t="n">
        <v>0</v>
      </c>
      <c r="T7952" t="n">
        <v>0</v>
      </c>
      <c r="U7952" t="n">
        <v>0</v>
      </c>
      <c r="V7952" s="2" t="inlineStr"/>
    </row>
    <row r="7953" ht="15" customHeight="1">
      <c r="A7953" t="inlineStr">
        <is>
          <t>A 37217-2024</t>
        </is>
      </c>
      <c r="B7953" t="inlineStr">
        <is>
          <t>avverkningsanmälan</t>
        </is>
      </c>
      <c r="C7953" t="inlineStr">
        <is>
          <t>Föryngringsavverkning</t>
        </is>
      </c>
      <c r="D7953" s="1" t="n">
        <v>45539</v>
      </c>
      <c r="E7953" s="1" t="n">
        <v>46326</v>
      </c>
      <c r="F7953" t="inlineStr">
        <is>
          <t>GÄVLEBORGS LÄN</t>
        </is>
      </c>
      <c r="G7953" t="inlineStr">
        <is>
          <t>NORDANSTIG</t>
        </is>
      </c>
      <c r="I7953" t="n">
        <v>2.1</v>
      </c>
      <c r="J7953" t="n">
        <v>0</v>
      </c>
      <c r="K7953" t="n">
        <v>0</v>
      </c>
      <c r="L7953" t="n">
        <v>0</v>
      </c>
      <c r="M7953" t="n">
        <v>0</v>
      </c>
      <c r="N7953" t="n">
        <v>0</v>
      </c>
      <c r="O7953" t="n">
        <v>0</v>
      </c>
      <c r="P7953" t="n">
        <v>0</v>
      </c>
      <c r="Q7953" t="n">
        <v>0</v>
      </c>
      <c r="R7953" t="n">
        <v>0</v>
      </c>
      <c r="S7953" t="n">
        <v>0</v>
      </c>
      <c r="T7953" t="n">
        <v>0</v>
      </c>
      <c r="U7953" t="n">
        <v>0</v>
      </c>
      <c r="V7953" s="2" t="inlineStr"/>
    </row>
    <row r="7954" ht="15" customHeight="1">
      <c r="A7954" t="inlineStr">
        <is>
          <t>A 14809-2026</t>
        </is>
      </c>
      <c r="B7954" t="inlineStr">
        <is>
          <t>avverkningsanmälan</t>
        </is>
      </c>
      <c r="C7954" t="inlineStr">
        <is>
          <t>Föryngringsavverkning</t>
        </is>
      </c>
      <c r="D7954" s="1" t="n">
        <v>46104</v>
      </c>
      <c r="E7954" s="1" t="n">
        <v>46326</v>
      </c>
      <c r="F7954" t="inlineStr">
        <is>
          <t>GÄVLEBORGS LÄN</t>
        </is>
      </c>
      <c r="G7954" t="inlineStr">
        <is>
          <t>LJUSDAL</t>
        </is>
      </c>
      <c r="I7954" t="n">
        <v>1.1</v>
      </c>
      <c r="J7954" t="n">
        <v>0</v>
      </c>
      <c r="K7954" t="n">
        <v>0</v>
      </c>
      <c r="L7954" t="n">
        <v>0</v>
      </c>
      <c r="M7954" t="n">
        <v>0</v>
      </c>
      <c r="N7954" t="n">
        <v>0</v>
      </c>
      <c r="O7954" t="n">
        <v>0</v>
      </c>
      <c r="P7954" t="n">
        <v>0</v>
      </c>
      <c r="Q7954" t="n">
        <v>0</v>
      </c>
      <c r="R7954" t="n">
        <v>0</v>
      </c>
      <c r="S7954" t="n">
        <v>0</v>
      </c>
      <c r="T7954" t="n">
        <v>0</v>
      </c>
      <c r="U7954" t="n">
        <v>0</v>
      </c>
      <c r="V7954" s="2" t="inlineStr"/>
    </row>
    <row r="7955" ht="15" customHeight="1">
      <c r="A7955" t="inlineStr">
        <is>
          <t>A 22722-2026</t>
        </is>
      </c>
      <c r="B7955" t="inlineStr">
        <is>
          <t>avverkningsanmälan</t>
        </is>
      </c>
      <c r="C7955" t="inlineStr">
        <is>
          <t>Föryngringsavverkning</t>
        </is>
      </c>
      <c r="D7955" s="1" t="n">
        <v>46157</v>
      </c>
      <c r="E7955" s="1" t="n">
        <v>46326</v>
      </c>
      <c r="F7955" t="inlineStr">
        <is>
          <t>GÄVLEBORGS LÄN</t>
        </is>
      </c>
      <c r="G7955" t="inlineStr">
        <is>
          <t>LJUSDAL</t>
        </is>
      </c>
      <c r="H7955" t="inlineStr">
        <is>
          <t>Allmännings- och besparingsskogar</t>
        </is>
      </c>
      <c r="I7955" t="n">
        <v>12.1</v>
      </c>
      <c r="J7955" t="n">
        <v>0</v>
      </c>
      <c r="K7955" t="n">
        <v>0</v>
      </c>
      <c r="L7955" t="n">
        <v>0</v>
      </c>
      <c r="M7955" t="n">
        <v>0</v>
      </c>
      <c r="N7955" t="n">
        <v>0</v>
      </c>
      <c r="O7955" t="n">
        <v>0</v>
      </c>
      <c r="P7955" t="n">
        <v>0</v>
      </c>
      <c r="Q7955" t="n">
        <v>0</v>
      </c>
      <c r="R7955" t="n">
        <v>0</v>
      </c>
      <c r="S7955" t="n">
        <v>0</v>
      </c>
      <c r="T7955" t="n">
        <v>0</v>
      </c>
      <c r="U7955" t="n">
        <v>0</v>
      </c>
      <c r="V7955" s="2" t="inlineStr"/>
    </row>
    <row r="7956" ht="15" customHeight="1">
      <c r="A7956" t="inlineStr">
        <is>
          <t>A 57500-2023</t>
        </is>
      </c>
      <c r="B7956" t="inlineStr">
        <is>
          <t>avverkningsanmälan</t>
        </is>
      </c>
      <c r="C7956" t="inlineStr">
        <is>
          <t>Avverkning för annat ändamål</t>
        </is>
      </c>
      <c r="D7956" s="1" t="n">
        <v>45246</v>
      </c>
      <c r="E7956" s="1" t="n">
        <v>46326</v>
      </c>
      <c r="F7956" t="inlineStr">
        <is>
          <t>GÄVLEBORGS LÄN</t>
        </is>
      </c>
      <c r="G7956" t="inlineStr">
        <is>
          <t>SÖDERHAMN</t>
        </is>
      </c>
      <c r="I7956" t="n">
        <v>2.1</v>
      </c>
      <c r="J7956" t="n">
        <v>0</v>
      </c>
      <c r="K7956" t="n">
        <v>0</v>
      </c>
      <c r="L7956" t="n">
        <v>0</v>
      </c>
      <c r="M7956" t="n">
        <v>0</v>
      </c>
      <c r="N7956" t="n">
        <v>0</v>
      </c>
      <c r="O7956" t="n">
        <v>0</v>
      </c>
      <c r="P7956" t="n">
        <v>0</v>
      </c>
      <c r="Q7956" t="n">
        <v>0</v>
      </c>
      <c r="R7956" t="n">
        <v>0</v>
      </c>
      <c r="S7956" t="n">
        <v>0</v>
      </c>
      <c r="T7956" t="n">
        <v>0</v>
      </c>
      <c r="U7956" t="n">
        <v>0</v>
      </c>
      <c r="V7956" s="2" t="inlineStr"/>
    </row>
    <row r="7957" ht="15" customHeight="1">
      <c r="A7957" t="inlineStr">
        <is>
          <t>A 17862-2026</t>
        </is>
      </c>
      <c r="B7957" t="inlineStr">
        <is>
          <t>avverkningsanmälan</t>
        </is>
      </c>
      <c r="C7957" t="inlineStr">
        <is>
          <t>Föryngringsavverkning</t>
        </is>
      </c>
      <c r="D7957" s="1" t="n">
        <v>46122</v>
      </c>
      <c r="E7957" s="1" t="n">
        <v>46326</v>
      </c>
      <c r="F7957" t="inlineStr">
        <is>
          <t>GÄVLEBORGS LÄN</t>
        </is>
      </c>
      <c r="G7957" t="inlineStr">
        <is>
          <t>OCKELBO</t>
        </is>
      </c>
      <c r="I7957" t="n">
        <v>1</v>
      </c>
      <c r="J7957" t="n">
        <v>0</v>
      </c>
      <c r="K7957" t="n">
        <v>0</v>
      </c>
      <c r="L7957" t="n">
        <v>0</v>
      </c>
      <c r="M7957" t="n">
        <v>0</v>
      </c>
      <c r="N7957" t="n">
        <v>0</v>
      </c>
      <c r="O7957" t="n">
        <v>0</v>
      </c>
      <c r="P7957" t="n">
        <v>0</v>
      </c>
      <c r="Q7957" t="n">
        <v>0</v>
      </c>
      <c r="R7957" t="n">
        <v>0</v>
      </c>
      <c r="S7957" t="n">
        <v>0</v>
      </c>
      <c r="T7957" t="n">
        <v>0</v>
      </c>
      <c r="U7957" t="n">
        <v>0</v>
      </c>
      <c r="V7957" s="2" t="inlineStr"/>
    </row>
    <row r="7958" ht="15" customHeight="1">
      <c r="A7958" t="inlineStr">
        <is>
          <t>A 22675-2026</t>
        </is>
      </c>
      <c r="B7958" t="inlineStr">
        <is>
          <t>avverkningsanmälan</t>
        </is>
      </c>
      <c r="C7958" t="inlineStr">
        <is>
          <t>Föryngringsavverkning</t>
        </is>
      </c>
      <c r="D7958" s="1" t="n">
        <v>46156</v>
      </c>
      <c r="E7958" s="1" t="n">
        <v>46326</v>
      </c>
      <c r="F7958" t="inlineStr">
        <is>
          <t>GÄVLEBORGS LÄN</t>
        </is>
      </c>
      <c r="G7958" t="inlineStr">
        <is>
          <t>OVANÅKER</t>
        </is>
      </c>
      <c r="H7958" t="inlineStr">
        <is>
          <t>Bergvik skog väst AB</t>
        </is>
      </c>
      <c r="I7958" t="n">
        <v>0.7</v>
      </c>
      <c r="J7958" t="n">
        <v>0</v>
      </c>
      <c r="K7958" t="n">
        <v>0</v>
      </c>
      <c r="L7958" t="n">
        <v>0</v>
      </c>
      <c r="M7958" t="n">
        <v>0</v>
      </c>
      <c r="N7958" t="n">
        <v>0</v>
      </c>
      <c r="O7958" t="n">
        <v>0</v>
      </c>
      <c r="P7958" t="n">
        <v>0</v>
      </c>
      <c r="Q7958" t="n">
        <v>0</v>
      </c>
      <c r="R7958" t="n">
        <v>0</v>
      </c>
      <c r="S7958" t="n">
        <v>0</v>
      </c>
      <c r="T7958" t="n">
        <v>0</v>
      </c>
      <c r="U7958" t="n">
        <v>0</v>
      </c>
      <c r="V7958" s="2" t="inlineStr"/>
    </row>
    <row r="7959" ht="15" customHeight="1">
      <c r="A7959" t="inlineStr">
        <is>
          <t>A 22726-2026</t>
        </is>
      </c>
      <c r="B7959" t="inlineStr">
        <is>
          <t>avverkningsanmälan</t>
        </is>
      </c>
      <c r="C7959" t="inlineStr">
        <is>
          <t>Föryngringsavverkning</t>
        </is>
      </c>
      <c r="D7959" s="1" t="n">
        <v>46157</v>
      </c>
      <c r="E7959" s="1" t="n">
        <v>46326</v>
      </c>
      <c r="F7959" t="inlineStr">
        <is>
          <t>GÄVLEBORGS LÄN</t>
        </is>
      </c>
      <c r="G7959" t="inlineStr">
        <is>
          <t>SÖDERHAMN</t>
        </is>
      </c>
      <c r="I7959" t="n">
        <v>0.7</v>
      </c>
      <c r="J7959" t="n">
        <v>0</v>
      </c>
      <c r="K7959" t="n">
        <v>0</v>
      </c>
      <c r="L7959" t="n">
        <v>0</v>
      </c>
      <c r="M7959" t="n">
        <v>0</v>
      </c>
      <c r="N7959" t="n">
        <v>0</v>
      </c>
      <c r="O7959" t="n">
        <v>0</v>
      </c>
      <c r="P7959" t="n">
        <v>0</v>
      </c>
      <c r="Q7959" t="n">
        <v>0</v>
      </c>
      <c r="R7959" t="n">
        <v>0</v>
      </c>
      <c r="S7959" t="n">
        <v>0</v>
      </c>
      <c r="T7959" t="n">
        <v>0</v>
      </c>
      <c r="U7959" t="n">
        <v>0</v>
      </c>
      <c r="V7959" s="2" t="inlineStr"/>
    </row>
    <row r="7960" ht="15" customHeight="1">
      <c r="A7960" t="inlineStr">
        <is>
          <t>A 31607-2023</t>
        </is>
      </c>
      <c r="B7960" t="inlineStr">
        <is>
          <t>avverkningsanmälan</t>
        </is>
      </c>
      <c r="C7960" t="inlineStr">
        <is>
          <t>Avverkning för att bevara och utveckla /försöksver</t>
        </is>
      </c>
      <c r="D7960" s="1" t="n">
        <v>45117</v>
      </c>
      <c r="E7960" s="1" t="n">
        <v>46326</v>
      </c>
      <c r="F7960" t="inlineStr">
        <is>
          <t>GÄVLEBORGS LÄN</t>
        </is>
      </c>
      <c r="G7960" t="inlineStr">
        <is>
          <t>HOFORS</t>
        </is>
      </c>
      <c r="I7960" t="n">
        <v>3.8</v>
      </c>
      <c r="J7960" t="n">
        <v>0</v>
      </c>
      <c r="K7960" t="n">
        <v>0</v>
      </c>
      <c r="L7960" t="n">
        <v>0</v>
      </c>
      <c r="M7960" t="n">
        <v>0</v>
      </c>
      <c r="N7960" t="n">
        <v>0</v>
      </c>
      <c r="O7960" t="n">
        <v>0</v>
      </c>
      <c r="P7960" t="n">
        <v>0</v>
      </c>
      <c r="Q7960" t="n">
        <v>0</v>
      </c>
      <c r="R7960" t="n">
        <v>0</v>
      </c>
      <c r="S7960" t="n">
        <v>0</v>
      </c>
      <c r="T7960" t="n">
        <v>0</v>
      </c>
      <c r="U7960" t="n">
        <v>0</v>
      </c>
      <c r="V7960" s="2" t="inlineStr"/>
    </row>
    <row r="7961" ht="15" customHeight="1">
      <c r="A7961" t="inlineStr">
        <is>
          <t>A 31611-2023</t>
        </is>
      </c>
      <c r="B7961" t="inlineStr">
        <is>
          <t>avverkningsanmälan</t>
        </is>
      </c>
      <c r="C7961" t="inlineStr">
        <is>
          <t>Avverkning för att bevara och utveckla /försöksver</t>
        </is>
      </c>
      <c r="D7961" s="1" t="n">
        <v>45117</v>
      </c>
      <c r="E7961" s="1" t="n">
        <v>46326</v>
      </c>
      <c r="F7961" t="inlineStr">
        <is>
          <t>GÄVLEBORGS LÄN</t>
        </is>
      </c>
      <c r="G7961" t="inlineStr">
        <is>
          <t>HOFORS</t>
        </is>
      </c>
      <c r="I7961" t="n">
        <v>4.4</v>
      </c>
      <c r="J7961" t="n">
        <v>0</v>
      </c>
      <c r="K7961" t="n">
        <v>0</v>
      </c>
      <c r="L7961" t="n">
        <v>0</v>
      </c>
      <c r="M7961" t="n">
        <v>0</v>
      </c>
      <c r="N7961" t="n">
        <v>0</v>
      </c>
      <c r="O7961" t="n">
        <v>0</v>
      </c>
      <c r="P7961" t="n">
        <v>0</v>
      </c>
      <c r="Q7961" t="n">
        <v>0</v>
      </c>
      <c r="R7961" t="n">
        <v>0</v>
      </c>
      <c r="S7961" t="n">
        <v>0</v>
      </c>
      <c r="T7961" t="n">
        <v>0</v>
      </c>
      <c r="U7961" t="n">
        <v>0</v>
      </c>
      <c r="V7961" s="2" t="inlineStr"/>
    </row>
    <row r="7962" ht="15" customHeight="1">
      <c r="A7962" t="inlineStr">
        <is>
          <t>A 14718-2026</t>
        </is>
      </c>
      <c r="B7962" t="inlineStr">
        <is>
          <t>avverkningsanmälan</t>
        </is>
      </c>
      <c r="C7962" t="inlineStr">
        <is>
          <t>Föryngringsavverkning</t>
        </is>
      </c>
      <c r="D7962" s="1" t="n">
        <v>46101</v>
      </c>
      <c r="E7962" s="1" t="n">
        <v>46326</v>
      </c>
      <c r="F7962" t="inlineStr">
        <is>
          <t>GÄVLEBORGS LÄN</t>
        </is>
      </c>
      <c r="G7962" t="inlineStr">
        <is>
          <t>SÖDERHAMN</t>
        </is>
      </c>
      <c r="H7962" t="inlineStr">
        <is>
          <t>Bergvik skog väst AB</t>
        </is>
      </c>
      <c r="I7962" t="n">
        <v>0.9</v>
      </c>
      <c r="J7962" t="n">
        <v>0</v>
      </c>
      <c r="K7962" t="n">
        <v>0</v>
      </c>
      <c r="L7962" t="n">
        <v>0</v>
      </c>
      <c r="M7962" t="n">
        <v>0</v>
      </c>
      <c r="N7962" t="n">
        <v>0</v>
      </c>
      <c r="O7962" t="n">
        <v>0</v>
      </c>
      <c r="P7962" t="n">
        <v>0</v>
      </c>
      <c r="Q7962" t="n">
        <v>0</v>
      </c>
      <c r="R7962" t="n">
        <v>0</v>
      </c>
      <c r="S7962" t="n">
        <v>0</v>
      </c>
      <c r="T7962" t="n">
        <v>0</v>
      </c>
      <c r="U7962" t="n">
        <v>0</v>
      </c>
      <c r="V7962" s="2" t="inlineStr"/>
    </row>
    <row r="7963" ht="15" customHeight="1">
      <c r="A7963" t="inlineStr">
        <is>
          <t>A 14474-2026</t>
        </is>
      </c>
      <c r="B7963" t="inlineStr">
        <is>
          <t>avverkningsanmälan</t>
        </is>
      </c>
      <c r="C7963" t="inlineStr">
        <is>
          <t>Föryngringsavverkning</t>
        </is>
      </c>
      <c r="D7963" s="1" t="n">
        <v>46100</v>
      </c>
      <c r="E7963" s="1" t="n">
        <v>46326</v>
      </c>
      <c r="F7963" t="inlineStr">
        <is>
          <t>GÄVLEBORGS LÄN</t>
        </is>
      </c>
      <c r="G7963" t="inlineStr">
        <is>
          <t>OCKELBO</t>
        </is>
      </c>
      <c r="I7963" t="n">
        <v>2.8</v>
      </c>
      <c r="J7963" t="n">
        <v>0</v>
      </c>
      <c r="K7963" t="n">
        <v>0</v>
      </c>
      <c r="L7963" t="n">
        <v>0</v>
      </c>
      <c r="M7963" t="n">
        <v>0</v>
      </c>
      <c r="N7963" t="n">
        <v>0</v>
      </c>
      <c r="O7963" t="n">
        <v>0</v>
      </c>
      <c r="P7963" t="n">
        <v>0</v>
      </c>
      <c r="Q7963" t="n">
        <v>0</v>
      </c>
      <c r="R7963" t="n">
        <v>0</v>
      </c>
      <c r="S7963" t="n">
        <v>0</v>
      </c>
      <c r="T7963" t="n">
        <v>0</v>
      </c>
      <c r="U7963" t="n">
        <v>0</v>
      </c>
      <c r="V7963" s="2" t="inlineStr"/>
    </row>
    <row r="7964" ht="15" customHeight="1">
      <c r="A7964" t="inlineStr">
        <is>
          <t>A 22727-2026</t>
        </is>
      </c>
      <c r="B7964" t="inlineStr">
        <is>
          <t>avverkningsanmälan</t>
        </is>
      </c>
      <c r="C7964" t="inlineStr">
        <is>
          <t>Föryngringsavverkning</t>
        </is>
      </c>
      <c r="D7964" s="1" t="n">
        <v>46157</v>
      </c>
      <c r="E7964" s="1" t="n">
        <v>46326</v>
      </c>
      <c r="F7964" t="inlineStr">
        <is>
          <t>GÄVLEBORGS LÄN</t>
        </is>
      </c>
      <c r="G7964" t="inlineStr">
        <is>
          <t>SÖDERHAMN</t>
        </is>
      </c>
      <c r="I7964" t="n">
        <v>3.5</v>
      </c>
      <c r="J7964" t="n">
        <v>0</v>
      </c>
      <c r="K7964" t="n">
        <v>0</v>
      </c>
      <c r="L7964" t="n">
        <v>0</v>
      </c>
      <c r="M7964" t="n">
        <v>0</v>
      </c>
      <c r="N7964" t="n">
        <v>0</v>
      </c>
      <c r="O7964" t="n">
        <v>0</v>
      </c>
      <c r="P7964" t="n">
        <v>0</v>
      </c>
      <c r="Q7964" t="n">
        <v>0</v>
      </c>
      <c r="R7964" t="n">
        <v>0</v>
      </c>
      <c r="S7964" t="n">
        <v>0</v>
      </c>
      <c r="T7964" t="n">
        <v>0</v>
      </c>
      <c r="U7964" t="n">
        <v>0</v>
      </c>
      <c r="V7964" s="2" t="inlineStr"/>
    </row>
    <row r="7965" ht="15" customHeight="1">
      <c r="A7965" t="inlineStr">
        <is>
          <t>A 60396-2022</t>
        </is>
      </c>
      <c r="B7965" t="inlineStr">
        <is>
          <t>avverkningsanmälan</t>
        </is>
      </c>
      <c r="C7965" t="inlineStr">
        <is>
          <t>Föryngringsavverkning</t>
        </is>
      </c>
      <c r="D7965" s="1" t="n">
        <v>44910</v>
      </c>
      <c r="E7965" s="1" t="n">
        <v>46326</v>
      </c>
      <c r="F7965" t="inlineStr">
        <is>
          <t>GÄVLEBORGS LÄN</t>
        </is>
      </c>
      <c r="G7965" t="inlineStr">
        <is>
          <t>GÄVLE</t>
        </is>
      </c>
      <c r="I7965" t="n">
        <v>1</v>
      </c>
      <c r="J7965" t="n">
        <v>0</v>
      </c>
      <c r="K7965" t="n">
        <v>0</v>
      </c>
      <c r="L7965" t="n">
        <v>0</v>
      </c>
      <c r="M7965" t="n">
        <v>0</v>
      </c>
      <c r="N7965" t="n">
        <v>0</v>
      </c>
      <c r="O7965" t="n">
        <v>0</v>
      </c>
      <c r="P7965" t="n">
        <v>0</v>
      </c>
      <c r="Q7965" t="n">
        <v>0</v>
      </c>
      <c r="R7965" t="n">
        <v>0</v>
      </c>
      <c r="S7965" t="n">
        <v>0</v>
      </c>
      <c r="T7965" t="n">
        <v>0</v>
      </c>
      <c r="U7965" t="n">
        <v>0</v>
      </c>
      <c r="V7965" s="2" t="inlineStr"/>
    </row>
    <row r="7966" ht="15" customHeight="1">
      <c r="A7966" t="inlineStr">
        <is>
          <t>A 15765-2026</t>
        </is>
      </c>
      <c r="B7966" t="inlineStr">
        <is>
          <t>avverkningsanmälan</t>
        </is>
      </c>
      <c r="C7966" t="inlineStr">
        <is>
          <t>Föryngringsavverkning</t>
        </is>
      </c>
      <c r="D7966" s="1" t="n">
        <v>46107</v>
      </c>
      <c r="E7966" s="1" t="n">
        <v>46326</v>
      </c>
      <c r="F7966" t="inlineStr">
        <is>
          <t>GÄVLEBORGS LÄN</t>
        </is>
      </c>
      <c r="G7966" t="inlineStr">
        <is>
          <t>GÄVLE</t>
        </is>
      </c>
      <c r="H7966" t="inlineStr">
        <is>
          <t>Bergvik skog öst AB</t>
        </is>
      </c>
      <c r="I7966" t="n">
        <v>0.9</v>
      </c>
      <c r="J7966" t="n">
        <v>0</v>
      </c>
      <c r="K7966" t="n">
        <v>0</v>
      </c>
      <c r="L7966" t="n">
        <v>0</v>
      </c>
      <c r="M7966" t="n">
        <v>0</v>
      </c>
      <c r="N7966" t="n">
        <v>0</v>
      </c>
      <c r="O7966" t="n">
        <v>0</v>
      </c>
      <c r="P7966" t="n">
        <v>0</v>
      </c>
      <c r="Q7966" t="n">
        <v>0</v>
      </c>
      <c r="R7966" t="n">
        <v>0</v>
      </c>
      <c r="S7966" t="n">
        <v>0</v>
      </c>
      <c r="T7966" t="n">
        <v>0</v>
      </c>
      <c r="U7966" t="n">
        <v>0</v>
      </c>
      <c r="V7966" s="2" t="inlineStr"/>
    </row>
    <row r="7967" ht="15" customHeight="1">
      <c r="A7967" t="inlineStr">
        <is>
          <t>A 16102-2026</t>
        </is>
      </c>
      <c r="B7967" t="inlineStr">
        <is>
          <t>avverkningsanmälan</t>
        </is>
      </c>
      <c r="C7967" t="inlineStr">
        <is>
          <t>Föryngringsavverkning</t>
        </is>
      </c>
      <c r="D7967" s="1" t="n">
        <v>46108</v>
      </c>
      <c r="E7967" s="1" t="n">
        <v>46326</v>
      </c>
      <c r="F7967" t="inlineStr">
        <is>
          <t>GÄVLEBORGS LÄN</t>
        </is>
      </c>
      <c r="G7967" t="inlineStr">
        <is>
          <t>SANDVIKEN</t>
        </is>
      </c>
      <c r="I7967" t="n">
        <v>1.4</v>
      </c>
      <c r="J7967" t="n">
        <v>0</v>
      </c>
      <c r="K7967" t="n">
        <v>0</v>
      </c>
      <c r="L7967" t="n">
        <v>0</v>
      </c>
      <c r="M7967" t="n">
        <v>0</v>
      </c>
      <c r="N7967" t="n">
        <v>0</v>
      </c>
      <c r="O7967" t="n">
        <v>0</v>
      </c>
      <c r="P7967" t="n">
        <v>0</v>
      </c>
      <c r="Q7967" t="n">
        <v>0</v>
      </c>
      <c r="R7967" t="n">
        <v>0</v>
      </c>
      <c r="S7967" t="n">
        <v>0</v>
      </c>
      <c r="T7967" t="n">
        <v>0</v>
      </c>
      <c r="U7967" t="n">
        <v>0</v>
      </c>
      <c r="V7967" s="2" t="inlineStr"/>
    </row>
    <row r="7968" ht="15" customHeight="1">
      <c r="A7968" t="inlineStr">
        <is>
          <t>A 9131-2024</t>
        </is>
      </c>
      <c r="B7968" t="inlineStr">
        <is>
          <t>avverkningsanmälan</t>
        </is>
      </c>
      <c r="C7968" t="inlineStr">
        <is>
          <t>Föryngringsavverkning</t>
        </is>
      </c>
      <c r="D7968" s="1" t="n">
        <v>45358</v>
      </c>
      <c r="E7968" s="1" t="n">
        <v>46326</v>
      </c>
      <c r="F7968" t="inlineStr">
        <is>
          <t>GÄVLEBORGS LÄN</t>
        </is>
      </c>
      <c r="G7968" t="inlineStr">
        <is>
          <t>NORDANSTIG</t>
        </is>
      </c>
      <c r="H7968" t="inlineStr">
        <is>
          <t>Holmen skog AB</t>
        </is>
      </c>
      <c r="I7968" t="n">
        <v>0.6</v>
      </c>
      <c r="J7968" t="n">
        <v>0</v>
      </c>
      <c r="K7968" t="n">
        <v>0</v>
      </c>
      <c r="L7968" t="n">
        <v>0</v>
      </c>
      <c r="M7968" t="n">
        <v>0</v>
      </c>
      <c r="N7968" t="n">
        <v>0</v>
      </c>
      <c r="O7968" t="n">
        <v>0</v>
      </c>
      <c r="P7968" t="n">
        <v>0</v>
      </c>
      <c r="Q7968" t="n">
        <v>0</v>
      </c>
      <c r="R7968" t="n">
        <v>0</v>
      </c>
      <c r="S7968" t="n">
        <v>0</v>
      </c>
      <c r="T7968" t="n">
        <v>0</v>
      </c>
      <c r="U7968" t="n">
        <v>0</v>
      </c>
      <c r="V7968" s="2" t="inlineStr"/>
    </row>
    <row r="7969" ht="15" customHeight="1">
      <c r="A7969" t="inlineStr">
        <is>
          <t>A 22905-2026</t>
        </is>
      </c>
      <c r="B7969" t="inlineStr">
        <is>
          <t>avverkningsanmälan</t>
        </is>
      </c>
      <c r="C7969" t="inlineStr">
        <is>
          <t>Föryngringsavverkning</t>
        </is>
      </c>
      <c r="D7969" s="1" t="n">
        <v>46160</v>
      </c>
      <c r="E7969" s="1" t="n">
        <v>46326</v>
      </c>
      <c r="F7969" t="inlineStr">
        <is>
          <t>GÄVLEBORGS LÄN</t>
        </is>
      </c>
      <c r="G7969" t="inlineStr">
        <is>
          <t>BOLLNÄS</t>
        </is>
      </c>
      <c r="I7969" t="n">
        <v>12.3</v>
      </c>
      <c r="J7969" t="n">
        <v>0</v>
      </c>
      <c r="K7969" t="n">
        <v>0</v>
      </c>
      <c r="L7969" t="n">
        <v>0</v>
      </c>
      <c r="M7969" t="n">
        <v>0</v>
      </c>
      <c r="N7969" t="n">
        <v>0</v>
      </c>
      <c r="O7969" t="n">
        <v>0</v>
      </c>
      <c r="P7969" t="n">
        <v>0</v>
      </c>
      <c r="Q7969" t="n">
        <v>0</v>
      </c>
      <c r="R7969" t="n">
        <v>0</v>
      </c>
      <c r="S7969" t="n">
        <v>0</v>
      </c>
      <c r="T7969" t="n">
        <v>0</v>
      </c>
      <c r="U7969" t="n">
        <v>0</v>
      </c>
      <c r="V7969" s="2" t="inlineStr"/>
    </row>
    <row r="7970" ht="15" customHeight="1">
      <c r="A7970" t="inlineStr">
        <is>
          <t>A 2461-2024</t>
        </is>
      </c>
      <c r="B7970" t="inlineStr">
        <is>
          <t>avverkningsanmälan</t>
        </is>
      </c>
      <c r="C7970" t="inlineStr">
        <is>
          <t>Föryngringsavverkning</t>
        </is>
      </c>
      <c r="D7970" s="1" t="n">
        <v>45312</v>
      </c>
      <c r="E7970" s="1" t="n">
        <v>46326</v>
      </c>
      <c r="F7970" t="inlineStr">
        <is>
          <t>GÄVLEBORGS LÄN</t>
        </is>
      </c>
      <c r="G7970" t="inlineStr">
        <is>
          <t>GÄVLE</t>
        </is>
      </c>
      <c r="I7970" t="n">
        <v>4.3</v>
      </c>
      <c r="J7970" t="n">
        <v>0</v>
      </c>
      <c r="K7970" t="n">
        <v>0</v>
      </c>
      <c r="L7970" t="n">
        <v>0</v>
      </c>
      <c r="M7970" t="n">
        <v>0</v>
      </c>
      <c r="N7970" t="n">
        <v>0</v>
      </c>
      <c r="O7970" t="n">
        <v>0</v>
      </c>
      <c r="P7970" t="n">
        <v>0</v>
      </c>
      <c r="Q7970" t="n">
        <v>0</v>
      </c>
      <c r="R7970" t="n">
        <v>0</v>
      </c>
      <c r="S7970" t="n">
        <v>0</v>
      </c>
      <c r="T7970" t="n">
        <v>0</v>
      </c>
      <c r="U7970" t="n">
        <v>0</v>
      </c>
      <c r="V7970" s="2" t="inlineStr"/>
    </row>
    <row r="7971" ht="15" customHeight="1">
      <c r="A7971" t="inlineStr">
        <is>
          <t>A 23040-2026</t>
        </is>
      </c>
      <c r="B7971" t="inlineStr">
        <is>
          <t>avverkningsanmälan</t>
        </is>
      </c>
      <c r="C7971" t="inlineStr">
        <is>
          <t>Avverkning för annat ändamål</t>
        </is>
      </c>
      <c r="D7971" s="1" t="n">
        <v>46161</v>
      </c>
      <c r="E7971" s="1" t="n">
        <v>46326</v>
      </c>
      <c r="F7971" t="inlineStr">
        <is>
          <t>GÄVLEBORGS LÄN</t>
        </is>
      </c>
      <c r="G7971" t="inlineStr">
        <is>
          <t>OCKELBO</t>
        </is>
      </c>
      <c r="I7971" t="n">
        <v>0.7</v>
      </c>
      <c r="J7971" t="n">
        <v>0</v>
      </c>
      <c r="K7971" t="n">
        <v>0</v>
      </c>
      <c r="L7971" t="n">
        <v>0</v>
      </c>
      <c r="M7971" t="n">
        <v>0</v>
      </c>
      <c r="N7971" t="n">
        <v>0</v>
      </c>
      <c r="O7971" t="n">
        <v>0</v>
      </c>
      <c r="P7971" t="n">
        <v>0</v>
      </c>
      <c r="Q7971" t="n">
        <v>0</v>
      </c>
      <c r="R7971" t="n">
        <v>0</v>
      </c>
      <c r="S7971" t="n">
        <v>0</v>
      </c>
      <c r="T7971" t="n">
        <v>0</v>
      </c>
      <c r="U7971" t="n">
        <v>0</v>
      </c>
      <c r="V7971" s="2" t="inlineStr"/>
    </row>
    <row r="7972" ht="15" customHeight="1">
      <c r="A7972" t="inlineStr">
        <is>
          <t>A 23067-2026</t>
        </is>
      </c>
      <c r="B7972" t="inlineStr">
        <is>
          <t>avverkningsanmälan</t>
        </is>
      </c>
      <c r="C7972" t="inlineStr">
        <is>
          <t>Föryngringsavverkning</t>
        </is>
      </c>
      <c r="D7972" s="1" t="n">
        <v>46161</v>
      </c>
      <c r="E7972" s="1" t="n">
        <v>46326</v>
      </c>
      <c r="F7972" t="inlineStr">
        <is>
          <t>GÄVLEBORGS LÄN</t>
        </is>
      </c>
      <c r="G7972" t="inlineStr">
        <is>
          <t>HUDIKSVALL</t>
        </is>
      </c>
      <c r="H7972" t="inlineStr">
        <is>
          <t>Holmen skog AB</t>
        </is>
      </c>
      <c r="I7972" t="n">
        <v>3.2</v>
      </c>
      <c r="J7972" t="n">
        <v>0</v>
      </c>
      <c r="K7972" t="n">
        <v>0</v>
      </c>
      <c r="L7972" t="n">
        <v>0</v>
      </c>
      <c r="M7972" t="n">
        <v>0</v>
      </c>
      <c r="N7972" t="n">
        <v>0</v>
      </c>
      <c r="O7972" t="n">
        <v>0</v>
      </c>
      <c r="P7972" t="n">
        <v>0</v>
      </c>
      <c r="Q7972" t="n">
        <v>0</v>
      </c>
      <c r="R7972" t="n">
        <v>0</v>
      </c>
      <c r="S7972" t="n">
        <v>0</v>
      </c>
      <c r="T7972" t="n">
        <v>0</v>
      </c>
      <c r="U7972" t="n">
        <v>0</v>
      </c>
      <c r="V7972" s="2" t="inlineStr"/>
    </row>
    <row r="7973" ht="15" customHeight="1">
      <c r="A7973" t="inlineStr">
        <is>
          <t>A 23070-2026</t>
        </is>
      </c>
      <c r="B7973" t="inlineStr">
        <is>
          <t>avverkningsanmälan</t>
        </is>
      </c>
      <c r="C7973" t="inlineStr">
        <is>
          <t>Föryngringsavverkning</t>
        </is>
      </c>
      <c r="D7973" s="1" t="n">
        <v>46161</v>
      </c>
      <c r="E7973" s="1" t="n">
        <v>46326</v>
      </c>
      <c r="F7973" t="inlineStr">
        <is>
          <t>GÄVLEBORGS LÄN</t>
        </is>
      </c>
      <c r="G7973" t="inlineStr">
        <is>
          <t>HUDIKSVALL</t>
        </is>
      </c>
      <c r="H7973" t="inlineStr">
        <is>
          <t>Holmen skog AB</t>
        </is>
      </c>
      <c r="I7973" t="n">
        <v>17.4</v>
      </c>
      <c r="J7973" t="n">
        <v>0</v>
      </c>
      <c r="K7973" t="n">
        <v>0</v>
      </c>
      <c r="L7973" t="n">
        <v>0</v>
      </c>
      <c r="M7973" t="n">
        <v>0</v>
      </c>
      <c r="N7973" t="n">
        <v>0</v>
      </c>
      <c r="O7973" t="n">
        <v>0</v>
      </c>
      <c r="P7973" t="n">
        <v>0</v>
      </c>
      <c r="Q7973" t="n">
        <v>0</v>
      </c>
      <c r="R7973" t="n">
        <v>0</v>
      </c>
      <c r="S7973" t="n">
        <v>0</v>
      </c>
      <c r="T7973" t="n">
        <v>0</v>
      </c>
      <c r="U7973" t="n">
        <v>0</v>
      </c>
      <c r="V7973" s="2" t="inlineStr"/>
    </row>
    <row r="7974" ht="15" customHeight="1">
      <c r="A7974" t="inlineStr">
        <is>
          <t>A 42069-2024</t>
        </is>
      </c>
      <c r="B7974" t="inlineStr">
        <is>
          <t>avverkningsanmälan</t>
        </is>
      </c>
      <c r="C7974" t="inlineStr">
        <is>
          <t>Föryngringsavverkning</t>
        </is>
      </c>
      <c r="D7974" s="1" t="n">
        <v>45562</v>
      </c>
      <c r="E7974" s="1" t="n">
        <v>46326</v>
      </c>
      <c r="F7974" t="inlineStr">
        <is>
          <t>GÄVLEBORGS LÄN</t>
        </is>
      </c>
      <c r="G7974" t="inlineStr">
        <is>
          <t>SANDVIKEN</t>
        </is>
      </c>
      <c r="I7974" t="n">
        <v>0.6</v>
      </c>
      <c r="J7974" t="n">
        <v>0</v>
      </c>
      <c r="K7974" t="n">
        <v>0</v>
      </c>
      <c r="L7974" t="n">
        <v>0</v>
      </c>
      <c r="M7974" t="n">
        <v>0</v>
      </c>
      <c r="N7974" t="n">
        <v>0</v>
      </c>
      <c r="O7974" t="n">
        <v>0</v>
      </c>
      <c r="P7974" t="n">
        <v>0</v>
      </c>
      <c r="Q7974" t="n">
        <v>0</v>
      </c>
      <c r="R7974" t="n">
        <v>0</v>
      </c>
      <c r="S7974" t="n">
        <v>0</v>
      </c>
      <c r="T7974" t="n">
        <v>0</v>
      </c>
      <c r="U7974" t="n">
        <v>0</v>
      </c>
      <c r="V7974" s="2" t="inlineStr"/>
    </row>
    <row r="7975" ht="15" customHeight="1">
      <c r="A7975" t="inlineStr">
        <is>
          <t>A 23084-2026</t>
        </is>
      </c>
      <c r="B7975" t="inlineStr">
        <is>
          <t>avverkningsanmälan</t>
        </is>
      </c>
      <c r="C7975" t="inlineStr">
        <is>
          <t>Föryngringsavverkning</t>
        </is>
      </c>
      <c r="D7975" s="1" t="n">
        <v>46161</v>
      </c>
      <c r="E7975" s="1" t="n">
        <v>46326</v>
      </c>
      <c r="F7975" t="inlineStr">
        <is>
          <t>GÄVLEBORGS LÄN</t>
        </is>
      </c>
      <c r="G7975" t="inlineStr">
        <is>
          <t>BOLLNÄS</t>
        </is>
      </c>
      <c r="I7975" t="n">
        <v>1.1</v>
      </c>
      <c r="J7975" t="n">
        <v>0</v>
      </c>
      <c r="K7975" t="n">
        <v>0</v>
      </c>
      <c r="L7975" t="n">
        <v>0</v>
      </c>
      <c r="M7975" t="n">
        <v>0</v>
      </c>
      <c r="N7975" t="n">
        <v>0</v>
      </c>
      <c r="O7975" t="n">
        <v>0</v>
      </c>
      <c r="P7975" t="n">
        <v>0</v>
      </c>
      <c r="Q7975" t="n">
        <v>0</v>
      </c>
      <c r="R7975" t="n">
        <v>0</v>
      </c>
      <c r="S7975" t="n">
        <v>0</v>
      </c>
      <c r="T7975" t="n">
        <v>0</v>
      </c>
      <c r="U7975" t="n">
        <v>0</v>
      </c>
      <c r="V7975" s="2" t="inlineStr"/>
    </row>
    <row r="7976" ht="15" customHeight="1">
      <c r="A7976" t="inlineStr">
        <is>
          <t>A 8752-2023</t>
        </is>
      </c>
      <c r="B7976" t="inlineStr">
        <is>
          <t>avverkningsanmälan</t>
        </is>
      </c>
      <c r="C7976" t="inlineStr">
        <is>
          <t>Föryngringsavverkning</t>
        </is>
      </c>
      <c r="D7976" s="1" t="n">
        <v>44978</v>
      </c>
      <c r="E7976" s="1" t="n">
        <v>46326</v>
      </c>
      <c r="F7976" t="inlineStr">
        <is>
          <t>GÄVLEBORGS LÄN</t>
        </is>
      </c>
      <c r="G7976" t="inlineStr">
        <is>
          <t>HUDIKSVALL</t>
        </is>
      </c>
      <c r="I7976" t="n">
        <v>5</v>
      </c>
      <c r="J7976" t="n">
        <v>0</v>
      </c>
      <c r="K7976" t="n">
        <v>0</v>
      </c>
      <c r="L7976" t="n">
        <v>0</v>
      </c>
      <c r="M7976" t="n">
        <v>0</v>
      </c>
      <c r="N7976" t="n">
        <v>0</v>
      </c>
      <c r="O7976" t="n">
        <v>0</v>
      </c>
      <c r="P7976" t="n">
        <v>0</v>
      </c>
      <c r="Q7976" t="n">
        <v>0</v>
      </c>
      <c r="R7976" t="n">
        <v>0</v>
      </c>
      <c r="S7976" t="n">
        <v>0</v>
      </c>
      <c r="T7976" t="n">
        <v>0</v>
      </c>
      <c r="U7976" t="n">
        <v>0</v>
      </c>
      <c r="V7976" s="2" t="inlineStr"/>
    </row>
    <row r="7977" ht="15" customHeight="1">
      <c r="A7977" t="inlineStr">
        <is>
          <t>A 23039-2026</t>
        </is>
      </c>
      <c r="B7977" t="inlineStr">
        <is>
          <t>avverkningsanmälan</t>
        </is>
      </c>
      <c r="C7977" t="inlineStr">
        <is>
          <t>Föryngringsavverkning</t>
        </is>
      </c>
      <c r="D7977" s="1" t="n">
        <v>46161</v>
      </c>
      <c r="E7977" s="1" t="n">
        <v>46326</v>
      </c>
      <c r="F7977" t="inlineStr">
        <is>
          <t>GÄVLEBORGS LÄN</t>
        </is>
      </c>
      <c r="G7977" t="inlineStr">
        <is>
          <t>NORDANSTIG</t>
        </is>
      </c>
      <c r="I7977" t="n">
        <v>2.2</v>
      </c>
      <c r="J7977" t="n">
        <v>0</v>
      </c>
      <c r="K7977" t="n">
        <v>0</v>
      </c>
      <c r="L7977" t="n">
        <v>0</v>
      </c>
      <c r="M7977" t="n">
        <v>0</v>
      </c>
      <c r="N7977" t="n">
        <v>0</v>
      </c>
      <c r="O7977" t="n">
        <v>0</v>
      </c>
      <c r="P7977" t="n">
        <v>0</v>
      </c>
      <c r="Q7977" t="n">
        <v>0</v>
      </c>
      <c r="R7977" t="n">
        <v>0</v>
      </c>
      <c r="S7977" t="n">
        <v>0</v>
      </c>
      <c r="T7977" t="n">
        <v>0</v>
      </c>
      <c r="U7977" t="n">
        <v>0</v>
      </c>
      <c r="V7977" s="2" t="inlineStr"/>
    </row>
    <row r="7978" ht="15" customHeight="1">
      <c r="A7978" t="inlineStr">
        <is>
          <t>A 23085-2026</t>
        </is>
      </c>
      <c r="B7978" t="inlineStr">
        <is>
          <t>avverkningsanmälan</t>
        </is>
      </c>
      <c r="C7978" t="inlineStr">
        <is>
          <t>Föryngringsavverkning</t>
        </is>
      </c>
      <c r="D7978" s="1" t="n">
        <v>46161</v>
      </c>
      <c r="E7978" s="1" t="n">
        <v>46326</v>
      </c>
      <c r="F7978" t="inlineStr">
        <is>
          <t>GÄVLEBORGS LÄN</t>
        </is>
      </c>
      <c r="G7978" t="inlineStr">
        <is>
          <t>BOLLNÄS</t>
        </is>
      </c>
      <c r="I7978" t="n">
        <v>1</v>
      </c>
      <c r="J7978" t="n">
        <v>0</v>
      </c>
      <c r="K7978" t="n">
        <v>0</v>
      </c>
      <c r="L7978" t="n">
        <v>0</v>
      </c>
      <c r="M7978" t="n">
        <v>0</v>
      </c>
      <c r="N7978" t="n">
        <v>0</v>
      </c>
      <c r="O7978" t="n">
        <v>0</v>
      </c>
      <c r="P7978" t="n">
        <v>0</v>
      </c>
      <c r="Q7978" t="n">
        <v>0</v>
      </c>
      <c r="R7978" t="n">
        <v>0</v>
      </c>
      <c r="S7978" t="n">
        <v>0</v>
      </c>
      <c r="T7978" t="n">
        <v>0</v>
      </c>
      <c r="U7978" t="n">
        <v>0</v>
      </c>
      <c r="V7978" s="2" t="inlineStr"/>
    </row>
    <row r="7979" ht="15" customHeight="1">
      <c r="A7979" t="inlineStr">
        <is>
          <t>A 15620-2026</t>
        </is>
      </c>
      <c r="B7979" t="inlineStr">
        <is>
          <t>avverkningsanmälan</t>
        </is>
      </c>
      <c r="C7979" t="inlineStr">
        <is>
          <t>Föryngringsavverkning</t>
        </is>
      </c>
      <c r="D7979" s="1" t="n">
        <v>46106</v>
      </c>
      <c r="E7979" s="1" t="n">
        <v>46326</v>
      </c>
      <c r="F7979" t="inlineStr">
        <is>
          <t>GÄVLEBORGS LÄN</t>
        </is>
      </c>
      <c r="G7979" t="inlineStr">
        <is>
          <t>OVANÅKER</t>
        </is>
      </c>
      <c r="H7979" t="inlineStr">
        <is>
          <t>Bergvik skog öst AB</t>
        </is>
      </c>
      <c r="I7979" t="n">
        <v>0.6</v>
      </c>
      <c r="J7979" t="n">
        <v>0</v>
      </c>
      <c r="K7979" t="n">
        <v>0</v>
      </c>
      <c r="L7979" t="n">
        <v>0</v>
      </c>
      <c r="M7979" t="n">
        <v>0</v>
      </c>
      <c r="N7979" t="n">
        <v>0</v>
      </c>
      <c r="O7979" t="n">
        <v>0</v>
      </c>
      <c r="P7979" t="n">
        <v>0</v>
      </c>
      <c r="Q7979" t="n">
        <v>0</v>
      </c>
      <c r="R7979" t="n">
        <v>0</v>
      </c>
      <c r="S7979" t="n">
        <v>0</v>
      </c>
      <c r="T7979" t="n">
        <v>0</v>
      </c>
      <c r="U7979" t="n">
        <v>0</v>
      </c>
      <c r="V7979" s="2" t="inlineStr"/>
    </row>
    <row r="7980" ht="15" customHeight="1">
      <c r="A7980" t="inlineStr">
        <is>
          <t>A 22828-2026</t>
        </is>
      </c>
      <c r="B7980" t="inlineStr">
        <is>
          <t>avverkningsanmälan</t>
        </is>
      </c>
      <c r="C7980" t="inlineStr">
        <is>
          <t>Föryngringsavverkning</t>
        </is>
      </c>
      <c r="D7980" s="1" t="n">
        <v>46160</v>
      </c>
      <c r="E7980" s="1" t="n">
        <v>46326</v>
      </c>
      <c r="F7980" t="inlineStr">
        <is>
          <t>GÄVLEBORGS LÄN</t>
        </is>
      </c>
      <c r="G7980" t="inlineStr">
        <is>
          <t>HUDIKSVALL</t>
        </is>
      </c>
      <c r="H7980" t="inlineStr">
        <is>
          <t>Kyrkan</t>
        </is>
      </c>
      <c r="I7980" t="n">
        <v>1.6</v>
      </c>
      <c r="J7980" t="n">
        <v>0</v>
      </c>
      <c r="K7980" t="n">
        <v>0</v>
      </c>
      <c r="L7980" t="n">
        <v>0</v>
      </c>
      <c r="M7980" t="n">
        <v>0</v>
      </c>
      <c r="N7980" t="n">
        <v>0</v>
      </c>
      <c r="O7980" t="n">
        <v>0</v>
      </c>
      <c r="P7980" t="n">
        <v>0</v>
      </c>
      <c r="Q7980" t="n">
        <v>0</v>
      </c>
      <c r="R7980" t="n">
        <v>0</v>
      </c>
      <c r="S7980" t="n">
        <v>0</v>
      </c>
      <c r="T7980" t="n">
        <v>0</v>
      </c>
      <c r="U7980" t="n">
        <v>0</v>
      </c>
      <c r="V7980" s="2" t="inlineStr"/>
    </row>
    <row r="7981" ht="15" customHeight="1">
      <c r="A7981" t="inlineStr">
        <is>
          <t>A 22847-2026</t>
        </is>
      </c>
      <c r="B7981" t="inlineStr">
        <is>
          <t>avverkningsanmälan</t>
        </is>
      </c>
      <c r="C7981" t="inlineStr">
        <is>
          <t>Föryngringsavverkning</t>
        </is>
      </c>
      <c r="D7981" s="1" t="n">
        <v>46160</v>
      </c>
      <c r="E7981" s="1" t="n">
        <v>46326</v>
      </c>
      <c r="F7981" t="inlineStr">
        <is>
          <t>GÄVLEBORGS LÄN</t>
        </is>
      </c>
      <c r="G7981" t="inlineStr">
        <is>
          <t>LJUSDAL</t>
        </is>
      </c>
      <c r="H7981" t="inlineStr">
        <is>
          <t>Sveaskog</t>
        </is>
      </c>
      <c r="I7981" t="n">
        <v>12.7</v>
      </c>
      <c r="J7981" t="n">
        <v>0</v>
      </c>
      <c r="K7981" t="n">
        <v>0</v>
      </c>
      <c r="L7981" t="n">
        <v>0</v>
      </c>
      <c r="M7981" t="n">
        <v>0</v>
      </c>
      <c r="N7981" t="n">
        <v>0</v>
      </c>
      <c r="O7981" t="n">
        <v>0</v>
      </c>
      <c r="P7981" t="n">
        <v>0</v>
      </c>
      <c r="Q7981" t="n">
        <v>0</v>
      </c>
      <c r="R7981" t="n">
        <v>0</v>
      </c>
      <c r="S7981" t="n">
        <v>0</v>
      </c>
      <c r="T7981" t="n">
        <v>0</v>
      </c>
      <c r="U7981" t="n">
        <v>0</v>
      </c>
      <c r="V7981" s="2" t="inlineStr"/>
    </row>
    <row r="7982" ht="15" customHeight="1">
      <c r="A7982" t="inlineStr">
        <is>
          <t>A 25276-2024</t>
        </is>
      </c>
      <c r="B7982" t="inlineStr">
        <is>
          <t>avverkningsanmälan</t>
        </is>
      </c>
      <c r="C7982" t="inlineStr">
        <is>
          <t>Föryngringsavverkning</t>
        </is>
      </c>
      <c r="D7982" s="1" t="n">
        <v>45462</v>
      </c>
      <c r="E7982" s="1" t="n">
        <v>46326</v>
      </c>
      <c r="F7982" t="inlineStr">
        <is>
          <t>GÄVLEBORGS LÄN</t>
        </is>
      </c>
      <c r="G7982" t="inlineStr">
        <is>
          <t>GÄVLE</t>
        </is>
      </c>
      <c r="I7982" t="n">
        <v>3.1</v>
      </c>
      <c r="J7982" t="n">
        <v>0</v>
      </c>
      <c r="K7982" t="n">
        <v>0</v>
      </c>
      <c r="L7982" t="n">
        <v>0</v>
      </c>
      <c r="M7982" t="n">
        <v>0</v>
      </c>
      <c r="N7982" t="n">
        <v>0</v>
      </c>
      <c r="O7982" t="n">
        <v>0</v>
      </c>
      <c r="P7982" t="n">
        <v>0</v>
      </c>
      <c r="Q7982" t="n">
        <v>0</v>
      </c>
      <c r="R7982" t="n">
        <v>0</v>
      </c>
      <c r="S7982" t="n">
        <v>0</v>
      </c>
      <c r="T7982" t="n">
        <v>0</v>
      </c>
      <c r="U7982" t="n">
        <v>0</v>
      </c>
      <c r="V7982" s="2" t="inlineStr"/>
    </row>
    <row r="7983" ht="15" customHeight="1">
      <c r="A7983" t="inlineStr">
        <is>
          <t>A 23144-2026</t>
        </is>
      </c>
      <c r="B7983" t="inlineStr">
        <is>
          <t>avverkningsanmälan</t>
        </is>
      </c>
      <c r="C7983" t="inlineStr">
        <is>
          <t>Föryngringsavverkning</t>
        </is>
      </c>
      <c r="D7983" s="1" t="n">
        <v>46161</v>
      </c>
      <c r="E7983" s="1" t="n">
        <v>46326</v>
      </c>
      <c r="F7983" t="inlineStr">
        <is>
          <t>GÄVLEBORGS LÄN</t>
        </is>
      </c>
      <c r="G7983" t="inlineStr">
        <is>
          <t>SANDVIKEN</t>
        </is>
      </c>
      <c r="I7983" t="n">
        <v>0.8</v>
      </c>
      <c r="J7983" t="n">
        <v>0</v>
      </c>
      <c r="K7983" t="n">
        <v>0</v>
      </c>
      <c r="L7983" t="n">
        <v>0</v>
      </c>
      <c r="M7983" t="n">
        <v>0</v>
      </c>
      <c r="N7983" t="n">
        <v>0</v>
      </c>
      <c r="O7983" t="n">
        <v>0</v>
      </c>
      <c r="P7983" t="n">
        <v>0</v>
      </c>
      <c r="Q7983" t="n">
        <v>0</v>
      </c>
      <c r="R7983" t="n">
        <v>0</v>
      </c>
      <c r="S7983" t="n">
        <v>0</v>
      </c>
      <c r="T7983" t="n">
        <v>0</v>
      </c>
      <c r="U7983" t="n">
        <v>0</v>
      </c>
      <c r="V7983" s="2" t="inlineStr"/>
    </row>
    <row r="7984" ht="15" customHeight="1">
      <c r="A7984" t="inlineStr">
        <is>
          <t>A 14647-2026</t>
        </is>
      </c>
      <c r="B7984" t="inlineStr">
        <is>
          <t>avverkningsanmälan</t>
        </is>
      </c>
      <c r="C7984" t="inlineStr">
        <is>
          <t>Föryngringsavverkning</t>
        </is>
      </c>
      <c r="D7984" s="1" t="n">
        <v>46101</v>
      </c>
      <c r="E7984" s="1" t="n">
        <v>46326</v>
      </c>
      <c r="F7984" t="inlineStr">
        <is>
          <t>GÄVLEBORGS LÄN</t>
        </is>
      </c>
      <c r="G7984" t="inlineStr">
        <is>
          <t>HUDIKSVALL</t>
        </is>
      </c>
      <c r="I7984" t="n">
        <v>3.8</v>
      </c>
      <c r="J7984" t="n">
        <v>0</v>
      </c>
      <c r="K7984" t="n">
        <v>0</v>
      </c>
      <c r="L7984" t="n">
        <v>0</v>
      </c>
      <c r="M7984" t="n">
        <v>0</v>
      </c>
      <c r="N7984" t="n">
        <v>0</v>
      </c>
      <c r="O7984" t="n">
        <v>0</v>
      </c>
      <c r="P7984" t="n">
        <v>0</v>
      </c>
      <c r="Q7984" t="n">
        <v>0</v>
      </c>
      <c r="R7984" t="n">
        <v>0</v>
      </c>
      <c r="S7984" t="n">
        <v>0</v>
      </c>
      <c r="T7984" t="n">
        <v>0</v>
      </c>
      <c r="U7984" t="n">
        <v>0</v>
      </c>
      <c r="V7984" s="2" t="inlineStr"/>
    </row>
    <row r="7985" ht="15" customHeight="1">
      <c r="A7985" t="inlineStr">
        <is>
          <t>A 23083-2026</t>
        </is>
      </c>
      <c r="B7985" t="inlineStr">
        <is>
          <t>avverkningsanmälan</t>
        </is>
      </c>
      <c r="C7985" t="inlineStr">
        <is>
          <t>Föryngringsavverkning</t>
        </is>
      </c>
      <c r="D7985" s="1" t="n">
        <v>46161</v>
      </c>
      <c r="E7985" s="1" t="n">
        <v>46326</v>
      </c>
      <c r="F7985" t="inlineStr">
        <is>
          <t>GÄVLEBORGS LÄN</t>
        </is>
      </c>
      <c r="G7985" t="inlineStr">
        <is>
          <t>BOLLNÄS</t>
        </is>
      </c>
      <c r="I7985" t="n">
        <v>3.4</v>
      </c>
      <c r="J7985" t="n">
        <v>0</v>
      </c>
      <c r="K7985" t="n">
        <v>0</v>
      </c>
      <c r="L7985" t="n">
        <v>0</v>
      </c>
      <c r="M7985" t="n">
        <v>0</v>
      </c>
      <c r="N7985" t="n">
        <v>0</v>
      </c>
      <c r="O7985" t="n">
        <v>0</v>
      </c>
      <c r="P7985" t="n">
        <v>0</v>
      </c>
      <c r="Q7985" t="n">
        <v>0</v>
      </c>
      <c r="R7985" t="n">
        <v>0</v>
      </c>
      <c r="S7985" t="n">
        <v>0</v>
      </c>
      <c r="T7985" t="n">
        <v>0</v>
      </c>
      <c r="U7985" t="n">
        <v>0</v>
      </c>
      <c r="V7985" s="2" t="inlineStr"/>
    </row>
    <row r="7986" ht="15" customHeight="1">
      <c r="A7986" t="inlineStr">
        <is>
          <t>A 7114-2025</t>
        </is>
      </c>
      <c r="B7986" t="inlineStr">
        <is>
          <t>avverkningsanmälan</t>
        </is>
      </c>
      <c r="C7986" t="inlineStr">
        <is>
          <t>Föryngringsavverkning</t>
        </is>
      </c>
      <c r="D7986" s="1" t="n">
        <v>45702</v>
      </c>
      <c r="E7986" s="1" t="n">
        <v>46326</v>
      </c>
      <c r="F7986" t="inlineStr">
        <is>
          <t>GÄVLEBORGS LÄN</t>
        </is>
      </c>
      <c r="G7986" t="inlineStr">
        <is>
          <t>HUDIKSVALL</t>
        </is>
      </c>
      <c r="H7986" t="inlineStr">
        <is>
          <t>Holmen skog AB</t>
        </is>
      </c>
      <c r="I7986" t="n">
        <v>3.1</v>
      </c>
      <c r="J7986" t="n">
        <v>0</v>
      </c>
      <c r="K7986" t="n">
        <v>0</v>
      </c>
      <c r="L7986" t="n">
        <v>0</v>
      </c>
      <c r="M7986" t="n">
        <v>0</v>
      </c>
      <c r="N7986" t="n">
        <v>0</v>
      </c>
      <c r="O7986" t="n">
        <v>0</v>
      </c>
      <c r="P7986" t="n">
        <v>0</v>
      </c>
      <c r="Q7986" t="n">
        <v>0</v>
      </c>
      <c r="R7986" t="n">
        <v>0</v>
      </c>
      <c r="S7986" t="n">
        <v>0</v>
      </c>
      <c r="T7986" t="n">
        <v>0</v>
      </c>
      <c r="U7986" t="n">
        <v>0</v>
      </c>
      <c r="V7986" s="2" t="inlineStr"/>
    </row>
    <row r="7987" ht="15" customHeight="1">
      <c r="A7987" t="inlineStr">
        <is>
          <t>A 23162-2024</t>
        </is>
      </c>
      <c r="B7987" t="inlineStr">
        <is>
          <t>avverkningsanmälan</t>
        </is>
      </c>
      <c r="C7987" t="inlineStr">
        <is>
          <t>Föryngringsavverkning</t>
        </is>
      </c>
      <c r="D7987" s="1" t="n">
        <v>45450</v>
      </c>
      <c r="E7987" s="1" t="n">
        <v>46326</v>
      </c>
      <c r="F7987" t="inlineStr">
        <is>
          <t>GÄVLEBORGS LÄN</t>
        </is>
      </c>
      <c r="G7987" t="inlineStr">
        <is>
          <t>LJUSDAL</t>
        </is>
      </c>
      <c r="I7987" t="n">
        <v>2.1</v>
      </c>
      <c r="J7987" t="n">
        <v>0</v>
      </c>
      <c r="K7987" t="n">
        <v>0</v>
      </c>
      <c r="L7987" t="n">
        <v>0</v>
      </c>
      <c r="M7987" t="n">
        <v>0</v>
      </c>
      <c r="N7987" t="n">
        <v>0</v>
      </c>
      <c r="O7987" t="n">
        <v>0</v>
      </c>
      <c r="P7987" t="n">
        <v>0</v>
      </c>
      <c r="Q7987" t="n">
        <v>0</v>
      </c>
      <c r="R7987" t="n">
        <v>0</v>
      </c>
      <c r="S7987" t="n">
        <v>0</v>
      </c>
      <c r="T7987" t="n">
        <v>0</v>
      </c>
      <c r="U7987" t="n">
        <v>0</v>
      </c>
      <c r="V7987" s="2" t="inlineStr"/>
    </row>
    <row r="7988" ht="15" customHeight="1">
      <c r="A7988" t="inlineStr">
        <is>
          <t>A 4021-2023</t>
        </is>
      </c>
      <c r="B7988" t="inlineStr">
        <is>
          <t>avverkningsanmälan</t>
        </is>
      </c>
      <c r="C7988" t="inlineStr">
        <is>
          <t>Föryngringsavverkning</t>
        </is>
      </c>
      <c r="D7988" s="1" t="n">
        <v>44952</v>
      </c>
      <c r="E7988" s="1" t="n">
        <v>46326</v>
      </c>
      <c r="F7988" t="inlineStr">
        <is>
          <t>GÄVLEBORGS LÄN</t>
        </is>
      </c>
      <c r="G7988" t="inlineStr">
        <is>
          <t>NORDANSTIG</t>
        </is>
      </c>
      <c r="H7988" t="inlineStr">
        <is>
          <t>Holmen skog AB</t>
        </is>
      </c>
      <c r="I7988" t="n">
        <v>3.4</v>
      </c>
      <c r="J7988" t="n">
        <v>0</v>
      </c>
      <c r="K7988" t="n">
        <v>0</v>
      </c>
      <c r="L7988" t="n">
        <v>0</v>
      </c>
      <c r="M7988" t="n">
        <v>0</v>
      </c>
      <c r="N7988" t="n">
        <v>0</v>
      </c>
      <c r="O7988" t="n">
        <v>0</v>
      </c>
      <c r="P7988" t="n">
        <v>0</v>
      </c>
      <c r="Q7988" t="n">
        <v>0</v>
      </c>
      <c r="R7988" t="n">
        <v>0</v>
      </c>
      <c r="S7988" t="n">
        <v>0</v>
      </c>
      <c r="T7988" t="n">
        <v>0</v>
      </c>
      <c r="U7988" t="n">
        <v>0</v>
      </c>
      <c r="V7988" s="2" t="inlineStr"/>
    </row>
    <row r="7989" ht="15" customHeight="1">
      <c r="A7989" t="inlineStr">
        <is>
          <t>A 22039-2023</t>
        </is>
      </c>
      <c r="B7989" t="inlineStr">
        <is>
          <t>avverkningsanmälan</t>
        </is>
      </c>
      <c r="C7989" t="inlineStr">
        <is>
          <t>Föryngringsavverkning</t>
        </is>
      </c>
      <c r="D7989" s="1" t="n">
        <v>45069</v>
      </c>
      <c r="E7989" s="1" t="n">
        <v>46326</v>
      </c>
      <c r="F7989" t="inlineStr">
        <is>
          <t>GÄVLEBORGS LÄN</t>
        </is>
      </c>
      <c r="G7989" t="inlineStr">
        <is>
          <t>LJUSDAL</t>
        </is>
      </c>
      <c r="I7989" t="n">
        <v>2.6</v>
      </c>
      <c r="J7989" t="n">
        <v>0</v>
      </c>
      <c r="K7989" t="n">
        <v>0</v>
      </c>
      <c r="L7989" t="n">
        <v>0</v>
      </c>
      <c r="M7989" t="n">
        <v>0</v>
      </c>
      <c r="N7989" t="n">
        <v>0</v>
      </c>
      <c r="O7989" t="n">
        <v>0</v>
      </c>
      <c r="P7989" t="n">
        <v>0</v>
      </c>
      <c r="Q7989" t="n">
        <v>0</v>
      </c>
      <c r="R7989" t="n">
        <v>0</v>
      </c>
      <c r="S7989" t="n">
        <v>0</v>
      </c>
      <c r="T7989" t="n">
        <v>0</v>
      </c>
      <c r="U7989" t="n">
        <v>0</v>
      </c>
      <c r="V7989" s="2" t="inlineStr"/>
    </row>
    <row r="7990" ht="15" customHeight="1">
      <c r="A7990" t="inlineStr">
        <is>
          <t>A 203-2025</t>
        </is>
      </c>
      <c r="B7990" t="inlineStr">
        <is>
          <t>avverkningsanmälan</t>
        </is>
      </c>
      <c r="C7990" t="inlineStr">
        <is>
          <t>Föryngringsavverkning</t>
        </is>
      </c>
      <c r="D7990" s="1" t="n">
        <v>45660</v>
      </c>
      <c r="E7990" s="1" t="n">
        <v>46326</v>
      </c>
      <c r="F7990" t="inlineStr">
        <is>
          <t>GÄVLEBORGS LÄN</t>
        </is>
      </c>
      <c r="G7990" t="inlineStr">
        <is>
          <t>LJUSDAL</t>
        </is>
      </c>
      <c r="I7990" t="n">
        <v>2.8</v>
      </c>
      <c r="J7990" t="n">
        <v>0</v>
      </c>
      <c r="K7990" t="n">
        <v>0</v>
      </c>
      <c r="L7990" t="n">
        <v>0</v>
      </c>
      <c r="M7990" t="n">
        <v>0</v>
      </c>
      <c r="N7990" t="n">
        <v>0</v>
      </c>
      <c r="O7990" t="n">
        <v>0</v>
      </c>
      <c r="P7990" t="n">
        <v>0</v>
      </c>
      <c r="Q7990" t="n">
        <v>0</v>
      </c>
      <c r="R7990" t="n">
        <v>0</v>
      </c>
      <c r="S7990" t="n">
        <v>0</v>
      </c>
      <c r="T7990" t="n">
        <v>0</v>
      </c>
      <c r="U7990" t="n">
        <v>0</v>
      </c>
      <c r="V7990" s="2" t="inlineStr"/>
    </row>
    <row r="7991" ht="15" customHeight="1">
      <c r="A7991" t="inlineStr">
        <is>
          <t>A 208-2025</t>
        </is>
      </c>
      <c r="B7991" t="inlineStr">
        <is>
          <t>avverkningsanmälan</t>
        </is>
      </c>
      <c r="C7991" t="inlineStr">
        <is>
          <t>Föryngringsavverkning</t>
        </is>
      </c>
      <c r="D7991" s="1" t="n">
        <v>45660</v>
      </c>
      <c r="E7991" s="1" t="n">
        <v>46326</v>
      </c>
      <c r="F7991" t="inlineStr">
        <is>
          <t>GÄVLEBORGS LÄN</t>
        </is>
      </c>
      <c r="G7991" t="inlineStr">
        <is>
          <t>LJUSDAL</t>
        </is>
      </c>
      <c r="I7991" t="n">
        <v>2</v>
      </c>
      <c r="J7991" t="n">
        <v>0</v>
      </c>
      <c r="K7991" t="n">
        <v>0</v>
      </c>
      <c r="L7991" t="n">
        <v>0</v>
      </c>
      <c r="M7991" t="n">
        <v>0</v>
      </c>
      <c r="N7991" t="n">
        <v>0</v>
      </c>
      <c r="O7991" t="n">
        <v>0</v>
      </c>
      <c r="P7991" t="n">
        <v>0</v>
      </c>
      <c r="Q7991" t="n">
        <v>0</v>
      </c>
      <c r="R7991" t="n">
        <v>0</v>
      </c>
      <c r="S7991" t="n">
        <v>0</v>
      </c>
      <c r="T7991" t="n">
        <v>0</v>
      </c>
      <c r="U7991" t="n">
        <v>0</v>
      </c>
      <c r="V7991" s="2" t="inlineStr"/>
    </row>
    <row r="7992" ht="15" customHeight="1">
      <c r="A7992" t="inlineStr">
        <is>
          <t>A 225-2025</t>
        </is>
      </c>
      <c r="B7992" t="inlineStr">
        <is>
          <t>avverkningsanmälan</t>
        </is>
      </c>
      <c r="C7992" t="inlineStr">
        <is>
          <t>Föryngringsavverkning</t>
        </is>
      </c>
      <c r="D7992" s="1" t="n">
        <v>45660</v>
      </c>
      <c r="E7992" s="1" t="n">
        <v>46326</v>
      </c>
      <c r="F7992" t="inlineStr">
        <is>
          <t>GÄVLEBORGS LÄN</t>
        </is>
      </c>
      <c r="G7992" t="inlineStr">
        <is>
          <t>GÄVLE</t>
        </is>
      </c>
      <c r="I7992" t="n">
        <v>2</v>
      </c>
      <c r="J7992" t="n">
        <v>0</v>
      </c>
      <c r="K7992" t="n">
        <v>0</v>
      </c>
      <c r="L7992" t="n">
        <v>0</v>
      </c>
      <c r="M7992" t="n">
        <v>0</v>
      </c>
      <c r="N7992" t="n">
        <v>0</v>
      </c>
      <c r="O7992" t="n">
        <v>0</v>
      </c>
      <c r="P7992" t="n">
        <v>0</v>
      </c>
      <c r="Q7992" t="n">
        <v>0</v>
      </c>
      <c r="R7992" t="n">
        <v>0</v>
      </c>
      <c r="S7992" t="n">
        <v>0</v>
      </c>
      <c r="T7992" t="n">
        <v>0</v>
      </c>
      <c r="U7992" t="n">
        <v>0</v>
      </c>
      <c r="V7992" s="2" t="inlineStr"/>
    </row>
    <row r="7993" ht="15" customHeight="1">
      <c r="A7993" t="inlineStr">
        <is>
          <t>A 226-2025</t>
        </is>
      </c>
      <c r="B7993" t="inlineStr">
        <is>
          <t>avverkningsanmälan</t>
        </is>
      </c>
      <c r="C7993" t="inlineStr">
        <is>
          <t>Föryngringsavverkning</t>
        </is>
      </c>
      <c r="D7993" s="1" t="n">
        <v>45660</v>
      </c>
      <c r="E7993" s="1" t="n">
        <v>46326</v>
      </c>
      <c r="F7993" t="inlineStr">
        <is>
          <t>GÄVLEBORGS LÄN</t>
        </is>
      </c>
      <c r="G7993" t="inlineStr">
        <is>
          <t>BOLLNÄS</t>
        </is>
      </c>
      <c r="I7993" t="n">
        <v>0.9</v>
      </c>
      <c r="J7993" t="n">
        <v>0</v>
      </c>
      <c r="K7993" t="n">
        <v>0</v>
      </c>
      <c r="L7993" t="n">
        <v>0</v>
      </c>
      <c r="M7993" t="n">
        <v>0</v>
      </c>
      <c r="N7993" t="n">
        <v>0</v>
      </c>
      <c r="O7993" t="n">
        <v>0</v>
      </c>
      <c r="P7993" t="n">
        <v>0</v>
      </c>
      <c r="Q7993" t="n">
        <v>0</v>
      </c>
      <c r="R7993" t="n">
        <v>0</v>
      </c>
      <c r="S7993" t="n">
        <v>0</v>
      </c>
      <c r="T7993" t="n">
        <v>0</v>
      </c>
      <c r="U7993" t="n">
        <v>0</v>
      </c>
      <c r="V7993" s="2" t="inlineStr"/>
    </row>
    <row r="7994" ht="15" customHeight="1">
      <c r="A7994" t="inlineStr">
        <is>
          <t>A 22070-2023</t>
        </is>
      </c>
      <c r="B7994" t="inlineStr">
        <is>
          <t>avverkningsanmälan</t>
        </is>
      </c>
      <c r="C7994" t="inlineStr">
        <is>
          <t>Föryngringsavverkning</t>
        </is>
      </c>
      <c r="D7994" s="1" t="n">
        <v>45069</v>
      </c>
      <c r="E7994" s="1" t="n">
        <v>46326</v>
      </c>
      <c r="F7994" t="inlineStr">
        <is>
          <t>GÄVLEBORGS LÄN</t>
        </is>
      </c>
      <c r="G7994" t="inlineStr">
        <is>
          <t>SANDVIKEN</t>
        </is>
      </c>
      <c r="I7994" t="n">
        <v>1.1</v>
      </c>
      <c r="J7994" t="n">
        <v>0</v>
      </c>
      <c r="K7994" t="n">
        <v>0</v>
      </c>
      <c r="L7994" t="n">
        <v>0</v>
      </c>
      <c r="M7994" t="n">
        <v>0</v>
      </c>
      <c r="N7994" t="n">
        <v>0</v>
      </c>
      <c r="O7994" t="n">
        <v>0</v>
      </c>
      <c r="P7994" t="n">
        <v>0</v>
      </c>
      <c r="Q7994" t="n">
        <v>0</v>
      </c>
      <c r="R7994" t="n">
        <v>0</v>
      </c>
      <c r="S7994" t="n">
        <v>0</v>
      </c>
      <c r="T7994" t="n">
        <v>0</v>
      </c>
      <c r="U7994" t="n">
        <v>0</v>
      </c>
      <c r="V7994" s="2" t="inlineStr"/>
    </row>
    <row r="7995" ht="15" customHeight="1">
      <c r="A7995" t="inlineStr">
        <is>
          <t>A 232-2025</t>
        </is>
      </c>
      <c r="B7995" t="inlineStr">
        <is>
          <t>avverkningsanmälan</t>
        </is>
      </c>
      <c r="C7995" t="inlineStr">
        <is>
          <t>Föryngringsavverkning</t>
        </is>
      </c>
      <c r="D7995" s="1" t="n">
        <v>45660</v>
      </c>
      <c r="E7995" s="1" t="n">
        <v>46326</v>
      </c>
      <c r="F7995" t="inlineStr">
        <is>
          <t>GÄVLEBORGS LÄN</t>
        </is>
      </c>
      <c r="G7995" t="inlineStr">
        <is>
          <t>GÄVLE</t>
        </is>
      </c>
      <c r="I7995" t="n">
        <v>1.5</v>
      </c>
      <c r="J7995" t="n">
        <v>0</v>
      </c>
      <c r="K7995" t="n">
        <v>0</v>
      </c>
      <c r="L7995" t="n">
        <v>0</v>
      </c>
      <c r="M7995" t="n">
        <v>0</v>
      </c>
      <c r="N7995" t="n">
        <v>0</v>
      </c>
      <c r="O7995" t="n">
        <v>0</v>
      </c>
      <c r="P7995" t="n">
        <v>0</v>
      </c>
      <c r="Q7995" t="n">
        <v>0</v>
      </c>
      <c r="R7995" t="n">
        <v>0</v>
      </c>
      <c r="S7995" t="n">
        <v>0</v>
      </c>
      <c r="T7995" t="n">
        <v>0</v>
      </c>
      <c r="U7995" t="n">
        <v>0</v>
      </c>
      <c r="V7995" s="2" t="inlineStr"/>
    </row>
    <row r="7996" ht="15" customHeight="1">
      <c r="A7996" t="inlineStr">
        <is>
          <t>A 13484-2023</t>
        </is>
      </c>
      <c r="B7996" t="inlineStr">
        <is>
          <t>avverkningsanmälan</t>
        </is>
      </c>
      <c r="C7996" t="inlineStr">
        <is>
          <t>Föryngringsavverkning</t>
        </is>
      </c>
      <c r="D7996" s="1" t="n">
        <v>45005</v>
      </c>
      <c r="E7996" s="1" t="n">
        <v>46326</v>
      </c>
      <c r="F7996" t="inlineStr">
        <is>
          <t>GÄVLEBORGS LÄN</t>
        </is>
      </c>
      <c r="G7996" t="inlineStr">
        <is>
          <t>HUDIKSVALL</t>
        </is>
      </c>
      <c r="I7996" t="n">
        <v>4.3</v>
      </c>
      <c r="J7996" t="n">
        <v>0</v>
      </c>
      <c r="K7996" t="n">
        <v>0</v>
      </c>
      <c r="L7996" t="n">
        <v>0</v>
      </c>
      <c r="M7996" t="n">
        <v>0</v>
      </c>
      <c r="N7996" t="n">
        <v>0</v>
      </c>
      <c r="O7996" t="n">
        <v>0</v>
      </c>
      <c r="P7996" t="n">
        <v>0</v>
      </c>
      <c r="Q7996" t="n">
        <v>0</v>
      </c>
      <c r="R7996" t="n">
        <v>0</v>
      </c>
      <c r="S7996" t="n">
        <v>0</v>
      </c>
      <c r="T7996" t="n">
        <v>0</v>
      </c>
      <c r="U7996" t="n">
        <v>0</v>
      </c>
      <c r="V7996" s="2" t="inlineStr"/>
    </row>
    <row r="7997" ht="15" customHeight="1">
      <c r="A7997" t="inlineStr">
        <is>
          <t>A 3044-2023</t>
        </is>
      </c>
      <c r="B7997" t="inlineStr">
        <is>
          <t>avverkningsanmälan</t>
        </is>
      </c>
      <c r="C7997" t="inlineStr">
        <is>
          <t>Föryngringsavverkning</t>
        </is>
      </c>
      <c r="D7997" s="1" t="n">
        <v>44946</v>
      </c>
      <c r="E7997" s="1" t="n">
        <v>46326</v>
      </c>
      <c r="F7997" t="inlineStr">
        <is>
          <t>GÄVLEBORGS LÄN</t>
        </is>
      </c>
      <c r="G7997" t="inlineStr">
        <is>
          <t>OVANÅKER</t>
        </is>
      </c>
      <c r="I7997" t="n">
        <v>1</v>
      </c>
      <c r="J7997" t="n">
        <v>0</v>
      </c>
      <c r="K7997" t="n">
        <v>0</v>
      </c>
      <c r="L7997" t="n">
        <v>0</v>
      </c>
      <c r="M7997" t="n">
        <v>0</v>
      </c>
      <c r="N7997" t="n">
        <v>0</v>
      </c>
      <c r="O7997" t="n">
        <v>0</v>
      </c>
      <c r="P7997" t="n">
        <v>0</v>
      </c>
      <c r="Q7997" t="n">
        <v>0</v>
      </c>
      <c r="R7997" t="n">
        <v>0</v>
      </c>
      <c r="S7997" t="n">
        <v>0</v>
      </c>
      <c r="T7997" t="n">
        <v>0</v>
      </c>
      <c r="U7997" t="n">
        <v>0</v>
      </c>
      <c r="V7997" s="2" t="inlineStr"/>
    </row>
    <row r="7998" ht="15" customHeight="1">
      <c r="A7998" t="inlineStr">
        <is>
          <t>A 23089-2026</t>
        </is>
      </c>
      <c r="B7998" t="inlineStr">
        <is>
          <t>avverkningsanmälan</t>
        </is>
      </c>
      <c r="C7998" t="inlineStr">
        <is>
          <t>Föryngringsavverkning</t>
        </is>
      </c>
      <c r="D7998" s="1" t="n">
        <v>46161</v>
      </c>
      <c r="E7998" s="1" t="n">
        <v>46326</v>
      </c>
      <c r="F7998" t="inlineStr">
        <is>
          <t>GÄVLEBORGS LÄN</t>
        </is>
      </c>
      <c r="G7998" t="inlineStr">
        <is>
          <t>BOLLNÄS</t>
        </is>
      </c>
      <c r="I7998" t="n">
        <v>3.9</v>
      </c>
      <c r="J7998" t="n">
        <v>0</v>
      </c>
      <c r="K7998" t="n">
        <v>0</v>
      </c>
      <c r="L7998" t="n">
        <v>0</v>
      </c>
      <c r="M7998" t="n">
        <v>0</v>
      </c>
      <c r="N7998" t="n">
        <v>0</v>
      </c>
      <c r="O7998" t="n">
        <v>0</v>
      </c>
      <c r="P7998" t="n">
        <v>0</v>
      </c>
      <c r="Q7998" t="n">
        <v>0</v>
      </c>
      <c r="R7998" t="n">
        <v>0</v>
      </c>
      <c r="S7998" t="n">
        <v>0</v>
      </c>
      <c r="T7998" t="n">
        <v>0</v>
      </c>
      <c r="U7998" t="n">
        <v>0</v>
      </c>
      <c r="V7998" s="2" t="inlineStr"/>
    </row>
    <row r="7999" ht="15" customHeight="1">
      <c r="A7999" t="inlineStr">
        <is>
          <t>A 23090-2026</t>
        </is>
      </c>
      <c r="B7999" t="inlineStr">
        <is>
          <t>avverkningsanmälan</t>
        </is>
      </c>
      <c r="C7999" t="inlineStr">
        <is>
          <t>Föryngringsavverkning</t>
        </is>
      </c>
      <c r="D7999" s="1" t="n">
        <v>46161</v>
      </c>
      <c r="E7999" s="1" t="n">
        <v>46326</v>
      </c>
      <c r="F7999" t="inlineStr">
        <is>
          <t>GÄVLEBORGS LÄN</t>
        </is>
      </c>
      <c r="G7999" t="inlineStr">
        <is>
          <t>BOLLNÄS</t>
        </is>
      </c>
      <c r="I7999" t="n">
        <v>0.8</v>
      </c>
      <c r="J7999" t="n">
        <v>0</v>
      </c>
      <c r="K7999" t="n">
        <v>0</v>
      </c>
      <c r="L7999" t="n">
        <v>0</v>
      </c>
      <c r="M7999" t="n">
        <v>0</v>
      </c>
      <c r="N7999" t="n">
        <v>0</v>
      </c>
      <c r="O7999" t="n">
        <v>0</v>
      </c>
      <c r="P7999" t="n">
        <v>0</v>
      </c>
      <c r="Q7999" t="n">
        <v>0</v>
      </c>
      <c r="R7999" t="n">
        <v>0</v>
      </c>
      <c r="S7999" t="n">
        <v>0</v>
      </c>
      <c r="T7999" t="n">
        <v>0</v>
      </c>
      <c r="U7999" t="n">
        <v>0</v>
      </c>
      <c r="V7999" s="2" t="inlineStr"/>
    </row>
    <row r="8000" ht="15" customHeight="1">
      <c r="A8000" t="inlineStr">
        <is>
          <t>A 23091-2026</t>
        </is>
      </c>
      <c r="B8000" t="inlineStr">
        <is>
          <t>avverkningsanmälan</t>
        </is>
      </c>
      <c r="C8000" t="inlineStr">
        <is>
          <t>Föryngringsavverkning</t>
        </is>
      </c>
      <c r="D8000" s="1" t="n">
        <v>46161</v>
      </c>
      <c r="E8000" s="1" t="n">
        <v>46326</v>
      </c>
      <c r="F8000" t="inlineStr">
        <is>
          <t>GÄVLEBORGS LÄN</t>
        </is>
      </c>
      <c r="G8000" t="inlineStr">
        <is>
          <t>BOLLNÄS</t>
        </is>
      </c>
      <c r="I8000" t="n">
        <v>1.1</v>
      </c>
      <c r="J8000" t="n">
        <v>0</v>
      </c>
      <c r="K8000" t="n">
        <v>0</v>
      </c>
      <c r="L8000" t="n">
        <v>0</v>
      </c>
      <c r="M8000" t="n">
        <v>0</v>
      </c>
      <c r="N8000" t="n">
        <v>0</v>
      </c>
      <c r="O8000" t="n">
        <v>0</v>
      </c>
      <c r="P8000" t="n">
        <v>0</v>
      </c>
      <c r="Q8000" t="n">
        <v>0</v>
      </c>
      <c r="R8000" t="n">
        <v>0</v>
      </c>
      <c r="S8000" t="n">
        <v>0</v>
      </c>
      <c r="T8000" t="n">
        <v>0</v>
      </c>
      <c r="U8000" t="n">
        <v>0</v>
      </c>
      <c r="V8000" s="2" t="inlineStr"/>
    </row>
    <row r="8001" ht="15" customHeight="1">
      <c r="A8001" t="inlineStr">
        <is>
          <t>A 27182-2022</t>
        </is>
      </c>
      <c r="B8001" t="inlineStr">
        <is>
          <t>avverkningsanmälan</t>
        </is>
      </c>
      <c r="C8001" t="inlineStr">
        <is>
          <t>Föryngringsavverkning</t>
        </is>
      </c>
      <c r="D8001" s="1" t="n">
        <v>44741</v>
      </c>
      <c r="E8001" s="1" t="n">
        <v>46326</v>
      </c>
      <c r="F8001" t="inlineStr">
        <is>
          <t>GÄVLEBORGS LÄN</t>
        </is>
      </c>
      <c r="G8001" t="inlineStr">
        <is>
          <t>GÄVLE</t>
        </is>
      </c>
      <c r="I8001" t="n">
        <v>1.2</v>
      </c>
      <c r="J8001" t="n">
        <v>0</v>
      </c>
      <c r="K8001" t="n">
        <v>0</v>
      </c>
      <c r="L8001" t="n">
        <v>0</v>
      </c>
      <c r="M8001" t="n">
        <v>0</v>
      </c>
      <c r="N8001" t="n">
        <v>0</v>
      </c>
      <c r="O8001" t="n">
        <v>0</v>
      </c>
      <c r="P8001" t="n">
        <v>0</v>
      </c>
      <c r="Q8001" t="n">
        <v>0</v>
      </c>
      <c r="R8001" t="n">
        <v>0</v>
      </c>
      <c r="S8001" t="n">
        <v>0</v>
      </c>
      <c r="T8001" t="n">
        <v>0</v>
      </c>
      <c r="U8001" t="n">
        <v>0</v>
      </c>
      <c r="V8001" s="2" t="inlineStr"/>
    </row>
    <row r="8002" ht="15" customHeight="1">
      <c r="A8002" t="inlineStr">
        <is>
          <t>A 22843-2026</t>
        </is>
      </c>
      <c r="B8002" t="inlineStr">
        <is>
          <t>avverkningsanmälan</t>
        </is>
      </c>
      <c r="C8002" t="inlineStr">
        <is>
          <t>Föryngringsavverkning</t>
        </is>
      </c>
      <c r="D8002" s="1" t="n">
        <v>46160</v>
      </c>
      <c r="E8002" s="1" t="n">
        <v>46326</v>
      </c>
      <c r="F8002" t="inlineStr">
        <is>
          <t>GÄVLEBORGS LÄN</t>
        </is>
      </c>
      <c r="G8002" t="inlineStr">
        <is>
          <t>OCKELBO</t>
        </is>
      </c>
      <c r="I8002" t="n">
        <v>3.9</v>
      </c>
      <c r="J8002" t="n">
        <v>0</v>
      </c>
      <c r="K8002" t="n">
        <v>0</v>
      </c>
      <c r="L8002" t="n">
        <v>0</v>
      </c>
      <c r="M8002" t="n">
        <v>0</v>
      </c>
      <c r="N8002" t="n">
        <v>0</v>
      </c>
      <c r="O8002" t="n">
        <v>0</v>
      </c>
      <c r="P8002" t="n">
        <v>0</v>
      </c>
      <c r="Q8002" t="n">
        <v>0</v>
      </c>
      <c r="R8002" t="n">
        <v>0</v>
      </c>
      <c r="S8002" t="n">
        <v>0</v>
      </c>
      <c r="T8002" t="n">
        <v>0</v>
      </c>
      <c r="U8002" t="n">
        <v>0</v>
      </c>
      <c r="V8002" s="2" t="inlineStr"/>
    </row>
    <row r="8003" ht="15" customHeight="1">
      <c r="A8003" t="inlineStr">
        <is>
          <t>A 16365-2026</t>
        </is>
      </c>
      <c r="B8003" t="inlineStr">
        <is>
          <t>avverkningsanmälan</t>
        </is>
      </c>
      <c r="C8003" t="inlineStr">
        <is>
          <t>Föryngringsavverkning</t>
        </is>
      </c>
      <c r="D8003" s="1" t="n">
        <v>46111</v>
      </c>
      <c r="E8003" s="1" t="n">
        <v>46326</v>
      </c>
      <c r="F8003" t="inlineStr">
        <is>
          <t>GÄVLEBORGS LÄN</t>
        </is>
      </c>
      <c r="G8003" t="inlineStr">
        <is>
          <t>BOLLNÄS</t>
        </is>
      </c>
      <c r="I8003" t="n">
        <v>1.1</v>
      </c>
      <c r="J8003" t="n">
        <v>0</v>
      </c>
      <c r="K8003" t="n">
        <v>0</v>
      </c>
      <c r="L8003" t="n">
        <v>0</v>
      </c>
      <c r="M8003" t="n">
        <v>0</v>
      </c>
      <c r="N8003" t="n">
        <v>0</v>
      </c>
      <c r="O8003" t="n">
        <v>0</v>
      </c>
      <c r="P8003" t="n">
        <v>0</v>
      </c>
      <c r="Q8003" t="n">
        <v>0</v>
      </c>
      <c r="R8003" t="n">
        <v>0</v>
      </c>
      <c r="S8003" t="n">
        <v>0</v>
      </c>
      <c r="T8003" t="n">
        <v>0</v>
      </c>
      <c r="U8003" t="n">
        <v>0</v>
      </c>
      <c r="V8003" s="2" t="inlineStr"/>
    </row>
    <row r="8004" ht="15" customHeight="1">
      <c r="A8004" t="inlineStr">
        <is>
          <t>A 23002-2026</t>
        </is>
      </c>
      <c r="B8004" t="inlineStr">
        <is>
          <t>avverkningsanmälan</t>
        </is>
      </c>
      <c r="C8004" t="inlineStr">
        <is>
          <t>Föryngringsavverkning</t>
        </is>
      </c>
      <c r="D8004" s="1" t="n">
        <v>46160</v>
      </c>
      <c r="E8004" s="1" t="n">
        <v>46326</v>
      </c>
      <c r="F8004" t="inlineStr">
        <is>
          <t>GÄVLEBORGS LÄN</t>
        </is>
      </c>
      <c r="G8004" t="inlineStr">
        <is>
          <t>NORDANSTIG</t>
        </is>
      </c>
      <c r="I8004" t="n">
        <v>5.5</v>
      </c>
      <c r="J8004" t="n">
        <v>0</v>
      </c>
      <c r="K8004" t="n">
        <v>0</v>
      </c>
      <c r="L8004" t="n">
        <v>0</v>
      </c>
      <c r="M8004" t="n">
        <v>0</v>
      </c>
      <c r="N8004" t="n">
        <v>0</v>
      </c>
      <c r="O8004" t="n">
        <v>0</v>
      </c>
      <c r="P8004" t="n">
        <v>0</v>
      </c>
      <c r="Q8004" t="n">
        <v>0</v>
      </c>
      <c r="R8004" t="n">
        <v>0</v>
      </c>
      <c r="S8004" t="n">
        <v>0</v>
      </c>
      <c r="T8004" t="n">
        <v>0</v>
      </c>
      <c r="U8004" t="n">
        <v>0</v>
      </c>
      <c r="V8004" s="2" t="inlineStr"/>
    </row>
    <row r="8005" ht="15" customHeight="1">
      <c r="A8005" t="inlineStr">
        <is>
          <t>A 15963-2025</t>
        </is>
      </c>
      <c r="B8005" t="inlineStr">
        <is>
          <t>avverkningsanmälan</t>
        </is>
      </c>
      <c r="C8005" t="inlineStr">
        <is>
          <t>Föryngringsavverkning</t>
        </is>
      </c>
      <c r="D8005" s="1" t="n">
        <v>45749</v>
      </c>
      <c r="E8005" s="1" t="n">
        <v>46326</v>
      </c>
      <c r="F8005" t="inlineStr">
        <is>
          <t>GÄVLEBORGS LÄN</t>
        </is>
      </c>
      <c r="G8005" t="inlineStr">
        <is>
          <t>HUDIKSVALL</t>
        </is>
      </c>
      <c r="I8005" t="n">
        <v>0.6</v>
      </c>
      <c r="J8005" t="n">
        <v>0</v>
      </c>
      <c r="K8005" t="n">
        <v>0</v>
      </c>
      <c r="L8005" t="n">
        <v>0</v>
      </c>
      <c r="M8005" t="n">
        <v>0</v>
      </c>
      <c r="N8005" t="n">
        <v>0</v>
      </c>
      <c r="O8005" t="n">
        <v>0</v>
      </c>
      <c r="P8005" t="n">
        <v>0</v>
      </c>
      <c r="Q8005" t="n">
        <v>0</v>
      </c>
      <c r="R8005" t="n">
        <v>0</v>
      </c>
      <c r="S8005" t="n">
        <v>0</v>
      </c>
      <c r="T8005" t="n">
        <v>0</v>
      </c>
      <c r="U8005" t="n">
        <v>0</v>
      </c>
      <c r="V8005" s="2" t="inlineStr"/>
    </row>
    <row r="8006" ht="15" customHeight="1">
      <c r="A8006" t="inlineStr">
        <is>
          <t>A 23011-2026</t>
        </is>
      </c>
      <c r="B8006" t="inlineStr">
        <is>
          <t>avverkningsanmälan</t>
        </is>
      </c>
      <c r="C8006" t="inlineStr">
        <is>
          <t>Föryngringsavverkning</t>
        </is>
      </c>
      <c r="D8006" s="1" t="n">
        <v>46161</v>
      </c>
      <c r="E8006" s="1" t="n">
        <v>46326</v>
      </c>
      <c r="F8006" t="inlineStr">
        <is>
          <t>GÄVLEBORGS LÄN</t>
        </is>
      </c>
      <c r="G8006" t="inlineStr">
        <is>
          <t>OVANÅKER</t>
        </is>
      </c>
      <c r="H8006" t="inlineStr">
        <is>
          <t>Bergvik skog väst AB</t>
        </is>
      </c>
      <c r="I8006" t="n">
        <v>4.3</v>
      </c>
      <c r="J8006" t="n">
        <v>0</v>
      </c>
      <c r="K8006" t="n">
        <v>0</v>
      </c>
      <c r="L8006" t="n">
        <v>0</v>
      </c>
      <c r="M8006" t="n">
        <v>0</v>
      </c>
      <c r="N8006" t="n">
        <v>0</v>
      </c>
      <c r="O8006" t="n">
        <v>0</v>
      </c>
      <c r="P8006" t="n">
        <v>0</v>
      </c>
      <c r="Q8006" t="n">
        <v>0</v>
      </c>
      <c r="R8006" t="n">
        <v>0</v>
      </c>
      <c r="S8006" t="n">
        <v>0</v>
      </c>
      <c r="T8006" t="n">
        <v>0</v>
      </c>
      <c r="U8006" t="n">
        <v>0</v>
      </c>
      <c r="V8006" s="2" t="inlineStr"/>
    </row>
    <row r="8007" ht="15" customHeight="1">
      <c r="A8007" t="inlineStr">
        <is>
          <t>A 15769-2026</t>
        </is>
      </c>
      <c r="B8007" t="inlineStr">
        <is>
          <t>avverkningsanmälan</t>
        </is>
      </c>
      <c r="C8007" t="inlineStr">
        <is>
          <t>Föryngringsavverkning</t>
        </is>
      </c>
      <c r="D8007" s="1" t="n">
        <v>46107</v>
      </c>
      <c r="E8007" s="1" t="n">
        <v>46326</v>
      </c>
      <c r="F8007" t="inlineStr">
        <is>
          <t>GÄVLEBORGS LÄN</t>
        </is>
      </c>
      <c r="G8007" t="inlineStr">
        <is>
          <t>SANDVIKEN</t>
        </is>
      </c>
      <c r="H8007" t="inlineStr">
        <is>
          <t>Bergvik skog öst AB</t>
        </is>
      </c>
      <c r="I8007" t="n">
        <v>0.5</v>
      </c>
      <c r="J8007" t="n">
        <v>0</v>
      </c>
      <c r="K8007" t="n">
        <v>0</v>
      </c>
      <c r="L8007" t="n">
        <v>0</v>
      </c>
      <c r="M8007" t="n">
        <v>0</v>
      </c>
      <c r="N8007" t="n">
        <v>0</v>
      </c>
      <c r="O8007" t="n">
        <v>0</v>
      </c>
      <c r="P8007" t="n">
        <v>0</v>
      </c>
      <c r="Q8007" t="n">
        <v>0</v>
      </c>
      <c r="R8007" t="n">
        <v>0</v>
      </c>
      <c r="S8007" t="n">
        <v>0</v>
      </c>
      <c r="T8007" t="n">
        <v>0</v>
      </c>
      <c r="U8007" t="n">
        <v>0</v>
      </c>
      <c r="V8007" s="2" t="inlineStr"/>
    </row>
    <row r="8008" ht="15" customHeight="1">
      <c r="A8008" t="inlineStr">
        <is>
          <t>A 19473-2026</t>
        </is>
      </c>
      <c r="B8008" t="inlineStr">
        <is>
          <t>avverkningsanmälan</t>
        </is>
      </c>
      <c r="C8008" t="inlineStr">
        <is>
          <t>Föryngringsavverkning</t>
        </is>
      </c>
      <c r="D8008" s="1" t="n">
        <v>46133</v>
      </c>
      <c r="E8008" s="1" t="n">
        <v>46326</v>
      </c>
      <c r="F8008" t="inlineStr">
        <is>
          <t>GÄVLEBORGS LÄN</t>
        </is>
      </c>
      <c r="G8008" t="inlineStr">
        <is>
          <t>HUDIKSVALL</t>
        </is>
      </c>
      <c r="H8008" t="inlineStr">
        <is>
          <t>Holmen skog AB</t>
        </is>
      </c>
      <c r="I8008" t="n">
        <v>1.3</v>
      </c>
      <c r="J8008" t="n">
        <v>0</v>
      </c>
      <c r="K8008" t="n">
        <v>0</v>
      </c>
      <c r="L8008" t="n">
        <v>0</v>
      </c>
      <c r="M8008" t="n">
        <v>0</v>
      </c>
      <c r="N8008" t="n">
        <v>0</v>
      </c>
      <c r="O8008" t="n">
        <v>0</v>
      </c>
      <c r="P8008" t="n">
        <v>0</v>
      </c>
      <c r="Q8008" t="n">
        <v>0</v>
      </c>
      <c r="R8008" t="n">
        <v>0</v>
      </c>
      <c r="S8008" t="n">
        <v>0</v>
      </c>
      <c r="T8008" t="n">
        <v>0</v>
      </c>
      <c r="U8008" t="n">
        <v>0</v>
      </c>
      <c r="V8008" s="2" t="inlineStr"/>
    </row>
    <row r="8009" ht="15" customHeight="1">
      <c r="A8009" t="inlineStr">
        <is>
          <t>A 22884-2026</t>
        </is>
      </c>
      <c r="B8009" t="inlineStr">
        <is>
          <t>avverkningsanmälan</t>
        </is>
      </c>
      <c r="C8009" t="inlineStr">
        <is>
          <t>Föryngringsavverkning</t>
        </is>
      </c>
      <c r="D8009" s="1" t="n">
        <v>46160</v>
      </c>
      <c r="E8009" s="1" t="n">
        <v>46326</v>
      </c>
      <c r="F8009" t="inlineStr">
        <is>
          <t>GÄVLEBORGS LÄN</t>
        </is>
      </c>
      <c r="G8009" t="inlineStr">
        <is>
          <t>OVANÅKER</t>
        </is>
      </c>
      <c r="I8009" t="n">
        <v>1</v>
      </c>
      <c r="J8009" t="n">
        <v>0</v>
      </c>
      <c r="K8009" t="n">
        <v>0</v>
      </c>
      <c r="L8009" t="n">
        <v>0</v>
      </c>
      <c r="M8009" t="n">
        <v>0</v>
      </c>
      <c r="N8009" t="n">
        <v>0</v>
      </c>
      <c r="O8009" t="n">
        <v>0</v>
      </c>
      <c r="P8009" t="n">
        <v>0</v>
      </c>
      <c r="Q8009" t="n">
        <v>0</v>
      </c>
      <c r="R8009" t="n">
        <v>0</v>
      </c>
      <c r="S8009" t="n">
        <v>0</v>
      </c>
      <c r="T8009" t="n">
        <v>0</v>
      </c>
      <c r="U8009" t="n">
        <v>0</v>
      </c>
      <c r="V8009" s="2" t="inlineStr"/>
    </row>
    <row r="8010" ht="15" customHeight="1">
      <c r="A8010" t="inlineStr">
        <is>
          <t>A 22936-2026</t>
        </is>
      </c>
      <c r="B8010" t="inlineStr">
        <is>
          <t>avverkningsanmälan</t>
        </is>
      </c>
      <c r="C8010" t="inlineStr">
        <is>
          <t>Föryngringsavverkning</t>
        </is>
      </c>
      <c r="D8010" s="1" t="n">
        <v>46160</v>
      </c>
      <c r="E8010" s="1" t="n">
        <v>46326</v>
      </c>
      <c r="F8010" t="inlineStr">
        <is>
          <t>GÄVLEBORGS LÄN</t>
        </is>
      </c>
      <c r="G8010" t="inlineStr">
        <is>
          <t>HUDIKSVALL</t>
        </is>
      </c>
      <c r="H8010" t="inlineStr">
        <is>
          <t>Naturvårdsverket</t>
        </is>
      </c>
      <c r="I8010" t="n">
        <v>2.8</v>
      </c>
      <c r="J8010" t="n">
        <v>0</v>
      </c>
      <c r="K8010" t="n">
        <v>0</v>
      </c>
      <c r="L8010" t="n">
        <v>0</v>
      </c>
      <c r="M8010" t="n">
        <v>0</v>
      </c>
      <c r="N8010" t="n">
        <v>0</v>
      </c>
      <c r="O8010" t="n">
        <v>0</v>
      </c>
      <c r="P8010" t="n">
        <v>0</v>
      </c>
      <c r="Q8010" t="n">
        <v>0</v>
      </c>
      <c r="R8010" t="n">
        <v>0</v>
      </c>
      <c r="S8010" t="n">
        <v>0</v>
      </c>
      <c r="T8010" t="n">
        <v>0</v>
      </c>
      <c r="U8010" t="n">
        <v>0</v>
      </c>
      <c r="V8010" s="2" t="inlineStr"/>
    </row>
    <row r="8011" ht="15" customHeight="1">
      <c r="A8011" t="inlineStr">
        <is>
          <t>A 15469-2026</t>
        </is>
      </c>
      <c r="B8011" t="inlineStr">
        <is>
          <t>avverkningsanmälan</t>
        </is>
      </c>
      <c r="C8011" t="inlineStr">
        <is>
          <t>Föryngringsavverkning</t>
        </is>
      </c>
      <c r="D8011" s="1" t="n">
        <v>46106</v>
      </c>
      <c r="E8011" s="1" t="n">
        <v>46326</v>
      </c>
      <c r="F8011" t="inlineStr">
        <is>
          <t>GÄVLEBORGS LÄN</t>
        </is>
      </c>
      <c r="G8011" t="inlineStr">
        <is>
          <t>GÄVLE</t>
        </is>
      </c>
      <c r="H8011" t="inlineStr">
        <is>
          <t>Bergvik skog öst AB</t>
        </is>
      </c>
      <c r="I8011" t="n">
        <v>3.6</v>
      </c>
      <c r="J8011" t="n">
        <v>0</v>
      </c>
      <c r="K8011" t="n">
        <v>0</v>
      </c>
      <c r="L8011" t="n">
        <v>0</v>
      </c>
      <c r="M8011" t="n">
        <v>0</v>
      </c>
      <c r="N8011" t="n">
        <v>0</v>
      </c>
      <c r="O8011" t="n">
        <v>0</v>
      </c>
      <c r="P8011" t="n">
        <v>0</v>
      </c>
      <c r="Q8011" t="n">
        <v>0</v>
      </c>
      <c r="R8011" t="n">
        <v>0</v>
      </c>
      <c r="S8011" t="n">
        <v>0</v>
      </c>
      <c r="T8011" t="n">
        <v>0</v>
      </c>
      <c r="U8011" t="n">
        <v>0</v>
      </c>
      <c r="V8011" s="2" t="inlineStr"/>
    </row>
    <row r="8012" ht="15" customHeight="1">
      <c r="A8012" t="inlineStr">
        <is>
          <t>A 22996-2026</t>
        </is>
      </c>
      <c r="B8012" t="inlineStr">
        <is>
          <t>avverkningsanmälan</t>
        </is>
      </c>
      <c r="C8012" t="inlineStr">
        <is>
          <t>Föryngringsavverkning</t>
        </is>
      </c>
      <c r="D8012" s="1" t="n">
        <v>46160</v>
      </c>
      <c r="E8012" s="1" t="n">
        <v>46326</v>
      </c>
      <c r="F8012" t="inlineStr">
        <is>
          <t>GÄVLEBORGS LÄN</t>
        </is>
      </c>
      <c r="G8012" t="inlineStr">
        <is>
          <t>HUDIKSVALL</t>
        </is>
      </c>
      <c r="H8012" t="inlineStr">
        <is>
          <t>Holmen skog AB</t>
        </is>
      </c>
      <c r="I8012" t="n">
        <v>3.4</v>
      </c>
      <c r="J8012" t="n">
        <v>0</v>
      </c>
      <c r="K8012" t="n">
        <v>0</v>
      </c>
      <c r="L8012" t="n">
        <v>0</v>
      </c>
      <c r="M8012" t="n">
        <v>0</v>
      </c>
      <c r="N8012" t="n">
        <v>0</v>
      </c>
      <c r="O8012" t="n">
        <v>0</v>
      </c>
      <c r="P8012" t="n">
        <v>0</v>
      </c>
      <c r="Q8012" t="n">
        <v>0</v>
      </c>
      <c r="R8012" t="n">
        <v>0</v>
      </c>
      <c r="S8012" t="n">
        <v>0</v>
      </c>
      <c r="T8012" t="n">
        <v>0</v>
      </c>
      <c r="U8012" t="n">
        <v>0</v>
      </c>
      <c r="V8012" s="2" t="inlineStr"/>
    </row>
    <row r="8013" ht="15" customHeight="1">
      <c r="A8013" t="inlineStr">
        <is>
          <t>A 20711-2023</t>
        </is>
      </c>
      <c r="B8013" t="inlineStr">
        <is>
          <t>avverkningsanmälan</t>
        </is>
      </c>
      <c r="C8013" t="inlineStr">
        <is>
          <t>Föryngringsavverkning</t>
        </is>
      </c>
      <c r="D8013" s="1" t="n">
        <v>45058</v>
      </c>
      <c r="E8013" s="1" t="n">
        <v>46326</v>
      </c>
      <c r="F8013" t="inlineStr">
        <is>
          <t>GÄVLEBORGS LÄN</t>
        </is>
      </c>
      <c r="G8013" t="inlineStr">
        <is>
          <t>HUDIKSVALL</t>
        </is>
      </c>
      <c r="I8013" t="n">
        <v>1.9</v>
      </c>
      <c r="J8013" t="n">
        <v>0</v>
      </c>
      <c r="K8013" t="n">
        <v>0</v>
      </c>
      <c r="L8013" t="n">
        <v>0</v>
      </c>
      <c r="M8013" t="n">
        <v>0</v>
      </c>
      <c r="N8013" t="n">
        <v>0</v>
      </c>
      <c r="O8013" t="n">
        <v>0</v>
      </c>
      <c r="P8013" t="n">
        <v>0</v>
      </c>
      <c r="Q8013" t="n">
        <v>0</v>
      </c>
      <c r="R8013" t="n">
        <v>0</v>
      </c>
      <c r="S8013" t="n">
        <v>0</v>
      </c>
      <c r="T8013" t="n">
        <v>0</v>
      </c>
      <c r="U8013" t="n">
        <v>0</v>
      </c>
      <c r="V8013" s="2" t="inlineStr"/>
    </row>
    <row r="8014" ht="15" customHeight="1">
      <c r="A8014" t="inlineStr">
        <is>
          <t>A 15167-2026</t>
        </is>
      </c>
      <c r="B8014" t="inlineStr">
        <is>
          <t>avverkningsanmälan</t>
        </is>
      </c>
      <c r="C8014" t="inlineStr">
        <is>
          <t>Föryngringsavverkning</t>
        </is>
      </c>
      <c r="D8014" s="1" t="n">
        <v>46105</v>
      </c>
      <c r="E8014" s="1" t="n">
        <v>46326</v>
      </c>
      <c r="F8014" t="inlineStr">
        <is>
          <t>GÄVLEBORGS LÄN</t>
        </is>
      </c>
      <c r="G8014" t="inlineStr">
        <is>
          <t>GÄVLE</t>
        </is>
      </c>
      <c r="H8014" t="inlineStr">
        <is>
          <t>Bergvik skog öst AB</t>
        </is>
      </c>
      <c r="I8014" t="n">
        <v>3.6</v>
      </c>
      <c r="J8014" t="n">
        <v>0</v>
      </c>
      <c r="K8014" t="n">
        <v>0</v>
      </c>
      <c r="L8014" t="n">
        <v>0</v>
      </c>
      <c r="M8014" t="n">
        <v>0</v>
      </c>
      <c r="N8014" t="n">
        <v>0</v>
      </c>
      <c r="O8014" t="n">
        <v>0</v>
      </c>
      <c r="P8014" t="n">
        <v>0</v>
      </c>
      <c r="Q8014" t="n">
        <v>0</v>
      </c>
      <c r="R8014" t="n">
        <v>0</v>
      </c>
      <c r="S8014" t="n">
        <v>0</v>
      </c>
      <c r="T8014" t="n">
        <v>0</v>
      </c>
      <c r="U8014" t="n">
        <v>0</v>
      </c>
      <c r="V8014" s="2" t="inlineStr"/>
    </row>
    <row r="8015" ht="15" customHeight="1">
      <c r="A8015" t="inlineStr">
        <is>
          <t>A 15711-2026</t>
        </is>
      </c>
      <c r="B8015" t="inlineStr">
        <is>
          <t>avverkningsanmälan</t>
        </is>
      </c>
      <c r="C8015" t="inlineStr">
        <is>
          <t>Föryngringsavverkning</t>
        </is>
      </c>
      <c r="D8015" s="1" t="n">
        <v>46107</v>
      </c>
      <c r="E8015" s="1" t="n">
        <v>46326</v>
      </c>
      <c r="F8015" t="inlineStr">
        <is>
          <t>GÄVLEBORGS LÄN</t>
        </is>
      </c>
      <c r="G8015" t="inlineStr">
        <is>
          <t>GÄVLE</t>
        </is>
      </c>
      <c r="H8015" t="inlineStr">
        <is>
          <t>Bergvik skog öst AB</t>
        </is>
      </c>
      <c r="I8015" t="n">
        <v>1.3</v>
      </c>
      <c r="J8015" t="n">
        <v>0</v>
      </c>
      <c r="K8015" t="n">
        <v>0</v>
      </c>
      <c r="L8015" t="n">
        <v>0</v>
      </c>
      <c r="M8015" t="n">
        <v>0</v>
      </c>
      <c r="N8015" t="n">
        <v>0</v>
      </c>
      <c r="O8015" t="n">
        <v>0</v>
      </c>
      <c r="P8015" t="n">
        <v>0</v>
      </c>
      <c r="Q8015" t="n">
        <v>0</v>
      </c>
      <c r="R8015" t="n">
        <v>0</v>
      </c>
      <c r="S8015" t="n">
        <v>0</v>
      </c>
      <c r="T8015" t="n">
        <v>0</v>
      </c>
      <c r="U8015" t="n">
        <v>0</v>
      </c>
      <c r="V8015" s="2" t="inlineStr"/>
    </row>
    <row r="8016" ht="15" customHeight="1">
      <c r="A8016" t="inlineStr">
        <is>
          <t>A 22893-2026</t>
        </is>
      </c>
      <c r="B8016" t="inlineStr">
        <is>
          <t>avverkningsanmälan</t>
        </is>
      </c>
      <c r="C8016" t="inlineStr">
        <is>
          <t>Föryngringsavverkning</t>
        </is>
      </c>
      <c r="D8016" s="1" t="n">
        <v>46160</v>
      </c>
      <c r="E8016" s="1" t="n">
        <v>46326</v>
      </c>
      <c r="F8016" t="inlineStr">
        <is>
          <t>GÄVLEBORGS LÄN</t>
        </is>
      </c>
      <c r="G8016" t="inlineStr">
        <is>
          <t>HUDIKSVALL</t>
        </is>
      </c>
      <c r="H8016" t="inlineStr">
        <is>
          <t>Kyrkan</t>
        </is>
      </c>
      <c r="I8016" t="n">
        <v>1.1</v>
      </c>
      <c r="J8016" t="n">
        <v>0</v>
      </c>
      <c r="K8016" t="n">
        <v>0</v>
      </c>
      <c r="L8016" t="n">
        <v>0</v>
      </c>
      <c r="M8016" t="n">
        <v>0</v>
      </c>
      <c r="N8016" t="n">
        <v>0</v>
      </c>
      <c r="O8016" t="n">
        <v>0</v>
      </c>
      <c r="P8016" t="n">
        <v>0</v>
      </c>
      <c r="Q8016" t="n">
        <v>0</v>
      </c>
      <c r="R8016" t="n">
        <v>0</v>
      </c>
      <c r="S8016" t="n">
        <v>0</v>
      </c>
      <c r="T8016" t="n">
        <v>0</v>
      </c>
      <c r="U8016" t="n">
        <v>0</v>
      </c>
      <c r="V8016" s="2" t="inlineStr"/>
    </row>
    <row r="8017" ht="15" customHeight="1">
      <c r="A8017" t="inlineStr">
        <is>
          <t>A 16849-2023</t>
        </is>
      </c>
      <c r="B8017" t="inlineStr">
        <is>
          <t>avverkningsanmälan</t>
        </is>
      </c>
      <c r="C8017" t="inlineStr">
        <is>
          <t>Föryngringsavverkning</t>
        </is>
      </c>
      <c r="D8017" s="1" t="n">
        <v>45033</v>
      </c>
      <c r="E8017" s="1" t="n">
        <v>46326</v>
      </c>
      <c r="F8017" t="inlineStr">
        <is>
          <t>GÄVLEBORGS LÄN</t>
        </is>
      </c>
      <c r="G8017" t="inlineStr">
        <is>
          <t>HUDIKSVALL</t>
        </is>
      </c>
      <c r="I8017" t="n">
        <v>2.4</v>
      </c>
      <c r="J8017" t="n">
        <v>0</v>
      </c>
      <c r="K8017" t="n">
        <v>0</v>
      </c>
      <c r="L8017" t="n">
        <v>0</v>
      </c>
      <c r="M8017" t="n">
        <v>0</v>
      </c>
      <c r="N8017" t="n">
        <v>0</v>
      </c>
      <c r="O8017" t="n">
        <v>0</v>
      </c>
      <c r="P8017" t="n">
        <v>0</v>
      </c>
      <c r="Q8017" t="n">
        <v>0</v>
      </c>
      <c r="R8017" t="n">
        <v>0</v>
      </c>
      <c r="S8017" t="n">
        <v>0</v>
      </c>
      <c r="T8017" t="n">
        <v>0</v>
      </c>
      <c r="U8017" t="n">
        <v>0</v>
      </c>
      <c r="V8017" s="2" t="inlineStr"/>
    </row>
    <row r="8018" ht="15" customHeight="1">
      <c r="A8018" t="inlineStr">
        <is>
          <t>A 22508-2026</t>
        </is>
      </c>
      <c r="B8018" t="inlineStr">
        <is>
          <t>avverkningsanmälan</t>
        </is>
      </c>
      <c r="C8018" t="inlineStr">
        <is>
          <t>Föryngringsavverkning</t>
        </is>
      </c>
      <c r="D8018" s="1" t="n">
        <v>46155</v>
      </c>
      <c r="E8018" s="1" t="n">
        <v>46326</v>
      </c>
      <c r="F8018" t="inlineStr">
        <is>
          <t>GÄVLEBORGS LÄN</t>
        </is>
      </c>
      <c r="G8018" t="inlineStr">
        <is>
          <t>GÄVLE</t>
        </is>
      </c>
      <c r="H8018" t="inlineStr">
        <is>
          <t>Kyrkan</t>
        </is>
      </c>
      <c r="I8018" t="n">
        <v>3.5</v>
      </c>
      <c r="J8018" t="n">
        <v>0</v>
      </c>
      <c r="K8018" t="n">
        <v>0</v>
      </c>
      <c r="L8018" t="n">
        <v>0</v>
      </c>
      <c r="M8018" t="n">
        <v>0</v>
      </c>
      <c r="N8018" t="n">
        <v>0</v>
      </c>
      <c r="O8018" t="n">
        <v>0</v>
      </c>
      <c r="P8018" t="n">
        <v>0</v>
      </c>
      <c r="Q8018" t="n">
        <v>0</v>
      </c>
      <c r="R8018" t="n">
        <v>0</v>
      </c>
      <c r="S8018" t="n">
        <v>0</v>
      </c>
      <c r="T8018" t="n">
        <v>0</v>
      </c>
      <c r="U8018" t="n">
        <v>0</v>
      </c>
      <c r="V8018" s="2" t="inlineStr"/>
    </row>
    <row r="8019" ht="15" customHeight="1">
      <c r="A8019" t="inlineStr">
        <is>
          <t>A 23149-2026</t>
        </is>
      </c>
      <c r="B8019" t="inlineStr">
        <is>
          <t>avverkningsanmälan</t>
        </is>
      </c>
      <c r="C8019" t="inlineStr">
        <is>
          <t>Föryngringsavverkning</t>
        </is>
      </c>
      <c r="D8019" s="1" t="n">
        <v>46161</v>
      </c>
      <c r="E8019" s="1" t="n">
        <v>46326</v>
      </c>
      <c r="F8019" t="inlineStr">
        <is>
          <t>GÄVLEBORGS LÄN</t>
        </is>
      </c>
      <c r="G8019" t="inlineStr">
        <is>
          <t>OCKELBO</t>
        </is>
      </c>
      <c r="I8019" t="n">
        <v>3.1</v>
      </c>
      <c r="J8019" t="n">
        <v>0</v>
      </c>
      <c r="K8019" t="n">
        <v>0</v>
      </c>
      <c r="L8019" t="n">
        <v>0</v>
      </c>
      <c r="M8019" t="n">
        <v>0</v>
      </c>
      <c r="N8019" t="n">
        <v>0</v>
      </c>
      <c r="O8019" t="n">
        <v>0</v>
      </c>
      <c r="P8019" t="n">
        <v>0</v>
      </c>
      <c r="Q8019" t="n">
        <v>0</v>
      </c>
      <c r="R8019" t="n">
        <v>0</v>
      </c>
      <c r="S8019" t="n">
        <v>0</v>
      </c>
      <c r="T8019" t="n">
        <v>0</v>
      </c>
      <c r="U8019" t="n">
        <v>0</v>
      </c>
      <c r="V8019" s="2" t="inlineStr"/>
    </row>
    <row r="8020" ht="15" customHeight="1">
      <c r="A8020" t="inlineStr">
        <is>
          <t>A 7569-2023</t>
        </is>
      </c>
      <c r="B8020" t="inlineStr">
        <is>
          <t>avverkningsanmälan</t>
        </is>
      </c>
      <c r="C8020" t="inlineStr">
        <is>
          <t>Föryngringsavverkning</t>
        </is>
      </c>
      <c r="D8020" s="1" t="n">
        <v>44972</v>
      </c>
      <c r="E8020" s="1" t="n">
        <v>46326</v>
      </c>
      <c r="F8020" t="inlineStr">
        <is>
          <t>GÄVLEBORGS LÄN</t>
        </is>
      </c>
      <c r="G8020" t="inlineStr">
        <is>
          <t>LJUSDAL</t>
        </is>
      </c>
      <c r="H8020" t="inlineStr">
        <is>
          <t>Kommuner</t>
        </is>
      </c>
      <c r="I8020" t="n">
        <v>6.9</v>
      </c>
      <c r="J8020" t="n">
        <v>0</v>
      </c>
      <c r="K8020" t="n">
        <v>0</v>
      </c>
      <c r="L8020" t="n">
        <v>0</v>
      </c>
      <c r="M8020" t="n">
        <v>0</v>
      </c>
      <c r="N8020" t="n">
        <v>0</v>
      </c>
      <c r="O8020" t="n">
        <v>0</v>
      </c>
      <c r="P8020" t="n">
        <v>0</v>
      </c>
      <c r="Q8020" t="n">
        <v>0</v>
      </c>
      <c r="R8020" t="n">
        <v>0</v>
      </c>
      <c r="S8020" t="n">
        <v>0</v>
      </c>
      <c r="T8020" t="n">
        <v>0</v>
      </c>
      <c r="U8020" t="n">
        <v>0</v>
      </c>
      <c r="V8020" s="2" t="inlineStr"/>
    </row>
    <row r="8021" ht="15" customHeight="1">
      <c r="A8021" t="inlineStr">
        <is>
          <t>A 54135-2024</t>
        </is>
      </c>
      <c r="B8021" t="inlineStr">
        <is>
          <t>avverkningsanmälan</t>
        </is>
      </c>
      <c r="C8021" t="inlineStr">
        <is>
          <t>Föryngringsavverkning</t>
        </is>
      </c>
      <c r="D8021" s="1" t="n">
        <v>45616</v>
      </c>
      <c r="E8021" s="1" t="n">
        <v>46326</v>
      </c>
      <c r="F8021" t="inlineStr">
        <is>
          <t>GÄVLEBORGS LÄN</t>
        </is>
      </c>
      <c r="G8021" t="inlineStr">
        <is>
          <t>SÖDERHAMN</t>
        </is>
      </c>
      <c r="I8021" t="n">
        <v>1.1</v>
      </c>
      <c r="J8021" t="n">
        <v>0</v>
      </c>
      <c r="K8021" t="n">
        <v>0</v>
      </c>
      <c r="L8021" t="n">
        <v>0</v>
      </c>
      <c r="M8021" t="n">
        <v>0</v>
      </c>
      <c r="N8021" t="n">
        <v>0</v>
      </c>
      <c r="O8021" t="n">
        <v>0</v>
      </c>
      <c r="P8021" t="n">
        <v>0</v>
      </c>
      <c r="Q8021" t="n">
        <v>0</v>
      </c>
      <c r="R8021" t="n">
        <v>0</v>
      </c>
      <c r="S8021" t="n">
        <v>0</v>
      </c>
      <c r="T8021" t="n">
        <v>0</v>
      </c>
      <c r="U8021" t="n">
        <v>0</v>
      </c>
      <c r="V8021" s="2" t="inlineStr"/>
    </row>
    <row r="8022" ht="15" customHeight="1">
      <c r="A8022" t="inlineStr">
        <is>
          <t>A 45096-2023</t>
        </is>
      </c>
      <c r="B8022" t="inlineStr">
        <is>
          <t>avverkningsanmälan</t>
        </is>
      </c>
      <c r="C8022" t="inlineStr">
        <is>
          <t>Föryngringsavverkning</t>
        </is>
      </c>
      <c r="D8022" s="1" t="n">
        <v>45191</v>
      </c>
      <c r="E8022" s="1" t="n">
        <v>46326</v>
      </c>
      <c r="F8022" t="inlineStr">
        <is>
          <t>GÄVLEBORGS LÄN</t>
        </is>
      </c>
      <c r="G8022" t="inlineStr">
        <is>
          <t>HUDIKSVALL</t>
        </is>
      </c>
      <c r="I8022" t="n">
        <v>2.5</v>
      </c>
      <c r="J8022" t="n">
        <v>0</v>
      </c>
      <c r="K8022" t="n">
        <v>0</v>
      </c>
      <c r="L8022" t="n">
        <v>0</v>
      </c>
      <c r="M8022" t="n">
        <v>0</v>
      </c>
      <c r="N8022" t="n">
        <v>0</v>
      </c>
      <c r="O8022" t="n">
        <v>0</v>
      </c>
      <c r="P8022" t="n">
        <v>0</v>
      </c>
      <c r="Q8022" t="n">
        <v>0</v>
      </c>
      <c r="R8022" t="n">
        <v>0</v>
      </c>
      <c r="S8022" t="n">
        <v>0</v>
      </c>
      <c r="T8022" t="n">
        <v>0</v>
      </c>
      <c r="U8022" t="n">
        <v>0</v>
      </c>
      <c r="V8022" s="2" t="inlineStr"/>
    </row>
    <row r="8023" ht="15" customHeight="1">
      <c r="A8023" t="inlineStr">
        <is>
          <t>A 22815-2026</t>
        </is>
      </c>
      <c r="B8023" t="inlineStr">
        <is>
          <t>avverkningsanmälan</t>
        </is>
      </c>
      <c r="C8023" t="inlineStr">
        <is>
          <t>Föryngringsavverkning</t>
        </is>
      </c>
      <c r="D8023" s="1" t="n">
        <v>46160</v>
      </c>
      <c r="E8023" s="1" t="n">
        <v>46326</v>
      </c>
      <c r="F8023" t="inlineStr">
        <is>
          <t>GÄVLEBORGS LÄN</t>
        </is>
      </c>
      <c r="G8023" t="inlineStr">
        <is>
          <t>BOLLNÄS</t>
        </is>
      </c>
      <c r="I8023" t="n">
        <v>0.8</v>
      </c>
      <c r="J8023" t="n">
        <v>0</v>
      </c>
      <c r="K8023" t="n">
        <v>0</v>
      </c>
      <c r="L8023" t="n">
        <v>0</v>
      </c>
      <c r="M8023" t="n">
        <v>0</v>
      </c>
      <c r="N8023" t="n">
        <v>0</v>
      </c>
      <c r="O8023" t="n">
        <v>0</v>
      </c>
      <c r="P8023" t="n">
        <v>0</v>
      </c>
      <c r="Q8023" t="n">
        <v>0</v>
      </c>
      <c r="R8023" t="n">
        <v>0</v>
      </c>
      <c r="S8023" t="n">
        <v>0</v>
      </c>
      <c r="T8023" t="n">
        <v>0</v>
      </c>
      <c r="U8023" t="n">
        <v>0</v>
      </c>
      <c r="V8023" s="2" t="inlineStr"/>
    </row>
    <row r="8024" ht="15" customHeight="1">
      <c r="A8024" t="inlineStr">
        <is>
          <t>A 1737-2026</t>
        </is>
      </c>
      <c r="B8024" t="inlineStr">
        <is>
          <t>avverkningsanmälan</t>
        </is>
      </c>
      <c r="C8024" t="inlineStr">
        <is>
          <t>Föryngringsavverkning</t>
        </is>
      </c>
      <c r="D8024" s="1" t="n">
        <v>46034</v>
      </c>
      <c r="E8024" s="1" t="n">
        <v>46326</v>
      </c>
      <c r="F8024" t="inlineStr">
        <is>
          <t>GÄVLEBORGS LÄN</t>
        </is>
      </c>
      <c r="G8024" t="inlineStr">
        <is>
          <t>SANDVIKEN</t>
        </is>
      </c>
      <c r="I8024" t="n">
        <v>2</v>
      </c>
      <c r="J8024" t="n">
        <v>0</v>
      </c>
      <c r="K8024" t="n">
        <v>0</v>
      </c>
      <c r="L8024" t="n">
        <v>0</v>
      </c>
      <c r="M8024" t="n">
        <v>0</v>
      </c>
      <c r="N8024" t="n">
        <v>0</v>
      </c>
      <c r="O8024" t="n">
        <v>0</v>
      </c>
      <c r="P8024" t="n">
        <v>0</v>
      </c>
      <c r="Q8024" t="n">
        <v>0</v>
      </c>
      <c r="R8024" t="n">
        <v>0</v>
      </c>
      <c r="S8024" t="n">
        <v>0</v>
      </c>
      <c r="T8024" t="n">
        <v>0</v>
      </c>
      <c r="U8024" t="n">
        <v>0</v>
      </c>
      <c r="V8024" s="2" t="inlineStr"/>
    </row>
    <row r="8025" ht="15" customHeight="1">
      <c r="A8025" t="inlineStr">
        <is>
          <t>A 22897-2026</t>
        </is>
      </c>
      <c r="B8025" t="inlineStr">
        <is>
          <t>avverkningsanmälan</t>
        </is>
      </c>
      <c r="C8025" t="inlineStr">
        <is>
          <t>Föryngringsavverkning</t>
        </is>
      </c>
      <c r="D8025" s="1" t="n">
        <v>46160</v>
      </c>
      <c r="E8025" s="1" t="n">
        <v>46326</v>
      </c>
      <c r="F8025" t="inlineStr">
        <is>
          <t>GÄVLEBORGS LÄN</t>
        </is>
      </c>
      <c r="G8025" t="inlineStr">
        <is>
          <t>OVANÅKER</t>
        </is>
      </c>
      <c r="I8025" t="n">
        <v>0.5</v>
      </c>
      <c r="J8025" t="n">
        <v>0</v>
      </c>
      <c r="K8025" t="n">
        <v>0</v>
      </c>
      <c r="L8025" t="n">
        <v>0</v>
      </c>
      <c r="M8025" t="n">
        <v>0</v>
      </c>
      <c r="N8025" t="n">
        <v>0</v>
      </c>
      <c r="O8025" t="n">
        <v>0</v>
      </c>
      <c r="P8025" t="n">
        <v>0</v>
      </c>
      <c r="Q8025" t="n">
        <v>0</v>
      </c>
      <c r="R8025" t="n">
        <v>0</v>
      </c>
      <c r="S8025" t="n">
        <v>0</v>
      </c>
      <c r="T8025" t="n">
        <v>0</v>
      </c>
      <c r="U8025" t="n">
        <v>0</v>
      </c>
      <c r="V8025" s="2" t="inlineStr"/>
    </row>
    <row r="8026" ht="15" customHeight="1">
      <c r="A8026" t="inlineStr">
        <is>
          <t>A 23085-2023</t>
        </is>
      </c>
      <c r="B8026" t="inlineStr">
        <is>
          <t>avverkningsanmälan</t>
        </is>
      </c>
      <c r="C8026" t="inlineStr">
        <is>
          <t>Föryngringsavverkning</t>
        </is>
      </c>
      <c r="D8026" s="1" t="n">
        <v>45075</v>
      </c>
      <c r="E8026" s="1" t="n">
        <v>46326</v>
      </c>
      <c r="F8026" t="inlineStr">
        <is>
          <t>GÄVLEBORGS LÄN</t>
        </is>
      </c>
      <c r="G8026" t="inlineStr">
        <is>
          <t>SANDVIKEN</t>
        </is>
      </c>
      <c r="I8026" t="n">
        <v>8.300000000000001</v>
      </c>
      <c r="J8026" t="n">
        <v>0</v>
      </c>
      <c r="K8026" t="n">
        <v>0</v>
      </c>
      <c r="L8026" t="n">
        <v>0</v>
      </c>
      <c r="M8026" t="n">
        <v>0</v>
      </c>
      <c r="N8026" t="n">
        <v>0</v>
      </c>
      <c r="O8026" t="n">
        <v>0</v>
      </c>
      <c r="P8026" t="n">
        <v>0</v>
      </c>
      <c r="Q8026" t="n">
        <v>0</v>
      </c>
      <c r="R8026" t="n">
        <v>0</v>
      </c>
      <c r="S8026" t="n">
        <v>0</v>
      </c>
      <c r="T8026" t="n">
        <v>0</v>
      </c>
      <c r="U8026" t="n">
        <v>0</v>
      </c>
      <c r="V8026" s="2" t="inlineStr"/>
    </row>
    <row r="8027" ht="15" customHeight="1">
      <c r="A8027" t="inlineStr">
        <is>
          <t>A 36833-2022</t>
        </is>
      </c>
      <c r="B8027" t="inlineStr">
        <is>
          <t>avverkningsanmälan</t>
        </is>
      </c>
      <c r="C8027" t="inlineStr">
        <is>
          <t>Föryngringsavverkning</t>
        </is>
      </c>
      <c r="D8027" s="1" t="n">
        <v>44805</v>
      </c>
      <c r="E8027" s="1" t="n">
        <v>46326</v>
      </c>
      <c r="F8027" t="inlineStr">
        <is>
          <t>GÄVLEBORGS LÄN</t>
        </is>
      </c>
      <c r="G8027" t="inlineStr">
        <is>
          <t>SANDVIKEN</t>
        </is>
      </c>
      <c r="I8027" t="n">
        <v>2</v>
      </c>
      <c r="J8027" t="n">
        <v>0</v>
      </c>
      <c r="K8027" t="n">
        <v>0</v>
      </c>
      <c r="L8027" t="n">
        <v>0</v>
      </c>
      <c r="M8027" t="n">
        <v>0</v>
      </c>
      <c r="N8027" t="n">
        <v>0</v>
      </c>
      <c r="O8027" t="n">
        <v>0</v>
      </c>
      <c r="P8027" t="n">
        <v>0</v>
      </c>
      <c r="Q8027" t="n">
        <v>0</v>
      </c>
      <c r="R8027" t="n">
        <v>0</v>
      </c>
      <c r="S8027" t="n">
        <v>0</v>
      </c>
      <c r="T8027" t="n">
        <v>0</v>
      </c>
      <c r="U8027" t="n">
        <v>0</v>
      </c>
      <c r="V8027" s="2" t="inlineStr"/>
    </row>
    <row r="8028" ht="15" customHeight="1">
      <c r="A8028" t="inlineStr">
        <is>
          <t>A 23126-2026</t>
        </is>
      </c>
      <c r="B8028" t="inlineStr">
        <is>
          <t>avverkningsanmälan</t>
        </is>
      </c>
      <c r="C8028" t="inlineStr">
        <is>
          <t>Föryngringsavverkning</t>
        </is>
      </c>
      <c r="D8028" s="1" t="n">
        <v>46161</v>
      </c>
      <c r="E8028" s="1" t="n">
        <v>46326</v>
      </c>
      <c r="F8028" t="inlineStr">
        <is>
          <t>GÄVLEBORGS LÄN</t>
        </is>
      </c>
      <c r="G8028" t="inlineStr">
        <is>
          <t>LJUSDAL</t>
        </is>
      </c>
      <c r="H8028" t="inlineStr">
        <is>
          <t>Sveaskog</t>
        </is>
      </c>
      <c r="I8028" t="n">
        <v>3.9</v>
      </c>
      <c r="J8028" t="n">
        <v>0</v>
      </c>
      <c r="K8028" t="n">
        <v>0</v>
      </c>
      <c r="L8028" t="n">
        <v>0</v>
      </c>
      <c r="M8028" t="n">
        <v>0</v>
      </c>
      <c r="N8028" t="n">
        <v>0</v>
      </c>
      <c r="O8028" t="n">
        <v>0</v>
      </c>
      <c r="P8028" t="n">
        <v>0</v>
      </c>
      <c r="Q8028" t="n">
        <v>0</v>
      </c>
      <c r="R8028" t="n">
        <v>0</v>
      </c>
      <c r="S8028" t="n">
        <v>0</v>
      </c>
      <c r="T8028" t="n">
        <v>0</v>
      </c>
      <c r="U8028" t="n">
        <v>0</v>
      </c>
      <c r="V8028" s="2" t="inlineStr"/>
    </row>
    <row r="8029" ht="15" customHeight="1">
      <c r="A8029" t="inlineStr">
        <is>
          <t>A 23161-2026</t>
        </is>
      </c>
      <c r="B8029" t="inlineStr">
        <is>
          <t>avverkningsanmälan</t>
        </is>
      </c>
      <c r="C8029" t="inlineStr">
        <is>
          <t>Föryngringsavverkning</t>
        </is>
      </c>
      <c r="D8029" s="1" t="n">
        <v>46161</v>
      </c>
      <c r="E8029" s="1" t="n">
        <v>46326</v>
      </c>
      <c r="F8029" t="inlineStr">
        <is>
          <t>GÄVLEBORGS LÄN</t>
        </is>
      </c>
      <c r="G8029" t="inlineStr">
        <is>
          <t>OVANÅKER</t>
        </is>
      </c>
      <c r="I8029" t="n">
        <v>5.7</v>
      </c>
      <c r="J8029" t="n">
        <v>0</v>
      </c>
      <c r="K8029" t="n">
        <v>0</v>
      </c>
      <c r="L8029" t="n">
        <v>0</v>
      </c>
      <c r="M8029" t="n">
        <v>0</v>
      </c>
      <c r="N8029" t="n">
        <v>0</v>
      </c>
      <c r="O8029" t="n">
        <v>0</v>
      </c>
      <c r="P8029" t="n">
        <v>0</v>
      </c>
      <c r="Q8029" t="n">
        <v>0</v>
      </c>
      <c r="R8029" t="n">
        <v>0</v>
      </c>
      <c r="S8029" t="n">
        <v>0</v>
      </c>
      <c r="T8029" t="n">
        <v>0</v>
      </c>
      <c r="U8029" t="n">
        <v>0</v>
      </c>
      <c r="V8029" s="2" t="inlineStr"/>
    </row>
    <row r="8030" ht="15" customHeight="1">
      <c r="A8030" t="inlineStr">
        <is>
          <t>A 23172-2026</t>
        </is>
      </c>
      <c r="B8030" t="inlineStr">
        <is>
          <t>avverkningsanmälan</t>
        </is>
      </c>
      <c r="C8030" t="inlineStr">
        <is>
          <t>Föryngringsavverkning</t>
        </is>
      </c>
      <c r="D8030" s="1" t="n">
        <v>46161</v>
      </c>
      <c r="E8030" s="1" t="n">
        <v>46326</v>
      </c>
      <c r="F8030" t="inlineStr">
        <is>
          <t>GÄVLEBORGS LÄN</t>
        </is>
      </c>
      <c r="G8030" t="inlineStr">
        <is>
          <t>BOLLNÄS</t>
        </is>
      </c>
      <c r="I8030" t="n">
        <v>2</v>
      </c>
      <c r="J8030" t="n">
        <v>0</v>
      </c>
      <c r="K8030" t="n">
        <v>0</v>
      </c>
      <c r="L8030" t="n">
        <v>0</v>
      </c>
      <c r="M8030" t="n">
        <v>0</v>
      </c>
      <c r="N8030" t="n">
        <v>0</v>
      </c>
      <c r="O8030" t="n">
        <v>0</v>
      </c>
      <c r="P8030" t="n">
        <v>0</v>
      </c>
      <c r="Q8030" t="n">
        <v>0</v>
      </c>
      <c r="R8030" t="n">
        <v>0</v>
      </c>
      <c r="S8030" t="n">
        <v>0</v>
      </c>
      <c r="T8030" t="n">
        <v>0</v>
      </c>
      <c r="U8030" t="n">
        <v>0</v>
      </c>
      <c r="V8030" s="2" t="inlineStr"/>
    </row>
    <row r="8031" ht="15" customHeight="1">
      <c r="A8031" t="inlineStr">
        <is>
          <t>A 3768-2026</t>
        </is>
      </c>
      <c r="B8031" t="inlineStr">
        <is>
          <t>avverkningsanmälan</t>
        </is>
      </c>
      <c r="C8031" t="inlineStr">
        <is>
          <t>Föryngringsavverkning</t>
        </is>
      </c>
      <c r="D8031" s="1" t="n">
        <v>46043</v>
      </c>
      <c r="E8031" s="1" t="n">
        <v>46326</v>
      </c>
      <c r="F8031" t="inlineStr">
        <is>
          <t>GÄVLEBORGS LÄN</t>
        </is>
      </c>
      <c r="G8031" t="inlineStr">
        <is>
          <t>NORDANSTIG</t>
        </is>
      </c>
      <c r="I8031" t="n">
        <v>2.1</v>
      </c>
      <c r="J8031" t="n">
        <v>0</v>
      </c>
      <c r="K8031" t="n">
        <v>0</v>
      </c>
      <c r="L8031" t="n">
        <v>0</v>
      </c>
      <c r="M8031" t="n">
        <v>0</v>
      </c>
      <c r="N8031" t="n">
        <v>0</v>
      </c>
      <c r="O8031" t="n">
        <v>0</v>
      </c>
      <c r="P8031" t="n">
        <v>0</v>
      </c>
      <c r="Q8031" t="n">
        <v>0</v>
      </c>
      <c r="R8031" t="n">
        <v>0</v>
      </c>
      <c r="S8031" t="n">
        <v>0</v>
      </c>
      <c r="T8031" t="n">
        <v>0</v>
      </c>
      <c r="U8031" t="n">
        <v>0</v>
      </c>
      <c r="V8031" s="2" t="inlineStr"/>
    </row>
    <row r="8032" ht="15" customHeight="1">
      <c r="A8032" t="inlineStr">
        <is>
          <t>A 22982-2026</t>
        </is>
      </c>
      <c r="B8032" t="inlineStr">
        <is>
          <t>avverkningsanmälan</t>
        </is>
      </c>
      <c r="C8032" t="inlineStr">
        <is>
          <t>Föryngringsavverkning</t>
        </is>
      </c>
      <c r="D8032" s="1" t="n">
        <v>46160</v>
      </c>
      <c r="E8032" s="1" t="n">
        <v>46326</v>
      </c>
      <c r="F8032" t="inlineStr">
        <is>
          <t>GÄVLEBORGS LÄN</t>
        </is>
      </c>
      <c r="G8032" t="inlineStr">
        <is>
          <t>BOLLNÄS</t>
        </is>
      </c>
      <c r="I8032" t="n">
        <v>1.4</v>
      </c>
      <c r="J8032" t="n">
        <v>0</v>
      </c>
      <c r="K8032" t="n">
        <v>0</v>
      </c>
      <c r="L8032" t="n">
        <v>0</v>
      </c>
      <c r="M8032" t="n">
        <v>0</v>
      </c>
      <c r="N8032" t="n">
        <v>0</v>
      </c>
      <c r="O8032" t="n">
        <v>0</v>
      </c>
      <c r="P8032" t="n">
        <v>0</v>
      </c>
      <c r="Q8032" t="n">
        <v>0</v>
      </c>
      <c r="R8032" t="n">
        <v>0</v>
      </c>
      <c r="S8032" t="n">
        <v>0</v>
      </c>
      <c r="T8032" t="n">
        <v>0</v>
      </c>
      <c r="U8032" t="n">
        <v>0</v>
      </c>
      <c r="V8032" s="2" t="inlineStr"/>
    </row>
    <row r="8033" ht="15" customHeight="1">
      <c r="A8033" t="inlineStr">
        <is>
          <t>A 22985-2026</t>
        </is>
      </c>
      <c r="B8033" t="inlineStr">
        <is>
          <t>avverkningsanmälan</t>
        </is>
      </c>
      <c r="C8033" t="inlineStr">
        <is>
          <t>Föryngringsavverkning</t>
        </is>
      </c>
      <c r="D8033" s="1" t="n">
        <v>46160</v>
      </c>
      <c r="E8033" s="1" t="n">
        <v>46326</v>
      </c>
      <c r="F8033" t="inlineStr">
        <is>
          <t>GÄVLEBORGS LÄN</t>
        </is>
      </c>
      <c r="G8033" t="inlineStr">
        <is>
          <t>BOLLNÄS</t>
        </is>
      </c>
      <c r="I8033" t="n">
        <v>4.6</v>
      </c>
      <c r="J8033" t="n">
        <v>0</v>
      </c>
      <c r="K8033" t="n">
        <v>0</v>
      </c>
      <c r="L8033" t="n">
        <v>0</v>
      </c>
      <c r="M8033" t="n">
        <v>0</v>
      </c>
      <c r="N8033" t="n">
        <v>0</v>
      </c>
      <c r="O8033" t="n">
        <v>0</v>
      </c>
      <c r="P8033" t="n">
        <v>0</v>
      </c>
      <c r="Q8033" t="n">
        <v>0</v>
      </c>
      <c r="R8033" t="n">
        <v>0</v>
      </c>
      <c r="S8033" t="n">
        <v>0</v>
      </c>
      <c r="T8033" t="n">
        <v>0</v>
      </c>
      <c r="U8033" t="n">
        <v>0</v>
      </c>
      <c r="V8033" s="2" t="inlineStr"/>
    </row>
    <row r="8034" ht="15" customHeight="1">
      <c r="A8034" t="inlineStr">
        <is>
          <t>A 5940-2025</t>
        </is>
      </c>
      <c r="B8034" t="inlineStr">
        <is>
          <t>avverkningsanmälan</t>
        </is>
      </c>
      <c r="C8034" t="inlineStr">
        <is>
          <t>Föryngringsavverkning</t>
        </is>
      </c>
      <c r="D8034" s="1" t="n">
        <v>45695</v>
      </c>
      <c r="E8034" s="1" t="n">
        <v>46326</v>
      </c>
      <c r="F8034" t="inlineStr">
        <is>
          <t>GÄVLEBORGS LÄN</t>
        </is>
      </c>
      <c r="G8034" t="inlineStr">
        <is>
          <t>HUDIKSVALL</t>
        </is>
      </c>
      <c r="I8034" t="n">
        <v>0.9</v>
      </c>
      <c r="J8034" t="n">
        <v>0</v>
      </c>
      <c r="K8034" t="n">
        <v>0</v>
      </c>
      <c r="L8034" t="n">
        <v>0</v>
      </c>
      <c r="M8034" t="n">
        <v>0</v>
      </c>
      <c r="N8034" t="n">
        <v>0</v>
      </c>
      <c r="O8034" t="n">
        <v>0</v>
      </c>
      <c r="P8034" t="n">
        <v>0</v>
      </c>
      <c r="Q8034" t="n">
        <v>0</v>
      </c>
      <c r="R8034" t="n">
        <v>0</v>
      </c>
      <c r="S8034" t="n">
        <v>0</v>
      </c>
      <c r="T8034" t="n">
        <v>0</v>
      </c>
      <c r="U8034" t="n">
        <v>0</v>
      </c>
      <c r="V8034" s="2" t="inlineStr"/>
    </row>
    <row r="8035" ht="15" customHeight="1">
      <c r="A8035" t="inlineStr">
        <is>
          <t>A 5946-2025</t>
        </is>
      </c>
      <c r="B8035" t="inlineStr">
        <is>
          <t>avverkningsanmälan</t>
        </is>
      </c>
      <c r="C8035" t="inlineStr">
        <is>
          <t>Föryngringsavverkning</t>
        </is>
      </c>
      <c r="D8035" s="1" t="n">
        <v>45695</v>
      </c>
      <c r="E8035" s="1" t="n">
        <v>46326</v>
      </c>
      <c r="F8035" t="inlineStr">
        <is>
          <t>GÄVLEBORGS LÄN</t>
        </is>
      </c>
      <c r="G8035" t="inlineStr">
        <is>
          <t>HUDIKSVALL</t>
        </is>
      </c>
      <c r="I8035" t="n">
        <v>1.9</v>
      </c>
      <c r="J8035" t="n">
        <v>0</v>
      </c>
      <c r="K8035" t="n">
        <v>0</v>
      </c>
      <c r="L8035" t="n">
        <v>0</v>
      </c>
      <c r="M8035" t="n">
        <v>0</v>
      </c>
      <c r="N8035" t="n">
        <v>0</v>
      </c>
      <c r="O8035" t="n">
        <v>0</v>
      </c>
      <c r="P8035" t="n">
        <v>0</v>
      </c>
      <c r="Q8035" t="n">
        <v>0</v>
      </c>
      <c r="R8035" t="n">
        <v>0</v>
      </c>
      <c r="S8035" t="n">
        <v>0</v>
      </c>
      <c r="T8035" t="n">
        <v>0</v>
      </c>
      <c r="U8035" t="n">
        <v>0</v>
      </c>
      <c r="V8035" s="2" t="inlineStr"/>
    </row>
    <row r="8036" ht="15" customHeight="1">
      <c r="A8036" t="inlineStr">
        <is>
          <t>A 31415-2024</t>
        </is>
      </c>
      <c r="B8036" t="inlineStr">
        <is>
          <t>avverkningsanmälan</t>
        </is>
      </c>
      <c r="C8036" t="inlineStr">
        <is>
          <t>Föryngringsavverkning</t>
        </is>
      </c>
      <c r="D8036" s="1" t="n">
        <v>45505</v>
      </c>
      <c r="E8036" s="1" t="n">
        <v>46326</v>
      </c>
      <c r="F8036" t="inlineStr">
        <is>
          <t>GÄVLEBORGS LÄN</t>
        </is>
      </c>
      <c r="G8036" t="inlineStr">
        <is>
          <t>LJUSDAL</t>
        </is>
      </c>
      <c r="H8036" t="inlineStr">
        <is>
          <t>Sveaskog</t>
        </is>
      </c>
      <c r="I8036" t="n">
        <v>4.7</v>
      </c>
      <c r="J8036" t="n">
        <v>0</v>
      </c>
      <c r="K8036" t="n">
        <v>0</v>
      </c>
      <c r="L8036" t="n">
        <v>0</v>
      </c>
      <c r="M8036" t="n">
        <v>0</v>
      </c>
      <c r="N8036" t="n">
        <v>0</v>
      </c>
      <c r="O8036" t="n">
        <v>0</v>
      </c>
      <c r="P8036" t="n">
        <v>0</v>
      </c>
      <c r="Q8036" t="n">
        <v>0</v>
      </c>
      <c r="R8036" t="n">
        <v>0</v>
      </c>
      <c r="S8036" t="n">
        <v>0</v>
      </c>
      <c r="T8036" t="n">
        <v>0</v>
      </c>
      <c r="U8036" t="n">
        <v>0</v>
      </c>
      <c r="V8036" s="2" t="inlineStr"/>
    </row>
    <row r="8037" ht="15" customHeight="1">
      <c r="A8037" t="inlineStr">
        <is>
          <t>A 33198-2024</t>
        </is>
      </c>
      <c r="B8037" t="inlineStr">
        <is>
          <t>avverkningsanmälan</t>
        </is>
      </c>
      <c r="C8037" t="inlineStr">
        <is>
          <t>Föryngringsavverkning</t>
        </is>
      </c>
      <c r="D8037" s="1" t="n">
        <v>45518</v>
      </c>
      <c r="E8037" s="1" t="n">
        <v>46326</v>
      </c>
      <c r="F8037" t="inlineStr">
        <is>
          <t>GÄVLEBORGS LÄN</t>
        </is>
      </c>
      <c r="G8037" t="inlineStr">
        <is>
          <t>OVANÅKER</t>
        </is>
      </c>
      <c r="I8037" t="n">
        <v>0.5</v>
      </c>
      <c r="J8037" t="n">
        <v>0</v>
      </c>
      <c r="K8037" t="n">
        <v>0</v>
      </c>
      <c r="L8037" t="n">
        <v>0</v>
      </c>
      <c r="M8037" t="n">
        <v>0</v>
      </c>
      <c r="N8037" t="n">
        <v>0</v>
      </c>
      <c r="O8037" t="n">
        <v>0</v>
      </c>
      <c r="P8037" t="n">
        <v>0</v>
      </c>
      <c r="Q8037" t="n">
        <v>0</v>
      </c>
      <c r="R8037" t="n">
        <v>0</v>
      </c>
      <c r="S8037" t="n">
        <v>0</v>
      </c>
      <c r="T8037" t="n">
        <v>0</v>
      </c>
      <c r="U8037" t="n">
        <v>0</v>
      </c>
      <c r="V8037" s="2" t="inlineStr"/>
    </row>
    <row r="8038" ht="15" customHeight="1">
      <c r="A8038" t="inlineStr">
        <is>
          <t>A 22842-2026</t>
        </is>
      </c>
      <c r="B8038" t="inlineStr">
        <is>
          <t>avverkningsanmälan</t>
        </is>
      </c>
      <c r="C8038" t="inlineStr">
        <is>
          <t>Föryngringsavverkning</t>
        </is>
      </c>
      <c r="D8038" s="1" t="n">
        <v>46160</v>
      </c>
      <c r="E8038" s="1" t="n">
        <v>46326</v>
      </c>
      <c r="F8038" t="inlineStr">
        <is>
          <t>GÄVLEBORGS LÄN</t>
        </is>
      </c>
      <c r="G8038" t="inlineStr">
        <is>
          <t>LJUSDAL</t>
        </is>
      </c>
      <c r="I8038" t="n">
        <v>3.7</v>
      </c>
      <c r="J8038" t="n">
        <v>0</v>
      </c>
      <c r="K8038" t="n">
        <v>0</v>
      </c>
      <c r="L8038" t="n">
        <v>0</v>
      </c>
      <c r="M8038" t="n">
        <v>0</v>
      </c>
      <c r="N8038" t="n">
        <v>0</v>
      </c>
      <c r="O8038" t="n">
        <v>0</v>
      </c>
      <c r="P8038" t="n">
        <v>0</v>
      </c>
      <c r="Q8038" t="n">
        <v>0</v>
      </c>
      <c r="R8038" t="n">
        <v>0</v>
      </c>
      <c r="S8038" t="n">
        <v>0</v>
      </c>
      <c r="T8038" t="n">
        <v>0</v>
      </c>
      <c r="U8038" t="n">
        <v>0</v>
      </c>
      <c r="V8038" s="2" t="inlineStr"/>
    </row>
    <row r="8039" ht="15" customHeight="1">
      <c r="A8039" t="inlineStr">
        <is>
          <t>A 34944-2024</t>
        </is>
      </c>
      <c r="B8039" t="inlineStr">
        <is>
          <t>avverkningsanmälan</t>
        </is>
      </c>
      <c r="C8039" t="inlineStr">
        <is>
          <t>Föryngringsavverkning</t>
        </is>
      </c>
      <c r="D8039" s="1" t="n">
        <v>45527</v>
      </c>
      <c r="E8039" s="1" t="n">
        <v>46326</v>
      </c>
      <c r="F8039" t="inlineStr">
        <is>
          <t>GÄVLEBORGS LÄN</t>
        </is>
      </c>
      <c r="G8039" t="inlineStr">
        <is>
          <t>OCKELBO</t>
        </is>
      </c>
      <c r="H8039" t="inlineStr">
        <is>
          <t>Bergvik skog väst AB</t>
        </is>
      </c>
      <c r="I8039" t="n">
        <v>12.2</v>
      </c>
      <c r="J8039" t="n">
        <v>0</v>
      </c>
      <c r="K8039" t="n">
        <v>0</v>
      </c>
      <c r="L8039" t="n">
        <v>0</v>
      </c>
      <c r="M8039" t="n">
        <v>0</v>
      </c>
      <c r="N8039" t="n">
        <v>0</v>
      </c>
      <c r="O8039" t="n">
        <v>0</v>
      </c>
      <c r="P8039" t="n">
        <v>0</v>
      </c>
      <c r="Q8039" t="n">
        <v>0</v>
      </c>
      <c r="R8039" t="n">
        <v>0</v>
      </c>
      <c r="S8039" t="n">
        <v>0</v>
      </c>
      <c r="T8039" t="n">
        <v>0</v>
      </c>
      <c r="U8039" t="n">
        <v>0</v>
      </c>
      <c r="V8039" s="2" t="inlineStr"/>
    </row>
    <row r="8040" ht="15" customHeight="1">
      <c r="A8040" t="inlineStr">
        <is>
          <t>A 56366-2024</t>
        </is>
      </c>
      <c r="B8040" t="inlineStr">
        <is>
          <t>avverkningsanmälan</t>
        </is>
      </c>
      <c r="C8040" t="inlineStr">
        <is>
          <t>Föryngringsavverkning</t>
        </is>
      </c>
      <c r="D8040" s="1" t="n">
        <v>45625</v>
      </c>
      <c r="E8040" s="1" t="n">
        <v>46326</v>
      </c>
      <c r="F8040" t="inlineStr">
        <is>
          <t>GÄVLEBORGS LÄN</t>
        </is>
      </c>
      <c r="G8040" t="inlineStr">
        <is>
          <t>HUDIKSVALL</t>
        </is>
      </c>
      <c r="I8040" t="n">
        <v>5.7</v>
      </c>
      <c r="J8040" t="n">
        <v>0</v>
      </c>
      <c r="K8040" t="n">
        <v>0</v>
      </c>
      <c r="L8040" t="n">
        <v>0</v>
      </c>
      <c r="M8040" t="n">
        <v>0</v>
      </c>
      <c r="N8040" t="n">
        <v>0</v>
      </c>
      <c r="O8040" t="n">
        <v>0</v>
      </c>
      <c r="P8040" t="n">
        <v>0</v>
      </c>
      <c r="Q8040" t="n">
        <v>0</v>
      </c>
      <c r="R8040" t="n">
        <v>0</v>
      </c>
      <c r="S8040" t="n">
        <v>0</v>
      </c>
      <c r="T8040" t="n">
        <v>0</v>
      </c>
      <c r="U8040" t="n">
        <v>0</v>
      </c>
      <c r="V8040" s="2" t="inlineStr"/>
    </row>
    <row r="8041" ht="15" customHeight="1">
      <c r="A8041" t="inlineStr">
        <is>
          <t>A 23092-2026</t>
        </is>
      </c>
      <c r="B8041" t="inlineStr">
        <is>
          <t>avverkningsanmälan</t>
        </is>
      </c>
      <c r="C8041" t="inlineStr">
        <is>
          <t>Föryngringsavverkning</t>
        </is>
      </c>
      <c r="D8041" s="1" t="n">
        <v>46161</v>
      </c>
      <c r="E8041" s="1" t="n">
        <v>46326</v>
      </c>
      <c r="F8041" t="inlineStr">
        <is>
          <t>GÄVLEBORGS LÄN</t>
        </is>
      </c>
      <c r="G8041" t="inlineStr">
        <is>
          <t>BOLLNÄS</t>
        </is>
      </c>
      <c r="I8041" t="n">
        <v>2.8</v>
      </c>
      <c r="J8041" t="n">
        <v>0</v>
      </c>
      <c r="K8041" t="n">
        <v>0</v>
      </c>
      <c r="L8041" t="n">
        <v>0</v>
      </c>
      <c r="M8041" t="n">
        <v>0</v>
      </c>
      <c r="N8041" t="n">
        <v>0</v>
      </c>
      <c r="O8041" t="n">
        <v>0</v>
      </c>
      <c r="P8041" t="n">
        <v>0</v>
      </c>
      <c r="Q8041" t="n">
        <v>0</v>
      </c>
      <c r="R8041" t="n">
        <v>0</v>
      </c>
      <c r="S8041" t="n">
        <v>0</v>
      </c>
      <c r="T8041" t="n">
        <v>0</v>
      </c>
      <c r="U8041" t="n">
        <v>0</v>
      </c>
      <c r="V8041" s="2" t="inlineStr"/>
    </row>
    <row r="8042" ht="15" customHeight="1">
      <c r="A8042" t="inlineStr">
        <is>
          <t>A 23093-2026</t>
        </is>
      </c>
      <c r="B8042" t="inlineStr">
        <is>
          <t>avverkningsanmälan</t>
        </is>
      </c>
      <c r="C8042" t="inlineStr">
        <is>
          <t>Föryngringsavverkning</t>
        </is>
      </c>
      <c r="D8042" s="1" t="n">
        <v>46161</v>
      </c>
      <c r="E8042" s="1" t="n">
        <v>46326</v>
      </c>
      <c r="F8042" t="inlineStr">
        <is>
          <t>GÄVLEBORGS LÄN</t>
        </is>
      </c>
      <c r="G8042" t="inlineStr">
        <is>
          <t>BOLLNÄS</t>
        </is>
      </c>
      <c r="I8042" t="n">
        <v>1.7</v>
      </c>
      <c r="J8042" t="n">
        <v>0</v>
      </c>
      <c r="K8042" t="n">
        <v>0</v>
      </c>
      <c r="L8042" t="n">
        <v>0</v>
      </c>
      <c r="M8042" t="n">
        <v>0</v>
      </c>
      <c r="N8042" t="n">
        <v>0</v>
      </c>
      <c r="O8042" t="n">
        <v>0</v>
      </c>
      <c r="P8042" t="n">
        <v>0</v>
      </c>
      <c r="Q8042" t="n">
        <v>0</v>
      </c>
      <c r="R8042" t="n">
        <v>0</v>
      </c>
      <c r="S8042" t="n">
        <v>0</v>
      </c>
      <c r="T8042" t="n">
        <v>0</v>
      </c>
      <c r="U8042" t="n">
        <v>0</v>
      </c>
      <c r="V8042" s="2" t="inlineStr"/>
    </row>
    <row r="8043" ht="15" customHeight="1">
      <c r="A8043" t="inlineStr">
        <is>
          <t>A 23334-2026</t>
        </is>
      </c>
      <c r="B8043" t="inlineStr">
        <is>
          <t>avverkningsanmälan</t>
        </is>
      </c>
      <c r="C8043" t="inlineStr">
        <is>
          <t>Föryngringsavverkning</t>
        </is>
      </c>
      <c r="D8043" s="1" t="n">
        <v>46162</v>
      </c>
      <c r="E8043" s="1" t="n">
        <v>46326</v>
      </c>
      <c r="F8043" t="inlineStr">
        <is>
          <t>GÄVLEBORGS LÄN</t>
        </is>
      </c>
      <c r="G8043" t="inlineStr">
        <is>
          <t>HOFORS</t>
        </is>
      </c>
      <c r="H8043" t="inlineStr">
        <is>
          <t>Sveaskog</t>
        </is>
      </c>
      <c r="I8043" t="n">
        <v>0.5</v>
      </c>
      <c r="J8043" t="n">
        <v>0</v>
      </c>
      <c r="K8043" t="n">
        <v>0</v>
      </c>
      <c r="L8043" t="n">
        <v>0</v>
      </c>
      <c r="M8043" t="n">
        <v>0</v>
      </c>
      <c r="N8043" t="n">
        <v>0</v>
      </c>
      <c r="O8043" t="n">
        <v>0</v>
      </c>
      <c r="P8043" t="n">
        <v>0</v>
      </c>
      <c r="Q8043" t="n">
        <v>0</v>
      </c>
      <c r="R8043" t="n">
        <v>0</v>
      </c>
      <c r="S8043" t="n">
        <v>0</v>
      </c>
      <c r="T8043" t="n">
        <v>0</v>
      </c>
      <c r="U8043" t="n">
        <v>0</v>
      </c>
      <c r="V8043" s="2" t="inlineStr"/>
    </row>
    <row r="8044" ht="15" customHeight="1">
      <c r="A8044" t="inlineStr">
        <is>
          <t>A 23339-2026</t>
        </is>
      </c>
      <c r="B8044" t="inlineStr">
        <is>
          <t>avverkningsanmälan</t>
        </is>
      </c>
      <c r="C8044" t="inlineStr">
        <is>
          <t>Föryngringsavverkning</t>
        </is>
      </c>
      <c r="D8044" s="1" t="n">
        <v>46162</v>
      </c>
      <c r="E8044" s="1" t="n">
        <v>46326</v>
      </c>
      <c r="F8044" t="inlineStr">
        <is>
          <t>GÄVLEBORGS LÄN</t>
        </is>
      </c>
      <c r="G8044" t="inlineStr">
        <is>
          <t>HUDIKSVALL</t>
        </is>
      </c>
      <c r="H8044" t="inlineStr">
        <is>
          <t>Holmen skog AB</t>
        </is>
      </c>
      <c r="I8044" t="n">
        <v>2.2</v>
      </c>
      <c r="J8044" t="n">
        <v>0</v>
      </c>
      <c r="K8044" t="n">
        <v>0</v>
      </c>
      <c r="L8044" t="n">
        <v>0</v>
      </c>
      <c r="M8044" t="n">
        <v>0</v>
      </c>
      <c r="N8044" t="n">
        <v>0</v>
      </c>
      <c r="O8044" t="n">
        <v>0</v>
      </c>
      <c r="P8044" t="n">
        <v>0</v>
      </c>
      <c r="Q8044" t="n">
        <v>0</v>
      </c>
      <c r="R8044" t="n">
        <v>0</v>
      </c>
      <c r="S8044" t="n">
        <v>0</v>
      </c>
      <c r="T8044" t="n">
        <v>0</v>
      </c>
      <c r="U8044" t="n">
        <v>0</v>
      </c>
      <c r="V8044" s="2" t="inlineStr"/>
    </row>
    <row r="8045" ht="15" customHeight="1">
      <c r="A8045" t="inlineStr">
        <is>
          <t>A 46376-2024</t>
        </is>
      </c>
      <c r="B8045" t="inlineStr">
        <is>
          <t>avverkningsanmälan</t>
        </is>
      </c>
      <c r="C8045" t="inlineStr">
        <is>
          <t>Föryngringsavverkning</t>
        </is>
      </c>
      <c r="D8045" s="1" t="n">
        <v>45582</v>
      </c>
      <c r="E8045" s="1" t="n">
        <v>46326</v>
      </c>
      <c r="F8045" t="inlineStr">
        <is>
          <t>GÄVLEBORGS LÄN</t>
        </is>
      </c>
      <c r="G8045" t="inlineStr">
        <is>
          <t>NORDANSTIG</t>
        </is>
      </c>
      <c r="H8045" t="inlineStr">
        <is>
          <t>Holmen skog AB</t>
        </is>
      </c>
      <c r="I8045" t="n">
        <v>5.3</v>
      </c>
      <c r="J8045" t="n">
        <v>0</v>
      </c>
      <c r="K8045" t="n">
        <v>0</v>
      </c>
      <c r="L8045" t="n">
        <v>0</v>
      </c>
      <c r="M8045" t="n">
        <v>0</v>
      </c>
      <c r="N8045" t="n">
        <v>0</v>
      </c>
      <c r="O8045" t="n">
        <v>0</v>
      </c>
      <c r="P8045" t="n">
        <v>0</v>
      </c>
      <c r="Q8045" t="n">
        <v>0</v>
      </c>
      <c r="R8045" t="n">
        <v>0</v>
      </c>
      <c r="S8045" t="n">
        <v>0</v>
      </c>
      <c r="T8045" t="n">
        <v>0</v>
      </c>
      <c r="U8045" t="n">
        <v>0</v>
      </c>
      <c r="V8045" s="2" t="inlineStr"/>
    </row>
    <row r="8046" ht="15" customHeight="1">
      <c r="A8046" t="inlineStr">
        <is>
          <t>A 23463-2026</t>
        </is>
      </c>
      <c r="B8046" t="inlineStr">
        <is>
          <t>avverkningsanmälan</t>
        </is>
      </c>
      <c r="C8046" t="inlineStr">
        <is>
          <t>Föryngringsavverkning</t>
        </is>
      </c>
      <c r="D8046" s="1" t="n">
        <v>46163</v>
      </c>
      <c r="E8046" s="1" t="n">
        <v>46326</v>
      </c>
      <c r="F8046" t="inlineStr">
        <is>
          <t>GÄVLEBORGS LÄN</t>
        </is>
      </c>
      <c r="G8046" t="inlineStr">
        <is>
          <t>HUDIKSVALL</t>
        </is>
      </c>
      <c r="H8046" t="inlineStr">
        <is>
          <t>Kyrkan</t>
        </is>
      </c>
      <c r="I8046" t="n">
        <v>4.2</v>
      </c>
      <c r="J8046" t="n">
        <v>0</v>
      </c>
      <c r="K8046" t="n">
        <v>0</v>
      </c>
      <c r="L8046" t="n">
        <v>0</v>
      </c>
      <c r="M8046" t="n">
        <v>0</v>
      </c>
      <c r="N8046" t="n">
        <v>0</v>
      </c>
      <c r="O8046" t="n">
        <v>0</v>
      </c>
      <c r="P8046" t="n">
        <v>0</v>
      </c>
      <c r="Q8046" t="n">
        <v>0</v>
      </c>
      <c r="R8046" t="n">
        <v>0</v>
      </c>
      <c r="S8046" t="n">
        <v>0</v>
      </c>
      <c r="T8046" t="n">
        <v>0</v>
      </c>
      <c r="U8046" t="n">
        <v>0</v>
      </c>
      <c r="V8046" s="2" t="inlineStr"/>
    </row>
    <row r="8047" ht="15" customHeight="1">
      <c r="A8047" t="inlineStr">
        <is>
          <t>A 23465-2026</t>
        </is>
      </c>
      <c r="B8047" t="inlineStr">
        <is>
          <t>avverkningsanmälan</t>
        </is>
      </c>
      <c r="C8047" t="inlineStr">
        <is>
          <t>Föryngringsavverkning</t>
        </is>
      </c>
      <c r="D8047" s="1" t="n">
        <v>46163</v>
      </c>
      <c r="E8047" s="1" t="n">
        <v>46326</v>
      </c>
      <c r="F8047" t="inlineStr">
        <is>
          <t>GÄVLEBORGS LÄN</t>
        </is>
      </c>
      <c r="G8047" t="inlineStr">
        <is>
          <t>SANDVIKEN</t>
        </is>
      </c>
      <c r="H8047" t="inlineStr">
        <is>
          <t>Övriga statliga verk och myndigheter</t>
        </is>
      </c>
      <c r="I8047" t="n">
        <v>4.9</v>
      </c>
      <c r="J8047" t="n">
        <v>0</v>
      </c>
      <c r="K8047" t="n">
        <v>0</v>
      </c>
      <c r="L8047" t="n">
        <v>0</v>
      </c>
      <c r="M8047" t="n">
        <v>0</v>
      </c>
      <c r="N8047" t="n">
        <v>0</v>
      </c>
      <c r="O8047" t="n">
        <v>0</v>
      </c>
      <c r="P8047" t="n">
        <v>0</v>
      </c>
      <c r="Q8047" t="n">
        <v>0</v>
      </c>
      <c r="R8047" t="n">
        <v>0</v>
      </c>
      <c r="S8047" t="n">
        <v>0</v>
      </c>
      <c r="T8047" t="n">
        <v>0</v>
      </c>
      <c r="U8047" t="n">
        <v>0</v>
      </c>
      <c r="V8047" s="2" t="inlineStr"/>
    </row>
    <row r="8048" ht="15" customHeight="1">
      <c r="A8048" t="inlineStr">
        <is>
          <t>A 23502-2026</t>
        </is>
      </c>
      <c r="B8048" t="inlineStr">
        <is>
          <t>avverkningsanmälan</t>
        </is>
      </c>
      <c r="C8048" t="inlineStr">
        <is>
          <t>Föryngringsavverkning</t>
        </is>
      </c>
      <c r="D8048" s="1" t="n">
        <v>46163</v>
      </c>
      <c r="E8048" s="1" t="n">
        <v>46326</v>
      </c>
      <c r="F8048" t="inlineStr">
        <is>
          <t>GÄVLEBORGS LÄN</t>
        </is>
      </c>
      <c r="G8048" t="inlineStr">
        <is>
          <t>LJUSDAL</t>
        </is>
      </c>
      <c r="H8048" t="inlineStr">
        <is>
          <t>Holmen skog AB</t>
        </is>
      </c>
      <c r="I8048" t="n">
        <v>5.6</v>
      </c>
      <c r="J8048" t="n">
        <v>0</v>
      </c>
      <c r="K8048" t="n">
        <v>0</v>
      </c>
      <c r="L8048" t="n">
        <v>0</v>
      </c>
      <c r="M8048" t="n">
        <v>0</v>
      </c>
      <c r="N8048" t="n">
        <v>0</v>
      </c>
      <c r="O8048" t="n">
        <v>0</v>
      </c>
      <c r="P8048" t="n">
        <v>0</v>
      </c>
      <c r="Q8048" t="n">
        <v>0</v>
      </c>
      <c r="R8048" t="n">
        <v>0</v>
      </c>
      <c r="S8048" t="n">
        <v>0</v>
      </c>
      <c r="T8048" t="n">
        <v>0</v>
      </c>
      <c r="U8048" t="n">
        <v>0</v>
      </c>
      <c r="V8048" s="2" t="inlineStr"/>
    </row>
    <row r="8049" ht="15" customHeight="1">
      <c r="A8049" t="inlineStr">
        <is>
          <t>A 23506-2026</t>
        </is>
      </c>
      <c r="B8049" t="inlineStr">
        <is>
          <t>avverkningsanmälan</t>
        </is>
      </c>
      <c r="C8049" t="inlineStr">
        <is>
          <t>Föryngringsavverkning</t>
        </is>
      </c>
      <c r="D8049" s="1" t="n">
        <v>46163</v>
      </c>
      <c r="E8049" s="1" t="n">
        <v>46326</v>
      </c>
      <c r="F8049" t="inlineStr">
        <is>
          <t>GÄVLEBORGS LÄN</t>
        </is>
      </c>
      <c r="G8049" t="inlineStr">
        <is>
          <t>NORDANSTIG</t>
        </is>
      </c>
      <c r="I8049" t="n">
        <v>3.1</v>
      </c>
      <c r="J8049" t="n">
        <v>0</v>
      </c>
      <c r="K8049" t="n">
        <v>0</v>
      </c>
      <c r="L8049" t="n">
        <v>0</v>
      </c>
      <c r="M8049" t="n">
        <v>0</v>
      </c>
      <c r="N8049" t="n">
        <v>0</v>
      </c>
      <c r="O8049" t="n">
        <v>0</v>
      </c>
      <c r="P8049" t="n">
        <v>0</v>
      </c>
      <c r="Q8049" t="n">
        <v>0</v>
      </c>
      <c r="R8049" t="n">
        <v>0</v>
      </c>
      <c r="S8049" t="n">
        <v>0</v>
      </c>
      <c r="T8049" t="n">
        <v>0</v>
      </c>
      <c r="U8049" t="n">
        <v>0</v>
      </c>
      <c r="V8049" s="2" t="inlineStr"/>
    </row>
    <row r="8050" ht="15" customHeight="1">
      <c r="A8050" t="inlineStr">
        <is>
          <t>A 23544-2026</t>
        </is>
      </c>
      <c r="B8050" t="inlineStr">
        <is>
          <t>avverkningsanmälan</t>
        </is>
      </c>
      <c r="C8050" t="inlineStr">
        <is>
          <t>Föryngringsavverkning</t>
        </is>
      </c>
      <c r="D8050" s="1" t="n">
        <v>46163</v>
      </c>
      <c r="E8050" s="1" t="n">
        <v>46326</v>
      </c>
      <c r="F8050" t="inlineStr">
        <is>
          <t>GÄVLEBORGS LÄN</t>
        </is>
      </c>
      <c r="G8050" t="inlineStr">
        <is>
          <t>BOLLNÄS</t>
        </is>
      </c>
      <c r="H8050" t="inlineStr">
        <is>
          <t>Bergvik skog väst AB</t>
        </is>
      </c>
      <c r="I8050" t="n">
        <v>4</v>
      </c>
      <c r="J8050" t="n">
        <v>0</v>
      </c>
      <c r="K8050" t="n">
        <v>0</v>
      </c>
      <c r="L8050" t="n">
        <v>0</v>
      </c>
      <c r="M8050" t="n">
        <v>0</v>
      </c>
      <c r="N8050" t="n">
        <v>0</v>
      </c>
      <c r="O8050" t="n">
        <v>0</v>
      </c>
      <c r="P8050" t="n">
        <v>0</v>
      </c>
      <c r="Q8050" t="n">
        <v>0</v>
      </c>
      <c r="R8050" t="n">
        <v>0</v>
      </c>
      <c r="S8050" t="n">
        <v>0</v>
      </c>
      <c r="T8050" t="n">
        <v>0</v>
      </c>
      <c r="U8050" t="n">
        <v>0</v>
      </c>
      <c r="V8050" s="2" t="inlineStr"/>
    </row>
    <row r="8051" ht="15" customHeight="1">
      <c r="A8051" t="inlineStr">
        <is>
          <t>A 18829-2024</t>
        </is>
      </c>
      <c r="B8051" t="inlineStr">
        <is>
          <t>avverkningsanmälan</t>
        </is>
      </c>
      <c r="C8051" t="inlineStr">
        <is>
          <t>Föryngringsavverkning</t>
        </is>
      </c>
      <c r="D8051" s="1" t="n">
        <v>45426</v>
      </c>
      <c r="E8051" s="1" t="n">
        <v>46326</v>
      </c>
      <c r="F8051" t="inlineStr">
        <is>
          <t>GÄVLEBORGS LÄN</t>
        </is>
      </c>
      <c r="G8051" t="inlineStr">
        <is>
          <t>HUDIKSVALL</t>
        </is>
      </c>
      <c r="I8051" t="n">
        <v>0.7</v>
      </c>
      <c r="J8051" t="n">
        <v>0</v>
      </c>
      <c r="K8051" t="n">
        <v>0</v>
      </c>
      <c r="L8051" t="n">
        <v>0</v>
      </c>
      <c r="M8051" t="n">
        <v>0</v>
      </c>
      <c r="N8051" t="n">
        <v>0</v>
      </c>
      <c r="O8051" t="n">
        <v>0</v>
      </c>
      <c r="P8051" t="n">
        <v>0</v>
      </c>
      <c r="Q8051" t="n">
        <v>0</v>
      </c>
      <c r="R8051" t="n">
        <v>0</v>
      </c>
      <c r="S8051" t="n">
        <v>0</v>
      </c>
      <c r="T8051" t="n">
        <v>0</v>
      </c>
      <c r="U8051" t="n">
        <v>0</v>
      </c>
      <c r="V8051" s="2" t="inlineStr"/>
    </row>
    <row r="8052" ht="15" customHeight="1">
      <c r="A8052" t="inlineStr">
        <is>
          <t>A 30-2022</t>
        </is>
      </c>
      <c r="B8052" t="inlineStr">
        <is>
          <t>avverkningsanmälan</t>
        </is>
      </c>
      <c r="C8052" t="inlineStr">
        <is>
          <t>Föryngringsavverkning</t>
        </is>
      </c>
      <c r="D8052" s="1" t="n">
        <v>44564</v>
      </c>
      <c r="E8052" s="1" t="n">
        <v>46326</v>
      </c>
      <c r="F8052" t="inlineStr">
        <is>
          <t>GÄVLEBORGS LÄN</t>
        </is>
      </c>
      <c r="G8052" t="inlineStr">
        <is>
          <t>LJUSDAL</t>
        </is>
      </c>
      <c r="I8052" t="n">
        <v>0.5</v>
      </c>
      <c r="J8052" t="n">
        <v>0</v>
      </c>
      <c r="K8052" t="n">
        <v>0</v>
      </c>
      <c r="L8052" t="n">
        <v>0</v>
      </c>
      <c r="M8052" t="n">
        <v>0</v>
      </c>
      <c r="N8052" t="n">
        <v>0</v>
      </c>
      <c r="O8052" t="n">
        <v>0</v>
      </c>
      <c r="P8052" t="n">
        <v>0</v>
      </c>
      <c r="Q8052" t="n">
        <v>0</v>
      </c>
      <c r="R8052" t="n">
        <v>0</v>
      </c>
      <c r="S8052" t="n">
        <v>0</v>
      </c>
      <c r="T8052" t="n">
        <v>0</v>
      </c>
      <c r="U8052" t="n">
        <v>0</v>
      </c>
      <c r="V8052" s="2" t="inlineStr"/>
    </row>
    <row r="8053" ht="15" customHeight="1">
      <c r="A8053" t="inlineStr">
        <is>
          <t>A 23348-2026</t>
        </is>
      </c>
      <c r="B8053" t="inlineStr">
        <is>
          <t>avverkningsanmälan</t>
        </is>
      </c>
      <c r="C8053" t="inlineStr">
        <is>
          <t>Föryngringsavverkning</t>
        </is>
      </c>
      <c r="D8053" s="1" t="n">
        <v>46162</v>
      </c>
      <c r="E8053" s="1" t="n">
        <v>46326</v>
      </c>
      <c r="F8053" t="inlineStr">
        <is>
          <t>GÄVLEBORGS LÄN</t>
        </is>
      </c>
      <c r="G8053" t="inlineStr">
        <is>
          <t>OVANÅKER</t>
        </is>
      </c>
      <c r="H8053" t="inlineStr">
        <is>
          <t>Kyrkan</t>
        </is>
      </c>
      <c r="I8053" t="n">
        <v>2.6</v>
      </c>
      <c r="J8053" t="n">
        <v>0</v>
      </c>
      <c r="K8053" t="n">
        <v>0</v>
      </c>
      <c r="L8053" t="n">
        <v>0</v>
      </c>
      <c r="M8053" t="n">
        <v>0</v>
      </c>
      <c r="N8053" t="n">
        <v>0</v>
      </c>
      <c r="O8053" t="n">
        <v>0</v>
      </c>
      <c r="P8053" t="n">
        <v>0</v>
      </c>
      <c r="Q8053" t="n">
        <v>0</v>
      </c>
      <c r="R8053" t="n">
        <v>0</v>
      </c>
      <c r="S8053" t="n">
        <v>0</v>
      </c>
      <c r="T8053" t="n">
        <v>0</v>
      </c>
      <c r="U8053" t="n">
        <v>0</v>
      </c>
      <c r="V8053" s="2" t="inlineStr"/>
    </row>
    <row r="8054" ht="15" customHeight="1">
      <c r="A8054" t="inlineStr">
        <is>
          <t>A 23426-2026</t>
        </is>
      </c>
      <c r="B8054" t="inlineStr">
        <is>
          <t>avverkningsanmälan</t>
        </is>
      </c>
      <c r="C8054" t="inlineStr">
        <is>
          <t>Föryngringsavverkning</t>
        </is>
      </c>
      <c r="D8054" s="1" t="n">
        <v>46163</v>
      </c>
      <c r="E8054" s="1" t="n">
        <v>46326</v>
      </c>
      <c r="F8054" t="inlineStr">
        <is>
          <t>GÄVLEBORGS LÄN</t>
        </is>
      </c>
      <c r="G8054" t="inlineStr">
        <is>
          <t>OVANÅKER</t>
        </is>
      </c>
      <c r="H8054" t="inlineStr">
        <is>
          <t>Bergvik skog väst AB</t>
        </is>
      </c>
      <c r="I8054" t="n">
        <v>1.4</v>
      </c>
      <c r="J8054" t="n">
        <v>0</v>
      </c>
      <c r="K8054" t="n">
        <v>0</v>
      </c>
      <c r="L8054" t="n">
        <v>0</v>
      </c>
      <c r="M8054" t="n">
        <v>0</v>
      </c>
      <c r="N8054" t="n">
        <v>0</v>
      </c>
      <c r="O8054" t="n">
        <v>0</v>
      </c>
      <c r="P8054" t="n">
        <v>0</v>
      </c>
      <c r="Q8054" t="n">
        <v>0</v>
      </c>
      <c r="R8054" t="n">
        <v>0</v>
      </c>
      <c r="S8054" t="n">
        <v>0</v>
      </c>
      <c r="T8054" t="n">
        <v>0</v>
      </c>
      <c r="U8054" t="n">
        <v>0</v>
      </c>
      <c r="V8054" s="2" t="inlineStr"/>
    </row>
    <row r="8055" ht="15" customHeight="1">
      <c r="A8055" t="inlineStr">
        <is>
          <t>A 23224-2026</t>
        </is>
      </c>
      <c r="B8055" t="inlineStr">
        <is>
          <t>avverkningsanmälan</t>
        </is>
      </c>
      <c r="C8055" t="inlineStr">
        <is>
          <t>Föryngringsavverkning</t>
        </is>
      </c>
      <c r="D8055" s="1" t="n">
        <v>46162</v>
      </c>
      <c r="E8055" s="1" t="n">
        <v>46326</v>
      </c>
      <c r="F8055" t="inlineStr">
        <is>
          <t>GÄVLEBORGS LÄN</t>
        </is>
      </c>
      <c r="G8055" t="inlineStr">
        <is>
          <t>HUDIKSVALL</t>
        </is>
      </c>
      <c r="H8055" t="inlineStr">
        <is>
          <t>Kyrkan</t>
        </is>
      </c>
      <c r="I8055" t="n">
        <v>1.3</v>
      </c>
      <c r="J8055" t="n">
        <v>0</v>
      </c>
      <c r="K8055" t="n">
        <v>0</v>
      </c>
      <c r="L8055" t="n">
        <v>0</v>
      </c>
      <c r="M8055" t="n">
        <v>0</v>
      </c>
      <c r="N8055" t="n">
        <v>0</v>
      </c>
      <c r="O8055" t="n">
        <v>0</v>
      </c>
      <c r="P8055" t="n">
        <v>0</v>
      </c>
      <c r="Q8055" t="n">
        <v>0</v>
      </c>
      <c r="R8055" t="n">
        <v>0</v>
      </c>
      <c r="S8055" t="n">
        <v>0</v>
      </c>
      <c r="T8055" t="n">
        <v>0</v>
      </c>
      <c r="U8055" t="n">
        <v>0</v>
      </c>
      <c r="V8055" s="2" t="inlineStr"/>
    </row>
    <row r="8056" ht="15" customHeight="1">
      <c r="A8056" t="inlineStr">
        <is>
          <t>A 23469-2026</t>
        </is>
      </c>
      <c r="B8056" t="inlineStr">
        <is>
          <t>avverkningsanmälan</t>
        </is>
      </c>
      <c r="C8056" t="inlineStr">
        <is>
          <t>Föryngringsavverkning</t>
        </is>
      </c>
      <c r="D8056" s="1" t="n">
        <v>46163</v>
      </c>
      <c r="E8056" s="1" t="n">
        <v>46326</v>
      </c>
      <c r="F8056" t="inlineStr">
        <is>
          <t>GÄVLEBORGS LÄN</t>
        </is>
      </c>
      <c r="G8056" t="inlineStr">
        <is>
          <t>SÖDERHAMN</t>
        </is>
      </c>
      <c r="I8056" t="n">
        <v>0.8</v>
      </c>
      <c r="J8056" t="n">
        <v>0</v>
      </c>
      <c r="K8056" t="n">
        <v>0</v>
      </c>
      <c r="L8056" t="n">
        <v>0</v>
      </c>
      <c r="M8056" t="n">
        <v>0</v>
      </c>
      <c r="N8056" t="n">
        <v>0</v>
      </c>
      <c r="O8056" t="n">
        <v>0</v>
      </c>
      <c r="P8056" t="n">
        <v>0</v>
      </c>
      <c r="Q8056" t="n">
        <v>0</v>
      </c>
      <c r="R8056" t="n">
        <v>0</v>
      </c>
      <c r="S8056" t="n">
        <v>0</v>
      </c>
      <c r="T8056" t="n">
        <v>0</v>
      </c>
      <c r="U8056" t="n">
        <v>0</v>
      </c>
      <c r="V8056" s="2" t="inlineStr"/>
    </row>
    <row r="8057" ht="15" customHeight="1">
      <c r="A8057" t="inlineStr">
        <is>
          <t>A 23478-2026</t>
        </is>
      </c>
      <c r="B8057" t="inlineStr">
        <is>
          <t>avverkningsanmälan</t>
        </is>
      </c>
      <c r="C8057" t="inlineStr">
        <is>
          <t>Föryngringsavverkning</t>
        </is>
      </c>
      <c r="D8057" s="1" t="n">
        <v>46163</v>
      </c>
      <c r="E8057" s="1" t="n">
        <v>46326</v>
      </c>
      <c r="F8057" t="inlineStr">
        <is>
          <t>GÄVLEBORGS LÄN</t>
        </is>
      </c>
      <c r="G8057" t="inlineStr">
        <is>
          <t>BOLLNÄS</t>
        </is>
      </c>
      <c r="H8057" t="inlineStr">
        <is>
          <t>Bergvik skog väst AB</t>
        </is>
      </c>
      <c r="I8057" t="n">
        <v>0.6</v>
      </c>
      <c r="J8057" t="n">
        <v>0</v>
      </c>
      <c r="K8057" t="n">
        <v>0</v>
      </c>
      <c r="L8057" t="n">
        <v>0</v>
      </c>
      <c r="M8057" t="n">
        <v>0</v>
      </c>
      <c r="N8057" t="n">
        <v>0</v>
      </c>
      <c r="O8057" t="n">
        <v>0</v>
      </c>
      <c r="P8057" t="n">
        <v>0</v>
      </c>
      <c r="Q8057" t="n">
        <v>0</v>
      </c>
      <c r="R8057" t="n">
        <v>0</v>
      </c>
      <c r="S8057" t="n">
        <v>0</v>
      </c>
      <c r="T8057" t="n">
        <v>0</v>
      </c>
      <c r="U8057" t="n">
        <v>0</v>
      </c>
      <c r="V8057" s="2" t="inlineStr"/>
    </row>
    <row r="8058" ht="15" customHeight="1">
      <c r="A8058" t="inlineStr">
        <is>
          <t>A 23523-2026</t>
        </is>
      </c>
      <c r="B8058" t="inlineStr">
        <is>
          <t>avverkningsanmälan</t>
        </is>
      </c>
      <c r="C8058" t="inlineStr">
        <is>
          <t>Föryngringsavverkning</t>
        </is>
      </c>
      <c r="D8058" s="1" t="n">
        <v>46163</v>
      </c>
      <c r="E8058" s="1" t="n">
        <v>46326</v>
      </c>
      <c r="F8058" t="inlineStr">
        <is>
          <t>GÄVLEBORGS LÄN</t>
        </is>
      </c>
      <c r="G8058" t="inlineStr">
        <is>
          <t>BOLLNÄS</t>
        </is>
      </c>
      <c r="H8058" t="inlineStr">
        <is>
          <t>Bergvik skog väst AB</t>
        </is>
      </c>
      <c r="I8058" t="n">
        <v>0.8</v>
      </c>
      <c r="J8058" t="n">
        <v>0</v>
      </c>
      <c r="K8058" t="n">
        <v>0</v>
      </c>
      <c r="L8058" t="n">
        <v>0</v>
      </c>
      <c r="M8058" t="n">
        <v>0</v>
      </c>
      <c r="N8058" t="n">
        <v>0</v>
      </c>
      <c r="O8058" t="n">
        <v>0</v>
      </c>
      <c r="P8058" t="n">
        <v>0</v>
      </c>
      <c r="Q8058" t="n">
        <v>0</v>
      </c>
      <c r="R8058" t="n">
        <v>0</v>
      </c>
      <c r="S8058" t="n">
        <v>0</v>
      </c>
      <c r="T8058" t="n">
        <v>0</v>
      </c>
      <c r="U8058" t="n">
        <v>0</v>
      </c>
      <c r="V8058" s="2" t="inlineStr"/>
    </row>
    <row r="8059" ht="15" customHeight="1">
      <c r="A8059" t="inlineStr">
        <is>
          <t>A 23246-2026</t>
        </is>
      </c>
      <c r="B8059" t="inlineStr">
        <is>
          <t>avverkningsanmälan</t>
        </is>
      </c>
      <c r="C8059" t="inlineStr">
        <is>
          <t>Föryngringsavverkning</t>
        </is>
      </c>
      <c r="D8059" s="1" t="n">
        <v>46162</v>
      </c>
      <c r="E8059" s="1" t="n">
        <v>46326</v>
      </c>
      <c r="F8059" t="inlineStr">
        <is>
          <t>GÄVLEBORGS LÄN</t>
        </is>
      </c>
      <c r="G8059" t="inlineStr">
        <is>
          <t>HUDIKSVALL</t>
        </is>
      </c>
      <c r="I8059" t="n">
        <v>16.2</v>
      </c>
      <c r="J8059" t="n">
        <v>0</v>
      </c>
      <c r="K8059" t="n">
        <v>0</v>
      </c>
      <c r="L8059" t="n">
        <v>0</v>
      </c>
      <c r="M8059" t="n">
        <v>0</v>
      </c>
      <c r="N8059" t="n">
        <v>0</v>
      </c>
      <c r="O8059" t="n">
        <v>0</v>
      </c>
      <c r="P8059" t="n">
        <v>0</v>
      </c>
      <c r="Q8059" t="n">
        <v>0</v>
      </c>
      <c r="R8059" t="n">
        <v>0</v>
      </c>
      <c r="S8059" t="n">
        <v>0</v>
      </c>
      <c r="T8059" t="n">
        <v>0</v>
      </c>
      <c r="U8059" t="n">
        <v>0</v>
      </c>
      <c r="V8059" s="2" t="inlineStr"/>
    </row>
    <row r="8060" ht="15" customHeight="1">
      <c r="A8060" t="inlineStr">
        <is>
          <t>A 8031-2024</t>
        </is>
      </c>
      <c r="B8060" t="inlineStr">
        <is>
          <t>avverkningsanmälan</t>
        </is>
      </c>
      <c r="C8060" t="inlineStr">
        <is>
          <t>Föryngringsavverkning</t>
        </is>
      </c>
      <c r="D8060" s="1" t="n">
        <v>45350</v>
      </c>
      <c r="E8060" s="1" t="n">
        <v>46326</v>
      </c>
      <c r="F8060" t="inlineStr">
        <is>
          <t>GÄVLEBORGS LÄN</t>
        </is>
      </c>
      <c r="G8060" t="inlineStr">
        <is>
          <t>GÄVLE</t>
        </is>
      </c>
      <c r="I8060" t="n">
        <v>0.4</v>
      </c>
      <c r="J8060" t="n">
        <v>0</v>
      </c>
      <c r="K8060" t="n">
        <v>0</v>
      </c>
      <c r="L8060" t="n">
        <v>0</v>
      </c>
      <c r="M8060" t="n">
        <v>0</v>
      </c>
      <c r="N8060" t="n">
        <v>0</v>
      </c>
      <c r="O8060" t="n">
        <v>0</v>
      </c>
      <c r="P8060" t="n">
        <v>0</v>
      </c>
      <c r="Q8060" t="n">
        <v>0</v>
      </c>
      <c r="R8060" t="n">
        <v>0</v>
      </c>
      <c r="S8060" t="n">
        <v>0</v>
      </c>
      <c r="T8060" t="n">
        <v>0</v>
      </c>
      <c r="U8060" t="n">
        <v>0</v>
      </c>
      <c r="V8060" s="2" t="inlineStr"/>
    </row>
    <row r="8061" ht="15" customHeight="1">
      <c r="A8061" t="inlineStr">
        <is>
          <t>A 23329-2026</t>
        </is>
      </c>
      <c r="B8061" t="inlineStr">
        <is>
          <t>avverkningsanmälan</t>
        </is>
      </c>
      <c r="C8061" t="inlineStr">
        <is>
          <t>Föryngringsavverkning</t>
        </is>
      </c>
      <c r="D8061" s="1" t="n">
        <v>46162</v>
      </c>
      <c r="E8061" s="1" t="n">
        <v>46326</v>
      </c>
      <c r="F8061" t="inlineStr">
        <is>
          <t>GÄVLEBORGS LÄN</t>
        </is>
      </c>
      <c r="G8061" t="inlineStr">
        <is>
          <t>OVANÅKER</t>
        </is>
      </c>
      <c r="H8061" t="inlineStr">
        <is>
          <t>Bergvik skog öst AB</t>
        </is>
      </c>
      <c r="I8061" t="n">
        <v>2.2</v>
      </c>
      <c r="J8061" t="n">
        <v>0</v>
      </c>
      <c r="K8061" t="n">
        <v>0</v>
      </c>
      <c r="L8061" t="n">
        <v>0</v>
      </c>
      <c r="M8061" t="n">
        <v>0</v>
      </c>
      <c r="N8061" t="n">
        <v>0</v>
      </c>
      <c r="O8061" t="n">
        <v>0</v>
      </c>
      <c r="P8061" t="n">
        <v>0</v>
      </c>
      <c r="Q8061" t="n">
        <v>0</v>
      </c>
      <c r="R8061" t="n">
        <v>0</v>
      </c>
      <c r="S8061" t="n">
        <v>0</v>
      </c>
      <c r="T8061" t="n">
        <v>0</v>
      </c>
      <c r="U8061" t="n">
        <v>0</v>
      </c>
      <c r="V8061" s="2" t="inlineStr"/>
    </row>
    <row r="8062" ht="15" customHeight="1">
      <c r="A8062" t="inlineStr">
        <is>
          <t>A 51492-2023</t>
        </is>
      </c>
      <c r="B8062" t="inlineStr">
        <is>
          <t>avverkningsanmälan</t>
        </is>
      </c>
      <c r="C8062" t="inlineStr">
        <is>
          <t>Föryngringsavverkning</t>
        </is>
      </c>
      <c r="D8062" s="1" t="n">
        <v>45222</v>
      </c>
      <c r="E8062" s="1" t="n">
        <v>46326</v>
      </c>
      <c r="F8062" t="inlineStr">
        <is>
          <t>GÄVLEBORGS LÄN</t>
        </is>
      </c>
      <c r="G8062" t="inlineStr">
        <is>
          <t>SÖDERHAMN</t>
        </is>
      </c>
      <c r="I8062" t="n">
        <v>1.2</v>
      </c>
      <c r="J8062" t="n">
        <v>0</v>
      </c>
      <c r="K8062" t="n">
        <v>0</v>
      </c>
      <c r="L8062" t="n">
        <v>0</v>
      </c>
      <c r="M8062" t="n">
        <v>0</v>
      </c>
      <c r="N8062" t="n">
        <v>0</v>
      </c>
      <c r="O8062" t="n">
        <v>0</v>
      </c>
      <c r="P8062" t="n">
        <v>0</v>
      </c>
      <c r="Q8062" t="n">
        <v>0</v>
      </c>
      <c r="R8062" t="n">
        <v>0</v>
      </c>
      <c r="S8062" t="n">
        <v>0</v>
      </c>
      <c r="T8062" t="n">
        <v>0</v>
      </c>
      <c r="U8062" t="n">
        <v>0</v>
      </c>
      <c r="V8062" s="2" t="inlineStr"/>
    </row>
    <row r="8063" ht="15" customHeight="1">
      <c r="A8063" t="inlineStr">
        <is>
          <t>A 23429-2026</t>
        </is>
      </c>
      <c r="B8063" t="inlineStr">
        <is>
          <t>avverkningsanmälan</t>
        </is>
      </c>
      <c r="C8063" t="inlineStr">
        <is>
          <t>Föryngringsavverkning</t>
        </is>
      </c>
      <c r="D8063" s="1" t="n">
        <v>46163</v>
      </c>
      <c r="E8063" s="1" t="n">
        <v>46326</v>
      </c>
      <c r="F8063" t="inlineStr">
        <is>
          <t>GÄVLEBORGS LÄN</t>
        </is>
      </c>
      <c r="G8063" t="inlineStr">
        <is>
          <t>SANDVIKEN</t>
        </is>
      </c>
      <c r="I8063" t="n">
        <v>1.3</v>
      </c>
      <c r="J8063" t="n">
        <v>0</v>
      </c>
      <c r="K8063" t="n">
        <v>0</v>
      </c>
      <c r="L8063" t="n">
        <v>0</v>
      </c>
      <c r="M8063" t="n">
        <v>0</v>
      </c>
      <c r="N8063" t="n">
        <v>0</v>
      </c>
      <c r="O8063" t="n">
        <v>0</v>
      </c>
      <c r="P8063" t="n">
        <v>0</v>
      </c>
      <c r="Q8063" t="n">
        <v>0</v>
      </c>
      <c r="R8063" t="n">
        <v>0</v>
      </c>
      <c r="S8063" t="n">
        <v>0</v>
      </c>
      <c r="T8063" t="n">
        <v>0</v>
      </c>
      <c r="U8063" t="n">
        <v>0</v>
      </c>
      <c r="V8063" s="2" t="inlineStr"/>
    </row>
    <row r="8064" ht="15" customHeight="1">
      <c r="A8064" t="inlineStr">
        <is>
          <t>A 32293-2023</t>
        </is>
      </c>
      <c r="B8064" t="inlineStr">
        <is>
          <t>avverkningsanmälan</t>
        </is>
      </c>
      <c r="C8064" t="inlineStr">
        <is>
          <t>Föryngringsavverkning</t>
        </is>
      </c>
      <c r="D8064" s="1" t="n">
        <v>45107</v>
      </c>
      <c r="E8064" s="1" t="n">
        <v>46326</v>
      </c>
      <c r="F8064" t="inlineStr">
        <is>
          <t>GÄVLEBORGS LÄN</t>
        </is>
      </c>
      <c r="G8064" t="inlineStr">
        <is>
          <t>LJUSDAL</t>
        </is>
      </c>
      <c r="I8064" t="n">
        <v>1.4</v>
      </c>
      <c r="J8064" t="n">
        <v>0</v>
      </c>
      <c r="K8064" t="n">
        <v>0</v>
      </c>
      <c r="L8064" t="n">
        <v>0</v>
      </c>
      <c r="M8064" t="n">
        <v>0</v>
      </c>
      <c r="N8064" t="n">
        <v>0</v>
      </c>
      <c r="O8064" t="n">
        <v>0</v>
      </c>
      <c r="P8064" t="n">
        <v>0</v>
      </c>
      <c r="Q8064" t="n">
        <v>0</v>
      </c>
      <c r="R8064" t="n">
        <v>0</v>
      </c>
      <c r="S8064" t="n">
        <v>0</v>
      </c>
      <c r="T8064" t="n">
        <v>0</v>
      </c>
      <c r="U8064" t="n">
        <v>0</v>
      </c>
      <c r="V8064" s="2" t="inlineStr"/>
    </row>
    <row r="8065" ht="15" customHeight="1">
      <c r="A8065" t="inlineStr">
        <is>
          <t>A 32294-2023</t>
        </is>
      </c>
      <c r="B8065" t="inlineStr">
        <is>
          <t>avverkningsanmälan</t>
        </is>
      </c>
      <c r="C8065" t="inlineStr">
        <is>
          <t>Föryngringsavverkning</t>
        </is>
      </c>
      <c r="D8065" s="1" t="n">
        <v>45107</v>
      </c>
      <c r="E8065" s="1" t="n">
        <v>46326</v>
      </c>
      <c r="F8065" t="inlineStr">
        <is>
          <t>GÄVLEBORGS LÄN</t>
        </is>
      </c>
      <c r="G8065" t="inlineStr">
        <is>
          <t>LJUSDAL</t>
        </is>
      </c>
      <c r="I8065" t="n">
        <v>0.8</v>
      </c>
      <c r="J8065" t="n">
        <v>0</v>
      </c>
      <c r="K8065" t="n">
        <v>0</v>
      </c>
      <c r="L8065" t="n">
        <v>0</v>
      </c>
      <c r="M8065" t="n">
        <v>0</v>
      </c>
      <c r="N8065" t="n">
        <v>0</v>
      </c>
      <c r="O8065" t="n">
        <v>0</v>
      </c>
      <c r="P8065" t="n">
        <v>0</v>
      </c>
      <c r="Q8065" t="n">
        <v>0</v>
      </c>
      <c r="R8065" t="n">
        <v>0</v>
      </c>
      <c r="S8065" t="n">
        <v>0</v>
      </c>
      <c r="T8065" t="n">
        <v>0</v>
      </c>
      <c r="U8065" t="n">
        <v>0</v>
      </c>
      <c r="V8065" s="2" t="inlineStr"/>
    </row>
    <row r="8066" ht="15" customHeight="1">
      <c r="A8066" t="inlineStr">
        <is>
          <t>A 23591-2026</t>
        </is>
      </c>
      <c r="B8066" t="inlineStr">
        <is>
          <t>avverkningsanmälan</t>
        </is>
      </c>
      <c r="C8066" t="inlineStr">
        <is>
          <t>Avverkning för att bevara och utveckla /försöksver</t>
        </is>
      </c>
      <c r="D8066" s="1" t="n">
        <v>46163</v>
      </c>
      <c r="E8066" s="1" t="n">
        <v>46326</v>
      </c>
      <c r="F8066" t="inlineStr">
        <is>
          <t>GÄVLEBORGS LÄN</t>
        </is>
      </c>
      <c r="G8066" t="inlineStr">
        <is>
          <t>GÄVLE</t>
        </is>
      </c>
      <c r="H8066" t="inlineStr">
        <is>
          <t>Bergvik skog väst AB</t>
        </is>
      </c>
      <c r="I8066" t="n">
        <v>0.3</v>
      </c>
      <c r="J8066" t="n">
        <v>0</v>
      </c>
      <c r="K8066" t="n">
        <v>0</v>
      </c>
      <c r="L8066" t="n">
        <v>0</v>
      </c>
      <c r="M8066" t="n">
        <v>0</v>
      </c>
      <c r="N8066" t="n">
        <v>0</v>
      </c>
      <c r="O8066" t="n">
        <v>0</v>
      </c>
      <c r="P8066" t="n">
        <v>0</v>
      </c>
      <c r="Q8066" t="n">
        <v>0</v>
      </c>
      <c r="R8066" t="n">
        <v>0</v>
      </c>
      <c r="S8066" t="n">
        <v>0</v>
      </c>
      <c r="T8066" t="n">
        <v>0</v>
      </c>
      <c r="U8066" t="n">
        <v>0</v>
      </c>
      <c r="V8066" s="2" t="inlineStr"/>
    </row>
    <row r="8067" ht="15" customHeight="1">
      <c r="A8067" t="inlineStr">
        <is>
          <t>A 23431-2026</t>
        </is>
      </c>
      <c r="B8067" t="inlineStr">
        <is>
          <t>avverkningsanmälan</t>
        </is>
      </c>
      <c r="C8067" t="inlineStr">
        <is>
          <t>Föryngringsavverkning</t>
        </is>
      </c>
      <c r="D8067" s="1" t="n">
        <v>46163</v>
      </c>
      <c r="E8067" s="1" t="n">
        <v>46326</v>
      </c>
      <c r="F8067" t="inlineStr">
        <is>
          <t>GÄVLEBORGS LÄN</t>
        </is>
      </c>
      <c r="G8067" t="inlineStr">
        <is>
          <t>OVANÅKER</t>
        </is>
      </c>
      <c r="H8067" t="inlineStr">
        <is>
          <t>Bergvik skog väst AB</t>
        </is>
      </c>
      <c r="I8067" t="n">
        <v>0.7</v>
      </c>
      <c r="J8067" t="n">
        <v>0</v>
      </c>
      <c r="K8067" t="n">
        <v>0</v>
      </c>
      <c r="L8067" t="n">
        <v>0</v>
      </c>
      <c r="M8067" t="n">
        <v>0</v>
      </c>
      <c r="N8067" t="n">
        <v>0</v>
      </c>
      <c r="O8067" t="n">
        <v>0</v>
      </c>
      <c r="P8067" t="n">
        <v>0</v>
      </c>
      <c r="Q8067" t="n">
        <v>0</v>
      </c>
      <c r="R8067" t="n">
        <v>0</v>
      </c>
      <c r="S8067" t="n">
        <v>0</v>
      </c>
      <c r="T8067" t="n">
        <v>0</v>
      </c>
      <c r="U8067" t="n">
        <v>0</v>
      </c>
      <c r="V8067" s="2" t="inlineStr"/>
    </row>
    <row r="8068" ht="15" customHeight="1">
      <c r="A8068" t="inlineStr">
        <is>
          <t>A 32109-2024</t>
        </is>
      </c>
      <c r="B8068" t="inlineStr">
        <is>
          <t>avverkningsanmälan</t>
        </is>
      </c>
      <c r="C8068" t="inlineStr">
        <is>
          <t>Föryngringsavverkning</t>
        </is>
      </c>
      <c r="D8068" s="1" t="n">
        <v>45511</v>
      </c>
      <c r="E8068" s="1" t="n">
        <v>46326</v>
      </c>
      <c r="F8068" t="inlineStr">
        <is>
          <t>GÄVLEBORGS LÄN</t>
        </is>
      </c>
      <c r="G8068" t="inlineStr">
        <is>
          <t>HUDIKSVALL</t>
        </is>
      </c>
      <c r="I8068" t="n">
        <v>2.7</v>
      </c>
      <c r="J8068" t="n">
        <v>0</v>
      </c>
      <c r="K8068" t="n">
        <v>0</v>
      </c>
      <c r="L8068" t="n">
        <v>0</v>
      </c>
      <c r="M8068" t="n">
        <v>0</v>
      </c>
      <c r="N8068" t="n">
        <v>0</v>
      </c>
      <c r="O8068" t="n">
        <v>0</v>
      </c>
      <c r="P8068" t="n">
        <v>0</v>
      </c>
      <c r="Q8068" t="n">
        <v>0</v>
      </c>
      <c r="R8068" t="n">
        <v>0</v>
      </c>
      <c r="S8068" t="n">
        <v>0</v>
      </c>
      <c r="T8068" t="n">
        <v>0</v>
      </c>
      <c r="U8068" t="n">
        <v>0</v>
      </c>
      <c r="V8068" s="2" t="inlineStr"/>
    </row>
    <row r="8069" ht="15" customHeight="1">
      <c r="A8069" t="inlineStr">
        <is>
          <t>A 23553-2026</t>
        </is>
      </c>
      <c r="B8069" t="inlineStr">
        <is>
          <t>avverkningsanmälan</t>
        </is>
      </c>
      <c r="C8069" t="inlineStr">
        <is>
          <t>Föryngringsavverkning</t>
        </is>
      </c>
      <c r="D8069" s="1" t="n">
        <v>46163</v>
      </c>
      <c r="E8069" s="1" t="n">
        <v>46326</v>
      </c>
      <c r="F8069" t="inlineStr">
        <is>
          <t>GÄVLEBORGS LÄN</t>
        </is>
      </c>
      <c r="G8069" t="inlineStr">
        <is>
          <t>OVANÅKER</t>
        </is>
      </c>
      <c r="H8069" t="inlineStr">
        <is>
          <t>Kyrkan</t>
        </is>
      </c>
      <c r="I8069" t="n">
        <v>3.5</v>
      </c>
      <c r="J8069" t="n">
        <v>0</v>
      </c>
      <c r="K8069" t="n">
        <v>0</v>
      </c>
      <c r="L8069" t="n">
        <v>0</v>
      </c>
      <c r="M8069" t="n">
        <v>0</v>
      </c>
      <c r="N8069" t="n">
        <v>0</v>
      </c>
      <c r="O8069" t="n">
        <v>0</v>
      </c>
      <c r="P8069" t="n">
        <v>0</v>
      </c>
      <c r="Q8069" t="n">
        <v>0</v>
      </c>
      <c r="R8069" t="n">
        <v>0</v>
      </c>
      <c r="S8069" t="n">
        <v>0</v>
      </c>
      <c r="T8069" t="n">
        <v>0</v>
      </c>
      <c r="U8069" t="n">
        <v>0</v>
      </c>
      <c r="V8069" s="2" t="inlineStr"/>
    </row>
    <row r="8070" ht="15" customHeight="1">
      <c r="A8070" t="inlineStr">
        <is>
          <t>A 26440-2024</t>
        </is>
      </c>
      <c r="B8070" t="inlineStr">
        <is>
          <t>avverkningsanmälan</t>
        </is>
      </c>
      <c r="C8070" t="inlineStr">
        <is>
          <t>Föryngringsavverkning</t>
        </is>
      </c>
      <c r="D8070" s="1" t="n">
        <v>45469</v>
      </c>
      <c r="E8070" s="1" t="n">
        <v>46326</v>
      </c>
      <c r="F8070" t="inlineStr">
        <is>
          <t>GÄVLEBORGS LÄN</t>
        </is>
      </c>
      <c r="G8070" t="inlineStr">
        <is>
          <t>BOLLNÄS</t>
        </is>
      </c>
      <c r="H8070" t="inlineStr">
        <is>
          <t>Bergvik skog väst AB</t>
        </is>
      </c>
      <c r="I8070" t="n">
        <v>2</v>
      </c>
      <c r="J8070" t="n">
        <v>0</v>
      </c>
      <c r="K8070" t="n">
        <v>0</v>
      </c>
      <c r="L8070" t="n">
        <v>0</v>
      </c>
      <c r="M8070" t="n">
        <v>0</v>
      </c>
      <c r="N8070" t="n">
        <v>0</v>
      </c>
      <c r="O8070" t="n">
        <v>0</v>
      </c>
      <c r="P8070" t="n">
        <v>0</v>
      </c>
      <c r="Q8070" t="n">
        <v>0</v>
      </c>
      <c r="R8070" t="n">
        <v>0</v>
      </c>
      <c r="S8070" t="n">
        <v>0</v>
      </c>
      <c r="T8070" t="n">
        <v>0</v>
      </c>
      <c r="U8070" t="n">
        <v>0</v>
      </c>
      <c r="V8070" s="2" t="inlineStr"/>
    </row>
    <row r="8071" ht="15" customHeight="1">
      <c r="A8071" t="inlineStr">
        <is>
          <t>A 23241-2026</t>
        </is>
      </c>
      <c r="B8071" t="inlineStr">
        <is>
          <t>avverkningsanmälan</t>
        </is>
      </c>
      <c r="C8071" t="inlineStr">
        <is>
          <t>Föryngringsavverkning</t>
        </is>
      </c>
      <c r="D8071" s="1" t="n">
        <v>46162</v>
      </c>
      <c r="E8071" s="1" t="n">
        <v>46326</v>
      </c>
      <c r="F8071" t="inlineStr">
        <is>
          <t>GÄVLEBORGS LÄN</t>
        </is>
      </c>
      <c r="G8071" t="inlineStr">
        <is>
          <t>LJUSDAL</t>
        </is>
      </c>
      <c r="H8071" t="inlineStr">
        <is>
          <t>SCA</t>
        </is>
      </c>
      <c r="I8071" t="n">
        <v>1.6</v>
      </c>
      <c r="J8071" t="n">
        <v>0</v>
      </c>
      <c r="K8071" t="n">
        <v>0</v>
      </c>
      <c r="L8071" t="n">
        <v>0</v>
      </c>
      <c r="M8071" t="n">
        <v>0</v>
      </c>
      <c r="N8071" t="n">
        <v>0</v>
      </c>
      <c r="O8071" t="n">
        <v>0</v>
      </c>
      <c r="P8071" t="n">
        <v>0</v>
      </c>
      <c r="Q8071" t="n">
        <v>0</v>
      </c>
      <c r="R8071" t="n">
        <v>0</v>
      </c>
      <c r="S8071" t="n">
        <v>0</v>
      </c>
      <c r="T8071" t="n">
        <v>0</v>
      </c>
      <c r="U8071" t="n">
        <v>0</v>
      </c>
      <c r="V8071" s="2" t="inlineStr"/>
    </row>
    <row r="8072" ht="15" customHeight="1">
      <c r="A8072" t="inlineStr">
        <is>
          <t>A 23242-2026</t>
        </is>
      </c>
      <c r="B8072" t="inlineStr">
        <is>
          <t>avverkningsanmälan</t>
        </is>
      </c>
      <c r="C8072" t="inlineStr">
        <is>
          <t>Föryngringsavverkning</t>
        </is>
      </c>
      <c r="D8072" s="1" t="n">
        <v>46162</v>
      </c>
      <c r="E8072" s="1" t="n">
        <v>46326</v>
      </c>
      <c r="F8072" t="inlineStr">
        <is>
          <t>GÄVLEBORGS LÄN</t>
        </is>
      </c>
      <c r="G8072" t="inlineStr">
        <is>
          <t>LJUSDAL</t>
        </is>
      </c>
      <c r="H8072" t="inlineStr">
        <is>
          <t>SCA</t>
        </is>
      </c>
      <c r="I8072" t="n">
        <v>4.8</v>
      </c>
      <c r="J8072" t="n">
        <v>0</v>
      </c>
      <c r="K8072" t="n">
        <v>0</v>
      </c>
      <c r="L8072" t="n">
        <v>0</v>
      </c>
      <c r="M8072" t="n">
        <v>0</v>
      </c>
      <c r="N8072" t="n">
        <v>0</v>
      </c>
      <c r="O8072" t="n">
        <v>0</v>
      </c>
      <c r="P8072" t="n">
        <v>0</v>
      </c>
      <c r="Q8072" t="n">
        <v>0</v>
      </c>
      <c r="R8072" t="n">
        <v>0</v>
      </c>
      <c r="S8072" t="n">
        <v>0</v>
      </c>
      <c r="T8072" t="n">
        <v>0</v>
      </c>
      <c r="U8072" t="n">
        <v>0</v>
      </c>
      <c r="V8072" s="2" t="inlineStr"/>
    </row>
    <row r="8073" ht="15" customHeight="1">
      <c r="A8073" t="inlineStr">
        <is>
          <t>A 28063-2023</t>
        </is>
      </c>
      <c r="B8073" t="inlineStr">
        <is>
          <t>avverkningsanmälan</t>
        </is>
      </c>
      <c r="C8073" t="inlineStr">
        <is>
          <t>Föryngringsavverkning</t>
        </is>
      </c>
      <c r="D8073" s="1" t="n">
        <v>45099</v>
      </c>
      <c r="E8073" s="1" t="n">
        <v>46326</v>
      </c>
      <c r="F8073" t="inlineStr">
        <is>
          <t>GÄVLEBORGS LÄN</t>
        </is>
      </c>
      <c r="G8073" t="inlineStr">
        <is>
          <t>SANDVIKEN</t>
        </is>
      </c>
      <c r="I8073" t="n">
        <v>8.1</v>
      </c>
      <c r="J8073" t="n">
        <v>0</v>
      </c>
      <c r="K8073" t="n">
        <v>0</v>
      </c>
      <c r="L8073" t="n">
        <v>0</v>
      </c>
      <c r="M8073" t="n">
        <v>0</v>
      </c>
      <c r="N8073" t="n">
        <v>0</v>
      </c>
      <c r="O8073" t="n">
        <v>0</v>
      </c>
      <c r="P8073" t="n">
        <v>0</v>
      </c>
      <c r="Q8073" t="n">
        <v>0</v>
      </c>
      <c r="R8073" t="n">
        <v>0</v>
      </c>
      <c r="S8073" t="n">
        <v>0</v>
      </c>
      <c r="T8073" t="n">
        <v>0</v>
      </c>
      <c r="U8073" t="n">
        <v>0</v>
      </c>
      <c r="V8073" s="2" t="inlineStr"/>
    </row>
    <row r="8074" ht="15" customHeight="1">
      <c r="A8074" t="inlineStr">
        <is>
          <t>A 48580-2024</t>
        </is>
      </c>
      <c r="B8074" t="inlineStr">
        <is>
          <t>avverkningsanmälan</t>
        </is>
      </c>
      <c r="C8074" t="inlineStr">
        <is>
          <t>Föryngringsavverkning</t>
        </is>
      </c>
      <c r="D8074" s="1" t="n">
        <v>45593</v>
      </c>
      <c r="E8074" s="1" t="n">
        <v>46326</v>
      </c>
      <c r="F8074" t="inlineStr">
        <is>
          <t>GÄVLEBORGS LÄN</t>
        </is>
      </c>
      <c r="G8074" t="inlineStr">
        <is>
          <t>LJUSDAL</t>
        </is>
      </c>
      <c r="I8074" t="n">
        <v>1.7</v>
      </c>
      <c r="J8074" t="n">
        <v>0</v>
      </c>
      <c r="K8074" t="n">
        <v>0</v>
      </c>
      <c r="L8074" t="n">
        <v>0</v>
      </c>
      <c r="M8074" t="n">
        <v>0</v>
      </c>
      <c r="N8074" t="n">
        <v>0</v>
      </c>
      <c r="O8074" t="n">
        <v>0</v>
      </c>
      <c r="P8074" t="n">
        <v>0</v>
      </c>
      <c r="Q8074" t="n">
        <v>0</v>
      </c>
      <c r="R8074" t="n">
        <v>0</v>
      </c>
      <c r="S8074" t="n">
        <v>0</v>
      </c>
      <c r="T8074" t="n">
        <v>0</v>
      </c>
      <c r="U8074" t="n">
        <v>0</v>
      </c>
      <c r="V8074" s="2" t="inlineStr"/>
    </row>
    <row r="8075" ht="15" customHeight="1">
      <c r="A8075" t="inlineStr">
        <is>
          <t>A 48597-2024</t>
        </is>
      </c>
      <c r="B8075" t="inlineStr">
        <is>
          <t>avverkningsanmälan</t>
        </is>
      </c>
      <c r="C8075" t="inlineStr">
        <is>
          <t>Föryngringsavverkning</t>
        </is>
      </c>
      <c r="D8075" s="1" t="n">
        <v>45593</v>
      </c>
      <c r="E8075" s="1" t="n">
        <v>46326</v>
      </c>
      <c r="F8075" t="inlineStr">
        <is>
          <t>GÄVLEBORGS LÄN</t>
        </is>
      </c>
      <c r="G8075" t="inlineStr">
        <is>
          <t>HUDIKSVALL</t>
        </is>
      </c>
      <c r="I8075" t="n">
        <v>0.5</v>
      </c>
      <c r="J8075" t="n">
        <v>0</v>
      </c>
      <c r="K8075" t="n">
        <v>0</v>
      </c>
      <c r="L8075" t="n">
        <v>0</v>
      </c>
      <c r="M8075" t="n">
        <v>0</v>
      </c>
      <c r="N8075" t="n">
        <v>0</v>
      </c>
      <c r="O8075" t="n">
        <v>0</v>
      </c>
      <c r="P8075" t="n">
        <v>0</v>
      </c>
      <c r="Q8075" t="n">
        <v>0</v>
      </c>
      <c r="R8075" t="n">
        <v>0</v>
      </c>
      <c r="S8075" t="n">
        <v>0</v>
      </c>
      <c r="T8075" t="n">
        <v>0</v>
      </c>
      <c r="U8075" t="n">
        <v>0</v>
      </c>
      <c r="V8075" s="2" t="inlineStr"/>
    </row>
    <row r="8076" ht="15" customHeight="1">
      <c r="A8076" t="inlineStr">
        <is>
          <t>A 22547-2022</t>
        </is>
      </c>
      <c r="B8076" t="inlineStr">
        <is>
          <t>avverkningsanmälan</t>
        </is>
      </c>
      <c r="C8076" t="inlineStr">
        <is>
          <t>Föryngringsavverkning</t>
        </is>
      </c>
      <c r="D8076" s="1" t="n">
        <v>44713</v>
      </c>
      <c r="E8076" s="1" t="n">
        <v>46326</v>
      </c>
      <c r="F8076" t="inlineStr">
        <is>
          <t>GÄVLEBORGS LÄN</t>
        </is>
      </c>
      <c r="G8076" t="inlineStr">
        <is>
          <t>NORDANSTIG</t>
        </is>
      </c>
      <c r="I8076" t="n">
        <v>1.7</v>
      </c>
      <c r="J8076" t="n">
        <v>0</v>
      </c>
      <c r="K8076" t="n">
        <v>0</v>
      </c>
      <c r="L8076" t="n">
        <v>0</v>
      </c>
      <c r="M8076" t="n">
        <v>0</v>
      </c>
      <c r="N8076" t="n">
        <v>0</v>
      </c>
      <c r="O8076" t="n">
        <v>0</v>
      </c>
      <c r="P8076" t="n">
        <v>0</v>
      </c>
      <c r="Q8076" t="n">
        <v>0</v>
      </c>
      <c r="R8076" t="n">
        <v>0</v>
      </c>
      <c r="S8076" t="n">
        <v>0</v>
      </c>
      <c r="T8076" t="n">
        <v>0</v>
      </c>
      <c r="U8076" t="n">
        <v>0</v>
      </c>
      <c r="V8076" s="2" t="inlineStr"/>
    </row>
    <row r="8077" ht="15" customHeight="1">
      <c r="A8077" t="inlineStr">
        <is>
          <t>A 18102-2025</t>
        </is>
      </c>
      <c r="B8077" t="inlineStr">
        <is>
          <t>avverkningsanmälan</t>
        </is>
      </c>
      <c r="C8077" t="inlineStr">
        <is>
          <t>Föryngringsavverkning</t>
        </is>
      </c>
      <c r="D8077" s="1" t="n">
        <v>45761</v>
      </c>
      <c r="E8077" s="1" t="n">
        <v>46326</v>
      </c>
      <c r="F8077" t="inlineStr">
        <is>
          <t>GÄVLEBORGS LÄN</t>
        </is>
      </c>
      <c r="G8077" t="inlineStr">
        <is>
          <t>LJUSDAL</t>
        </is>
      </c>
      <c r="I8077" t="n">
        <v>8.1</v>
      </c>
      <c r="J8077" t="n">
        <v>0</v>
      </c>
      <c r="K8077" t="n">
        <v>0</v>
      </c>
      <c r="L8077" t="n">
        <v>0</v>
      </c>
      <c r="M8077" t="n">
        <v>0</v>
      </c>
      <c r="N8077" t="n">
        <v>0</v>
      </c>
      <c r="O8077" t="n">
        <v>0</v>
      </c>
      <c r="P8077" t="n">
        <v>0</v>
      </c>
      <c r="Q8077" t="n">
        <v>0</v>
      </c>
      <c r="R8077" t="n">
        <v>0</v>
      </c>
      <c r="S8077" t="n">
        <v>0</v>
      </c>
      <c r="T8077" t="n">
        <v>0</v>
      </c>
      <c r="U8077" t="n">
        <v>0</v>
      </c>
      <c r="V8077" s="2" t="inlineStr"/>
    </row>
    <row r="8078" ht="15" customHeight="1">
      <c r="A8078" t="inlineStr">
        <is>
          <t>A 23619-2022</t>
        </is>
      </c>
      <c r="B8078" t="inlineStr">
        <is>
          <t>avverkningsanmälan</t>
        </is>
      </c>
      <c r="C8078" t="inlineStr">
        <is>
          <t>Föryngringsavverkning</t>
        </is>
      </c>
      <c r="D8078" s="1" t="n">
        <v>44721</v>
      </c>
      <c r="E8078" s="1" t="n">
        <v>46326</v>
      </c>
      <c r="F8078" t="inlineStr">
        <is>
          <t>GÄVLEBORGS LÄN</t>
        </is>
      </c>
      <c r="G8078" t="inlineStr">
        <is>
          <t>LJUSDAL</t>
        </is>
      </c>
      <c r="I8078" t="n">
        <v>1.2</v>
      </c>
      <c r="J8078" t="n">
        <v>0</v>
      </c>
      <c r="K8078" t="n">
        <v>0</v>
      </c>
      <c r="L8078" t="n">
        <v>0</v>
      </c>
      <c r="M8078" t="n">
        <v>0</v>
      </c>
      <c r="N8078" t="n">
        <v>0</v>
      </c>
      <c r="O8078" t="n">
        <v>0</v>
      </c>
      <c r="P8078" t="n">
        <v>0</v>
      </c>
      <c r="Q8078" t="n">
        <v>0</v>
      </c>
      <c r="R8078" t="n">
        <v>0</v>
      </c>
      <c r="S8078" t="n">
        <v>0</v>
      </c>
      <c r="T8078" t="n">
        <v>0</v>
      </c>
      <c r="U8078" t="n">
        <v>0</v>
      </c>
      <c r="V8078" s="2" t="inlineStr"/>
    </row>
    <row r="8079" ht="15" customHeight="1">
      <c r="A8079" t="inlineStr">
        <is>
          <t>A 23493-2026</t>
        </is>
      </c>
      <c r="B8079" t="inlineStr">
        <is>
          <t>avverkningsanmälan</t>
        </is>
      </c>
      <c r="C8079" t="inlineStr">
        <is>
          <t>Föryngringsavverkning</t>
        </is>
      </c>
      <c r="D8079" s="1" t="n">
        <v>46163</v>
      </c>
      <c r="E8079" s="1" t="n">
        <v>46326</v>
      </c>
      <c r="F8079" t="inlineStr">
        <is>
          <t>GÄVLEBORGS LÄN</t>
        </is>
      </c>
      <c r="G8079" t="inlineStr">
        <is>
          <t>SANDVIKEN</t>
        </is>
      </c>
      <c r="H8079" t="inlineStr">
        <is>
          <t>Övriga statliga verk och myndigheter</t>
        </is>
      </c>
      <c r="I8079" t="n">
        <v>1.4</v>
      </c>
      <c r="J8079" t="n">
        <v>0</v>
      </c>
      <c r="K8079" t="n">
        <v>0</v>
      </c>
      <c r="L8079" t="n">
        <v>0</v>
      </c>
      <c r="M8079" t="n">
        <v>0</v>
      </c>
      <c r="N8079" t="n">
        <v>0</v>
      </c>
      <c r="O8079" t="n">
        <v>0</v>
      </c>
      <c r="P8079" t="n">
        <v>0</v>
      </c>
      <c r="Q8079" t="n">
        <v>0</v>
      </c>
      <c r="R8079" t="n">
        <v>0</v>
      </c>
      <c r="S8079" t="n">
        <v>0</v>
      </c>
      <c r="T8079" t="n">
        <v>0</v>
      </c>
      <c r="U8079" t="n">
        <v>0</v>
      </c>
      <c r="V8079" s="2" t="inlineStr"/>
    </row>
    <row r="8080" ht="15" customHeight="1">
      <c r="A8080" t="inlineStr">
        <is>
          <t>A 23513-2026</t>
        </is>
      </c>
      <c r="B8080" t="inlineStr">
        <is>
          <t>avverkningsanmälan</t>
        </is>
      </c>
      <c r="C8080" t="inlineStr">
        <is>
          <t>Föryngringsavverkning</t>
        </is>
      </c>
      <c r="D8080" s="1" t="n">
        <v>46163</v>
      </c>
      <c r="E8080" s="1" t="n">
        <v>46326</v>
      </c>
      <c r="F8080" t="inlineStr">
        <is>
          <t>GÄVLEBORGS LÄN</t>
        </is>
      </c>
      <c r="G8080" t="inlineStr">
        <is>
          <t>OCKELBO</t>
        </is>
      </c>
      <c r="H8080" t="inlineStr">
        <is>
          <t>Bergvik skog väst AB</t>
        </is>
      </c>
      <c r="I8080" t="n">
        <v>14.7</v>
      </c>
      <c r="J8080" t="n">
        <v>0</v>
      </c>
      <c r="K8080" t="n">
        <v>0</v>
      </c>
      <c r="L8080" t="n">
        <v>0</v>
      </c>
      <c r="M8080" t="n">
        <v>0</v>
      </c>
      <c r="N8080" t="n">
        <v>0</v>
      </c>
      <c r="O8080" t="n">
        <v>0</v>
      </c>
      <c r="P8080" t="n">
        <v>0</v>
      </c>
      <c r="Q8080" t="n">
        <v>0</v>
      </c>
      <c r="R8080" t="n">
        <v>0</v>
      </c>
      <c r="S8080" t="n">
        <v>0</v>
      </c>
      <c r="T8080" t="n">
        <v>0</v>
      </c>
      <c r="U8080" t="n">
        <v>0</v>
      </c>
      <c r="V8080" s="2" t="inlineStr"/>
    </row>
    <row r="8081" ht="15" customHeight="1">
      <c r="A8081" t="inlineStr">
        <is>
          <t>A 23289-2026</t>
        </is>
      </c>
      <c r="B8081" t="inlineStr">
        <is>
          <t>avverkningsanmälan</t>
        </is>
      </c>
      <c r="C8081" t="inlineStr">
        <is>
          <t>Föryngringsavverkning</t>
        </is>
      </c>
      <c r="D8081" s="1" t="n">
        <v>46162</v>
      </c>
      <c r="E8081" s="1" t="n">
        <v>46326</v>
      </c>
      <c r="F8081" t="inlineStr">
        <is>
          <t>GÄVLEBORGS LÄN</t>
        </is>
      </c>
      <c r="G8081" t="inlineStr">
        <is>
          <t>BOLLNÄS</t>
        </is>
      </c>
      <c r="I8081" t="n">
        <v>9.9</v>
      </c>
      <c r="J8081" t="n">
        <v>0</v>
      </c>
      <c r="K8081" t="n">
        <v>0</v>
      </c>
      <c r="L8081" t="n">
        <v>0</v>
      </c>
      <c r="M8081" t="n">
        <v>0</v>
      </c>
      <c r="N8081" t="n">
        <v>0</v>
      </c>
      <c r="O8081" t="n">
        <v>0</v>
      </c>
      <c r="P8081" t="n">
        <v>0</v>
      </c>
      <c r="Q8081" t="n">
        <v>0</v>
      </c>
      <c r="R8081" t="n">
        <v>0</v>
      </c>
      <c r="S8081" t="n">
        <v>0</v>
      </c>
      <c r="T8081" t="n">
        <v>0</v>
      </c>
      <c r="U8081" t="n">
        <v>0</v>
      </c>
      <c r="V8081" s="2" t="inlineStr"/>
    </row>
    <row r="8082" ht="15" customHeight="1">
      <c r="A8082" t="inlineStr">
        <is>
          <t>A 53566-2022</t>
        </is>
      </c>
      <c r="B8082" t="inlineStr">
        <is>
          <t>avverkningsanmälan</t>
        </is>
      </c>
      <c r="C8082" t="inlineStr">
        <is>
          <t>Föryngringsavverkning</t>
        </is>
      </c>
      <c r="D8082" s="1" t="n">
        <v>44879</v>
      </c>
      <c r="E8082" s="1" t="n">
        <v>46326</v>
      </c>
      <c r="F8082" t="inlineStr">
        <is>
          <t>GÄVLEBORGS LÄN</t>
        </is>
      </c>
      <c r="G8082" t="inlineStr">
        <is>
          <t>BOLLNÄS</t>
        </is>
      </c>
      <c r="H8082" t="inlineStr">
        <is>
          <t>Holmen skog AB</t>
        </is>
      </c>
      <c r="I8082" t="n">
        <v>2.6</v>
      </c>
      <c r="J8082" t="n">
        <v>0</v>
      </c>
      <c r="K8082" t="n">
        <v>0</v>
      </c>
      <c r="L8082" t="n">
        <v>0</v>
      </c>
      <c r="M8082" t="n">
        <v>0</v>
      </c>
      <c r="N8082" t="n">
        <v>0</v>
      </c>
      <c r="O8082" t="n">
        <v>0</v>
      </c>
      <c r="P8082" t="n">
        <v>0</v>
      </c>
      <c r="Q8082" t="n">
        <v>0</v>
      </c>
      <c r="R8082" t="n">
        <v>0</v>
      </c>
      <c r="S8082" t="n">
        <v>0</v>
      </c>
      <c r="T8082" t="n">
        <v>0</v>
      </c>
      <c r="U8082" t="n">
        <v>0</v>
      </c>
      <c r="V8082" s="2" t="inlineStr"/>
    </row>
    <row r="8083" ht="15" customHeight="1">
      <c r="A8083" t="inlineStr">
        <is>
          <t>A 59738-2022</t>
        </is>
      </c>
      <c r="B8083" t="inlineStr">
        <is>
          <t>avverkningsanmälan</t>
        </is>
      </c>
      <c r="C8083" t="inlineStr">
        <is>
          <t>Föryngringsavverkning</t>
        </is>
      </c>
      <c r="D8083" s="1" t="n">
        <v>44908</v>
      </c>
      <c r="E8083" s="1" t="n">
        <v>46326</v>
      </c>
      <c r="F8083" t="inlineStr">
        <is>
          <t>GÄVLEBORGS LÄN</t>
        </is>
      </c>
      <c r="G8083" t="inlineStr">
        <is>
          <t>SANDVIKEN</t>
        </is>
      </c>
      <c r="I8083" t="n">
        <v>3.9</v>
      </c>
      <c r="J8083" t="n">
        <v>0</v>
      </c>
      <c r="K8083" t="n">
        <v>0</v>
      </c>
      <c r="L8083" t="n">
        <v>0</v>
      </c>
      <c r="M8083" t="n">
        <v>0</v>
      </c>
      <c r="N8083" t="n">
        <v>0</v>
      </c>
      <c r="O8083" t="n">
        <v>0</v>
      </c>
      <c r="P8083" t="n">
        <v>0</v>
      </c>
      <c r="Q8083" t="n">
        <v>0</v>
      </c>
      <c r="R8083" t="n">
        <v>0</v>
      </c>
      <c r="S8083" t="n">
        <v>0</v>
      </c>
      <c r="T8083" t="n">
        <v>0</v>
      </c>
      <c r="U8083" t="n">
        <v>0</v>
      </c>
      <c r="V8083" s="2" t="inlineStr"/>
    </row>
    <row r="8084" ht="15" customHeight="1">
      <c r="A8084" t="inlineStr">
        <is>
          <t>A 955-2026</t>
        </is>
      </c>
      <c r="B8084" t="inlineStr">
        <is>
          <t>avverkningsanmälan</t>
        </is>
      </c>
      <c r="C8084" t="inlineStr">
        <is>
          <t>Föryngringsavverkning</t>
        </is>
      </c>
      <c r="D8084" s="1" t="n">
        <v>46030</v>
      </c>
      <c r="E8084" s="1" t="n">
        <v>46326</v>
      </c>
      <c r="F8084" t="inlineStr">
        <is>
          <t>GÄVLEBORGS LÄN</t>
        </is>
      </c>
      <c r="G8084" t="inlineStr">
        <is>
          <t>SANDVIKEN</t>
        </is>
      </c>
      <c r="I8084" t="n">
        <v>14.2</v>
      </c>
      <c r="J8084" t="n">
        <v>0</v>
      </c>
      <c r="K8084" t="n">
        <v>0</v>
      </c>
      <c r="L8084" t="n">
        <v>0</v>
      </c>
      <c r="M8084" t="n">
        <v>0</v>
      </c>
      <c r="N8084" t="n">
        <v>0</v>
      </c>
      <c r="O8084" t="n">
        <v>0</v>
      </c>
      <c r="P8084" t="n">
        <v>0</v>
      </c>
      <c r="Q8084" t="n">
        <v>0</v>
      </c>
      <c r="R8084" t="n">
        <v>0</v>
      </c>
      <c r="S8084" t="n">
        <v>0</v>
      </c>
      <c r="T8084" t="n">
        <v>0</v>
      </c>
      <c r="U8084" t="n">
        <v>0</v>
      </c>
      <c r="V8084" s="2" t="inlineStr"/>
    </row>
    <row r="8085" ht="15" customHeight="1">
      <c r="A8085" t="inlineStr">
        <is>
          <t>A 5746-2026</t>
        </is>
      </c>
      <c r="B8085" t="inlineStr">
        <is>
          <t>avverkningsanmälan</t>
        </is>
      </c>
      <c r="C8085" t="inlineStr">
        <is>
          <t>Föryngringsavverkning</t>
        </is>
      </c>
      <c r="D8085" s="1" t="n">
        <v>46051</v>
      </c>
      <c r="E8085" s="1" t="n">
        <v>46326</v>
      </c>
      <c r="F8085" t="inlineStr">
        <is>
          <t>GÄVLEBORGS LÄN</t>
        </is>
      </c>
      <c r="G8085" t="inlineStr">
        <is>
          <t>NORDANSTIG</t>
        </is>
      </c>
      <c r="I8085" t="n">
        <v>3.3</v>
      </c>
      <c r="J8085" t="n">
        <v>0</v>
      </c>
      <c r="K8085" t="n">
        <v>0</v>
      </c>
      <c r="L8085" t="n">
        <v>0</v>
      </c>
      <c r="M8085" t="n">
        <v>0</v>
      </c>
      <c r="N8085" t="n">
        <v>0</v>
      </c>
      <c r="O8085" t="n">
        <v>0</v>
      </c>
      <c r="P8085" t="n">
        <v>0</v>
      </c>
      <c r="Q8085" t="n">
        <v>0</v>
      </c>
      <c r="R8085" t="n">
        <v>0</v>
      </c>
      <c r="S8085" t="n">
        <v>0</v>
      </c>
      <c r="T8085" t="n">
        <v>0</v>
      </c>
      <c r="U8085" t="n">
        <v>0</v>
      </c>
      <c r="V8085" s="2" t="inlineStr"/>
    </row>
    <row r="8086" ht="15" customHeight="1">
      <c r="A8086" t="inlineStr">
        <is>
          <t>A 59741-2022</t>
        </is>
      </c>
      <c r="B8086" t="inlineStr">
        <is>
          <t>avverkningsanmälan</t>
        </is>
      </c>
      <c r="C8086" t="inlineStr">
        <is>
          <t>Föryngringsavverkning</t>
        </is>
      </c>
      <c r="D8086" s="1" t="n">
        <v>44908</v>
      </c>
      <c r="E8086" s="1" t="n">
        <v>46326</v>
      </c>
      <c r="F8086" t="inlineStr">
        <is>
          <t>GÄVLEBORGS LÄN</t>
        </is>
      </c>
      <c r="G8086" t="inlineStr">
        <is>
          <t>HUDIKSVALL</t>
        </is>
      </c>
      <c r="I8086" t="n">
        <v>7.3</v>
      </c>
      <c r="J8086" t="n">
        <v>0</v>
      </c>
      <c r="K8086" t="n">
        <v>0</v>
      </c>
      <c r="L8086" t="n">
        <v>0</v>
      </c>
      <c r="M8086" t="n">
        <v>0</v>
      </c>
      <c r="N8086" t="n">
        <v>0</v>
      </c>
      <c r="O8086" t="n">
        <v>0</v>
      </c>
      <c r="P8086" t="n">
        <v>0</v>
      </c>
      <c r="Q8086" t="n">
        <v>0</v>
      </c>
      <c r="R8086" t="n">
        <v>0</v>
      </c>
      <c r="S8086" t="n">
        <v>0</v>
      </c>
      <c r="T8086" t="n">
        <v>0</v>
      </c>
      <c r="U8086" t="n">
        <v>0</v>
      </c>
      <c r="V8086" s="2" t="inlineStr"/>
    </row>
    <row r="8087" ht="15" customHeight="1">
      <c r="A8087" t="inlineStr">
        <is>
          <t>A 59742-2022</t>
        </is>
      </c>
      <c r="B8087" t="inlineStr">
        <is>
          <t>avverkningsanmälan</t>
        </is>
      </c>
      <c r="C8087" t="inlineStr">
        <is>
          <t>Föryngringsavverkning</t>
        </is>
      </c>
      <c r="D8087" s="1" t="n">
        <v>44908</v>
      </c>
      <c r="E8087" s="1" t="n">
        <v>46326</v>
      </c>
      <c r="F8087" t="inlineStr">
        <is>
          <t>GÄVLEBORGS LÄN</t>
        </is>
      </c>
      <c r="G8087" t="inlineStr">
        <is>
          <t>HUDIKSVALL</t>
        </is>
      </c>
      <c r="H8087" t="inlineStr">
        <is>
          <t>Holmen skog AB</t>
        </is>
      </c>
      <c r="I8087" t="n">
        <v>0.8</v>
      </c>
      <c r="J8087" t="n">
        <v>0</v>
      </c>
      <c r="K8087" t="n">
        <v>0</v>
      </c>
      <c r="L8087" t="n">
        <v>0</v>
      </c>
      <c r="M8087" t="n">
        <v>0</v>
      </c>
      <c r="N8087" t="n">
        <v>0</v>
      </c>
      <c r="O8087" t="n">
        <v>0</v>
      </c>
      <c r="P8087" t="n">
        <v>0</v>
      </c>
      <c r="Q8087" t="n">
        <v>0</v>
      </c>
      <c r="R8087" t="n">
        <v>0</v>
      </c>
      <c r="S8087" t="n">
        <v>0</v>
      </c>
      <c r="T8087" t="n">
        <v>0</v>
      </c>
      <c r="U8087" t="n">
        <v>0</v>
      </c>
      <c r="V8087" s="2" t="inlineStr"/>
    </row>
    <row r="8088" ht="15" customHeight="1">
      <c r="A8088" t="inlineStr">
        <is>
          <t>A 23251-2026</t>
        </is>
      </c>
      <c r="B8088" t="inlineStr">
        <is>
          <t>avverkningsanmälan</t>
        </is>
      </c>
      <c r="C8088" t="inlineStr">
        <is>
          <t>Föryngringsavverkning</t>
        </is>
      </c>
      <c r="D8088" s="1" t="n">
        <v>46162</v>
      </c>
      <c r="E8088" s="1" t="n">
        <v>46326</v>
      </c>
      <c r="F8088" t="inlineStr">
        <is>
          <t>GÄVLEBORGS LÄN</t>
        </is>
      </c>
      <c r="G8088" t="inlineStr">
        <is>
          <t>BOLLNÄS</t>
        </is>
      </c>
      <c r="I8088" t="n">
        <v>0.8</v>
      </c>
      <c r="J8088" t="n">
        <v>0</v>
      </c>
      <c r="K8088" t="n">
        <v>0</v>
      </c>
      <c r="L8088" t="n">
        <v>0</v>
      </c>
      <c r="M8088" t="n">
        <v>0</v>
      </c>
      <c r="N8088" t="n">
        <v>0</v>
      </c>
      <c r="O8088" t="n">
        <v>0</v>
      </c>
      <c r="P8088" t="n">
        <v>0</v>
      </c>
      <c r="Q8088" t="n">
        <v>0</v>
      </c>
      <c r="R8088" t="n">
        <v>0</v>
      </c>
      <c r="S8088" t="n">
        <v>0</v>
      </c>
      <c r="T8088" t="n">
        <v>0</v>
      </c>
      <c r="U8088" t="n">
        <v>0</v>
      </c>
      <c r="V8088" s="2" t="inlineStr"/>
    </row>
    <row r="8089" ht="15" customHeight="1">
      <c r="A8089" t="inlineStr">
        <is>
          <t>A 20858-2026</t>
        </is>
      </c>
      <c r="B8089" t="inlineStr">
        <is>
          <t>avverkningsanmälan</t>
        </is>
      </c>
      <c r="C8089" t="inlineStr">
        <is>
          <t>Föryngringsavverkning</t>
        </is>
      </c>
      <c r="D8089" s="1" t="n">
        <v>46142</v>
      </c>
      <c r="E8089" s="1" t="n">
        <v>46326</v>
      </c>
      <c r="F8089" t="inlineStr">
        <is>
          <t>GÄVLEBORGS LÄN</t>
        </is>
      </c>
      <c r="G8089" t="inlineStr">
        <is>
          <t>HUDIKSVALL</t>
        </is>
      </c>
      <c r="I8089" t="n">
        <v>5.8</v>
      </c>
      <c r="J8089" t="n">
        <v>0</v>
      </c>
      <c r="K8089" t="n">
        <v>0</v>
      </c>
      <c r="L8089" t="n">
        <v>0</v>
      </c>
      <c r="M8089" t="n">
        <v>0</v>
      </c>
      <c r="N8089" t="n">
        <v>0</v>
      </c>
      <c r="O8089" t="n">
        <v>0</v>
      </c>
      <c r="P8089" t="n">
        <v>0</v>
      </c>
      <c r="Q8089" t="n">
        <v>0</v>
      </c>
      <c r="R8089" t="n">
        <v>0</v>
      </c>
      <c r="S8089" t="n">
        <v>0</v>
      </c>
      <c r="T8089" t="n">
        <v>0</v>
      </c>
      <c r="U8089" t="n">
        <v>0</v>
      </c>
      <c r="V8089" s="2" t="inlineStr"/>
    </row>
    <row r="8090" ht="15" customHeight="1">
      <c r="A8090" t="inlineStr">
        <is>
          <t>A 23542-2026</t>
        </is>
      </c>
      <c r="B8090" t="inlineStr">
        <is>
          <t>avverkningsanmälan</t>
        </is>
      </c>
      <c r="C8090" t="inlineStr">
        <is>
          <t>Föryngringsavverkning</t>
        </is>
      </c>
      <c r="D8090" s="1" t="n">
        <v>46163</v>
      </c>
      <c r="E8090" s="1" t="n">
        <v>46326</v>
      </c>
      <c r="F8090" t="inlineStr">
        <is>
          <t>GÄVLEBORGS LÄN</t>
        </is>
      </c>
      <c r="G8090" t="inlineStr">
        <is>
          <t>LJUSDAL</t>
        </is>
      </c>
      <c r="I8090" t="n">
        <v>5.3</v>
      </c>
      <c r="J8090" t="n">
        <v>0</v>
      </c>
      <c r="K8090" t="n">
        <v>0</v>
      </c>
      <c r="L8090" t="n">
        <v>0</v>
      </c>
      <c r="M8090" t="n">
        <v>0</v>
      </c>
      <c r="N8090" t="n">
        <v>0</v>
      </c>
      <c r="O8090" t="n">
        <v>0</v>
      </c>
      <c r="P8090" t="n">
        <v>0</v>
      </c>
      <c r="Q8090" t="n">
        <v>0</v>
      </c>
      <c r="R8090" t="n">
        <v>0</v>
      </c>
      <c r="S8090" t="n">
        <v>0</v>
      </c>
      <c r="T8090" t="n">
        <v>0</v>
      </c>
      <c r="U8090" t="n">
        <v>0</v>
      </c>
      <c r="V8090" s="2" t="inlineStr"/>
    </row>
    <row r="8091" ht="15" customHeight="1">
      <c r="A8091" t="inlineStr">
        <is>
          <t>A 23580-2026</t>
        </is>
      </c>
      <c r="B8091" t="inlineStr">
        <is>
          <t>avverkningsanmälan</t>
        </is>
      </c>
      <c r="C8091" t="inlineStr">
        <is>
          <t>Föryngringsavverkning</t>
        </is>
      </c>
      <c r="D8091" s="1" t="n">
        <v>46163</v>
      </c>
      <c r="E8091" s="1" t="n">
        <v>46326</v>
      </c>
      <c r="F8091" t="inlineStr">
        <is>
          <t>GÄVLEBORGS LÄN</t>
        </is>
      </c>
      <c r="G8091" t="inlineStr">
        <is>
          <t>OVANÅKER</t>
        </is>
      </c>
      <c r="I8091" t="n">
        <v>1.9</v>
      </c>
      <c r="J8091" t="n">
        <v>0</v>
      </c>
      <c r="K8091" t="n">
        <v>0</v>
      </c>
      <c r="L8091" t="n">
        <v>0</v>
      </c>
      <c r="M8091" t="n">
        <v>0</v>
      </c>
      <c r="N8091" t="n">
        <v>0</v>
      </c>
      <c r="O8091" t="n">
        <v>0</v>
      </c>
      <c r="P8091" t="n">
        <v>0</v>
      </c>
      <c r="Q8091" t="n">
        <v>0</v>
      </c>
      <c r="R8091" t="n">
        <v>0</v>
      </c>
      <c r="S8091" t="n">
        <v>0</v>
      </c>
      <c r="T8091" t="n">
        <v>0</v>
      </c>
      <c r="U8091" t="n">
        <v>0</v>
      </c>
      <c r="V8091" s="2" t="inlineStr"/>
    </row>
    <row r="8092" ht="15" customHeight="1">
      <c r="A8092" t="inlineStr">
        <is>
          <t>A 23586-2026</t>
        </is>
      </c>
      <c r="B8092" t="inlineStr">
        <is>
          <t>avverkningsanmälan</t>
        </is>
      </c>
      <c r="C8092" t="inlineStr">
        <is>
          <t>Föryngringsavverkning</t>
        </is>
      </c>
      <c r="D8092" s="1" t="n">
        <v>46163</v>
      </c>
      <c r="E8092" s="1" t="n">
        <v>46326</v>
      </c>
      <c r="F8092" t="inlineStr">
        <is>
          <t>GÄVLEBORGS LÄN</t>
        </is>
      </c>
      <c r="G8092" t="inlineStr">
        <is>
          <t>BOLLNÄS</t>
        </is>
      </c>
      <c r="H8092" t="inlineStr">
        <is>
          <t>Bergvik skog väst AB</t>
        </is>
      </c>
      <c r="I8092" t="n">
        <v>5</v>
      </c>
      <c r="J8092" t="n">
        <v>0</v>
      </c>
      <c r="K8092" t="n">
        <v>0</v>
      </c>
      <c r="L8092" t="n">
        <v>0</v>
      </c>
      <c r="M8092" t="n">
        <v>0</v>
      </c>
      <c r="N8092" t="n">
        <v>0</v>
      </c>
      <c r="O8092" t="n">
        <v>0</v>
      </c>
      <c r="P8092" t="n">
        <v>0</v>
      </c>
      <c r="Q8092" t="n">
        <v>0</v>
      </c>
      <c r="R8092" t="n">
        <v>0</v>
      </c>
      <c r="S8092" t="n">
        <v>0</v>
      </c>
      <c r="T8092" t="n">
        <v>0</v>
      </c>
      <c r="U8092" t="n">
        <v>0</v>
      </c>
      <c r="V8092" s="2" t="inlineStr"/>
    </row>
    <row r="8093" ht="15" customHeight="1">
      <c r="A8093" t="inlineStr">
        <is>
          <t>A 12624-2025</t>
        </is>
      </c>
      <c r="B8093" t="inlineStr">
        <is>
          <t>avverkningsanmälan</t>
        </is>
      </c>
      <c r="C8093" t="inlineStr">
        <is>
          <t>Föryngringsavverkning</t>
        </is>
      </c>
      <c r="D8093" s="1" t="n">
        <v>45733</v>
      </c>
      <c r="E8093" s="1" t="n">
        <v>46326</v>
      </c>
      <c r="F8093" t="inlineStr">
        <is>
          <t>GÄVLEBORGS LÄN</t>
        </is>
      </c>
      <c r="G8093" t="inlineStr">
        <is>
          <t>BOLLNÄS</t>
        </is>
      </c>
      <c r="I8093" t="n">
        <v>2.1</v>
      </c>
      <c r="J8093" t="n">
        <v>0</v>
      </c>
      <c r="K8093" t="n">
        <v>0</v>
      </c>
      <c r="L8093" t="n">
        <v>0</v>
      </c>
      <c r="M8093" t="n">
        <v>0</v>
      </c>
      <c r="N8093" t="n">
        <v>0</v>
      </c>
      <c r="O8093" t="n">
        <v>0</v>
      </c>
      <c r="P8093" t="n">
        <v>0</v>
      </c>
      <c r="Q8093" t="n">
        <v>0</v>
      </c>
      <c r="R8093" t="n">
        <v>0</v>
      </c>
      <c r="S8093" t="n">
        <v>0</v>
      </c>
      <c r="T8093" t="n">
        <v>0</v>
      </c>
      <c r="U8093" t="n">
        <v>0</v>
      </c>
      <c r="V8093" s="2" t="inlineStr"/>
    </row>
    <row r="8094" ht="15" customHeight="1">
      <c r="A8094" t="inlineStr">
        <is>
          <t>A 19906-2026</t>
        </is>
      </c>
      <c r="B8094" t="inlineStr">
        <is>
          <t>avverkningsanmälan</t>
        </is>
      </c>
      <c r="C8094" t="inlineStr">
        <is>
          <t>Föryngringsavverkning</t>
        </is>
      </c>
      <c r="D8094" s="1" t="n">
        <v>46136</v>
      </c>
      <c r="E8094" s="1" t="n">
        <v>46326</v>
      </c>
      <c r="F8094" t="inlineStr">
        <is>
          <t>GÄVLEBORGS LÄN</t>
        </is>
      </c>
      <c r="G8094" t="inlineStr">
        <is>
          <t>NORDANSTIG</t>
        </is>
      </c>
      <c r="I8094" t="n">
        <v>2.2</v>
      </c>
      <c r="J8094" t="n">
        <v>0</v>
      </c>
      <c r="K8094" t="n">
        <v>0</v>
      </c>
      <c r="L8094" t="n">
        <v>0</v>
      </c>
      <c r="M8094" t="n">
        <v>0</v>
      </c>
      <c r="N8094" t="n">
        <v>0</v>
      </c>
      <c r="O8094" t="n">
        <v>0</v>
      </c>
      <c r="P8094" t="n">
        <v>0</v>
      </c>
      <c r="Q8094" t="n">
        <v>0</v>
      </c>
      <c r="R8094" t="n">
        <v>0</v>
      </c>
      <c r="S8094" t="n">
        <v>0</v>
      </c>
      <c r="T8094" t="n">
        <v>0</v>
      </c>
      <c r="U8094" t="n">
        <v>0</v>
      </c>
      <c r="V8094" s="2" t="inlineStr"/>
    </row>
    <row r="8095" ht="15" customHeight="1">
      <c r="A8095" t="inlineStr">
        <is>
          <t>A 14659-2026</t>
        </is>
      </c>
      <c r="B8095" t="inlineStr">
        <is>
          <t>avverkningsanmälan</t>
        </is>
      </c>
      <c r="C8095" t="inlineStr">
        <is>
          <t>Föryngringsavverkning</t>
        </is>
      </c>
      <c r="D8095" s="1" t="n">
        <v>46101</v>
      </c>
      <c r="E8095" s="1" t="n">
        <v>46326</v>
      </c>
      <c r="F8095" t="inlineStr">
        <is>
          <t>GÄVLEBORGS LÄN</t>
        </is>
      </c>
      <c r="G8095" t="inlineStr">
        <is>
          <t>HUDIKSVALL</t>
        </is>
      </c>
      <c r="I8095" t="n">
        <v>1.9</v>
      </c>
      <c r="J8095" t="n">
        <v>0</v>
      </c>
      <c r="K8095" t="n">
        <v>0</v>
      </c>
      <c r="L8095" t="n">
        <v>0</v>
      </c>
      <c r="M8095" t="n">
        <v>0</v>
      </c>
      <c r="N8095" t="n">
        <v>0</v>
      </c>
      <c r="O8095" t="n">
        <v>0</v>
      </c>
      <c r="P8095" t="n">
        <v>0</v>
      </c>
      <c r="Q8095" t="n">
        <v>0</v>
      </c>
      <c r="R8095" t="n">
        <v>0</v>
      </c>
      <c r="S8095" t="n">
        <v>0</v>
      </c>
      <c r="T8095" t="n">
        <v>0</v>
      </c>
      <c r="U8095" t="n">
        <v>0</v>
      </c>
      <c r="V8095" s="2" t="inlineStr"/>
    </row>
    <row r="8096" ht="15" customHeight="1">
      <c r="A8096" t="inlineStr">
        <is>
          <t>A 30816-2022</t>
        </is>
      </c>
      <c r="B8096" t="inlineStr">
        <is>
          <t>avverkningsanmälan</t>
        </is>
      </c>
      <c r="C8096" t="inlineStr">
        <is>
          <t>Föryngringsavverkning</t>
        </is>
      </c>
      <c r="D8096" s="1" t="n">
        <v>44765</v>
      </c>
      <c r="E8096" s="1" t="n">
        <v>46326</v>
      </c>
      <c r="F8096" t="inlineStr">
        <is>
          <t>GÄVLEBORGS LÄN</t>
        </is>
      </c>
      <c r="G8096" t="inlineStr">
        <is>
          <t>NORDANSTIG</t>
        </is>
      </c>
      <c r="I8096" t="n">
        <v>1.4</v>
      </c>
      <c r="J8096" t="n">
        <v>0</v>
      </c>
      <c r="K8096" t="n">
        <v>0</v>
      </c>
      <c r="L8096" t="n">
        <v>0</v>
      </c>
      <c r="M8096" t="n">
        <v>0</v>
      </c>
      <c r="N8096" t="n">
        <v>0</v>
      </c>
      <c r="O8096" t="n">
        <v>0</v>
      </c>
      <c r="P8096" t="n">
        <v>0</v>
      </c>
      <c r="Q8096" t="n">
        <v>0</v>
      </c>
      <c r="R8096" t="n">
        <v>0</v>
      </c>
      <c r="S8096" t="n">
        <v>0</v>
      </c>
      <c r="T8096" t="n">
        <v>0</v>
      </c>
      <c r="U8096" t="n">
        <v>0</v>
      </c>
      <c r="V8096" s="2" t="inlineStr"/>
    </row>
    <row r="8097" ht="15" customHeight="1">
      <c r="A8097" t="inlineStr">
        <is>
          <t>A 32301-2022</t>
        </is>
      </c>
      <c r="B8097" t="inlineStr">
        <is>
          <t>avverkningsanmälan</t>
        </is>
      </c>
      <c r="C8097" t="inlineStr">
        <is>
          <t>Föryngringsavverkning</t>
        </is>
      </c>
      <c r="D8097" s="1" t="n">
        <v>44781</v>
      </c>
      <c r="E8097" s="1" t="n">
        <v>46326</v>
      </c>
      <c r="F8097" t="inlineStr">
        <is>
          <t>GÄVLEBORGS LÄN</t>
        </is>
      </c>
      <c r="G8097" t="inlineStr">
        <is>
          <t>OCKELBO</t>
        </is>
      </c>
      <c r="I8097" t="n">
        <v>1.7</v>
      </c>
      <c r="J8097" t="n">
        <v>0</v>
      </c>
      <c r="K8097" t="n">
        <v>0</v>
      </c>
      <c r="L8097" t="n">
        <v>0</v>
      </c>
      <c r="M8097" t="n">
        <v>0</v>
      </c>
      <c r="N8097" t="n">
        <v>0</v>
      </c>
      <c r="O8097" t="n">
        <v>0</v>
      </c>
      <c r="P8097" t="n">
        <v>0</v>
      </c>
      <c r="Q8097" t="n">
        <v>0</v>
      </c>
      <c r="R8097" t="n">
        <v>0</v>
      </c>
      <c r="S8097" t="n">
        <v>0</v>
      </c>
      <c r="T8097" t="n">
        <v>0</v>
      </c>
      <c r="U8097" t="n">
        <v>0</v>
      </c>
      <c r="V8097" s="2" t="inlineStr"/>
    </row>
    <row r="8098" ht="15" customHeight="1">
      <c r="A8098" t="inlineStr">
        <is>
          <t>A 9859-2025</t>
        </is>
      </c>
      <c r="B8098" t="inlineStr">
        <is>
          <t>avverkningsanmälan</t>
        </is>
      </c>
      <c r="C8098" t="inlineStr">
        <is>
          <t>Föryngringsavverkning</t>
        </is>
      </c>
      <c r="D8098" s="1" t="n">
        <v>45716</v>
      </c>
      <c r="E8098" s="1" t="n">
        <v>46326</v>
      </c>
      <c r="F8098" t="inlineStr">
        <is>
          <t>GÄVLEBORGS LÄN</t>
        </is>
      </c>
      <c r="G8098" t="inlineStr">
        <is>
          <t>OCKELBO</t>
        </is>
      </c>
      <c r="I8098" t="n">
        <v>3.1</v>
      </c>
      <c r="J8098" t="n">
        <v>0</v>
      </c>
      <c r="K8098" t="n">
        <v>0</v>
      </c>
      <c r="L8098" t="n">
        <v>0</v>
      </c>
      <c r="M8098" t="n">
        <v>0</v>
      </c>
      <c r="N8098" t="n">
        <v>0</v>
      </c>
      <c r="O8098" t="n">
        <v>0</v>
      </c>
      <c r="P8098" t="n">
        <v>0</v>
      </c>
      <c r="Q8098" t="n">
        <v>0</v>
      </c>
      <c r="R8098" t="n">
        <v>0</v>
      </c>
      <c r="S8098" t="n">
        <v>0</v>
      </c>
      <c r="T8098" t="n">
        <v>0</v>
      </c>
      <c r="U8098" t="n">
        <v>0</v>
      </c>
      <c r="V8098" s="2" t="inlineStr"/>
    </row>
    <row r="8099" ht="15" customHeight="1">
      <c r="A8099" t="inlineStr">
        <is>
          <t>A 45725-2023</t>
        </is>
      </c>
      <c r="B8099" t="inlineStr">
        <is>
          <t>avverkningsanmälan</t>
        </is>
      </c>
      <c r="C8099" t="inlineStr">
        <is>
          <t>Avverkning för annat ändamål</t>
        </is>
      </c>
      <c r="D8099" s="1" t="n">
        <v>45195</v>
      </c>
      <c r="E8099" s="1" t="n">
        <v>46326</v>
      </c>
      <c r="F8099" t="inlineStr">
        <is>
          <t>GÄVLEBORGS LÄN</t>
        </is>
      </c>
      <c r="G8099" t="inlineStr">
        <is>
          <t>HUDIKSVALL</t>
        </is>
      </c>
      <c r="H8099" t="inlineStr">
        <is>
          <t>Holmen skog AB</t>
        </is>
      </c>
      <c r="I8099" t="n">
        <v>1.1</v>
      </c>
      <c r="J8099" t="n">
        <v>0</v>
      </c>
      <c r="K8099" t="n">
        <v>0</v>
      </c>
      <c r="L8099" t="n">
        <v>0</v>
      </c>
      <c r="M8099" t="n">
        <v>0</v>
      </c>
      <c r="N8099" t="n">
        <v>0</v>
      </c>
      <c r="O8099" t="n">
        <v>0</v>
      </c>
      <c r="P8099" t="n">
        <v>0</v>
      </c>
      <c r="Q8099" t="n">
        <v>0</v>
      </c>
      <c r="R8099" t="n">
        <v>0</v>
      </c>
      <c r="S8099" t="n">
        <v>0</v>
      </c>
      <c r="T8099" t="n">
        <v>0</v>
      </c>
      <c r="U8099" t="n">
        <v>0</v>
      </c>
      <c r="V8099" s="2" t="inlineStr"/>
    </row>
    <row r="8100" ht="15" customHeight="1">
      <c r="A8100" t="inlineStr">
        <is>
          <t>A 4298-2024</t>
        </is>
      </c>
      <c r="B8100" t="inlineStr">
        <is>
          <t>avverkningsanmälan</t>
        </is>
      </c>
      <c r="C8100" t="inlineStr">
        <is>
          <t>Föryngringsavverkning</t>
        </is>
      </c>
      <c r="D8100" s="1" t="n">
        <v>45324</v>
      </c>
      <c r="E8100" s="1" t="n">
        <v>46326</v>
      </c>
      <c r="F8100" t="inlineStr">
        <is>
          <t>GÄVLEBORGS LÄN</t>
        </is>
      </c>
      <c r="G8100" t="inlineStr">
        <is>
          <t>SÖDERHAMN</t>
        </is>
      </c>
      <c r="I8100" t="n">
        <v>5.1</v>
      </c>
      <c r="J8100" t="n">
        <v>0</v>
      </c>
      <c r="K8100" t="n">
        <v>0</v>
      </c>
      <c r="L8100" t="n">
        <v>0</v>
      </c>
      <c r="M8100" t="n">
        <v>0</v>
      </c>
      <c r="N8100" t="n">
        <v>0</v>
      </c>
      <c r="O8100" t="n">
        <v>0</v>
      </c>
      <c r="P8100" t="n">
        <v>0</v>
      </c>
      <c r="Q8100" t="n">
        <v>0</v>
      </c>
      <c r="R8100" t="n">
        <v>0</v>
      </c>
      <c r="S8100" t="n">
        <v>0</v>
      </c>
      <c r="T8100" t="n">
        <v>0</v>
      </c>
      <c r="U8100" t="n">
        <v>0</v>
      </c>
      <c r="V8100" s="2" t="inlineStr"/>
    </row>
    <row r="8101" ht="15" customHeight="1">
      <c r="A8101" t="inlineStr">
        <is>
          <t>A 22447-2026</t>
        </is>
      </c>
      <c r="B8101" t="inlineStr">
        <is>
          <t>avverkningsanmälan</t>
        </is>
      </c>
      <c r="C8101" t="inlineStr">
        <is>
          <t>Föryngringsavverkning</t>
        </is>
      </c>
      <c r="D8101" s="1" t="n">
        <v>46155</v>
      </c>
      <c r="E8101" s="1" t="n">
        <v>46326</v>
      </c>
      <c r="F8101" t="inlineStr">
        <is>
          <t>GÄVLEBORGS LÄN</t>
        </is>
      </c>
      <c r="G8101" t="inlineStr">
        <is>
          <t>OVANÅKER</t>
        </is>
      </c>
      <c r="H8101" t="inlineStr">
        <is>
          <t>Bergvik skog väst AB</t>
        </is>
      </c>
      <c r="I8101" t="n">
        <v>1</v>
      </c>
      <c r="J8101" t="n">
        <v>0</v>
      </c>
      <c r="K8101" t="n">
        <v>0</v>
      </c>
      <c r="L8101" t="n">
        <v>0</v>
      </c>
      <c r="M8101" t="n">
        <v>0</v>
      </c>
      <c r="N8101" t="n">
        <v>0</v>
      </c>
      <c r="O8101" t="n">
        <v>0</v>
      </c>
      <c r="P8101" t="n">
        <v>0</v>
      </c>
      <c r="Q8101" t="n">
        <v>0</v>
      </c>
      <c r="R8101" t="n">
        <v>0</v>
      </c>
      <c r="S8101" t="n">
        <v>0</v>
      </c>
      <c r="T8101" t="n">
        <v>0</v>
      </c>
      <c r="U8101" t="n">
        <v>0</v>
      </c>
      <c r="V8101" s="2" t="inlineStr"/>
    </row>
    <row r="8102" ht="15" customHeight="1">
      <c r="A8102" t="inlineStr">
        <is>
          <t>A 36408-2024</t>
        </is>
      </c>
      <c r="B8102" t="inlineStr">
        <is>
          <t>avverkningsanmälan</t>
        </is>
      </c>
      <c r="C8102" t="inlineStr">
        <is>
          <t>Föryngringsavverkning</t>
        </is>
      </c>
      <c r="D8102" s="1" t="n">
        <v>45535</v>
      </c>
      <c r="E8102" s="1" t="n">
        <v>46326</v>
      </c>
      <c r="F8102" t="inlineStr">
        <is>
          <t>GÄVLEBORGS LÄN</t>
        </is>
      </c>
      <c r="G8102" t="inlineStr">
        <is>
          <t>HUDIKSVALL</t>
        </is>
      </c>
      <c r="H8102" t="inlineStr">
        <is>
          <t>Holmen skog AB</t>
        </is>
      </c>
      <c r="I8102" t="n">
        <v>0.6</v>
      </c>
      <c r="J8102" t="n">
        <v>0</v>
      </c>
      <c r="K8102" t="n">
        <v>0</v>
      </c>
      <c r="L8102" t="n">
        <v>0</v>
      </c>
      <c r="M8102" t="n">
        <v>0</v>
      </c>
      <c r="N8102" t="n">
        <v>0</v>
      </c>
      <c r="O8102" t="n">
        <v>0</v>
      </c>
      <c r="P8102" t="n">
        <v>0</v>
      </c>
      <c r="Q8102" t="n">
        <v>0</v>
      </c>
      <c r="R8102" t="n">
        <v>0</v>
      </c>
      <c r="S8102" t="n">
        <v>0</v>
      </c>
      <c r="T8102" t="n">
        <v>0</v>
      </c>
      <c r="U8102" t="n">
        <v>0</v>
      </c>
      <c r="V8102" s="2" t="inlineStr"/>
    </row>
    <row r="8103" ht="15" customHeight="1">
      <c r="A8103" t="inlineStr">
        <is>
          <t>A 55370-2023</t>
        </is>
      </c>
      <c r="B8103" t="inlineStr">
        <is>
          <t>avverkningsanmälan</t>
        </is>
      </c>
      <c r="C8103" t="inlineStr">
        <is>
          <t>Föryngringsavverkning</t>
        </is>
      </c>
      <c r="D8103" s="1" t="n">
        <v>45238</v>
      </c>
      <c r="E8103" s="1" t="n">
        <v>46326</v>
      </c>
      <c r="F8103" t="inlineStr">
        <is>
          <t>GÄVLEBORGS LÄN</t>
        </is>
      </c>
      <c r="G8103" t="inlineStr">
        <is>
          <t>LJUSDAL</t>
        </is>
      </c>
      <c r="I8103" t="n">
        <v>2.1</v>
      </c>
      <c r="J8103" t="n">
        <v>0</v>
      </c>
      <c r="K8103" t="n">
        <v>0</v>
      </c>
      <c r="L8103" t="n">
        <v>0</v>
      </c>
      <c r="M8103" t="n">
        <v>0</v>
      </c>
      <c r="N8103" t="n">
        <v>0</v>
      </c>
      <c r="O8103" t="n">
        <v>0</v>
      </c>
      <c r="P8103" t="n">
        <v>0</v>
      </c>
      <c r="Q8103" t="n">
        <v>0</v>
      </c>
      <c r="R8103" t="n">
        <v>0</v>
      </c>
      <c r="S8103" t="n">
        <v>0</v>
      </c>
      <c r="T8103" t="n">
        <v>0</v>
      </c>
      <c r="U8103" t="n">
        <v>0</v>
      </c>
      <c r="V8103" s="2" t="inlineStr"/>
    </row>
    <row r="8104" ht="15" customHeight="1">
      <c r="A8104" t="inlineStr">
        <is>
          <t>A 23473-2026</t>
        </is>
      </c>
      <c r="B8104" t="inlineStr">
        <is>
          <t>avverkningsanmälan</t>
        </is>
      </c>
      <c r="C8104" t="inlineStr">
        <is>
          <t>Föryngringsavverkning</t>
        </is>
      </c>
      <c r="D8104" s="1" t="n">
        <v>46163</v>
      </c>
      <c r="E8104" s="1" t="n">
        <v>46326</v>
      </c>
      <c r="F8104" t="inlineStr">
        <is>
          <t>GÄVLEBORGS LÄN</t>
        </is>
      </c>
      <c r="G8104" t="inlineStr">
        <is>
          <t>LJUSDAL</t>
        </is>
      </c>
      <c r="H8104" t="inlineStr">
        <is>
          <t>Holmen skog AB</t>
        </is>
      </c>
      <c r="I8104" t="n">
        <v>7.2</v>
      </c>
      <c r="J8104" t="n">
        <v>0</v>
      </c>
      <c r="K8104" t="n">
        <v>0</v>
      </c>
      <c r="L8104" t="n">
        <v>0</v>
      </c>
      <c r="M8104" t="n">
        <v>0</v>
      </c>
      <c r="N8104" t="n">
        <v>0</v>
      </c>
      <c r="O8104" t="n">
        <v>0</v>
      </c>
      <c r="P8104" t="n">
        <v>0</v>
      </c>
      <c r="Q8104" t="n">
        <v>0</v>
      </c>
      <c r="R8104" t="n">
        <v>0</v>
      </c>
      <c r="S8104" t="n">
        <v>0</v>
      </c>
      <c r="T8104" t="n">
        <v>0</v>
      </c>
      <c r="U8104" t="n">
        <v>0</v>
      </c>
      <c r="V8104" s="2" t="inlineStr"/>
    </row>
    <row r="8105" ht="15" customHeight="1">
      <c r="A8105" t="inlineStr">
        <is>
          <t>A 23474-2026</t>
        </is>
      </c>
      <c r="B8105" t="inlineStr">
        <is>
          <t>avverkningsanmälan</t>
        </is>
      </c>
      <c r="C8105" t="inlineStr">
        <is>
          <t>Föryngringsavverkning</t>
        </is>
      </c>
      <c r="D8105" s="1" t="n">
        <v>46163</v>
      </c>
      <c r="E8105" s="1" t="n">
        <v>46326</v>
      </c>
      <c r="F8105" t="inlineStr">
        <is>
          <t>GÄVLEBORGS LÄN</t>
        </is>
      </c>
      <c r="G8105" t="inlineStr">
        <is>
          <t>SANDVIKEN</t>
        </is>
      </c>
      <c r="H8105" t="inlineStr">
        <is>
          <t>Övriga statliga verk och myndigheter</t>
        </is>
      </c>
      <c r="I8105" t="n">
        <v>1.8</v>
      </c>
      <c r="J8105" t="n">
        <v>0</v>
      </c>
      <c r="K8105" t="n">
        <v>0</v>
      </c>
      <c r="L8105" t="n">
        <v>0</v>
      </c>
      <c r="M8105" t="n">
        <v>0</v>
      </c>
      <c r="N8105" t="n">
        <v>0</v>
      </c>
      <c r="O8105" t="n">
        <v>0</v>
      </c>
      <c r="P8105" t="n">
        <v>0</v>
      </c>
      <c r="Q8105" t="n">
        <v>0</v>
      </c>
      <c r="R8105" t="n">
        <v>0</v>
      </c>
      <c r="S8105" t="n">
        <v>0</v>
      </c>
      <c r="T8105" t="n">
        <v>0</v>
      </c>
      <c r="U8105" t="n">
        <v>0</v>
      </c>
      <c r="V8105" s="2" t="inlineStr"/>
    </row>
    <row r="8106" ht="15" customHeight="1">
      <c r="A8106" t="inlineStr">
        <is>
          <t>A 16434-2026</t>
        </is>
      </c>
      <c r="B8106" t="inlineStr">
        <is>
          <t>avverkningsanmälan</t>
        </is>
      </c>
      <c r="C8106" t="inlineStr">
        <is>
          <t>Föryngringsavverkning</t>
        </is>
      </c>
      <c r="D8106" s="1" t="n">
        <v>46111</v>
      </c>
      <c r="E8106" s="1" t="n">
        <v>46326</v>
      </c>
      <c r="F8106" t="inlineStr">
        <is>
          <t>GÄVLEBORGS LÄN</t>
        </is>
      </c>
      <c r="G8106" t="inlineStr">
        <is>
          <t>NORDANSTIG</t>
        </is>
      </c>
      <c r="I8106" t="n">
        <v>2.6</v>
      </c>
      <c r="J8106" t="n">
        <v>0</v>
      </c>
      <c r="K8106" t="n">
        <v>0</v>
      </c>
      <c r="L8106" t="n">
        <v>0</v>
      </c>
      <c r="M8106" t="n">
        <v>0</v>
      </c>
      <c r="N8106" t="n">
        <v>0</v>
      </c>
      <c r="O8106" t="n">
        <v>0</v>
      </c>
      <c r="P8106" t="n">
        <v>0</v>
      </c>
      <c r="Q8106" t="n">
        <v>0</v>
      </c>
      <c r="R8106" t="n">
        <v>0</v>
      </c>
      <c r="S8106" t="n">
        <v>0</v>
      </c>
      <c r="T8106" t="n">
        <v>0</v>
      </c>
      <c r="U8106" t="n">
        <v>0</v>
      </c>
      <c r="V8106" s="2" t="inlineStr"/>
    </row>
    <row r="8107" ht="15" customHeight="1">
      <c r="A8107" t="inlineStr">
        <is>
          <t>A 23328-2026</t>
        </is>
      </c>
      <c r="B8107" t="inlineStr">
        <is>
          <t>avverkningsanmälan</t>
        </is>
      </c>
      <c r="C8107" t="inlineStr">
        <is>
          <t>Föryngringsavverkning</t>
        </is>
      </c>
      <c r="D8107" s="1" t="n">
        <v>46162</v>
      </c>
      <c r="E8107" s="1" t="n">
        <v>46326</v>
      </c>
      <c r="F8107" t="inlineStr">
        <is>
          <t>GÄVLEBORGS LÄN</t>
        </is>
      </c>
      <c r="G8107" t="inlineStr">
        <is>
          <t>SÖDERHAMN</t>
        </is>
      </c>
      <c r="I8107" t="n">
        <v>7.9</v>
      </c>
      <c r="J8107" t="n">
        <v>0</v>
      </c>
      <c r="K8107" t="n">
        <v>0</v>
      </c>
      <c r="L8107" t="n">
        <v>0</v>
      </c>
      <c r="M8107" t="n">
        <v>0</v>
      </c>
      <c r="N8107" t="n">
        <v>0</v>
      </c>
      <c r="O8107" t="n">
        <v>0</v>
      </c>
      <c r="P8107" t="n">
        <v>0</v>
      </c>
      <c r="Q8107" t="n">
        <v>0</v>
      </c>
      <c r="R8107" t="n">
        <v>0</v>
      </c>
      <c r="S8107" t="n">
        <v>0</v>
      </c>
      <c r="T8107" t="n">
        <v>0</v>
      </c>
      <c r="U8107" t="n">
        <v>0</v>
      </c>
      <c r="V8107" s="2" t="inlineStr"/>
    </row>
    <row r="8108" ht="15" customHeight="1">
      <c r="A8108" t="inlineStr">
        <is>
          <t>A 23387-2026</t>
        </is>
      </c>
      <c r="B8108" t="inlineStr">
        <is>
          <t>avverkningsanmälan</t>
        </is>
      </c>
      <c r="C8108" t="inlineStr">
        <is>
          <t>Föryngringsavverkning</t>
        </is>
      </c>
      <c r="D8108" s="1" t="n">
        <v>46162</v>
      </c>
      <c r="E8108" s="1" t="n">
        <v>46326</v>
      </c>
      <c r="F8108" t="inlineStr">
        <is>
          <t>GÄVLEBORGS LÄN</t>
        </is>
      </c>
      <c r="G8108" t="inlineStr">
        <is>
          <t>BOLLNÄS</t>
        </is>
      </c>
      <c r="I8108" t="n">
        <v>7.5</v>
      </c>
      <c r="J8108" t="n">
        <v>0</v>
      </c>
      <c r="K8108" t="n">
        <v>0</v>
      </c>
      <c r="L8108" t="n">
        <v>0</v>
      </c>
      <c r="M8108" t="n">
        <v>0</v>
      </c>
      <c r="N8108" t="n">
        <v>0</v>
      </c>
      <c r="O8108" t="n">
        <v>0</v>
      </c>
      <c r="P8108" t="n">
        <v>0</v>
      </c>
      <c r="Q8108" t="n">
        <v>0</v>
      </c>
      <c r="R8108" t="n">
        <v>0</v>
      </c>
      <c r="S8108" t="n">
        <v>0</v>
      </c>
      <c r="T8108" t="n">
        <v>0</v>
      </c>
      <c r="U8108" t="n">
        <v>0</v>
      </c>
      <c r="V8108" s="2" t="inlineStr"/>
    </row>
    <row r="8109" ht="15" customHeight="1">
      <c r="A8109" t="inlineStr">
        <is>
          <t>A 23441-2026</t>
        </is>
      </c>
      <c r="B8109" t="inlineStr">
        <is>
          <t>avverkningsanmälan</t>
        </is>
      </c>
      <c r="C8109" t="inlineStr">
        <is>
          <t>Föryngringsavverkning</t>
        </is>
      </c>
      <c r="D8109" s="1" t="n">
        <v>46163</v>
      </c>
      <c r="E8109" s="1" t="n">
        <v>46326</v>
      </c>
      <c r="F8109" t="inlineStr">
        <is>
          <t>GÄVLEBORGS LÄN</t>
        </is>
      </c>
      <c r="G8109" t="inlineStr">
        <is>
          <t>OVANÅKER</t>
        </is>
      </c>
      <c r="H8109" t="inlineStr">
        <is>
          <t>Bergvik skog öst AB</t>
        </is>
      </c>
      <c r="I8109" t="n">
        <v>0.7</v>
      </c>
      <c r="J8109" t="n">
        <v>0</v>
      </c>
      <c r="K8109" t="n">
        <v>0</v>
      </c>
      <c r="L8109" t="n">
        <v>0</v>
      </c>
      <c r="M8109" t="n">
        <v>0</v>
      </c>
      <c r="N8109" t="n">
        <v>0</v>
      </c>
      <c r="O8109" t="n">
        <v>0</v>
      </c>
      <c r="P8109" t="n">
        <v>0</v>
      </c>
      <c r="Q8109" t="n">
        <v>0</v>
      </c>
      <c r="R8109" t="n">
        <v>0</v>
      </c>
      <c r="S8109" t="n">
        <v>0</v>
      </c>
      <c r="T8109" t="n">
        <v>0</v>
      </c>
      <c r="U8109" t="n">
        <v>0</v>
      </c>
      <c r="V8109" s="2" t="inlineStr"/>
    </row>
    <row r="8110" ht="15" customHeight="1">
      <c r="A8110" t="inlineStr">
        <is>
          <t>A 23470-2026</t>
        </is>
      </c>
      <c r="B8110" t="inlineStr">
        <is>
          <t>avverkningsanmälan</t>
        </is>
      </c>
      <c r="C8110" t="inlineStr">
        <is>
          <t>Föryngringsavverkning</t>
        </is>
      </c>
      <c r="D8110" s="1" t="n">
        <v>46163</v>
      </c>
      <c r="E8110" s="1" t="n">
        <v>46326</v>
      </c>
      <c r="F8110" t="inlineStr">
        <is>
          <t>GÄVLEBORGS LÄN</t>
        </is>
      </c>
      <c r="G8110" t="inlineStr">
        <is>
          <t>SÖDERHAMN</t>
        </is>
      </c>
      <c r="I8110" t="n">
        <v>1.6</v>
      </c>
      <c r="J8110" t="n">
        <v>0</v>
      </c>
      <c r="K8110" t="n">
        <v>0</v>
      </c>
      <c r="L8110" t="n">
        <v>0</v>
      </c>
      <c r="M8110" t="n">
        <v>0</v>
      </c>
      <c r="N8110" t="n">
        <v>0</v>
      </c>
      <c r="O8110" t="n">
        <v>0</v>
      </c>
      <c r="P8110" t="n">
        <v>0</v>
      </c>
      <c r="Q8110" t="n">
        <v>0</v>
      </c>
      <c r="R8110" t="n">
        <v>0</v>
      </c>
      <c r="S8110" t="n">
        <v>0</v>
      </c>
      <c r="T8110" t="n">
        <v>0</v>
      </c>
      <c r="U8110" t="n">
        <v>0</v>
      </c>
      <c r="V8110" s="2" t="inlineStr"/>
    </row>
    <row r="8111" ht="15" customHeight="1">
      <c r="A8111" t="inlineStr">
        <is>
          <t>A 23471-2026</t>
        </is>
      </c>
      <c r="B8111" t="inlineStr">
        <is>
          <t>avverkningsanmälan</t>
        </is>
      </c>
      <c r="C8111" t="inlineStr">
        <is>
          <t>Föryngringsavverkning</t>
        </is>
      </c>
      <c r="D8111" s="1" t="n">
        <v>46163</v>
      </c>
      <c r="E8111" s="1" t="n">
        <v>46326</v>
      </c>
      <c r="F8111" t="inlineStr">
        <is>
          <t>GÄVLEBORGS LÄN</t>
        </is>
      </c>
      <c r="G8111" t="inlineStr">
        <is>
          <t>SANDVIKEN</t>
        </is>
      </c>
      <c r="H8111" t="inlineStr">
        <is>
          <t>Övriga statliga verk och myndigheter</t>
        </is>
      </c>
      <c r="I8111" t="n">
        <v>1.7</v>
      </c>
      <c r="J8111" t="n">
        <v>0</v>
      </c>
      <c r="K8111" t="n">
        <v>0</v>
      </c>
      <c r="L8111" t="n">
        <v>0</v>
      </c>
      <c r="M8111" t="n">
        <v>0</v>
      </c>
      <c r="N8111" t="n">
        <v>0</v>
      </c>
      <c r="O8111" t="n">
        <v>0</v>
      </c>
      <c r="P8111" t="n">
        <v>0</v>
      </c>
      <c r="Q8111" t="n">
        <v>0</v>
      </c>
      <c r="R8111" t="n">
        <v>0</v>
      </c>
      <c r="S8111" t="n">
        <v>0</v>
      </c>
      <c r="T8111" t="n">
        <v>0</v>
      </c>
      <c r="U8111" t="n">
        <v>0</v>
      </c>
      <c r="V8111" s="2" t="inlineStr"/>
    </row>
    <row r="8112" ht="15" customHeight="1">
      <c r="A8112" t="inlineStr">
        <is>
          <t>A 22448-2026</t>
        </is>
      </c>
      <c r="B8112" t="inlineStr">
        <is>
          <t>avverkningsanmälan</t>
        </is>
      </c>
      <c r="C8112" t="inlineStr">
        <is>
          <t>Föryngringsavverkning</t>
        </is>
      </c>
      <c r="D8112" s="1" t="n">
        <v>46155</v>
      </c>
      <c r="E8112" s="1" t="n">
        <v>46326</v>
      </c>
      <c r="F8112" t="inlineStr">
        <is>
          <t>GÄVLEBORGS LÄN</t>
        </is>
      </c>
      <c r="G8112" t="inlineStr">
        <is>
          <t>BOLLNÄS</t>
        </is>
      </c>
      <c r="H8112" t="inlineStr">
        <is>
          <t>Bergvik skog väst AB</t>
        </is>
      </c>
      <c r="I8112" t="n">
        <v>1.5</v>
      </c>
      <c r="J8112" t="n">
        <v>0</v>
      </c>
      <c r="K8112" t="n">
        <v>0</v>
      </c>
      <c r="L8112" t="n">
        <v>0</v>
      </c>
      <c r="M8112" t="n">
        <v>0</v>
      </c>
      <c r="N8112" t="n">
        <v>0</v>
      </c>
      <c r="O8112" t="n">
        <v>0</v>
      </c>
      <c r="P8112" t="n">
        <v>0</v>
      </c>
      <c r="Q8112" t="n">
        <v>0</v>
      </c>
      <c r="R8112" t="n">
        <v>0</v>
      </c>
      <c r="S8112" t="n">
        <v>0</v>
      </c>
      <c r="T8112" t="n">
        <v>0</v>
      </c>
      <c r="U8112" t="n">
        <v>0</v>
      </c>
      <c r="V8112" s="2" t="inlineStr"/>
    </row>
    <row r="8113" ht="15" customHeight="1">
      <c r="A8113" t="inlineStr">
        <is>
          <t>A 38342-2024</t>
        </is>
      </c>
      <c r="B8113" t="inlineStr">
        <is>
          <t>avverkningsanmälan</t>
        </is>
      </c>
      <c r="C8113" t="inlineStr">
        <is>
          <t>Föryngringsavverkning</t>
        </is>
      </c>
      <c r="D8113" s="1" t="n">
        <v>45545</v>
      </c>
      <c r="E8113" s="1" t="n">
        <v>46326</v>
      </c>
      <c r="F8113" t="inlineStr">
        <is>
          <t>GÄVLEBORGS LÄN</t>
        </is>
      </c>
      <c r="G8113" t="inlineStr">
        <is>
          <t>NORDANSTIG</t>
        </is>
      </c>
      <c r="H8113" t="inlineStr">
        <is>
          <t>Holmen skog AB</t>
        </is>
      </c>
      <c r="I8113" t="n">
        <v>2.9</v>
      </c>
      <c r="J8113" t="n">
        <v>0</v>
      </c>
      <c r="K8113" t="n">
        <v>0</v>
      </c>
      <c r="L8113" t="n">
        <v>0</v>
      </c>
      <c r="M8113" t="n">
        <v>0</v>
      </c>
      <c r="N8113" t="n">
        <v>0</v>
      </c>
      <c r="O8113" t="n">
        <v>0</v>
      </c>
      <c r="P8113" t="n">
        <v>0</v>
      </c>
      <c r="Q8113" t="n">
        <v>0</v>
      </c>
      <c r="R8113" t="n">
        <v>0</v>
      </c>
      <c r="S8113" t="n">
        <v>0</v>
      </c>
      <c r="T8113" t="n">
        <v>0</v>
      </c>
      <c r="U8113" t="n">
        <v>0</v>
      </c>
      <c r="V8113" s="2" t="inlineStr"/>
    </row>
    <row r="8114" ht="15" customHeight="1">
      <c r="A8114" t="inlineStr">
        <is>
          <t>A 23206-2026</t>
        </is>
      </c>
      <c r="B8114" t="inlineStr">
        <is>
          <t>avverkningsanmälan</t>
        </is>
      </c>
      <c r="C8114" t="inlineStr">
        <is>
          <t>Föryngringsavverkning</t>
        </is>
      </c>
      <c r="D8114" s="1" t="n">
        <v>46162</v>
      </c>
      <c r="E8114" s="1" t="n">
        <v>46326</v>
      </c>
      <c r="F8114" t="inlineStr">
        <is>
          <t>GÄVLEBORGS LÄN</t>
        </is>
      </c>
      <c r="G8114" t="inlineStr">
        <is>
          <t>BOLLNÄS</t>
        </is>
      </c>
      <c r="H8114" t="inlineStr">
        <is>
          <t>Bergvik skog väst AB</t>
        </is>
      </c>
      <c r="I8114" t="n">
        <v>2.2</v>
      </c>
      <c r="J8114" t="n">
        <v>0</v>
      </c>
      <c r="K8114" t="n">
        <v>0</v>
      </c>
      <c r="L8114" t="n">
        <v>0</v>
      </c>
      <c r="M8114" t="n">
        <v>0</v>
      </c>
      <c r="N8114" t="n">
        <v>0</v>
      </c>
      <c r="O8114" t="n">
        <v>0</v>
      </c>
      <c r="P8114" t="n">
        <v>0</v>
      </c>
      <c r="Q8114" t="n">
        <v>0</v>
      </c>
      <c r="R8114" t="n">
        <v>0</v>
      </c>
      <c r="S8114" t="n">
        <v>0</v>
      </c>
      <c r="T8114" t="n">
        <v>0</v>
      </c>
      <c r="U8114" t="n">
        <v>0</v>
      </c>
      <c r="V8114" s="2" t="inlineStr"/>
    </row>
    <row r="8115" ht="15" customHeight="1">
      <c r="A8115" t="inlineStr">
        <is>
          <t>A 991-2025</t>
        </is>
      </c>
      <c r="B8115" t="inlineStr">
        <is>
          <t>avverkningsanmälan</t>
        </is>
      </c>
      <c r="C8115" t="inlineStr">
        <is>
          <t>Föryngringsavverkning</t>
        </is>
      </c>
      <c r="D8115" s="1" t="n">
        <v>45666</v>
      </c>
      <c r="E8115" s="1" t="n">
        <v>46326</v>
      </c>
      <c r="F8115" t="inlineStr">
        <is>
          <t>GÄVLEBORGS LÄN</t>
        </is>
      </c>
      <c r="G8115" t="inlineStr">
        <is>
          <t>OVANÅKER</t>
        </is>
      </c>
      <c r="H8115" t="inlineStr">
        <is>
          <t>Bergvik skog väst AB</t>
        </is>
      </c>
      <c r="I8115" t="n">
        <v>2.7</v>
      </c>
      <c r="J8115" t="n">
        <v>0</v>
      </c>
      <c r="K8115" t="n">
        <v>0</v>
      </c>
      <c r="L8115" t="n">
        <v>0</v>
      </c>
      <c r="M8115" t="n">
        <v>0</v>
      </c>
      <c r="N8115" t="n">
        <v>0</v>
      </c>
      <c r="O8115" t="n">
        <v>0</v>
      </c>
      <c r="P8115" t="n">
        <v>0</v>
      </c>
      <c r="Q8115" t="n">
        <v>0</v>
      </c>
      <c r="R8115" t="n">
        <v>0</v>
      </c>
      <c r="S8115" t="n">
        <v>0</v>
      </c>
      <c r="T8115" t="n">
        <v>0</v>
      </c>
      <c r="U8115" t="n">
        <v>0</v>
      </c>
      <c r="V8115" s="2" t="inlineStr"/>
    </row>
    <row r="8116" ht="15" customHeight="1">
      <c r="A8116" t="inlineStr">
        <is>
          <t>A 23543-2026</t>
        </is>
      </c>
      <c r="B8116" t="inlineStr">
        <is>
          <t>avverkningsanmälan</t>
        </is>
      </c>
      <c r="C8116" t="inlineStr">
        <is>
          <t>Föryngringsavverkning</t>
        </is>
      </c>
      <c r="D8116" s="1" t="n">
        <v>46163</v>
      </c>
      <c r="E8116" s="1" t="n">
        <v>46326</v>
      </c>
      <c r="F8116" t="inlineStr">
        <is>
          <t>GÄVLEBORGS LÄN</t>
        </is>
      </c>
      <c r="G8116" t="inlineStr">
        <is>
          <t>OVANÅKER</t>
        </is>
      </c>
      <c r="I8116" t="n">
        <v>2</v>
      </c>
      <c r="J8116" t="n">
        <v>0</v>
      </c>
      <c r="K8116" t="n">
        <v>0</v>
      </c>
      <c r="L8116" t="n">
        <v>0</v>
      </c>
      <c r="M8116" t="n">
        <v>0</v>
      </c>
      <c r="N8116" t="n">
        <v>0</v>
      </c>
      <c r="O8116" t="n">
        <v>0</v>
      </c>
      <c r="P8116" t="n">
        <v>0</v>
      </c>
      <c r="Q8116" t="n">
        <v>0</v>
      </c>
      <c r="R8116" t="n">
        <v>0</v>
      </c>
      <c r="S8116" t="n">
        <v>0</v>
      </c>
      <c r="T8116" t="n">
        <v>0</v>
      </c>
      <c r="U8116" t="n">
        <v>0</v>
      </c>
      <c r="V8116" s="2" t="inlineStr"/>
    </row>
    <row r="8117" ht="15" customHeight="1">
      <c r="A8117" t="inlineStr">
        <is>
          <t>A 53281-2024</t>
        </is>
      </c>
      <c r="B8117" t="inlineStr">
        <is>
          <t>avverkningsanmälan</t>
        </is>
      </c>
      <c r="C8117" t="inlineStr">
        <is>
          <t>Föryngringsavverkning</t>
        </is>
      </c>
      <c r="D8117" s="1" t="n">
        <v>45614</v>
      </c>
      <c r="E8117" s="1" t="n">
        <v>46326</v>
      </c>
      <c r="F8117" t="inlineStr">
        <is>
          <t>GÄVLEBORGS LÄN</t>
        </is>
      </c>
      <c r="G8117" t="inlineStr">
        <is>
          <t>GÄVLE</t>
        </is>
      </c>
      <c r="I8117" t="n">
        <v>6.5</v>
      </c>
      <c r="J8117" t="n">
        <v>0</v>
      </c>
      <c r="K8117" t="n">
        <v>0</v>
      </c>
      <c r="L8117" t="n">
        <v>0</v>
      </c>
      <c r="M8117" t="n">
        <v>0</v>
      </c>
      <c r="N8117" t="n">
        <v>0</v>
      </c>
      <c r="O8117" t="n">
        <v>0</v>
      </c>
      <c r="P8117" t="n">
        <v>0</v>
      </c>
      <c r="Q8117" t="n">
        <v>0</v>
      </c>
      <c r="R8117" t="n">
        <v>0</v>
      </c>
      <c r="S8117" t="n">
        <v>0</v>
      </c>
      <c r="T8117" t="n">
        <v>0</v>
      </c>
      <c r="U8117" t="n">
        <v>0</v>
      </c>
      <c r="V8117" s="2" t="inlineStr"/>
    </row>
    <row r="8118" ht="15" customHeight="1">
      <c r="A8118" t="inlineStr">
        <is>
          <t>A 57891-2023</t>
        </is>
      </c>
      <c r="B8118" t="inlineStr">
        <is>
          <t>avverkningsanmälan</t>
        </is>
      </c>
      <c r="C8118" t="inlineStr">
        <is>
          <t>Föryngringsavverkning</t>
        </is>
      </c>
      <c r="D8118" s="1" t="n">
        <v>45247</v>
      </c>
      <c r="E8118" s="1" t="n">
        <v>46326</v>
      </c>
      <c r="F8118" t="inlineStr">
        <is>
          <t>GÄVLEBORGS LÄN</t>
        </is>
      </c>
      <c r="G8118" t="inlineStr">
        <is>
          <t>HUDIKSVALL</t>
        </is>
      </c>
      <c r="H8118" t="inlineStr">
        <is>
          <t>Holmen skog AB</t>
        </is>
      </c>
      <c r="I8118" t="n">
        <v>1.8</v>
      </c>
      <c r="J8118" t="n">
        <v>0</v>
      </c>
      <c r="K8118" t="n">
        <v>0</v>
      </c>
      <c r="L8118" t="n">
        <v>0</v>
      </c>
      <c r="M8118" t="n">
        <v>0</v>
      </c>
      <c r="N8118" t="n">
        <v>0</v>
      </c>
      <c r="O8118" t="n">
        <v>0</v>
      </c>
      <c r="P8118" t="n">
        <v>0</v>
      </c>
      <c r="Q8118" t="n">
        <v>0</v>
      </c>
      <c r="R8118" t="n">
        <v>0</v>
      </c>
      <c r="S8118" t="n">
        <v>0</v>
      </c>
      <c r="T8118" t="n">
        <v>0</v>
      </c>
      <c r="U8118" t="n">
        <v>0</v>
      </c>
      <c r="V8118" s="2" t="inlineStr"/>
    </row>
    <row r="8119" ht="15" customHeight="1">
      <c r="A8119" t="inlineStr">
        <is>
          <t>A 23280-2026</t>
        </is>
      </c>
      <c r="B8119" t="inlineStr">
        <is>
          <t>avverkningsanmälan</t>
        </is>
      </c>
      <c r="C8119" t="inlineStr">
        <is>
          <t>Föryngringsavverkning</t>
        </is>
      </c>
      <c r="D8119" s="1" t="n">
        <v>46162</v>
      </c>
      <c r="E8119" s="1" t="n">
        <v>46326</v>
      </c>
      <c r="F8119" t="inlineStr">
        <is>
          <t>GÄVLEBORGS LÄN</t>
        </is>
      </c>
      <c r="G8119" t="inlineStr">
        <is>
          <t>OVANÅKER</t>
        </is>
      </c>
      <c r="I8119" t="n">
        <v>5.4</v>
      </c>
      <c r="J8119" t="n">
        <v>0</v>
      </c>
      <c r="K8119" t="n">
        <v>0</v>
      </c>
      <c r="L8119" t="n">
        <v>0</v>
      </c>
      <c r="M8119" t="n">
        <v>0</v>
      </c>
      <c r="N8119" t="n">
        <v>0</v>
      </c>
      <c r="O8119" t="n">
        <v>0</v>
      </c>
      <c r="P8119" t="n">
        <v>0</v>
      </c>
      <c r="Q8119" t="n">
        <v>0</v>
      </c>
      <c r="R8119" t="n">
        <v>0</v>
      </c>
      <c r="S8119" t="n">
        <v>0</v>
      </c>
      <c r="T8119" t="n">
        <v>0</v>
      </c>
      <c r="U8119" t="n">
        <v>0</v>
      </c>
      <c r="V8119" s="2" t="inlineStr"/>
    </row>
    <row r="8120" ht="15" customHeight="1">
      <c r="A8120" t="inlineStr">
        <is>
          <t>A 23326-2026</t>
        </is>
      </c>
      <c r="B8120" t="inlineStr">
        <is>
          <t>avverkningsanmälan</t>
        </is>
      </c>
      <c r="C8120" t="inlineStr">
        <is>
          <t>Föryngringsavverkning</t>
        </is>
      </c>
      <c r="D8120" s="1" t="n">
        <v>46162</v>
      </c>
      <c r="E8120" s="1" t="n">
        <v>46326</v>
      </c>
      <c r="F8120" t="inlineStr">
        <is>
          <t>GÄVLEBORGS LÄN</t>
        </is>
      </c>
      <c r="G8120" t="inlineStr">
        <is>
          <t>HOFORS</t>
        </is>
      </c>
      <c r="H8120" t="inlineStr">
        <is>
          <t>Sveaskog</t>
        </is>
      </c>
      <c r="I8120" t="n">
        <v>1.4</v>
      </c>
      <c r="J8120" t="n">
        <v>0</v>
      </c>
      <c r="K8120" t="n">
        <v>0</v>
      </c>
      <c r="L8120" t="n">
        <v>0</v>
      </c>
      <c r="M8120" t="n">
        <v>0</v>
      </c>
      <c r="N8120" t="n">
        <v>0</v>
      </c>
      <c r="O8120" t="n">
        <v>0</v>
      </c>
      <c r="P8120" t="n">
        <v>0</v>
      </c>
      <c r="Q8120" t="n">
        <v>0</v>
      </c>
      <c r="R8120" t="n">
        <v>0</v>
      </c>
      <c r="S8120" t="n">
        <v>0</v>
      </c>
      <c r="T8120" t="n">
        <v>0</v>
      </c>
      <c r="U8120" t="n">
        <v>0</v>
      </c>
      <c r="V8120" s="2" t="inlineStr"/>
    </row>
    <row r="8121" ht="15" customHeight="1">
      <c r="A8121" t="inlineStr">
        <is>
          <t>A 23331-2026</t>
        </is>
      </c>
      <c r="B8121" t="inlineStr">
        <is>
          <t>avverkningsanmälan</t>
        </is>
      </c>
      <c r="C8121" t="inlineStr">
        <is>
          <t>Föryngringsavverkning</t>
        </is>
      </c>
      <c r="D8121" s="1" t="n">
        <v>46162</v>
      </c>
      <c r="E8121" s="1" t="n">
        <v>46326</v>
      </c>
      <c r="F8121" t="inlineStr">
        <is>
          <t>GÄVLEBORGS LÄN</t>
        </is>
      </c>
      <c r="G8121" t="inlineStr">
        <is>
          <t>BOLLNÄS</t>
        </is>
      </c>
      <c r="H8121" t="inlineStr">
        <is>
          <t>Bergvik skog väst AB</t>
        </is>
      </c>
      <c r="I8121" t="n">
        <v>2.3</v>
      </c>
      <c r="J8121" t="n">
        <v>0</v>
      </c>
      <c r="K8121" t="n">
        <v>0</v>
      </c>
      <c r="L8121" t="n">
        <v>0</v>
      </c>
      <c r="M8121" t="n">
        <v>0</v>
      </c>
      <c r="N8121" t="n">
        <v>0</v>
      </c>
      <c r="O8121" t="n">
        <v>0</v>
      </c>
      <c r="P8121" t="n">
        <v>0</v>
      </c>
      <c r="Q8121" t="n">
        <v>0</v>
      </c>
      <c r="R8121" t="n">
        <v>0</v>
      </c>
      <c r="S8121" t="n">
        <v>0</v>
      </c>
      <c r="T8121" t="n">
        <v>0</v>
      </c>
      <c r="U8121" t="n">
        <v>0</v>
      </c>
      <c r="V8121" s="2" t="inlineStr"/>
    </row>
    <row r="8122" ht="15" customHeight="1">
      <c r="A8122" t="inlineStr">
        <is>
          <t>A 23459-2026</t>
        </is>
      </c>
      <c r="B8122" t="inlineStr">
        <is>
          <t>avverkningsanmälan</t>
        </is>
      </c>
      <c r="C8122" t="inlineStr">
        <is>
          <t>Föryngringsavverkning</t>
        </is>
      </c>
      <c r="D8122" s="1" t="n">
        <v>46163</v>
      </c>
      <c r="E8122" s="1" t="n">
        <v>46326</v>
      </c>
      <c r="F8122" t="inlineStr">
        <is>
          <t>GÄVLEBORGS LÄN</t>
        </is>
      </c>
      <c r="G8122" t="inlineStr">
        <is>
          <t>SANDVIKEN</t>
        </is>
      </c>
      <c r="H8122" t="inlineStr">
        <is>
          <t>Övriga statliga verk och myndigheter</t>
        </is>
      </c>
      <c r="I8122" t="n">
        <v>2.3</v>
      </c>
      <c r="J8122" t="n">
        <v>0</v>
      </c>
      <c r="K8122" t="n">
        <v>0</v>
      </c>
      <c r="L8122" t="n">
        <v>0</v>
      </c>
      <c r="M8122" t="n">
        <v>0</v>
      </c>
      <c r="N8122" t="n">
        <v>0</v>
      </c>
      <c r="O8122" t="n">
        <v>0</v>
      </c>
      <c r="P8122" t="n">
        <v>0</v>
      </c>
      <c r="Q8122" t="n">
        <v>0</v>
      </c>
      <c r="R8122" t="n">
        <v>0</v>
      </c>
      <c r="S8122" t="n">
        <v>0</v>
      </c>
      <c r="T8122" t="n">
        <v>0</v>
      </c>
      <c r="U8122" t="n">
        <v>0</v>
      </c>
      <c r="V8122" s="2" t="inlineStr"/>
    </row>
    <row r="8123" ht="15" customHeight="1">
      <c r="A8123" t="inlineStr">
        <is>
          <t>A 59661-2024</t>
        </is>
      </c>
      <c r="B8123" t="inlineStr">
        <is>
          <t>avverkningsanmälan</t>
        </is>
      </c>
      <c r="C8123" t="inlineStr">
        <is>
          <t>Föryngringsavverkning</t>
        </is>
      </c>
      <c r="D8123" s="1" t="n">
        <v>45639</v>
      </c>
      <c r="E8123" s="1" t="n">
        <v>46326</v>
      </c>
      <c r="F8123" t="inlineStr">
        <is>
          <t>GÄVLEBORGS LÄN</t>
        </is>
      </c>
      <c r="G8123" t="inlineStr">
        <is>
          <t>SANDVIKEN</t>
        </is>
      </c>
      <c r="I8123" t="n">
        <v>3</v>
      </c>
      <c r="J8123" t="n">
        <v>0</v>
      </c>
      <c r="K8123" t="n">
        <v>0</v>
      </c>
      <c r="L8123" t="n">
        <v>0</v>
      </c>
      <c r="M8123" t="n">
        <v>0</v>
      </c>
      <c r="N8123" t="n">
        <v>0</v>
      </c>
      <c r="O8123" t="n">
        <v>0</v>
      </c>
      <c r="P8123" t="n">
        <v>0</v>
      </c>
      <c r="Q8123" t="n">
        <v>0</v>
      </c>
      <c r="R8123" t="n">
        <v>0</v>
      </c>
      <c r="S8123" t="n">
        <v>0</v>
      </c>
      <c r="T8123" t="n">
        <v>0</v>
      </c>
      <c r="U8123" t="n">
        <v>0</v>
      </c>
      <c r="V8123" s="2" t="inlineStr"/>
    </row>
    <row r="8124" ht="15" customHeight="1">
      <c r="A8124" t="inlineStr">
        <is>
          <t>A 23594-2026</t>
        </is>
      </c>
      <c r="B8124" t="inlineStr">
        <is>
          <t>avverkningsanmälan</t>
        </is>
      </c>
      <c r="C8124" t="inlineStr">
        <is>
          <t>Föryngringsavverkning</t>
        </is>
      </c>
      <c r="D8124" s="1" t="n">
        <v>46163</v>
      </c>
      <c r="E8124" s="1" t="n">
        <v>46326</v>
      </c>
      <c r="F8124" t="inlineStr">
        <is>
          <t>GÄVLEBORGS LÄN</t>
        </is>
      </c>
      <c r="G8124" t="inlineStr">
        <is>
          <t>BOLLNÄS</t>
        </is>
      </c>
      <c r="H8124" t="inlineStr">
        <is>
          <t>Bergvik skog väst AB</t>
        </is>
      </c>
      <c r="I8124" t="n">
        <v>0.7</v>
      </c>
      <c r="J8124" t="n">
        <v>0</v>
      </c>
      <c r="K8124" t="n">
        <v>0</v>
      </c>
      <c r="L8124" t="n">
        <v>0</v>
      </c>
      <c r="M8124" t="n">
        <v>0</v>
      </c>
      <c r="N8124" t="n">
        <v>0</v>
      </c>
      <c r="O8124" t="n">
        <v>0</v>
      </c>
      <c r="P8124" t="n">
        <v>0</v>
      </c>
      <c r="Q8124" t="n">
        <v>0</v>
      </c>
      <c r="R8124" t="n">
        <v>0</v>
      </c>
      <c r="S8124" t="n">
        <v>0</v>
      </c>
      <c r="T8124" t="n">
        <v>0</v>
      </c>
      <c r="U8124" t="n">
        <v>0</v>
      </c>
      <c r="V8124" s="2" t="inlineStr"/>
    </row>
    <row r="8125" ht="15" customHeight="1">
      <c r="A8125" t="inlineStr">
        <is>
          <t>A 61065-2023</t>
        </is>
      </c>
      <c r="B8125" t="inlineStr">
        <is>
          <t>avverkningsanmälan</t>
        </is>
      </c>
      <c r="C8125" t="inlineStr">
        <is>
          <t>Föryngringsavverkning</t>
        </is>
      </c>
      <c r="D8125" s="1" t="n">
        <v>45261</v>
      </c>
      <c r="E8125" s="1" t="n">
        <v>46326</v>
      </c>
      <c r="F8125" t="inlineStr">
        <is>
          <t>GÄVLEBORGS LÄN</t>
        </is>
      </c>
      <c r="G8125" t="inlineStr">
        <is>
          <t>BOLLNÄS</t>
        </is>
      </c>
      <c r="I8125" t="n">
        <v>0.5</v>
      </c>
      <c r="J8125" t="n">
        <v>0</v>
      </c>
      <c r="K8125" t="n">
        <v>0</v>
      </c>
      <c r="L8125" t="n">
        <v>0</v>
      </c>
      <c r="M8125" t="n">
        <v>0</v>
      </c>
      <c r="N8125" t="n">
        <v>0</v>
      </c>
      <c r="O8125" t="n">
        <v>0</v>
      </c>
      <c r="P8125" t="n">
        <v>0</v>
      </c>
      <c r="Q8125" t="n">
        <v>0</v>
      </c>
      <c r="R8125" t="n">
        <v>0</v>
      </c>
      <c r="S8125" t="n">
        <v>0</v>
      </c>
      <c r="T8125" t="n">
        <v>0</v>
      </c>
      <c r="U8125" t="n">
        <v>0</v>
      </c>
      <c r="V8125" s="2" t="inlineStr"/>
    </row>
    <row r="8126" ht="15" customHeight="1">
      <c r="A8126" t="inlineStr">
        <is>
          <t>A 61116-2023</t>
        </is>
      </c>
      <c r="B8126" t="inlineStr">
        <is>
          <t>avverkningsanmälan</t>
        </is>
      </c>
      <c r="C8126" t="inlineStr">
        <is>
          <t>Föryngringsavverkning</t>
        </is>
      </c>
      <c r="D8126" s="1" t="n">
        <v>45261</v>
      </c>
      <c r="E8126" s="1" t="n">
        <v>46326</v>
      </c>
      <c r="F8126" t="inlineStr">
        <is>
          <t>GÄVLEBORGS LÄN</t>
        </is>
      </c>
      <c r="G8126" t="inlineStr">
        <is>
          <t>OCKELBO</t>
        </is>
      </c>
      <c r="I8126" t="n">
        <v>1.1</v>
      </c>
      <c r="J8126" t="n">
        <v>0</v>
      </c>
      <c r="K8126" t="n">
        <v>0</v>
      </c>
      <c r="L8126" t="n">
        <v>0</v>
      </c>
      <c r="M8126" t="n">
        <v>0</v>
      </c>
      <c r="N8126" t="n">
        <v>0</v>
      </c>
      <c r="O8126" t="n">
        <v>0</v>
      </c>
      <c r="P8126" t="n">
        <v>0</v>
      </c>
      <c r="Q8126" t="n">
        <v>0</v>
      </c>
      <c r="R8126" t="n">
        <v>0</v>
      </c>
      <c r="S8126" t="n">
        <v>0</v>
      </c>
      <c r="T8126" t="n">
        <v>0</v>
      </c>
      <c r="U8126" t="n">
        <v>0</v>
      </c>
      <c r="V8126" s="2" t="inlineStr"/>
    </row>
    <row r="8127" ht="15" customHeight="1">
      <c r="A8127" t="inlineStr">
        <is>
          <t>A 9758-2026</t>
        </is>
      </c>
      <c r="B8127" t="inlineStr">
        <is>
          <t>avverkningsanmälan</t>
        </is>
      </c>
      <c r="C8127" t="inlineStr">
        <is>
          <t>Föryngringsavverkning</t>
        </is>
      </c>
      <c r="D8127" s="1" t="n">
        <v>46072</v>
      </c>
      <c r="E8127" s="1" t="n">
        <v>46326</v>
      </c>
      <c r="F8127" t="inlineStr">
        <is>
          <t>GÄVLEBORGS LÄN</t>
        </is>
      </c>
      <c r="G8127" t="inlineStr">
        <is>
          <t>BOLLNÄS</t>
        </is>
      </c>
      <c r="H8127" t="inlineStr">
        <is>
          <t>Sveaskog</t>
        </is>
      </c>
      <c r="I8127" t="n">
        <v>2</v>
      </c>
      <c r="J8127" t="n">
        <v>0</v>
      </c>
      <c r="K8127" t="n">
        <v>0</v>
      </c>
      <c r="L8127" t="n">
        <v>0</v>
      </c>
      <c r="M8127" t="n">
        <v>0</v>
      </c>
      <c r="N8127" t="n">
        <v>0</v>
      </c>
      <c r="O8127" t="n">
        <v>0</v>
      </c>
      <c r="P8127" t="n">
        <v>0</v>
      </c>
      <c r="Q8127" t="n">
        <v>0</v>
      </c>
      <c r="R8127" t="n">
        <v>0</v>
      </c>
      <c r="S8127" t="n">
        <v>0</v>
      </c>
      <c r="T8127" t="n">
        <v>0</v>
      </c>
      <c r="U8127" t="n">
        <v>0</v>
      </c>
      <c r="V8127" s="2" t="inlineStr"/>
    </row>
    <row r="8128" ht="15" customHeight="1">
      <c r="A8128" t="inlineStr">
        <is>
          <t>A 23765-2026</t>
        </is>
      </c>
      <c r="B8128" t="inlineStr">
        <is>
          <t>avverkningsanmälan</t>
        </is>
      </c>
      <c r="C8128" t="inlineStr">
        <is>
          <t>Föryngringsavverkning</t>
        </is>
      </c>
      <c r="D8128" s="1" t="n">
        <v>46164</v>
      </c>
      <c r="E8128" s="1" t="n">
        <v>46326</v>
      </c>
      <c r="F8128" t="inlineStr">
        <is>
          <t>GÄVLEBORGS LÄN</t>
        </is>
      </c>
      <c r="G8128" t="inlineStr">
        <is>
          <t>OVANÅKER</t>
        </is>
      </c>
      <c r="I8128" t="n">
        <v>2</v>
      </c>
      <c r="J8128" t="n">
        <v>0</v>
      </c>
      <c r="K8128" t="n">
        <v>0</v>
      </c>
      <c r="L8128" t="n">
        <v>0</v>
      </c>
      <c r="M8128" t="n">
        <v>0</v>
      </c>
      <c r="N8128" t="n">
        <v>0</v>
      </c>
      <c r="O8128" t="n">
        <v>0</v>
      </c>
      <c r="P8128" t="n">
        <v>0</v>
      </c>
      <c r="Q8128" t="n">
        <v>0</v>
      </c>
      <c r="R8128" t="n">
        <v>0</v>
      </c>
      <c r="S8128" t="n">
        <v>0</v>
      </c>
      <c r="T8128" t="n">
        <v>0</v>
      </c>
      <c r="U8128" t="n">
        <v>0</v>
      </c>
      <c r="V8128" s="2" t="inlineStr"/>
    </row>
    <row r="8129" ht="15" customHeight="1">
      <c r="A8129" t="inlineStr">
        <is>
          <t>A 23821-2026</t>
        </is>
      </c>
      <c r="B8129" t="inlineStr">
        <is>
          <t>avverkningsanmälan</t>
        </is>
      </c>
      <c r="C8129" t="inlineStr">
        <is>
          <t>Föryngringsavverkning</t>
        </is>
      </c>
      <c r="D8129" s="1" t="n">
        <v>46165</v>
      </c>
      <c r="E8129" s="1" t="n">
        <v>46326</v>
      </c>
      <c r="F8129" t="inlineStr">
        <is>
          <t>GÄVLEBORGS LÄN</t>
        </is>
      </c>
      <c r="G8129" t="inlineStr">
        <is>
          <t>SANDVIKEN</t>
        </is>
      </c>
      <c r="H8129" t="inlineStr">
        <is>
          <t>Bergvik skog öst AB</t>
        </is>
      </c>
      <c r="I8129" t="n">
        <v>1.9</v>
      </c>
      <c r="J8129" t="n">
        <v>0</v>
      </c>
      <c r="K8129" t="n">
        <v>0</v>
      </c>
      <c r="L8129" t="n">
        <v>0</v>
      </c>
      <c r="M8129" t="n">
        <v>0</v>
      </c>
      <c r="N8129" t="n">
        <v>0</v>
      </c>
      <c r="O8129" t="n">
        <v>0</v>
      </c>
      <c r="P8129" t="n">
        <v>0</v>
      </c>
      <c r="Q8129" t="n">
        <v>0</v>
      </c>
      <c r="R8129" t="n">
        <v>0</v>
      </c>
      <c r="S8129" t="n">
        <v>0</v>
      </c>
      <c r="T8129" t="n">
        <v>0</v>
      </c>
      <c r="U8129" t="n">
        <v>0</v>
      </c>
      <c r="V8129" s="2" t="inlineStr"/>
    </row>
    <row r="8130" ht="15" customHeight="1">
      <c r="A8130" t="inlineStr">
        <is>
          <t>A 26264-2023</t>
        </is>
      </c>
      <c r="B8130" t="inlineStr">
        <is>
          <t>avverkningsanmälan</t>
        </is>
      </c>
      <c r="C8130" t="inlineStr">
        <is>
          <t>Föryngringsavverkning</t>
        </is>
      </c>
      <c r="D8130" s="1" t="n">
        <v>45091</v>
      </c>
      <c r="E8130" s="1" t="n">
        <v>46326</v>
      </c>
      <c r="F8130" t="inlineStr">
        <is>
          <t>GÄVLEBORGS LÄN</t>
        </is>
      </c>
      <c r="G8130" t="inlineStr">
        <is>
          <t>LJUSDAL</t>
        </is>
      </c>
      <c r="I8130" t="n">
        <v>6.3</v>
      </c>
      <c r="J8130" t="n">
        <v>0</v>
      </c>
      <c r="K8130" t="n">
        <v>0</v>
      </c>
      <c r="L8130" t="n">
        <v>0</v>
      </c>
      <c r="M8130" t="n">
        <v>0</v>
      </c>
      <c r="N8130" t="n">
        <v>0</v>
      </c>
      <c r="O8130" t="n">
        <v>0</v>
      </c>
      <c r="P8130" t="n">
        <v>0</v>
      </c>
      <c r="Q8130" t="n">
        <v>0</v>
      </c>
      <c r="R8130" t="n">
        <v>0</v>
      </c>
      <c r="S8130" t="n">
        <v>0</v>
      </c>
      <c r="T8130" t="n">
        <v>0</v>
      </c>
      <c r="U8130" t="n">
        <v>0</v>
      </c>
      <c r="V8130" s="2" t="inlineStr"/>
    </row>
    <row r="8131" ht="15" customHeight="1">
      <c r="A8131" t="inlineStr">
        <is>
          <t>A 23956-2026</t>
        </is>
      </c>
      <c r="B8131" t="inlineStr">
        <is>
          <t>avverkningsanmälan</t>
        </is>
      </c>
      <c r="C8131" t="inlineStr">
        <is>
          <t>Föryngringsavverkning</t>
        </is>
      </c>
      <c r="D8131" s="1" t="n">
        <v>46167</v>
      </c>
      <c r="E8131" s="1" t="n">
        <v>46326</v>
      </c>
      <c r="F8131" t="inlineStr">
        <is>
          <t>GÄVLEBORGS LÄN</t>
        </is>
      </c>
      <c r="G8131" t="inlineStr">
        <is>
          <t>GÄVLE</t>
        </is>
      </c>
      <c r="I8131" t="n">
        <v>1.9</v>
      </c>
      <c r="J8131" t="n">
        <v>0</v>
      </c>
      <c r="K8131" t="n">
        <v>0</v>
      </c>
      <c r="L8131" t="n">
        <v>0</v>
      </c>
      <c r="M8131" t="n">
        <v>0</v>
      </c>
      <c r="N8131" t="n">
        <v>0</v>
      </c>
      <c r="O8131" t="n">
        <v>0</v>
      </c>
      <c r="P8131" t="n">
        <v>0</v>
      </c>
      <c r="Q8131" t="n">
        <v>0</v>
      </c>
      <c r="R8131" t="n">
        <v>0</v>
      </c>
      <c r="S8131" t="n">
        <v>0</v>
      </c>
      <c r="T8131" t="n">
        <v>0</v>
      </c>
      <c r="U8131" t="n">
        <v>0</v>
      </c>
      <c r="V8131" s="2" t="inlineStr"/>
    </row>
    <row r="8132" ht="15" customHeight="1">
      <c r="A8132" t="inlineStr">
        <is>
          <t>A 20117-2025</t>
        </is>
      </c>
      <c r="B8132" t="inlineStr">
        <is>
          <t>avverkningsanmälan</t>
        </is>
      </c>
      <c r="C8132" t="inlineStr">
        <is>
          <t>Föryngringsavverkning</t>
        </is>
      </c>
      <c r="D8132" s="1" t="n">
        <v>45772</v>
      </c>
      <c r="E8132" s="1" t="n">
        <v>46326</v>
      </c>
      <c r="F8132" t="inlineStr">
        <is>
          <t>GÄVLEBORGS LÄN</t>
        </is>
      </c>
      <c r="G8132" t="inlineStr">
        <is>
          <t>OVANÅKER</t>
        </is>
      </c>
      <c r="I8132" t="n">
        <v>2.5</v>
      </c>
      <c r="J8132" t="n">
        <v>0</v>
      </c>
      <c r="K8132" t="n">
        <v>0</v>
      </c>
      <c r="L8132" t="n">
        <v>0</v>
      </c>
      <c r="M8132" t="n">
        <v>0</v>
      </c>
      <c r="N8132" t="n">
        <v>0</v>
      </c>
      <c r="O8132" t="n">
        <v>0</v>
      </c>
      <c r="P8132" t="n">
        <v>0</v>
      </c>
      <c r="Q8132" t="n">
        <v>0</v>
      </c>
      <c r="R8132" t="n">
        <v>0</v>
      </c>
      <c r="S8132" t="n">
        <v>0</v>
      </c>
      <c r="T8132" t="n">
        <v>0</v>
      </c>
      <c r="U8132" t="n">
        <v>0</v>
      </c>
      <c r="V8132" s="2" t="inlineStr"/>
    </row>
    <row r="8133" ht="15" customHeight="1">
      <c r="A8133" t="inlineStr">
        <is>
          <t>A 11482-2025</t>
        </is>
      </c>
      <c r="B8133" t="inlineStr">
        <is>
          <t>avverkningsanmälan</t>
        </is>
      </c>
      <c r="C8133" t="inlineStr">
        <is>
          <t>Föryngringsavverkning</t>
        </is>
      </c>
      <c r="D8133" s="1" t="n">
        <v>45726</v>
      </c>
      <c r="E8133" s="1" t="n">
        <v>46326</v>
      </c>
      <c r="F8133" t="inlineStr">
        <is>
          <t>GÄVLEBORGS LÄN</t>
        </is>
      </c>
      <c r="G8133" t="inlineStr">
        <is>
          <t>OVANÅKER</t>
        </is>
      </c>
      <c r="I8133" t="n">
        <v>1.5</v>
      </c>
      <c r="J8133" t="n">
        <v>0</v>
      </c>
      <c r="K8133" t="n">
        <v>0</v>
      </c>
      <c r="L8133" t="n">
        <v>0</v>
      </c>
      <c r="M8133" t="n">
        <v>0</v>
      </c>
      <c r="N8133" t="n">
        <v>0</v>
      </c>
      <c r="O8133" t="n">
        <v>0</v>
      </c>
      <c r="P8133" t="n">
        <v>0</v>
      </c>
      <c r="Q8133" t="n">
        <v>0</v>
      </c>
      <c r="R8133" t="n">
        <v>0</v>
      </c>
      <c r="S8133" t="n">
        <v>0</v>
      </c>
      <c r="T8133" t="n">
        <v>0</v>
      </c>
      <c r="U8133" t="n">
        <v>0</v>
      </c>
      <c r="V8133" s="2" t="inlineStr"/>
    </row>
    <row r="8134" ht="15" customHeight="1">
      <c r="A8134" t="inlineStr">
        <is>
          <t>A 51798-2023</t>
        </is>
      </c>
      <c r="B8134" t="inlineStr">
        <is>
          <t>avverkningsanmälan</t>
        </is>
      </c>
      <c r="C8134" t="inlineStr">
        <is>
          <t>Föryngringsavverkning</t>
        </is>
      </c>
      <c r="D8134" s="1" t="n">
        <v>45222</v>
      </c>
      <c r="E8134" s="1" t="n">
        <v>46326</v>
      </c>
      <c r="F8134" t="inlineStr">
        <is>
          <t>GÄVLEBORGS LÄN</t>
        </is>
      </c>
      <c r="G8134" t="inlineStr">
        <is>
          <t>LJUSDAL</t>
        </is>
      </c>
      <c r="I8134" t="n">
        <v>1.2</v>
      </c>
      <c r="J8134" t="n">
        <v>0</v>
      </c>
      <c r="K8134" t="n">
        <v>0</v>
      </c>
      <c r="L8134" t="n">
        <v>0</v>
      </c>
      <c r="M8134" t="n">
        <v>0</v>
      </c>
      <c r="N8134" t="n">
        <v>0</v>
      </c>
      <c r="O8134" t="n">
        <v>0</v>
      </c>
      <c r="P8134" t="n">
        <v>0</v>
      </c>
      <c r="Q8134" t="n">
        <v>0</v>
      </c>
      <c r="R8134" t="n">
        <v>0</v>
      </c>
      <c r="S8134" t="n">
        <v>0</v>
      </c>
      <c r="T8134" t="n">
        <v>0</v>
      </c>
      <c r="U8134" t="n">
        <v>0</v>
      </c>
      <c r="V8134" s="2" t="inlineStr"/>
    </row>
    <row r="8135" ht="15" customHeight="1">
      <c r="A8135" t="inlineStr">
        <is>
          <t>A 8619-2026</t>
        </is>
      </c>
      <c r="B8135" t="inlineStr">
        <is>
          <t>avverkningsanmälan</t>
        </is>
      </c>
      <c r="C8135" t="inlineStr">
        <is>
          <t>Föryngringsavverkning</t>
        </is>
      </c>
      <c r="D8135" s="1" t="n">
        <v>46066</v>
      </c>
      <c r="E8135" s="1" t="n">
        <v>46326</v>
      </c>
      <c r="F8135" t="inlineStr">
        <is>
          <t>GÄVLEBORGS LÄN</t>
        </is>
      </c>
      <c r="G8135" t="inlineStr">
        <is>
          <t>OVANÅKER</t>
        </is>
      </c>
      <c r="I8135" t="n">
        <v>3.5</v>
      </c>
      <c r="J8135" t="n">
        <v>0</v>
      </c>
      <c r="K8135" t="n">
        <v>0</v>
      </c>
      <c r="L8135" t="n">
        <v>0</v>
      </c>
      <c r="M8135" t="n">
        <v>0</v>
      </c>
      <c r="N8135" t="n">
        <v>0</v>
      </c>
      <c r="O8135" t="n">
        <v>0</v>
      </c>
      <c r="P8135" t="n">
        <v>0</v>
      </c>
      <c r="Q8135" t="n">
        <v>0</v>
      </c>
      <c r="R8135" t="n">
        <v>0</v>
      </c>
      <c r="S8135" t="n">
        <v>0</v>
      </c>
      <c r="T8135" t="n">
        <v>0</v>
      </c>
      <c r="U8135" t="n">
        <v>0</v>
      </c>
      <c r="V8135" s="2" t="inlineStr"/>
    </row>
    <row r="8136" ht="15" customHeight="1">
      <c r="A8136" t="inlineStr">
        <is>
          <t>A 23881-2026</t>
        </is>
      </c>
      <c r="B8136" t="inlineStr">
        <is>
          <t>avverkningsanmälan</t>
        </is>
      </c>
      <c r="C8136" t="inlineStr">
        <is>
          <t>Föryngringsavverkning</t>
        </is>
      </c>
      <c r="D8136" s="1" t="n">
        <v>46167</v>
      </c>
      <c r="E8136" s="1" t="n">
        <v>46326</v>
      </c>
      <c r="F8136" t="inlineStr">
        <is>
          <t>GÄVLEBORGS LÄN</t>
        </is>
      </c>
      <c r="G8136" t="inlineStr">
        <is>
          <t>BOLLNÄS</t>
        </is>
      </c>
      <c r="I8136" t="n">
        <v>5.9</v>
      </c>
      <c r="J8136" t="n">
        <v>0</v>
      </c>
      <c r="K8136" t="n">
        <v>0</v>
      </c>
      <c r="L8136" t="n">
        <v>0</v>
      </c>
      <c r="M8136" t="n">
        <v>0</v>
      </c>
      <c r="N8136" t="n">
        <v>0</v>
      </c>
      <c r="O8136" t="n">
        <v>0</v>
      </c>
      <c r="P8136" t="n">
        <v>0</v>
      </c>
      <c r="Q8136" t="n">
        <v>0</v>
      </c>
      <c r="R8136" t="n">
        <v>0</v>
      </c>
      <c r="S8136" t="n">
        <v>0</v>
      </c>
      <c r="T8136" t="n">
        <v>0</v>
      </c>
      <c r="U8136" t="n">
        <v>0</v>
      </c>
      <c r="V8136" s="2" t="inlineStr"/>
    </row>
    <row r="8137" ht="15" customHeight="1">
      <c r="A8137" t="inlineStr">
        <is>
          <t>A 60879-2023</t>
        </is>
      </c>
      <c r="B8137" t="inlineStr">
        <is>
          <t>avverkningsanmälan</t>
        </is>
      </c>
      <c r="C8137" t="inlineStr">
        <is>
          <t>Föryngringsavverkning</t>
        </is>
      </c>
      <c r="D8137" s="1" t="n">
        <v>45261</v>
      </c>
      <c r="E8137" s="1" t="n">
        <v>46326</v>
      </c>
      <c r="F8137" t="inlineStr">
        <is>
          <t>GÄVLEBORGS LÄN</t>
        </is>
      </c>
      <c r="G8137" t="inlineStr">
        <is>
          <t>GÄVLE</t>
        </is>
      </c>
      <c r="I8137" t="n">
        <v>0.8</v>
      </c>
      <c r="J8137" t="n">
        <v>0</v>
      </c>
      <c r="K8137" t="n">
        <v>0</v>
      </c>
      <c r="L8137" t="n">
        <v>0</v>
      </c>
      <c r="M8137" t="n">
        <v>0</v>
      </c>
      <c r="N8137" t="n">
        <v>0</v>
      </c>
      <c r="O8137" t="n">
        <v>0</v>
      </c>
      <c r="P8137" t="n">
        <v>0</v>
      </c>
      <c r="Q8137" t="n">
        <v>0</v>
      </c>
      <c r="R8137" t="n">
        <v>0</v>
      </c>
      <c r="S8137" t="n">
        <v>0</v>
      </c>
      <c r="T8137" t="n">
        <v>0</v>
      </c>
      <c r="U8137" t="n">
        <v>0</v>
      </c>
      <c r="V8137" s="2" t="inlineStr"/>
    </row>
    <row r="8138" ht="15" customHeight="1">
      <c r="A8138" t="inlineStr">
        <is>
          <t>A 23719-2026</t>
        </is>
      </c>
      <c r="B8138" t="inlineStr">
        <is>
          <t>avverkningsanmälan</t>
        </is>
      </c>
      <c r="C8138" t="inlineStr">
        <is>
          <t>Föryngringsavverkning</t>
        </is>
      </c>
      <c r="D8138" s="1" t="n">
        <v>46164</v>
      </c>
      <c r="E8138" s="1" t="n">
        <v>46326</v>
      </c>
      <c r="F8138" t="inlineStr">
        <is>
          <t>GÄVLEBORGS LÄN</t>
        </is>
      </c>
      <c r="G8138" t="inlineStr">
        <is>
          <t>BOLLNÄS</t>
        </is>
      </c>
      <c r="H8138" t="inlineStr">
        <is>
          <t>Bergvik skog väst AB</t>
        </is>
      </c>
      <c r="I8138" t="n">
        <v>1</v>
      </c>
      <c r="J8138" t="n">
        <v>0</v>
      </c>
      <c r="K8138" t="n">
        <v>0</v>
      </c>
      <c r="L8138" t="n">
        <v>0</v>
      </c>
      <c r="M8138" t="n">
        <v>0</v>
      </c>
      <c r="N8138" t="n">
        <v>0</v>
      </c>
      <c r="O8138" t="n">
        <v>0</v>
      </c>
      <c r="P8138" t="n">
        <v>0</v>
      </c>
      <c r="Q8138" t="n">
        <v>0</v>
      </c>
      <c r="R8138" t="n">
        <v>0</v>
      </c>
      <c r="S8138" t="n">
        <v>0</v>
      </c>
      <c r="T8138" t="n">
        <v>0</v>
      </c>
      <c r="U8138" t="n">
        <v>0</v>
      </c>
      <c r="V8138" s="2" t="inlineStr"/>
    </row>
    <row r="8139" ht="15" customHeight="1">
      <c r="A8139" t="inlineStr">
        <is>
          <t>A 23891-2026</t>
        </is>
      </c>
      <c r="B8139" t="inlineStr">
        <is>
          <t>avverkningsanmälan</t>
        </is>
      </c>
      <c r="C8139" t="inlineStr">
        <is>
          <t>Föryngringsavverkning</t>
        </is>
      </c>
      <c r="D8139" s="1" t="n">
        <v>46167</v>
      </c>
      <c r="E8139" s="1" t="n">
        <v>46326</v>
      </c>
      <c r="F8139" t="inlineStr">
        <is>
          <t>GÄVLEBORGS LÄN</t>
        </is>
      </c>
      <c r="G8139" t="inlineStr">
        <is>
          <t>BOLLNÄS</t>
        </is>
      </c>
      <c r="I8139" t="n">
        <v>0.9</v>
      </c>
      <c r="J8139" t="n">
        <v>0</v>
      </c>
      <c r="K8139" t="n">
        <v>0</v>
      </c>
      <c r="L8139" t="n">
        <v>0</v>
      </c>
      <c r="M8139" t="n">
        <v>0</v>
      </c>
      <c r="N8139" t="n">
        <v>0</v>
      </c>
      <c r="O8139" t="n">
        <v>0</v>
      </c>
      <c r="P8139" t="n">
        <v>0</v>
      </c>
      <c r="Q8139" t="n">
        <v>0</v>
      </c>
      <c r="R8139" t="n">
        <v>0</v>
      </c>
      <c r="S8139" t="n">
        <v>0</v>
      </c>
      <c r="T8139" t="n">
        <v>0</v>
      </c>
      <c r="U8139" t="n">
        <v>0</v>
      </c>
      <c r="V8139" s="2" t="inlineStr"/>
    </row>
    <row r="8140" ht="15" customHeight="1">
      <c r="A8140" t="inlineStr">
        <is>
          <t>A 34293-2024</t>
        </is>
      </c>
      <c r="B8140" t="inlineStr">
        <is>
          <t>avverkningsanmälan</t>
        </is>
      </c>
      <c r="C8140" t="inlineStr">
        <is>
          <t>Föryngringsavverkning</t>
        </is>
      </c>
      <c r="D8140" s="1" t="n">
        <v>45524</v>
      </c>
      <c r="E8140" s="1" t="n">
        <v>46326</v>
      </c>
      <c r="F8140" t="inlineStr">
        <is>
          <t>GÄVLEBORGS LÄN</t>
        </is>
      </c>
      <c r="G8140" t="inlineStr">
        <is>
          <t>HUDIKSVALL</t>
        </is>
      </c>
      <c r="H8140" t="inlineStr">
        <is>
          <t>Holmen skog AB</t>
        </is>
      </c>
      <c r="I8140" t="n">
        <v>0.9</v>
      </c>
      <c r="J8140" t="n">
        <v>0</v>
      </c>
      <c r="K8140" t="n">
        <v>0</v>
      </c>
      <c r="L8140" t="n">
        <v>0</v>
      </c>
      <c r="M8140" t="n">
        <v>0</v>
      </c>
      <c r="N8140" t="n">
        <v>0</v>
      </c>
      <c r="O8140" t="n">
        <v>0</v>
      </c>
      <c r="P8140" t="n">
        <v>0</v>
      </c>
      <c r="Q8140" t="n">
        <v>0</v>
      </c>
      <c r="R8140" t="n">
        <v>0</v>
      </c>
      <c r="S8140" t="n">
        <v>0</v>
      </c>
      <c r="T8140" t="n">
        <v>0</v>
      </c>
      <c r="U8140" t="n">
        <v>0</v>
      </c>
      <c r="V8140" s="2" t="inlineStr"/>
    </row>
    <row r="8141" ht="15" customHeight="1">
      <c r="A8141" t="inlineStr">
        <is>
          <t>A 23764-2026</t>
        </is>
      </c>
      <c r="B8141" t="inlineStr">
        <is>
          <t>avverkningsanmälan</t>
        </is>
      </c>
      <c r="C8141" t="inlineStr">
        <is>
          <t>Föryngringsavverkning</t>
        </is>
      </c>
      <c r="D8141" s="1" t="n">
        <v>46164</v>
      </c>
      <c r="E8141" s="1" t="n">
        <v>46326</v>
      </c>
      <c r="F8141" t="inlineStr">
        <is>
          <t>GÄVLEBORGS LÄN</t>
        </is>
      </c>
      <c r="G8141" t="inlineStr">
        <is>
          <t>NORDANSTIG</t>
        </is>
      </c>
      <c r="H8141" t="inlineStr">
        <is>
          <t>Holmen skog AB</t>
        </is>
      </c>
      <c r="I8141" t="n">
        <v>1.2</v>
      </c>
      <c r="J8141" t="n">
        <v>0</v>
      </c>
      <c r="K8141" t="n">
        <v>0</v>
      </c>
      <c r="L8141" t="n">
        <v>0</v>
      </c>
      <c r="M8141" t="n">
        <v>0</v>
      </c>
      <c r="N8141" t="n">
        <v>0</v>
      </c>
      <c r="O8141" t="n">
        <v>0</v>
      </c>
      <c r="P8141" t="n">
        <v>0</v>
      </c>
      <c r="Q8141" t="n">
        <v>0</v>
      </c>
      <c r="R8141" t="n">
        <v>0</v>
      </c>
      <c r="S8141" t="n">
        <v>0</v>
      </c>
      <c r="T8141" t="n">
        <v>0</v>
      </c>
      <c r="U8141" t="n">
        <v>0</v>
      </c>
      <c r="V8141" s="2" t="inlineStr"/>
    </row>
    <row r="8142" ht="15" customHeight="1">
      <c r="A8142" t="inlineStr">
        <is>
          <t>A 23768-2026</t>
        </is>
      </c>
      <c r="B8142" t="inlineStr">
        <is>
          <t>avverkningsanmälan</t>
        </is>
      </c>
      <c r="C8142" t="inlineStr">
        <is>
          <t>Föryngringsavverkning</t>
        </is>
      </c>
      <c r="D8142" s="1" t="n">
        <v>46164</v>
      </c>
      <c r="E8142" s="1" t="n">
        <v>46326</v>
      </c>
      <c r="F8142" t="inlineStr">
        <is>
          <t>GÄVLEBORGS LÄN</t>
        </is>
      </c>
      <c r="G8142" t="inlineStr">
        <is>
          <t>HUDIKSVALL</t>
        </is>
      </c>
      <c r="I8142" t="n">
        <v>1.5</v>
      </c>
      <c r="J8142" t="n">
        <v>0</v>
      </c>
      <c r="K8142" t="n">
        <v>0</v>
      </c>
      <c r="L8142" t="n">
        <v>0</v>
      </c>
      <c r="M8142" t="n">
        <v>0</v>
      </c>
      <c r="N8142" t="n">
        <v>0</v>
      </c>
      <c r="O8142" t="n">
        <v>0</v>
      </c>
      <c r="P8142" t="n">
        <v>0</v>
      </c>
      <c r="Q8142" t="n">
        <v>0</v>
      </c>
      <c r="R8142" t="n">
        <v>0</v>
      </c>
      <c r="S8142" t="n">
        <v>0</v>
      </c>
      <c r="T8142" t="n">
        <v>0</v>
      </c>
      <c r="U8142" t="n">
        <v>0</v>
      </c>
      <c r="V8142" s="2" t="inlineStr"/>
    </row>
    <row r="8143" ht="15" customHeight="1">
      <c r="A8143" t="inlineStr">
        <is>
          <t>A 51292-2023</t>
        </is>
      </c>
      <c r="B8143" t="inlineStr">
        <is>
          <t>avverkningsanmälan</t>
        </is>
      </c>
      <c r="C8143" t="inlineStr">
        <is>
          <t>Föryngringsavverkning</t>
        </is>
      </c>
      <c r="D8143" s="1" t="n">
        <v>45219</v>
      </c>
      <c r="E8143" s="1" t="n">
        <v>46326</v>
      </c>
      <c r="F8143" t="inlineStr">
        <is>
          <t>GÄVLEBORGS LÄN</t>
        </is>
      </c>
      <c r="G8143" t="inlineStr">
        <is>
          <t>SÖDERHAMN</t>
        </is>
      </c>
      <c r="I8143" t="n">
        <v>2.7</v>
      </c>
      <c r="J8143" t="n">
        <v>0</v>
      </c>
      <c r="K8143" t="n">
        <v>0</v>
      </c>
      <c r="L8143" t="n">
        <v>0</v>
      </c>
      <c r="M8143" t="n">
        <v>0</v>
      </c>
      <c r="N8143" t="n">
        <v>0</v>
      </c>
      <c r="O8143" t="n">
        <v>0</v>
      </c>
      <c r="P8143" t="n">
        <v>0</v>
      </c>
      <c r="Q8143" t="n">
        <v>0</v>
      </c>
      <c r="R8143" t="n">
        <v>0</v>
      </c>
      <c r="S8143" t="n">
        <v>0</v>
      </c>
      <c r="T8143" t="n">
        <v>0</v>
      </c>
      <c r="U8143" t="n">
        <v>0</v>
      </c>
      <c r="V8143" s="2" t="inlineStr"/>
    </row>
    <row r="8144" ht="15" customHeight="1">
      <c r="A8144" t="inlineStr">
        <is>
          <t>A 23870-2026</t>
        </is>
      </c>
      <c r="B8144" t="inlineStr">
        <is>
          <t>avverkningsanmälan</t>
        </is>
      </c>
      <c r="C8144" t="inlineStr">
        <is>
          <t>Föryngringsavverkning</t>
        </is>
      </c>
      <c r="D8144" s="1" t="n">
        <v>46167</v>
      </c>
      <c r="E8144" s="1" t="n">
        <v>46326</v>
      </c>
      <c r="F8144" t="inlineStr">
        <is>
          <t>GÄVLEBORGS LÄN</t>
        </is>
      </c>
      <c r="G8144" t="inlineStr">
        <is>
          <t>SÖDERHAMN</t>
        </is>
      </c>
      <c r="I8144" t="n">
        <v>1.3</v>
      </c>
      <c r="J8144" t="n">
        <v>0</v>
      </c>
      <c r="K8144" t="n">
        <v>0</v>
      </c>
      <c r="L8144" t="n">
        <v>0</v>
      </c>
      <c r="M8144" t="n">
        <v>0</v>
      </c>
      <c r="N8144" t="n">
        <v>0</v>
      </c>
      <c r="O8144" t="n">
        <v>0</v>
      </c>
      <c r="P8144" t="n">
        <v>0</v>
      </c>
      <c r="Q8144" t="n">
        <v>0</v>
      </c>
      <c r="R8144" t="n">
        <v>0</v>
      </c>
      <c r="S8144" t="n">
        <v>0</v>
      </c>
      <c r="T8144" t="n">
        <v>0</v>
      </c>
      <c r="U8144" t="n">
        <v>0</v>
      </c>
      <c r="V8144" s="2" t="inlineStr"/>
    </row>
    <row r="8145" ht="15" customHeight="1">
      <c r="A8145" t="inlineStr">
        <is>
          <t>A 23770-2026</t>
        </is>
      </c>
      <c r="B8145" t="inlineStr">
        <is>
          <t>avverkningsanmälan</t>
        </is>
      </c>
      <c r="C8145" t="inlineStr">
        <is>
          <t>Föryngringsavverkning</t>
        </is>
      </c>
      <c r="D8145" s="1" t="n">
        <v>46164</v>
      </c>
      <c r="E8145" s="1" t="n">
        <v>46326</v>
      </c>
      <c r="F8145" t="inlineStr">
        <is>
          <t>GÄVLEBORGS LÄN</t>
        </is>
      </c>
      <c r="G8145" t="inlineStr">
        <is>
          <t>SÖDERHAMN</t>
        </is>
      </c>
      <c r="I8145" t="n">
        <v>1.4</v>
      </c>
      <c r="J8145" t="n">
        <v>0</v>
      </c>
      <c r="K8145" t="n">
        <v>0</v>
      </c>
      <c r="L8145" t="n">
        <v>0</v>
      </c>
      <c r="M8145" t="n">
        <v>0</v>
      </c>
      <c r="N8145" t="n">
        <v>0</v>
      </c>
      <c r="O8145" t="n">
        <v>0</v>
      </c>
      <c r="P8145" t="n">
        <v>0</v>
      </c>
      <c r="Q8145" t="n">
        <v>0</v>
      </c>
      <c r="R8145" t="n">
        <v>0</v>
      </c>
      <c r="S8145" t="n">
        <v>0</v>
      </c>
      <c r="T8145" t="n">
        <v>0</v>
      </c>
      <c r="U8145" t="n">
        <v>0</v>
      </c>
      <c r="V8145" s="2" t="inlineStr"/>
    </row>
    <row r="8146" ht="15" customHeight="1">
      <c r="A8146" t="inlineStr">
        <is>
          <t>A 23833-2026</t>
        </is>
      </c>
      <c r="B8146" t="inlineStr">
        <is>
          <t>avverkningsanmälan</t>
        </is>
      </c>
      <c r="C8146" t="inlineStr">
        <is>
          <t>Föryngringsavverkning</t>
        </is>
      </c>
      <c r="D8146" s="1" t="n">
        <v>46167</v>
      </c>
      <c r="E8146" s="1" t="n">
        <v>46326</v>
      </c>
      <c r="F8146" t="inlineStr">
        <is>
          <t>GÄVLEBORGS LÄN</t>
        </is>
      </c>
      <c r="G8146" t="inlineStr">
        <is>
          <t>HOFORS</t>
        </is>
      </c>
      <c r="H8146" t="inlineStr">
        <is>
          <t>Sveaskog</t>
        </is>
      </c>
      <c r="I8146" t="n">
        <v>1</v>
      </c>
      <c r="J8146" t="n">
        <v>0</v>
      </c>
      <c r="K8146" t="n">
        <v>0</v>
      </c>
      <c r="L8146" t="n">
        <v>0</v>
      </c>
      <c r="M8146" t="n">
        <v>0</v>
      </c>
      <c r="N8146" t="n">
        <v>0</v>
      </c>
      <c r="O8146" t="n">
        <v>0</v>
      </c>
      <c r="P8146" t="n">
        <v>0</v>
      </c>
      <c r="Q8146" t="n">
        <v>0</v>
      </c>
      <c r="R8146" t="n">
        <v>0</v>
      </c>
      <c r="S8146" t="n">
        <v>0</v>
      </c>
      <c r="T8146" t="n">
        <v>0</v>
      </c>
      <c r="U8146" t="n">
        <v>0</v>
      </c>
      <c r="V8146" s="2" t="inlineStr"/>
    </row>
    <row r="8147" ht="15" customHeight="1">
      <c r="A8147" t="inlineStr">
        <is>
          <t>A 23895-2026</t>
        </is>
      </c>
      <c r="B8147" t="inlineStr">
        <is>
          <t>avverkningsanmälan</t>
        </is>
      </c>
      <c r="C8147" t="inlineStr">
        <is>
          <t>Föryngringsavverkning</t>
        </is>
      </c>
      <c r="D8147" s="1" t="n">
        <v>46167</v>
      </c>
      <c r="E8147" s="1" t="n">
        <v>46326</v>
      </c>
      <c r="F8147" t="inlineStr">
        <is>
          <t>GÄVLEBORGS LÄN</t>
        </is>
      </c>
      <c r="G8147" t="inlineStr">
        <is>
          <t>NORDANSTIG</t>
        </is>
      </c>
      <c r="I8147" t="n">
        <v>18.1</v>
      </c>
      <c r="J8147" t="n">
        <v>0</v>
      </c>
      <c r="K8147" t="n">
        <v>0</v>
      </c>
      <c r="L8147" t="n">
        <v>0</v>
      </c>
      <c r="M8147" t="n">
        <v>0</v>
      </c>
      <c r="N8147" t="n">
        <v>0</v>
      </c>
      <c r="O8147" t="n">
        <v>0</v>
      </c>
      <c r="P8147" t="n">
        <v>0</v>
      </c>
      <c r="Q8147" t="n">
        <v>0</v>
      </c>
      <c r="R8147" t="n">
        <v>0</v>
      </c>
      <c r="S8147" t="n">
        <v>0</v>
      </c>
      <c r="T8147" t="n">
        <v>0</v>
      </c>
      <c r="U8147" t="n">
        <v>0</v>
      </c>
      <c r="V8147" s="2" t="inlineStr"/>
    </row>
    <row r="8148" ht="15" customHeight="1">
      <c r="A8148" t="inlineStr">
        <is>
          <t>A 23908-2026</t>
        </is>
      </c>
      <c r="B8148" t="inlineStr">
        <is>
          <t>avverkningsanmälan</t>
        </is>
      </c>
      <c r="C8148" t="inlineStr">
        <is>
          <t>Föryngringsavverkning</t>
        </is>
      </c>
      <c r="D8148" s="1" t="n">
        <v>46167</v>
      </c>
      <c r="E8148" s="1" t="n">
        <v>46326</v>
      </c>
      <c r="F8148" t="inlineStr">
        <is>
          <t>GÄVLEBORGS LÄN</t>
        </is>
      </c>
      <c r="G8148" t="inlineStr">
        <is>
          <t>OVANÅKER</t>
        </is>
      </c>
      <c r="I8148" t="n">
        <v>6.4</v>
      </c>
      <c r="J8148" t="n">
        <v>0</v>
      </c>
      <c r="K8148" t="n">
        <v>0</v>
      </c>
      <c r="L8148" t="n">
        <v>0</v>
      </c>
      <c r="M8148" t="n">
        <v>0</v>
      </c>
      <c r="N8148" t="n">
        <v>0</v>
      </c>
      <c r="O8148" t="n">
        <v>0</v>
      </c>
      <c r="P8148" t="n">
        <v>0</v>
      </c>
      <c r="Q8148" t="n">
        <v>0</v>
      </c>
      <c r="R8148" t="n">
        <v>0</v>
      </c>
      <c r="S8148" t="n">
        <v>0</v>
      </c>
      <c r="T8148" t="n">
        <v>0</v>
      </c>
      <c r="U8148" t="n">
        <v>0</v>
      </c>
      <c r="V8148" s="2" t="inlineStr"/>
    </row>
    <row r="8149" ht="15" customHeight="1">
      <c r="A8149" t="inlineStr">
        <is>
          <t>A 70478-2021</t>
        </is>
      </c>
      <c r="B8149" t="inlineStr">
        <is>
          <t>avverkningsanmälan</t>
        </is>
      </c>
      <c r="C8149" t="inlineStr">
        <is>
          <t>Föryngringsavverkning</t>
        </is>
      </c>
      <c r="D8149" s="1" t="n">
        <v>44536</v>
      </c>
      <c r="E8149" s="1" t="n">
        <v>46326</v>
      </c>
      <c r="F8149" t="inlineStr">
        <is>
          <t>GÄVLEBORGS LÄN</t>
        </is>
      </c>
      <c r="G8149" t="inlineStr">
        <is>
          <t>LJUSDAL</t>
        </is>
      </c>
      <c r="I8149" t="n">
        <v>2.1</v>
      </c>
      <c r="J8149" t="n">
        <v>0</v>
      </c>
      <c r="K8149" t="n">
        <v>0</v>
      </c>
      <c r="L8149" t="n">
        <v>0</v>
      </c>
      <c r="M8149" t="n">
        <v>0</v>
      </c>
      <c r="N8149" t="n">
        <v>0</v>
      </c>
      <c r="O8149" t="n">
        <v>0</v>
      </c>
      <c r="P8149" t="n">
        <v>0</v>
      </c>
      <c r="Q8149" t="n">
        <v>0</v>
      </c>
      <c r="R8149" t="n">
        <v>0</v>
      </c>
      <c r="S8149" t="n">
        <v>0</v>
      </c>
      <c r="T8149" t="n">
        <v>0</v>
      </c>
      <c r="U8149" t="n">
        <v>0</v>
      </c>
      <c r="V8149" s="2" t="inlineStr"/>
    </row>
    <row r="8150" ht="15" customHeight="1">
      <c r="A8150" t="inlineStr">
        <is>
          <t>A 59710-2022</t>
        </is>
      </c>
      <c r="B8150" t="inlineStr">
        <is>
          <t>avverkningsanmälan</t>
        </is>
      </c>
      <c r="C8150" t="inlineStr">
        <is>
          <t>Föryngringsavverkning</t>
        </is>
      </c>
      <c r="D8150" s="1" t="n">
        <v>44908</v>
      </c>
      <c r="E8150" s="1" t="n">
        <v>46326</v>
      </c>
      <c r="F8150" t="inlineStr">
        <is>
          <t>GÄVLEBORGS LÄN</t>
        </is>
      </c>
      <c r="G8150" t="inlineStr">
        <is>
          <t>LJUSDAL</t>
        </is>
      </c>
      <c r="I8150" t="n">
        <v>3.3</v>
      </c>
      <c r="J8150" t="n">
        <v>0</v>
      </c>
      <c r="K8150" t="n">
        <v>0</v>
      </c>
      <c r="L8150" t="n">
        <v>0</v>
      </c>
      <c r="M8150" t="n">
        <v>0</v>
      </c>
      <c r="N8150" t="n">
        <v>0</v>
      </c>
      <c r="O8150" t="n">
        <v>0</v>
      </c>
      <c r="P8150" t="n">
        <v>0</v>
      </c>
      <c r="Q8150" t="n">
        <v>0</v>
      </c>
      <c r="R8150" t="n">
        <v>0</v>
      </c>
      <c r="S8150" t="n">
        <v>0</v>
      </c>
      <c r="T8150" t="n">
        <v>0</v>
      </c>
      <c r="U8150" t="n">
        <v>0</v>
      </c>
      <c r="V8150" s="2" t="inlineStr"/>
    </row>
    <row r="8151" ht="15" customHeight="1">
      <c r="A8151" t="inlineStr">
        <is>
          <t>A 24039-2026</t>
        </is>
      </c>
      <c r="B8151" t="inlineStr">
        <is>
          <t>avverkningsanmälan</t>
        </is>
      </c>
      <c r="C8151" t="inlineStr">
        <is>
          <t>Föryngringsavverkning</t>
        </is>
      </c>
      <c r="D8151" s="1" t="n">
        <v>46167</v>
      </c>
      <c r="E8151" s="1" t="n">
        <v>46326</v>
      </c>
      <c r="F8151" t="inlineStr">
        <is>
          <t>GÄVLEBORGS LÄN</t>
        </is>
      </c>
      <c r="G8151" t="inlineStr">
        <is>
          <t>BOLLNÄS</t>
        </is>
      </c>
      <c r="H8151" t="inlineStr">
        <is>
          <t>Bergvik skog väst AB</t>
        </is>
      </c>
      <c r="I8151" t="n">
        <v>27.5</v>
      </c>
      <c r="J8151" t="n">
        <v>0</v>
      </c>
      <c r="K8151" t="n">
        <v>0</v>
      </c>
      <c r="L8151" t="n">
        <v>0</v>
      </c>
      <c r="M8151" t="n">
        <v>0</v>
      </c>
      <c r="N8151" t="n">
        <v>0</v>
      </c>
      <c r="O8151" t="n">
        <v>0</v>
      </c>
      <c r="P8151" t="n">
        <v>0</v>
      </c>
      <c r="Q8151" t="n">
        <v>0</v>
      </c>
      <c r="R8151" t="n">
        <v>0</v>
      </c>
      <c r="S8151" t="n">
        <v>0</v>
      </c>
      <c r="T8151" t="n">
        <v>0</v>
      </c>
      <c r="U8151" t="n">
        <v>0</v>
      </c>
      <c r="V8151" s="2" t="inlineStr"/>
    </row>
    <row r="8152" ht="15" customHeight="1">
      <c r="A8152" t="inlineStr">
        <is>
          <t>A 23651-2026</t>
        </is>
      </c>
      <c r="B8152" t="inlineStr">
        <is>
          <t>avverkningsanmälan</t>
        </is>
      </c>
      <c r="C8152" t="inlineStr">
        <is>
          <t>Föryngringsavverkning</t>
        </is>
      </c>
      <c r="D8152" s="1" t="n">
        <v>46164</v>
      </c>
      <c r="E8152" s="1" t="n">
        <v>46326</v>
      </c>
      <c r="F8152" t="inlineStr">
        <is>
          <t>GÄVLEBORGS LÄN</t>
        </is>
      </c>
      <c r="G8152" t="inlineStr">
        <is>
          <t>SÖDERHAMN</t>
        </is>
      </c>
      <c r="I8152" t="n">
        <v>2.2</v>
      </c>
      <c r="J8152" t="n">
        <v>0</v>
      </c>
      <c r="K8152" t="n">
        <v>0</v>
      </c>
      <c r="L8152" t="n">
        <v>0</v>
      </c>
      <c r="M8152" t="n">
        <v>0</v>
      </c>
      <c r="N8152" t="n">
        <v>0</v>
      </c>
      <c r="O8152" t="n">
        <v>0</v>
      </c>
      <c r="P8152" t="n">
        <v>0</v>
      </c>
      <c r="Q8152" t="n">
        <v>0</v>
      </c>
      <c r="R8152" t="n">
        <v>0</v>
      </c>
      <c r="S8152" t="n">
        <v>0</v>
      </c>
      <c r="T8152" t="n">
        <v>0</v>
      </c>
      <c r="U8152" t="n">
        <v>0</v>
      </c>
      <c r="V8152" s="2" t="inlineStr"/>
    </row>
    <row r="8153" ht="15" customHeight="1">
      <c r="A8153" t="inlineStr">
        <is>
          <t>A 59729-2022</t>
        </is>
      </c>
      <c r="B8153" t="inlineStr">
        <is>
          <t>avverkningsanmälan</t>
        </is>
      </c>
      <c r="C8153" t="inlineStr">
        <is>
          <t>Föryngringsavverkning</t>
        </is>
      </c>
      <c r="D8153" s="1" t="n">
        <v>44908</v>
      </c>
      <c r="E8153" s="1" t="n">
        <v>46326</v>
      </c>
      <c r="F8153" t="inlineStr">
        <is>
          <t>GÄVLEBORGS LÄN</t>
        </is>
      </c>
      <c r="G8153" t="inlineStr">
        <is>
          <t>BOLLNÄS</t>
        </is>
      </c>
      <c r="I8153" t="n">
        <v>1.8</v>
      </c>
      <c r="J8153" t="n">
        <v>0</v>
      </c>
      <c r="K8153" t="n">
        <v>0</v>
      </c>
      <c r="L8153" t="n">
        <v>0</v>
      </c>
      <c r="M8153" t="n">
        <v>0</v>
      </c>
      <c r="N8153" t="n">
        <v>0</v>
      </c>
      <c r="O8153" t="n">
        <v>0</v>
      </c>
      <c r="P8153" t="n">
        <v>0</v>
      </c>
      <c r="Q8153" t="n">
        <v>0</v>
      </c>
      <c r="R8153" t="n">
        <v>0</v>
      </c>
      <c r="S8153" t="n">
        <v>0</v>
      </c>
      <c r="T8153" t="n">
        <v>0</v>
      </c>
      <c r="U8153" t="n">
        <v>0</v>
      </c>
      <c r="V8153" s="2" t="inlineStr"/>
    </row>
    <row r="8154" ht="15" customHeight="1">
      <c r="A8154" t="inlineStr">
        <is>
          <t>A 7609-2026</t>
        </is>
      </c>
      <c r="B8154" t="inlineStr">
        <is>
          <t>avverkningsanmälan</t>
        </is>
      </c>
      <c r="C8154" t="inlineStr">
        <is>
          <t>Föryngringsavverkning</t>
        </is>
      </c>
      <c r="D8154" s="1" t="n">
        <v>46062</v>
      </c>
      <c r="E8154" s="1" t="n">
        <v>46326</v>
      </c>
      <c r="F8154" t="inlineStr">
        <is>
          <t>GÄVLEBORGS LÄN</t>
        </is>
      </c>
      <c r="G8154" t="inlineStr">
        <is>
          <t>BOLLNÄS</t>
        </is>
      </c>
      <c r="I8154" t="n">
        <v>4.9</v>
      </c>
      <c r="J8154" t="n">
        <v>0</v>
      </c>
      <c r="K8154" t="n">
        <v>0</v>
      </c>
      <c r="L8154" t="n">
        <v>0</v>
      </c>
      <c r="M8154" t="n">
        <v>0</v>
      </c>
      <c r="N8154" t="n">
        <v>0</v>
      </c>
      <c r="O8154" t="n">
        <v>0</v>
      </c>
      <c r="P8154" t="n">
        <v>0</v>
      </c>
      <c r="Q8154" t="n">
        <v>0</v>
      </c>
      <c r="R8154" t="n">
        <v>0</v>
      </c>
      <c r="S8154" t="n">
        <v>0</v>
      </c>
      <c r="T8154" t="n">
        <v>0</v>
      </c>
      <c r="U8154" t="n">
        <v>0</v>
      </c>
      <c r="V8154" s="2" t="inlineStr"/>
    </row>
    <row r="8155" ht="15" customHeight="1">
      <c r="A8155" t="inlineStr">
        <is>
          <t>A 53604-2023</t>
        </is>
      </c>
      <c r="B8155" t="inlineStr">
        <is>
          <t>avverkningsanmälan</t>
        </is>
      </c>
      <c r="C8155" t="inlineStr">
        <is>
          <t>Föryngringsavverkning</t>
        </is>
      </c>
      <c r="D8155" s="1" t="n">
        <v>45230</v>
      </c>
      <c r="E8155" s="1" t="n">
        <v>46326</v>
      </c>
      <c r="F8155" t="inlineStr">
        <is>
          <t>GÄVLEBORGS LÄN</t>
        </is>
      </c>
      <c r="G8155" t="inlineStr">
        <is>
          <t>OVANÅKER</t>
        </is>
      </c>
      <c r="I8155" t="n">
        <v>1.2</v>
      </c>
      <c r="J8155" t="n">
        <v>0</v>
      </c>
      <c r="K8155" t="n">
        <v>0</v>
      </c>
      <c r="L8155" t="n">
        <v>0</v>
      </c>
      <c r="M8155" t="n">
        <v>0</v>
      </c>
      <c r="N8155" t="n">
        <v>0</v>
      </c>
      <c r="O8155" t="n">
        <v>0</v>
      </c>
      <c r="P8155" t="n">
        <v>0</v>
      </c>
      <c r="Q8155" t="n">
        <v>0</v>
      </c>
      <c r="R8155" t="n">
        <v>0</v>
      </c>
      <c r="S8155" t="n">
        <v>0</v>
      </c>
      <c r="T8155" t="n">
        <v>0</v>
      </c>
      <c r="U8155" t="n">
        <v>0</v>
      </c>
      <c r="V8155" s="2" t="inlineStr"/>
    </row>
    <row r="8156" ht="15" customHeight="1">
      <c r="A8156" t="inlineStr">
        <is>
          <t>A 28810-2023</t>
        </is>
      </c>
      <c r="B8156" t="inlineStr">
        <is>
          <t>avverkningsanmälan</t>
        </is>
      </c>
      <c r="C8156" t="inlineStr">
        <is>
          <t>Avverkning för att bevara och utveckla /försöksver</t>
        </is>
      </c>
      <c r="D8156" s="1" t="n">
        <v>45104</v>
      </c>
      <c r="E8156" s="1" t="n">
        <v>46326</v>
      </c>
      <c r="F8156" t="inlineStr">
        <is>
          <t>GÄVLEBORGS LÄN</t>
        </is>
      </c>
      <c r="G8156" t="inlineStr">
        <is>
          <t>HUDIKSVALL</t>
        </is>
      </c>
      <c r="I8156" t="n">
        <v>1.3</v>
      </c>
      <c r="J8156" t="n">
        <v>0</v>
      </c>
      <c r="K8156" t="n">
        <v>0</v>
      </c>
      <c r="L8156" t="n">
        <v>0</v>
      </c>
      <c r="M8156" t="n">
        <v>0</v>
      </c>
      <c r="N8156" t="n">
        <v>0</v>
      </c>
      <c r="O8156" t="n">
        <v>0</v>
      </c>
      <c r="P8156" t="n">
        <v>0</v>
      </c>
      <c r="Q8156" t="n">
        <v>0</v>
      </c>
      <c r="R8156" t="n">
        <v>0</v>
      </c>
      <c r="S8156" t="n">
        <v>0</v>
      </c>
      <c r="T8156" t="n">
        <v>0</v>
      </c>
      <c r="U8156" t="n">
        <v>0</v>
      </c>
      <c r="V8156" s="2" t="inlineStr"/>
    </row>
    <row r="8157" ht="15" customHeight="1">
      <c r="A8157" t="inlineStr">
        <is>
          <t>A 23848-2026</t>
        </is>
      </c>
      <c r="B8157" t="inlineStr">
        <is>
          <t>avverkningsanmälan</t>
        </is>
      </c>
      <c r="C8157" t="inlineStr">
        <is>
          <t>Föryngringsavverkning</t>
        </is>
      </c>
      <c r="D8157" s="1" t="n">
        <v>46167</v>
      </c>
      <c r="E8157" s="1" t="n">
        <v>46326</v>
      </c>
      <c r="F8157" t="inlineStr">
        <is>
          <t>GÄVLEBORGS LÄN</t>
        </is>
      </c>
      <c r="G8157" t="inlineStr">
        <is>
          <t>SANDVIKEN</t>
        </is>
      </c>
      <c r="I8157" t="n">
        <v>5.4</v>
      </c>
      <c r="J8157" t="n">
        <v>0</v>
      </c>
      <c r="K8157" t="n">
        <v>0</v>
      </c>
      <c r="L8157" t="n">
        <v>0</v>
      </c>
      <c r="M8157" t="n">
        <v>0</v>
      </c>
      <c r="N8157" t="n">
        <v>0</v>
      </c>
      <c r="O8157" t="n">
        <v>0</v>
      </c>
      <c r="P8157" t="n">
        <v>0</v>
      </c>
      <c r="Q8157" t="n">
        <v>0</v>
      </c>
      <c r="R8157" t="n">
        <v>0</v>
      </c>
      <c r="S8157" t="n">
        <v>0</v>
      </c>
      <c r="T8157" t="n">
        <v>0</v>
      </c>
      <c r="U8157" t="n">
        <v>0</v>
      </c>
      <c r="V8157" s="2" t="inlineStr"/>
    </row>
    <row r="8158" ht="15" customHeight="1">
      <c r="A8158" t="inlineStr">
        <is>
          <t>A 23856-2026</t>
        </is>
      </c>
      <c r="B8158" t="inlineStr">
        <is>
          <t>avverkningsanmälan</t>
        </is>
      </c>
      <c r="C8158" t="inlineStr">
        <is>
          <t>Föryngringsavverkning</t>
        </is>
      </c>
      <c r="D8158" s="1" t="n">
        <v>46167</v>
      </c>
      <c r="E8158" s="1" t="n">
        <v>46326</v>
      </c>
      <c r="F8158" t="inlineStr">
        <is>
          <t>GÄVLEBORGS LÄN</t>
        </is>
      </c>
      <c r="G8158" t="inlineStr">
        <is>
          <t>BOLLNÄS</t>
        </is>
      </c>
      <c r="I8158" t="n">
        <v>2.1</v>
      </c>
      <c r="J8158" t="n">
        <v>0</v>
      </c>
      <c r="K8158" t="n">
        <v>0</v>
      </c>
      <c r="L8158" t="n">
        <v>0</v>
      </c>
      <c r="M8158" t="n">
        <v>0</v>
      </c>
      <c r="N8158" t="n">
        <v>0</v>
      </c>
      <c r="O8158" t="n">
        <v>0</v>
      </c>
      <c r="P8158" t="n">
        <v>0</v>
      </c>
      <c r="Q8158" t="n">
        <v>0</v>
      </c>
      <c r="R8158" t="n">
        <v>0</v>
      </c>
      <c r="S8158" t="n">
        <v>0</v>
      </c>
      <c r="T8158" t="n">
        <v>0</v>
      </c>
      <c r="U8158" t="n">
        <v>0</v>
      </c>
      <c r="V8158" s="2" t="inlineStr"/>
    </row>
    <row r="8159" ht="15" customHeight="1">
      <c r="A8159" t="inlineStr">
        <is>
          <t>A 23857-2026</t>
        </is>
      </c>
      <c r="B8159" t="inlineStr">
        <is>
          <t>avverkningsanmälan</t>
        </is>
      </c>
      <c r="C8159" t="inlineStr">
        <is>
          <t>Föryngringsavverkning</t>
        </is>
      </c>
      <c r="D8159" s="1" t="n">
        <v>46167</v>
      </c>
      <c r="E8159" s="1" t="n">
        <v>46326</v>
      </c>
      <c r="F8159" t="inlineStr">
        <is>
          <t>GÄVLEBORGS LÄN</t>
        </is>
      </c>
      <c r="G8159" t="inlineStr">
        <is>
          <t>BOLLNÄS</t>
        </is>
      </c>
      <c r="I8159" t="n">
        <v>1.4</v>
      </c>
      <c r="J8159" t="n">
        <v>0</v>
      </c>
      <c r="K8159" t="n">
        <v>0</v>
      </c>
      <c r="L8159" t="n">
        <v>0</v>
      </c>
      <c r="M8159" t="n">
        <v>0</v>
      </c>
      <c r="N8159" t="n">
        <v>0</v>
      </c>
      <c r="O8159" t="n">
        <v>0</v>
      </c>
      <c r="P8159" t="n">
        <v>0</v>
      </c>
      <c r="Q8159" t="n">
        <v>0</v>
      </c>
      <c r="R8159" t="n">
        <v>0</v>
      </c>
      <c r="S8159" t="n">
        <v>0</v>
      </c>
      <c r="T8159" t="n">
        <v>0</v>
      </c>
      <c r="U8159" t="n">
        <v>0</v>
      </c>
      <c r="V8159" s="2" t="inlineStr"/>
    </row>
    <row r="8160" ht="15" customHeight="1">
      <c r="A8160" t="inlineStr">
        <is>
          <t>A 38937-2023</t>
        </is>
      </c>
      <c r="B8160" t="inlineStr">
        <is>
          <t>avverkningsanmälan</t>
        </is>
      </c>
      <c r="C8160" t="inlineStr">
        <is>
          <t>Föryngringsavverkning</t>
        </is>
      </c>
      <c r="D8160" s="1" t="n">
        <v>45163</v>
      </c>
      <c r="E8160" s="1" t="n">
        <v>46326</v>
      </c>
      <c r="F8160" t="inlineStr">
        <is>
          <t>GÄVLEBORGS LÄN</t>
        </is>
      </c>
      <c r="G8160" t="inlineStr">
        <is>
          <t>BOLLNÄS</t>
        </is>
      </c>
      <c r="I8160" t="n">
        <v>5.1</v>
      </c>
      <c r="J8160" t="n">
        <v>0</v>
      </c>
      <c r="K8160" t="n">
        <v>0</v>
      </c>
      <c r="L8160" t="n">
        <v>0</v>
      </c>
      <c r="M8160" t="n">
        <v>0</v>
      </c>
      <c r="N8160" t="n">
        <v>0</v>
      </c>
      <c r="O8160" t="n">
        <v>0</v>
      </c>
      <c r="P8160" t="n">
        <v>0</v>
      </c>
      <c r="Q8160" t="n">
        <v>0</v>
      </c>
      <c r="R8160" t="n">
        <v>0</v>
      </c>
      <c r="S8160" t="n">
        <v>0</v>
      </c>
      <c r="T8160" t="n">
        <v>0</v>
      </c>
      <c r="U8160" t="n">
        <v>0</v>
      </c>
      <c r="V8160" s="2" t="inlineStr"/>
    </row>
    <row r="8161" ht="15" customHeight="1">
      <c r="A8161" t="inlineStr">
        <is>
          <t>A 23763-2026</t>
        </is>
      </c>
      <c r="B8161" t="inlineStr">
        <is>
          <t>avverkningsanmälan</t>
        </is>
      </c>
      <c r="C8161" t="inlineStr">
        <is>
          <t>Föryngringsavverkning</t>
        </is>
      </c>
      <c r="D8161" s="1" t="n">
        <v>46164</v>
      </c>
      <c r="E8161" s="1" t="n">
        <v>46326</v>
      </c>
      <c r="F8161" t="inlineStr">
        <is>
          <t>GÄVLEBORGS LÄN</t>
        </is>
      </c>
      <c r="G8161" t="inlineStr">
        <is>
          <t>OVANÅKER</t>
        </is>
      </c>
      <c r="I8161" t="n">
        <v>2.2</v>
      </c>
      <c r="J8161" t="n">
        <v>0</v>
      </c>
      <c r="K8161" t="n">
        <v>0</v>
      </c>
      <c r="L8161" t="n">
        <v>0</v>
      </c>
      <c r="M8161" t="n">
        <v>0</v>
      </c>
      <c r="N8161" t="n">
        <v>0</v>
      </c>
      <c r="O8161" t="n">
        <v>0</v>
      </c>
      <c r="P8161" t="n">
        <v>0</v>
      </c>
      <c r="Q8161" t="n">
        <v>0</v>
      </c>
      <c r="R8161" t="n">
        <v>0</v>
      </c>
      <c r="S8161" t="n">
        <v>0</v>
      </c>
      <c r="T8161" t="n">
        <v>0</v>
      </c>
      <c r="U8161" t="n">
        <v>0</v>
      </c>
      <c r="V8161" s="2" t="inlineStr"/>
    </row>
    <row r="8162" ht="15" customHeight="1">
      <c r="A8162" t="inlineStr">
        <is>
          <t>A 20024-2024</t>
        </is>
      </c>
      <c r="B8162" t="inlineStr">
        <is>
          <t>avverkningsanmälan</t>
        </is>
      </c>
      <c r="C8162" t="inlineStr">
        <is>
          <t>Föryngringsavverkning</t>
        </is>
      </c>
      <c r="D8162" s="1" t="n">
        <v>45434</v>
      </c>
      <c r="E8162" s="1" t="n">
        <v>46326</v>
      </c>
      <c r="F8162" t="inlineStr">
        <is>
          <t>GÄVLEBORGS LÄN</t>
        </is>
      </c>
      <c r="G8162" t="inlineStr">
        <is>
          <t>HUDIKSVALL</t>
        </is>
      </c>
      <c r="I8162" t="n">
        <v>1.9</v>
      </c>
      <c r="J8162" t="n">
        <v>0</v>
      </c>
      <c r="K8162" t="n">
        <v>0</v>
      </c>
      <c r="L8162" t="n">
        <v>0</v>
      </c>
      <c r="M8162" t="n">
        <v>0</v>
      </c>
      <c r="N8162" t="n">
        <v>0</v>
      </c>
      <c r="O8162" t="n">
        <v>0</v>
      </c>
      <c r="P8162" t="n">
        <v>0</v>
      </c>
      <c r="Q8162" t="n">
        <v>0</v>
      </c>
      <c r="R8162" t="n">
        <v>0</v>
      </c>
      <c r="S8162" t="n">
        <v>0</v>
      </c>
      <c r="T8162" t="n">
        <v>0</v>
      </c>
      <c r="U8162" t="n">
        <v>0</v>
      </c>
      <c r="V8162" s="2" t="inlineStr"/>
    </row>
    <row r="8163" ht="15" customHeight="1">
      <c r="A8163" t="inlineStr">
        <is>
          <t>A 20032-2024</t>
        </is>
      </c>
      <c r="B8163" t="inlineStr">
        <is>
          <t>avverkningsanmälan</t>
        </is>
      </c>
      <c r="C8163" t="inlineStr">
        <is>
          <t>Föryngringsavverkning</t>
        </is>
      </c>
      <c r="D8163" s="1" t="n">
        <v>45434</v>
      </c>
      <c r="E8163" s="1" t="n">
        <v>46326</v>
      </c>
      <c r="F8163" t="inlineStr">
        <is>
          <t>GÄVLEBORGS LÄN</t>
        </is>
      </c>
      <c r="G8163" t="inlineStr">
        <is>
          <t>LJUSDAL</t>
        </is>
      </c>
      <c r="I8163" t="n">
        <v>1.2</v>
      </c>
      <c r="J8163" t="n">
        <v>0</v>
      </c>
      <c r="K8163" t="n">
        <v>0</v>
      </c>
      <c r="L8163" t="n">
        <v>0</v>
      </c>
      <c r="M8163" t="n">
        <v>0</v>
      </c>
      <c r="N8163" t="n">
        <v>0</v>
      </c>
      <c r="O8163" t="n">
        <v>0</v>
      </c>
      <c r="P8163" t="n">
        <v>0</v>
      </c>
      <c r="Q8163" t="n">
        <v>0</v>
      </c>
      <c r="R8163" t="n">
        <v>0</v>
      </c>
      <c r="S8163" t="n">
        <v>0</v>
      </c>
      <c r="T8163" t="n">
        <v>0</v>
      </c>
      <c r="U8163" t="n">
        <v>0</v>
      </c>
      <c r="V8163" s="2" t="inlineStr"/>
    </row>
    <row r="8164" ht="15" customHeight="1">
      <c r="A8164" t="inlineStr">
        <is>
          <t>A 23673-2026</t>
        </is>
      </c>
      <c r="B8164" t="inlineStr">
        <is>
          <t>avverkningsanmälan</t>
        </is>
      </c>
      <c r="C8164" t="inlineStr">
        <is>
          <t>Föryngringsavverkning</t>
        </is>
      </c>
      <c r="D8164" s="1" t="n">
        <v>46164</v>
      </c>
      <c r="E8164" s="1" t="n">
        <v>46326</v>
      </c>
      <c r="F8164" t="inlineStr">
        <is>
          <t>GÄVLEBORGS LÄN</t>
        </is>
      </c>
      <c r="G8164" t="inlineStr">
        <is>
          <t>BOLLNÄS</t>
        </is>
      </c>
      <c r="I8164" t="n">
        <v>20.9</v>
      </c>
      <c r="J8164" t="n">
        <v>0</v>
      </c>
      <c r="K8164" t="n">
        <v>0</v>
      </c>
      <c r="L8164" t="n">
        <v>0</v>
      </c>
      <c r="M8164" t="n">
        <v>0</v>
      </c>
      <c r="N8164" t="n">
        <v>0</v>
      </c>
      <c r="O8164" t="n">
        <v>0</v>
      </c>
      <c r="P8164" t="n">
        <v>0</v>
      </c>
      <c r="Q8164" t="n">
        <v>0</v>
      </c>
      <c r="R8164" t="n">
        <v>0</v>
      </c>
      <c r="S8164" t="n">
        <v>0</v>
      </c>
      <c r="T8164" t="n">
        <v>0</v>
      </c>
      <c r="U8164" t="n">
        <v>0</v>
      </c>
      <c r="V8164" s="2" t="inlineStr"/>
    </row>
    <row r="8165" ht="15" customHeight="1">
      <c r="A8165" t="inlineStr">
        <is>
          <t>A 23820-2026</t>
        </is>
      </c>
      <c r="B8165" t="inlineStr">
        <is>
          <t>avverkningsanmälan</t>
        </is>
      </c>
      <c r="C8165" t="inlineStr">
        <is>
          <t>Föryngringsavverkning</t>
        </is>
      </c>
      <c r="D8165" s="1" t="n">
        <v>46165</v>
      </c>
      <c r="E8165" s="1" t="n">
        <v>46326</v>
      </c>
      <c r="F8165" t="inlineStr">
        <is>
          <t>GÄVLEBORGS LÄN</t>
        </is>
      </c>
      <c r="G8165" t="inlineStr">
        <is>
          <t>SANDVIKEN</t>
        </is>
      </c>
      <c r="H8165" t="inlineStr">
        <is>
          <t>Bergvik skog öst AB</t>
        </is>
      </c>
      <c r="I8165" t="n">
        <v>7.9</v>
      </c>
      <c r="J8165" t="n">
        <v>0</v>
      </c>
      <c r="K8165" t="n">
        <v>0</v>
      </c>
      <c r="L8165" t="n">
        <v>0</v>
      </c>
      <c r="M8165" t="n">
        <v>0</v>
      </c>
      <c r="N8165" t="n">
        <v>0</v>
      </c>
      <c r="O8165" t="n">
        <v>0</v>
      </c>
      <c r="P8165" t="n">
        <v>0</v>
      </c>
      <c r="Q8165" t="n">
        <v>0</v>
      </c>
      <c r="R8165" t="n">
        <v>0</v>
      </c>
      <c r="S8165" t="n">
        <v>0</v>
      </c>
      <c r="T8165" t="n">
        <v>0</v>
      </c>
      <c r="U8165" t="n">
        <v>0</v>
      </c>
      <c r="V8165" s="2" t="inlineStr"/>
    </row>
    <row r="8166" ht="15" customHeight="1">
      <c r="A8166" t="inlineStr">
        <is>
          <t>A 23822-2026</t>
        </is>
      </c>
      <c r="B8166" t="inlineStr">
        <is>
          <t>avverkningsanmälan</t>
        </is>
      </c>
      <c r="C8166" t="inlineStr">
        <is>
          <t>Föryngringsavverkning</t>
        </is>
      </c>
      <c r="D8166" s="1" t="n">
        <v>46165</v>
      </c>
      <c r="E8166" s="1" t="n">
        <v>46326</v>
      </c>
      <c r="F8166" t="inlineStr">
        <is>
          <t>GÄVLEBORGS LÄN</t>
        </is>
      </c>
      <c r="G8166" t="inlineStr">
        <is>
          <t>SANDVIKEN</t>
        </is>
      </c>
      <c r="H8166" t="inlineStr">
        <is>
          <t>Bergvik skog öst AB</t>
        </is>
      </c>
      <c r="I8166" t="n">
        <v>7</v>
      </c>
      <c r="J8166" t="n">
        <v>0</v>
      </c>
      <c r="K8166" t="n">
        <v>0</v>
      </c>
      <c r="L8166" t="n">
        <v>0</v>
      </c>
      <c r="M8166" t="n">
        <v>0</v>
      </c>
      <c r="N8166" t="n">
        <v>0</v>
      </c>
      <c r="O8166" t="n">
        <v>0</v>
      </c>
      <c r="P8166" t="n">
        <v>0</v>
      </c>
      <c r="Q8166" t="n">
        <v>0</v>
      </c>
      <c r="R8166" t="n">
        <v>0</v>
      </c>
      <c r="S8166" t="n">
        <v>0</v>
      </c>
      <c r="T8166" t="n">
        <v>0</v>
      </c>
      <c r="U8166" t="n">
        <v>0</v>
      </c>
      <c r="V8166" s="2" t="inlineStr"/>
    </row>
    <row r="8167" ht="15" customHeight="1">
      <c r="A8167" t="inlineStr">
        <is>
          <t>A 23823-2026</t>
        </is>
      </c>
      <c r="B8167" t="inlineStr">
        <is>
          <t>avverkningsanmälan</t>
        </is>
      </c>
      <c r="C8167" t="inlineStr">
        <is>
          <t>Föryngringsavverkning</t>
        </is>
      </c>
      <c r="D8167" s="1" t="n">
        <v>46165</v>
      </c>
      <c r="E8167" s="1" t="n">
        <v>46326</v>
      </c>
      <c r="F8167" t="inlineStr">
        <is>
          <t>GÄVLEBORGS LÄN</t>
        </is>
      </c>
      <c r="G8167" t="inlineStr">
        <is>
          <t>SANDVIKEN</t>
        </is>
      </c>
      <c r="H8167" t="inlineStr">
        <is>
          <t>Bergvik skog öst AB</t>
        </is>
      </c>
      <c r="I8167" t="n">
        <v>5.8</v>
      </c>
      <c r="J8167" t="n">
        <v>0</v>
      </c>
      <c r="K8167" t="n">
        <v>0</v>
      </c>
      <c r="L8167" t="n">
        <v>0</v>
      </c>
      <c r="M8167" t="n">
        <v>0</v>
      </c>
      <c r="N8167" t="n">
        <v>0</v>
      </c>
      <c r="O8167" t="n">
        <v>0</v>
      </c>
      <c r="P8167" t="n">
        <v>0</v>
      </c>
      <c r="Q8167" t="n">
        <v>0</v>
      </c>
      <c r="R8167" t="n">
        <v>0</v>
      </c>
      <c r="S8167" t="n">
        <v>0</v>
      </c>
      <c r="T8167" t="n">
        <v>0</v>
      </c>
      <c r="U8167" t="n">
        <v>0</v>
      </c>
      <c r="V8167" s="2" t="inlineStr"/>
    </row>
    <row r="8168" ht="15" customHeight="1">
      <c r="A8168" t="inlineStr">
        <is>
          <t>A 23824-2026</t>
        </is>
      </c>
      <c r="B8168" t="inlineStr">
        <is>
          <t>avverkningsanmälan</t>
        </is>
      </c>
      <c r="C8168" t="inlineStr">
        <is>
          <t>Föryngringsavverkning</t>
        </is>
      </c>
      <c r="D8168" s="1" t="n">
        <v>46165</v>
      </c>
      <c r="E8168" s="1" t="n">
        <v>46326</v>
      </c>
      <c r="F8168" t="inlineStr">
        <is>
          <t>GÄVLEBORGS LÄN</t>
        </is>
      </c>
      <c r="G8168" t="inlineStr">
        <is>
          <t>SANDVIKEN</t>
        </is>
      </c>
      <c r="H8168" t="inlineStr">
        <is>
          <t>Bergvik skog öst AB</t>
        </is>
      </c>
      <c r="I8168" t="n">
        <v>2.8</v>
      </c>
      <c r="J8168" t="n">
        <v>0</v>
      </c>
      <c r="K8168" t="n">
        <v>0</v>
      </c>
      <c r="L8168" t="n">
        <v>0</v>
      </c>
      <c r="M8168" t="n">
        <v>0</v>
      </c>
      <c r="N8168" t="n">
        <v>0</v>
      </c>
      <c r="O8168" t="n">
        <v>0</v>
      </c>
      <c r="P8168" t="n">
        <v>0</v>
      </c>
      <c r="Q8168" t="n">
        <v>0</v>
      </c>
      <c r="R8168" t="n">
        <v>0</v>
      </c>
      <c r="S8168" t="n">
        <v>0</v>
      </c>
      <c r="T8168" t="n">
        <v>0</v>
      </c>
      <c r="U8168" t="n">
        <v>0</v>
      </c>
      <c r="V8168" s="2" t="inlineStr"/>
    </row>
    <row r="8169" ht="15" customHeight="1">
      <c r="A8169" t="inlineStr">
        <is>
          <t>A 23825-2026</t>
        </is>
      </c>
      <c r="B8169" t="inlineStr">
        <is>
          <t>avverkningsanmälan</t>
        </is>
      </c>
      <c r="C8169" t="inlineStr">
        <is>
          <t>Föryngringsavverkning</t>
        </is>
      </c>
      <c r="D8169" s="1" t="n">
        <v>46165</v>
      </c>
      <c r="E8169" s="1" t="n">
        <v>46326</v>
      </c>
      <c r="F8169" t="inlineStr">
        <is>
          <t>GÄVLEBORGS LÄN</t>
        </is>
      </c>
      <c r="G8169" t="inlineStr">
        <is>
          <t>SÖDERHAMN</t>
        </is>
      </c>
      <c r="H8169" t="inlineStr">
        <is>
          <t>Bergvik skog väst AB</t>
        </is>
      </c>
      <c r="I8169" t="n">
        <v>3</v>
      </c>
      <c r="J8169" t="n">
        <v>0</v>
      </c>
      <c r="K8169" t="n">
        <v>0</v>
      </c>
      <c r="L8169" t="n">
        <v>0</v>
      </c>
      <c r="M8169" t="n">
        <v>0</v>
      </c>
      <c r="N8169" t="n">
        <v>0</v>
      </c>
      <c r="O8169" t="n">
        <v>0</v>
      </c>
      <c r="P8169" t="n">
        <v>0</v>
      </c>
      <c r="Q8169" t="n">
        <v>0</v>
      </c>
      <c r="R8169" t="n">
        <v>0</v>
      </c>
      <c r="S8169" t="n">
        <v>0</v>
      </c>
      <c r="T8169" t="n">
        <v>0</v>
      </c>
      <c r="U8169" t="n">
        <v>0</v>
      </c>
      <c r="V8169" s="2" t="inlineStr"/>
    </row>
    <row r="8170" ht="15" customHeight="1">
      <c r="A8170" t="inlineStr">
        <is>
          <t>A 23550-2026</t>
        </is>
      </c>
      <c r="B8170" t="inlineStr">
        <is>
          <t>avverkningsanmälan</t>
        </is>
      </c>
      <c r="C8170" t="inlineStr">
        <is>
          <t>Föryngringsavverkning</t>
        </is>
      </c>
      <c r="D8170" s="1" t="n">
        <v>46163</v>
      </c>
      <c r="E8170" s="1" t="n">
        <v>46326</v>
      </c>
      <c r="F8170" t="inlineStr">
        <is>
          <t>GÄVLEBORGS LÄN</t>
        </is>
      </c>
      <c r="G8170" t="inlineStr">
        <is>
          <t>OVANÅKER</t>
        </is>
      </c>
      <c r="H8170" t="inlineStr">
        <is>
          <t>Bergvik skog öst AB</t>
        </is>
      </c>
      <c r="I8170" t="n">
        <v>3.2</v>
      </c>
      <c r="J8170" t="n">
        <v>0</v>
      </c>
      <c r="K8170" t="n">
        <v>0</v>
      </c>
      <c r="L8170" t="n">
        <v>0</v>
      </c>
      <c r="M8170" t="n">
        <v>0</v>
      </c>
      <c r="N8170" t="n">
        <v>0</v>
      </c>
      <c r="O8170" t="n">
        <v>0</v>
      </c>
      <c r="P8170" t="n">
        <v>0</v>
      </c>
      <c r="Q8170" t="n">
        <v>0</v>
      </c>
      <c r="R8170" t="n">
        <v>0</v>
      </c>
      <c r="S8170" t="n">
        <v>0</v>
      </c>
      <c r="T8170" t="n">
        <v>0</v>
      </c>
      <c r="U8170" t="n">
        <v>0</v>
      </c>
      <c r="V8170" s="2" t="inlineStr"/>
    </row>
    <row r="8171" ht="15" customHeight="1">
      <c r="A8171" t="inlineStr">
        <is>
          <t>A 20665-2026</t>
        </is>
      </c>
      <c r="B8171" t="inlineStr">
        <is>
          <t>avverkningsanmälan</t>
        </is>
      </c>
      <c r="C8171" t="inlineStr">
        <is>
          <t>Föryngringsavverkning</t>
        </is>
      </c>
      <c r="D8171" s="1" t="n">
        <v>46141</v>
      </c>
      <c r="E8171" s="1" t="n">
        <v>46326</v>
      </c>
      <c r="F8171" t="inlineStr">
        <is>
          <t>GÄVLEBORGS LÄN</t>
        </is>
      </c>
      <c r="G8171" t="inlineStr">
        <is>
          <t>BOLLNÄS</t>
        </is>
      </c>
      <c r="H8171" t="inlineStr">
        <is>
          <t>Bergvik skog väst AB</t>
        </is>
      </c>
      <c r="I8171" t="n">
        <v>7.6</v>
      </c>
      <c r="J8171" t="n">
        <v>0</v>
      </c>
      <c r="K8171" t="n">
        <v>0</v>
      </c>
      <c r="L8171" t="n">
        <v>0</v>
      </c>
      <c r="M8171" t="n">
        <v>0</v>
      </c>
      <c r="N8171" t="n">
        <v>0</v>
      </c>
      <c r="O8171" t="n">
        <v>0</v>
      </c>
      <c r="P8171" t="n">
        <v>0</v>
      </c>
      <c r="Q8171" t="n">
        <v>0</v>
      </c>
      <c r="R8171" t="n">
        <v>0</v>
      </c>
      <c r="S8171" t="n">
        <v>0</v>
      </c>
      <c r="T8171" t="n">
        <v>0</v>
      </c>
      <c r="U8171" t="n">
        <v>0</v>
      </c>
      <c r="V8171" s="2" t="inlineStr"/>
    </row>
    <row r="8172" ht="15" customHeight="1">
      <c r="A8172" t="inlineStr">
        <is>
          <t>A 22551-2026</t>
        </is>
      </c>
      <c r="B8172" t="inlineStr">
        <is>
          <t>avverkningsanmälan</t>
        </is>
      </c>
      <c r="C8172" t="inlineStr">
        <is>
          <t>Föryngringsavverkning</t>
        </is>
      </c>
      <c r="D8172" s="1" t="n">
        <v>46155</v>
      </c>
      <c r="E8172" s="1" t="n">
        <v>46326</v>
      </c>
      <c r="F8172" t="inlineStr">
        <is>
          <t>GÄVLEBORGS LÄN</t>
        </is>
      </c>
      <c r="G8172" t="inlineStr">
        <is>
          <t>BOLLNÄS</t>
        </is>
      </c>
      <c r="I8172" t="n">
        <v>7.9</v>
      </c>
      <c r="J8172" t="n">
        <v>0</v>
      </c>
      <c r="K8172" t="n">
        <v>0</v>
      </c>
      <c r="L8172" t="n">
        <v>0</v>
      </c>
      <c r="M8172" t="n">
        <v>0</v>
      </c>
      <c r="N8172" t="n">
        <v>0</v>
      </c>
      <c r="O8172" t="n">
        <v>0</v>
      </c>
      <c r="P8172" t="n">
        <v>0</v>
      </c>
      <c r="Q8172" t="n">
        <v>0</v>
      </c>
      <c r="R8172" t="n">
        <v>0</v>
      </c>
      <c r="S8172" t="n">
        <v>0</v>
      </c>
      <c r="T8172" t="n">
        <v>0</v>
      </c>
      <c r="U8172" t="n">
        <v>0</v>
      </c>
      <c r="V8172" s="2" t="inlineStr"/>
    </row>
    <row r="8173" ht="15" customHeight="1">
      <c r="A8173" t="inlineStr">
        <is>
          <t>A 19564-2025</t>
        </is>
      </c>
      <c r="B8173" t="inlineStr">
        <is>
          <t>avverkningsanmälan</t>
        </is>
      </c>
      <c r="C8173" t="inlineStr">
        <is>
          <t>Föryngringsavverkning</t>
        </is>
      </c>
      <c r="D8173" s="1" t="n">
        <v>45770</v>
      </c>
      <c r="E8173" s="1" t="n">
        <v>46326</v>
      </c>
      <c r="F8173" t="inlineStr">
        <is>
          <t>GÄVLEBORGS LÄN</t>
        </is>
      </c>
      <c r="G8173" t="inlineStr">
        <is>
          <t>LJUSDAL</t>
        </is>
      </c>
      <c r="I8173" t="n">
        <v>2</v>
      </c>
      <c r="J8173" t="n">
        <v>0</v>
      </c>
      <c r="K8173" t="n">
        <v>0</v>
      </c>
      <c r="L8173" t="n">
        <v>0</v>
      </c>
      <c r="M8173" t="n">
        <v>0</v>
      </c>
      <c r="N8173" t="n">
        <v>0</v>
      </c>
      <c r="O8173" t="n">
        <v>0</v>
      </c>
      <c r="P8173" t="n">
        <v>0</v>
      </c>
      <c r="Q8173" t="n">
        <v>0</v>
      </c>
      <c r="R8173" t="n">
        <v>0</v>
      </c>
      <c r="S8173" t="n">
        <v>0</v>
      </c>
      <c r="T8173" t="n">
        <v>0</v>
      </c>
      <c r="U8173" t="n">
        <v>0</v>
      </c>
      <c r="V8173" s="2" t="inlineStr"/>
    </row>
    <row r="8174" ht="15" customHeight="1">
      <c r="A8174" t="inlineStr">
        <is>
          <t>A 23654-2026</t>
        </is>
      </c>
      <c r="B8174" t="inlineStr">
        <is>
          <t>avverkningsanmälan</t>
        </is>
      </c>
      <c r="C8174" t="inlineStr">
        <is>
          <t>Föryngringsavverkning</t>
        </is>
      </c>
      <c r="D8174" s="1" t="n">
        <v>46164</v>
      </c>
      <c r="E8174" s="1" t="n">
        <v>46326</v>
      </c>
      <c r="F8174" t="inlineStr">
        <is>
          <t>GÄVLEBORGS LÄN</t>
        </is>
      </c>
      <c r="G8174" t="inlineStr">
        <is>
          <t>NORDANSTIG</t>
        </is>
      </c>
      <c r="H8174" t="inlineStr">
        <is>
          <t>Holmen skog AB</t>
        </is>
      </c>
      <c r="I8174" t="n">
        <v>2</v>
      </c>
      <c r="J8174" t="n">
        <v>0</v>
      </c>
      <c r="K8174" t="n">
        <v>0</v>
      </c>
      <c r="L8174" t="n">
        <v>0</v>
      </c>
      <c r="M8174" t="n">
        <v>0</v>
      </c>
      <c r="N8174" t="n">
        <v>0</v>
      </c>
      <c r="O8174" t="n">
        <v>0</v>
      </c>
      <c r="P8174" t="n">
        <v>0</v>
      </c>
      <c r="Q8174" t="n">
        <v>0</v>
      </c>
      <c r="R8174" t="n">
        <v>0</v>
      </c>
      <c r="S8174" t="n">
        <v>0</v>
      </c>
      <c r="T8174" t="n">
        <v>0</v>
      </c>
      <c r="U8174" t="n">
        <v>0</v>
      </c>
      <c r="V8174" s="2" t="inlineStr"/>
    </row>
    <row r="8175" ht="15" customHeight="1">
      <c r="A8175" t="inlineStr">
        <is>
          <t>A 23663-2026</t>
        </is>
      </c>
      <c r="B8175" t="inlineStr">
        <is>
          <t>avverkningsanmälan</t>
        </is>
      </c>
      <c r="C8175" t="inlineStr">
        <is>
          <t>Föryngringsavverkning</t>
        </is>
      </c>
      <c r="D8175" s="1" t="n">
        <v>46164</v>
      </c>
      <c r="E8175" s="1" t="n">
        <v>46326</v>
      </c>
      <c r="F8175" t="inlineStr">
        <is>
          <t>GÄVLEBORGS LÄN</t>
        </is>
      </c>
      <c r="G8175" t="inlineStr">
        <is>
          <t>OCKELBO</t>
        </is>
      </c>
      <c r="I8175" t="n">
        <v>1</v>
      </c>
      <c r="J8175" t="n">
        <v>0</v>
      </c>
      <c r="K8175" t="n">
        <v>0</v>
      </c>
      <c r="L8175" t="n">
        <v>0</v>
      </c>
      <c r="M8175" t="n">
        <v>0</v>
      </c>
      <c r="N8175" t="n">
        <v>0</v>
      </c>
      <c r="O8175" t="n">
        <v>0</v>
      </c>
      <c r="P8175" t="n">
        <v>0</v>
      </c>
      <c r="Q8175" t="n">
        <v>0</v>
      </c>
      <c r="R8175" t="n">
        <v>0</v>
      </c>
      <c r="S8175" t="n">
        <v>0</v>
      </c>
      <c r="T8175" t="n">
        <v>0</v>
      </c>
      <c r="U8175" t="n">
        <v>0</v>
      </c>
      <c r="V8175" s="2" t="inlineStr"/>
    </row>
    <row r="8176" ht="15" customHeight="1">
      <c r="A8176" t="inlineStr">
        <is>
          <t>A 3456-2024</t>
        </is>
      </c>
      <c r="B8176" t="inlineStr">
        <is>
          <t>avverkningsanmälan</t>
        </is>
      </c>
      <c r="C8176" t="inlineStr">
        <is>
          <t>Föryngringsavverkning</t>
        </is>
      </c>
      <c r="D8176" s="1" t="n">
        <v>45320</v>
      </c>
      <c r="E8176" s="1" t="n">
        <v>46326</v>
      </c>
      <c r="F8176" t="inlineStr">
        <is>
          <t>GÄVLEBORGS LÄN</t>
        </is>
      </c>
      <c r="G8176" t="inlineStr">
        <is>
          <t>SANDVIKEN</t>
        </is>
      </c>
      <c r="I8176" t="n">
        <v>3.2</v>
      </c>
      <c r="J8176" t="n">
        <v>0</v>
      </c>
      <c r="K8176" t="n">
        <v>0</v>
      </c>
      <c r="L8176" t="n">
        <v>0</v>
      </c>
      <c r="M8176" t="n">
        <v>0</v>
      </c>
      <c r="N8176" t="n">
        <v>0</v>
      </c>
      <c r="O8176" t="n">
        <v>0</v>
      </c>
      <c r="P8176" t="n">
        <v>0</v>
      </c>
      <c r="Q8176" t="n">
        <v>0</v>
      </c>
      <c r="R8176" t="n">
        <v>0</v>
      </c>
      <c r="S8176" t="n">
        <v>0</v>
      </c>
      <c r="T8176" t="n">
        <v>0</v>
      </c>
      <c r="U8176" t="n">
        <v>0</v>
      </c>
      <c r="V8176" s="2" t="inlineStr"/>
    </row>
    <row r="8177" ht="15" customHeight="1">
      <c r="A8177" t="inlineStr">
        <is>
          <t>A 23686-2026</t>
        </is>
      </c>
      <c r="B8177" t="inlineStr">
        <is>
          <t>avverkningsanmälan</t>
        </is>
      </c>
      <c r="C8177" t="inlineStr">
        <is>
          <t>Föryngringsavverkning</t>
        </is>
      </c>
      <c r="D8177" s="1" t="n">
        <v>46164</v>
      </c>
      <c r="E8177" s="1" t="n">
        <v>46326</v>
      </c>
      <c r="F8177" t="inlineStr">
        <is>
          <t>GÄVLEBORGS LÄN</t>
        </is>
      </c>
      <c r="G8177" t="inlineStr">
        <is>
          <t>HUDIKSVALL</t>
        </is>
      </c>
      <c r="H8177" t="inlineStr">
        <is>
          <t>Kommuner</t>
        </is>
      </c>
      <c r="I8177" t="n">
        <v>1.4</v>
      </c>
      <c r="J8177" t="n">
        <v>0</v>
      </c>
      <c r="K8177" t="n">
        <v>0</v>
      </c>
      <c r="L8177" t="n">
        <v>0</v>
      </c>
      <c r="M8177" t="n">
        <v>0</v>
      </c>
      <c r="N8177" t="n">
        <v>0</v>
      </c>
      <c r="O8177" t="n">
        <v>0</v>
      </c>
      <c r="P8177" t="n">
        <v>0</v>
      </c>
      <c r="Q8177" t="n">
        <v>0</v>
      </c>
      <c r="R8177" t="n">
        <v>0</v>
      </c>
      <c r="S8177" t="n">
        <v>0</v>
      </c>
      <c r="T8177" t="n">
        <v>0</v>
      </c>
      <c r="U8177" t="n">
        <v>0</v>
      </c>
      <c r="V8177" s="2" t="inlineStr"/>
    </row>
    <row r="8178" ht="15" customHeight="1">
      <c r="A8178" t="inlineStr">
        <is>
          <t>A 23653-2026</t>
        </is>
      </c>
      <c r="B8178" t="inlineStr">
        <is>
          <t>avverkningsanmälan</t>
        </is>
      </c>
      <c r="C8178" t="inlineStr">
        <is>
          <t>Föryngringsavverkning</t>
        </is>
      </c>
      <c r="D8178" s="1" t="n">
        <v>46164</v>
      </c>
      <c r="E8178" s="1" t="n">
        <v>46326</v>
      </c>
      <c r="F8178" t="inlineStr">
        <is>
          <t>GÄVLEBORGS LÄN</t>
        </is>
      </c>
      <c r="G8178" t="inlineStr">
        <is>
          <t>OVANÅKER</t>
        </is>
      </c>
      <c r="I8178" t="n">
        <v>1.5</v>
      </c>
      <c r="J8178" t="n">
        <v>0</v>
      </c>
      <c r="K8178" t="n">
        <v>0</v>
      </c>
      <c r="L8178" t="n">
        <v>0</v>
      </c>
      <c r="M8178" t="n">
        <v>0</v>
      </c>
      <c r="N8178" t="n">
        <v>0</v>
      </c>
      <c r="O8178" t="n">
        <v>0</v>
      </c>
      <c r="P8178" t="n">
        <v>0</v>
      </c>
      <c r="Q8178" t="n">
        <v>0</v>
      </c>
      <c r="R8178" t="n">
        <v>0</v>
      </c>
      <c r="S8178" t="n">
        <v>0</v>
      </c>
      <c r="T8178" t="n">
        <v>0</v>
      </c>
      <c r="U8178" t="n">
        <v>0</v>
      </c>
      <c r="V8178" s="2" t="inlineStr"/>
    </row>
    <row r="8179" ht="15" customHeight="1">
      <c r="A8179" t="inlineStr">
        <is>
          <t>A 23671-2026</t>
        </is>
      </c>
      <c r="B8179" t="inlineStr">
        <is>
          <t>avverkningsanmälan</t>
        </is>
      </c>
      <c r="C8179" t="inlineStr">
        <is>
          <t>Föryngringsavverkning</t>
        </is>
      </c>
      <c r="D8179" s="1" t="n">
        <v>46164</v>
      </c>
      <c r="E8179" s="1" t="n">
        <v>46326</v>
      </c>
      <c r="F8179" t="inlineStr">
        <is>
          <t>GÄVLEBORGS LÄN</t>
        </is>
      </c>
      <c r="G8179" t="inlineStr">
        <is>
          <t>LJUSDAL</t>
        </is>
      </c>
      <c r="H8179" t="inlineStr">
        <is>
          <t>SCA</t>
        </is>
      </c>
      <c r="I8179" t="n">
        <v>3</v>
      </c>
      <c r="J8179" t="n">
        <v>0</v>
      </c>
      <c r="K8179" t="n">
        <v>0</v>
      </c>
      <c r="L8179" t="n">
        <v>0</v>
      </c>
      <c r="M8179" t="n">
        <v>0</v>
      </c>
      <c r="N8179" t="n">
        <v>0</v>
      </c>
      <c r="O8179" t="n">
        <v>0</v>
      </c>
      <c r="P8179" t="n">
        <v>0</v>
      </c>
      <c r="Q8179" t="n">
        <v>0</v>
      </c>
      <c r="R8179" t="n">
        <v>0</v>
      </c>
      <c r="S8179" t="n">
        <v>0</v>
      </c>
      <c r="T8179" t="n">
        <v>0</v>
      </c>
      <c r="U8179" t="n">
        <v>0</v>
      </c>
      <c r="V8179" s="2" t="inlineStr"/>
    </row>
    <row r="8180" ht="15" customHeight="1">
      <c r="A8180" t="inlineStr">
        <is>
          <t>A 5788-2025</t>
        </is>
      </c>
      <c r="B8180" t="inlineStr">
        <is>
          <t>avverkningsanmälan</t>
        </is>
      </c>
      <c r="C8180" t="inlineStr">
        <is>
          <t>Föryngringsavverkning</t>
        </is>
      </c>
      <c r="D8180" s="1" t="n">
        <v>45694</v>
      </c>
      <c r="E8180" s="1" t="n">
        <v>46326</v>
      </c>
      <c r="F8180" t="inlineStr">
        <is>
          <t>GÄVLEBORGS LÄN</t>
        </is>
      </c>
      <c r="G8180" t="inlineStr">
        <is>
          <t>HUDIKSVALL</t>
        </is>
      </c>
      <c r="I8180" t="n">
        <v>1.2</v>
      </c>
      <c r="J8180" t="n">
        <v>0</v>
      </c>
      <c r="K8180" t="n">
        <v>0</v>
      </c>
      <c r="L8180" t="n">
        <v>0</v>
      </c>
      <c r="M8180" t="n">
        <v>0</v>
      </c>
      <c r="N8180" t="n">
        <v>0</v>
      </c>
      <c r="O8180" t="n">
        <v>0</v>
      </c>
      <c r="P8180" t="n">
        <v>0</v>
      </c>
      <c r="Q8180" t="n">
        <v>0</v>
      </c>
      <c r="R8180" t="n">
        <v>0</v>
      </c>
      <c r="S8180" t="n">
        <v>0</v>
      </c>
      <c r="T8180" t="n">
        <v>0</v>
      </c>
      <c r="U8180" t="n">
        <v>0</v>
      </c>
      <c r="V8180" s="2" t="inlineStr"/>
    </row>
    <row r="8181" ht="15" customHeight="1">
      <c r="A8181" t="inlineStr">
        <is>
          <t>A 15312-2023</t>
        </is>
      </c>
      <c r="B8181" t="inlineStr">
        <is>
          <t>avverkningsanmälan</t>
        </is>
      </c>
      <c r="C8181" t="inlineStr">
        <is>
          <t>Föryngringsavverkning</t>
        </is>
      </c>
      <c r="D8181" s="1" t="n">
        <v>45019</v>
      </c>
      <c r="E8181" s="1" t="n">
        <v>46326</v>
      </c>
      <c r="F8181" t="inlineStr">
        <is>
          <t>GÄVLEBORGS LÄN</t>
        </is>
      </c>
      <c r="G8181" t="inlineStr">
        <is>
          <t>GÄVLE</t>
        </is>
      </c>
      <c r="I8181" t="n">
        <v>2.4</v>
      </c>
      <c r="J8181" t="n">
        <v>0</v>
      </c>
      <c r="K8181" t="n">
        <v>0</v>
      </c>
      <c r="L8181" t="n">
        <v>0</v>
      </c>
      <c r="M8181" t="n">
        <v>0</v>
      </c>
      <c r="N8181" t="n">
        <v>0</v>
      </c>
      <c r="O8181" t="n">
        <v>0</v>
      </c>
      <c r="P8181" t="n">
        <v>0</v>
      </c>
      <c r="Q8181" t="n">
        <v>0</v>
      </c>
      <c r="R8181" t="n">
        <v>0</v>
      </c>
      <c r="S8181" t="n">
        <v>0</v>
      </c>
      <c r="T8181" t="n">
        <v>0</v>
      </c>
      <c r="U8181" t="n">
        <v>0</v>
      </c>
      <c r="V8181" s="2" t="inlineStr"/>
    </row>
    <row r="8182" ht="15" customHeight="1">
      <c r="A8182" t="inlineStr">
        <is>
          <t>A 24017-2026</t>
        </is>
      </c>
      <c r="B8182" t="inlineStr">
        <is>
          <t>avverkningsanmälan</t>
        </is>
      </c>
      <c r="C8182" t="inlineStr">
        <is>
          <t>Föryngringsavverkning</t>
        </is>
      </c>
      <c r="D8182" s="1" t="n">
        <v>46167</v>
      </c>
      <c r="E8182" s="1" t="n">
        <v>46326</v>
      </c>
      <c r="F8182" t="inlineStr">
        <is>
          <t>GÄVLEBORGS LÄN</t>
        </is>
      </c>
      <c r="G8182" t="inlineStr">
        <is>
          <t>HUDIKSVALL</t>
        </is>
      </c>
      <c r="I8182" t="n">
        <v>1.6</v>
      </c>
      <c r="J8182" t="n">
        <v>0</v>
      </c>
      <c r="K8182" t="n">
        <v>0</v>
      </c>
      <c r="L8182" t="n">
        <v>0</v>
      </c>
      <c r="M8182" t="n">
        <v>0</v>
      </c>
      <c r="N8182" t="n">
        <v>0</v>
      </c>
      <c r="O8182" t="n">
        <v>0</v>
      </c>
      <c r="P8182" t="n">
        <v>0</v>
      </c>
      <c r="Q8182" t="n">
        <v>0</v>
      </c>
      <c r="R8182" t="n">
        <v>0</v>
      </c>
      <c r="S8182" t="n">
        <v>0</v>
      </c>
      <c r="T8182" t="n">
        <v>0</v>
      </c>
      <c r="U8182" t="n">
        <v>0</v>
      </c>
      <c r="V8182" s="2" t="inlineStr"/>
    </row>
    <row r="8183" ht="15" customHeight="1">
      <c r="A8183" t="inlineStr">
        <is>
          <t>A 23900-2026</t>
        </is>
      </c>
      <c r="B8183" t="inlineStr">
        <is>
          <t>avverkningsanmälan</t>
        </is>
      </c>
      <c r="C8183" t="inlineStr">
        <is>
          <t>Föryngringsavverkning</t>
        </is>
      </c>
      <c r="D8183" s="1" t="n">
        <v>46167</v>
      </c>
      <c r="E8183" s="1" t="n">
        <v>46326</v>
      </c>
      <c r="F8183" t="inlineStr">
        <is>
          <t>GÄVLEBORGS LÄN</t>
        </is>
      </c>
      <c r="G8183" t="inlineStr">
        <is>
          <t>NORDANSTIG</t>
        </is>
      </c>
      <c r="I8183" t="n">
        <v>1.4</v>
      </c>
      <c r="J8183" t="n">
        <v>0</v>
      </c>
      <c r="K8183" t="n">
        <v>0</v>
      </c>
      <c r="L8183" t="n">
        <v>0</v>
      </c>
      <c r="M8183" t="n">
        <v>0</v>
      </c>
      <c r="N8183" t="n">
        <v>0</v>
      </c>
      <c r="O8183" t="n">
        <v>0</v>
      </c>
      <c r="P8183" t="n">
        <v>0</v>
      </c>
      <c r="Q8183" t="n">
        <v>0</v>
      </c>
      <c r="R8183" t="n">
        <v>0</v>
      </c>
      <c r="S8183" t="n">
        <v>0</v>
      </c>
      <c r="T8183" t="n">
        <v>0</v>
      </c>
      <c r="U8183" t="n">
        <v>0</v>
      </c>
      <c r="V8183" s="2" t="inlineStr"/>
    </row>
    <row r="8184" ht="15" customHeight="1">
      <c r="A8184" t="inlineStr">
        <is>
          <t>A 23664-2026</t>
        </is>
      </c>
      <c r="B8184" t="inlineStr">
        <is>
          <t>avverkningsanmälan</t>
        </is>
      </c>
      <c r="C8184" t="inlineStr">
        <is>
          <t>Föryngringsavverkning</t>
        </is>
      </c>
      <c r="D8184" s="1" t="n">
        <v>46164</v>
      </c>
      <c r="E8184" s="1" t="n">
        <v>46326</v>
      </c>
      <c r="F8184" t="inlineStr">
        <is>
          <t>GÄVLEBORGS LÄN</t>
        </is>
      </c>
      <c r="G8184" t="inlineStr">
        <is>
          <t>BOLLNÄS</t>
        </is>
      </c>
      <c r="I8184" t="n">
        <v>6.3</v>
      </c>
      <c r="J8184" t="n">
        <v>0</v>
      </c>
      <c r="K8184" t="n">
        <v>0</v>
      </c>
      <c r="L8184" t="n">
        <v>0</v>
      </c>
      <c r="M8184" t="n">
        <v>0</v>
      </c>
      <c r="N8184" t="n">
        <v>0</v>
      </c>
      <c r="O8184" t="n">
        <v>0</v>
      </c>
      <c r="P8184" t="n">
        <v>0</v>
      </c>
      <c r="Q8184" t="n">
        <v>0</v>
      </c>
      <c r="R8184" t="n">
        <v>0</v>
      </c>
      <c r="S8184" t="n">
        <v>0</v>
      </c>
      <c r="T8184" t="n">
        <v>0</v>
      </c>
      <c r="U8184" t="n">
        <v>0</v>
      </c>
      <c r="V8184" s="2" t="inlineStr"/>
    </row>
    <row r="8185" ht="15" customHeight="1">
      <c r="A8185" t="inlineStr">
        <is>
          <t>A 20690-2026</t>
        </is>
      </c>
      <c r="B8185" t="inlineStr">
        <is>
          <t>avverkningsanmälan</t>
        </is>
      </c>
      <c r="C8185" t="inlineStr">
        <is>
          <t>Föryngringsavverkning</t>
        </is>
      </c>
      <c r="D8185" s="1" t="n">
        <v>46141</v>
      </c>
      <c r="E8185" s="1" t="n">
        <v>46326</v>
      </c>
      <c r="F8185" t="inlineStr">
        <is>
          <t>GÄVLEBORGS LÄN</t>
        </is>
      </c>
      <c r="G8185" t="inlineStr">
        <is>
          <t>BOLLNÄS</t>
        </is>
      </c>
      <c r="H8185" t="inlineStr">
        <is>
          <t>Bergvik skog väst AB</t>
        </is>
      </c>
      <c r="I8185" t="n">
        <v>5.2</v>
      </c>
      <c r="J8185" t="n">
        <v>0</v>
      </c>
      <c r="K8185" t="n">
        <v>0</v>
      </c>
      <c r="L8185" t="n">
        <v>0</v>
      </c>
      <c r="M8185" t="n">
        <v>0</v>
      </c>
      <c r="N8185" t="n">
        <v>0</v>
      </c>
      <c r="O8185" t="n">
        <v>0</v>
      </c>
      <c r="P8185" t="n">
        <v>0</v>
      </c>
      <c r="Q8185" t="n">
        <v>0</v>
      </c>
      <c r="R8185" t="n">
        <v>0</v>
      </c>
      <c r="S8185" t="n">
        <v>0</v>
      </c>
      <c r="T8185" t="n">
        <v>0</v>
      </c>
      <c r="U8185" t="n">
        <v>0</v>
      </c>
      <c r="V8185" s="2" t="inlineStr"/>
    </row>
    <row r="8186" ht="15" customHeight="1">
      <c r="A8186" t="inlineStr">
        <is>
          <t>A 24034-2026</t>
        </is>
      </c>
      <c r="B8186" t="inlineStr">
        <is>
          <t>avverkningsanmälan</t>
        </is>
      </c>
      <c r="C8186" t="inlineStr">
        <is>
          <t>Föryngringsavverkning</t>
        </is>
      </c>
      <c r="D8186" s="1" t="n">
        <v>46167</v>
      </c>
      <c r="E8186" s="1" t="n">
        <v>46326</v>
      </c>
      <c r="F8186" t="inlineStr">
        <is>
          <t>GÄVLEBORGS LÄN</t>
        </is>
      </c>
      <c r="G8186" t="inlineStr">
        <is>
          <t>BOLLNÄS</t>
        </is>
      </c>
      <c r="H8186" t="inlineStr">
        <is>
          <t>Bergvik skog väst AB</t>
        </is>
      </c>
      <c r="I8186" t="n">
        <v>2.1</v>
      </c>
      <c r="J8186" t="n">
        <v>0</v>
      </c>
      <c r="K8186" t="n">
        <v>0</v>
      </c>
      <c r="L8186" t="n">
        <v>0</v>
      </c>
      <c r="M8186" t="n">
        <v>0</v>
      </c>
      <c r="N8186" t="n">
        <v>0</v>
      </c>
      <c r="O8186" t="n">
        <v>0</v>
      </c>
      <c r="P8186" t="n">
        <v>0</v>
      </c>
      <c r="Q8186" t="n">
        <v>0</v>
      </c>
      <c r="R8186" t="n">
        <v>0</v>
      </c>
      <c r="S8186" t="n">
        <v>0</v>
      </c>
      <c r="T8186" t="n">
        <v>0</v>
      </c>
      <c r="U8186" t="n">
        <v>0</v>
      </c>
      <c r="V8186" s="2" t="inlineStr"/>
    </row>
    <row r="8187" ht="15" customHeight="1">
      <c r="A8187" t="inlineStr">
        <is>
          <t>A 50236-2023</t>
        </is>
      </c>
      <c r="B8187" t="inlineStr">
        <is>
          <t>avverkningsanmälan</t>
        </is>
      </c>
      <c r="C8187" t="inlineStr">
        <is>
          <t>Föryngringsavverkning</t>
        </is>
      </c>
      <c r="D8187" s="1" t="n">
        <v>45216</v>
      </c>
      <c r="E8187" s="1" t="n">
        <v>46326</v>
      </c>
      <c r="F8187" t="inlineStr">
        <is>
          <t>GÄVLEBORGS LÄN</t>
        </is>
      </c>
      <c r="G8187" t="inlineStr">
        <is>
          <t>OVANÅKER</t>
        </is>
      </c>
      <c r="I8187" t="n">
        <v>3</v>
      </c>
      <c r="J8187" t="n">
        <v>0</v>
      </c>
      <c r="K8187" t="n">
        <v>0</v>
      </c>
      <c r="L8187" t="n">
        <v>0</v>
      </c>
      <c r="M8187" t="n">
        <v>0</v>
      </c>
      <c r="N8187" t="n">
        <v>0</v>
      </c>
      <c r="O8187" t="n">
        <v>0</v>
      </c>
      <c r="P8187" t="n">
        <v>0</v>
      </c>
      <c r="Q8187" t="n">
        <v>0</v>
      </c>
      <c r="R8187" t="n">
        <v>0</v>
      </c>
      <c r="S8187" t="n">
        <v>0</v>
      </c>
      <c r="T8187" t="n">
        <v>0</v>
      </c>
      <c r="U8187" t="n">
        <v>0</v>
      </c>
      <c r="V8187" s="2" t="inlineStr"/>
    </row>
    <row r="8188" ht="15" customHeight="1">
      <c r="A8188" t="inlineStr">
        <is>
          <t>A 23649-2026</t>
        </is>
      </c>
      <c r="B8188" t="inlineStr">
        <is>
          <t>avverkningsanmälan</t>
        </is>
      </c>
      <c r="C8188" t="inlineStr">
        <is>
          <t>Föryngringsavverkning</t>
        </is>
      </c>
      <c r="D8188" s="1" t="n">
        <v>46164</v>
      </c>
      <c r="E8188" s="1" t="n">
        <v>46326</v>
      </c>
      <c r="F8188" t="inlineStr">
        <is>
          <t>GÄVLEBORGS LÄN</t>
        </is>
      </c>
      <c r="G8188" t="inlineStr">
        <is>
          <t>LJUSDAL</t>
        </is>
      </c>
      <c r="I8188" t="n">
        <v>1.9</v>
      </c>
      <c r="J8188" t="n">
        <v>0</v>
      </c>
      <c r="K8188" t="n">
        <v>0</v>
      </c>
      <c r="L8188" t="n">
        <v>0</v>
      </c>
      <c r="M8188" t="n">
        <v>0</v>
      </c>
      <c r="N8188" t="n">
        <v>0</v>
      </c>
      <c r="O8188" t="n">
        <v>0</v>
      </c>
      <c r="P8188" t="n">
        <v>0</v>
      </c>
      <c r="Q8188" t="n">
        <v>0</v>
      </c>
      <c r="R8188" t="n">
        <v>0</v>
      </c>
      <c r="S8188" t="n">
        <v>0</v>
      </c>
      <c r="T8188" t="n">
        <v>0</v>
      </c>
      <c r="U8188" t="n">
        <v>0</v>
      </c>
      <c r="V8188" s="2" t="inlineStr"/>
    </row>
    <row r="8189" ht="15" customHeight="1">
      <c r="A8189" t="inlineStr">
        <is>
          <t>A 23703-2026</t>
        </is>
      </c>
      <c r="B8189" t="inlineStr">
        <is>
          <t>avverkningsanmälan</t>
        </is>
      </c>
      <c r="C8189" t="inlineStr">
        <is>
          <t>Föryngringsavverkning</t>
        </is>
      </c>
      <c r="D8189" s="1" t="n">
        <v>46164</v>
      </c>
      <c r="E8189" s="1" t="n">
        <v>46326</v>
      </c>
      <c r="F8189" t="inlineStr">
        <is>
          <t>GÄVLEBORGS LÄN</t>
        </is>
      </c>
      <c r="G8189" t="inlineStr">
        <is>
          <t>BOLLNÄS</t>
        </is>
      </c>
      <c r="H8189" t="inlineStr">
        <is>
          <t>Bergvik skog väst AB</t>
        </is>
      </c>
      <c r="I8189" t="n">
        <v>1.3</v>
      </c>
      <c r="J8189" t="n">
        <v>0</v>
      </c>
      <c r="K8189" t="n">
        <v>0</v>
      </c>
      <c r="L8189" t="n">
        <v>0</v>
      </c>
      <c r="M8189" t="n">
        <v>0</v>
      </c>
      <c r="N8189" t="n">
        <v>0</v>
      </c>
      <c r="O8189" t="n">
        <v>0</v>
      </c>
      <c r="P8189" t="n">
        <v>0</v>
      </c>
      <c r="Q8189" t="n">
        <v>0</v>
      </c>
      <c r="R8189" t="n">
        <v>0</v>
      </c>
      <c r="S8189" t="n">
        <v>0</v>
      </c>
      <c r="T8189" t="n">
        <v>0</v>
      </c>
      <c r="U8189" t="n">
        <v>0</v>
      </c>
      <c r="V8189" s="2" t="inlineStr"/>
    </row>
    <row r="8190" ht="15" customHeight="1">
      <c r="A8190" t="inlineStr">
        <is>
          <t>A 23786-2026</t>
        </is>
      </c>
      <c r="B8190" t="inlineStr">
        <is>
          <t>avverkningsanmälan</t>
        </is>
      </c>
      <c r="C8190" t="inlineStr">
        <is>
          <t>Föryngringsavverkning</t>
        </is>
      </c>
      <c r="D8190" s="1" t="n">
        <v>46164</v>
      </c>
      <c r="E8190" s="1" t="n">
        <v>46326</v>
      </c>
      <c r="F8190" t="inlineStr">
        <is>
          <t>GÄVLEBORGS LÄN</t>
        </is>
      </c>
      <c r="G8190" t="inlineStr">
        <is>
          <t>OCKELBO</t>
        </is>
      </c>
      <c r="H8190" t="inlineStr">
        <is>
          <t>Bergvik skog väst AB</t>
        </is>
      </c>
      <c r="I8190" t="n">
        <v>1.7</v>
      </c>
      <c r="J8190" t="n">
        <v>0</v>
      </c>
      <c r="K8190" t="n">
        <v>0</v>
      </c>
      <c r="L8190" t="n">
        <v>0</v>
      </c>
      <c r="M8190" t="n">
        <v>0</v>
      </c>
      <c r="N8190" t="n">
        <v>0</v>
      </c>
      <c r="O8190" t="n">
        <v>0</v>
      </c>
      <c r="P8190" t="n">
        <v>0</v>
      </c>
      <c r="Q8190" t="n">
        <v>0</v>
      </c>
      <c r="R8190" t="n">
        <v>0</v>
      </c>
      <c r="S8190" t="n">
        <v>0</v>
      </c>
      <c r="T8190" t="n">
        <v>0</v>
      </c>
      <c r="U8190" t="n">
        <v>0</v>
      </c>
      <c r="V8190" s="2" t="inlineStr"/>
    </row>
    <row r="8191" ht="15" customHeight="1">
      <c r="A8191" t="inlineStr">
        <is>
          <t>A 9403-2026</t>
        </is>
      </c>
      <c r="B8191" t="inlineStr">
        <is>
          <t>avverkningsanmälan</t>
        </is>
      </c>
      <c r="C8191" t="inlineStr">
        <is>
          <t>Föryngringsavverkning</t>
        </is>
      </c>
      <c r="D8191" s="1" t="n">
        <v>46071</v>
      </c>
      <c r="E8191" s="1" t="n">
        <v>46326</v>
      </c>
      <c r="F8191" t="inlineStr">
        <is>
          <t>GÄVLEBORGS LÄN</t>
        </is>
      </c>
      <c r="G8191" t="inlineStr">
        <is>
          <t>BOLLNÄS</t>
        </is>
      </c>
      <c r="H8191" t="inlineStr">
        <is>
          <t>Bergvik skog väst AB</t>
        </is>
      </c>
      <c r="I8191" t="n">
        <v>10.6</v>
      </c>
      <c r="J8191" t="n">
        <v>0</v>
      </c>
      <c r="K8191" t="n">
        <v>0</v>
      </c>
      <c r="L8191" t="n">
        <v>0</v>
      </c>
      <c r="M8191" t="n">
        <v>0</v>
      </c>
      <c r="N8191" t="n">
        <v>0</v>
      </c>
      <c r="O8191" t="n">
        <v>0</v>
      </c>
      <c r="P8191" t="n">
        <v>0</v>
      </c>
      <c r="Q8191" t="n">
        <v>0</v>
      </c>
      <c r="R8191" t="n">
        <v>0</v>
      </c>
      <c r="S8191" t="n">
        <v>0</v>
      </c>
      <c r="T8191" t="n">
        <v>0</v>
      </c>
      <c r="U8191" t="n">
        <v>0</v>
      </c>
      <c r="V8191" s="2" t="inlineStr"/>
    </row>
    <row r="8192" ht="15" customHeight="1">
      <c r="A8192" t="inlineStr">
        <is>
          <t>A 35714-2023</t>
        </is>
      </c>
      <c r="B8192" t="inlineStr">
        <is>
          <t>avverkningsanmälan</t>
        </is>
      </c>
      <c r="C8192" t="inlineStr">
        <is>
          <t>Föryngringsavverkning</t>
        </is>
      </c>
      <c r="D8192" s="1" t="n">
        <v>45147</v>
      </c>
      <c r="E8192" s="1" t="n">
        <v>46326</v>
      </c>
      <c r="F8192" t="inlineStr">
        <is>
          <t>GÄVLEBORGS LÄN</t>
        </is>
      </c>
      <c r="G8192" t="inlineStr">
        <is>
          <t>LJUSDAL</t>
        </is>
      </c>
      <c r="I8192" t="n">
        <v>1.8</v>
      </c>
      <c r="J8192" t="n">
        <v>0</v>
      </c>
      <c r="K8192" t="n">
        <v>0</v>
      </c>
      <c r="L8192" t="n">
        <v>0</v>
      </c>
      <c r="M8192" t="n">
        <v>0</v>
      </c>
      <c r="N8192" t="n">
        <v>0</v>
      </c>
      <c r="O8192" t="n">
        <v>0</v>
      </c>
      <c r="P8192" t="n">
        <v>0</v>
      </c>
      <c r="Q8192" t="n">
        <v>0</v>
      </c>
      <c r="R8192" t="n">
        <v>0</v>
      </c>
      <c r="S8192" t="n">
        <v>0</v>
      </c>
      <c r="T8192" t="n">
        <v>0</v>
      </c>
      <c r="U8192" t="n">
        <v>0</v>
      </c>
      <c r="V8192" s="2" t="inlineStr"/>
    </row>
    <row r="8193" ht="15" customHeight="1">
      <c r="A8193" t="inlineStr">
        <is>
          <t>A 63953-2025</t>
        </is>
      </c>
      <c r="B8193" t="inlineStr">
        <is>
          <t>avverkningsanmälan</t>
        </is>
      </c>
      <c r="C8193" t="inlineStr">
        <is>
          <t>Föryngringsavverkning</t>
        </is>
      </c>
      <c r="D8193" s="1" t="n">
        <v>46020</v>
      </c>
      <c r="E8193" s="1" t="n">
        <v>46326</v>
      </c>
      <c r="F8193" t="inlineStr">
        <is>
          <t>GÄVLEBORGS LÄN</t>
        </is>
      </c>
      <c r="G8193" t="inlineStr">
        <is>
          <t>BOLLNÄS</t>
        </is>
      </c>
      <c r="I8193" t="n">
        <v>2.4</v>
      </c>
      <c r="J8193" t="n">
        <v>0</v>
      </c>
      <c r="K8193" t="n">
        <v>0</v>
      </c>
      <c r="L8193" t="n">
        <v>0</v>
      </c>
      <c r="M8193" t="n">
        <v>0</v>
      </c>
      <c r="N8193" t="n">
        <v>0</v>
      </c>
      <c r="O8193" t="n">
        <v>0</v>
      </c>
      <c r="P8193" t="n">
        <v>0</v>
      </c>
      <c r="Q8193" t="n">
        <v>0</v>
      </c>
      <c r="R8193" t="n">
        <v>0</v>
      </c>
      <c r="S8193" t="n">
        <v>0</v>
      </c>
      <c r="T8193" t="n">
        <v>0</v>
      </c>
      <c r="U8193" t="n">
        <v>0</v>
      </c>
      <c r="V8193" s="2" t="inlineStr"/>
    </row>
    <row r="8194" ht="15" customHeight="1">
      <c r="A8194" t="inlineStr">
        <is>
          <t>A 48561-2025</t>
        </is>
      </c>
      <c r="B8194" t="inlineStr">
        <is>
          <t>avverkningsanmälan</t>
        </is>
      </c>
      <c r="C8194" t="inlineStr">
        <is>
          <t>Föryngringsavverkning</t>
        </is>
      </c>
      <c r="D8194" s="1" t="n">
        <v>45936</v>
      </c>
      <c r="E8194" s="1" t="n">
        <v>46326</v>
      </c>
      <c r="F8194" t="inlineStr">
        <is>
          <t>GÄVLEBORGS LÄN</t>
        </is>
      </c>
      <c r="G8194" t="inlineStr">
        <is>
          <t>SÖDERHAMN</t>
        </is>
      </c>
      <c r="I8194" t="n">
        <v>5.7</v>
      </c>
      <c r="J8194" t="n">
        <v>0</v>
      </c>
      <c r="K8194" t="n">
        <v>0</v>
      </c>
      <c r="L8194" t="n">
        <v>0</v>
      </c>
      <c r="M8194" t="n">
        <v>0</v>
      </c>
      <c r="N8194" t="n">
        <v>0</v>
      </c>
      <c r="O8194" t="n">
        <v>0</v>
      </c>
      <c r="P8194" t="n">
        <v>0</v>
      </c>
      <c r="Q8194" t="n">
        <v>0</v>
      </c>
      <c r="R8194" t="n">
        <v>0</v>
      </c>
      <c r="S8194" t="n">
        <v>0</v>
      </c>
      <c r="T8194" t="n">
        <v>0</v>
      </c>
      <c r="U8194" t="n">
        <v>0</v>
      </c>
      <c r="V8194" s="2" t="inlineStr"/>
    </row>
    <row r="8195" ht="15" customHeight="1">
      <c r="A8195" t="inlineStr">
        <is>
          <t>A 16472-2026</t>
        </is>
      </c>
      <c r="B8195" t="inlineStr">
        <is>
          <t>avverkningsanmälan</t>
        </is>
      </c>
      <c r="C8195" t="inlineStr">
        <is>
          <t>Föryngringsavverkning</t>
        </is>
      </c>
      <c r="D8195" s="1" t="n">
        <v>46112</v>
      </c>
      <c r="E8195" s="1" t="n">
        <v>46326</v>
      </c>
      <c r="F8195" t="inlineStr">
        <is>
          <t>GÄVLEBORGS LÄN</t>
        </is>
      </c>
      <c r="G8195" t="inlineStr">
        <is>
          <t>SÖDERHAMN</t>
        </is>
      </c>
      <c r="I8195" t="n">
        <v>0.8</v>
      </c>
      <c r="J8195" t="n">
        <v>0</v>
      </c>
      <c r="K8195" t="n">
        <v>0</v>
      </c>
      <c r="L8195" t="n">
        <v>0</v>
      </c>
      <c r="M8195" t="n">
        <v>0</v>
      </c>
      <c r="N8195" t="n">
        <v>0</v>
      </c>
      <c r="O8195" t="n">
        <v>0</v>
      </c>
      <c r="P8195" t="n">
        <v>0</v>
      </c>
      <c r="Q8195" t="n">
        <v>0</v>
      </c>
      <c r="R8195" t="n">
        <v>0</v>
      </c>
      <c r="S8195" t="n">
        <v>0</v>
      </c>
      <c r="T8195" t="n">
        <v>0</v>
      </c>
      <c r="U8195" t="n">
        <v>0</v>
      </c>
      <c r="V8195" s="2" t="inlineStr"/>
    </row>
    <row r="8196" ht="15" customHeight="1">
      <c r="A8196" t="inlineStr">
        <is>
          <t>A 59297-2024</t>
        </is>
      </c>
      <c r="B8196" t="inlineStr">
        <is>
          <t>avverkningsanmälan</t>
        </is>
      </c>
      <c r="C8196" t="inlineStr">
        <is>
          <t>Föryngringsavverkning</t>
        </is>
      </c>
      <c r="D8196" s="1" t="n">
        <v>45637</v>
      </c>
      <c r="E8196" s="1" t="n">
        <v>46326</v>
      </c>
      <c r="F8196" t="inlineStr">
        <is>
          <t>GÄVLEBORGS LÄN</t>
        </is>
      </c>
      <c r="G8196" t="inlineStr">
        <is>
          <t>NORDANSTIG</t>
        </is>
      </c>
      <c r="I8196" t="n">
        <v>3.8</v>
      </c>
      <c r="J8196" t="n">
        <v>0</v>
      </c>
      <c r="K8196" t="n">
        <v>0</v>
      </c>
      <c r="L8196" t="n">
        <v>0</v>
      </c>
      <c r="M8196" t="n">
        <v>0</v>
      </c>
      <c r="N8196" t="n">
        <v>0</v>
      </c>
      <c r="O8196" t="n">
        <v>0</v>
      </c>
      <c r="P8196" t="n">
        <v>0</v>
      </c>
      <c r="Q8196" t="n">
        <v>0</v>
      </c>
      <c r="R8196" t="n">
        <v>0</v>
      </c>
      <c r="S8196" t="n">
        <v>0</v>
      </c>
      <c r="T8196" t="n">
        <v>0</v>
      </c>
      <c r="U8196" t="n">
        <v>0</v>
      </c>
      <c r="V8196" s="2" t="inlineStr"/>
    </row>
    <row r="8197" ht="15" customHeight="1">
      <c r="A8197" t="inlineStr">
        <is>
          <t>A 10542-2026</t>
        </is>
      </c>
      <c r="B8197" t="inlineStr">
        <is>
          <t>avverkningsanmälan</t>
        </is>
      </c>
      <c r="C8197" t="inlineStr">
        <is>
          <t>Föryngringsavverkning</t>
        </is>
      </c>
      <c r="D8197" s="1" t="n">
        <v>46077</v>
      </c>
      <c r="E8197" s="1" t="n">
        <v>46326</v>
      </c>
      <c r="F8197" t="inlineStr">
        <is>
          <t>GÄVLEBORGS LÄN</t>
        </is>
      </c>
      <c r="G8197" t="inlineStr">
        <is>
          <t>OVANÅKER</t>
        </is>
      </c>
      <c r="I8197" t="n">
        <v>4.2</v>
      </c>
      <c r="J8197" t="n">
        <v>0</v>
      </c>
      <c r="K8197" t="n">
        <v>0</v>
      </c>
      <c r="L8197" t="n">
        <v>0</v>
      </c>
      <c r="M8197" t="n">
        <v>0</v>
      </c>
      <c r="N8197" t="n">
        <v>0</v>
      </c>
      <c r="O8197" t="n">
        <v>0</v>
      </c>
      <c r="P8197" t="n">
        <v>0</v>
      </c>
      <c r="Q8197" t="n">
        <v>0</v>
      </c>
      <c r="R8197" t="n">
        <v>0</v>
      </c>
      <c r="S8197" t="n">
        <v>0</v>
      </c>
      <c r="T8197" t="n">
        <v>0</v>
      </c>
      <c r="U8197" t="n">
        <v>0</v>
      </c>
      <c r="V8197" s="2" t="inlineStr"/>
    </row>
    <row r="8198" ht="15" customHeight="1">
      <c r="A8198" t="inlineStr">
        <is>
          <t>A 10620-2026</t>
        </is>
      </c>
      <c r="B8198" t="inlineStr">
        <is>
          <t>avverkningsanmälan</t>
        </is>
      </c>
      <c r="C8198" t="inlineStr">
        <is>
          <t>Föryngringsavverkning</t>
        </is>
      </c>
      <c r="D8198" s="1" t="n">
        <v>46077</v>
      </c>
      <c r="E8198" s="1" t="n">
        <v>46326</v>
      </c>
      <c r="F8198" t="inlineStr">
        <is>
          <t>GÄVLEBORGS LÄN</t>
        </is>
      </c>
      <c r="G8198" t="inlineStr">
        <is>
          <t>BOLLNÄS</t>
        </is>
      </c>
      <c r="I8198" t="n">
        <v>7</v>
      </c>
      <c r="J8198" t="n">
        <v>0</v>
      </c>
      <c r="K8198" t="n">
        <v>0</v>
      </c>
      <c r="L8198" t="n">
        <v>0</v>
      </c>
      <c r="M8198" t="n">
        <v>0</v>
      </c>
      <c r="N8198" t="n">
        <v>0</v>
      </c>
      <c r="O8198" t="n">
        <v>0</v>
      </c>
      <c r="P8198" t="n">
        <v>0</v>
      </c>
      <c r="Q8198" t="n">
        <v>0</v>
      </c>
      <c r="R8198" t="n">
        <v>0</v>
      </c>
      <c r="S8198" t="n">
        <v>0</v>
      </c>
      <c r="T8198" t="n">
        <v>0</v>
      </c>
      <c r="U8198" t="n">
        <v>0</v>
      </c>
      <c r="V8198" s="2" t="inlineStr"/>
    </row>
    <row r="8199" ht="15" customHeight="1">
      <c r="A8199" t="inlineStr">
        <is>
          <t>A 7961-2026</t>
        </is>
      </c>
      <c r="B8199" t="inlineStr">
        <is>
          <t>avverkningsanmälan</t>
        </is>
      </c>
      <c r="C8199" t="inlineStr">
        <is>
          <t>Föryngringsavverkning</t>
        </is>
      </c>
      <c r="D8199" s="1" t="n">
        <v>46063</v>
      </c>
      <c r="E8199" s="1" t="n">
        <v>46326</v>
      </c>
      <c r="F8199" t="inlineStr">
        <is>
          <t>GÄVLEBORGS LÄN</t>
        </is>
      </c>
      <c r="G8199" t="inlineStr">
        <is>
          <t>OVANÅKER</t>
        </is>
      </c>
      <c r="H8199" t="inlineStr">
        <is>
          <t>Sveaskog</t>
        </is>
      </c>
      <c r="I8199" t="n">
        <v>2.1</v>
      </c>
      <c r="J8199" t="n">
        <v>0</v>
      </c>
      <c r="K8199" t="n">
        <v>0</v>
      </c>
      <c r="L8199" t="n">
        <v>0</v>
      </c>
      <c r="M8199" t="n">
        <v>0</v>
      </c>
      <c r="N8199" t="n">
        <v>0</v>
      </c>
      <c r="O8199" t="n">
        <v>0</v>
      </c>
      <c r="P8199" t="n">
        <v>0</v>
      </c>
      <c r="Q8199" t="n">
        <v>0</v>
      </c>
      <c r="R8199" t="n">
        <v>0</v>
      </c>
      <c r="S8199" t="n">
        <v>0</v>
      </c>
      <c r="T8199" t="n">
        <v>0</v>
      </c>
      <c r="U8199" t="n">
        <v>0</v>
      </c>
      <c r="V8199" s="2" t="inlineStr"/>
    </row>
    <row r="8200" ht="15" customHeight="1">
      <c r="A8200" t="inlineStr">
        <is>
          <t>A 24136-2026</t>
        </is>
      </c>
      <c r="B8200" t="inlineStr">
        <is>
          <t>avverkningsanmälan</t>
        </is>
      </c>
      <c r="C8200" t="inlineStr">
        <is>
          <t>Föryngringsavverkning</t>
        </is>
      </c>
      <c r="D8200" s="1" t="n">
        <v>46168</v>
      </c>
      <c r="E8200" s="1" t="n">
        <v>46326</v>
      </c>
      <c r="F8200" t="inlineStr">
        <is>
          <t>GÄVLEBORGS LÄN</t>
        </is>
      </c>
      <c r="G8200" t="inlineStr">
        <is>
          <t>BOLLNÄS</t>
        </is>
      </c>
      <c r="H8200" t="inlineStr">
        <is>
          <t>Bergvik skog väst AB</t>
        </is>
      </c>
      <c r="I8200" t="n">
        <v>0.6</v>
      </c>
      <c r="J8200" t="n">
        <v>0</v>
      </c>
      <c r="K8200" t="n">
        <v>0</v>
      </c>
      <c r="L8200" t="n">
        <v>0</v>
      </c>
      <c r="M8200" t="n">
        <v>0</v>
      </c>
      <c r="N8200" t="n">
        <v>0</v>
      </c>
      <c r="O8200" t="n">
        <v>0</v>
      </c>
      <c r="P8200" t="n">
        <v>0</v>
      </c>
      <c r="Q8200" t="n">
        <v>0</v>
      </c>
      <c r="R8200" t="n">
        <v>0</v>
      </c>
      <c r="S8200" t="n">
        <v>0</v>
      </c>
      <c r="T8200" t="n">
        <v>0</v>
      </c>
      <c r="U8200" t="n">
        <v>0</v>
      </c>
      <c r="V8200" s="2" t="inlineStr"/>
    </row>
    <row r="8201" ht="15" customHeight="1">
      <c r="A8201" t="inlineStr">
        <is>
          <t>A 24147-2026</t>
        </is>
      </c>
      <c r="B8201" t="inlineStr">
        <is>
          <t>avverkningsanmälan</t>
        </is>
      </c>
      <c r="C8201" t="inlineStr">
        <is>
          <t>Föryngringsavverkning</t>
        </is>
      </c>
      <c r="D8201" s="1" t="n">
        <v>46168</v>
      </c>
      <c r="E8201" s="1" t="n">
        <v>46326</v>
      </c>
      <c r="F8201" t="inlineStr">
        <is>
          <t>GÄVLEBORGS LÄN</t>
        </is>
      </c>
      <c r="G8201" t="inlineStr">
        <is>
          <t>BOLLNÄS</t>
        </is>
      </c>
      <c r="I8201" t="n">
        <v>1.9</v>
      </c>
      <c r="J8201" t="n">
        <v>0</v>
      </c>
      <c r="K8201" t="n">
        <v>0</v>
      </c>
      <c r="L8201" t="n">
        <v>0</v>
      </c>
      <c r="M8201" t="n">
        <v>0</v>
      </c>
      <c r="N8201" t="n">
        <v>0</v>
      </c>
      <c r="O8201" t="n">
        <v>0</v>
      </c>
      <c r="P8201" t="n">
        <v>0</v>
      </c>
      <c r="Q8201" t="n">
        <v>0</v>
      </c>
      <c r="R8201" t="n">
        <v>0</v>
      </c>
      <c r="S8201" t="n">
        <v>0</v>
      </c>
      <c r="T8201" t="n">
        <v>0</v>
      </c>
      <c r="U8201" t="n">
        <v>0</v>
      </c>
      <c r="V8201" s="2" t="inlineStr"/>
    </row>
    <row r="8202" ht="15" customHeight="1">
      <c r="A8202" t="inlineStr">
        <is>
          <t>A 23293-2026</t>
        </is>
      </c>
      <c r="B8202" t="inlineStr">
        <is>
          <t>avverkningsanmälan</t>
        </is>
      </c>
      <c r="C8202" t="inlineStr">
        <is>
          <t>Föryngringsavverkning</t>
        </is>
      </c>
      <c r="D8202" s="1" t="n">
        <v>46162</v>
      </c>
      <c r="E8202" s="1" t="n">
        <v>46326</v>
      </c>
      <c r="F8202" t="inlineStr">
        <is>
          <t>GÄVLEBORGS LÄN</t>
        </is>
      </c>
      <c r="G8202" t="inlineStr">
        <is>
          <t>HUDIKSVALL</t>
        </is>
      </c>
      <c r="I8202" t="n">
        <v>1.9</v>
      </c>
      <c r="J8202" t="n">
        <v>0</v>
      </c>
      <c r="K8202" t="n">
        <v>0</v>
      </c>
      <c r="L8202" t="n">
        <v>0</v>
      </c>
      <c r="M8202" t="n">
        <v>0</v>
      </c>
      <c r="N8202" t="n">
        <v>0</v>
      </c>
      <c r="O8202" t="n">
        <v>0</v>
      </c>
      <c r="P8202" t="n">
        <v>0</v>
      </c>
      <c r="Q8202" t="n">
        <v>0</v>
      </c>
      <c r="R8202" t="n">
        <v>0</v>
      </c>
      <c r="S8202" t="n">
        <v>0</v>
      </c>
      <c r="T8202" t="n">
        <v>0</v>
      </c>
      <c r="U8202" t="n">
        <v>0</v>
      </c>
      <c r="V8202" s="2" t="inlineStr"/>
    </row>
    <row r="8203" ht="15" customHeight="1">
      <c r="A8203" t="inlineStr">
        <is>
          <t>A 29904-2024</t>
        </is>
      </c>
      <c r="B8203" t="inlineStr">
        <is>
          <t>avverkningsanmälan</t>
        </is>
      </c>
      <c r="C8203" t="inlineStr">
        <is>
          <t>Föryngringsavverkning</t>
        </is>
      </c>
      <c r="D8203" s="1" t="n">
        <v>45487</v>
      </c>
      <c r="E8203" s="1" t="n">
        <v>46326</v>
      </c>
      <c r="F8203" t="inlineStr">
        <is>
          <t>GÄVLEBORGS LÄN</t>
        </is>
      </c>
      <c r="G8203" t="inlineStr">
        <is>
          <t>HUDIKSVALL</t>
        </is>
      </c>
      <c r="I8203" t="n">
        <v>0.7</v>
      </c>
      <c r="J8203" t="n">
        <v>0</v>
      </c>
      <c r="K8203" t="n">
        <v>0</v>
      </c>
      <c r="L8203" t="n">
        <v>0</v>
      </c>
      <c r="M8203" t="n">
        <v>0</v>
      </c>
      <c r="N8203" t="n">
        <v>0</v>
      </c>
      <c r="O8203" t="n">
        <v>0</v>
      </c>
      <c r="P8203" t="n">
        <v>0</v>
      </c>
      <c r="Q8203" t="n">
        <v>0</v>
      </c>
      <c r="R8203" t="n">
        <v>0</v>
      </c>
      <c r="S8203" t="n">
        <v>0</v>
      </c>
      <c r="T8203" t="n">
        <v>0</v>
      </c>
      <c r="U8203" t="n">
        <v>0</v>
      </c>
      <c r="V8203" s="2" t="inlineStr"/>
    </row>
    <row r="8204" ht="15" customHeight="1">
      <c r="A8204" t="inlineStr">
        <is>
          <t>A 36452-2023</t>
        </is>
      </c>
      <c r="B8204" t="inlineStr">
        <is>
          <t>avverkningsanmälan</t>
        </is>
      </c>
      <c r="C8204" t="inlineStr">
        <is>
          <t>Avverkning för annat ändamål</t>
        </is>
      </c>
      <c r="D8204" s="1" t="n">
        <v>45152</v>
      </c>
      <c r="E8204" s="1" t="n">
        <v>46326</v>
      </c>
      <c r="F8204" t="inlineStr">
        <is>
          <t>GÄVLEBORGS LÄN</t>
        </is>
      </c>
      <c r="G8204" t="inlineStr">
        <is>
          <t>OVANÅKER</t>
        </is>
      </c>
      <c r="H8204" t="inlineStr">
        <is>
          <t>Sveaskog</t>
        </is>
      </c>
      <c r="I8204" t="n">
        <v>1.2</v>
      </c>
      <c r="J8204" t="n">
        <v>0</v>
      </c>
      <c r="K8204" t="n">
        <v>0</v>
      </c>
      <c r="L8204" t="n">
        <v>0</v>
      </c>
      <c r="M8204" t="n">
        <v>0</v>
      </c>
      <c r="N8204" t="n">
        <v>0</v>
      </c>
      <c r="O8204" t="n">
        <v>0</v>
      </c>
      <c r="P8204" t="n">
        <v>0</v>
      </c>
      <c r="Q8204" t="n">
        <v>0</v>
      </c>
      <c r="R8204" t="n">
        <v>0</v>
      </c>
      <c r="S8204" t="n">
        <v>0</v>
      </c>
      <c r="T8204" t="n">
        <v>0</v>
      </c>
      <c r="U8204" t="n">
        <v>0</v>
      </c>
      <c r="V8204" s="2" t="inlineStr"/>
    </row>
    <row r="8205" ht="15" customHeight="1">
      <c r="A8205" t="inlineStr">
        <is>
          <t>A 24265-2026</t>
        </is>
      </c>
      <c r="B8205" t="inlineStr">
        <is>
          <t>avverkningsanmälan</t>
        </is>
      </c>
      <c r="C8205" t="inlineStr">
        <is>
          <t>Föryngringsavverkning</t>
        </is>
      </c>
      <c r="D8205" s="1" t="n">
        <v>46169</v>
      </c>
      <c r="E8205" s="1" t="n">
        <v>46326</v>
      </c>
      <c r="F8205" t="inlineStr">
        <is>
          <t>GÄVLEBORGS LÄN</t>
        </is>
      </c>
      <c r="G8205" t="inlineStr">
        <is>
          <t>NORDANSTIG</t>
        </is>
      </c>
      <c r="I8205" t="n">
        <v>1.7</v>
      </c>
      <c r="J8205" t="n">
        <v>0</v>
      </c>
      <c r="K8205" t="n">
        <v>0</v>
      </c>
      <c r="L8205" t="n">
        <v>0</v>
      </c>
      <c r="M8205" t="n">
        <v>0</v>
      </c>
      <c r="N8205" t="n">
        <v>0</v>
      </c>
      <c r="O8205" t="n">
        <v>0</v>
      </c>
      <c r="P8205" t="n">
        <v>0</v>
      </c>
      <c r="Q8205" t="n">
        <v>0</v>
      </c>
      <c r="R8205" t="n">
        <v>0</v>
      </c>
      <c r="S8205" t="n">
        <v>0</v>
      </c>
      <c r="T8205" t="n">
        <v>0</v>
      </c>
      <c r="U8205" t="n">
        <v>0</v>
      </c>
      <c r="V8205" s="2" t="inlineStr"/>
    </row>
    <row r="8206" ht="15" customHeight="1">
      <c r="A8206" t="inlineStr">
        <is>
          <t>A 24325-2026</t>
        </is>
      </c>
      <c r="B8206" t="inlineStr">
        <is>
          <t>avverkningsanmälan</t>
        </is>
      </c>
      <c r="C8206" t="inlineStr">
        <is>
          <t>Föryngringsavverkning</t>
        </is>
      </c>
      <c r="D8206" s="1" t="n">
        <v>46169</v>
      </c>
      <c r="E8206" s="1" t="n">
        <v>46326</v>
      </c>
      <c r="F8206" t="inlineStr">
        <is>
          <t>GÄVLEBORGS LÄN</t>
        </is>
      </c>
      <c r="G8206" t="inlineStr">
        <is>
          <t>GÄVLE</t>
        </is>
      </c>
      <c r="H8206" t="inlineStr">
        <is>
          <t>Bergvik skog öst AB</t>
        </is>
      </c>
      <c r="I8206" t="n">
        <v>3.2</v>
      </c>
      <c r="J8206" t="n">
        <v>0</v>
      </c>
      <c r="K8206" t="n">
        <v>0</v>
      </c>
      <c r="L8206" t="n">
        <v>0</v>
      </c>
      <c r="M8206" t="n">
        <v>0</v>
      </c>
      <c r="N8206" t="n">
        <v>0</v>
      </c>
      <c r="O8206" t="n">
        <v>0</v>
      </c>
      <c r="P8206" t="n">
        <v>0</v>
      </c>
      <c r="Q8206" t="n">
        <v>0</v>
      </c>
      <c r="R8206" t="n">
        <v>0</v>
      </c>
      <c r="S8206" t="n">
        <v>0</v>
      </c>
      <c r="T8206" t="n">
        <v>0</v>
      </c>
      <c r="U8206" t="n">
        <v>0</v>
      </c>
      <c r="V8206" s="2" t="inlineStr"/>
    </row>
    <row r="8207" ht="15" customHeight="1">
      <c r="A8207" t="inlineStr">
        <is>
          <t>A 12005-2026</t>
        </is>
      </c>
      <c r="B8207" t="inlineStr">
        <is>
          <t>avverkningsanmälan</t>
        </is>
      </c>
      <c r="C8207" t="inlineStr">
        <is>
          <t>Föryngringsavverkning</t>
        </is>
      </c>
      <c r="D8207" s="1" t="n">
        <v>46085</v>
      </c>
      <c r="E8207" s="1" t="n">
        <v>46326</v>
      </c>
      <c r="F8207" t="inlineStr">
        <is>
          <t>GÄVLEBORGS LÄN</t>
        </is>
      </c>
      <c r="G8207" t="inlineStr">
        <is>
          <t>BOLLNÄS</t>
        </is>
      </c>
      <c r="I8207" t="n">
        <v>5.6</v>
      </c>
      <c r="J8207" t="n">
        <v>0</v>
      </c>
      <c r="K8207" t="n">
        <v>0</v>
      </c>
      <c r="L8207" t="n">
        <v>0</v>
      </c>
      <c r="M8207" t="n">
        <v>0</v>
      </c>
      <c r="N8207" t="n">
        <v>0</v>
      </c>
      <c r="O8207" t="n">
        <v>0</v>
      </c>
      <c r="P8207" t="n">
        <v>0</v>
      </c>
      <c r="Q8207" t="n">
        <v>0</v>
      </c>
      <c r="R8207" t="n">
        <v>0</v>
      </c>
      <c r="S8207" t="n">
        <v>0</v>
      </c>
      <c r="T8207" t="n">
        <v>0</v>
      </c>
      <c r="U8207" t="n">
        <v>0</v>
      </c>
      <c r="V8207" s="2" t="inlineStr"/>
    </row>
    <row r="8208" ht="15" customHeight="1">
      <c r="A8208" t="inlineStr">
        <is>
          <t>A 16061-2026</t>
        </is>
      </c>
      <c r="B8208" t="inlineStr">
        <is>
          <t>avverkningsanmälan</t>
        </is>
      </c>
      <c r="C8208" t="inlineStr">
        <is>
          <t>Föryngringsavverkning</t>
        </is>
      </c>
      <c r="D8208" s="1" t="n">
        <v>46108</v>
      </c>
      <c r="E8208" s="1" t="n">
        <v>46326</v>
      </c>
      <c r="F8208" t="inlineStr">
        <is>
          <t>GÄVLEBORGS LÄN</t>
        </is>
      </c>
      <c r="G8208" t="inlineStr">
        <is>
          <t>BOLLNÄS</t>
        </is>
      </c>
      <c r="I8208" t="n">
        <v>0.8</v>
      </c>
      <c r="J8208" t="n">
        <v>0</v>
      </c>
      <c r="K8208" t="n">
        <v>0</v>
      </c>
      <c r="L8208" t="n">
        <v>0</v>
      </c>
      <c r="M8208" t="n">
        <v>0</v>
      </c>
      <c r="N8208" t="n">
        <v>0</v>
      </c>
      <c r="O8208" t="n">
        <v>0</v>
      </c>
      <c r="P8208" t="n">
        <v>0</v>
      </c>
      <c r="Q8208" t="n">
        <v>0</v>
      </c>
      <c r="R8208" t="n">
        <v>0</v>
      </c>
      <c r="S8208" t="n">
        <v>0</v>
      </c>
      <c r="T8208" t="n">
        <v>0</v>
      </c>
      <c r="U8208" t="n">
        <v>0</v>
      </c>
      <c r="V8208" s="2" t="inlineStr"/>
    </row>
    <row r="8209" ht="15" customHeight="1">
      <c r="A8209" t="inlineStr">
        <is>
          <t>A 48267-2023</t>
        </is>
      </c>
      <c r="B8209" t="inlineStr">
        <is>
          <t>avverkningsanmälan</t>
        </is>
      </c>
      <c r="C8209" t="inlineStr">
        <is>
          <t>Föryngringsavverkning</t>
        </is>
      </c>
      <c r="D8209" s="1" t="n">
        <v>45205</v>
      </c>
      <c r="E8209" s="1" t="n">
        <v>46326</v>
      </c>
      <c r="F8209" t="inlineStr">
        <is>
          <t>GÄVLEBORGS LÄN</t>
        </is>
      </c>
      <c r="G8209" t="inlineStr">
        <is>
          <t>OVANÅKER</t>
        </is>
      </c>
      <c r="I8209" t="n">
        <v>1.7</v>
      </c>
      <c r="J8209" t="n">
        <v>0</v>
      </c>
      <c r="K8209" t="n">
        <v>0</v>
      </c>
      <c r="L8209" t="n">
        <v>0</v>
      </c>
      <c r="M8209" t="n">
        <v>0</v>
      </c>
      <c r="N8209" t="n">
        <v>0</v>
      </c>
      <c r="O8209" t="n">
        <v>0</v>
      </c>
      <c r="P8209" t="n">
        <v>0</v>
      </c>
      <c r="Q8209" t="n">
        <v>0</v>
      </c>
      <c r="R8209" t="n">
        <v>0</v>
      </c>
      <c r="S8209" t="n">
        <v>0</v>
      </c>
      <c r="T8209" t="n">
        <v>0</v>
      </c>
      <c r="U8209" t="n">
        <v>0</v>
      </c>
      <c r="V8209" s="2" t="inlineStr"/>
    </row>
    <row r="8210" ht="15" customHeight="1">
      <c r="A8210" t="inlineStr">
        <is>
          <t>A 24195-2026</t>
        </is>
      </c>
      <c r="B8210" t="inlineStr">
        <is>
          <t>avverkningsanmälan</t>
        </is>
      </c>
      <c r="C8210" t="inlineStr">
        <is>
          <t>Föryngringsavverkning</t>
        </is>
      </c>
      <c r="D8210" s="1" t="n">
        <v>46168</v>
      </c>
      <c r="E8210" s="1" t="n">
        <v>46326</v>
      </c>
      <c r="F8210" t="inlineStr">
        <is>
          <t>GÄVLEBORGS LÄN</t>
        </is>
      </c>
      <c r="G8210" t="inlineStr">
        <is>
          <t>LJUSDAL</t>
        </is>
      </c>
      <c r="H8210" t="inlineStr">
        <is>
          <t>SCA</t>
        </is>
      </c>
      <c r="I8210" t="n">
        <v>18.2</v>
      </c>
      <c r="J8210" t="n">
        <v>0</v>
      </c>
      <c r="K8210" t="n">
        <v>0</v>
      </c>
      <c r="L8210" t="n">
        <v>0</v>
      </c>
      <c r="M8210" t="n">
        <v>0</v>
      </c>
      <c r="N8210" t="n">
        <v>0</v>
      </c>
      <c r="O8210" t="n">
        <v>0</v>
      </c>
      <c r="P8210" t="n">
        <v>0</v>
      </c>
      <c r="Q8210" t="n">
        <v>0</v>
      </c>
      <c r="R8210" t="n">
        <v>0</v>
      </c>
      <c r="S8210" t="n">
        <v>0</v>
      </c>
      <c r="T8210" t="n">
        <v>0</v>
      </c>
      <c r="U8210" t="n">
        <v>0</v>
      </c>
      <c r="V8210" s="2" t="inlineStr"/>
    </row>
    <row r="8211" ht="15" customHeight="1">
      <c r="A8211" t="inlineStr">
        <is>
          <t>A 10077-2026</t>
        </is>
      </c>
      <c r="B8211" t="inlineStr">
        <is>
          <t>avverkningsanmälan</t>
        </is>
      </c>
      <c r="C8211" t="inlineStr">
        <is>
          <t>Föryngringsavverkning</t>
        </is>
      </c>
      <c r="D8211" s="1" t="n">
        <v>46073</v>
      </c>
      <c r="E8211" s="1" t="n">
        <v>46326</v>
      </c>
      <c r="F8211" t="inlineStr">
        <is>
          <t>GÄVLEBORGS LÄN</t>
        </is>
      </c>
      <c r="G8211" t="inlineStr">
        <is>
          <t>BOLLNÄS</t>
        </is>
      </c>
      <c r="I8211" t="n">
        <v>2.4</v>
      </c>
      <c r="J8211" t="n">
        <v>0</v>
      </c>
      <c r="K8211" t="n">
        <v>0</v>
      </c>
      <c r="L8211" t="n">
        <v>0</v>
      </c>
      <c r="M8211" t="n">
        <v>0</v>
      </c>
      <c r="N8211" t="n">
        <v>0</v>
      </c>
      <c r="O8211" t="n">
        <v>0</v>
      </c>
      <c r="P8211" t="n">
        <v>0</v>
      </c>
      <c r="Q8211" t="n">
        <v>0</v>
      </c>
      <c r="R8211" t="n">
        <v>0</v>
      </c>
      <c r="S8211" t="n">
        <v>0</v>
      </c>
      <c r="T8211" t="n">
        <v>0</v>
      </c>
      <c r="U8211" t="n">
        <v>0</v>
      </c>
      <c r="V8211" s="2" t="inlineStr"/>
    </row>
    <row r="8212" ht="15" customHeight="1">
      <c r="A8212" t="inlineStr">
        <is>
          <t>A 10798-2026</t>
        </is>
      </c>
      <c r="B8212" t="inlineStr">
        <is>
          <t>avverkningsanmälan</t>
        </is>
      </c>
      <c r="C8212" t="inlineStr">
        <is>
          <t>Föryngringsavverkning</t>
        </is>
      </c>
      <c r="D8212" s="1" t="n">
        <v>46078</v>
      </c>
      <c r="E8212" s="1" t="n">
        <v>46326</v>
      </c>
      <c r="F8212" t="inlineStr">
        <is>
          <t>GÄVLEBORGS LÄN</t>
        </is>
      </c>
      <c r="G8212" t="inlineStr">
        <is>
          <t>BOLLNÄS</t>
        </is>
      </c>
      <c r="I8212" t="n">
        <v>2.1</v>
      </c>
      <c r="J8212" t="n">
        <v>0</v>
      </c>
      <c r="K8212" t="n">
        <v>0</v>
      </c>
      <c r="L8212" t="n">
        <v>0</v>
      </c>
      <c r="M8212" t="n">
        <v>0</v>
      </c>
      <c r="N8212" t="n">
        <v>0</v>
      </c>
      <c r="O8212" t="n">
        <v>0</v>
      </c>
      <c r="P8212" t="n">
        <v>0</v>
      </c>
      <c r="Q8212" t="n">
        <v>0</v>
      </c>
      <c r="R8212" t="n">
        <v>0</v>
      </c>
      <c r="S8212" t="n">
        <v>0</v>
      </c>
      <c r="T8212" t="n">
        <v>0</v>
      </c>
      <c r="U8212" t="n">
        <v>0</v>
      </c>
      <c r="V8212" s="2" t="inlineStr"/>
    </row>
    <row r="8213" ht="15" customHeight="1">
      <c r="A8213" t="inlineStr">
        <is>
          <t>A 24313-2026</t>
        </is>
      </c>
      <c r="B8213" t="inlineStr">
        <is>
          <t>avverkningsanmälan</t>
        </is>
      </c>
      <c r="C8213" t="inlineStr">
        <is>
          <t>Föryngringsavverkning</t>
        </is>
      </c>
      <c r="D8213" s="1" t="n">
        <v>46169</v>
      </c>
      <c r="E8213" s="1" t="n">
        <v>46326</v>
      </c>
      <c r="F8213" t="inlineStr">
        <is>
          <t>GÄVLEBORGS LÄN</t>
        </is>
      </c>
      <c r="G8213" t="inlineStr">
        <is>
          <t>SANDVIKEN</t>
        </is>
      </c>
      <c r="H8213" t="inlineStr">
        <is>
          <t>Kommuner</t>
        </is>
      </c>
      <c r="I8213" t="n">
        <v>1.6</v>
      </c>
      <c r="J8213" t="n">
        <v>0</v>
      </c>
      <c r="K8213" t="n">
        <v>0</v>
      </c>
      <c r="L8213" t="n">
        <v>0</v>
      </c>
      <c r="M8213" t="n">
        <v>0</v>
      </c>
      <c r="N8213" t="n">
        <v>0</v>
      </c>
      <c r="O8213" t="n">
        <v>0</v>
      </c>
      <c r="P8213" t="n">
        <v>0</v>
      </c>
      <c r="Q8213" t="n">
        <v>0</v>
      </c>
      <c r="R8213" t="n">
        <v>0</v>
      </c>
      <c r="S8213" t="n">
        <v>0</v>
      </c>
      <c r="T8213" t="n">
        <v>0</v>
      </c>
      <c r="U8213" t="n">
        <v>0</v>
      </c>
      <c r="V8213" s="2" t="inlineStr"/>
    </row>
    <row r="8214" ht="15" customHeight="1">
      <c r="A8214" t="inlineStr">
        <is>
          <t>A 8403-2026</t>
        </is>
      </c>
      <c r="B8214" t="inlineStr">
        <is>
          <t>avverkningsanmälan</t>
        </is>
      </c>
      <c r="C8214" t="inlineStr">
        <is>
          <t>Föryngringsavverkning</t>
        </is>
      </c>
      <c r="D8214" s="1" t="n">
        <v>46065</v>
      </c>
      <c r="E8214" s="1" t="n">
        <v>46326</v>
      </c>
      <c r="F8214" t="inlineStr">
        <is>
          <t>GÄVLEBORGS LÄN</t>
        </is>
      </c>
      <c r="G8214" t="inlineStr">
        <is>
          <t>OVANÅKER</t>
        </is>
      </c>
      <c r="I8214" t="n">
        <v>6.3</v>
      </c>
      <c r="J8214" t="n">
        <v>0</v>
      </c>
      <c r="K8214" t="n">
        <v>0</v>
      </c>
      <c r="L8214" t="n">
        <v>0</v>
      </c>
      <c r="M8214" t="n">
        <v>0</v>
      </c>
      <c r="N8214" t="n">
        <v>0</v>
      </c>
      <c r="O8214" t="n">
        <v>0</v>
      </c>
      <c r="P8214" t="n">
        <v>0</v>
      </c>
      <c r="Q8214" t="n">
        <v>0</v>
      </c>
      <c r="R8214" t="n">
        <v>0</v>
      </c>
      <c r="S8214" t="n">
        <v>0</v>
      </c>
      <c r="T8214" t="n">
        <v>0</v>
      </c>
      <c r="U8214" t="n">
        <v>0</v>
      </c>
      <c r="V8214" s="2" t="inlineStr"/>
    </row>
    <row r="8215" ht="15" customHeight="1">
      <c r="A8215" t="inlineStr">
        <is>
          <t>A 964-2026</t>
        </is>
      </c>
      <c r="B8215" t="inlineStr">
        <is>
          <t>avverkningsanmälan</t>
        </is>
      </c>
      <c r="C8215" t="inlineStr">
        <is>
          <t>Föryngringsavverkning</t>
        </is>
      </c>
      <c r="D8215" s="1" t="n">
        <v>46030</v>
      </c>
      <c r="E8215" s="1" t="n">
        <v>46326</v>
      </c>
      <c r="F8215" t="inlineStr">
        <is>
          <t>GÄVLEBORGS LÄN</t>
        </is>
      </c>
      <c r="G8215" t="inlineStr">
        <is>
          <t>OVANÅKER</t>
        </is>
      </c>
      <c r="I8215" t="n">
        <v>1.1</v>
      </c>
      <c r="J8215" t="n">
        <v>0</v>
      </c>
      <c r="K8215" t="n">
        <v>0</v>
      </c>
      <c r="L8215" t="n">
        <v>0</v>
      </c>
      <c r="M8215" t="n">
        <v>0</v>
      </c>
      <c r="N8215" t="n">
        <v>0</v>
      </c>
      <c r="O8215" t="n">
        <v>0</v>
      </c>
      <c r="P8215" t="n">
        <v>0</v>
      </c>
      <c r="Q8215" t="n">
        <v>0</v>
      </c>
      <c r="R8215" t="n">
        <v>0</v>
      </c>
      <c r="S8215" t="n">
        <v>0</v>
      </c>
      <c r="T8215" t="n">
        <v>0</v>
      </c>
      <c r="U8215" t="n">
        <v>0</v>
      </c>
      <c r="V8215" s="2" t="inlineStr"/>
    </row>
    <row r="8216" ht="15" customHeight="1">
      <c r="A8216" t="inlineStr">
        <is>
          <t>A 4001-2026</t>
        </is>
      </c>
      <c r="B8216" t="inlineStr">
        <is>
          <t>avverkningsanmälan</t>
        </is>
      </c>
      <c r="C8216" t="inlineStr">
        <is>
          <t>Föryngringsavverkning</t>
        </is>
      </c>
      <c r="D8216" s="1" t="n">
        <v>46044</v>
      </c>
      <c r="E8216" s="1" t="n">
        <v>46326</v>
      </c>
      <c r="F8216" t="inlineStr">
        <is>
          <t>GÄVLEBORGS LÄN</t>
        </is>
      </c>
      <c r="G8216" t="inlineStr">
        <is>
          <t>OCKELBO</t>
        </is>
      </c>
      <c r="I8216" t="n">
        <v>2.2</v>
      </c>
      <c r="J8216" t="n">
        <v>0</v>
      </c>
      <c r="K8216" t="n">
        <v>0</v>
      </c>
      <c r="L8216" t="n">
        <v>0</v>
      </c>
      <c r="M8216" t="n">
        <v>0</v>
      </c>
      <c r="N8216" t="n">
        <v>0</v>
      </c>
      <c r="O8216" t="n">
        <v>0</v>
      </c>
      <c r="P8216" t="n">
        <v>0</v>
      </c>
      <c r="Q8216" t="n">
        <v>0</v>
      </c>
      <c r="R8216" t="n">
        <v>0</v>
      </c>
      <c r="S8216" t="n">
        <v>0</v>
      </c>
      <c r="T8216" t="n">
        <v>0</v>
      </c>
      <c r="U8216" t="n">
        <v>0</v>
      </c>
      <c r="V8216" s="2" t="inlineStr"/>
    </row>
    <row r="8217" ht="15" customHeight="1">
      <c r="A8217" t="inlineStr">
        <is>
          <t>A 21473-2023</t>
        </is>
      </c>
      <c r="B8217" t="inlineStr">
        <is>
          <t>avverkningsanmälan</t>
        </is>
      </c>
      <c r="C8217" t="inlineStr">
        <is>
          <t>Föryngringsavverkning</t>
        </is>
      </c>
      <c r="D8217" s="1" t="n">
        <v>45063</v>
      </c>
      <c r="E8217" s="1" t="n">
        <v>46326</v>
      </c>
      <c r="F8217" t="inlineStr">
        <is>
          <t>GÄVLEBORGS LÄN</t>
        </is>
      </c>
      <c r="G8217" t="inlineStr">
        <is>
          <t>NORDANSTIG</t>
        </is>
      </c>
      <c r="H8217" t="inlineStr">
        <is>
          <t>Holmen skog AB</t>
        </is>
      </c>
      <c r="I8217" t="n">
        <v>5.7</v>
      </c>
      <c r="J8217" t="n">
        <v>0</v>
      </c>
      <c r="K8217" t="n">
        <v>0</v>
      </c>
      <c r="L8217" t="n">
        <v>0</v>
      </c>
      <c r="M8217" t="n">
        <v>0</v>
      </c>
      <c r="N8217" t="n">
        <v>0</v>
      </c>
      <c r="O8217" t="n">
        <v>0</v>
      </c>
      <c r="P8217" t="n">
        <v>0</v>
      </c>
      <c r="Q8217" t="n">
        <v>0</v>
      </c>
      <c r="R8217" t="n">
        <v>0</v>
      </c>
      <c r="S8217" t="n">
        <v>0</v>
      </c>
      <c r="T8217" t="n">
        <v>0</v>
      </c>
      <c r="U8217" t="n">
        <v>0</v>
      </c>
      <c r="V8217" s="2" t="inlineStr"/>
    </row>
    <row r="8218" ht="15" customHeight="1">
      <c r="A8218" t="inlineStr">
        <is>
          <t>A 24295-2026</t>
        </is>
      </c>
      <c r="B8218" t="inlineStr">
        <is>
          <t>avverkningsanmälan</t>
        </is>
      </c>
      <c r="C8218" t="inlineStr">
        <is>
          <t>Föryngringsavverkning</t>
        </is>
      </c>
      <c r="D8218" s="1" t="n">
        <v>46169</v>
      </c>
      <c r="E8218" s="1" t="n">
        <v>46326</v>
      </c>
      <c r="F8218" t="inlineStr">
        <is>
          <t>GÄVLEBORGS LÄN</t>
        </is>
      </c>
      <c r="G8218" t="inlineStr">
        <is>
          <t>GÄVLE</t>
        </is>
      </c>
      <c r="H8218" t="inlineStr">
        <is>
          <t>Bergvik skog öst AB</t>
        </is>
      </c>
      <c r="I8218" t="n">
        <v>1.6</v>
      </c>
      <c r="J8218" t="n">
        <v>0</v>
      </c>
      <c r="K8218" t="n">
        <v>0</v>
      </c>
      <c r="L8218" t="n">
        <v>0</v>
      </c>
      <c r="M8218" t="n">
        <v>0</v>
      </c>
      <c r="N8218" t="n">
        <v>0</v>
      </c>
      <c r="O8218" t="n">
        <v>0</v>
      </c>
      <c r="P8218" t="n">
        <v>0</v>
      </c>
      <c r="Q8218" t="n">
        <v>0</v>
      </c>
      <c r="R8218" t="n">
        <v>0</v>
      </c>
      <c r="S8218" t="n">
        <v>0</v>
      </c>
      <c r="T8218" t="n">
        <v>0</v>
      </c>
      <c r="U8218" t="n">
        <v>0</v>
      </c>
      <c r="V8218" s="2" t="inlineStr"/>
    </row>
    <row r="8219" ht="15" customHeight="1">
      <c r="A8219" t="inlineStr">
        <is>
          <t>A 47530-2023</t>
        </is>
      </c>
      <c r="B8219" t="inlineStr">
        <is>
          <t>avverkningsanmälan</t>
        </is>
      </c>
      <c r="C8219" t="inlineStr">
        <is>
          <t>Föryngringsavverkning</t>
        </is>
      </c>
      <c r="D8219" s="1" t="n">
        <v>45203</v>
      </c>
      <c r="E8219" s="1" t="n">
        <v>46326</v>
      </c>
      <c r="F8219" t="inlineStr">
        <is>
          <t>GÄVLEBORGS LÄN</t>
        </is>
      </c>
      <c r="G8219" t="inlineStr">
        <is>
          <t>HUDIKSVALL</t>
        </is>
      </c>
      <c r="H8219" t="inlineStr">
        <is>
          <t>Holmen skog AB</t>
        </is>
      </c>
      <c r="I8219" t="n">
        <v>37.8</v>
      </c>
      <c r="J8219" t="n">
        <v>0</v>
      </c>
      <c r="K8219" t="n">
        <v>0</v>
      </c>
      <c r="L8219" t="n">
        <v>0</v>
      </c>
      <c r="M8219" t="n">
        <v>0</v>
      </c>
      <c r="N8219" t="n">
        <v>0</v>
      </c>
      <c r="O8219" t="n">
        <v>0</v>
      </c>
      <c r="P8219" t="n">
        <v>0</v>
      </c>
      <c r="Q8219" t="n">
        <v>0</v>
      </c>
      <c r="R8219" t="n">
        <v>0</v>
      </c>
      <c r="S8219" t="n">
        <v>0</v>
      </c>
      <c r="T8219" t="n">
        <v>0</v>
      </c>
      <c r="U8219" t="n">
        <v>0</v>
      </c>
      <c r="V8219" s="2" t="inlineStr"/>
    </row>
    <row r="8220" ht="15" customHeight="1">
      <c r="A8220" t="inlineStr">
        <is>
          <t>A 24306-2026</t>
        </is>
      </c>
      <c r="B8220" t="inlineStr">
        <is>
          <t>avverkningsanmälan</t>
        </is>
      </c>
      <c r="C8220" t="inlineStr">
        <is>
          <t>Föryngringsavverkning</t>
        </is>
      </c>
      <c r="D8220" s="1" t="n">
        <v>46169</v>
      </c>
      <c r="E8220" s="1" t="n">
        <v>46326</v>
      </c>
      <c r="F8220" t="inlineStr">
        <is>
          <t>GÄVLEBORGS LÄN</t>
        </is>
      </c>
      <c r="G8220" t="inlineStr">
        <is>
          <t>GÄVLE</t>
        </is>
      </c>
      <c r="H8220" t="inlineStr">
        <is>
          <t>Bergvik skog öst AB</t>
        </is>
      </c>
      <c r="I8220" t="n">
        <v>2.2</v>
      </c>
      <c r="J8220" t="n">
        <v>0</v>
      </c>
      <c r="K8220" t="n">
        <v>0</v>
      </c>
      <c r="L8220" t="n">
        <v>0</v>
      </c>
      <c r="M8220" t="n">
        <v>0</v>
      </c>
      <c r="N8220" t="n">
        <v>0</v>
      </c>
      <c r="O8220" t="n">
        <v>0</v>
      </c>
      <c r="P8220" t="n">
        <v>0</v>
      </c>
      <c r="Q8220" t="n">
        <v>0</v>
      </c>
      <c r="R8220" t="n">
        <v>0</v>
      </c>
      <c r="S8220" t="n">
        <v>0</v>
      </c>
      <c r="T8220" t="n">
        <v>0</v>
      </c>
      <c r="U8220" t="n">
        <v>0</v>
      </c>
      <c r="V8220" s="2" t="inlineStr"/>
    </row>
    <row r="8221" ht="15" customHeight="1">
      <c r="A8221" t="inlineStr">
        <is>
          <t>A 24231-2026</t>
        </is>
      </c>
      <c r="B8221" t="inlineStr">
        <is>
          <t>avverkningsanmälan</t>
        </is>
      </c>
      <c r="C8221" t="inlineStr">
        <is>
          <t>Föryngringsavverkning</t>
        </is>
      </c>
      <c r="D8221" s="1" t="n">
        <v>46168</v>
      </c>
      <c r="E8221" s="1" t="n">
        <v>46326</v>
      </c>
      <c r="F8221" t="inlineStr">
        <is>
          <t>GÄVLEBORGS LÄN</t>
        </is>
      </c>
      <c r="G8221" t="inlineStr">
        <is>
          <t>BOLLNÄS</t>
        </is>
      </c>
      <c r="I8221" t="n">
        <v>4.5</v>
      </c>
      <c r="J8221" t="n">
        <v>0</v>
      </c>
      <c r="K8221" t="n">
        <v>0</v>
      </c>
      <c r="L8221" t="n">
        <v>0</v>
      </c>
      <c r="M8221" t="n">
        <v>0</v>
      </c>
      <c r="N8221" t="n">
        <v>0</v>
      </c>
      <c r="O8221" t="n">
        <v>0</v>
      </c>
      <c r="P8221" t="n">
        <v>0</v>
      </c>
      <c r="Q8221" t="n">
        <v>0</v>
      </c>
      <c r="R8221" t="n">
        <v>0</v>
      </c>
      <c r="S8221" t="n">
        <v>0</v>
      </c>
      <c r="T8221" t="n">
        <v>0</v>
      </c>
      <c r="U8221" t="n">
        <v>0</v>
      </c>
      <c r="V8221" s="2" t="inlineStr"/>
    </row>
    <row r="8222" ht="15" customHeight="1">
      <c r="A8222" t="inlineStr">
        <is>
          <t>A 2755-2026</t>
        </is>
      </c>
      <c r="B8222" t="inlineStr">
        <is>
          <t>avverkningsanmälan</t>
        </is>
      </c>
      <c r="C8222" t="inlineStr">
        <is>
          <t>Föryngringsavverkning</t>
        </is>
      </c>
      <c r="D8222" s="1" t="n">
        <v>46038</v>
      </c>
      <c r="E8222" s="1" t="n">
        <v>46326</v>
      </c>
      <c r="F8222" t="inlineStr">
        <is>
          <t>GÄVLEBORGS LÄN</t>
        </is>
      </c>
      <c r="G8222" t="inlineStr">
        <is>
          <t>OVANÅKER</t>
        </is>
      </c>
      <c r="I8222" t="n">
        <v>0.9</v>
      </c>
      <c r="J8222" t="n">
        <v>0</v>
      </c>
      <c r="K8222" t="n">
        <v>0</v>
      </c>
      <c r="L8222" t="n">
        <v>0</v>
      </c>
      <c r="M8222" t="n">
        <v>0</v>
      </c>
      <c r="N8222" t="n">
        <v>0</v>
      </c>
      <c r="O8222" t="n">
        <v>0</v>
      </c>
      <c r="P8222" t="n">
        <v>0</v>
      </c>
      <c r="Q8222" t="n">
        <v>0</v>
      </c>
      <c r="R8222" t="n">
        <v>0</v>
      </c>
      <c r="S8222" t="n">
        <v>0</v>
      </c>
      <c r="T8222" t="n">
        <v>0</v>
      </c>
      <c r="U8222" t="n">
        <v>0</v>
      </c>
      <c r="V8222" s="2" t="inlineStr"/>
    </row>
    <row r="8223" ht="15" customHeight="1">
      <c r="A8223" t="inlineStr">
        <is>
          <t>A 45260-2023</t>
        </is>
      </c>
      <c r="B8223" t="inlineStr">
        <is>
          <t>avverkningsanmälan</t>
        </is>
      </c>
      <c r="C8223" t="inlineStr">
        <is>
          <t>Föryngringsavverkning</t>
        </is>
      </c>
      <c r="D8223" s="1" t="n">
        <v>45191</v>
      </c>
      <c r="E8223" s="1" t="n">
        <v>46326</v>
      </c>
      <c r="F8223" t="inlineStr">
        <is>
          <t>GÄVLEBORGS LÄN</t>
        </is>
      </c>
      <c r="G8223" t="inlineStr">
        <is>
          <t>LJUSDAL</t>
        </is>
      </c>
      <c r="I8223" t="n">
        <v>1.4</v>
      </c>
      <c r="J8223" t="n">
        <v>0</v>
      </c>
      <c r="K8223" t="n">
        <v>0</v>
      </c>
      <c r="L8223" t="n">
        <v>0</v>
      </c>
      <c r="M8223" t="n">
        <v>0</v>
      </c>
      <c r="N8223" t="n">
        <v>0</v>
      </c>
      <c r="O8223" t="n">
        <v>0</v>
      </c>
      <c r="P8223" t="n">
        <v>0</v>
      </c>
      <c r="Q8223" t="n">
        <v>0</v>
      </c>
      <c r="R8223" t="n">
        <v>0</v>
      </c>
      <c r="S8223" t="n">
        <v>0</v>
      </c>
      <c r="T8223" t="n">
        <v>0</v>
      </c>
      <c r="U8223" t="n">
        <v>0</v>
      </c>
      <c r="V8223" s="2" t="inlineStr"/>
    </row>
    <row r="8224" ht="15" customHeight="1">
      <c r="A8224" t="inlineStr">
        <is>
          <t>A 40280-2023</t>
        </is>
      </c>
      <c r="B8224" t="inlineStr">
        <is>
          <t>avverkningsanmälan</t>
        </is>
      </c>
      <c r="C8224" t="inlineStr">
        <is>
          <t>Föryngringsavverkning</t>
        </is>
      </c>
      <c r="D8224" s="1" t="n">
        <v>45169</v>
      </c>
      <c r="E8224" s="1" t="n">
        <v>46326</v>
      </c>
      <c r="F8224" t="inlineStr">
        <is>
          <t>GÄVLEBORGS LÄN</t>
        </is>
      </c>
      <c r="G8224" t="inlineStr">
        <is>
          <t>LJUSDAL</t>
        </is>
      </c>
      <c r="H8224" t="inlineStr">
        <is>
          <t>Sveaskog</t>
        </is>
      </c>
      <c r="I8224" t="n">
        <v>0.7</v>
      </c>
      <c r="J8224" t="n">
        <v>0</v>
      </c>
      <c r="K8224" t="n">
        <v>0</v>
      </c>
      <c r="L8224" t="n">
        <v>0</v>
      </c>
      <c r="M8224" t="n">
        <v>0</v>
      </c>
      <c r="N8224" t="n">
        <v>0</v>
      </c>
      <c r="O8224" t="n">
        <v>0</v>
      </c>
      <c r="P8224" t="n">
        <v>0</v>
      </c>
      <c r="Q8224" t="n">
        <v>0</v>
      </c>
      <c r="R8224" t="n">
        <v>0</v>
      </c>
      <c r="S8224" t="n">
        <v>0</v>
      </c>
      <c r="T8224" t="n">
        <v>0</v>
      </c>
      <c r="U8224" t="n">
        <v>0</v>
      </c>
      <c r="V8224" s="2" t="inlineStr"/>
    </row>
    <row r="8225" ht="15" customHeight="1">
      <c r="A8225" t="inlineStr">
        <is>
          <t>A 24089-2026</t>
        </is>
      </c>
      <c r="B8225" t="inlineStr">
        <is>
          <t>avverkningsanmälan</t>
        </is>
      </c>
      <c r="C8225" t="inlineStr">
        <is>
          <t>Föryngringsavverkning</t>
        </is>
      </c>
      <c r="D8225" s="1" t="n">
        <v>46168</v>
      </c>
      <c r="E8225" s="1" t="n">
        <v>46326</v>
      </c>
      <c r="F8225" t="inlineStr">
        <is>
          <t>GÄVLEBORGS LÄN</t>
        </is>
      </c>
      <c r="G8225" t="inlineStr">
        <is>
          <t>GÄVLE</t>
        </is>
      </c>
      <c r="H8225" t="inlineStr">
        <is>
          <t>Bergvik skog öst AB</t>
        </is>
      </c>
      <c r="I8225" t="n">
        <v>3.9</v>
      </c>
      <c r="J8225" t="n">
        <v>0</v>
      </c>
      <c r="K8225" t="n">
        <v>0</v>
      </c>
      <c r="L8225" t="n">
        <v>0</v>
      </c>
      <c r="M8225" t="n">
        <v>0</v>
      </c>
      <c r="N8225" t="n">
        <v>0</v>
      </c>
      <c r="O8225" t="n">
        <v>0</v>
      </c>
      <c r="P8225" t="n">
        <v>0</v>
      </c>
      <c r="Q8225" t="n">
        <v>0</v>
      </c>
      <c r="R8225" t="n">
        <v>0</v>
      </c>
      <c r="S8225" t="n">
        <v>0</v>
      </c>
      <c r="T8225" t="n">
        <v>0</v>
      </c>
      <c r="U8225" t="n">
        <v>0</v>
      </c>
      <c r="V8225" s="2" t="inlineStr"/>
    </row>
    <row r="8226" ht="15" customHeight="1">
      <c r="A8226" t="inlineStr">
        <is>
          <t>A 24409-2026</t>
        </is>
      </c>
      <c r="B8226" t="inlineStr">
        <is>
          <t>avverkningsanmälan</t>
        </is>
      </c>
      <c r="C8226" t="inlineStr">
        <is>
          <t>Föryngringsavverkning</t>
        </is>
      </c>
      <c r="D8226" s="1" t="n">
        <v>46169</v>
      </c>
      <c r="E8226" s="1" t="n">
        <v>46326</v>
      </c>
      <c r="F8226" t="inlineStr">
        <is>
          <t>GÄVLEBORGS LÄN</t>
        </is>
      </c>
      <c r="G8226" t="inlineStr">
        <is>
          <t>OCKELBO</t>
        </is>
      </c>
      <c r="I8226" t="n">
        <v>8.1</v>
      </c>
      <c r="J8226" t="n">
        <v>0</v>
      </c>
      <c r="K8226" t="n">
        <v>0</v>
      </c>
      <c r="L8226" t="n">
        <v>0</v>
      </c>
      <c r="M8226" t="n">
        <v>0</v>
      </c>
      <c r="N8226" t="n">
        <v>0</v>
      </c>
      <c r="O8226" t="n">
        <v>0</v>
      </c>
      <c r="P8226" t="n">
        <v>0</v>
      </c>
      <c r="Q8226" t="n">
        <v>0</v>
      </c>
      <c r="R8226" t="n">
        <v>0</v>
      </c>
      <c r="S8226" t="n">
        <v>0</v>
      </c>
      <c r="T8226" t="n">
        <v>0</v>
      </c>
      <c r="U8226" t="n">
        <v>0</v>
      </c>
      <c r="V8226" s="2" t="inlineStr"/>
    </row>
    <row r="8227" ht="15" customHeight="1">
      <c r="A8227" t="inlineStr">
        <is>
          <t>A 52387-2022</t>
        </is>
      </c>
      <c r="B8227" t="inlineStr">
        <is>
          <t>avverkningsanmälan</t>
        </is>
      </c>
      <c r="C8227" t="inlineStr">
        <is>
          <t>Föryngringsavverkning</t>
        </is>
      </c>
      <c r="D8227" s="1" t="n">
        <v>44874</v>
      </c>
      <c r="E8227" s="1" t="n">
        <v>46326</v>
      </c>
      <c r="F8227" t="inlineStr">
        <is>
          <t>GÄVLEBORGS LÄN</t>
        </is>
      </c>
      <c r="G8227" t="inlineStr">
        <is>
          <t>GÄVLE</t>
        </is>
      </c>
      <c r="H8227" t="inlineStr">
        <is>
          <t>Kommuner</t>
        </is>
      </c>
      <c r="I8227" t="n">
        <v>0.5</v>
      </c>
      <c r="J8227" t="n">
        <v>0</v>
      </c>
      <c r="K8227" t="n">
        <v>0</v>
      </c>
      <c r="L8227" t="n">
        <v>0</v>
      </c>
      <c r="M8227" t="n">
        <v>0</v>
      </c>
      <c r="N8227" t="n">
        <v>0</v>
      </c>
      <c r="O8227" t="n">
        <v>0</v>
      </c>
      <c r="P8227" t="n">
        <v>0</v>
      </c>
      <c r="Q8227" t="n">
        <v>0</v>
      </c>
      <c r="R8227" t="n">
        <v>0</v>
      </c>
      <c r="S8227" t="n">
        <v>0</v>
      </c>
      <c r="T8227" t="n">
        <v>0</v>
      </c>
      <c r="U8227" t="n">
        <v>0</v>
      </c>
      <c r="V8227" s="2" t="inlineStr"/>
    </row>
    <row r="8228" ht="15" customHeight="1">
      <c r="A8228" t="inlineStr">
        <is>
          <t>A 12275-2026</t>
        </is>
      </c>
      <c r="B8228" t="inlineStr">
        <is>
          <t>avverkningsanmälan</t>
        </is>
      </c>
      <c r="C8228" t="inlineStr">
        <is>
          <t>Föryngringsavverkning</t>
        </is>
      </c>
      <c r="D8228" s="1" t="n">
        <v>46087</v>
      </c>
      <c r="E8228" s="1" t="n">
        <v>46326</v>
      </c>
      <c r="F8228" t="inlineStr">
        <is>
          <t>GÄVLEBORGS LÄN</t>
        </is>
      </c>
      <c r="G8228" t="inlineStr">
        <is>
          <t>BOLLNÄS</t>
        </is>
      </c>
      <c r="H8228" t="inlineStr">
        <is>
          <t>Kyrkan</t>
        </is>
      </c>
      <c r="I8228" t="n">
        <v>3.5</v>
      </c>
      <c r="J8228" t="n">
        <v>0</v>
      </c>
      <c r="K8228" t="n">
        <v>0</v>
      </c>
      <c r="L8228" t="n">
        <v>0</v>
      </c>
      <c r="M8228" t="n">
        <v>0</v>
      </c>
      <c r="N8228" t="n">
        <v>0</v>
      </c>
      <c r="O8228" t="n">
        <v>0</v>
      </c>
      <c r="P8228" t="n">
        <v>0</v>
      </c>
      <c r="Q8228" t="n">
        <v>0</v>
      </c>
      <c r="R8228" t="n">
        <v>0</v>
      </c>
      <c r="S8228" t="n">
        <v>0</v>
      </c>
      <c r="T8228" t="n">
        <v>0</v>
      </c>
      <c r="U8228" t="n">
        <v>0</v>
      </c>
      <c r="V8228" s="2" t="inlineStr"/>
    </row>
    <row r="8229" ht="15" customHeight="1">
      <c r="A8229" t="inlineStr">
        <is>
          <t>A 24257-2026</t>
        </is>
      </c>
      <c r="B8229" t="inlineStr">
        <is>
          <t>avverkningsanmälan</t>
        </is>
      </c>
      <c r="C8229" t="inlineStr">
        <is>
          <t>Föryngringsavverkning</t>
        </is>
      </c>
      <c r="D8229" s="1" t="n">
        <v>46169</v>
      </c>
      <c r="E8229" s="1" t="n">
        <v>46326</v>
      </c>
      <c r="F8229" t="inlineStr">
        <is>
          <t>GÄVLEBORGS LÄN</t>
        </is>
      </c>
      <c r="G8229" t="inlineStr">
        <is>
          <t>OVANÅKER</t>
        </is>
      </c>
      <c r="I8229" t="n">
        <v>1.9</v>
      </c>
      <c r="J8229" t="n">
        <v>0</v>
      </c>
      <c r="K8229" t="n">
        <v>0</v>
      </c>
      <c r="L8229" t="n">
        <v>0</v>
      </c>
      <c r="M8229" t="n">
        <v>0</v>
      </c>
      <c r="N8229" t="n">
        <v>0</v>
      </c>
      <c r="O8229" t="n">
        <v>0</v>
      </c>
      <c r="P8229" t="n">
        <v>0</v>
      </c>
      <c r="Q8229" t="n">
        <v>0</v>
      </c>
      <c r="R8229" t="n">
        <v>0</v>
      </c>
      <c r="S8229" t="n">
        <v>0</v>
      </c>
      <c r="T8229" t="n">
        <v>0</v>
      </c>
      <c r="U8229" t="n">
        <v>0</v>
      </c>
      <c r="V8229" s="2" t="inlineStr"/>
    </row>
    <row r="8230" ht="15" customHeight="1">
      <c r="A8230" t="inlineStr">
        <is>
          <t>A 24267-2026</t>
        </is>
      </c>
      <c r="B8230" t="inlineStr">
        <is>
          <t>avverkningsanmälan</t>
        </is>
      </c>
      <c r="C8230" t="inlineStr">
        <is>
          <t>Föryngringsavverkning</t>
        </is>
      </c>
      <c r="D8230" s="1" t="n">
        <v>46169</v>
      </c>
      <c r="E8230" s="1" t="n">
        <v>46326</v>
      </c>
      <c r="F8230" t="inlineStr">
        <is>
          <t>GÄVLEBORGS LÄN</t>
        </is>
      </c>
      <c r="G8230" t="inlineStr">
        <is>
          <t>OCKELBO</t>
        </is>
      </c>
      <c r="H8230" t="inlineStr">
        <is>
          <t>Bergvik skog väst AB</t>
        </is>
      </c>
      <c r="I8230" t="n">
        <v>3.7</v>
      </c>
      <c r="J8230" t="n">
        <v>0</v>
      </c>
      <c r="K8230" t="n">
        <v>0</v>
      </c>
      <c r="L8230" t="n">
        <v>0</v>
      </c>
      <c r="M8230" t="n">
        <v>0</v>
      </c>
      <c r="N8230" t="n">
        <v>0</v>
      </c>
      <c r="O8230" t="n">
        <v>0</v>
      </c>
      <c r="P8230" t="n">
        <v>0</v>
      </c>
      <c r="Q8230" t="n">
        <v>0</v>
      </c>
      <c r="R8230" t="n">
        <v>0</v>
      </c>
      <c r="S8230" t="n">
        <v>0</v>
      </c>
      <c r="T8230" t="n">
        <v>0</v>
      </c>
      <c r="U8230" t="n">
        <v>0</v>
      </c>
      <c r="V8230" s="2" t="inlineStr"/>
    </row>
    <row r="8231" ht="15" customHeight="1">
      <c r="A8231" t="inlineStr">
        <is>
          <t>A 24294-2026</t>
        </is>
      </c>
      <c r="B8231" t="inlineStr">
        <is>
          <t>avverkningsanmälan</t>
        </is>
      </c>
      <c r="C8231" t="inlineStr">
        <is>
          <t>Föryngringsavverkning</t>
        </is>
      </c>
      <c r="D8231" s="1" t="n">
        <v>46169</v>
      </c>
      <c r="E8231" s="1" t="n">
        <v>46326</v>
      </c>
      <c r="F8231" t="inlineStr">
        <is>
          <t>GÄVLEBORGS LÄN</t>
        </is>
      </c>
      <c r="G8231" t="inlineStr">
        <is>
          <t>GÄVLE</t>
        </is>
      </c>
      <c r="H8231" t="inlineStr">
        <is>
          <t>Bergvik skog öst AB</t>
        </is>
      </c>
      <c r="I8231" t="n">
        <v>3.2</v>
      </c>
      <c r="J8231" t="n">
        <v>0</v>
      </c>
      <c r="K8231" t="n">
        <v>0</v>
      </c>
      <c r="L8231" t="n">
        <v>0</v>
      </c>
      <c r="M8231" t="n">
        <v>0</v>
      </c>
      <c r="N8231" t="n">
        <v>0</v>
      </c>
      <c r="O8231" t="n">
        <v>0</v>
      </c>
      <c r="P8231" t="n">
        <v>0</v>
      </c>
      <c r="Q8231" t="n">
        <v>0</v>
      </c>
      <c r="R8231" t="n">
        <v>0</v>
      </c>
      <c r="S8231" t="n">
        <v>0</v>
      </c>
      <c r="T8231" t="n">
        <v>0</v>
      </c>
      <c r="U8231" t="n">
        <v>0</v>
      </c>
      <c r="V8231" s="2" t="inlineStr"/>
    </row>
    <row r="8232" ht="15" customHeight="1">
      <c r="A8232" t="inlineStr">
        <is>
          <t>A 24149-2026</t>
        </is>
      </c>
      <c r="B8232" t="inlineStr">
        <is>
          <t>avverkningsanmälan</t>
        </is>
      </c>
      <c r="C8232" t="inlineStr">
        <is>
          <t>Föryngringsavverkning</t>
        </is>
      </c>
      <c r="D8232" s="1" t="n">
        <v>46168</v>
      </c>
      <c r="E8232" s="1" t="n">
        <v>46326</v>
      </c>
      <c r="F8232" t="inlineStr">
        <is>
          <t>GÄVLEBORGS LÄN</t>
        </is>
      </c>
      <c r="G8232" t="inlineStr">
        <is>
          <t>SANDVIKEN</t>
        </is>
      </c>
      <c r="I8232" t="n">
        <v>0.8</v>
      </c>
      <c r="J8232" t="n">
        <v>0</v>
      </c>
      <c r="K8232" t="n">
        <v>0</v>
      </c>
      <c r="L8232" t="n">
        <v>0</v>
      </c>
      <c r="M8232" t="n">
        <v>0</v>
      </c>
      <c r="N8232" t="n">
        <v>0</v>
      </c>
      <c r="O8232" t="n">
        <v>0</v>
      </c>
      <c r="P8232" t="n">
        <v>0</v>
      </c>
      <c r="Q8232" t="n">
        <v>0</v>
      </c>
      <c r="R8232" t="n">
        <v>0</v>
      </c>
      <c r="S8232" t="n">
        <v>0</v>
      </c>
      <c r="T8232" t="n">
        <v>0</v>
      </c>
      <c r="U8232" t="n">
        <v>0</v>
      </c>
      <c r="V8232" s="2" t="inlineStr"/>
    </row>
    <row r="8233" ht="15" customHeight="1">
      <c r="A8233" t="inlineStr">
        <is>
          <t>A 24177-2026</t>
        </is>
      </c>
      <c r="B8233" t="inlineStr">
        <is>
          <t>avverkningsanmälan</t>
        </is>
      </c>
      <c r="C8233" t="inlineStr">
        <is>
          <t>Föryngringsavverkning</t>
        </is>
      </c>
      <c r="D8233" s="1" t="n">
        <v>46168</v>
      </c>
      <c r="E8233" s="1" t="n">
        <v>46326</v>
      </c>
      <c r="F8233" t="inlineStr">
        <is>
          <t>GÄVLEBORGS LÄN</t>
        </is>
      </c>
      <c r="G8233" t="inlineStr">
        <is>
          <t>SANDVIKEN</t>
        </is>
      </c>
      <c r="I8233" t="n">
        <v>1.6</v>
      </c>
      <c r="J8233" t="n">
        <v>0</v>
      </c>
      <c r="K8233" t="n">
        <v>0</v>
      </c>
      <c r="L8233" t="n">
        <v>0</v>
      </c>
      <c r="M8233" t="n">
        <v>0</v>
      </c>
      <c r="N8233" t="n">
        <v>0</v>
      </c>
      <c r="O8233" t="n">
        <v>0</v>
      </c>
      <c r="P8233" t="n">
        <v>0</v>
      </c>
      <c r="Q8233" t="n">
        <v>0</v>
      </c>
      <c r="R8233" t="n">
        <v>0</v>
      </c>
      <c r="S8233" t="n">
        <v>0</v>
      </c>
      <c r="T8233" t="n">
        <v>0</v>
      </c>
      <c r="U8233" t="n">
        <v>0</v>
      </c>
      <c r="V8233" s="2" t="inlineStr"/>
    </row>
    <row r="8234" ht="15" customHeight="1">
      <c r="A8234" t="inlineStr">
        <is>
          <t>A 1988-2025</t>
        </is>
      </c>
      <c r="B8234" t="inlineStr">
        <is>
          <t>avverkningsanmälan</t>
        </is>
      </c>
      <c r="C8234" t="inlineStr">
        <is>
          <t>Föryngringsavverkning</t>
        </is>
      </c>
      <c r="D8234" s="1" t="n">
        <v>45672</v>
      </c>
      <c r="E8234" s="1" t="n">
        <v>46326</v>
      </c>
      <c r="F8234" t="inlineStr">
        <is>
          <t>GÄVLEBORGS LÄN</t>
        </is>
      </c>
      <c r="G8234" t="inlineStr">
        <is>
          <t>BOLLNÄS</t>
        </is>
      </c>
      <c r="I8234" t="n">
        <v>0.9</v>
      </c>
      <c r="J8234" t="n">
        <v>0</v>
      </c>
      <c r="K8234" t="n">
        <v>0</v>
      </c>
      <c r="L8234" t="n">
        <v>0</v>
      </c>
      <c r="M8234" t="n">
        <v>0</v>
      </c>
      <c r="N8234" t="n">
        <v>0</v>
      </c>
      <c r="O8234" t="n">
        <v>0</v>
      </c>
      <c r="P8234" t="n">
        <v>0</v>
      </c>
      <c r="Q8234" t="n">
        <v>0</v>
      </c>
      <c r="R8234" t="n">
        <v>0</v>
      </c>
      <c r="S8234" t="n">
        <v>0</v>
      </c>
      <c r="T8234" t="n">
        <v>0</v>
      </c>
      <c r="U8234" t="n">
        <v>0</v>
      </c>
      <c r="V8234" s="2" t="inlineStr"/>
    </row>
    <row r="8235" ht="15" customHeight="1">
      <c r="A8235" t="inlineStr">
        <is>
          <t>A 2006-2025</t>
        </is>
      </c>
      <c r="B8235" t="inlineStr">
        <is>
          <t>avverkningsanmälan</t>
        </is>
      </c>
      <c r="C8235" t="inlineStr">
        <is>
          <t>Föryngringsavverkning</t>
        </is>
      </c>
      <c r="D8235" s="1" t="n">
        <v>45672</v>
      </c>
      <c r="E8235" s="1" t="n">
        <v>46326</v>
      </c>
      <c r="F8235" t="inlineStr">
        <is>
          <t>GÄVLEBORGS LÄN</t>
        </is>
      </c>
      <c r="G8235" t="inlineStr">
        <is>
          <t>BOLLNÄS</t>
        </is>
      </c>
      <c r="I8235" t="n">
        <v>1.7</v>
      </c>
      <c r="J8235" t="n">
        <v>0</v>
      </c>
      <c r="K8235" t="n">
        <v>0</v>
      </c>
      <c r="L8235" t="n">
        <v>0</v>
      </c>
      <c r="M8235" t="n">
        <v>0</v>
      </c>
      <c r="N8235" t="n">
        <v>0</v>
      </c>
      <c r="O8235" t="n">
        <v>0</v>
      </c>
      <c r="P8235" t="n">
        <v>0</v>
      </c>
      <c r="Q8235" t="n">
        <v>0</v>
      </c>
      <c r="R8235" t="n">
        <v>0</v>
      </c>
      <c r="S8235" t="n">
        <v>0</v>
      </c>
      <c r="T8235" t="n">
        <v>0</v>
      </c>
      <c r="U8235" t="n">
        <v>0</v>
      </c>
      <c r="V8235" s="2" t="inlineStr"/>
    </row>
    <row r="8236" ht="15" customHeight="1">
      <c r="A8236" t="inlineStr">
        <is>
          <t>A 24076-2026</t>
        </is>
      </c>
      <c r="B8236" t="inlineStr">
        <is>
          <t>avverkningsanmälan</t>
        </is>
      </c>
      <c r="C8236" t="inlineStr">
        <is>
          <t>Föryngringsavverkning</t>
        </is>
      </c>
      <c r="D8236" s="1" t="n">
        <v>46168</v>
      </c>
      <c r="E8236" s="1" t="n">
        <v>46326</v>
      </c>
      <c r="F8236" t="inlineStr">
        <is>
          <t>GÄVLEBORGS LÄN</t>
        </is>
      </c>
      <c r="G8236" t="inlineStr">
        <is>
          <t>BOLLNÄS</t>
        </is>
      </c>
      <c r="I8236" t="n">
        <v>3.3</v>
      </c>
      <c r="J8236" t="n">
        <v>0</v>
      </c>
      <c r="K8236" t="n">
        <v>0</v>
      </c>
      <c r="L8236" t="n">
        <v>0</v>
      </c>
      <c r="M8236" t="n">
        <v>0</v>
      </c>
      <c r="N8236" t="n">
        <v>0</v>
      </c>
      <c r="O8236" t="n">
        <v>0</v>
      </c>
      <c r="P8236" t="n">
        <v>0</v>
      </c>
      <c r="Q8236" t="n">
        <v>0</v>
      </c>
      <c r="R8236" t="n">
        <v>0</v>
      </c>
      <c r="S8236" t="n">
        <v>0</v>
      </c>
      <c r="T8236" t="n">
        <v>0</v>
      </c>
      <c r="U8236" t="n">
        <v>0</v>
      </c>
      <c r="V8236" s="2" t="inlineStr"/>
    </row>
    <row r="8237" ht="15" customHeight="1">
      <c r="A8237" t="inlineStr">
        <is>
          <t>A 24083-2026</t>
        </is>
      </c>
      <c r="B8237" t="inlineStr">
        <is>
          <t>avverkningsanmälan</t>
        </is>
      </c>
      <c r="C8237" t="inlineStr">
        <is>
          <t>Föryngringsavverkning</t>
        </is>
      </c>
      <c r="D8237" s="1" t="n">
        <v>46168</v>
      </c>
      <c r="E8237" s="1" t="n">
        <v>46326</v>
      </c>
      <c r="F8237" t="inlineStr">
        <is>
          <t>GÄVLEBORGS LÄN</t>
        </is>
      </c>
      <c r="G8237" t="inlineStr">
        <is>
          <t>BOLLNÄS</t>
        </is>
      </c>
      <c r="I8237" t="n">
        <v>2.4</v>
      </c>
      <c r="J8237" t="n">
        <v>0</v>
      </c>
      <c r="K8237" t="n">
        <v>0</v>
      </c>
      <c r="L8237" t="n">
        <v>0</v>
      </c>
      <c r="M8237" t="n">
        <v>0</v>
      </c>
      <c r="N8237" t="n">
        <v>0</v>
      </c>
      <c r="O8237" t="n">
        <v>0</v>
      </c>
      <c r="P8237" t="n">
        <v>0</v>
      </c>
      <c r="Q8237" t="n">
        <v>0</v>
      </c>
      <c r="R8237" t="n">
        <v>0</v>
      </c>
      <c r="S8237" t="n">
        <v>0</v>
      </c>
      <c r="T8237" t="n">
        <v>0</v>
      </c>
      <c r="U8237" t="n">
        <v>0</v>
      </c>
      <c r="V8237" s="2" t="inlineStr"/>
    </row>
    <row r="8238" ht="15" customHeight="1">
      <c r="A8238" t="inlineStr">
        <is>
          <t>A 35805-2024</t>
        </is>
      </c>
      <c r="B8238" t="inlineStr">
        <is>
          <t>avverkningsanmälan</t>
        </is>
      </c>
      <c r="C8238" t="inlineStr">
        <is>
          <t>Föryngringsavverkning</t>
        </is>
      </c>
      <c r="D8238" s="1" t="n">
        <v>45532</v>
      </c>
      <c r="E8238" s="1" t="n">
        <v>46326</v>
      </c>
      <c r="F8238" t="inlineStr">
        <is>
          <t>GÄVLEBORGS LÄN</t>
        </is>
      </c>
      <c r="G8238" t="inlineStr">
        <is>
          <t>HUDIKSVALL</t>
        </is>
      </c>
      <c r="I8238" t="n">
        <v>1.5</v>
      </c>
      <c r="J8238" t="n">
        <v>0</v>
      </c>
      <c r="K8238" t="n">
        <v>0</v>
      </c>
      <c r="L8238" t="n">
        <v>0</v>
      </c>
      <c r="M8238" t="n">
        <v>0</v>
      </c>
      <c r="N8238" t="n">
        <v>0</v>
      </c>
      <c r="O8238" t="n">
        <v>0</v>
      </c>
      <c r="P8238" t="n">
        <v>0</v>
      </c>
      <c r="Q8238" t="n">
        <v>0</v>
      </c>
      <c r="R8238" t="n">
        <v>0</v>
      </c>
      <c r="S8238" t="n">
        <v>0</v>
      </c>
      <c r="T8238" t="n">
        <v>0</v>
      </c>
      <c r="U8238" t="n">
        <v>0</v>
      </c>
      <c r="V8238" s="2" t="inlineStr"/>
    </row>
    <row r="8239" ht="15" customHeight="1">
      <c r="A8239" t="inlineStr">
        <is>
          <t>A 31011-2023</t>
        </is>
      </c>
      <c r="B8239" t="inlineStr">
        <is>
          <t>avverkningsanmälan</t>
        </is>
      </c>
      <c r="C8239" t="inlineStr">
        <is>
          <t>Föryngringsavverkning</t>
        </is>
      </c>
      <c r="D8239" s="1" t="n">
        <v>45113</v>
      </c>
      <c r="E8239" s="1" t="n">
        <v>46326</v>
      </c>
      <c r="F8239" t="inlineStr">
        <is>
          <t>GÄVLEBORGS LÄN</t>
        </is>
      </c>
      <c r="G8239" t="inlineStr">
        <is>
          <t>GÄVLE</t>
        </is>
      </c>
      <c r="I8239" t="n">
        <v>5.2</v>
      </c>
      <c r="J8239" t="n">
        <v>0</v>
      </c>
      <c r="K8239" t="n">
        <v>0</v>
      </c>
      <c r="L8239" t="n">
        <v>0</v>
      </c>
      <c r="M8239" t="n">
        <v>0</v>
      </c>
      <c r="N8239" t="n">
        <v>0</v>
      </c>
      <c r="O8239" t="n">
        <v>0</v>
      </c>
      <c r="P8239" t="n">
        <v>0</v>
      </c>
      <c r="Q8239" t="n">
        <v>0</v>
      </c>
      <c r="R8239" t="n">
        <v>0</v>
      </c>
      <c r="S8239" t="n">
        <v>0</v>
      </c>
      <c r="T8239" t="n">
        <v>0</v>
      </c>
      <c r="U8239" t="n">
        <v>0</v>
      </c>
      <c r="V8239" s="2" t="inlineStr"/>
    </row>
    <row r="8240" ht="15" customHeight="1">
      <c r="A8240" t="inlineStr">
        <is>
          <t>A 24097-2026</t>
        </is>
      </c>
      <c r="B8240" t="inlineStr">
        <is>
          <t>avverkningsanmälan</t>
        </is>
      </c>
      <c r="C8240" t="inlineStr">
        <is>
          <t>Föryngringsavverkning</t>
        </is>
      </c>
      <c r="D8240" s="1" t="n">
        <v>46168</v>
      </c>
      <c r="E8240" s="1" t="n">
        <v>46326</v>
      </c>
      <c r="F8240" t="inlineStr">
        <is>
          <t>GÄVLEBORGS LÄN</t>
        </is>
      </c>
      <c r="G8240" t="inlineStr">
        <is>
          <t>SÖDERHAMN</t>
        </is>
      </c>
      <c r="I8240" t="n">
        <v>0.7</v>
      </c>
      <c r="J8240" t="n">
        <v>0</v>
      </c>
      <c r="K8240" t="n">
        <v>0</v>
      </c>
      <c r="L8240" t="n">
        <v>0</v>
      </c>
      <c r="M8240" t="n">
        <v>0</v>
      </c>
      <c r="N8240" t="n">
        <v>0</v>
      </c>
      <c r="O8240" t="n">
        <v>0</v>
      </c>
      <c r="P8240" t="n">
        <v>0</v>
      </c>
      <c r="Q8240" t="n">
        <v>0</v>
      </c>
      <c r="R8240" t="n">
        <v>0</v>
      </c>
      <c r="S8240" t="n">
        <v>0</v>
      </c>
      <c r="T8240" t="n">
        <v>0</v>
      </c>
      <c r="U8240" t="n">
        <v>0</v>
      </c>
      <c r="V8240" s="2" t="inlineStr"/>
    </row>
    <row r="8241" ht="15" customHeight="1">
      <c r="A8241" t="inlineStr">
        <is>
          <t>A 24333-2026</t>
        </is>
      </c>
      <c r="B8241" t="inlineStr">
        <is>
          <t>avverkningsanmälan</t>
        </is>
      </c>
      <c r="C8241" t="inlineStr">
        <is>
          <t>Föryngringsavverkning</t>
        </is>
      </c>
      <c r="D8241" s="1" t="n">
        <v>46169</v>
      </c>
      <c r="E8241" s="1" t="n">
        <v>46326</v>
      </c>
      <c r="F8241" t="inlineStr">
        <is>
          <t>GÄVLEBORGS LÄN</t>
        </is>
      </c>
      <c r="G8241" t="inlineStr">
        <is>
          <t>OCKELBO</t>
        </is>
      </c>
      <c r="H8241" t="inlineStr">
        <is>
          <t>Bergvik skog väst AB</t>
        </is>
      </c>
      <c r="I8241" t="n">
        <v>0.9</v>
      </c>
      <c r="J8241" t="n">
        <v>0</v>
      </c>
      <c r="K8241" t="n">
        <v>0</v>
      </c>
      <c r="L8241" t="n">
        <v>0</v>
      </c>
      <c r="M8241" t="n">
        <v>0</v>
      </c>
      <c r="N8241" t="n">
        <v>0</v>
      </c>
      <c r="O8241" t="n">
        <v>0</v>
      </c>
      <c r="P8241" t="n">
        <v>0</v>
      </c>
      <c r="Q8241" t="n">
        <v>0</v>
      </c>
      <c r="R8241" t="n">
        <v>0</v>
      </c>
      <c r="S8241" t="n">
        <v>0</v>
      </c>
      <c r="T8241" t="n">
        <v>0</v>
      </c>
      <c r="U8241" t="n">
        <v>0</v>
      </c>
      <c r="V8241" s="2" t="inlineStr"/>
    </row>
    <row r="8242" ht="15" customHeight="1">
      <c r="A8242" t="inlineStr">
        <is>
          <t>A 24355-2026</t>
        </is>
      </c>
      <c r="B8242" t="inlineStr">
        <is>
          <t>avverkningsanmälan</t>
        </is>
      </c>
      <c r="C8242" t="inlineStr">
        <is>
          <t>Föryngringsavverkning</t>
        </is>
      </c>
      <c r="D8242" s="1" t="n">
        <v>46169</v>
      </c>
      <c r="E8242" s="1" t="n">
        <v>46326</v>
      </c>
      <c r="F8242" t="inlineStr">
        <is>
          <t>GÄVLEBORGS LÄN</t>
        </is>
      </c>
      <c r="G8242" t="inlineStr">
        <is>
          <t>SANDVIKEN</t>
        </is>
      </c>
      <c r="H8242" t="inlineStr">
        <is>
          <t>Bergvik skog öst AB</t>
        </is>
      </c>
      <c r="I8242" t="n">
        <v>8.9</v>
      </c>
      <c r="J8242" t="n">
        <v>0</v>
      </c>
      <c r="K8242" t="n">
        <v>0</v>
      </c>
      <c r="L8242" t="n">
        <v>0</v>
      </c>
      <c r="M8242" t="n">
        <v>0</v>
      </c>
      <c r="N8242" t="n">
        <v>0</v>
      </c>
      <c r="O8242" t="n">
        <v>0</v>
      </c>
      <c r="P8242" t="n">
        <v>0</v>
      </c>
      <c r="Q8242" t="n">
        <v>0</v>
      </c>
      <c r="R8242" t="n">
        <v>0</v>
      </c>
      <c r="S8242" t="n">
        <v>0</v>
      </c>
      <c r="T8242" t="n">
        <v>0</v>
      </c>
      <c r="U8242" t="n">
        <v>0</v>
      </c>
      <c r="V8242" s="2" t="inlineStr"/>
    </row>
    <row r="8243" ht="15" customHeight="1">
      <c r="A8243" t="inlineStr">
        <is>
          <t>A 24356-2026</t>
        </is>
      </c>
      <c r="B8243" t="inlineStr">
        <is>
          <t>avverkningsanmälan</t>
        </is>
      </c>
      <c r="C8243" t="inlineStr">
        <is>
          <t>Föryngringsavverkning</t>
        </is>
      </c>
      <c r="D8243" s="1" t="n">
        <v>46169</v>
      </c>
      <c r="E8243" s="1" t="n">
        <v>46326</v>
      </c>
      <c r="F8243" t="inlineStr">
        <is>
          <t>GÄVLEBORGS LÄN</t>
        </is>
      </c>
      <c r="G8243" t="inlineStr">
        <is>
          <t>SANDVIKEN</t>
        </is>
      </c>
      <c r="H8243" t="inlineStr">
        <is>
          <t>Bergvik skog öst AB</t>
        </is>
      </c>
      <c r="I8243" t="n">
        <v>1.1</v>
      </c>
      <c r="J8243" t="n">
        <v>0</v>
      </c>
      <c r="K8243" t="n">
        <v>0</v>
      </c>
      <c r="L8243" t="n">
        <v>0</v>
      </c>
      <c r="M8243" t="n">
        <v>0</v>
      </c>
      <c r="N8243" t="n">
        <v>0</v>
      </c>
      <c r="O8243" t="n">
        <v>0</v>
      </c>
      <c r="P8243" t="n">
        <v>0</v>
      </c>
      <c r="Q8243" t="n">
        <v>0</v>
      </c>
      <c r="R8243" t="n">
        <v>0</v>
      </c>
      <c r="S8243" t="n">
        <v>0</v>
      </c>
      <c r="T8243" t="n">
        <v>0</v>
      </c>
      <c r="U8243" t="n">
        <v>0</v>
      </c>
      <c r="V8243" s="2" t="inlineStr"/>
    </row>
    <row r="8244" ht="15" customHeight="1">
      <c r="A8244" t="inlineStr">
        <is>
          <t>A 38870-2024</t>
        </is>
      </c>
      <c r="B8244" t="inlineStr">
        <is>
          <t>avverkningsanmälan</t>
        </is>
      </c>
      <c r="C8244" t="inlineStr">
        <is>
          <t>Avverkning för annat ändamål</t>
        </is>
      </c>
      <c r="D8244" s="1" t="n">
        <v>45547</v>
      </c>
      <c r="E8244" s="1" t="n">
        <v>46326</v>
      </c>
      <c r="F8244" t="inlineStr">
        <is>
          <t>GÄVLEBORGS LÄN</t>
        </is>
      </c>
      <c r="G8244" t="inlineStr">
        <is>
          <t>LJUSDAL</t>
        </is>
      </c>
      <c r="I8244" t="n">
        <v>34</v>
      </c>
      <c r="J8244" t="n">
        <v>0</v>
      </c>
      <c r="K8244" t="n">
        <v>0</v>
      </c>
      <c r="L8244" t="n">
        <v>0</v>
      </c>
      <c r="M8244" t="n">
        <v>0</v>
      </c>
      <c r="N8244" t="n">
        <v>0</v>
      </c>
      <c r="O8244" t="n">
        <v>0</v>
      </c>
      <c r="P8244" t="n">
        <v>0</v>
      </c>
      <c r="Q8244" t="n">
        <v>0</v>
      </c>
      <c r="R8244" t="n">
        <v>0</v>
      </c>
      <c r="S8244" t="n">
        <v>0</v>
      </c>
      <c r="T8244" t="n">
        <v>0</v>
      </c>
      <c r="U8244" t="n">
        <v>0</v>
      </c>
      <c r="V8244" s="2" t="inlineStr"/>
    </row>
    <row r="8245" ht="15" customHeight="1">
      <c r="A8245" t="inlineStr">
        <is>
          <t>A 30983-2024</t>
        </is>
      </c>
      <c r="B8245" t="inlineStr">
        <is>
          <t>avverkningsanmälan</t>
        </is>
      </c>
      <c r="C8245" t="inlineStr">
        <is>
          <t>Föryngringsavverkning</t>
        </is>
      </c>
      <c r="D8245" s="1" t="n">
        <v>45499</v>
      </c>
      <c r="E8245" s="1" t="n">
        <v>46326</v>
      </c>
      <c r="F8245" t="inlineStr">
        <is>
          <t>GÄVLEBORGS LÄN</t>
        </is>
      </c>
      <c r="G8245" t="inlineStr">
        <is>
          <t>HUDIKSVALL</t>
        </is>
      </c>
      <c r="I8245" t="n">
        <v>0.5</v>
      </c>
      <c r="J8245" t="n">
        <v>0</v>
      </c>
      <c r="K8245" t="n">
        <v>0</v>
      </c>
      <c r="L8245" t="n">
        <v>0</v>
      </c>
      <c r="M8245" t="n">
        <v>0</v>
      </c>
      <c r="N8245" t="n">
        <v>0</v>
      </c>
      <c r="O8245" t="n">
        <v>0</v>
      </c>
      <c r="P8245" t="n">
        <v>0</v>
      </c>
      <c r="Q8245" t="n">
        <v>0</v>
      </c>
      <c r="R8245" t="n">
        <v>0</v>
      </c>
      <c r="S8245" t="n">
        <v>0</v>
      </c>
      <c r="T8245" t="n">
        <v>0</v>
      </c>
      <c r="U8245" t="n">
        <v>0</v>
      </c>
      <c r="V8245" s="2" t="inlineStr"/>
    </row>
    <row r="8246" ht="15" customHeight="1">
      <c r="A8246" t="inlineStr">
        <is>
          <t>A 4493-2026</t>
        </is>
      </c>
      <c r="B8246" t="inlineStr">
        <is>
          <t>avverkningsanmälan</t>
        </is>
      </c>
      <c r="C8246" t="inlineStr">
        <is>
          <t>Föryngringsavverkning</t>
        </is>
      </c>
      <c r="D8246" s="1" t="n">
        <v>46045</v>
      </c>
      <c r="E8246" s="1" t="n">
        <v>46326</v>
      </c>
      <c r="F8246" t="inlineStr">
        <is>
          <t>GÄVLEBORGS LÄN</t>
        </is>
      </c>
      <c r="G8246" t="inlineStr">
        <is>
          <t>HUDIKSVALL</t>
        </is>
      </c>
      <c r="I8246" t="n">
        <v>1.6</v>
      </c>
      <c r="J8246" t="n">
        <v>0</v>
      </c>
      <c r="K8246" t="n">
        <v>0</v>
      </c>
      <c r="L8246" t="n">
        <v>0</v>
      </c>
      <c r="M8246" t="n">
        <v>0</v>
      </c>
      <c r="N8246" t="n">
        <v>0</v>
      </c>
      <c r="O8246" t="n">
        <v>0</v>
      </c>
      <c r="P8246" t="n">
        <v>0</v>
      </c>
      <c r="Q8246" t="n">
        <v>0</v>
      </c>
      <c r="R8246" t="n">
        <v>0</v>
      </c>
      <c r="S8246" t="n">
        <v>0</v>
      </c>
      <c r="T8246" t="n">
        <v>0</v>
      </c>
      <c r="U8246" t="n">
        <v>0</v>
      </c>
      <c r="V8246" s="2" t="inlineStr"/>
    </row>
    <row r="8247" ht="15" customHeight="1">
      <c r="A8247" t="inlineStr">
        <is>
          <t>A 1888-2026</t>
        </is>
      </c>
      <c r="B8247" t="inlineStr">
        <is>
          <t>avverkningsanmälan</t>
        </is>
      </c>
      <c r="C8247" t="inlineStr">
        <is>
          <t>Föryngringsavverkning</t>
        </is>
      </c>
      <c r="D8247" s="1" t="n">
        <v>46035</v>
      </c>
      <c r="E8247" s="1" t="n">
        <v>46326</v>
      </c>
      <c r="F8247" t="inlineStr">
        <is>
          <t>GÄVLEBORGS LÄN</t>
        </is>
      </c>
      <c r="G8247" t="inlineStr">
        <is>
          <t>SÖDERHAMN</t>
        </is>
      </c>
      <c r="I8247" t="n">
        <v>6.7</v>
      </c>
      <c r="J8247" t="n">
        <v>0</v>
      </c>
      <c r="K8247" t="n">
        <v>0</v>
      </c>
      <c r="L8247" t="n">
        <v>0</v>
      </c>
      <c r="M8247" t="n">
        <v>0</v>
      </c>
      <c r="N8247" t="n">
        <v>0</v>
      </c>
      <c r="O8247" t="n">
        <v>0</v>
      </c>
      <c r="P8247" t="n">
        <v>0</v>
      </c>
      <c r="Q8247" t="n">
        <v>0</v>
      </c>
      <c r="R8247" t="n">
        <v>0</v>
      </c>
      <c r="S8247" t="n">
        <v>0</v>
      </c>
      <c r="T8247" t="n">
        <v>0</v>
      </c>
      <c r="U8247" t="n">
        <v>0</v>
      </c>
      <c r="V8247" s="2" t="inlineStr"/>
    </row>
    <row r="8248" ht="15" customHeight="1">
      <c r="A8248" t="inlineStr">
        <is>
          <t>A 24063-2026</t>
        </is>
      </c>
      <c r="B8248" t="inlineStr">
        <is>
          <t>avverkningsanmälan</t>
        </is>
      </c>
      <c r="C8248" t="inlineStr">
        <is>
          <t>Föryngringsavverkning</t>
        </is>
      </c>
      <c r="D8248" s="1" t="n">
        <v>46168</v>
      </c>
      <c r="E8248" s="1" t="n">
        <v>46326</v>
      </c>
      <c r="F8248" t="inlineStr">
        <is>
          <t>GÄVLEBORGS LÄN</t>
        </is>
      </c>
      <c r="G8248" t="inlineStr">
        <is>
          <t>OCKELBO</t>
        </is>
      </c>
      <c r="H8248" t="inlineStr">
        <is>
          <t>Bergvik skog väst AB</t>
        </is>
      </c>
      <c r="I8248" t="n">
        <v>0.8</v>
      </c>
      <c r="J8248" t="n">
        <v>0</v>
      </c>
      <c r="K8248" t="n">
        <v>0</v>
      </c>
      <c r="L8248" t="n">
        <v>0</v>
      </c>
      <c r="M8248" t="n">
        <v>0</v>
      </c>
      <c r="N8248" t="n">
        <v>0</v>
      </c>
      <c r="O8248" t="n">
        <v>0</v>
      </c>
      <c r="P8248" t="n">
        <v>0</v>
      </c>
      <c r="Q8248" t="n">
        <v>0</v>
      </c>
      <c r="R8248" t="n">
        <v>0</v>
      </c>
      <c r="S8248" t="n">
        <v>0</v>
      </c>
      <c r="T8248" t="n">
        <v>0</v>
      </c>
      <c r="U8248" t="n">
        <v>0</v>
      </c>
      <c r="V8248" s="2" t="inlineStr"/>
    </row>
    <row r="8249" ht="15" customHeight="1">
      <c r="A8249" t="inlineStr">
        <is>
          <t>A 13664-2026</t>
        </is>
      </c>
      <c r="B8249" t="inlineStr">
        <is>
          <t>avverkningsanmälan</t>
        </is>
      </c>
      <c r="C8249" t="inlineStr">
        <is>
          <t>Föryngringsavverkning</t>
        </is>
      </c>
      <c r="D8249" s="1" t="n">
        <v>46097</v>
      </c>
      <c r="E8249" s="1" t="n">
        <v>46326</v>
      </c>
      <c r="F8249" t="inlineStr">
        <is>
          <t>GÄVLEBORGS LÄN</t>
        </is>
      </c>
      <c r="G8249" t="inlineStr">
        <is>
          <t>SÖDERHAMN</t>
        </is>
      </c>
      <c r="I8249" t="n">
        <v>7.6</v>
      </c>
      <c r="J8249" t="n">
        <v>0</v>
      </c>
      <c r="K8249" t="n">
        <v>0</v>
      </c>
      <c r="L8249" t="n">
        <v>0</v>
      </c>
      <c r="M8249" t="n">
        <v>0</v>
      </c>
      <c r="N8249" t="n">
        <v>0</v>
      </c>
      <c r="O8249" t="n">
        <v>0</v>
      </c>
      <c r="P8249" t="n">
        <v>0</v>
      </c>
      <c r="Q8249" t="n">
        <v>0</v>
      </c>
      <c r="R8249" t="n">
        <v>0</v>
      </c>
      <c r="S8249" t="n">
        <v>0</v>
      </c>
      <c r="T8249" t="n">
        <v>0</v>
      </c>
      <c r="U8249" t="n">
        <v>0</v>
      </c>
      <c r="V8249" s="2" t="inlineStr"/>
    </row>
    <row r="8250" ht="15" customHeight="1">
      <c r="A8250" t="inlineStr">
        <is>
          <t>A 24117-2026</t>
        </is>
      </c>
      <c r="B8250" t="inlineStr">
        <is>
          <t>avverkningsanmälan</t>
        </is>
      </c>
      <c r="C8250" t="inlineStr">
        <is>
          <t>Föryngringsavverkning</t>
        </is>
      </c>
      <c r="D8250" s="1" t="n">
        <v>46168</v>
      </c>
      <c r="E8250" s="1" t="n">
        <v>46326</v>
      </c>
      <c r="F8250" t="inlineStr">
        <is>
          <t>GÄVLEBORGS LÄN</t>
        </is>
      </c>
      <c r="G8250" t="inlineStr">
        <is>
          <t>LJUSDAL</t>
        </is>
      </c>
      <c r="H8250" t="inlineStr">
        <is>
          <t>Sveaskog</t>
        </is>
      </c>
      <c r="I8250" t="n">
        <v>0.7</v>
      </c>
      <c r="J8250" t="n">
        <v>0</v>
      </c>
      <c r="K8250" t="n">
        <v>0</v>
      </c>
      <c r="L8250" t="n">
        <v>0</v>
      </c>
      <c r="M8250" t="n">
        <v>0</v>
      </c>
      <c r="N8250" t="n">
        <v>0</v>
      </c>
      <c r="O8250" t="n">
        <v>0</v>
      </c>
      <c r="P8250" t="n">
        <v>0</v>
      </c>
      <c r="Q8250" t="n">
        <v>0</v>
      </c>
      <c r="R8250" t="n">
        <v>0</v>
      </c>
      <c r="S8250" t="n">
        <v>0</v>
      </c>
      <c r="T8250" t="n">
        <v>0</v>
      </c>
      <c r="U8250" t="n">
        <v>0</v>
      </c>
      <c r="V8250" s="2" t="inlineStr"/>
    </row>
    <row r="8251" ht="15" customHeight="1">
      <c r="A8251" t="inlineStr">
        <is>
          <t>A 55182-2023</t>
        </is>
      </c>
      <c r="B8251" t="inlineStr">
        <is>
          <t>avverkningsanmälan</t>
        </is>
      </c>
      <c r="C8251" t="inlineStr">
        <is>
          <t>Föryngringsavverkning</t>
        </is>
      </c>
      <c r="D8251" s="1" t="n">
        <v>45230</v>
      </c>
      <c r="E8251" s="1" t="n">
        <v>46326</v>
      </c>
      <c r="F8251" t="inlineStr">
        <is>
          <t>GÄVLEBORGS LÄN</t>
        </is>
      </c>
      <c r="G8251" t="inlineStr">
        <is>
          <t>HUDIKSVALL</t>
        </is>
      </c>
      <c r="I8251" t="n">
        <v>1.5</v>
      </c>
      <c r="J8251" t="n">
        <v>0</v>
      </c>
      <c r="K8251" t="n">
        <v>0</v>
      </c>
      <c r="L8251" t="n">
        <v>0</v>
      </c>
      <c r="M8251" t="n">
        <v>0</v>
      </c>
      <c r="N8251" t="n">
        <v>0</v>
      </c>
      <c r="O8251" t="n">
        <v>0</v>
      </c>
      <c r="P8251" t="n">
        <v>0</v>
      </c>
      <c r="Q8251" t="n">
        <v>0</v>
      </c>
      <c r="R8251" t="n">
        <v>0</v>
      </c>
      <c r="S8251" t="n">
        <v>0</v>
      </c>
      <c r="T8251" t="n">
        <v>0</v>
      </c>
      <c r="U8251" t="n">
        <v>0</v>
      </c>
      <c r="V8251" s="2" t="inlineStr"/>
    </row>
    <row r="8252" ht="15" customHeight="1">
      <c r="A8252" t="inlineStr">
        <is>
          <t>A 19839-2026</t>
        </is>
      </c>
      <c r="B8252" t="inlineStr">
        <is>
          <t>avverkningsanmälan</t>
        </is>
      </c>
      <c r="C8252" t="inlineStr">
        <is>
          <t>Föryngringsavverkning</t>
        </is>
      </c>
      <c r="D8252" s="1" t="n">
        <v>46135</v>
      </c>
      <c r="E8252" s="1" t="n">
        <v>46326</v>
      </c>
      <c r="F8252" t="inlineStr">
        <is>
          <t>GÄVLEBORGS LÄN</t>
        </is>
      </c>
      <c r="G8252" t="inlineStr">
        <is>
          <t>BOLLNÄS</t>
        </is>
      </c>
      <c r="I8252" t="n">
        <v>2.7</v>
      </c>
      <c r="J8252" t="n">
        <v>0</v>
      </c>
      <c r="K8252" t="n">
        <v>0</v>
      </c>
      <c r="L8252" t="n">
        <v>0</v>
      </c>
      <c r="M8252" t="n">
        <v>0</v>
      </c>
      <c r="N8252" t="n">
        <v>0</v>
      </c>
      <c r="O8252" t="n">
        <v>0</v>
      </c>
      <c r="P8252" t="n">
        <v>0</v>
      </c>
      <c r="Q8252" t="n">
        <v>0</v>
      </c>
      <c r="R8252" t="n">
        <v>0</v>
      </c>
      <c r="S8252" t="n">
        <v>0</v>
      </c>
      <c r="T8252" t="n">
        <v>0</v>
      </c>
      <c r="U8252" t="n">
        <v>0</v>
      </c>
      <c r="V8252" s="2" t="inlineStr"/>
    </row>
    <row r="8253" ht="15" customHeight="1">
      <c r="A8253" t="inlineStr">
        <is>
          <t>A 18664-2026</t>
        </is>
      </c>
      <c r="B8253" t="inlineStr">
        <is>
          <t>avverkningsanmälan</t>
        </is>
      </c>
      <c r="C8253" t="inlineStr">
        <is>
          <t>Föryngringsavverkning</t>
        </is>
      </c>
      <c r="D8253" s="1" t="n">
        <v>46128</v>
      </c>
      <c r="E8253" s="1" t="n">
        <v>46326</v>
      </c>
      <c r="F8253" t="inlineStr">
        <is>
          <t>GÄVLEBORGS LÄN</t>
        </is>
      </c>
      <c r="G8253" t="inlineStr">
        <is>
          <t>BOLLNÄS</t>
        </is>
      </c>
      <c r="I8253" t="n">
        <v>7.9</v>
      </c>
      <c r="J8253" t="n">
        <v>0</v>
      </c>
      <c r="K8253" t="n">
        <v>0</v>
      </c>
      <c r="L8253" t="n">
        <v>0</v>
      </c>
      <c r="M8253" t="n">
        <v>0</v>
      </c>
      <c r="N8253" t="n">
        <v>0</v>
      </c>
      <c r="O8253" t="n">
        <v>0</v>
      </c>
      <c r="P8253" t="n">
        <v>0</v>
      </c>
      <c r="Q8253" t="n">
        <v>0</v>
      </c>
      <c r="R8253" t="n">
        <v>0</v>
      </c>
      <c r="S8253" t="n">
        <v>0</v>
      </c>
      <c r="T8253" t="n">
        <v>0</v>
      </c>
      <c r="U8253" t="n">
        <v>0</v>
      </c>
      <c r="V8253" s="2" t="inlineStr"/>
    </row>
    <row r="8254" ht="15" customHeight="1">
      <c r="A8254" t="inlineStr">
        <is>
          <t>A 24081-2026</t>
        </is>
      </c>
      <c r="B8254" t="inlineStr">
        <is>
          <t>avverkningsanmälan</t>
        </is>
      </c>
      <c r="C8254" t="inlineStr">
        <is>
          <t>Föryngringsavverkning</t>
        </is>
      </c>
      <c r="D8254" s="1" t="n">
        <v>46168</v>
      </c>
      <c r="E8254" s="1" t="n">
        <v>46326</v>
      </c>
      <c r="F8254" t="inlineStr">
        <is>
          <t>GÄVLEBORGS LÄN</t>
        </is>
      </c>
      <c r="G8254" t="inlineStr">
        <is>
          <t>BOLLNÄS</t>
        </is>
      </c>
      <c r="I8254" t="n">
        <v>1.4</v>
      </c>
      <c r="J8254" t="n">
        <v>0</v>
      </c>
      <c r="K8254" t="n">
        <v>0</v>
      </c>
      <c r="L8254" t="n">
        <v>0</v>
      </c>
      <c r="M8254" t="n">
        <v>0</v>
      </c>
      <c r="N8254" t="n">
        <v>0</v>
      </c>
      <c r="O8254" t="n">
        <v>0</v>
      </c>
      <c r="P8254" t="n">
        <v>0</v>
      </c>
      <c r="Q8254" t="n">
        <v>0</v>
      </c>
      <c r="R8254" t="n">
        <v>0</v>
      </c>
      <c r="S8254" t="n">
        <v>0</v>
      </c>
      <c r="T8254" t="n">
        <v>0</v>
      </c>
      <c r="U8254" t="n">
        <v>0</v>
      </c>
      <c r="V8254" s="2" t="inlineStr"/>
    </row>
    <row r="8255" ht="15" customHeight="1">
      <c r="A8255" t="inlineStr">
        <is>
          <t>A 24090-2026</t>
        </is>
      </c>
      <c r="B8255" t="inlineStr">
        <is>
          <t>avverkningsanmälan</t>
        </is>
      </c>
      <c r="C8255" t="inlineStr">
        <is>
          <t>Föryngringsavverkning</t>
        </is>
      </c>
      <c r="D8255" s="1" t="n">
        <v>46168</v>
      </c>
      <c r="E8255" s="1" t="n">
        <v>46326</v>
      </c>
      <c r="F8255" t="inlineStr">
        <is>
          <t>GÄVLEBORGS LÄN</t>
        </is>
      </c>
      <c r="G8255" t="inlineStr">
        <is>
          <t>GÄVLE</t>
        </is>
      </c>
      <c r="H8255" t="inlineStr">
        <is>
          <t>Bergvik skog öst AB</t>
        </is>
      </c>
      <c r="I8255" t="n">
        <v>3.1</v>
      </c>
      <c r="J8255" t="n">
        <v>0</v>
      </c>
      <c r="K8255" t="n">
        <v>0</v>
      </c>
      <c r="L8255" t="n">
        <v>0</v>
      </c>
      <c r="M8255" t="n">
        <v>0</v>
      </c>
      <c r="N8255" t="n">
        <v>0</v>
      </c>
      <c r="O8255" t="n">
        <v>0</v>
      </c>
      <c r="P8255" t="n">
        <v>0</v>
      </c>
      <c r="Q8255" t="n">
        <v>0</v>
      </c>
      <c r="R8255" t="n">
        <v>0</v>
      </c>
      <c r="S8255" t="n">
        <v>0</v>
      </c>
      <c r="T8255" t="n">
        <v>0</v>
      </c>
      <c r="U8255" t="n">
        <v>0</v>
      </c>
      <c r="V8255" s="2" t="inlineStr"/>
    </row>
    <row r="8256" ht="15" customHeight="1">
      <c r="A8256" t="inlineStr">
        <is>
          <t>A 29715-2024</t>
        </is>
      </c>
      <c r="B8256" t="inlineStr">
        <is>
          <t>avverkningsanmälan</t>
        </is>
      </c>
      <c r="C8256" t="inlineStr">
        <is>
          <t>Föryngringsavverkning</t>
        </is>
      </c>
      <c r="D8256" s="1" t="n">
        <v>45485</v>
      </c>
      <c r="E8256" s="1" t="n">
        <v>46326</v>
      </c>
      <c r="F8256" t="inlineStr">
        <is>
          <t>GÄVLEBORGS LÄN</t>
        </is>
      </c>
      <c r="G8256" t="inlineStr">
        <is>
          <t>BOLLNÄS</t>
        </is>
      </c>
      <c r="I8256" t="n">
        <v>2.4</v>
      </c>
      <c r="J8256" t="n">
        <v>0</v>
      </c>
      <c r="K8256" t="n">
        <v>0</v>
      </c>
      <c r="L8256" t="n">
        <v>0</v>
      </c>
      <c r="M8256" t="n">
        <v>0</v>
      </c>
      <c r="N8256" t="n">
        <v>0</v>
      </c>
      <c r="O8256" t="n">
        <v>0</v>
      </c>
      <c r="P8256" t="n">
        <v>0</v>
      </c>
      <c r="Q8256" t="n">
        <v>0</v>
      </c>
      <c r="R8256" t="n">
        <v>0</v>
      </c>
      <c r="S8256" t="n">
        <v>0</v>
      </c>
      <c r="T8256" t="n">
        <v>0</v>
      </c>
      <c r="U8256" t="n">
        <v>0</v>
      </c>
      <c r="V8256" s="2" t="inlineStr"/>
    </row>
    <row r="8257" ht="15" customHeight="1">
      <c r="A8257" t="inlineStr">
        <is>
          <t>A 14521-2026</t>
        </is>
      </c>
      <c r="B8257" t="inlineStr">
        <is>
          <t>avverkningsanmälan</t>
        </is>
      </c>
      <c r="C8257" t="inlineStr">
        <is>
          <t>Föryngringsavverkning</t>
        </is>
      </c>
      <c r="D8257" s="1" t="n">
        <v>46100</v>
      </c>
      <c r="E8257" s="1" t="n">
        <v>46326</v>
      </c>
      <c r="F8257" t="inlineStr">
        <is>
          <t>GÄVLEBORGS LÄN</t>
        </is>
      </c>
      <c r="G8257" t="inlineStr">
        <is>
          <t>BOLLNÄS</t>
        </is>
      </c>
      <c r="I8257" t="n">
        <v>9.6</v>
      </c>
      <c r="J8257" t="n">
        <v>0</v>
      </c>
      <c r="K8257" t="n">
        <v>0</v>
      </c>
      <c r="L8257" t="n">
        <v>0</v>
      </c>
      <c r="M8257" t="n">
        <v>0</v>
      </c>
      <c r="N8257" t="n">
        <v>0</v>
      </c>
      <c r="O8257" t="n">
        <v>0</v>
      </c>
      <c r="P8257" t="n">
        <v>0</v>
      </c>
      <c r="Q8257" t="n">
        <v>0</v>
      </c>
      <c r="R8257" t="n">
        <v>0</v>
      </c>
      <c r="S8257" t="n">
        <v>0</v>
      </c>
      <c r="T8257" t="n">
        <v>0</v>
      </c>
      <c r="U8257" t="n">
        <v>0</v>
      </c>
      <c r="V8257" s="2" t="inlineStr"/>
    </row>
    <row r="8258" ht="15" customHeight="1">
      <c r="A8258" t="inlineStr">
        <is>
          <t>A 58279-2025</t>
        </is>
      </c>
      <c r="B8258" t="inlineStr">
        <is>
          <t>avverkningsanmälan</t>
        </is>
      </c>
      <c r="C8258" t="inlineStr">
        <is>
          <t>Föryngringsavverkning</t>
        </is>
      </c>
      <c r="D8258" s="1" t="n">
        <v>45985</v>
      </c>
      <c r="E8258" s="1" t="n">
        <v>46326</v>
      </c>
      <c r="F8258" t="inlineStr">
        <is>
          <t>GÄVLEBORGS LÄN</t>
        </is>
      </c>
      <c r="G8258" t="inlineStr">
        <is>
          <t>BOLLNÄS</t>
        </is>
      </c>
      <c r="I8258" t="n">
        <v>1.5</v>
      </c>
      <c r="J8258" t="n">
        <v>0</v>
      </c>
      <c r="K8258" t="n">
        <v>0</v>
      </c>
      <c r="L8258" t="n">
        <v>0</v>
      </c>
      <c r="M8258" t="n">
        <v>0</v>
      </c>
      <c r="N8258" t="n">
        <v>0</v>
      </c>
      <c r="O8258" t="n">
        <v>0</v>
      </c>
      <c r="P8258" t="n">
        <v>0</v>
      </c>
      <c r="Q8258" t="n">
        <v>0</v>
      </c>
      <c r="R8258" t="n">
        <v>0</v>
      </c>
      <c r="S8258" t="n">
        <v>0</v>
      </c>
      <c r="T8258" t="n">
        <v>0</v>
      </c>
      <c r="U8258" t="n">
        <v>0</v>
      </c>
      <c r="V8258" s="2" t="inlineStr"/>
    </row>
    <row r="8259" ht="15" customHeight="1">
      <c r="A8259" t="inlineStr">
        <is>
          <t>A 24342-2026</t>
        </is>
      </c>
      <c r="B8259" t="inlineStr">
        <is>
          <t>avverkningsanmälan</t>
        </is>
      </c>
      <c r="C8259" t="inlineStr">
        <is>
          <t>Avverkning för annat ändamål</t>
        </is>
      </c>
      <c r="D8259" s="1" t="n">
        <v>46169</v>
      </c>
      <c r="E8259" s="1" t="n">
        <v>46326</v>
      </c>
      <c r="F8259" t="inlineStr">
        <is>
          <t>GÄVLEBORGS LÄN</t>
        </is>
      </c>
      <c r="G8259" t="inlineStr">
        <is>
          <t>HOFORS</t>
        </is>
      </c>
      <c r="H8259" t="inlineStr">
        <is>
          <t>Sveaskog</t>
        </is>
      </c>
      <c r="I8259" t="n">
        <v>1.5</v>
      </c>
      <c r="J8259" t="n">
        <v>0</v>
      </c>
      <c r="K8259" t="n">
        <v>0</v>
      </c>
      <c r="L8259" t="n">
        <v>0</v>
      </c>
      <c r="M8259" t="n">
        <v>0</v>
      </c>
      <c r="N8259" t="n">
        <v>0</v>
      </c>
      <c r="O8259" t="n">
        <v>0</v>
      </c>
      <c r="P8259" t="n">
        <v>0</v>
      </c>
      <c r="Q8259" t="n">
        <v>0</v>
      </c>
      <c r="R8259" t="n">
        <v>0</v>
      </c>
      <c r="S8259" t="n">
        <v>0</v>
      </c>
      <c r="T8259" t="n">
        <v>0</v>
      </c>
      <c r="U8259" t="n">
        <v>0</v>
      </c>
      <c r="V8259" s="2" t="inlineStr"/>
    </row>
    <row r="8260" ht="15" customHeight="1">
      <c r="A8260" t="inlineStr">
        <is>
          <t>A 19261-2026</t>
        </is>
      </c>
      <c r="B8260" t="inlineStr">
        <is>
          <t>avverkningsanmälan</t>
        </is>
      </c>
      <c r="C8260" t="inlineStr">
        <is>
          <t>Föryngringsavverkning</t>
        </is>
      </c>
      <c r="D8260" s="1" t="n">
        <v>46132</v>
      </c>
      <c r="E8260" s="1" t="n">
        <v>46326</v>
      </c>
      <c r="F8260" t="inlineStr">
        <is>
          <t>GÄVLEBORGS LÄN</t>
        </is>
      </c>
      <c r="G8260" t="inlineStr">
        <is>
          <t>OVANÅKER</t>
        </is>
      </c>
      <c r="I8260" t="n">
        <v>1</v>
      </c>
      <c r="J8260" t="n">
        <v>0</v>
      </c>
      <c r="K8260" t="n">
        <v>0</v>
      </c>
      <c r="L8260" t="n">
        <v>0</v>
      </c>
      <c r="M8260" t="n">
        <v>0</v>
      </c>
      <c r="N8260" t="n">
        <v>0</v>
      </c>
      <c r="O8260" t="n">
        <v>0</v>
      </c>
      <c r="P8260" t="n">
        <v>0</v>
      </c>
      <c r="Q8260" t="n">
        <v>0</v>
      </c>
      <c r="R8260" t="n">
        <v>0</v>
      </c>
      <c r="S8260" t="n">
        <v>0</v>
      </c>
      <c r="T8260" t="n">
        <v>0</v>
      </c>
      <c r="U8260" t="n">
        <v>0</v>
      </c>
      <c r="V8260" s="2" t="inlineStr"/>
    </row>
    <row r="8261" ht="15" customHeight="1">
      <c r="A8261" t="inlineStr">
        <is>
          <t>A 9816-2026</t>
        </is>
      </c>
      <c r="B8261" t="inlineStr">
        <is>
          <t>avverkningsanmälan</t>
        </is>
      </c>
      <c r="C8261" t="inlineStr">
        <is>
          <t>Föryngringsavverkning</t>
        </is>
      </c>
      <c r="D8261" s="1" t="n">
        <v>46072</v>
      </c>
      <c r="E8261" s="1" t="n">
        <v>46326</v>
      </c>
      <c r="F8261" t="inlineStr">
        <is>
          <t>GÄVLEBORGS LÄN</t>
        </is>
      </c>
      <c r="G8261" t="inlineStr">
        <is>
          <t>BOLLNÄS</t>
        </is>
      </c>
      <c r="I8261" t="n">
        <v>1</v>
      </c>
      <c r="J8261" t="n">
        <v>0</v>
      </c>
      <c r="K8261" t="n">
        <v>0</v>
      </c>
      <c r="L8261" t="n">
        <v>0</v>
      </c>
      <c r="M8261" t="n">
        <v>0</v>
      </c>
      <c r="N8261" t="n">
        <v>0</v>
      </c>
      <c r="O8261" t="n">
        <v>0</v>
      </c>
      <c r="P8261" t="n">
        <v>0</v>
      </c>
      <c r="Q8261" t="n">
        <v>0</v>
      </c>
      <c r="R8261" t="n">
        <v>0</v>
      </c>
      <c r="S8261" t="n">
        <v>0</v>
      </c>
      <c r="T8261" t="n">
        <v>0</v>
      </c>
      <c r="U8261" t="n">
        <v>0</v>
      </c>
      <c r="V8261" s="2" t="inlineStr"/>
    </row>
    <row r="8262" ht="15" customHeight="1">
      <c r="A8262" t="inlineStr">
        <is>
          <t>A 8269-2022</t>
        </is>
      </c>
      <c r="B8262" t="inlineStr">
        <is>
          <t>avverkningsanmälan</t>
        </is>
      </c>
      <c r="C8262" t="inlineStr">
        <is>
          <t>Föryngringsavverkning</t>
        </is>
      </c>
      <c r="D8262" s="1" t="n">
        <v>44610</v>
      </c>
      <c r="E8262" s="1" t="n">
        <v>46326</v>
      </c>
      <c r="F8262" t="inlineStr">
        <is>
          <t>GÄVLEBORGS LÄN</t>
        </is>
      </c>
      <c r="G8262" t="inlineStr">
        <is>
          <t>HUDIKSVALL</t>
        </is>
      </c>
      <c r="I8262" t="n">
        <v>1.2</v>
      </c>
      <c r="J8262" t="n">
        <v>0</v>
      </c>
      <c r="K8262" t="n">
        <v>0</v>
      </c>
      <c r="L8262" t="n">
        <v>0</v>
      </c>
      <c r="M8262" t="n">
        <v>0</v>
      </c>
      <c r="N8262" t="n">
        <v>0</v>
      </c>
      <c r="O8262" t="n">
        <v>0</v>
      </c>
      <c r="P8262" t="n">
        <v>0</v>
      </c>
      <c r="Q8262" t="n">
        <v>0</v>
      </c>
      <c r="R8262" t="n">
        <v>0</v>
      </c>
      <c r="S8262" t="n">
        <v>0</v>
      </c>
      <c r="T8262" t="n">
        <v>0</v>
      </c>
      <c r="U8262" t="n">
        <v>0</v>
      </c>
      <c r="V8262" s="2" t="inlineStr"/>
    </row>
    <row r="8263" ht="15" customHeight="1">
      <c r="A8263" t="inlineStr">
        <is>
          <t>A 6067-2026</t>
        </is>
      </c>
      <c r="B8263" t="inlineStr">
        <is>
          <t>avverkningsanmälan</t>
        </is>
      </c>
      <c r="C8263" t="inlineStr">
        <is>
          <t>Föryngringsavverkning</t>
        </is>
      </c>
      <c r="D8263" s="1" t="n">
        <v>46052</v>
      </c>
      <c r="E8263" s="1" t="n">
        <v>46326</v>
      </c>
      <c r="F8263" t="inlineStr">
        <is>
          <t>GÄVLEBORGS LÄN</t>
        </is>
      </c>
      <c r="G8263" t="inlineStr">
        <is>
          <t>BOLLNÄS</t>
        </is>
      </c>
      <c r="I8263" t="n">
        <v>1.6</v>
      </c>
      <c r="J8263" t="n">
        <v>0</v>
      </c>
      <c r="K8263" t="n">
        <v>0</v>
      </c>
      <c r="L8263" t="n">
        <v>0</v>
      </c>
      <c r="M8263" t="n">
        <v>0</v>
      </c>
      <c r="N8263" t="n">
        <v>0</v>
      </c>
      <c r="O8263" t="n">
        <v>0</v>
      </c>
      <c r="P8263" t="n">
        <v>0</v>
      </c>
      <c r="Q8263" t="n">
        <v>0</v>
      </c>
      <c r="R8263" t="n">
        <v>0</v>
      </c>
      <c r="S8263" t="n">
        <v>0</v>
      </c>
      <c r="T8263" t="n">
        <v>0</v>
      </c>
      <c r="U8263" t="n">
        <v>0</v>
      </c>
      <c r="V8263" s="2" t="inlineStr"/>
    </row>
    <row r="8264" ht="15" customHeight="1">
      <c r="A8264" t="inlineStr">
        <is>
          <t>A 3954-2026</t>
        </is>
      </c>
      <c r="B8264" t="inlineStr">
        <is>
          <t>avverkningsanmälan</t>
        </is>
      </c>
      <c r="C8264" t="inlineStr">
        <is>
          <t>Föryngringsavverkning</t>
        </is>
      </c>
      <c r="D8264" s="1" t="n">
        <v>46044</v>
      </c>
      <c r="E8264" s="1" t="n">
        <v>46326</v>
      </c>
      <c r="F8264" t="inlineStr">
        <is>
          <t>GÄVLEBORGS LÄN</t>
        </is>
      </c>
      <c r="G8264" t="inlineStr">
        <is>
          <t>LJUSDAL</t>
        </is>
      </c>
      <c r="I8264" t="n">
        <v>7</v>
      </c>
      <c r="J8264" t="n">
        <v>0</v>
      </c>
      <c r="K8264" t="n">
        <v>0</v>
      </c>
      <c r="L8264" t="n">
        <v>0</v>
      </c>
      <c r="M8264" t="n">
        <v>0</v>
      </c>
      <c r="N8264" t="n">
        <v>0</v>
      </c>
      <c r="O8264" t="n">
        <v>0</v>
      </c>
      <c r="P8264" t="n">
        <v>0</v>
      </c>
      <c r="Q8264" t="n">
        <v>0</v>
      </c>
      <c r="R8264" t="n">
        <v>0</v>
      </c>
      <c r="S8264" t="n">
        <v>0</v>
      </c>
      <c r="T8264" t="n">
        <v>0</v>
      </c>
      <c r="U8264" t="n">
        <v>0</v>
      </c>
      <c r="V8264" s="2" t="inlineStr"/>
    </row>
    <row r="8265" ht="15" customHeight="1">
      <c r="A8265" t="inlineStr">
        <is>
          <t>A 24335-2026</t>
        </is>
      </c>
      <c r="B8265" t="inlineStr">
        <is>
          <t>avverkningsanmälan</t>
        </is>
      </c>
      <c r="C8265" t="inlineStr">
        <is>
          <t>Föryngringsavverkning</t>
        </is>
      </c>
      <c r="D8265" s="1" t="n">
        <v>46169</v>
      </c>
      <c r="E8265" s="1" t="n">
        <v>46326</v>
      </c>
      <c r="F8265" t="inlineStr">
        <is>
          <t>GÄVLEBORGS LÄN</t>
        </is>
      </c>
      <c r="G8265" t="inlineStr">
        <is>
          <t>OCKELBO</t>
        </is>
      </c>
      <c r="H8265" t="inlineStr">
        <is>
          <t>Bergvik skog väst AB</t>
        </is>
      </c>
      <c r="I8265" t="n">
        <v>0.5</v>
      </c>
      <c r="J8265" t="n">
        <v>0</v>
      </c>
      <c r="K8265" t="n">
        <v>0</v>
      </c>
      <c r="L8265" t="n">
        <v>0</v>
      </c>
      <c r="M8265" t="n">
        <v>0</v>
      </c>
      <c r="N8265" t="n">
        <v>0</v>
      </c>
      <c r="O8265" t="n">
        <v>0</v>
      </c>
      <c r="P8265" t="n">
        <v>0</v>
      </c>
      <c r="Q8265" t="n">
        <v>0</v>
      </c>
      <c r="R8265" t="n">
        <v>0</v>
      </c>
      <c r="S8265" t="n">
        <v>0</v>
      </c>
      <c r="T8265" t="n">
        <v>0</v>
      </c>
      <c r="U8265" t="n">
        <v>0</v>
      </c>
      <c r="V8265" s="2" t="inlineStr"/>
    </row>
    <row r="8266" ht="15" customHeight="1">
      <c r="A8266" t="inlineStr">
        <is>
          <t>A 24099-2026</t>
        </is>
      </c>
      <c r="B8266" t="inlineStr">
        <is>
          <t>avverkningsanmälan</t>
        </is>
      </c>
      <c r="C8266" t="inlineStr">
        <is>
          <t>Föryngringsavverkning</t>
        </is>
      </c>
      <c r="D8266" s="1" t="n">
        <v>46168</v>
      </c>
      <c r="E8266" s="1" t="n">
        <v>46326</v>
      </c>
      <c r="F8266" t="inlineStr">
        <is>
          <t>GÄVLEBORGS LÄN</t>
        </is>
      </c>
      <c r="G8266" t="inlineStr">
        <is>
          <t>GÄVLE</t>
        </is>
      </c>
      <c r="H8266" t="inlineStr">
        <is>
          <t>Bergvik skog öst AB</t>
        </is>
      </c>
      <c r="I8266" t="n">
        <v>0.7</v>
      </c>
      <c r="J8266" t="n">
        <v>0</v>
      </c>
      <c r="K8266" t="n">
        <v>0</v>
      </c>
      <c r="L8266" t="n">
        <v>0</v>
      </c>
      <c r="M8266" t="n">
        <v>0</v>
      </c>
      <c r="N8266" t="n">
        <v>0</v>
      </c>
      <c r="O8266" t="n">
        <v>0</v>
      </c>
      <c r="P8266" t="n">
        <v>0</v>
      </c>
      <c r="Q8266" t="n">
        <v>0</v>
      </c>
      <c r="R8266" t="n">
        <v>0</v>
      </c>
      <c r="S8266" t="n">
        <v>0</v>
      </c>
      <c r="T8266" t="n">
        <v>0</v>
      </c>
      <c r="U8266" t="n">
        <v>0</v>
      </c>
      <c r="V8266" s="2" t="inlineStr"/>
    </row>
    <row r="8267" ht="15" customHeight="1">
      <c r="A8267" t="inlineStr">
        <is>
          <t>A 24297-2026</t>
        </is>
      </c>
      <c r="B8267" t="inlineStr">
        <is>
          <t>avverkningsanmälan</t>
        </is>
      </c>
      <c r="C8267" t="inlineStr">
        <is>
          <t>Föryngringsavverkning</t>
        </is>
      </c>
      <c r="D8267" s="1" t="n">
        <v>46169</v>
      </c>
      <c r="E8267" s="1" t="n">
        <v>46326</v>
      </c>
      <c r="F8267" t="inlineStr">
        <is>
          <t>GÄVLEBORGS LÄN</t>
        </is>
      </c>
      <c r="G8267" t="inlineStr">
        <is>
          <t>SANDVIKEN</t>
        </is>
      </c>
      <c r="H8267" t="inlineStr">
        <is>
          <t>Kommuner</t>
        </is>
      </c>
      <c r="I8267" t="n">
        <v>2.4</v>
      </c>
      <c r="J8267" t="n">
        <v>0</v>
      </c>
      <c r="K8267" t="n">
        <v>0</v>
      </c>
      <c r="L8267" t="n">
        <v>0</v>
      </c>
      <c r="M8267" t="n">
        <v>0</v>
      </c>
      <c r="N8267" t="n">
        <v>0</v>
      </c>
      <c r="O8267" t="n">
        <v>0</v>
      </c>
      <c r="P8267" t="n">
        <v>0</v>
      </c>
      <c r="Q8267" t="n">
        <v>0</v>
      </c>
      <c r="R8267" t="n">
        <v>0</v>
      </c>
      <c r="S8267" t="n">
        <v>0</v>
      </c>
      <c r="T8267" t="n">
        <v>0</v>
      </c>
      <c r="U8267" t="n">
        <v>0</v>
      </c>
      <c r="V8267" s="2" t="inlineStr"/>
    </row>
    <row r="8268" ht="15" customHeight="1">
      <c r="A8268" t="inlineStr">
        <is>
          <t>A 24303-2026</t>
        </is>
      </c>
      <c r="B8268" t="inlineStr">
        <is>
          <t>avverkningsanmälan</t>
        </is>
      </c>
      <c r="C8268" t="inlineStr">
        <is>
          <t>Föryngringsavverkning</t>
        </is>
      </c>
      <c r="D8268" s="1" t="n">
        <v>46169</v>
      </c>
      <c r="E8268" s="1" t="n">
        <v>46326</v>
      </c>
      <c r="F8268" t="inlineStr">
        <is>
          <t>GÄVLEBORGS LÄN</t>
        </is>
      </c>
      <c r="G8268" t="inlineStr">
        <is>
          <t>SANDVIKEN</t>
        </is>
      </c>
      <c r="H8268" t="inlineStr">
        <is>
          <t>Kommuner</t>
        </is>
      </c>
      <c r="I8268" t="n">
        <v>0.6</v>
      </c>
      <c r="J8268" t="n">
        <v>0</v>
      </c>
      <c r="K8268" t="n">
        <v>0</v>
      </c>
      <c r="L8268" t="n">
        <v>0</v>
      </c>
      <c r="M8268" t="n">
        <v>0</v>
      </c>
      <c r="N8268" t="n">
        <v>0</v>
      </c>
      <c r="O8268" t="n">
        <v>0</v>
      </c>
      <c r="P8268" t="n">
        <v>0</v>
      </c>
      <c r="Q8268" t="n">
        <v>0</v>
      </c>
      <c r="R8268" t="n">
        <v>0</v>
      </c>
      <c r="S8268" t="n">
        <v>0</v>
      </c>
      <c r="T8268" t="n">
        <v>0</v>
      </c>
      <c r="U8268" t="n">
        <v>0</v>
      </c>
      <c r="V8268" s="2" t="inlineStr"/>
    </row>
    <row r="8269" ht="15" customHeight="1">
      <c r="A8269" t="inlineStr">
        <is>
          <t>A 7067-2026</t>
        </is>
      </c>
      <c r="B8269" t="inlineStr">
        <is>
          <t>avverkningsanmälan</t>
        </is>
      </c>
      <c r="C8269" t="inlineStr">
        <is>
          <t>Föryngringsavverkning</t>
        </is>
      </c>
      <c r="D8269" s="1" t="n">
        <v>46058</v>
      </c>
      <c r="E8269" s="1" t="n">
        <v>46326</v>
      </c>
      <c r="F8269" t="inlineStr">
        <is>
          <t>GÄVLEBORGS LÄN</t>
        </is>
      </c>
      <c r="G8269" t="inlineStr">
        <is>
          <t>BOLLNÄS</t>
        </is>
      </c>
      <c r="I8269" t="n">
        <v>3.9</v>
      </c>
      <c r="J8269" t="n">
        <v>0</v>
      </c>
      <c r="K8269" t="n">
        <v>0</v>
      </c>
      <c r="L8269" t="n">
        <v>0</v>
      </c>
      <c r="M8269" t="n">
        <v>0</v>
      </c>
      <c r="N8269" t="n">
        <v>0</v>
      </c>
      <c r="O8269" t="n">
        <v>0</v>
      </c>
      <c r="P8269" t="n">
        <v>0</v>
      </c>
      <c r="Q8269" t="n">
        <v>0</v>
      </c>
      <c r="R8269" t="n">
        <v>0</v>
      </c>
      <c r="S8269" t="n">
        <v>0</v>
      </c>
      <c r="T8269" t="n">
        <v>0</v>
      </c>
      <c r="U8269" t="n">
        <v>0</v>
      </c>
      <c r="V8269" s="2" t="inlineStr"/>
    </row>
    <row r="8270" ht="15" customHeight="1">
      <c r="A8270" t="inlineStr">
        <is>
          <t>A 17843-2023</t>
        </is>
      </c>
      <c r="B8270" t="inlineStr">
        <is>
          <t>avverkningsanmälan</t>
        </is>
      </c>
      <c r="C8270" t="inlineStr">
        <is>
          <t>Föryngringsavverkning</t>
        </is>
      </c>
      <c r="D8270" s="1" t="n">
        <v>45037</v>
      </c>
      <c r="E8270" s="1" t="n">
        <v>46326</v>
      </c>
      <c r="F8270" t="inlineStr">
        <is>
          <t>GÄVLEBORGS LÄN</t>
        </is>
      </c>
      <c r="G8270" t="inlineStr">
        <is>
          <t>NORDANSTIG</t>
        </is>
      </c>
      <c r="I8270" t="n">
        <v>3.7</v>
      </c>
      <c r="J8270" t="n">
        <v>0</v>
      </c>
      <c r="K8270" t="n">
        <v>0</v>
      </c>
      <c r="L8270" t="n">
        <v>0</v>
      </c>
      <c r="M8270" t="n">
        <v>0</v>
      </c>
      <c r="N8270" t="n">
        <v>0</v>
      </c>
      <c r="O8270" t="n">
        <v>0</v>
      </c>
      <c r="P8270" t="n">
        <v>0</v>
      </c>
      <c r="Q8270" t="n">
        <v>0</v>
      </c>
      <c r="R8270" t="n">
        <v>0</v>
      </c>
      <c r="S8270" t="n">
        <v>0</v>
      </c>
      <c r="T8270" t="n">
        <v>0</v>
      </c>
      <c r="U8270" t="n">
        <v>0</v>
      </c>
      <c r="V8270" s="2" t="inlineStr"/>
    </row>
    <row r="8271" ht="15" customHeight="1">
      <c r="A8271" t="inlineStr">
        <is>
          <t>A 36025-2023</t>
        </is>
      </c>
      <c r="B8271" t="inlineStr">
        <is>
          <t>avverkningsanmälan</t>
        </is>
      </c>
      <c r="C8271" t="inlineStr">
        <is>
          <t>Föryngringsavverkning</t>
        </is>
      </c>
      <c r="D8271" s="1" t="n">
        <v>45149</v>
      </c>
      <c r="E8271" s="1" t="n">
        <v>46326</v>
      </c>
      <c r="F8271" t="inlineStr">
        <is>
          <t>GÄVLEBORGS LÄN</t>
        </is>
      </c>
      <c r="G8271" t="inlineStr">
        <is>
          <t>NORDANSTIG</t>
        </is>
      </c>
      <c r="I8271" t="n">
        <v>0.9</v>
      </c>
      <c r="J8271" t="n">
        <v>0</v>
      </c>
      <c r="K8271" t="n">
        <v>0</v>
      </c>
      <c r="L8271" t="n">
        <v>0</v>
      </c>
      <c r="M8271" t="n">
        <v>0</v>
      </c>
      <c r="N8271" t="n">
        <v>0</v>
      </c>
      <c r="O8271" t="n">
        <v>0</v>
      </c>
      <c r="P8271" t="n">
        <v>0</v>
      </c>
      <c r="Q8271" t="n">
        <v>0</v>
      </c>
      <c r="R8271" t="n">
        <v>0</v>
      </c>
      <c r="S8271" t="n">
        <v>0</v>
      </c>
      <c r="T8271" t="n">
        <v>0</v>
      </c>
      <c r="U8271" t="n">
        <v>0</v>
      </c>
      <c r="V8271" s="2" t="inlineStr"/>
    </row>
    <row r="8272" ht="15" customHeight="1">
      <c r="A8272" t="inlineStr">
        <is>
          <t>A 24185-2026</t>
        </is>
      </c>
      <c r="B8272" t="inlineStr">
        <is>
          <t>avverkningsanmälan</t>
        </is>
      </c>
      <c r="C8272" t="inlineStr">
        <is>
          <t>Föryngringsavverkning</t>
        </is>
      </c>
      <c r="D8272" s="1" t="n">
        <v>46168</v>
      </c>
      <c r="E8272" s="1" t="n">
        <v>46326</v>
      </c>
      <c r="F8272" t="inlineStr">
        <is>
          <t>GÄVLEBORGS LÄN</t>
        </is>
      </c>
      <c r="G8272" t="inlineStr">
        <is>
          <t>OCKELBO</t>
        </is>
      </c>
      <c r="H8272" t="inlineStr">
        <is>
          <t>Bergvik skog väst AB</t>
        </is>
      </c>
      <c r="I8272" t="n">
        <v>1.6</v>
      </c>
      <c r="J8272" t="n">
        <v>0</v>
      </c>
      <c r="K8272" t="n">
        <v>0</v>
      </c>
      <c r="L8272" t="n">
        <v>0</v>
      </c>
      <c r="M8272" t="n">
        <v>0</v>
      </c>
      <c r="N8272" t="n">
        <v>0</v>
      </c>
      <c r="O8272" t="n">
        <v>0</v>
      </c>
      <c r="P8272" t="n">
        <v>0</v>
      </c>
      <c r="Q8272" t="n">
        <v>0</v>
      </c>
      <c r="R8272" t="n">
        <v>0</v>
      </c>
      <c r="S8272" t="n">
        <v>0</v>
      </c>
      <c r="T8272" t="n">
        <v>0</v>
      </c>
      <c r="U8272" t="n">
        <v>0</v>
      </c>
      <c r="V8272" s="2" t="inlineStr"/>
    </row>
    <row r="8273" ht="15" customHeight="1">
      <c r="A8273" t="inlineStr">
        <is>
          <t>A 22466-2023</t>
        </is>
      </c>
      <c r="B8273" t="inlineStr">
        <is>
          <t>avverkningsanmälan</t>
        </is>
      </c>
      <c r="C8273" t="inlineStr">
        <is>
          <t>Föryngringsavverkning</t>
        </is>
      </c>
      <c r="D8273" s="1" t="n">
        <v>45070</v>
      </c>
      <c r="E8273" s="1" t="n">
        <v>46326</v>
      </c>
      <c r="F8273" t="inlineStr">
        <is>
          <t>GÄVLEBORGS LÄN</t>
        </is>
      </c>
      <c r="G8273" t="inlineStr">
        <is>
          <t>GÄVLE</t>
        </is>
      </c>
      <c r="I8273" t="n">
        <v>1.2</v>
      </c>
      <c r="J8273" t="n">
        <v>0</v>
      </c>
      <c r="K8273" t="n">
        <v>0</v>
      </c>
      <c r="L8273" t="n">
        <v>0</v>
      </c>
      <c r="M8273" t="n">
        <v>0</v>
      </c>
      <c r="N8273" t="n">
        <v>0</v>
      </c>
      <c r="O8273" t="n">
        <v>0</v>
      </c>
      <c r="P8273" t="n">
        <v>0</v>
      </c>
      <c r="Q8273" t="n">
        <v>0</v>
      </c>
      <c r="R8273" t="n">
        <v>0</v>
      </c>
      <c r="S8273" t="n">
        <v>0</v>
      </c>
      <c r="T8273" t="n">
        <v>0</v>
      </c>
      <c r="U8273" t="n">
        <v>0</v>
      </c>
      <c r="V8273" s="2" t="inlineStr"/>
    </row>
    <row r="8274" ht="15" customHeight="1">
      <c r="A8274" t="inlineStr">
        <is>
          <t>A 51666-2022</t>
        </is>
      </c>
      <c r="B8274" t="inlineStr">
        <is>
          <t>avverkningsanmälan</t>
        </is>
      </c>
      <c r="C8274" t="inlineStr">
        <is>
          <t>Föryngringsavverkning</t>
        </is>
      </c>
      <c r="D8274" s="1" t="n">
        <v>44872</v>
      </c>
      <c r="E8274" s="1" t="n">
        <v>46326</v>
      </c>
      <c r="F8274" t="inlineStr">
        <is>
          <t>GÄVLEBORGS LÄN</t>
        </is>
      </c>
      <c r="G8274" t="inlineStr">
        <is>
          <t>BOLLNÄS</t>
        </is>
      </c>
      <c r="I8274" t="n">
        <v>1</v>
      </c>
      <c r="J8274" t="n">
        <v>0</v>
      </c>
      <c r="K8274" t="n">
        <v>0</v>
      </c>
      <c r="L8274" t="n">
        <v>0</v>
      </c>
      <c r="M8274" t="n">
        <v>0</v>
      </c>
      <c r="N8274" t="n">
        <v>0</v>
      </c>
      <c r="O8274" t="n">
        <v>0</v>
      </c>
      <c r="P8274" t="n">
        <v>0</v>
      </c>
      <c r="Q8274" t="n">
        <v>0</v>
      </c>
      <c r="R8274" t="n">
        <v>0</v>
      </c>
      <c r="S8274" t="n">
        <v>0</v>
      </c>
      <c r="T8274" t="n">
        <v>0</v>
      </c>
      <c r="U8274" t="n">
        <v>0</v>
      </c>
      <c r="V8274" s="2" t="inlineStr"/>
    </row>
    <row r="8275" ht="15" customHeight="1">
      <c r="A8275" t="inlineStr">
        <is>
          <t>A 41616-2023</t>
        </is>
      </c>
      <c r="B8275" t="inlineStr">
        <is>
          <t>avverkningsanmälan</t>
        </is>
      </c>
      <c r="C8275" t="inlineStr">
        <is>
          <t>Föryngringsavverkning</t>
        </is>
      </c>
      <c r="D8275" s="1" t="n">
        <v>45175</v>
      </c>
      <c r="E8275" s="1" t="n">
        <v>46326</v>
      </c>
      <c r="F8275" t="inlineStr">
        <is>
          <t>GÄVLEBORGS LÄN</t>
        </is>
      </c>
      <c r="G8275" t="inlineStr">
        <is>
          <t>NORDANSTIG</t>
        </is>
      </c>
      <c r="I8275" t="n">
        <v>0.4</v>
      </c>
      <c r="J8275" t="n">
        <v>0</v>
      </c>
      <c r="K8275" t="n">
        <v>0</v>
      </c>
      <c r="L8275" t="n">
        <v>0</v>
      </c>
      <c r="M8275" t="n">
        <v>0</v>
      </c>
      <c r="N8275" t="n">
        <v>0</v>
      </c>
      <c r="O8275" t="n">
        <v>0</v>
      </c>
      <c r="P8275" t="n">
        <v>0</v>
      </c>
      <c r="Q8275" t="n">
        <v>0</v>
      </c>
      <c r="R8275" t="n">
        <v>0</v>
      </c>
      <c r="S8275" t="n">
        <v>0</v>
      </c>
      <c r="T8275" t="n">
        <v>0</v>
      </c>
      <c r="U8275" t="n">
        <v>0</v>
      </c>
      <c r="V8275" s="2" t="inlineStr"/>
    </row>
    <row r="8276" ht="15" customHeight="1">
      <c r="A8276" t="inlineStr">
        <is>
          <t>A 51700-2022</t>
        </is>
      </c>
      <c r="B8276" t="inlineStr">
        <is>
          <t>avverkningsanmälan</t>
        </is>
      </c>
      <c r="C8276" t="inlineStr">
        <is>
          <t>Avverkning för annat ändamål</t>
        </is>
      </c>
      <c r="D8276" s="1" t="n">
        <v>44872</v>
      </c>
      <c r="E8276" s="1" t="n">
        <v>46326</v>
      </c>
      <c r="F8276" t="inlineStr">
        <is>
          <t>GÄVLEBORGS LÄN</t>
        </is>
      </c>
      <c r="G8276" t="inlineStr">
        <is>
          <t>OVANÅKER</t>
        </is>
      </c>
      <c r="I8276" t="n">
        <v>2.1</v>
      </c>
      <c r="J8276" t="n">
        <v>0</v>
      </c>
      <c r="K8276" t="n">
        <v>0</v>
      </c>
      <c r="L8276" t="n">
        <v>0</v>
      </c>
      <c r="M8276" t="n">
        <v>0</v>
      </c>
      <c r="N8276" t="n">
        <v>0</v>
      </c>
      <c r="O8276" t="n">
        <v>0</v>
      </c>
      <c r="P8276" t="n">
        <v>0</v>
      </c>
      <c r="Q8276" t="n">
        <v>0</v>
      </c>
      <c r="R8276" t="n">
        <v>0</v>
      </c>
      <c r="S8276" t="n">
        <v>0</v>
      </c>
      <c r="T8276" t="n">
        <v>0</v>
      </c>
      <c r="U8276" t="n">
        <v>0</v>
      </c>
      <c r="V8276" s="2" t="inlineStr"/>
    </row>
    <row r="8277" ht="15" customHeight="1">
      <c r="A8277" t="inlineStr">
        <is>
          <t>A 51734-2022</t>
        </is>
      </c>
      <c r="B8277" t="inlineStr">
        <is>
          <t>avverkningsanmälan</t>
        </is>
      </c>
      <c r="C8277" t="inlineStr">
        <is>
          <t>Föryngringsavverkning</t>
        </is>
      </c>
      <c r="D8277" s="1" t="n">
        <v>44872</v>
      </c>
      <c r="E8277" s="1" t="n">
        <v>46326</v>
      </c>
      <c r="F8277" t="inlineStr">
        <is>
          <t>GÄVLEBORGS LÄN</t>
        </is>
      </c>
      <c r="G8277" t="inlineStr">
        <is>
          <t>OVANÅKER</t>
        </is>
      </c>
      <c r="I8277" t="n">
        <v>2.3</v>
      </c>
      <c r="J8277" t="n">
        <v>0</v>
      </c>
      <c r="K8277" t="n">
        <v>0</v>
      </c>
      <c r="L8277" t="n">
        <v>0</v>
      </c>
      <c r="M8277" t="n">
        <v>0</v>
      </c>
      <c r="N8277" t="n">
        <v>0</v>
      </c>
      <c r="O8277" t="n">
        <v>0</v>
      </c>
      <c r="P8277" t="n">
        <v>0</v>
      </c>
      <c r="Q8277" t="n">
        <v>0</v>
      </c>
      <c r="R8277" t="n">
        <v>0</v>
      </c>
      <c r="S8277" t="n">
        <v>0</v>
      </c>
      <c r="T8277" t="n">
        <v>0</v>
      </c>
      <c r="U8277" t="n">
        <v>0</v>
      </c>
      <c r="V8277" s="2" t="inlineStr"/>
    </row>
    <row r="8278" ht="15" customHeight="1">
      <c r="A8278" t="inlineStr">
        <is>
          <t>A 24137-2026</t>
        </is>
      </c>
      <c r="B8278" t="inlineStr">
        <is>
          <t>avverkningsanmälan</t>
        </is>
      </c>
      <c r="C8278" t="inlineStr">
        <is>
          <t>Föryngringsavverkning</t>
        </is>
      </c>
      <c r="D8278" s="1" t="n">
        <v>46168</v>
      </c>
      <c r="E8278" s="1" t="n">
        <v>46326</v>
      </c>
      <c r="F8278" t="inlineStr">
        <is>
          <t>GÄVLEBORGS LÄN</t>
        </is>
      </c>
      <c r="G8278" t="inlineStr">
        <is>
          <t>OVANÅKER</t>
        </is>
      </c>
      <c r="I8278" t="n">
        <v>0.7</v>
      </c>
      <c r="J8278" t="n">
        <v>0</v>
      </c>
      <c r="K8278" t="n">
        <v>0</v>
      </c>
      <c r="L8278" t="n">
        <v>0</v>
      </c>
      <c r="M8278" t="n">
        <v>0</v>
      </c>
      <c r="N8278" t="n">
        <v>0</v>
      </c>
      <c r="O8278" t="n">
        <v>0</v>
      </c>
      <c r="P8278" t="n">
        <v>0</v>
      </c>
      <c r="Q8278" t="n">
        <v>0</v>
      </c>
      <c r="R8278" t="n">
        <v>0</v>
      </c>
      <c r="S8278" t="n">
        <v>0</v>
      </c>
      <c r="T8278" t="n">
        <v>0</v>
      </c>
      <c r="U8278" t="n">
        <v>0</v>
      </c>
      <c r="V8278" s="2" t="inlineStr"/>
    </row>
    <row r="8279" ht="15" customHeight="1">
      <c r="A8279" t="inlineStr">
        <is>
          <t>A 24178-2026</t>
        </is>
      </c>
      <c r="B8279" t="inlineStr">
        <is>
          <t>avverkningsanmälan</t>
        </is>
      </c>
      <c r="C8279" t="inlineStr">
        <is>
          <t>Avverkning för annat ändamål</t>
        </is>
      </c>
      <c r="D8279" s="1" t="n">
        <v>46168</v>
      </c>
      <c r="E8279" s="1" t="n">
        <v>46326</v>
      </c>
      <c r="F8279" t="inlineStr">
        <is>
          <t>GÄVLEBORGS LÄN</t>
        </is>
      </c>
      <c r="G8279" t="inlineStr">
        <is>
          <t>NORDANSTIG</t>
        </is>
      </c>
      <c r="I8279" t="n">
        <v>0.5</v>
      </c>
      <c r="J8279" t="n">
        <v>0</v>
      </c>
      <c r="K8279" t="n">
        <v>0</v>
      </c>
      <c r="L8279" t="n">
        <v>0</v>
      </c>
      <c r="M8279" t="n">
        <v>0</v>
      </c>
      <c r="N8279" t="n">
        <v>0</v>
      </c>
      <c r="O8279" t="n">
        <v>0</v>
      </c>
      <c r="P8279" t="n">
        <v>0</v>
      </c>
      <c r="Q8279" t="n">
        <v>0</v>
      </c>
      <c r="R8279" t="n">
        <v>0</v>
      </c>
      <c r="S8279" t="n">
        <v>0</v>
      </c>
      <c r="T8279" t="n">
        <v>0</v>
      </c>
      <c r="U8279" t="n">
        <v>0</v>
      </c>
      <c r="V8279" s="2" t="inlineStr"/>
    </row>
    <row r="8280" ht="15" customHeight="1">
      <c r="A8280" t="inlineStr">
        <is>
          <t>A 24200-2026</t>
        </is>
      </c>
      <c r="B8280" t="inlineStr">
        <is>
          <t>avverkningsanmälan</t>
        </is>
      </c>
      <c r="C8280" t="inlineStr">
        <is>
          <t>Föryngringsavverkning</t>
        </is>
      </c>
      <c r="D8280" s="1" t="n">
        <v>46168</v>
      </c>
      <c r="E8280" s="1" t="n">
        <v>46326</v>
      </c>
      <c r="F8280" t="inlineStr">
        <is>
          <t>GÄVLEBORGS LÄN</t>
        </is>
      </c>
      <c r="G8280" t="inlineStr">
        <is>
          <t>OVANÅKER</t>
        </is>
      </c>
      <c r="I8280" t="n">
        <v>1.9</v>
      </c>
      <c r="J8280" t="n">
        <v>0</v>
      </c>
      <c r="K8280" t="n">
        <v>0</v>
      </c>
      <c r="L8280" t="n">
        <v>0</v>
      </c>
      <c r="M8280" t="n">
        <v>0</v>
      </c>
      <c r="N8280" t="n">
        <v>0</v>
      </c>
      <c r="O8280" t="n">
        <v>0</v>
      </c>
      <c r="P8280" t="n">
        <v>0</v>
      </c>
      <c r="Q8280" t="n">
        <v>0</v>
      </c>
      <c r="R8280" t="n">
        <v>0</v>
      </c>
      <c r="S8280" t="n">
        <v>0</v>
      </c>
      <c r="T8280" t="n">
        <v>0</v>
      </c>
      <c r="U8280" t="n">
        <v>0</v>
      </c>
      <c r="V8280" s="2" t="inlineStr"/>
    </row>
    <row r="8281" ht="15" customHeight="1">
      <c r="A8281" t="inlineStr">
        <is>
          <t>A 24408-2026</t>
        </is>
      </c>
      <c r="B8281" t="inlineStr">
        <is>
          <t>avverkningsanmälan</t>
        </is>
      </c>
      <c r="C8281" t="inlineStr">
        <is>
          <t>Föryngringsavverkning</t>
        </is>
      </c>
      <c r="D8281" s="1" t="n">
        <v>46169</v>
      </c>
      <c r="E8281" s="1" t="n">
        <v>46326</v>
      </c>
      <c r="F8281" t="inlineStr">
        <is>
          <t>GÄVLEBORGS LÄN</t>
        </is>
      </c>
      <c r="G8281" t="inlineStr">
        <is>
          <t>OCKELBO</t>
        </is>
      </c>
      <c r="I8281" t="n">
        <v>2.9</v>
      </c>
      <c r="J8281" t="n">
        <v>0</v>
      </c>
      <c r="K8281" t="n">
        <v>0</v>
      </c>
      <c r="L8281" t="n">
        <v>0</v>
      </c>
      <c r="M8281" t="n">
        <v>0</v>
      </c>
      <c r="N8281" t="n">
        <v>0</v>
      </c>
      <c r="O8281" t="n">
        <v>0</v>
      </c>
      <c r="P8281" t="n">
        <v>0</v>
      </c>
      <c r="Q8281" t="n">
        <v>0</v>
      </c>
      <c r="R8281" t="n">
        <v>0</v>
      </c>
      <c r="S8281" t="n">
        <v>0</v>
      </c>
      <c r="T8281" t="n">
        <v>0</v>
      </c>
      <c r="U8281" t="n">
        <v>0</v>
      </c>
      <c r="V8281" s="2" t="inlineStr"/>
    </row>
    <row r="8282" ht="15" customHeight="1">
      <c r="A8282" t="inlineStr">
        <is>
          <t>A 15372-2024</t>
        </is>
      </c>
      <c r="B8282" t="inlineStr">
        <is>
          <t>avverkningsanmälan</t>
        </is>
      </c>
      <c r="C8282" t="inlineStr">
        <is>
          <t>Föryngringsavverkning</t>
        </is>
      </c>
      <c r="D8282" s="1" t="n">
        <v>45400</v>
      </c>
      <c r="E8282" s="1" t="n">
        <v>46326</v>
      </c>
      <c r="F8282" t="inlineStr">
        <is>
          <t>GÄVLEBORGS LÄN</t>
        </is>
      </c>
      <c r="G8282" t="inlineStr">
        <is>
          <t>LJUSDAL</t>
        </is>
      </c>
      <c r="I8282" t="n">
        <v>2.9</v>
      </c>
      <c r="J8282" t="n">
        <v>0</v>
      </c>
      <c r="K8282" t="n">
        <v>0</v>
      </c>
      <c r="L8282" t="n">
        <v>0</v>
      </c>
      <c r="M8282" t="n">
        <v>0</v>
      </c>
      <c r="N8282" t="n">
        <v>0</v>
      </c>
      <c r="O8282" t="n">
        <v>0</v>
      </c>
      <c r="P8282" t="n">
        <v>0</v>
      </c>
      <c r="Q8282" t="n">
        <v>0</v>
      </c>
      <c r="R8282" t="n">
        <v>0</v>
      </c>
      <c r="S8282" t="n">
        <v>0</v>
      </c>
      <c r="T8282" t="n">
        <v>0</v>
      </c>
      <c r="U8282" t="n">
        <v>0</v>
      </c>
      <c r="V8282" s="2" t="inlineStr"/>
    </row>
    <row r="8283" ht="15" customHeight="1">
      <c r="A8283" t="inlineStr">
        <is>
          <t>A 24059-2026</t>
        </is>
      </c>
      <c r="B8283" t="inlineStr">
        <is>
          <t>avverkningsanmälan</t>
        </is>
      </c>
      <c r="C8283" t="inlineStr">
        <is>
          <t>Föryngringsavverkning</t>
        </is>
      </c>
      <c r="D8283" s="1" t="n">
        <v>46168</v>
      </c>
      <c r="E8283" s="1" t="n">
        <v>46326</v>
      </c>
      <c r="F8283" t="inlineStr">
        <is>
          <t>GÄVLEBORGS LÄN</t>
        </is>
      </c>
      <c r="G8283" t="inlineStr">
        <is>
          <t>OCKELBO</t>
        </is>
      </c>
      <c r="H8283" t="inlineStr">
        <is>
          <t>Bergvik skog väst AB</t>
        </is>
      </c>
      <c r="I8283" t="n">
        <v>0.7</v>
      </c>
      <c r="J8283" t="n">
        <v>0</v>
      </c>
      <c r="K8283" t="n">
        <v>0</v>
      </c>
      <c r="L8283" t="n">
        <v>0</v>
      </c>
      <c r="M8283" t="n">
        <v>0</v>
      </c>
      <c r="N8283" t="n">
        <v>0</v>
      </c>
      <c r="O8283" t="n">
        <v>0</v>
      </c>
      <c r="P8283" t="n">
        <v>0</v>
      </c>
      <c r="Q8283" t="n">
        <v>0</v>
      </c>
      <c r="R8283" t="n">
        <v>0</v>
      </c>
      <c r="S8283" t="n">
        <v>0</v>
      </c>
      <c r="T8283" t="n">
        <v>0</v>
      </c>
      <c r="U8283" t="n">
        <v>0</v>
      </c>
      <c r="V8283" s="2" t="inlineStr"/>
    </row>
    <row r="8284" ht="15" customHeight="1">
      <c r="A8284" t="inlineStr">
        <is>
          <t>A 24569-2026</t>
        </is>
      </c>
      <c r="B8284" t="inlineStr">
        <is>
          <t>avverkningsanmälan</t>
        </is>
      </c>
      <c r="C8284" t="inlineStr">
        <is>
          <t>Föryngringsavverkning</t>
        </is>
      </c>
      <c r="D8284" s="1" t="n">
        <v>46170</v>
      </c>
      <c r="E8284" s="1" t="n">
        <v>46326</v>
      </c>
      <c r="F8284" t="inlineStr">
        <is>
          <t>GÄVLEBORGS LÄN</t>
        </is>
      </c>
      <c r="G8284" t="inlineStr">
        <is>
          <t>OCKELBO</t>
        </is>
      </c>
      <c r="I8284" t="n">
        <v>1.2</v>
      </c>
      <c r="J8284" t="n">
        <v>0</v>
      </c>
      <c r="K8284" t="n">
        <v>0</v>
      </c>
      <c r="L8284" t="n">
        <v>0</v>
      </c>
      <c r="M8284" t="n">
        <v>0</v>
      </c>
      <c r="N8284" t="n">
        <v>0</v>
      </c>
      <c r="O8284" t="n">
        <v>0</v>
      </c>
      <c r="P8284" t="n">
        <v>0</v>
      </c>
      <c r="Q8284" t="n">
        <v>0</v>
      </c>
      <c r="R8284" t="n">
        <v>0</v>
      </c>
      <c r="S8284" t="n">
        <v>0</v>
      </c>
      <c r="T8284" t="n">
        <v>0</v>
      </c>
      <c r="U8284" t="n">
        <v>0</v>
      </c>
      <c r="V8284" s="2" t="inlineStr"/>
    </row>
    <row r="8285" ht="15" customHeight="1">
      <c r="A8285" t="inlineStr">
        <is>
          <t>A 27477-2024</t>
        </is>
      </c>
      <c r="B8285" t="inlineStr">
        <is>
          <t>avverkningsanmälan</t>
        </is>
      </c>
      <c r="C8285" t="inlineStr">
        <is>
          <t>Föryngringsavverkning</t>
        </is>
      </c>
      <c r="D8285" s="1" t="n">
        <v>45474</v>
      </c>
      <c r="E8285" s="1" t="n">
        <v>46326</v>
      </c>
      <c r="F8285" t="inlineStr">
        <is>
          <t>GÄVLEBORGS LÄN</t>
        </is>
      </c>
      <c r="G8285" t="inlineStr">
        <is>
          <t>HUDIKSVALL</t>
        </is>
      </c>
      <c r="H8285" t="inlineStr">
        <is>
          <t>Holmen skog AB</t>
        </is>
      </c>
      <c r="I8285" t="n">
        <v>1</v>
      </c>
      <c r="J8285" t="n">
        <v>0</v>
      </c>
      <c r="K8285" t="n">
        <v>0</v>
      </c>
      <c r="L8285" t="n">
        <v>0</v>
      </c>
      <c r="M8285" t="n">
        <v>0</v>
      </c>
      <c r="N8285" t="n">
        <v>0</v>
      </c>
      <c r="O8285" t="n">
        <v>0</v>
      </c>
      <c r="P8285" t="n">
        <v>0</v>
      </c>
      <c r="Q8285" t="n">
        <v>0</v>
      </c>
      <c r="R8285" t="n">
        <v>0</v>
      </c>
      <c r="S8285" t="n">
        <v>0</v>
      </c>
      <c r="T8285" t="n">
        <v>0</v>
      </c>
      <c r="U8285" t="n">
        <v>0</v>
      </c>
      <c r="V8285" s="2" t="inlineStr"/>
    </row>
    <row r="8286" ht="15" customHeight="1">
      <c r="A8286" t="inlineStr">
        <is>
          <t>A 16023-2023</t>
        </is>
      </c>
      <c r="B8286" t="inlineStr">
        <is>
          <t>avverkningsanmälan</t>
        </is>
      </c>
      <c r="C8286" t="inlineStr">
        <is>
          <t>Föryngringsavverkning</t>
        </is>
      </c>
      <c r="D8286" s="1" t="n">
        <v>45026</v>
      </c>
      <c r="E8286" s="1" t="n">
        <v>46326</v>
      </c>
      <c r="F8286" t="inlineStr">
        <is>
          <t>GÄVLEBORGS LÄN</t>
        </is>
      </c>
      <c r="G8286" t="inlineStr">
        <is>
          <t>GÄVLE</t>
        </is>
      </c>
      <c r="I8286" t="n">
        <v>0.9</v>
      </c>
      <c r="J8286" t="n">
        <v>0</v>
      </c>
      <c r="K8286" t="n">
        <v>0</v>
      </c>
      <c r="L8286" t="n">
        <v>0</v>
      </c>
      <c r="M8286" t="n">
        <v>0</v>
      </c>
      <c r="N8286" t="n">
        <v>0</v>
      </c>
      <c r="O8286" t="n">
        <v>0</v>
      </c>
      <c r="P8286" t="n">
        <v>0</v>
      </c>
      <c r="Q8286" t="n">
        <v>0</v>
      </c>
      <c r="R8286" t="n">
        <v>0</v>
      </c>
      <c r="S8286" t="n">
        <v>0</v>
      </c>
      <c r="T8286" t="n">
        <v>0</v>
      </c>
      <c r="U8286" t="n">
        <v>0</v>
      </c>
      <c r="V8286" s="2" t="inlineStr"/>
    </row>
    <row r="8287" ht="15" customHeight="1">
      <c r="A8287" t="inlineStr">
        <is>
          <t>A 16073-2023</t>
        </is>
      </c>
      <c r="B8287" t="inlineStr">
        <is>
          <t>avverkningsanmälan</t>
        </is>
      </c>
      <c r="C8287" t="inlineStr">
        <is>
          <t>Föryngringsavverkning</t>
        </is>
      </c>
      <c r="D8287" s="1" t="n">
        <v>45027</v>
      </c>
      <c r="E8287" s="1" t="n">
        <v>46326</v>
      </c>
      <c r="F8287" t="inlineStr">
        <is>
          <t>GÄVLEBORGS LÄN</t>
        </is>
      </c>
      <c r="G8287" t="inlineStr">
        <is>
          <t>HUDIKSVALL</t>
        </is>
      </c>
      <c r="I8287" t="n">
        <v>2</v>
      </c>
      <c r="J8287" t="n">
        <v>0</v>
      </c>
      <c r="K8287" t="n">
        <v>0</v>
      </c>
      <c r="L8287" t="n">
        <v>0</v>
      </c>
      <c r="M8287" t="n">
        <v>0</v>
      </c>
      <c r="N8287" t="n">
        <v>0</v>
      </c>
      <c r="O8287" t="n">
        <v>0</v>
      </c>
      <c r="P8287" t="n">
        <v>0</v>
      </c>
      <c r="Q8287" t="n">
        <v>0</v>
      </c>
      <c r="R8287" t="n">
        <v>0</v>
      </c>
      <c r="S8287" t="n">
        <v>0</v>
      </c>
      <c r="T8287" t="n">
        <v>0</v>
      </c>
      <c r="U8287" t="n">
        <v>0</v>
      </c>
      <c r="V8287" s="2" t="inlineStr"/>
    </row>
    <row r="8288" ht="15" customHeight="1">
      <c r="A8288" t="inlineStr">
        <is>
          <t>A 49993-2024</t>
        </is>
      </c>
      <c r="B8288" t="inlineStr">
        <is>
          <t>avverkningsanmälan</t>
        </is>
      </c>
      <c r="C8288" t="inlineStr">
        <is>
          <t>Föryngringsavverkning</t>
        </is>
      </c>
      <c r="D8288" s="1" t="n">
        <v>45597</v>
      </c>
      <c r="E8288" s="1" t="n">
        <v>46326</v>
      </c>
      <c r="F8288" t="inlineStr">
        <is>
          <t>GÄVLEBORGS LÄN</t>
        </is>
      </c>
      <c r="G8288" t="inlineStr">
        <is>
          <t>BOLLNÄS</t>
        </is>
      </c>
      <c r="I8288" t="n">
        <v>1.2</v>
      </c>
      <c r="J8288" t="n">
        <v>0</v>
      </c>
      <c r="K8288" t="n">
        <v>0</v>
      </c>
      <c r="L8288" t="n">
        <v>0</v>
      </c>
      <c r="M8288" t="n">
        <v>0</v>
      </c>
      <c r="N8288" t="n">
        <v>0</v>
      </c>
      <c r="O8288" t="n">
        <v>0</v>
      </c>
      <c r="P8288" t="n">
        <v>0</v>
      </c>
      <c r="Q8288" t="n">
        <v>0</v>
      </c>
      <c r="R8288" t="n">
        <v>0</v>
      </c>
      <c r="S8288" t="n">
        <v>0</v>
      </c>
      <c r="T8288" t="n">
        <v>0</v>
      </c>
      <c r="U8288" t="n">
        <v>0</v>
      </c>
      <c r="V8288" s="2" t="inlineStr"/>
    </row>
    <row r="8289" ht="15" customHeight="1">
      <c r="A8289" t="inlineStr">
        <is>
          <t>A 54219-2023</t>
        </is>
      </c>
      <c r="B8289" t="inlineStr">
        <is>
          <t>avverkningsanmälan</t>
        </is>
      </c>
      <c r="C8289" t="inlineStr">
        <is>
          <t>Föryngringsavverkning</t>
        </is>
      </c>
      <c r="D8289" s="1" t="n">
        <v>45232</v>
      </c>
      <c r="E8289" s="1" t="n">
        <v>46326</v>
      </c>
      <c r="F8289" t="inlineStr">
        <is>
          <t>GÄVLEBORGS LÄN</t>
        </is>
      </c>
      <c r="G8289" t="inlineStr">
        <is>
          <t>HUDIKSVALL</t>
        </is>
      </c>
      <c r="I8289" t="n">
        <v>0.7</v>
      </c>
      <c r="J8289" t="n">
        <v>0</v>
      </c>
      <c r="K8289" t="n">
        <v>0</v>
      </c>
      <c r="L8289" t="n">
        <v>0</v>
      </c>
      <c r="M8289" t="n">
        <v>0</v>
      </c>
      <c r="N8289" t="n">
        <v>0</v>
      </c>
      <c r="O8289" t="n">
        <v>0</v>
      </c>
      <c r="P8289" t="n">
        <v>0</v>
      </c>
      <c r="Q8289" t="n">
        <v>0</v>
      </c>
      <c r="R8289" t="n">
        <v>0</v>
      </c>
      <c r="S8289" t="n">
        <v>0</v>
      </c>
      <c r="T8289" t="n">
        <v>0</v>
      </c>
      <c r="U8289" t="n">
        <v>0</v>
      </c>
      <c r="V8289" s="2" t="inlineStr"/>
    </row>
    <row r="8290" ht="15" customHeight="1">
      <c r="A8290" t="inlineStr">
        <is>
          <t>A 24449-2026</t>
        </is>
      </c>
      <c r="B8290" t="inlineStr">
        <is>
          <t>avverkningsanmälan</t>
        </is>
      </c>
      <c r="C8290" t="inlineStr">
        <is>
          <t>Föryngringsavverkning</t>
        </is>
      </c>
      <c r="D8290" s="1" t="n">
        <v>46170</v>
      </c>
      <c r="E8290" s="1" t="n">
        <v>46326</v>
      </c>
      <c r="F8290" t="inlineStr">
        <is>
          <t>GÄVLEBORGS LÄN</t>
        </is>
      </c>
      <c r="G8290" t="inlineStr">
        <is>
          <t>OCKELBO</t>
        </is>
      </c>
      <c r="H8290" t="inlineStr">
        <is>
          <t>Bergvik skog väst AB</t>
        </is>
      </c>
      <c r="I8290" t="n">
        <v>4.1</v>
      </c>
      <c r="J8290" t="n">
        <v>0</v>
      </c>
      <c r="K8290" t="n">
        <v>0</v>
      </c>
      <c r="L8290" t="n">
        <v>0</v>
      </c>
      <c r="M8290" t="n">
        <v>0</v>
      </c>
      <c r="N8290" t="n">
        <v>0</v>
      </c>
      <c r="O8290" t="n">
        <v>0</v>
      </c>
      <c r="P8290" t="n">
        <v>0</v>
      </c>
      <c r="Q8290" t="n">
        <v>0</v>
      </c>
      <c r="R8290" t="n">
        <v>0</v>
      </c>
      <c r="S8290" t="n">
        <v>0</v>
      </c>
      <c r="T8290" t="n">
        <v>0</v>
      </c>
      <c r="U8290" t="n">
        <v>0</v>
      </c>
      <c r="V8290" s="2" t="inlineStr"/>
    </row>
    <row r="8291" ht="15" customHeight="1">
      <c r="A8291" t="inlineStr">
        <is>
          <t>A 24567-2026</t>
        </is>
      </c>
      <c r="B8291" t="inlineStr">
        <is>
          <t>avverkningsanmälan</t>
        </is>
      </c>
      <c r="C8291" t="inlineStr">
        <is>
          <t>Föryngringsavverkning</t>
        </is>
      </c>
      <c r="D8291" s="1" t="n">
        <v>46170</v>
      </c>
      <c r="E8291" s="1" t="n">
        <v>46326</v>
      </c>
      <c r="F8291" t="inlineStr">
        <is>
          <t>GÄVLEBORGS LÄN</t>
        </is>
      </c>
      <c r="G8291" t="inlineStr">
        <is>
          <t>OCKELBO</t>
        </is>
      </c>
      <c r="H8291" t="inlineStr">
        <is>
          <t>Bergvik skog väst AB</t>
        </is>
      </c>
      <c r="I8291" t="n">
        <v>0.3</v>
      </c>
      <c r="J8291" t="n">
        <v>0</v>
      </c>
      <c r="K8291" t="n">
        <v>0</v>
      </c>
      <c r="L8291" t="n">
        <v>0</v>
      </c>
      <c r="M8291" t="n">
        <v>0</v>
      </c>
      <c r="N8291" t="n">
        <v>0</v>
      </c>
      <c r="O8291" t="n">
        <v>0</v>
      </c>
      <c r="P8291" t="n">
        <v>0</v>
      </c>
      <c r="Q8291" t="n">
        <v>0</v>
      </c>
      <c r="R8291" t="n">
        <v>0</v>
      </c>
      <c r="S8291" t="n">
        <v>0</v>
      </c>
      <c r="T8291" t="n">
        <v>0</v>
      </c>
      <c r="U8291" t="n">
        <v>0</v>
      </c>
      <c r="V8291" s="2" t="inlineStr"/>
    </row>
    <row r="8292" ht="15" customHeight="1">
      <c r="A8292" t="inlineStr">
        <is>
          <t>A 17648-2026</t>
        </is>
      </c>
      <c r="B8292" t="inlineStr">
        <is>
          <t>avverkningsanmälan</t>
        </is>
      </c>
      <c r="C8292" t="inlineStr">
        <is>
          <t>Föryngringsavverkning</t>
        </is>
      </c>
      <c r="D8292" s="1" t="n">
        <v>46121</v>
      </c>
      <c r="E8292" s="1" t="n">
        <v>46326</v>
      </c>
      <c r="F8292" t="inlineStr">
        <is>
          <t>GÄVLEBORGS LÄN</t>
        </is>
      </c>
      <c r="G8292" t="inlineStr">
        <is>
          <t>BOLLNÄS</t>
        </is>
      </c>
      <c r="I8292" t="n">
        <v>5.6</v>
      </c>
      <c r="J8292" t="n">
        <v>0</v>
      </c>
      <c r="K8292" t="n">
        <v>0</v>
      </c>
      <c r="L8292" t="n">
        <v>0</v>
      </c>
      <c r="M8292" t="n">
        <v>0</v>
      </c>
      <c r="N8292" t="n">
        <v>0</v>
      </c>
      <c r="O8292" t="n">
        <v>0</v>
      </c>
      <c r="P8292" t="n">
        <v>0</v>
      </c>
      <c r="Q8292" t="n">
        <v>0</v>
      </c>
      <c r="R8292" t="n">
        <v>0</v>
      </c>
      <c r="S8292" t="n">
        <v>0</v>
      </c>
      <c r="T8292" t="n">
        <v>0</v>
      </c>
      <c r="U8292" t="n">
        <v>0</v>
      </c>
      <c r="V8292" s="2" t="inlineStr"/>
    </row>
    <row r="8293" ht="15" customHeight="1">
      <c r="A8293" t="inlineStr">
        <is>
          <t>A 24461-2026</t>
        </is>
      </c>
      <c r="B8293" t="inlineStr">
        <is>
          <t>avverkningsanmälan</t>
        </is>
      </c>
      <c r="C8293" t="inlineStr">
        <is>
          <t>Föryngringsavverkning</t>
        </is>
      </c>
      <c r="D8293" s="1" t="n">
        <v>46170</v>
      </c>
      <c r="E8293" s="1" t="n">
        <v>46326</v>
      </c>
      <c r="F8293" t="inlineStr">
        <is>
          <t>GÄVLEBORGS LÄN</t>
        </is>
      </c>
      <c r="G8293" t="inlineStr">
        <is>
          <t>BOLLNÄS</t>
        </is>
      </c>
      <c r="I8293" t="n">
        <v>1.1</v>
      </c>
      <c r="J8293" t="n">
        <v>0</v>
      </c>
      <c r="K8293" t="n">
        <v>0</v>
      </c>
      <c r="L8293" t="n">
        <v>0</v>
      </c>
      <c r="M8293" t="n">
        <v>0</v>
      </c>
      <c r="N8293" t="n">
        <v>0</v>
      </c>
      <c r="O8293" t="n">
        <v>0</v>
      </c>
      <c r="P8293" t="n">
        <v>0</v>
      </c>
      <c r="Q8293" t="n">
        <v>0</v>
      </c>
      <c r="R8293" t="n">
        <v>0</v>
      </c>
      <c r="S8293" t="n">
        <v>0</v>
      </c>
      <c r="T8293" t="n">
        <v>0</v>
      </c>
      <c r="U8293" t="n">
        <v>0</v>
      </c>
      <c r="V8293" s="2" t="inlineStr"/>
    </row>
    <row r="8294" ht="15" customHeight="1">
      <c r="A8294" t="inlineStr">
        <is>
          <t>A 24451-2026</t>
        </is>
      </c>
      <c r="B8294" t="inlineStr">
        <is>
          <t>avverkningsanmälan</t>
        </is>
      </c>
      <c r="C8294" t="inlineStr">
        <is>
          <t>Föryngringsavverkning</t>
        </is>
      </c>
      <c r="D8294" s="1" t="n">
        <v>46170</v>
      </c>
      <c r="E8294" s="1" t="n">
        <v>46326</v>
      </c>
      <c r="F8294" t="inlineStr">
        <is>
          <t>GÄVLEBORGS LÄN</t>
        </is>
      </c>
      <c r="G8294" t="inlineStr">
        <is>
          <t>OCKELBO</t>
        </is>
      </c>
      <c r="H8294" t="inlineStr">
        <is>
          <t>Bergvik skog väst AB</t>
        </is>
      </c>
      <c r="I8294" t="n">
        <v>3.1</v>
      </c>
      <c r="J8294" t="n">
        <v>0</v>
      </c>
      <c r="K8294" t="n">
        <v>0</v>
      </c>
      <c r="L8294" t="n">
        <v>0</v>
      </c>
      <c r="M8294" t="n">
        <v>0</v>
      </c>
      <c r="N8294" t="n">
        <v>0</v>
      </c>
      <c r="O8294" t="n">
        <v>0</v>
      </c>
      <c r="P8294" t="n">
        <v>0</v>
      </c>
      <c r="Q8294" t="n">
        <v>0</v>
      </c>
      <c r="R8294" t="n">
        <v>0</v>
      </c>
      <c r="S8294" t="n">
        <v>0</v>
      </c>
      <c r="T8294" t="n">
        <v>0</v>
      </c>
      <c r="U8294" t="n">
        <v>0</v>
      </c>
      <c r="V8294" s="2" t="inlineStr"/>
    </row>
    <row r="8295" ht="15" customHeight="1">
      <c r="A8295" t="inlineStr">
        <is>
          <t>A 57546-2023</t>
        </is>
      </c>
      <c r="B8295" t="inlineStr">
        <is>
          <t>avverkningsanmälan</t>
        </is>
      </c>
      <c r="C8295" t="inlineStr">
        <is>
          <t>Föryngringsavverkning</t>
        </is>
      </c>
      <c r="D8295" s="1" t="n">
        <v>45246</v>
      </c>
      <c r="E8295" s="1" t="n">
        <v>46326</v>
      </c>
      <c r="F8295" t="inlineStr">
        <is>
          <t>GÄVLEBORGS LÄN</t>
        </is>
      </c>
      <c r="G8295" t="inlineStr">
        <is>
          <t>BOLLNÄS</t>
        </is>
      </c>
      <c r="I8295" t="n">
        <v>2.5</v>
      </c>
      <c r="J8295" t="n">
        <v>0</v>
      </c>
      <c r="K8295" t="n">
        <v>0</v>
      </c>
      <c r="L8295" t="n">
        <v>0</v>
      </c>
      <c r="M8295" t="n">
        <v>0</v>
      </c>
      <c r="N8295" t="n">
        <v>0</v>
      </c>
      <c r="O8295" t="n">
        <v>0</v>
      </c>
      <c r="P8295" t="n">
        <v>0</v>
      </c>
      <c r="Q8295" t="n">
        <v>0</v>
      </c>
      <c r="R8295" t="n">
        <v>0</v>
      </c>
      <c r="S8295" t="n">
        <v>0</v>
      </c>
      <c r="T8295" t="n">
        <v>0</v>
      </c>
      <c r="U8295" t="n">
        <v>0</v>
      </c>
      <c r="V8295" s="2" t="inlineStr"/>
    </row>
    <row r="8296" ht="15" customHeight="1">
      <c r="A8296" t="inlineStr">
        <is>
          <t>A 15355-2025</t>
        </is>
      </c>
      <c r="B8296" t="inlineStr">
        <is>
          <t>avverkningsanmälan</t>
        </is>
      </c>
      <c r="C8296" t="inlineStr">
        <is>
          <t>Föryngringsavverkning</t>
        </is>
      </c>
      <c r="D8296" s="1" t="n">
        <v>45747</v>
      </c>
      <c r="E8296" s="1" t="n">
        <v>46326</v>
      </c>
      <c r="F8296" t="inlineStr">
        <is>
          <t>GÄVLEBORGS LÄN</t>
        </is>
      </c>
      <c r="G8296" t="inlineStr">
        <is>
          <t>BOLLNÄS</t>
        </is>
      </c>
      <c r="I8296" t="n">
        <v>1.7</v>
      </c>
      <c r="J8296" t="n">
        <v>0</v>
      </c>
      <c r="K8296" t="n">
        <v>0</v>
      </c>
      <c r="L8296" t="n">
        <v>0</v>
      </c>
      <c r="M8296" t="n">
        <v>0</v>
      </c>
      <c r="N8296" t="n">
        <v>0</v>
      </c>
      <c r="O8296" t="n">
        <v>0</v>
      </c>
      <c r="P8296" t="n">
        <v>0</v>
      </c>
      <c r="Q8296" t="n">
        <v>0</v>
      </c>
      <c r="R8296" t="n">
        <v>0</v>
      </c>
      <c r="S8296" t="n">
        <v>0</v>
      </c>
      <c r="T8296" t="n">
        <v>0</v>
      </c>
      <c r="U8296" t="n">
        <v>0</v>
      </c>
      <c r="V8296" s="2" t="inlineStr"/>
    </row>
    <row r="8297" ht="15" customHeight="1">
      <c r="A8297" t="inlineStr">
        <is>
          <t>A 38201-2024</t>
        </is>
      </c>
      <c r="B8297" t="inlineStr">
        <is>
          <t>avverkningsanmälan</t>
        </is>
      </c>
      <c r="C8297" t="inlineStr">
        <is>
          <t>Föryngringsavverkning</t>
        </is>
      </c>
      <c r="D8297" s="1" t="n">
        <v>45545</v>
      </c>
      <c r="E8297" s="1" t="n">
        <v>46326</v>
      </c>
      <c r="F8297" t="inlineStr">
        <is>
          <t>GÄVLEBORGS LÄN</t>
        </is>
      </c>
      <c r="G8297" t="inlineStr">
        <is>
          <t>HUDIKSVALL</t>
        </is>
      </c>
      <c r="H8297" t="inlineStr">
        <is>
          <t>Holmen skog AB</t>
        </is>
      </c>
      <c r="I8297" t="n">
        <v>0.5</v>
      </c>
      <c r="J8297" t="n">
        <v>0</v>
      </c>
      <c r="K8297" t="n">
        <v>0</v>
      </c>
      <c r="L8297" t="n">
        <v>0</v>
      </c>
      <c r="M8297" t="n">
        <v>0</v>
      </c>
      <c r="N8297" t="n">
        <v>0</v>
      </c>
      <c r="O8297" t="n">
        <v>0</v>
      </c>
      <c r="P8297" t="n">
        <v>0</v>
      </c>
      <c r="Q8297" t="n">
        <v>0</v>
      </c>
      <c r="R8297" t="n">
        <v>0</v>
      </c>
      <c r="S8297" t="n">
        <v>0</v>
      </c>
      <c r="T8297" t="n">
        <v>0</v>
      </c>
      <c r="U8297" t="n">
        <v>0</v>
      </c>
      <c r="V8297" s="2" t="inlineStr"/>
    </row>
    <row r="8298" ht="15" customHeight="1">
      <c r="A8298" t="inlineStr">
        <is>
          <t>A 24433-2026</t>
        </is>
      </c>
      <c r="B8298" t="inlineStr">
        <is>
          <t>avverkningsanmälan</t>
        </is>
      </c>
      <c r="C8298" t="inlineStr">
        <is>
          <t>Föryngringsavverkning</t>
        </is>
      </c>
      <c r="D8298" s="1" t="n">
        <v>46170</v>
      </c>
      <c r="E8298" s="1" t="n">
        <v>46326</v>
      </c>
      <c r="F8298" t="inlineStr">
        <is>
          <t>GÄVLEBORGS LÄN</t>
        </is>
      </c>
      <c r="G8298" t="inlineStr">
        <is>
          <t>OVANÅKER</t>
        </is>
      </c>
      <c r="I8298" t="n">
        <v>3.5</v>
      </c>
      <c r="J8298" t="n">
        <v>0</v>
      </c>
      <c r="K8298" t="n">
        <v>0</v>
      </c>
      <c r="L8298" t="n">
        <v>0</v>
      </c>
      <c r="M8298" t="n">
        <v>0</v>
      </c>
      <c r="N8298" t="n">
        <v>0</v>
      </c>
      <c r="O8298" t="n">
        <v>0</v>
      </c>
      <c r="P8298" t="n">
        <v>0</v>
      </c>
      <c r="Q8298" t="n">
        <v>0</v>
      </c>
      <c r="R8298" t="n">
        <v>0</v>
      </c>
      <c r="S8298" t="n">
        <v>0</v>
      </c>
      <c r="T8298" t="n">
        <v>0</v>
      </c>
      <c r="U8298" t="n">
        <v>0</v>
      </c>
      <c r="V8298" s="2" t="inlineStr"/>
    </row>
    <row r="8299" ht="15" customHeight="1">
      <c r="A8299" t="inlineStr">
        <is>
          <t>A 60197-2023</t>
        </is>
      </c>
      <c r="B8299" t="inlineStr">
        <is>
          <t>avverkningsanmälan</t>
        </is>
      </c>
      <c r="C8299" t="inlineStr">
        <is>
          <t>Föryngringsavverkning</t>
        </is>
      </c>
      <c r="D8299" s="1" t="n">
        <v>45258</v>
      </c>
      <c r="E8299" s="1" t="n">
        <v>46326</v>
      </c>
      <c r="F8299" t="inlineStr">
        <is>
          <t>GÄVLEBORGS LÄN</t>
        </is>
      </c>
      <c r="G8299" t="inlineStr">
        <is>
          <t>LJUSDAL</t>
        </is>
      </c>
      <c r="I8299" t="n">
        <v>2.2</v>
      </c>
      <c r="J8299" t="n">
        <v>0</v>
      </c>
      <c r="K8299" t="n">
        <v>0</v>
      </c>
      <c r="L8299" t="n">
        <v>0</v>
      </c>
      <c r="M8299" t="n">
        <v>0</v>
      </c>
      <c r="N8299" t="n">
        <v>0</v>
      </c>
      <c r="O8299" t="n">
        <v>0</v>
      </c>
      <c r="P8299" t="n">
        <v>0</v>
      </c>
      <c r="Q8299" t="n">
        <v>0</v>
      </c>
      <c r="R8299" t="n">
        <v>0</v>
      </c>
      <c r="S8299" t="n">
        <v>0</v>
      </c>
      <c r="T8299" t="n">
        <v>0</v>
      </c>
      <c r="U8299" t="n">
        <v>0</v>
      </c>
      <c r="V8299" s="2" t="inlineStr"/>
    </row>
    <row r="8300" ht="15" customHeight="1">
      <c r="A8300" t="inlineStr">
        <is>
          <t>A 56738-2023</t>
        </is>
      </c>
      <c r="B8300" t="inlineStr">
        <is>
          <t>avverkningsanmälan</t>
        </is>
      </c>
      <c r="C8300" t="inlineStr">
        <is>
          <t>Föryngringsavverkning</t>
        </is>
      </c>
      <c r="D8300" s="1" t="n">
        <v>45244</v>
      </c>
      <c r="E8300" s="1" t="n">
        <v>46326</v>
      </c>
      <c r="F8300" t="inlineStr">
        <is>
          <t>GÄVLEBORGS LÄN</t>
        </is>
      </c>
      <c r="G8300" t="inlineStr">
        <is>
          <t>HUDIKSVALL</t>
        </is>
      </c>
      <c r="H8300" t="inlineStr">
        <is>
          <t>Holmen skog AB</t>
        </is>
      </c>
      <c r="I8300" t="n">
        <v>2.1</v>
      </c>
      <c r="J8300" t="n">
        <v>0</v>
      </c>
      <c r="K8300" t="n">
        <v>0</v>
      </c>
      <c r="L8300" t="n">
        <v>0</v>
      </c>
      <c r="M8300" t="n">
        <v>0</v>
      </c>
      <c r="N8300" t="n">
        <v>0</v>
      </c>
      <c r="O8300" t="n">
        <v>0</v>
      </c>
      <c r="P8300" t="n">
        <v>0</v>
      </c>
      <c r="Q8300" t="n">
        <v>0</v>
      </c>
      <c r="R8300" t="n">
        <v>0</v>
      </c>
      <c r="S8300" t="n">
        <v>0</v>
      </c>
      <c r="T8300" t="n">
        <v>0</v>
      </c>
      <c r="U8300" t="n">
        <v>0</v>
      </c>
      <c r="V8300" s="2" t="inlineStr"/>
    </row>
    <row r="8301" ht="15" customHeight="1">
      <c r="A8301" t="inlineStr">
        <is>
          <t>A 56755-2023</t>
        </is>
      </c>
      <c r="B8301" t="inlineStr">
        <is>
          <t>avverkningsanmälan</t>
        </is>
      </c>
      <c r="C8301" t="inlineStr">
        <is>
          <t>Föryngringsavverkning</t>
        </is>
      </c>
      <c r="D8301" s="1" t="n">
        <v>45244</v>
      </c>
      <c r="E8301" s="1" t="n">
        <v>46326</v>
      </c>
      <c r="F8301" t="inlineStr">
        <is>
          <t>GÄVLEBORGS LÄN</t>
        </is>
      </c>
      <c r="G8301" t="inlineStr">
        <is>
          <t>HUDIKSVALL</t>
        </is>
      </c>
      <c r="H8301" t="inlineStr">
        <is>
          <t>Holmen skog AB</t>
        </is>
      </c>
      <c r="I8301" t="n">
        <v>2.8</v>
      </c>
      <c r="J8301" t="n">
        <v>0</v>
      </c>
      <c r="K8301" t="n">
        <v>0</v>
      </c>
      <c r="L8301" t="n">
        <v>0</v>
      </c>
      <c r="M8301" t="n">
        <v>0</v>
      </c>
      <c r="N8301" t="n">
        <v>0</v>
      </c>
      <c r="O8301" t="n">
        <v>0</v>
      </c>
      <c r="P8301" t="n">
        <v>0</v>
      </c>
      <c r="Q8301" t="n">
        <v>0</v>
      </c>
      <c r="R8301" t="n">
        <v>0</v>
      </c>
      <c r="S8301" t="n">
        <v>0</v>
      </c>
      <c r="T8301" t="n">
        <v>0</v>
      </c>
      <c r="U8301" t="n">
        <v>0</v>
      </c>
      <c r="V8301" s="2" t="inlineStr"/>
    </row>
    <row r="8302" ht="15" customHeight="1">
      <c r="A8302" t="inlineStr">
        <is>
          <t>A 24598-2026</t>
        </is>
      </c>
      <c r="B8302" t="inlineStr">
        <is>
          <t>avverkningsanmälan</t>
        </is>
      </c>
      <c r="C8302" t="inlineStr">
        <is>
          <t>Föryngringsavverkning</t>
        </is>
      </c>
      <c r="D8302" s="1" t="n">
        <v>46170</v>
      </c>
      <c r="E8302" s="1" t="n">
        <v>46326</v>
      </c>
      <c r="F8302" t="inlineStr">
        <is>
          <t>GÄVLEBORGS LÄN</t>
        </is>
      </c>
      <c r="G8302" t="inlineStr">
        <is>
          <t>OCKELBO</t>
        </is>
      </c>
      <c r="H8302" t="inlineStr">
        <is>
          <t>Bergvik skog väst AB</t>
        </is>
      </c>
      <c r="I8302" t="n">
        <v>0.8</v>
      </c>
      <c r="J8302" t="n">
        <v>0</v>
      </c>
      <c r="K8302" t="n">
        <v>0</v>
      </c>
      <c r="L8302" t="n">
        <v>0</v>
      </c>
      <c r="M8302" t="n">
        <v>0</v>
      </c>
      <c r="N8302" t="n">
        <v>0</v>
      </c>
      <c r="O8302" t="n">
        <v>0</v>
      </c>
      <c r="P8302" t="n">
        <v>0</v>
      </c>
      <c r="Q8302" t="n">
        <v>0</v>
      </c>
      <c r="R8302" t="n">
        <v>0</v>
      </c>
      <c r="S8302" t="n">
        <v>0</v>
      </c>
      <c r="T8302" t="n">
        <v>0</v>
      </c>
      <c r="U8302" t="n">
        <v>0</v>
      </c>
      <c r="V8302" s="2" t="inlineStr"/>
    </row>
    <row r="8303" ht="15" customHeight="1">
      <c r="A8303" t="inlineStr">
        <is>
          <t>A 57976-2022</t>
        </is>
      </c>
      <c r="B8303" t="inlineStr">
        <is>
          <t>avverkningsanmälan</t>
        </is>
      </c>
      <c r="C8303" t="inlineStr">
        <is>
          <t>Föryngringsavverkning</t>
        </is>
      </c>
      <c r="D8303" s="1" t="n">
        <v>44900</v>
      </c>
      <c r="E8303" s="1" t="n">
        <v>46326</v>
      </c>
      <c r="F8303" t="inlineStr">
        <is>
          <t>GÄVLEBORGS LÄN</t>
        </is>
      </c>
      <c r="G8303" t="inlineStr">
        <is>
          <t>NORDANSTIG</t>
        </is>
      </c>
      <c r="H8303" t="inlineStr">
        <is>
          <t>Holmen skog AB</t>
        </is>
      </c>
      <c r="I8303" t="n">
        <v>1.9</v>
      </c>
      <c r="J8303" t="n">
        <v>0</v>
      </c>
      <c r="K8303" t="n">
        <v>0</v>
      </c>
      <c r="L8303" t="n">
        <v>0</v>
      </c>
      <c r="M8303" t="n">
        <v>0</v>
      </c>
      <c r="N8303" t="n">
        <v>0</v>
      </c>
      <c r="O8303" t="n">
        <v>0</v>
      </c>
      <c r="P8303" t="n">
        <v>0</v>
      </c>
      <c r="Q8303" t="n">
        <v>0</v>
      </c>
      <c r="R8303" t="n">
        <v>0</v>
      </c>
      <c r="S8303" t="n">
        <v>0</v>
      </c>
      <c r="T8303" t="n">
        <v>0</v>
      </c>
      <c r="U8303" t="n">
        <v>0</v>
      </c>
      <c r="V8303" s="2" t="inlineStr"/>
    </row>
    <row r="8304" ht="15" customHeight="1">
      <c r="A8304" t="inlineStr">
        <is>
          <t>A 57983-2022</t>
        </is>
      </c>
      <c r="B8304" t="inlineStr">
        <is>
          <t>avverkningsanmälan</t>
        </is>
      </c>
      <c r="C8304" t="inlineStr">
        <is>
          <t>Föryngringsavverkning</t>
        </is>
      </c>
      <c r="D8304" s="1" t="n">
        <v>44900</v>
      </c>
      <c r="E8304" s="1" t="n">
        <v>46326</v>
      </c>
      <c r="F8304" t="inlineStr">
        <is>
          <t>GÄVLEBORGS LÄN</t>
        </is>
      </c>
      <c r="G8304" t="inlineStr">
        <is>
          <t>NORDANSTIG</t>
        </is>
      </c>
      <c r="H8304" t="inlineStr">
        <is>
          <t>Holmen skog AB</t>
        </is>
      </c>
      <c r="I8304" t="n">
        <v>1.2</v>
      </c>
      <c r="J8304" t="n">
        <v>0</v>
      </c>
      <c r="K8304" t="n">
        <v>0</v>
      </c>
      <c r="L8304" t="n">
        <v>0</v>
      </c>
      <c r="M8304" t="n">
        <v>0</v>
      </c>
      <c r="N8304" t="n">
        <v>0</v>
      </c>
      <c r="O8304" t="n">
        <v>0</v>
      </c>
      <c r="P8304" t="n">
        <v>0</v>
      </c>
      <c r="Q8304" t="n">
        <v>0</v>
      </c>
      <c r="R8304" t="n">
        <v>0</v>
      </c>
      <c r="S8304" t="n">
        <v>0</v>
      </c>
      <c r="T8304" t="n">
        <v>0</v>
      </c>
      <c r="U8304" t="n">
        <v>0</v>
      </c>
      <c r="V8304" s="2" t="inlineStr"/>
    </row>
    <row r="8305" ht="15" customHeight="1">
      <c r="A8305" t="inlineStr">
        <is>
          <t>A 24890-2023</t>
        </is>
      </c>
      <c r="B8305" t="inlineStr">
        <is>
          <t>avverkningsanmälan</t>
        </is>
      </c>
      <c r="C8305" t="inlineStr">
        <is>
          <t>Föryngringsavverkning</t>
        </is>
      </c>
      <c r="D8305" s="1" t="n">
        <v>45085</v>
      </c>
      <c r="E8305" s="1" t="n">
        <v>46326</v>
      </c>
      <c r="F8305" t="inlineStr">
        <is>
          <t>GÄVLEBORGS LÄN</t>
        </is>
      </c>
      <c r="G8305" t="inlineStr">
        <is>
          <t>HUDIKSVALL</t>
        </is>
      </c>
      <c r="I8305" t="n">
        <v>2.5</v>
      </c>
      <c r="J8305" t="n">
        <v>0</v>
      </c>
      <c r="K8305" t="n">
        <v>0</v>
      </c>
      <c r="L8305" t="n">
        <v>0</v>
      </c>
      <c r="M8305" t="n">
        <v>0</v>
      </c>
      <c r="N8305" t="n">
        <v>0</v>
      </c>
      <c r="O8305" t="n">
        <v>0</v>
      </c>
      <c r="P8305" t="n">
        <v>0</v>
      </c>
      <c r="Q8305" t="n">
        <v>0</v>
      </c>
      <c r="R8305" t="n">
        <v>0</v>
      </c>
      <c r="S8305" t="n">
        <v>0</v>
      </c>
      <c r="T8305" t="n">
        <v>0</v>
      </c>
      <c r="U8305" t="n">
        <v>0</v>
      </c>
      <c r="V8305" s="2" t="inlineStr"/>
    </row>
    <row r="8306" ht="15" customHeight="1">
      <c r="A8306" t="inlineStr">
        <is>
          <t>A 24578-2026</t>
        </is>
      </c>
      <c r="B8306" t="inlineStr">
        <is>
          <t>avverkningsanmälan</t>
        </is>
      </c>
      <c r="C8306" t="inlineStr">
        <is>
          <t>Föryngringsavverkning</t>
        </is>
      </c>
      <c r="D8306" s="1" t="n">
        <v>46170</v>
      </c>
      <c r="E8306" s="1" t="n">
        <v>46326</v>
      </c>
      <c r="F8306" t="inlineStr">
        <is>
          <t>GÄVLEBORGS LÄN</t>
        </is>
      </c>
      <c r="G8306" t="inlineStr">
        <is>
          <t>OCKELBO</t>
        </is>
      </c>
      <c r="H8306" t="inlineStr">
        <is>
          <t>Bergvik skog väst AB</t>
        </is>
      </c>
      <c r="I8306" t="n">
        <v>1</v>
      </c>
      <c r="J8306" t="n">
        <v>0</v>
      </c>
      <c r="K8306" t="n">
        <v>0</v>
      </c>
      <c r="L8306" t="n">
        <v>0</v>
      </c>
      <c r="M8306" t="n">
        <v>0</v>
      </c>
      <c r="N8306" t="n">
        <v>0</v>
      </c>
      <c r="O8306" t="n">
        <v>0</v>
      </c>
      <c r="P8306" t="n">
        <v>0</v>
      </c>
      <c r="Q8306" t="n">
        <v>0</v>
      </c>
      <c r="R8306" t="n">
        <v>0</v>
      </c>
      <c r="S8306" t="n">
        <v>0</v>
      </c>
      <c r="T8306" t="n">
        <v>0</v>
      </c>
      <c r="U8306" t="n">
        <v>0</v>
      </c>
      <c r="V8306" s="2" t="inlineStr"/>
    </row>
    <row r="8307" ht="15" customHeight="1">
      <c r="A8307" t="inlineStr">
        <is>
          <t>A 24599-2026</t>
        </is>
      </c>
      <c r="B8307" t="inlineStr">
        <is>
          <t>avverkningsanmälan</t>
        </is>
      </c>
      <c r="C8307" t="inlineStr">
        <is>
          <t>Föryngringsavverkning</t>
        </is>
      </c>
      <c r="D8307" s="1" t="n">
        <v>46170</v>
      </c>
      <c r="E8307" s="1" t="n">
        <v>46326</v>
      </c>
      <c r="F8307" t="inlineStr">
        <is>
          <t>GÄVLEBORGS LÄN</t>
        </is>
      </c>
      <c r="G8307" t="inlineStr">
        <is>
          <t>LJUSDAL</t>
        </is>
      </c>
      <c r="I8307" t="n">
        <v>2.2</v>
      </c>
      <c r="J8307" t="n">
        <v>0</v>
      </c>
      <c r="K8307" t="n">
        <v>0</v>
      </c>
      <c r="L8307" t="n">
        <v>0</v>
      </c>
      <c r="M8307" t="n">
        <v>0</v>
      </c>
      <c r="N8307" t="n">
        <v>0</v>
      </c>
      <c r="O8307" t="n">
        <v>0</v>
      </c>
      <c r="P8307" t="n">
        <v>0</v>
      </c>
      <c r="Q8307" t="n">
        <v>0</v>
      </c>
      <c r="R8307" t="n">
        <v>0</v>
      </c>
      <c r="S8307" t="n">
        <v>0</v>
      </c>
      <c r="T8307" t="n">
        <v>0</v>
      </c>
      <c r="U8307" t="n">
        <v>0</v>
      </c>
      <c r="V8307" s="2" t="inlineStr"/>
    </row>
    <row r="8308" ht="15" customHeight="1">
      <c r="A8308" t="inlineStr">
        <is>
          <t>A 53818-2023</t>
        </is>
      </c>
      <c r="B8308" t="inlineStr">
        <is>
          <t>avverkningsanmälan</t>
        </is>
      </c>
      <c r="C8308" t="inlineStr">
        <is>
          <t>Föryngringsavverkning</t>
        </is>
      </c>
      <c r="D8308" s="1" t="n">
        <v>45231</v>
      </c>
      <c r="E8308" s="1" t="n">
        <v>46326</v>
      </c>
      <c r="F8308" t="inlineStr">
        <is>
          <t>GÄVLEBORGS LÄN</t>
        </is>
      </c>
      <c r="G8308" t="inlineStr">
        <is>
          <t>OVANÅKER</t>
        </is>
      </c>
      <c r="I8308" t="n">
        <v>0.9</v>
      </c>
      <c r="J8308" t="n">
        <v>0</v>
      </c>
      <c r="K8308" t="n">
        <v>0</v>
      </c>
      <c r="L8308" t="n">
        <v>0</v>
      </c>
      <c r="M8308" t="n">
        <v>0</v>
      </c>
      <c r="N8308" t="n">
        <v>0</v>
      </c>
      <c r="O8308" t="n">
        <v>0</v>
      </c>
      <c r="P8308" t="n">
        <v>0</v>
      </c>
      <c r="Q8308" t="n">
        <v>0</v>
      </c>
      <c r="R8308" t="n">
        <v>0</v>
      </c>
      <c r="S8308" t="n">
        <v>0</v>
      </c>
      <c r="T8308" t="n">
        <v>0</v>
      </c>
      <c r="U8308" t="n">
        <v>0</v>
      </c>
      <c r="V8308" s="2" t="inlineStr"/>
    </row>
    <row r="8309" ht="15" customHeight="1">
      <c r="A8309" t="inlineStr">
        <is>
          <t>A 24518-2026</t>
        </is>
      </c>
      <c r="B8309" t="inlineStr">
        <is>
          <t>avverkningsanmälan</t>
        </is>
      </c>
      <c r="C8309" t="inlineStr">
        <is>
          <t>Föryngringsavverkning</t>
        </is>
      </c>
      <c r="D8309" s="1" t="n">
        <v>46170</v>
      </c>
      <c r="E8309" s="1" t="n">
        <v>46326</v>
      </c>
      <c r="F8309" t="inlineStr">
        <is>
          <t>GÄVLEBORGS LÄN</t>
        </is>
      </c>
      <c r="G8309" t="inlineStr">
        <is>
          <t>NORDANSTIG</t>
        </is>
      </c>
      <c r="H8309" t="inlineStr">
        <is>
          <t>Holmen skog AB</t>
        </is>
      </c>
      <c r="I8309" t="n">
        <v>0.9</v>
      </c>
      <c r="J8309" t="n">
        <v>0</v>
      </c>
      <c r="K8309" t="n">
        <v>0</v>
      </c>
      <c r="L8309" t="n">
        <v>0</v>
      </c>
      <c r="M8309" t="n">
        <v>0</v>
      </c>
      <c r="N8309" t="n">
        <v>0</v>
      </c>
      <c r="O8309" t="n">
        <v>0</v>
      </c>
      <c r="P8309" t="n">
        <v>0</v>
      </c>
      <c r="Q8309" t="n">
        <v>0</v>
      </c>
      <c r="R8309" t="n">
        <v>0</v>
      </c>
      <c r="S8309" t="n">
        <v>0</v>
      </c>
      <c r="T8309" t="n">
        <v>0</v>
      </c>
      <c r="U8309" t="n">
        <v>0</v>
      </c>
      <c r="V8309" s="2" t="inlineStr"/>
    </row>
    <row r="8310" ht="15" customHeight="1">
      <c r="A8310" t="inlineStr">
        <is>
          <t>A 24557-2026</t>
        </is>
      </c>
      <c r="B8310" t="inlineStr">
        <is>
          <t>avverkningsanmälan</t>
        </is>
      </c>
      <c r="C8310" t="inlineStr">
        <is>
          <t>Föryngringsavverkning</t>
        </is>
      </c>
      <c r="D8310" s="1" t="n">
        <v>46170</v>
      </c>
      <c r="E8310" s="1" t="n">
        <v>46326</v>
      </c>
      <c r="F8310" t="inlineStr">
        <is>
          <t>GÄVLEBORGS LÄN</t>
        </is>
      </c>
      <c r="G8310" t="inlineStr">
        <is>
          <t>BOLLNÄS</t>
        </is>
      </c>
      <c r="I8310" t="n">
        <v>5</v>
      </c>
      <c r="J8310" t="n">
        <v>0</v>
      </c>
      <c r="K8310" t="n">
        <v>0</v>
      </c>
      <c r="L8310" t="n">
        <v>0</v>
      </c>
      <c r="M8310" t="n">
        <v>0</v>
      </c>
      <c r="N8310" t="n">
        <v>0</v>
      </c>
      <c r="O8310" t="n">
        <v>0</v>
      </c>
      <c r="P8310" t="n">
        <v>0</v>
      </c>
      <c r="Q8310" t="n">
        <v>0</v>
      </c>
      <c r="R8310" t="n">
        <v>0</v>
      </c>
      <c r="S8310" t="n">
        <v>0</v>
      </c>
      <c r="T8310" t="n">
        <v>0</v>
      </c>
      <c r="U8310" t="n">
        <v>0</v>
      </c>
      <c r="V8310" s="2" t="inlineStr"/>
    </row>
    <row r="8311" ht="15" customHeight="1">
      <c r="A8311" t="inlineStr">
        <is>
          <t>A 24456-2026</t>
        </is>
      </c>
      <c r="B8311" t="inlineStr">
        <is>
          <t>avverkningsanmälan</t>
        </is>
      </c>
      <c r="C8311" t="inlineStr">
        <is>
          <t>Föryngringsavverkning</t>
        </is>
      </c>
      <c r="D8311" s="1" t="n">
        <v>46170</v>
      </c>
      <c r="E8311" s="1" t="n">
        <v>46326</v>
      </c>
      <c r="F8311" t="inlineStr">
        <is>
          <t>GÄVLEBORGS LÄN</t>
        </is>
      </c>
      <c r="G8311" t="inlineStr">
        <is>
          <t>GÄVLE</t>
        </is>
      </c>
      <c r="I8311" t="n">
        <v>2.7</v>
      </c>
      <c r="J8311" t="n">
        <v>0</v>
      </c>
      <c r="K8311" t="n">
        <v>0</v>
      </c>
      <c r="L8311" t="n">
        <v>0</v>
      </c>
      <c r="M8311" t="n">
        <v>0</v>
      </c>
      <c r="N8311" t="n">
        <v>0</v>
      </c>
      <c r="O8311" t="n">
        <v>0</v>
      </c>
      <c r="P8311" t="n">
        <v>0</v>
      </c>
      <c r="Q8311" t="n">
        <v>0</v>
      </c>
      <c r="R8311" t="n">
        <v>0</v>
      </c>
      <c r="S8311" t="n">
        <v>0</v>
      </c>
      <c r="T8311" t="n">
        <v>0</v>
      </c>
      <c r="U8311" t="n">
        <v>0</v>
      </c>
      <c r="V8311" s="2" t="inlineStr"/>
    </row>
    <row r="8312" ht="15" customHeight="1">
      <c r="A8312" t="inlineStr">
        <is>
          <t>A 55811-2023</t>
        </is>
      </c>
      <c r="B8312" t="inlineStr">
        <is>
          <t>avverkningsanmälan</t>
        </is>
      </c>
      <c r="C8312" t="inlineStr">
        <is>
          <t>Föryngringsavverkning</t>
        </is>
      </c>
      <c r="D8312" s="1" t="n">
        <v>45239</v>
      </c>
      <c r="E8312" s="1" t="n">
        <v>46326</v>
      </c>
      <c r="F8312" t="inlineStr">
        <is>
          <t>GÄVLEBORGS LÄN</t>
        </is>
      </c>
      <c r="G8312" t="inlineStr">
        <is>
          <t>OVANÅKER</t>
        </is>
      </c>
      <c r="I8312" t="n">
        <v>2.1</v>
      </c>
      <c r="J8312" t="n">
        <v>0</v>
      </c>
      <c r="K8312" t="n">
        <v>0</v>
      </c>
      <c r="L8312" t="n">
        <v>0</v>
      </c>
      <c r="M8312" t="n">
        <v>0</v>
      </c>
      <c r="N8312" t="n">
        <v>0</v>
      </c>
      <c r="O8312" t="n">
        <v>0</v>
      </c>
      <c r="P8312" t="n">
        <v>0</v>
      </c>
      <c r="Q8312" t="n">
        <v>0</v>
      </c>
      <c r="R8312" t="n">
        <v>0</v>
      </c>
      <c r="S8312" t="n">
        <v>0</v>
      </c>
      <c r="T8312" t="n">
        <v>0</v>
      </c>
      <c r="U8312" t="n">
        <v>0</v>
      </c>
      <c r="V8312" s="2" t="inlineStr"/>
    </row>
    <row r="8313" ht="15" customHeight="1">
      <c r="A8313" t="inlineStr">
        <is>
          <t>A 21187-2022</t>
        </is>
      </c>
      <c r="B8313" t="inlineStr">
        <is>
          <t>avverkningsanmälan</t>
        </is>
      </c>
      <c r="C8313" t="inlineStr">
        <is>
          <t>Föryngringsavverkning</t>
        </is>
      </c>
      <c r="D8313" s="1" t="n">
        <v>44704</v>
      </c>
      <c r="E8313" s="1" t="n">
        <v>46326</v>
      </c>
      <c r="F8313" t="inlineStr">
        <is>
          <t>GÄVLEBORGS LÄN</t>
        </is>
      </c>
      <c r="G8313" t="inlineStr">
        <is>
          <t>NORDANSTIG</t>
        </is>
      </c>
      <c r="I8313" t="n">
        <v>1</v>
      </c>
      <c r="J8313" t="n">
        <v>0</v>
      </c>
      <c r="K8313" t="n">
        <v>0</v>
      </c>
      <c r="L8313" t="n">
        <v>0</v>
      </c>
      <c r="M8313" t="n">
        <v>0</v>
      </c>
      <c r="N8313" t="n">
        <v>0</v>
      </c>
      <c r="O8313" t="n">
        <v>0</v>
      </c>
      <c r="P8313" t="n">
        <v>0</v>
      </c>
      <c r="Q8313" t="n">
        <v>0</v>
      </c>
      <c r="R8313" t="n">
        <v>0</v>
      </c>
      <c r="S8313" t="n">
        <v>0</v>
      </c>
      <c r="T8313" t="n">
        <v>0</v>
      </c>
      <c r="U8313" t="n">
        <v>0</v>
      </c>
      <c r="V8313" s="2" t="inlineStr"/>
    </row>
    <row r="8314" ht="15" customHeight="1">
      <c r="A8314" t="inlineStr">
        <is>
          <t>A 24500-2026</t>
        </is>
      </c>
      <c r="B8314" t="inlineStr">
        <is>
          <t>avverkningsanmälan</t>
        </is>
      </c>
      <c r="C8314" t="inlineStr">
        <is>
          <t>Föryngringsavverkning</t>
        </is>
      </c>
      <c r="D8314" s="1" t="n">
        <v>46170</v>
      </c>
      <c r="E8314" s="1" t="n">
        <v>46326</v>
      </c>
      <c r="F8314" t="inlineStr">
        <is>
          <t>GÄVLEBORGS LÄN</t>
        </is>
      </c>
      <c r="G8314" t="inlineStr">
        <is>
          <t>NORDANSTIG</t>
        </is>
      </c>
      <c r="I8314" t="n">
        <v>3.3</v>
      </c>
      <c r="J8314" t="n">
        <v>0</v>
      </c>
      <c r="K8314" t="n">
        <v>0</v>
      </c>
      <c r="L8314" t="n">
        <v>0</v>
      </c>
      <c r="M8314" t="n">
        <v>0</v>
      </c>
      <c r="N8314" t="n">
        <v>0</v>
      </c>
      <c r="O8314" t="n">
        <v>0</v>
      </c>
      <c r="P8314" t="n">
        <v>0</v>
      </c>
      <c r="Q8314" t="n">
        <v>0</v>
      </c>
      <c r="R8314" t="n">
        <v>0</v>
      </c>
      <c r="S8314" t="n">
        <v>0</v>
      </c>
      <c r="T8314" t="n">
        <v>0</v>
      </c>
      <c r="U8314" t="n">
        <v>0</v>
      </c>
      <c r="V8314" s="2" t="inlineStr"/>
    </row>
    <row r="8315" ht="15" customHeight="1">
      <c r="A8315" t="inlineStr">
        <is>
          <t>A 24521-2026</t>
        </is>
      </c>
      <c r="B8315" t="inlineStr">
        <is>
          <t>avverkningsanmälan</t>
        </is>
      </c>
      <c r="C8315" t="inlineStr">
        <is>
          <t>Föryngringsavverkning</t>
        </is>
      </c>
      <c r="D8315" s="1" t="n">
        <v>46170</v>
      </c>
      <c r="E8315" s="1" t="n">
        <v>46326</v>
      </c>
      <c r="F8315" t="inlineStr">
        <is>
          <t>GÄVLEBORGS LÄN</t>
        </is>
      </c>
      <c r="G8315" t="inlineStr">
        <is>
          <t>OCKELBO</t>
        </is>
      </c>
      <c r="H8315" t="inlineStr">
        <is>
          <t>Bergvik skog väst AB</t>
        </is>
      </c>
      <c r="I8315" t="n">
        <v>2.1</v>
      </c>
      <c r="J8315" t="n">
        <v>0</v>
      </c>
      <c r="K8315" t="n">
        <v>0</v>
      </c>
      <c r="L8315" t="n">
        <v>0</v>
      </c>
      <c r="M8315" t="n">
        <v>0</v>
      </c>
      <c r="N8315" t="n">
        <v>0</v>
      </c>
      <c r="O8315" t="n">
        <v>0</v>
      </c>
      <c r="P8315" t="n">
        <v>0</v>
      </c>
      <c r="Q8315" t="n">
        <v>0</v>
      </c>
      <c r="R8315" t="n">
        <v>0</v>
      </c>
      <c r="S8315" t="n">
        <v>0</v>
      </c>
      <c r="T8315" t="n">
        <v>0</v>
      </c>
      <c r="U8315" t="n">
        <v>0</v>
      </c>
      <c r="V8315" s="2" t="inlineStr"/>
    </row>
    <row r="8316" ht="15" customHeight="1">
      <c r="A8316" t="inlineStr">
        <is>
          <t>A 25829-2024</t>
        </is>
      </c>
      <c r="B8316" t="inlineStr">
        <is>
          <t>avverkningsanmälan</t>
        </is>
      </c>
      <c r="C8316" t="inlineStr">
        <is>
          <t>Föryngringsavverkning</t>
        </is>
      </c>
      <c r="D8316" s="1" t="n">
        <v>45467</v>
      </c>
      <c r="E8316" s="1" t="n">
        <v>46326</v>
      </c>
      <c r="F8316" t="inlineStr">
        <is>
          <t>GÄVLEBORGS LÄN</t>
        </is>
      </c>
      <c r="G8316" t="inlineStr">
        <is>
          <t>GÄVLE</t>
        </is>
      </c>
      <c r="H8316" t="inlineStr">
        <is>
          <t>Bergvik skog öst AB</t>
        </is>
      </c>
      <c r="I8316" t="n">
        <v>0.6</v>
      </c>
      <c r="J8316" t="n">
        <v>0</v>
      </c>
      <c r="K8316" t="n">
        <v>0</v>
      </c>
      <c r="L8316" t="n">
        <v>0</v>
      </c>
      <c r="M8316" t="n">
        <v>0</v>
      </c>
      <c r="N8316" t="n">
        <v>0</v>
      </c>
      <c r="O8316" t="n">
        <v>0</v>
      </c>
      <c r="P8316" t="n">
        <v>0</v>
      </c>
      <c r="Q8316" t="n">
        <v>0</v>
      </c>
      <c r="R8316" t="n">
        <v>0</v>
      </c>
      <c r="S8316" t="n">
        <v>0</v>
      </c>
      <c r="T8316" t="n">
        <v>0</v>
      </c>
      <c r="U8316" t="n">
        <v>0</v>
      </c>
      <c r="V8316" s="2" t="inlineStr"/>
    </row>
    <row r="8317" ht="15" customHeight="1">
      <c r="A8317" t="inlineStr">
        <is>
          <t>A 11778-2024</t>
        </is>
      </c>
      <c r="B8317" t="inlineStr">
        <is>
          <t>avverkningsanmälan</t>
        </is>
      </c>
      <c r="C8317" t="inlineStr">
        <is>
          <t>Föryngringsavverkning</t>
        </is>
      </c>
      <c r="D8317" s="1" t="n">
        <v>45374</v>
      </c>
      <c r="E8317" s="1" t="n">
        <v>46326</v>
      </c>
      <c r="F8317" t="inlineStr">
        <is>
          <t>GÄVLEBORGS LÄN</t>
        </is>
      </c>
      <c r="G8317" t="inlineStr">
        <is>
          <t>SANDVIKEN</t>
        </is>
      </c>
      <c r="I8317" t="n">
        <v>0.5</v>
      </c>
      <c r="J8317" t="n">
        <v>0</v>
      </c>
      <c r="K8317" t="n">
        <v>0</v>
      </c>
      <c r="L8317" t="n">
        <v>0</v>
      </c>
      <c r="M8317" t="n">
        <v>0</v>
      </c>
      <c r="N8317" t="n">
        <v>0</v>
      </c>
      <c r="O8317" t="n">
        <v>0</v>
      </c>
      <c r="P8317" t="n">
        <v>0</v>
      </c>
      <c r="Q8317" t="n">
        <v>0</v>
      </c>
      <c r="R8317" t="n">
        <v>0</v>
      </c>
      <c r="S8317" t="n">
        <v>0</v>
      </c>
      <c r="T8317" t="n">
        <v>0</v>
      </c>
      <c r="U8317" t="n">
        <v>0</v>
      </c>
      <c r="V8317" s="2" t="inlineStr"/>
    </row>
    <row r="8318" ht="15" customHeight="1">
      <c r="A8318" t="inlineStr">
        <is>
          <t>A 39440-2024</t>
        </is>
      </c>
      <c r="B8318" t="inlineStr">
        <is>
          <t>avverkningsanmälan</t>
        </is>
      </c>
      <c r="C8318" t="inlineStr">
        <is>
          <t>Föryngringsavverkning</t>
        </is>
      </c>
      <c r="D8318" s="1" t="n">
        <v>45551</v>
      </c>
      <c r="E8318" s="1" t="n">
        <v>46326</v>
      </c>
      <c r="F8318" t="inlineStr">
        <is>
          <t>GÄVLEBORGS LÄN</t>
        </is>
      </c>
      <c r="G8318" t="inlineStr">
        <is>
          <t>HUDIKSVALL</t>
        </is>
      </c>
      <c r="H8318" t="inlineStr">
        <is>
          <t>Holmen skog AB</t>
        </is>
      </c>
      <c r="I8318" t="n">
        <v>3.5</v>
      </c>
      <c r="J8318" t="n">
        <v>0</v>
      </c>
      <c r="K8318" t="n">
        <v>0</v>
      </c>
      <c r="L8318" t="n">
        <v>0</v>
      </c>
      <c r="M8318" t="n">
        <v>0</v>
      </c>
      <c r="N8318" t="n">
        <v>0</v>
      </c>
      <c r="O8318" t="n">
        <v>0</v>
      </c>
      <c r="P8318" t="n">
        <v>0</v>
      </c>
      <c r="Q8318" t="n">
        <v>0</v>
      </c>
      <c r="R8318" t="n">
        <v>0</v>
      </c>
      <c r="S8318" t="n">
        <v>0</v>
      </c>
      <c r="T8318" t="n">
        <v>0</v>
      </c>
      <c r="U8318" t="n">
        <v>0</v>
      </c>
      <c r="V8318" s="2" t="inlineStr"/>
    </row>
    <row r="8319" ht="15" customHeight="1">
      <c r="A8319" t="inlineStr">
        <is>
          <t>A 51806-2024</t>
        </is>
      </c>
      <c r="B8319" t="inlineStr">
        <is>
          <t>avverkningsanmälan</t>
        </is>
      </c>
      <c r="C8319" t="inlineStr">
        <is>
          <t>Föryngringsavverkning</t>
        </is>
      </c>
      <c r="D8319" s="1" t="n">
        <v>45607</v>
      </c>
      <c r="E8319" s="1" t="n">
        <v>46326</v>
      </c>
      <c r="F8319" t="inlineStr">
        <is>
          <t>GÄVLEBORGS LÄN</t>
        </is>
      </c>
      <c r="G8319" t="inlineStr">
        <is>
          <t>NORDANSTIG</t>
        </is>
      </c>
      <c r="H8319" t="inlineStr">
        <is>
          <t>Holmen skog AB</t>
        </is>
      </c>
      <c r="I8319" t="n">
        <v>10</v>
      </c>
      <c r="J8319" t="n">
        <v>0</v>
      </c>
      <c r="K8319" t="n">
        <v>0</v>
      </c>
      <c r="L8319" t="n">
        <v>0</v>
      </c>
      <c r="M8319" t="n">
        <v>0</v>
      </c>
      <c r="N8319" t="n">
        <v>0</v>
      </c>
      <c r="O8319" t="n">
        <v>0</v>
      </c>
      <c r="P8319" t="n">
        <v>0</v>
      </c>
      <c r="Q8319" t="n">
        <v>0</v>
      </c>
      <c r="R8319" t="n">
        <v>0</v>
      </c>
      <c r="S8319" t="n">
        <v>0</v>
      </c>
      <c r="T8319" t="n">
        <v>0</v>
      </c>
      <c r="U8319" t="n">
        <v>0</v>
      </c>
      <c r="V8319" s="2" t="inlineStr"/>
    </row>
    <row r="8320" ht="15" customHeight="1">
      <c r="A8320" t="inlineStr">
        <is>
          <t>A 24517-2026</t>
        </is>
      </c>
      <c r="B8320" t="inlineStr">
        <is>
          <t>avverkningsanmälan</t>
        </is>
      </c>
      <c r="C8320" t="inlineStr">
        <is>
          <t>Föryngringsavverkning</t>
        </is>
      </c>
      <c r="D8320" s="1" t="n">
        <v>46170</v>
      </c>
      <c r="E8320" s="1" t="n">
        <v>46326</v>
      </c>
      <c r="F8320" t="inlineStr">
        <is>
          <t>GÄVLEBORGS LÄN</t>
        </is>
      </c>
      <c r="G8320" t="inlineStr">
        <is>
          <t>OVANÅKER</t>
        </is>
      </c>
      <c r="I8320" t="n">
        <v>0.9</v>
      </c>
      <c r="J8320" t="n">
        <v>0</v>
      </c>
      <c r="K8320" t="n">
        <v>0</v>
      </c>
      <c r="L8320" t="n">
        <v>0</v>
      </c>
      <c r="M8320" t="n">
        <v>0</v>
      </c>
      <c r="N8320" t="n">
        <v>0</v>
      </c>
      <c r="O8320" t="n">
        <v>0</v>
      </c>
      <c r="P8320" t="n">
        <v>0</v>
      </c>
      <c r="Q8320" t="n">
        <v>0</v>
      </c>
      <c r="R8320" t="n">
        <v>0</v>
      </c>
      <c r="S8320" t="n">
        <v>0</v>
      </c>
      <c r="T8320" t="n">
        <v>0</v>
      </c>
      <c r="U8320" t="n">
        <v>0</v>
      </c>
      <c r="V8320" s="2" t="inlineStr"/>
    </row>
    <row r="8321" ht="15" customHeight="1">
      <c r="A8321" t="inlineStr">
        <is>
          <t>A 51821-2024</t>
        </is>
      </c>
      <c r="B8321" t="inlineStr">
        <is>
          <t>avverkningsanmälan</t>
        </is>
      </c>
      <c r="C8321" t="inlineStr">
        <is>
          <t>Föryngringsavverkning</t>
        </is>
      </c>
      <c r="D8321" s="1" t="n">
        <v>45607</v>
      </c>
      <c r="E8321" s="1" t="n">
        <v>46326</v>
      </c>
      <c r="F8321" t="inlineStr">
        <is>
          <t>GÄVLEBORGS LÄN</t>
        </is>
      </c>
      <c r="G8321" t="inlineStr">
        <is>
          <t>NORDANSTIG</t>
        </is>
      </c>
      <c r="H8321" t="inlineStr">
        <is>
          <t>Holmen skog AB</t>
        </is>
      </c>
      <c r="I8321" t="n">
        <v>5.7</v>
      </c>
      <c r="J8321" t="n">
        <v>0</v>
      </c>
      <c r="K8321" t="n">
        <v>0</v>
      </c>
      <c r="L8321" t="n">
        <v>0</v>
      </c>
      <c r="M8321" t="n">
        <v>0</v>
      </c>
      <c r="N8321" t="n">
        <v>0</v>
      </c>
      <c r="O8321" t="n">
        <v>0</v>
      </c>
      <c r="P8321" t="n">
        <v>0</v>
      </c>
      <c r="Q8321" t="n">
        <v>0</v>
      </c>
      <c r="R8321" t="n">
        <v>0</v>
      </c>
      <c r="S8321" t="n">
        <v>0</v>
      </c>
      <c r="T8321" t="n">
        <v>0</v>
      </c>
      <c r="U8321" t="n">
        <v>0</v>
      </c>
      <c r="V8321" s="2" t="inlineStr"/>
    </row>
    <row r="8322" ht="15" customHeight="1">
      <c r="A8322" t="inlineStr">
        <is>
          <t>A 7235-2025</t>
        </is>
      </c>
      <c r="B8322" t="inlineStr">
        <is>
          <t>avverkningsanmälan</t>
        </is>
      </c>
      <c r="C8322" t="inlineStr">
        <is>
          <t>Föryngringsavverkning</t>
        </is>
      </c>
      <c r="D8322" s="1" t="n">
        <v>45702</v>
      </c>
      <c r="E8322" s="1" t="n">
        <v>46326</v>
      </c>
      <c r="F8322" t="inlineStr">
        <is>
          <t>GÄVLEBORGS LÄN</t>
        </is>
      </c>
      <c r="G8322" t="inlineStr">
        <is>
          <t>GÄVLE</t>
        </is>
      </c>
      <c r="I8322" t="n">
        <v>3.3</v>
      </c>
      <c r="J8322" t="n">
        <v>0</v>
      </c>
      <c r="K8322" t="n">
        <v>0</v>
      </c>
      <c r="L8322" t="n">
        <v>0</v>
      </c>
      <c r="M8322" t="n">
        <v>0</v>
      </c>
      <c r="N8322" t="n">
        <v>0</v>
      </c>
      <c r="O8322" t="n">
        <v>0</v>
      </c>
      <c r="P8322" t="n">
        <v>0</v>
      </c>
      <c r="Q8322" t="n">
        <v>0</v>
      </c>
      <c r="R8322" t="n">
        <v>0</v>
      </c>
      <c r="S8322" t="n">
        <v>0</v>
      </c>
      <c r="T8322" t="n">
        <v>0</v>
      </c>
      <c r="U8322" t="n">
        <v>0</v>
      </c>
      <c r="V8322" s="2" t="inlineStr"/>
    </row>
    <row r="8323" ht="15" customHeight="1">
      <c r="A8323" t="inlineStr">
        <is>
          <t>A 16423-2026</t>
        </is>
      </c>
      <c r="B8323" t="inlineStr">
        <is>
          <t>avverkningsanmälan</t>
        </is>
      </c>
      <c r="C8323" t="inlineStr">
        <is>
          <t>Föryngringsavverkning</t>
        </is>
      </c>
      <c r="D8323" s="1" t="n">
        <v>46111</v>
      </c>
      <c r="E8323" s="1" t="n">
        <v>46326</v>
      </c>
      <c r="F8323" t="inlineStr">
        <is>
          <t>GÄVLEBORGS LÄN</t>
        </is>
      </c>
      <c r="G8323" t="inlineStr">
        <is>
          <t>BOLLNÄS</t>
        </is>
      </c>
      <c r="H8323" t="inlineStr">
        <is>
          <t>Bergvik skog öst AB</t>
        </is>
      </c>
      <c r="I8323" t="n">
        <v>4.7</v>
      </c>
      <c r="J8323" t="n">
        <v>0</v>
      </c>
      <c r="K8323" t="n">
        <v>0</v>
      </c>
      <c r="L8323" t="n">
        <v>0</v>
      </c>
      <c r="M8323" t="n">
        <v>0</v>
      </c>
      <c r="N8323" t="n">
        <v>0</v>
      </c>
      <c r="O8323" t="n">
        <v>0</v>
      </c>
      <c r="P8323" t="n">
        <v>0</v>
      </c>
      <c r="Q8323" t="n">
        <v>0</v>
      </c>
      <c r="R8323" t="n">
        <v>0</v>
      </c>
      <c r="S8323" t="n">
        <v>0</v>
      </c>
      <c r="T8323" t="n">
        <v>0</v>
      </c>
      <c r="U8323" t="n">
        <v>0</v>
      </c>
      <c r="V8323" s="2" t="inlineStr"/>
    </row>
    <row r="8324" ht="15" customHeight="1">
      <c r="A8324" t="inlineStr">
        <is>
          <t>A 47710-2022</t>
        </is>
      </c>
      <c r="B8324" t="inlineStr">
        <is>
          <t>avverkningsanmälan</t>
        </is>
      </c>
      <c r="C8324" t="inlineStr">
        <is>
          <t>Föryngringsavverkning</t>
        </is>
      </c>
      <c r="D8324" s="1" t="n">
        <v>44854</v>
      </c>
      <c r="E8324" s="1" t="n">
        <v>46326</v>
      </c>
      <c r="F8324" t="inlineStr">
        <is>
          <t>GÄVLEBORGS LÄN</t>
        </is>
      </c>
      <c r="G8324" t="inlineStr">
        <is>
          <t>SANDVIKEN</t>
        </is>
      </c>
      <c r="I8324" t="n">
        <v>1.6</v>
      </c>
      <c r="J8324" t="n">
        <v>0</v>
      </c>
      <c r="K8324" t="n">
        <v>0</v>
      </c>
      <c r="L8324" t="n">
        <v>0</v>
      </c>
      <c r="M8324" t="n">
        <v>0</v>
      </c>
      <c r="N8324" t="n">
        <v>0</v>
      </c>
      <c r="O8324" t="n">
        <v>0</v>
      </c>
      <c r="P8324" t="n">
        <v>0</v>
      </c>
      <c r="Q8324" t="n">
        <v>0</v>
      </c>
      <c r="R8324" t="n">
        <v>0</v>
      </c>
      <c r="S8324" t="n">
        <v>0</v>
      </c>
      <c r="T8324" t="n">
        <v>0</v>
      </c>
      <c r="U8324" t="n">
        <v>0</v>
      </c>
      <c r="V8324" s="2" t="inlineStr"/>
    </row>
    <row r="8325" ht="15" customHeight="1">
      <c r="A8325" t="inlineStr">
        <is>
          <t>A 41521-2024</t>
        </is>
      </c>
      <c r="B8325" t="inlineStr">
        <is>
          <t>avverkningsanmälan</t>
        </is>
      </c>
      <c r="C8325" t="inlineStr">
        <is>
          <t>Föryngringsavverkning</t>
        </is>
      </c>
      <c r="D8325" s="1" t="n">
        <v>45560</v>
      </c>
      <c r="E8325" s="1" t="n">
        <v>46326</v>
      </c>
      <c r="F8325" t="inlineStr">
        <is>
          <t>GÄVLEBORGS LÄN</t>
        </is>
      </c>
      <c r="G8325" t="inlineStr">
        <is>
          <t>HUDIKSVALL</t>
        </is>
      </c>
      <c r="H8325" t="inlineStr">
        <is>
          <t>Holmen skog AB</t>
        </is>
      </c>
      <c r="I8325" t="n">
        <v>0.4</v>
      </c>
      <c r="J8325" t="n">
        <v>0</v>
      </c>
      <c r="K8325" t="n">
        <v>0</v>
      </c>
      <c r="L8325" t="n">
        <v>0</v>
      </c>
      <c r="M8325" t="n">
        <v>0</v>
      </c>
      <c r="N8325" t="n">
        <v>0</v>
      </c>
      <c r="O8325" t="n">
        <v>0</v>
      </c>
      <c r="P8325" t="n">
        <v>0</v>
      </c>
      <c r="Q8325" t="n">
        <v>0</v>
      </c>
      <c r="R8325" t="n">
        <v>0</v>
      </c>
      <c r="S8325" t="n">
        <v>0</v>
      </c>
      <c r="T8325" t="n">
        <v>0</v>
      </c>
      <c r="U8325" t="n">
        <v>0</v>
      </c>
      <c r="V8325" s="2" t="inlineStr"/>
    </row>
    <row r="8326" ht="15" customHeight="1">
      <c r="A8326" t="inlineStr">
        <is>
          <t>A 54156-2024</t>
        </is>
      </c>
      <c r="B8326" t="inlineStr">
        <is>
          <t>avverkningsanmälan</t>
        </is>
      </c>
      <c r="C8326" t="inlineStr">
        <is>
          <t>Föryngringsavverkning</t>
        </is>
      </c>
      <c r="D8326" s="1" t="n">
        <v>45616</v>
      </c>
      <c r="E8326" s="1" t="n">
        <v>46326</v>
      </c>
      <c r="F8326" t="inlineStr">
        <is>
          <t>GÄVLEBORGS LÄN</t>
        </is>
      </c>
      <c r="G8326" t="inlineStr">
        <is>
          <t>NORDANSTIG</t>
        </is>
      </c>
      <c r="I8326" t="n">
        <v>0.7</v>
      </c>
      <c r="J8326" t="n">
        <v>0</v>
      </c>
      <c r="K8326" t="n">
        <v>0</v>
      </c>
      <c r="L8326" t="n">
        <v>0</v>
      </c>
      <c r="M8326" t="n">
        <v>0</v>
      </c>
      <c r="N8326" t="n">
        <v>0</v>
      </c>
      <c r="O8326" t="n">
        <v>0</v>
      </c>
      <c r="P8326" t="n">
        <v>0</v>
      </c>
      <c r="Q8326" t="n">
        <v>0</v>
      </c>
      <c r="R8326" t="n">
        <v>0</v>
      </c>
      <c r="S8326" t="n">
        <v>0</v>
      </c>
      <c r="T8326" t="n">
        <v>0</v>
      </c>
      <c r="U8326" t="n">
        <v>0</v>
      </c>
      <c r="V8326" s="2" t="inlineStr"/>
    </row>
    <row r="8327" ht="15" customHeight="1">
      <c r="A8327" t="inlineStr">
        <is>
          <t>A 24650-2026</t>
        </is>
      </c>
      <c r="B8327" t="inlineStr">
        <is>
          <t>avverkningsanmälan</t>
        </is>
      </c>
      <c r="C8327" t="inlineStr">
        <is>
          <t>Föryngringsavverkning</t>
        </is>
      </c>
      <c r="D8327" s="1" t="n">
        <v>46171</v>
      </c>
      <c r="E8327" s="1" t="n">
        <v>46326</v>
      </c>
      <c r="F8327" t="inlineStr">
        <is>
          <t>GÄVLEBORGS LÄN</t>
        </is>
      </c>
      <c r="G8327" t="inlineStr">
        <is>
          <t>SANDVIKEN</t>
        </is>
      </c>
      <c r="I8327" t="n">
        <v>6.1</v>
      </c>
      <c r="J8327" t="n">
        <v>0</v>
      </c>
      <c r="K8327" t="n">
        <v>0</v>
      </c>
      <c r="L8327" t="n">
        <v>0</v>
      </c>
      <c r="M8327" t="n">
        <v>0</v>
      </c>
      <c r="N8327" t="n">
        <v>0</v>
      </c>
      <c r="O8327" t="n">
        <v>0</v>
      </c>
      <c r="P8327" t="n">
        <v>0</v>
      </c>
      <c r="Q8327" t="n">
        <v>0</v>
      </c>
      <c r="R8327" t="n">
        <v>0</v>
      </c>
      <c r="S8327" t="n">
        <v>0</v>
      </c>
      <c r="T8327" t="n">
        <v>0</v>
      </c>
      <c r="U8327" t="n">
        <v>0</v>
      </c>
      <c r="V8327" s="2" t="inlineStr"/>
    </row>
    <row r="8328" ht="15" customHeight="1">
      <c r="A8328" t="inlineStr">
        <is>
          <t>A 47359-2024</t>
        </is>
      </c>
      <c r="B8328" t="inlineStr">
        <is>
          <t>avverkningsanmälan</t>
        </is>
      </c>
      <c r="C8328" t="inlineStr">
        <is>
          <t>Föryngringsavverkning</t>
        </is>
      </c>
      <c r="D8328" s="1" t="n">
        <v>45587</v>
      </c>
      <c r="E8328" s="1" t="n">
        <v>46326</v>
      </c>
      <c r="F8328" t="inlineStr">
        <is>
          <t>GÄVLEBORGS LÄN</t>
        </is>
      </c>
      <c r="G8328" t="inlineStr">
        <is>
          <t>HOFORS</t>
        </is>
      </c>
      <c r="I8328" t="n">
        <v>1.2</v>
      </c>
      <c r="J8328" t="n">
        <v>0</v>
      </c>
      <c r="K8328" t="n">
        <v>0</v>
      </c>
      <c r="L8328" t="n">
        <v>0</v>
      </c>
      <c r="M8328" t="n">
        <v>0</v>
      </c>
      <c r="N8328" t="n">
        <v>0</v>
      </c>
      <c r="O8328" t="n">
        <v>0</v>
      </c>
      <c r="P8328" t="n">
        <v>0</v>
      </c>
      <c r="Q8328" t="n">
        <v>0</v>
      </c>
      <c r="R8328" t="n">
        <v>0</v>
      </c>
      <c r="S8328" t="n">
        <v>0</v>
      </c>
      <c r="T8328" t="n">
        <v>0</v>
      </c>
      <c r="U8328" t="n">
        <v>0</v>
      </c>
      <c r="V8328" s="2" t="inlineStr"/>
    </row>
    <row r="8329" ht="15" customHeight="1">
      <c r="A8329" t="inlineStr">
        <is>
          <t>A 24810-2026</t>
        </is>
      </c>
      <c r="B8329" t="inlineStr">
        <is>
          <t>avverkningsanmälan</t>
        </is>
      </c>
      <c r="C8329" t="inlineStr">
        <is>
          <t>Föryngringsavverkning</t>
        </is>
      </c>
      <c r="D8329" s="1" t="n">
        <v>46173</v>
      </c>
      <c r="E8329" s="1" t="n">
        <v>46326</v>
      </c>
      <c r="F8329" t="inlineStr">
        <is>
          <t>GÄVLEBORGS LÄN</t>
        </is>
      </c>
      <c r="G8329" t="inlineStr">
        <is>
          <t>GÄVLE</t>
        </is>
      </c>
      <c r="I8329" t="n">
        <v>2.6</v>
      </c>
      <c r="J8329" t="n">
        <v>0</v>
      </c>
      <c r="K8329" t="n">
        <v>0</v>
      </c>
      <c r="L8329" t="n">
        <v>0</v>
      </c>
      <c r="M8329" t="n">
        <v>0</v>
      </c>
      <c r="N8329" t="n">
        <v>0</v>
      </c>
      <c r="O8329" t="n">
        <v>0</v>
      </c>
      <c r="P8329" t="n">
        <v>0</v>
      </c>
      <c r="Q8329" t="n">
        <v>0</v>
      </c>
      <c r="R8329" t="n">
        <v>0</v>
      </c>
      <c r="S8329" t="n">
        <v>0</v>
      </c>
      <c r="T8329" t="n">
        <v>0</v>
      </c>
      <c r="U8329" t="n">
        <v>0</v>
      </c>
      <c r="V8329" s="2" t="inlineStr"/>
    </row>
    <row r="8330" ht="15" customHeight="1">
      <c r="A8330" t="inlineStr">
        <is>
          <t>A 8667-2024</t>
        </is>
      </c>
      <c r="B8330" t="inlineStr">
        <is>
          <t>avverkningsanmälan</t>
        </is>
      </c>
      <c r="C8330" t="inlineStr">
        <is>
          <t>Föryngringsavverkning</t>
        </is>
      </c>
      <c r="D8330" s="1" t="n">
        <v>45356</v>
      </c>
      <c r="E8330" s="1" t="n">
        <v>46326</v>
      </c>
      <c r="F8330" t="inlineStr">
        <is>
          <t>GÄVLEBORGS LÄN</t>
        </is>
      </c>
      <c r="G8330" t="inlineStr">
        <is>
          <t>LJUSDAL</t>
        </is>
      </c>
      <c r="I8330" t="n">
        <v>3.6</v>
      </c>
      <c r="J8330" t="n">
        <v>0</v>
      </c>
      <c r="K8330" t="n">
        <v>0</v>
      </c>
      <c r="L8330" t="n">
        <v>0</v>
      </c>
      <c r="M8330" t="n">
        <v>0</v>
      </c>
      <c r="N8330" t="n">
        <v>0</v>
      </c>
      <c r="O8330" t="n">
        <v>0</v>
      </c>
      <c r="P8330" t="n">
        <v>0</v>
      </c>
      <c r="Q8330" t="n">
        <v>0</v>
      </c>
      <c r="R8330" t="n">
        <v>0</v>
      </c>
      <c r="S8330" t="n">
        <v>0</v>
      </c>
      <c r="T8330" t="n">
        <v>0</v>
      </c>
      <c r="U8330" t="n">
        <v>0</v>
      </c>
      <c r="V8330" s="2" t="inlineStr"/>
    </row>
    <row r="8331" ht="15" customHeight="1">
      <c r="A8331" t="inlineStr">
        <is>
          <t>A 24868-2026</t>
        </is>
      </c>
      <c r="B8331" t="inlineStr">
        <is>
          <t>avverkningsanmälan</t>
        </is>
      </c>
      <c r="C8331" t="inlineStr">
        <is>
          <t>Föryngringsavverkning</t>
        </is>
      </c>
      <c r="D8331" s="1" t="n">
        <v>46174</v>
      </c>
      <c r="E8331" s="1" t="n">
        <v>46326</v>
      </c>
      <c r="F8331" t="inlineStr">
        <is>
          <t>GÄVLEBORGS LÄN</t>
        </is>
      </c>
      <c r="G8331" t="inlineStr">
        <is>
          <t>HUDIKSVALL</t>
        </is>
      </c>
      <c r="I8331" t="n">
        <v>2.1</v>
      </c>
      <c r="J8331" t="n">
        <v>0</v>
      </c>
      <c r="K8331" t="n">
        <v>0</v>
      </c>
      <c r="L8331" t="n">
        <v>0</v>
      </c>
      <c r="M8331" t="n">
        <v>0</v>
      </c>
      <c r="N8331" t="n">
        <v>0</v>
      </c>
      <c r="O8331" t="n">
        <v>0</v>
      </c>
      <c r="P8331" t="n">
        <v>0</v>
      </c>
      <c r="Q8331" t="n">
        <v>0</v>
      </c>
      <c r="R8331" t="n">
        <v>0</v>
      </c>
      <c r="S8331" t="n">
        <v>0</v>
      </c>
      <c r="T8331" t="n">
        <v>0</v>
      </c>
      <c r="U8331" t="n">
        <v>0</v>
      </c>
      <c r="V8331" s="2" t="inlineStr"/>
    </row>
    <row r="8332" ht="15" customHeight="1">
      <c r="A8332" t="inlineStr">
        <is>
          <t>A 48212-2024</t>
        </is>
      </c>
      <c r="B8332" t="inlineStr">
        <is>
          <t>avverkningsanmälan</t>
        </is>
      </c>
      <c r="C8332" t="inlineStr">
        <is>
          <t>Föryngringsavverkning</t>
        </is>
      </c>
      <c r="D8332" s="1" t="n">
        <v>45590</v>
      </c>
      <c r="E8332" s="1" t="n">
        <v>46326</v>
      </c>
      <c r="F8332" t="inlineStr">
        <is>
          <t>GÄVLEBORGS LÄN</t>
        </is>
      </c>
      <c r="G8332" t="inlineStr">
        <is>
          <t>NORDANSTIG</t>
        </is>
      </c>
      <c r="I8332" t="n">
        <v>0.8</v>
      </c>
      <c r="J8332" t="n">
        <v>0</v>
      </c>
      <c r="K8332" t="n">
        <v>0</v>
      </c>
      <c r="L8332" t="n">
        <v>0</v>
      </c>
      <c r="M8332" t="n">
        <v>0</v>
      </c>
      <c r="N8332" t="n">
        <v>0</v>
      </c>
      <c r="O8332" t="n">
        <v>0</v>
      </c>
      <c r="P8332" t="n">
        <v>0</v>
      </c>
      <c r="Q8332" t="n">
        <v>0</v>
      </c>
      <c r="R8332" t="n">
        <v>0</v>
      </c>
      <c r="S8332" t="n">
        <v>0</v>
      </c>
      <c r="T8332" t="n">
        <v>0</v>
      </c>
      <c r="U8332" t="n">
        <v>0</v>
      </c>
      <c r="V8332" s="2" t="inlineStr"/>
    </row>
    <row r="8333" ht="15" customHeight="1">
      <c r="A8333" t="inlineStr">
        <is>
          <t>A 13346-2026</t>
        </is>
      </c>
      <c r="B8333" t="inlineStr">
        <is>
          <t>avverkningsanmälan</t>
        </is>
      </c>
      <c r="C8333" t="inlineStr">
        <is>
          <t>Föryngringsavverkning</t>
        </is>
      </c>
      <c r="D8333" s="1" t="n">
        <v>46094</v>
      </c>
      <c r="E8333" s="1" t="n">
        <v>46326</v>
      </c>
      <c r="F8333" t="inlineStr">
        <is>
          <t>GÄVLEBORGS LÄN</t>
        </is>
      </c>
      <c r="G8333" t="inlineStr">
        <is>
          <t>BOLLNÄS</t>
        </is>
      </c>
      <c r="I8333" t="n">
        <v>1.1</v>
      </c>
      <c r="J8333" t="n">
        <v>0</v>
      </c>
      <c r="K8333" t="n">
        <v>0</v>
      </c>
      <c r="L8333" t="n">
        <v>0</v>
      </c>
      <c r="M8333" t="n">
        <v>0</v>
      </c>
      <c r="N8333" t="n">
        <v>0</v>
      </c>
      <c r="O8333" t="n">
        <v>0</v>
      </c>
      <c r="P8333" t="n">
        <v>0</v>
      </c>
      <c r="Q8333" t="n">
        <v>0</v>
      </c>
      <c r="R8333" t="n">
        <v>0</v>
      </c>
      <c r="S8333" t="n">
        <v>0</v>
      </c>
      <c r="T8333" t="n">
        <v>0</v>
      </c>
      <c r="U8333" t="n">
        <v>0</v>
      </c>
      <c r="V8333" s="2" t="inlineStr"/>
    </row>
    <row r="8334" ht="15" customHeight="1">
      <c r="A8334" t="inlineStr">
        <is>
          <t>A 57475-2023</t>
        </is>
      </c>
      <c r="B8334" t="inlineStr">
        <is>
          <t>avverkningsanmälan</t>
        </is>
      </c>
      <c r="C8334" t="inlineStr">
        <is>
          <t>Föryngringsavverkning</t>
        </is>
      </c>
      <c r="D8334" s="1" t="n">
        <v>45246</v>
      </c>
      <c r="E8334" s="1" t="n">
        <v>46326</v>
      </c>
      <c r="F8334" t="inlineStr">
        <is>
          <t>GÄVLEBORGS LÄN</t>
        </is>
      </c>
      <c r="G8334" t="inlineStr">
        <is>
          <t>LJUSDAL</t>
        </is>
      </c>
      <c r="I8334" t="n">
        <v>1.2</v>
      </c>
      <c r="J8334" t="n">
        <v>0</v>
      </c>
      <c r="K8334" t="n">
        <v>0</v>
      </c>
      <c r="L8334" t="n">
        <v>0</v>
      </c>
      <c r="M8334" t="n">
        <v>0</v>
      </c>
      <c r="N8334" t="n">
        <v>0</v>
      </c>
      <c r="O8334" t="n">
        <v>0</v>
      </c>
      <c r="P8334" t="n">
        <v>0</v>
      </c>
      <c r="Q8334" t="n">
        <v>0</v>
      </c>
      <c r="R8334" t="n">
        <v>0</v>
      </c>
      <c r="S8334" t="n">
        <v>0</v>
      </c>
      <c r="T8334" t="n">
        <v>0</v>
      </c>
      <c r="U8334" t="n">
        <v>0</v>
      </c>
      <c r="V8334" s="2" t="inlineStr"/>
    </row>
    <row r="8335" ht="15" customHeight="1">
      <c r="A8335" t="inlineStr">
        <is>
          <t>A 60698-2023</t>
        </is>
      </c>
      <c r="B8335" t="inlineStr">
        <is>
          <t>avverkningsanmälan</t>
        </is>
      </c>
      <c r="C8335" t="inlineStr">
        <is>
          <t>Föryngringsavverkning</t>
        </is>
      </c>
      <c r="D8335" s="1" t="n">
        <v>45260</v>
      </c>
      <c r="E8335" s="1" t="n">
        <v>46326</v>
      </c>
      <c r="F8335" t="inlineStr">
        <is>
          <t>GÄVLEBORGS LÄN</t>
        </is>
      </c>
      <c r="G8335" t="inlineStr">
        <is>
          <t>SÖDERHAMN</t>
        </is>
      </c>
      <c r="I8335" t="n">
        <v>0.7</v>
      </c>
      <c r="J8335" t="n">
        <v>0</v>
      </c>
      <c r="K8335" t="n">
        <v>0</v>
      </c>
      <c r="L8335" t="n">
        <v>0</v>
      </c>
      <c r="M8335" t="n">
        <v>0</v>
      </c>
      <c r="N8335" t="n">
        <v>0</v>
      </c>
      <c r="O8335" t="n">
        <v>0</v>
      </c>
      <c r="P8335" t="n">
        <v>0</v>
      </c>
      <c r="Q8335" t="n">
        <v>0</v>
      </c>
      <c r="R8335" t="n">
        <v>0</v>
      </c>
      <c r="S8335" t="n">
        <v>0</v>
      </c>
      <c r="T8335" t="n">
        <v>0</v>
      </c>
      <c r="U8335" t="n">
        <v>0</v>
      </c>
      <c r="V8335" s="2" t="inlineStr"/>
    </row>
    <row r="8336" ht="15" customHeight="1">
      <c r="A8336" t="inlineStr">
        <is>
          <t>A 35993-2024</t>
        </is>
      </c>
      <c r="B8336" t="inlineStr">
        <is>
          <t>avverkningsanmälan</t>
        </is>
      </c>
      <c r="C8336" t="inlineStr">
        <is>
          <t>Föryngringsavverkning</t>
        </is>
      </c>
      <c r="D8336" s="1" t="n">
        <v>45533</v>
      </c>
      <c r="E8336" s="1" t="n">
        <v>46326</v>
      </c>
      <c r="F8336" t="inlineStr">
        <is>
          <t>GÄVLEBORGS LÄN</t>
        </is>
      </c>
      <c r="G8336" t="inlineStr">
        <is>
          <t>OVANÅKER</t>
        </is>
      </c>
      <c r="I8336" t="n">
        <v>1.8</v>
      </c>
      <c r="J8336" t="n">
        <v>0</v>
      </c>
      <c r="K8336" t="n">
        <v>0</v>
      </c>
      <c r="L8336" t="n">
        <v>0</v>
      </c>
      <c r="M8336" t="n">
        <v>0</v>
      </c>
      <c r="N8336" t="n">
        <v>0</v>
      </c>
      <c r="O8336" t="n">
        <v>0</v>
      </c>
      <c r="P8336" t="n">
        <v>0</v>
      </c>
      <c r="Q8336" t="n">
        <v>0</v>
      </c>
      <c r="R8336" t="n">
        <v>0</v>
      </c>
      <c r="S8336" t="n">
        <v>0</v>
      </c>
      <c r="T8336" t="n">
        <v>0</v>
      </c>
      <c r="U8336" t="n">
        <v>0</v>
      </c>
      <c r="V8336" s="2" t="inlineStr"/>
    </row>
    <row r="8337" ht="15" customHeight="1">
      <c r="A8337" t="inlineStr">
        <is>
          <t>A 25043-2026</t>
        </is>
      </c>
      <c r="B8337" t="inlineStr">
        <is>
          <t>avverkningsanmälan</t>
        </is>
      </c>
      <c r="C8337" t="inlineStr">
        <is>
          <t>Föryngringsavverkning</t>
        </is>
      </c>
      <c r="D8337" s="1" t="n">
        <v>46174</v>
      </c>
      <c r="E8337" s="1" t="n">
        <v>46326</v>
      </c>
      <c r="F8337" t="inlineStr">
        <is>
          <t>GÄVLEBORGS LÄN</t>
        </is>
      </c>
      <c r="G8337" t="inlineStr">
        <is>
          <t>HUDIKSVALL</t>
        </is>
      </c>
      <c r="I8337" t="n">
        <v>9.4</v>
      </c>
      <c r="J8337" t="n">
        <v>0</v>
      </c>
      <c r="K8337" t="n">
        <v>0</v>
      </c>
      <c r="L8337" t="n">
        <v>0</v>
      </c>
      <c r="M8337" t="n">
        <v>0</v>
      </c>
      <c r="N8337" t="n">
        <v>0</v>
      </c>
      <c r="O8337" t="n">
        <v>0</v>
      </c>
      <c r="P8337" t="n">
        <v>0</v>
      </c>
      <c r="Q8337" t="n">
        <v>0</v>
      </c>
      <c r="R8337" t="n">
        <v>0</v>
      </c>
      <c r="S8337" t="n">
        <v>0</v>
      </c>
      <c r="T8337" t="n">
        <v>0</v>
      </c>
      <c r="U8337" t="n">
        <v>0</v>
      </c>
      <c r="V8337" s="2" t="inlineStr"/>
    </row>
    <row r="8338" ht="15" customHeight="1">
      <c r="A8338" t="inlineStr">
        <is>
          <t>A 11974-2026</t>
        </is>
      </c>
      <c r="B8338" t="inlineStr">
        <is>
          <t>avverkningsanmälan</t>
        </is>
      </c>
      <c r="C8338" t="inlineStr">
        <is>
          <t>Föryngringsavverkning</t>
        </is>
      </c>
      <c r="D8338" s="1" t="n">
        <v>46085</v>
      </c>
      <c r="E8338" s="1" t="n">
        <v>46326</v>
      </c>
      <c r="F8338" t="inlineStr">
        <is>
          <t>GÄVLEBORGS LÄN</t>
        </is>
      </c>
      <c r="G8338" t="inlineStr">
        <is>
          <t>OCKELBO</t>
        </is>
      </c>
      <c r="I8338" t="n">
        <v>3.1</v>
      </c>
      <c r="J8338" t="n">
        <v>0</v>
      </c>
      <c r="K8338" t="n">
        <v>0</v>
      </c>
      <c r="L8338" t="n">
        <v>0</v>
      </c>
      <c r="M8338" t="n">
        <v>0</v>
      </c>
      <c r="N8338" t="n">
        <v>0</v>
      </c>
      <c r="O8338" t="n">
        <v>0</v>
      </c>
      <c r="P8338" t="n">
        <v>0</v>
      </c>
      <c r="Q8338" t="n">
        <v>0</v>
      </c>
      <c r="R8338" t="n">
        <v>0</v>
      </c>
      <c r="S8338" t="n">
        <v>0</v>
      </c>
      <c r="T8338" t="n">
        <v>0</v>
      </c>
      <c r="U8338" t="n">
        <v>0</v>
      </c>
      <c r="V8338" s="2" t="inlineStr"/>
    </row>
    <row r="8339" ht="15" customHeight="1">
      <c r="A8339" t="inlineStr">
        <is>
          <t>A 60251-2025</t>
        </is>
      </c>
      <c r="B8339" t="inlineStr">
        <is>
          <t>avverkningsanmälan</t>
        </is>
      </c>
      <c r="C8339" t="inlineStr">
        <is>
          <t>Föryngringsavverkning</t>
        </is>
      </c>
      <c r="D8339" s="1" t="n">
        <v>45994</v>
      </c>
      <c r="E8339" s="1" t="n">
        <v>46326</v>
      </c>
      <c r="F8339" t="inlineStr">
        <is>
          <t>GÄVLEBORGS LÄN</t>
        </is>
      </c>
      <c r="G8339" t="inlineStr">
        <is>
          <t>LJUSDAL</t>
        </is>
      </c>
      <c r="I8339" t="n">
        <v>3.1</v>
      </c>
      <c r="J8339" t="n">
        <v>0</v>
      </c>
      <c r="K8339" t="n">
        <v>0</v>
      </c>
      <c r="L8339" t="n">
        <v>0</v>
      </c>
      <c r="M8339" t="n">
        <v>0</v>
      </c>
      <c r="N8339" t="n">
        <v>0</v>
      </c>
      <c r="O8339" t="n">
        <v>0</v>
      </c>
      <c r="P8339" t="n">
        <v>0</v>
      </c>
      <c r="Q8339" t="n">
        <v>0</v>
      </c>
      <c r="R8339" t="n">
        <v>0</v>
      </c>
      <c r="S8339" t="n">
        <v>0</v>
      </c>
      <c r="T8339" t="n">
        <v>0</v>
      </c>
      <c r="U8339" t="n">
        <v>0</v>
      </c>
      <c r="V8339" s="2" t="inlineStr"/>
    </row>
    <row r="8340" ht="15" customHeight="1">
      <c r="A8340" t="inlineStr">
        <is>
          <t>A 48298-2023</t>
        </is>
      </c>
      <c r="B8340" t="inlineStr">
        <is>
          <t>avverkningsanmälan</t>
        </is>
      </c>
      <c r="C8340" t="inlineStr">
        <is>
          <t>Föryngringsavverkning</t>
        </is>
      </c>
      <c r="D8340" s="1" t="n">
        <v>45205</v>
      </c>
      <c r="E8340" s="1" t="n">
        <v>46326</v>
      </c>
      <c r="F8340" t="inlineStr">
        <is>
          <t>GÄVLEBORGS LÄN</t>
        </is>
      </c>
      <c r="G8340" t="inlineStr">
        <is>
          <t>OVANÅKER</t>
        </is>
      </c>
      <c r="I8340" t="n">
        <v>0.3</v>
      </c>
      <c r="J8340" t="n">
        <v>0</v>
      </c>
      <c r="K8340" t="n">
        <v>0</v>
      </c>
      <c r="L8340" t="n">
        <v>0</v>
      </c>
      <c r="M8340" t="n">
        <v>0</v>
      </c>
      <c r="N8340" t="n">
        <v>0</v>
      </c>
      <c r="O8340" t="n">
        <v>0</v>
      </c>
      <c r="P8340" t="n">
        <v>0</v>
      </c>
      <c r="Q8340" t="n">
        <v>0</v>
      </c>
      <c r="R8340" t="n">
        <v>0</v>
      </c>
      <c r="S8340" t="n">
        <v>0</v>
      </c>
      <c r="T8340" t="n">
        <v>0</v>
      </c>
      <c r="U8340" t="n">
        <v>0</v>
      </c>
      <c r="V8340" s="2" t="inlineStr"/>
    </row>
    <row r="8341" ht="15" customHeight="1">
      <c r="A8341" t="inlineStr">
        <is>
          <t>A 48300-2023</t>
        </is>
      </c>
      <c r="B8341" t="inlineStr">
        <is>
          <t>avverkningsanmälan</t>
        </is>
      </c>
      <c r="C8341" t="inlineStr">
        <is>
          <t>Föryngringsavverkning</t>
        </is>
      </c>
      <c r="D8341" s="1" t="n">
        <v>45205</v>
      </c>
      <c r="E8341" s="1" t="n">
        <v>46326</v>
      </c>
      <c r="F8341" t="inlineStr">
        <is>
          <t>GÄVLEBORGS LÄN</t>
        </is>
      </c>
      <c r="G8341" t="inlineStr">
        <is>
          <t>SANDVIKEN</t>
        </is>
      </c>
      <c r="I8341" t="n">
        <v>1.5</v>
      </c>
      <c r="J8341" t="n">
        <v>0</v>
      </c>
      <c r="K8341" t="n">
        <v>0</v>
      </c>
      <c r="L8341" t="n">
        <v>0</v>
      </c>
      <c r="M8341" t="n">
        <v>0</v>
      </c>
      <c r="N8341" t="n">
        <v>0</v>
      </c>
      <c r="O8341" t="n">
        <v>0</v>
      </c>
      <c r="P8341" t="n">
        <v>0</v>
      </c>
      <c r="Q8341" t="n">
        <v>0</v>
      </c>
      <c r="R8341" t="n">
        <v>0</v>
      </c>
      <c r="S8341" t="n">
        <v>0</v>
      </c>
      <c r="T8341" t="n">
        <v>0</v>
      </c>
      <c r="U8341" t="n">
        <v>0</v>
      </c>
      <c r="V8341" s="2" t="inlineStr"/>
    </row>
    <row r="8342" ht="15" customHeight="1">
      <c r="A8342" t="inlineStr">
        <is>
          <t>A 24747-2026</t>
        </is>
      </c>
      <c r="B8342" t="inlineStr">
        <is>
          <t>avverkningsanmälan</t>
        </is>
      </c>
      <c r="C8342" t="inlineStr">
        <is>
          <t>Föryngringsavverkning</t>
        </is>
      </c>
      <c r="D8342" s="1" t="n">
        <v>46171</v>
      </c>
      <c r="E8342" s="1" t="n">
        <v>46326</v>
      </c>
      <c r="F8342" t="inlineStr">
        <is>
          <t>GÄVLEBORGS LÄN</t>
        </is>
      </c>
      <c r="G8342" t="inlineStr">
        <is>
          <t>BOLLNÄS</t>
        </is>
      </c>
      <c r="I8342" t="n">
        <v>2.9</v>
      </c>
      <c r="J8342" t="n">
        <v>0</v>
      </c>
      <c r="K8342" t="n">
        <v>0</v>
      </c>
      <c r="L8342" t="n">
        <v>0</v>
      </c>
      <c r="M8342" t="n">
        <v>0</v>
      </c>
      <c r="N8342" t="n">
        <v>0</v>
      </c>
      <c r="O8342" t="n">
        <v>0</v>
      </c>
      <c r="P8342" t="n">
        <v>0</v>
      </c>
      <c r="Q8342" t="n">
        <v>0</v>
      </c>
      <c r="R8342" t="n">
        <v>0</v>
      </c>
      <c r="S8342" t="n">
        <v>0</v>
      </c>
      <c r="T8342" t="n">
        <v>0</v>
      </c>
      <c r="U8342" t="n">
        <v>0</v>
      </c>
      <c r="V8342" s="2" t="inlineStr"/>
    </row>
    <row r="8343" ht="15" customHeight="1">
      <c r="A8343" t="inlineStr">
        <is>
          <t>A 24753-2026</t>
        </is>
      </c>
      <c r="B8343" t="inlineStr">
        <is>
          <t>avverkningsanmälan</t>
        </is>
      </c>
      <c r="C8343" t="inlineStr">
        <is>
          <t>Föryngringsavverkning</t>
        </is>
      </c>
      <c r="D8343" s="1" t="n">
        <v>46171</v>
      </c>
      <c r="E8343" s="1" t="n">
        <v>46326</v>
      </c>
      <c r="F8343" t="inlineStr">
        <is>
          <t>GÄVLEBORGS LÄN</t>
        </is>
      </c>
      <c r="G8343" t="inlineStr">
        <is>
          <t>BOLLNÄS</t>
        </is>
      </c>
      <c r="I8343" t="n">
        <v>8</v>
      </c>
      <c r="J8343" t="n">
        <v>0</v>
      </c>
      <c r="K8343" t="n">
        <v>0</v>
      </c>
      <c r="L8343" t="n">
        <v>0</v>
      </c>
      <c r="M8343" t="n">
        <v>0</v>
      </c>
      <c r="N8343" t="n">
        <v>0</v>
      </c>
      <c r="O8343" t="n">
        <v>0</v>
      </c>
      <c r="P8343" t="n">
        <v>0</v>
      </c>
      <c r="Q8343" t="n">
        <v>0</v>
      </c>
      <c r="R8343" t="n">
        <v>0</v>
      </c>
      <c r="S8343" t="n">
        <v>0</v>
      </c>
      <c r="T8343" t="n">
        <v>0</v>
      </c>
      <c r="U8343" t="n">
        <v>0</v>
      </c>
      <c r="V8343" s="2" t="inlineStr"/>
    </row>
    <row r="8344" ht="15" customHeight="1">
      <c r="A8344" t="inlineStr">
        <is>
          <t>A 71215-2021</t>
        </is>
      </c>
      <c r="B8344" t="inlineStr">
        <is>
          <t>avverkningsanmälan</t>
        </is>
      </c>
      <c r="C8344" t="inlineStr">
        <is>
          <t>Föryngringsavverkning</t>
        </is>
      </c>
      <c r="D8344" s="1" t="n">
        <v>44539</v>
      </c>
      <c r="E8344" s="1" t="n">
        <v>46326</v>
      </c>
      <c r="F8344" t="inlineStr">
        <is>
          <t>GÄVLEBORGS LÄN</t>
        </is>
      </c>
      <c r="G8344" t="inlineStr">
        <is>
          <t>GÄVLE</t>
        </is>
      </c>
      <c r="I8344" t="n">
        <v>2.9</v>
      </c>
      <c r="J8344" t="n">
        <v>0</v>
      </c>
      <c r="K8344" t="n">
        <v>0</v>
      </c>
      <c r="L8344" t="n">
        <v>0</v>
      </c>
      <c r="M8344" t="n">
        <v>0</v>
      </c>
      <c r="N8344" t="n">
        <v>0</v>
      </c>
      <c r="O8344" t="n">
        <v>0</v>
      </c>
      <c r="P8344" t="n">
        <v>0</v>
      </c>
      <c r="Q8344" t="n">
        <v>0</v>
      </c>
      <c r="R8344" t="n">
        <v>0</v>
      </c>
      <c r="S8344" t="n">
        <v>0</v>
      </c>
      <c r="T8344" t="n">
        <v>0</v>
      </c>
      <c r="U8344" t="n">
        <v>0</v>
      </c>
      <c r="V8344" s="2" t="inlineStr"/>
    </row>
    <row r="8345" ht="15" customHeight="1">
      <c r="A8345" t="inlineStr">
        <is>
          <t>A 23939-2026</t>
        </is>
      </c>
      <c r="B8345" t="inlineStr">
        <is>
          <t>avverkningsanmälan</t>
        </is>
      </c>
      <c r="C8345" t="inlineStr">
        <is>
          <t>Föryngringsavverkning</t>
        </is>
      </c>
      <c r="D8345" s="1" t="n">
        <v>46167</v>
      </c>
      <c r="E8345" s="1" t="n">
        <v>46326</v>
      </c>
      <c r="F8345" t="inlineStr">
        <is>
          <t>GÄVLEBORGS LÄN</t>
        </is>
      </c>
      <c r="G8345" t="inlineStr">
        <is>
          <t>BOLLNÄS</t>
        </is>
      </c>
      <c r="I8345" t="n">
        <v>3.6</v>
      </c>
      <c r="J8345" t="n">
        <v>0</v>
      </c>
      <c r="K8345" t="n">
        <v>0</v>
      </c>
      <c r="L8345" t="n">
        <v>0</v>
      </c>
      <c r="M8345" t="n">
        <v>0</v>
      </c>
      <c r="N8345" t="n">
        <v>0</v>
      </c>
      <c r="O8345" t="n">
        <v>0</v>
      </c>
      <c r="P8345" t="n">
        <v>0</v>
      </c>
      <c r="Q8345" t="n">
        <v>0</v>
      </c>
      <c r="R8345" t="n">
        <v>0</v>
      </c>
      <c r="S8345" t="n">
        <v>0</v>
      </c>
      <c r="T8345" t="n">
        <v>0</v>
      </c>
      <c r="U8345" t="n">
        <v>0</v>
      </c>
      <c r="V8345" s="2" t="inlineStr"/>
    </row>
    <row r="8346" ht="15" customHeight="1">
      <c r="A8346" t="inlineStr">
        <is>
          <t>A 31645-2024</t>
        </is>
      </c>
      <c r="B8346" t="inlineStr">
        <is>
          <t>avverkningsanmälan</t>
        </is>
      </c>
      <c r="C8346" t="inlineStr">
        <is>
          <t>Föryngringsavverkning</t>
        </is>
      </c>
      <c r="D8346" s="1" t="n">
        <v>45506</v>
      </c>
      <c r="E8346" s="1" t="n">
        <v>46326</v>
      </c>
      <c r="F8346" t="inlineStr">
        <is>
          <t>GÄVLEBORGS LÄN</t>
        </is>
      </c>
      <c r="G8346" t="inlineStr">
        <is>
          <t>HOFORS</t>
        </is>
      </c>
      <c r="H8346" t="inlineStr">
        <is>
          <t>Sveaskog</t>
        </is>
      </c>
      <c r="I8346" t="n">
        <v>11.1</v>
      </c>
      <c r="J8346" t="n">
        <v>0</v>
      </c>
      <c r="K8346" t="n">
        <v>0</v>
      </c>
      <c r="L8346" t="n">
        <v>0</v>
      </c>
      <c r="M8346" t="n">
        <v>0</v>
      </c>
      <c r="N8346" t="n">
        <v>0</v>
      </c>
      <c r="O8346" t="n">
        <v>0</v>
      </c>
      <c r="P8346" t="n">
        <v>0</v>
      </c>
      <c r="Q8346" t="n">
        <v>0</v>
      </c>
      <c r="R8346" t="n">
        <v>0</v>
      </c>
      <c r="S8346" t="n">
        <v>0</v>
      </c>
      <c r="T8346" t="n">
        <v>0</v>
      </c>
      <c r="U8346" t="n">
        <v>0</v>
      </c>
      <c r="V8346" s="2" t="inlineStr"/>
    </row>
    <row r="8347" ht="15" customHeight="1">
      <c r="A8347" t="inlineStr">
        <is>
          <t>A 31707-2024</t>
        </is>
      </c>
      <c r="B8347" t="inlineStr">
        <is>
          <t>avverkningsanmälan</t>
        </is>
      </c>
      <c r="C8347" t="inlineStr">
        <is>
          <t>Föryngringsavverkning</t>
        </is>
      </c>
      <c r="D8347" s="1" t="n">
        <v>45508</v>
      </c>
      <c r="E8347" s="1" t="n">
        <v>46326</v>
      </c>
      <c r="F8347" t="inlineStr">
        <is>
          <t>GÄVLEBORGS LÄN</t>
        </is>
      </c>
      <c r="G8347" t="inlineStr">
        <is>
          <t>HUDIKSVALL</t>
        </is>
      </c>
      <c r="I8347" t="n">
        <v>2.3</v>
      </c>
      <c r="J8347" t="n">
        <v>0</v>
      </c>
      <c r="K8347" t="n">
        <v>0</v>
      </c>
      <c r="L8347" t="n">
        <v>0</v>
      </c>
      <c r="M8347" t="n">
        <v>0</v>
      </c>
      <c r="N8347" t="n">
        <v>0</v>
      </c>
      <c r="O8347" t="n">
        <v>0</v>
      </c>
      <c r="P8347" t="n">
        <v>0</v>
      </c>
      <c r="Q8347" t="n">
        <v>0</v>
      </c>
      <c r="R8347" t="n">
        <v>0</v>
      </c>
      <c r="S8347" t="n">
        <v>0</v>
      </c>
      <c r="T8347" t="n">
        <v>0</v>
      </c>
      <c r="U8347" t="n">
        <v>0</v>
      </c>
      <c r="V8347" s="2" t="inlineStr"/>
    </row>
    <row r="8348" ht="15" customHeight="1">
      <c r="A8348" t="inlineStr">
        <is>
          <t>A 17-2026</t>
        </is>
      </c>
      <c r="B8348" t="inlineStr">
        <is>
          <t>avverkningsanmälan</t>
        </is>
      </c>
      <c r="C8348" t="inlineStr">
        <is>
          <t>Föryngringsavverkning</t>
        </is>
      </c>
      <c r="D8348" s="1" t="n">
        <v>46023</v>
      </c>
      <c r="E8348" s="1" t="n">
        <v>46326</v>
      </c>
      <c r="F8348" t="inlineStr">
        <is>
          <t>GÄVLEBORGS LÄN</t>
        </is>
      </c>
      <c r="G8348" t="inlineStr">
        <is>
          <t>OCKELBO</t>
        </is>
      </c>
      <c r="I8348" t="n">
        <v>2.3</v>
      </c>
      <c r="J8348" t="n">
        <v>0</v>
      </c>
      <c r="K8348" t="n">
        <v>0</v>
      </c>
      <c r="L8348" t="n">
        <v>0</v>
      </c>
      <c r="M8348" t="n">
        <v>0</v>
      </c>
      <c r="N8348" t="n">
        <v>0</v>
      </c>
      <c r="O8348" t="n">
        <v>0</v>
      </c>
      <c r="P8348" t="n">
        <v>0</v>
      </c>
      <c r="Q8348" t="n">
        <v>0</v>
      </c>
      <c r="R8348" t="n">
        <v>0</v>
      </c>
      <c r="S8348" t="n">
        <v>0</v>
      </c>
      <c r="T8348" t="n">
        <v>0</v>
      </c>
      <c r="U8348" t="n">
        <v>0</v>
      </c>
      <c r="V8348" s="2" t="inlineStr"/>
    </row>
    <row r="8349" ht="15" customHeight="1">
      <c r="A8349" t="inlineStr">
        <is>
          <t>A 24627-2026</t>
        </is>
      </c>
      <c r="B8349" t="inlineStr">
        <is>
          <t>avverkningsanmälan</t>
        </is>
      </c>
      <c r="C8349" t="inlineStr">
        <is>
          <t>Föryngringsavverkning</t>
        </is>
      </c>
      <c r="D8349" s="1" t="n">
        <v>46171</v>
      </c>
      <c r="E8349" s="1" t="n">
        <v>46326</v>
      </c>
      <c r="F8349" t="inlineStr">
        <is>
          <t>GÄVLEBORGS LÄN</t>
        </is>
      </c>
      <c r="G8349" t="inlineStr">
        <is>
          <t>SANDVIKEN</t>
        </is>
      </c>
      <c r="I8349" t="n">
        <v>6.9</v>
      </c>
      <c r="J8349" t="n">
        <v>0</v>
      </c>
      <c r="K8349" t="n">
        <v>0</v>
      </c>
      <c r="L8349" t="n">
        <v>0</v>
      </c>
      <c r="M8349" t="n">
        <v>0</v>
      </c>
      <c r="N8349" t="n">
        <v>0</v>
      </c>
      <c r="O8349" t="n">
        <v>0</v>
      </c>
      <c r="P8349" t="n">
        <v>0</v>
      </c>
      <c r="Q8349" t="n">
        <v>0</v>
      </c>
      <c r="R8349" t="n">
        <v>0</v>
      </c>
      <c r="S8349" t="n">
        <v>0</v>
      </c>
      <c r="T8349" t="n">
        <v>0</v>
      </c>
      <c r="U8349" t="n">
        <v>0</v>
      </c>
      <c r="V8349" s="2" t="inlineStr"/>
    </row>
    <row r="8350" ht="15" customHeight="1">
      <c r="A8350" t="inlineStr">
        <is>
          <t>A 24897-2026</t>
        </is>
      </c>
      <c r="B8350" t="inlineStr">
        <is>
          <t>avverkningsanmälan</t>
        </is>
      </c>
      <c r="C8350" t="inlineStr">
        <is>
          <t>Föryngringsavverkning</t>
        </is>
      </c>
      <c r="D8350" s="1" t="n">
        <v>46174</v>
      </c>
      <c r="E8350" s="1" t="n">
        <v>46326</v>
      </c>
      <c r="F8350" t="inlineStr">
        <is>
          <t>GÄVLEBORGS LÄN</t>
        </is>
      </c>
      <c r="G8350" t="inlineStr">
        <is>
          <t>BOLLNÄS</t>
        </is>
      </c>
      <c r="I8350" t="n">
        <v>9.9</v>
      </c>
      <c r="J8350" t="n">
        <v>0</v>
      </c>
      <c r="K8350" t="n">
        <v>0</v>
      </c>
      <c r="L8350" t="n">
        <v>0</v>
      </c>
      <c r="M8350" t="n">
        <v>0</v>
      </c>
      <c r="N8350" t="n">
        <v>0</v>
      </c>
      <c r="O8350" t="n">
        <v>0</v>
      </c>
      <c r="P8350" t="n">
        <v>0</v>
      </c>
      <c r="Q8350" t="n">
        <v>0</v>
      </c>
      <c r="R8350" t="n">
        <v>0</v>
      </c>
      <c r="S8350" t="n">
        <v>0</v>
      </c>
      <c r="T8350" t="n">
        <v>0</v>
      </c>
      <c r="U8350" t="n">
        <v>0</v>
      </c>
      <c r="V8350" s="2" t="inlineStr"/>
    </row>
    <row r="8351" ht="15" customHeight="1">
      <c r="A8351" t="inlineStr">
        <is>
          <t>A 64359-2023</t>
        </is>
      </c>
      <c r="B8351" t="inlineStr">
        <is>
          <t>avverkningsanmälan</t>
        </is>
      </c>
      <c r="C8351" t="inlineStr">
        <is>
          <t>Föryngringsavverkning</t>
        </is>
      </c>
      <c r="D8351" s="1" t="n">
        <v>45280</v>
      </c>
      <c r="E8351" s="1" t="n">
        <v>46326</v>
      </c>
      <c r="F8351" t="inlineStr">
        <is>
          <t>GÄVLEBORGS LÄN</t>
        </is>
      </c>
      <c r="G8351" t="inlineStr">
        <is>
          <t>HOFORS</t>
        </is>
      </c>
      <c r="I8351" t="n">
        <v>4.7</v>
      </c>
      <c r="J8351" t="n">
        <v>0</v>
      </c>
      <c r="K8351" t="n">
        <v>0</v>
      </c>
      <c r="L8351" t="n">
        <v>0</v>
      </c>
      <c r="M8351" t="n">
        <v>0</v>
      </c>
      <c r="N8351" t="n">
        <v>0</v>
      </c>
      <c r="O8351" t="n">
        <v>0</v>
      </c>
      <c r="P8351" t="n">
        <v>0</v>
      </c>
      <c r="Q8351" t="n">
        <v>0</v>
      </c>
      <c r="R8351" t="n">
        <v>0</v>
      </c>
      <c r="S8351" t="n">
        <v>0</v>
      </c>
      <c r="T8351" t="n">
        <v>0</v>
      </c>
      <c r="U8351" t="n">
        <v>0</v>
      </c>
      <c r="V8351" s="2" t="inlineStr"/>
    </row>
    <row r="8352" ht="15" customHeight="1">
      <c r="A8352" t="inlineStr">
        <is>
          <t>A 1849-2026</t>
        </is>
      </c>
      <c r="B8352" t="inlineStr">
        <is>
          <t>avverkningsanmälan</t>
        </is>
      </c>
      <c r="C8352" t="inlineStr">
        <is>
          <t>Föryngringsavverkning</t>
        </is>
      </c>
      <c r="D8352" s="1" t="n">
        <v>46035</v>
      </c>
      <c r="E8352" s="1" t="n">
        <v>46326</v>
      </c>
      <c r="F8352" t="inlineStr">
        <is>
          <t>GÄVLEBORGS LÄN</t>
        </is>
      </c>
      <c r="G8352" t="inlineStr">
        <is>
          <t>NORDANSTIG</t>
        </is>
      </c>
      <c r="I8352" t="n">
        <v>1.6</v>
      </c>
      <c r="J8352" t="n">
        <v>0</v>
      </c>
      <c r="K8352" t="n">
        <v>0</v>
      </c>
      <c r="L8352" t="n">
        <v>0</v>
      </c>
      <c r="M8352" t="n">
        <v>0</v>
      </c>
      <c r="N8352" t="n">
        <v>0</v>
      </c>
      <c r="O8352" t="n">
        <v>0</v>
      </c>
      <c r="P8352" t="n">
        <v>0</v>
      </c>
      <c r="Q8352" t="n">
        <v>0</v>
      </c>
      <c r="R8352" t="n">
        <v>0</v>
      </c>
      <c r="S8352" t="n">
        <v>0</v>
      </c>
      <c r="T8352" t="n">
        <v>0</v>
      </c>
      <c r="U8352" t="n">
        <v>0</v>
      </c>
      <c r="V8352" s="2" t="inlineStr"/>
    </row>
    <row r="8353" ht="15" customHeight="1">
      <c r="A8353" t="inlineStr">
        <is>
          <t>A 24916-2026</t>
        </is>
      </c>
      <c r="B8353" t="inlineStr">
        <is>
          <t>avverkningsanmälan</t>
        </is>
      </c>
      <c r="C8353" t="inlineStr">
        <is>
          <t>Föryngringsavverkning</t>
        </is>
      </c>
      <c r="D8353" s="1" t="n">
        <v>46174</v>
      </c>
      <c r="E8353" s="1" t="n">
        <v>46326</v>
      </c>
      <c r="F8353" t="inlineStr">
        <is>
          <t>GÄVLEBORGS LÄN</t>
        </is>
      </c>
      <c r="G8353" t="inlineStr">
        <is>
          <t>SÖDERHAMN</t>
        </is>
      </c>
      <c r="I8353" t="n">
        <v>8.300000000000001</v>
      </c>
      <c r="J8353" t="n">
        <v>0</v>
      </c>
      <c r="K8353" t="n">
        <v>0</v>
      </c>
      <c r="L8353" t="n">
        <v>0</v>
      </c>
      <c r="M8353" t="n">
        <v>0</v>
      </c>
      <c r="N8353" t="n">
        <v>0</v>
      </c>
      <c r="O8353" t="n">
        <v>0</v>
      </c>
      <c r="P8353" t="n">
        <v>0</v>
      </c>
      <c r="Q8353" t="n">
        <v>0</v>
      </c>
      <c r="R8353" t="n">
        <v>0</v>
      </c>
      <c r="S8353" t="n">
        <v>0</v>
      </c>
      <c r="T8353" t="n">
        <v>0</v>
      </c>
      <c r="U8353" t="n">
        <v>0</v>
      </c>
      <c r="V8353" s="2" t="inlineStr"/>
    </row>
    <row r="8354" ht="15" customHeight="1">
      <c r="A8354" t="inlineStr">
        <is>
          <t>A 24917-2026</t>
        </is>
      </c>
      <c r="B8354" t="inlineStr">
        <is>
          <t>avverkningsanmälan</t>
        </is>
      </c>
      <c r="C8354" t="inlineStr">
        <is>
          <t>Föryngringsavverkning</t>
        </is>
      </c>
      <c r="D8354" s="1" t="n">
        <v>46174</v>
      </c>
      <c r="E8354" s="1" t="n">
        <v>46326</v>
      </c>
      <c r="F8354" t="inlineStr">
        <is>
          <t>GÄVLEBORGS LÄN</t>
        </is>
      </c>
      <c r="G8354" t="inlineStr">
        <is>
          <t>SÖDERHAMN</t>
        </is>
      </c>
      <c r="I8354" t="n">
        <v>2</v>
      </c>
      <c r="J8354" t="n">
        <v>0</v>
      </c>
      <c r="K8354" t="n">
        <v>0</v>
      </c>
      <c r="L8354" t="n">
        <v>0</v>
      </c>
      <c r="M8354" t="n">
        <v>0</v>
      </c>
      <c r="N8354" t="n">
        <v>0</v>
      </c>
      <c r="O8354" t="n">
        <v>0</v>
      </c>
      <c r="P8354" t="n">
        <v>0</v>
      </c>
      <c r="Q8354" t="n">
        <v>0</v>
      </c>
      <c r="R8354" t="n">
        <v>0</v>
      </c>
      <c r="S8354" t="n">
        <v>0</v>
      </c>
      <c r="T8354" t="n">
        <v>0</v>
      </c>
      <c r="U8354" t="n">
        <v>0</v>
      </c>
      <c r="V8354" s="2" t="inlineStr"/>
    </row>
    <row r="8355" ht="15" customHeight="1">
      <c r="A8355" t="inlineStr">
        <is>
          <t>A 30630-2022</t>
        </is>
      </c>
      <c r="B8355" t="inlineStr">
        <is>
          <t>avverkningsanmälan</t>
        </is>
      </c>
      <c r="C8355" t="inlineStr">
        <is>
          <t>Föryngringsavverkning</t>
        </is>
      </c>
      <c r="D8355" s="1" t="n">
        <v>44763</v>
      </c>
      <c r="E8355" s="1" t="n">
        <v>46326</v>
      </c>
      <c r="F8355" t="inlineStr">
        <is>
          <t>GÄVLEBORGS LÄN</t>
        </is>
      </c>
      <c r="G8355" t="inlineStr">
        <is>
          <t>NORDANSTIG</t>
        </is>
      </c>
      <c r="H8355" t="inlineStr">
        <is>
          <t>Holmen skog AB</t>
        </is>
      </c>
      <c r="I8355" t="n">
        <v>1.4</v>
      </c>
      <c r="J8355" t="n">
        <v>0</v>
      </c>
      <c r="K8355" t="n">
        <v>0</v>
      </c>
      <c r="L8355" t="n">
        <v>0</v>
      </c>
      <c r="M8355" t="n">
        <v>0</v>
      </c>
      <c r="N8355" t="n">
        <v>0</v>
      </c>
      <c r="O8355" t="n">
        <v>0</v>
      </c>
      <c r="P8355" t="n">
        <v>0</v>
      </c>
      <c r="Q8355" t="n">
        <v>0</v>
      </c>
      <c r="R8355" t="n">
        <v>0</v>
      </c>
      <c r="S8355" t="n">
        <v>0</v>
      </c>
      <c r="T8355" t="n">
        <v>0</v>
      </c>
      <c r="U8355" t="n">
        <v>0</v>
      </c>
      <c r="V8355" s="2" t="inlineStr"/>
    </row>
    <row r="8356" ht="15" customHeight="1">
      <c r="A8356" t="inlineStr">
        <is>
          <t>A 24966-2026</t>
        </is>
      </c>
      <c r="B8356" t="inlineStr">
        <is>
          <t>avverkningsanmälan</t>
        </is>
      </c>
      <c r="C8356" t="inlineStr">
        <is>
          <t>Föryngringsavverkning</t>
        </is>
      </c>
      <c r="D8356" s="1" t="n">
        <v>46174</v>
      </c>
      <c r="E8356" s="1" t="n">
        <v>46326</v>
      </c>
      <c r="F8356" t="inlineStr">
        <is>
          <t>GÄVLEBORGS LÄN</t>
        </is>
      </c>
      <c r="G8356" t="inlineStr">
        <is>
          <t>SÖDERHAMN</t>
        </is>
      </c>
      <c r="I8356" t="n">
        <v>2.8</v>
      </c>
      <c r="J8356" t="n">
        <v>0</v>
      </c>
      <c r="K8356" t="n">
        <v>0</v>
      </c>
      <c r="L8356" t="n">
        <v>0</v>
      </c>
      <c r="M8356" t="n">
        <v>0</v>
      </c>
      <c r="N8356" t="n">
        <v>0</v>
      </c>
      <c r="O8356" t="n">
        <v>0</v>
      </c>
      <c r="P8356" t="n">
        <v>0</v>
      </c>
      <c r="Q8356" t="n">
        <v>0</v>
      </c>
      <c r="R8356" t="n">
        <v>0</v>
      </c>
      <c r="S8356" t="n">
        <v>0</v>
      </c>
      <c r="T8356" t="n">
        <v>0</v>
      </c>
      <c r="U8356" t="n">
        <v>0</v>
      </c>
      <c r="V8356" s="2" t="inlineStr"/>
    </row>
    <row r="8357" ht="15" customHeight="1">
      <c r="A8357" t="inlineStr">
        <is>
          <t>A 24968-2026</t>
        </is>
      </c>
      <c r="B8357" t="inlineStr">
        <is>
          <t>avverkningsanmälan</t>
        </is>
      </c>
      <c r="C8357" t="inlineStr">
        <is>
          <t>Föryngringsavverkning</t>
        </is>
      </c>
      <c r="D8357" s="1" t="n">
        <v>46174</v>
      </c>
      <c r="E8357" s="1" t="n">
        <v>46326</v>
      </c>
      <c r="F8357" t="inlineStr">
        <is>
          <t>GÄVLEBORGS LÄN</t>
        </is>
      </c>
      <c r="G8357" t="inlineStr">
        <is>
          <t>OCKELBO</t>
        </is>
      </c>
      <c r="I8357" t="n">
        <v>6.2</v>
      </c>
      <c r="J8357" t="n">
        <v>0</v>
      </c>
      <c r="K8357" t="n">
        <v>0</v>
      </c>
      <c r="L8357" t="n">
        <v>0</v>
      </c>
      <c r="M8357" t="n">
        <v>0</v>
      </c>
      <c r="N8357" t="n">
        <v>0</v>
      </c>
      <c r="O8357" t="n">
        <v>0</v>
      </c>
      <c r="P8357" t="n">
        <v>0</v>
      </c>
      <c r="Q8357" t="n">
        <v>0</v>
      </c>
      <c r="R8357" t="n">
        <v>0</v>
      </c>
      <c r="S8357" t="n">
        <v>0</v>
      </c>
      <c r="T8357" t="n">
        <v>0</v>
      </c>
      <c r="U8357" t="n">
        <v>0</v>
      </c>
      <c r="V8357" s="2" t="inlineStr"/>
    </row>
    <row r="8358" ht="15" customHeight="1">
      <c r="A8358" t="inlineStr">
        <is>
          <t>A 4483-2026</t>
        </is>
      </c>
      <c r="B8358" t="inlineStr">
        <is>
          <t>avverkningsanmälan</t>
        </is>
      </c>
      <c r="C8358" t="inlineStr">
        <is>
          <t>Föryngringsavverkning</t>
        </is>
      </c>
      <c r="D8358" s="1" t="n">
        <v>46045</v>
      </c>
      <c r="E8358" s="1" t="n">
        <v>46326</v>
      </c>
      <c r="F8358" t="inlineStr">
        <is>
          <t>GÄVLEBORGS LÄN</t>
        </is>
      </c>
      <c r="G8358" t="inlineStr">
        <is>
          <t>SANDVIKEN</t>
        </is>
      </c>
      <c r="I8358" t="n">
        <v>0.6</v>
      </c>
      <c r="J8358" t="n">
        <v>0</v>
      </c>
      <c r="K8358" t="n">
        <v>0</v>
      </c>
      <c r="L8358" t="n">
        <v>0</v>
      </c>
      <c r="M8358" t="n">
        <v>0</v>
      </c>
      <c r="N8358" t="n">
        <v>0</v>
      </c>
      <c r="O8358" t="n">
        <v>0</v>
      </c>
      <c r="P8358" t="n">
        <v>0</v>
      </c>
      <c r="Q8358" t="n">
        <v>0</v>
      </c>
      <c r="R8358" t="n">
        <v>0</v>
      </c>
      <c r="S8358" t="n">
        <v>0</v>
      </c>
      <c r="T8358" t="n">
        <v>0</v>
      </c>
      <c r="U8358" t="n">
        <v>0</v>
      </c>
      <c r="V8358" s="2" t="inlineStr"/>
    </row>
    <row r="8359" ht="15" customHeight="1">
      <c r="A8359" t="inlineStr">
        <is>
          <t>A 26839-2024</t>
        </is>
      </c>
      <c r="B8359" t="inlineStr">
        <is>
          <t>avverkningsanmälan</t>
        </is>
      </c>
      <c r="C8359" t="inlineStr">
        <is>
          <t>Föryngringsavverkning</t>
        </is>
      </c>
      <c r="D8359" s="1" t="n">
        <v>45470</v>
      </c>
      <c r="E8359" s="1" t="n">
        <v>46326</v>
      </c>
      <c r="F8359" t="inlineStr">
        <is>
          <t>GÄVLEBORGS LÄN</t>
        </is>
      </c>
      <c r="G8359" t="inlineStr">
        <is>
          <t>SÖDERHAMN</t>
        </is>
      </c>
      <c r="H8359" t="inlineStr">
        <is>
          <t>Bergvik skog väst AB</t>
        </is>
      </c>
      <c r="I8359" t="n">
        <v>0.9</v>
      </c>
      <c r="J8359" t="n">
        <v>0</v>
      </c>
      <c r="K8359" t="n">
        <v>0</v>
      </c>
      <c r="L8359" t="n">
        <v>0</v>
      </c>
      <c r="M8359" t="n">
        <v>0</v>
      </c>
      <c r="N8359" t="n">
        <v>0</v>
      </c>
      <c r="O8359" t="n">
        <v>0</v>
      </c>
      <c r="P8359" t="n">
        <v>0</v>
      </c>
      <c r="Q8359" t="n">
        <v>0</v>
      </c>
      <c r="R8359" t="n">
        <v>0</v>
      </c>
      <c r="S8359" t="n">
        <v>0</v>
      </c>
      <c r="T8359" t="n">
        <v>0</v>
      </c>
      <c r="U8359" t="n">
        <v>0</v>
      </c>
      <c r="V8359" s="2" t="inlineStr"/>
    </row>
    <row r="8360" ht="15" customHeight="1">
      <c r="A8360" t="inlineStr">
        <is>
          <t>A 18977-2026</t>
        </is>
      </c>
      <c r="B8360" t="inlineStr">
        <is>
          <t>avverkningsanmälan</t>
        </is>
      </c>
      <c r="C8360" t="inlineStr">
        <is>
          <t>Föryngringsavverkning</t>
        </is>
      </c>
      <c r="D8360" s="1" t="n">
        <v>46129</v>
      </c>
      <c r="E8360" s="1" t="n">
        <v>46326</v>
      </c>
      <c r="F8360" t="inlineStr">
        <is>
          <t>GÄVLEBORGS LÄN</t>
        </is>
      </c>
      <c r="G8360" t="inlineStr">
        <is>
          <t>OVANÅKER</t>
        </is>
      </c>
      <c r="I8360" t="n">
        <v>9.1</v>
      </c>
      <c r="J8360" t="n">
        <v>0</v>
      </c>
      <c r="K8360" t="n">
        <v>0</v>
      </c>
      <c r="L8360" t="n">
        <v>0</v>
      </c>
      <c r="M8360" t="n">
        <v>0</v>
      </c>
      <c r="N8360" t="n">
        <v>0</v>
      </c>
      <c r="O8360" t="n">
        <v>0</v>
      </c>
      <c r="P8360" t="n">
        <v>0</v>
      </c>
      <c r="Q8360" t="n">
        <v>0</v>
      </c>
      <c r="R8360" t="n">
        <v>0</v>
      </c>
      <c r="S8360" t="n">
        <v>0</v>
      </c>
      <c r="T8360" t="n">
        <v>0</v>
      </c>
      <c r="U8360" t="n">
        <v>0</v>
      </c>
      <c r="V8360" s="2" t="inlineStr"/>
    </row>
    <row r="8361" ht="15" customHeight="1">
      <c r="A8361" t="inlineStr">
        <is>
          <t>A 10578-2025</t>
        </is>
      </c>
      <c r="B8361" t="inlineStr">
        <is>
          <t>avverkningsanmälan</t>
        </is>
      </c>
      <c r="C8361" t="inlineStr">
        <is>
          <t>Föryngringsavverkning</t>
        </is>
      </c>
      <c r="D8361" s="1" t="n">
        <v>45721</v>
      </c>
      <c r="E8361" s="1" t="n">
        <v>46326</v>
      </c>
      <c r="F8361" t="inlineStr">
        <is>
          <t>GÄVLEBORGS LÄN</t>
        </is>
      </c>
      <c r="G8361" t="inlineStr">
        <is>
          <t>SANDVIKEN</t>
        </is>
      </c>
      <c r="H8361" t="inlineStr">
        <is>
          <t>Sveaskog</t>
        </is>
      </c>
      <c r="I8361" t="n">
        <v>5.8</v>
      </c>
      <c r="J8361" t="n">
        <v>0</v>
      </c>
      <c r="K8361" t="n">
        <v>0</v>
      </c>
      <c r="L8361" t="n">
        <v>0</v>
      </c>
      <c r="M8361" t="n">
        <v>0</v>
      </c>
      <c r="N8361" t="n">
        <v>0</v>
      </c>
      <c r="O8361" t="n">
        <v>0</v>
      </c>
      <c r="P8361" t="n">
        <v>0</v>
      </c>
      <c r="Q8361" t="n">
        <v>0</v>
      </c>
      <c r="R8361" t="n">
        <v>0</v>
      </c>
      <c r="S8361" t="n">
        <v>0</v>
      </c>
      <c r="T8361" t="n">
        <v>0</v>
      </c>
      <c r="U8361" t="n">
        <v>0</v>
      </c>
      <c r="V8361" s="2" t="inlineStr"/>
    </row>
    <row r="8362" ht="15" customHeight="1">
      <c r="A8362" t="inlineStr">
        <is>
          <t>A 24885-2026</t>
        </is>
      </c>
      <c r="B8362" t="inlineStr">
        <is>
          <t>avverkningsanmälan</t>
        </is>
      </c>
      <c r="C8362" t="inlineStr">
        <is>
          <t>Föryngringsavverkning</t>
        </is>
      </c>
      <c r="D8362" s="1" t="n">
        <v>46174</v>
      </c>
      <c r="E8362" s="1" t="n">
        <v>46326</v>
      </c>
      <c r="F8362" t="inlineStr">
        <is>
          <t>GÄVLEBORGS LÄN</t>
        </is>
      </c>
      <c r="G8362" t="inlineStr">
        <is>
          <t>BOLLNÄS</t>
        </is>
      </c>
      <c r="I8362" t="n">
        <v>5</v>
      </c>
      <c r="J8362" t="n">
        <v>0</v>
      </c>
      <c r="K8362" t="n">
        <v>0</v>
      </c>
      <c r="L8362" t="n">
        <v>0</v>
      </c>
      <c r="M8362" t="n">
        <v>0</v>
      </c>
      <c r="N8362" t="n">
        <v>0</v>
      </c>
      <c r="O8362" t="n">
        <v>0</v>
      </c>
      <c r="P8362" t="n">
        <v>0</v>
      </c>
      <c r="Q8362" t="n">
        <v>0</v>
      </c>
      <c r="R8362" t="n">
        <v>0</v>
      </c>
      <c r="S8362" t="n">
        <v>0</v>
      </c>
      <c r="T8362" t="n">
        <v>0</v>
      </c>
      <c r="U8362" t="n">
        <v>0</v>
      </c>
      <c r="V8362" s="2" t="inlineStr"/>
    </row>
    <row r="8363" ht="15" customHeight="1">
      <c r="A8363" t="inlineStr">
        <is>
          <t>A 24918-2026</t>
        </is>
      </c>
      <c r="B8363" t="inlineStr">
        <is>
          <t>avverkningsanmälan</t>
        </is>
      </c>
      <c r="C8363" t="inlineStr">
        <is>
          <t>Föryngringsavverkning</t>
        </is>
      </c>
      <c r="D8363" s="1" t="n">
        <v>46174</v>
      </c>
      <c r="E8363" s="1" t="n">
        <v>46326</v>
      </c>
      <c r="F8363" t="inlineStr">
        <is>
          <t>GÄVLEBORGS LÄN</t>
        </is>
      </c>
      <c r="G8363" t="inlineStr">
        <is>
          <t>SÖDERHAMN</t>
        </is>
      </c>
      <c r="I8363" t="n">
        <v>2.2</v>
      </c>
      <c r="J8363" t="n">
        <v>0</v>
      </c>
      <c r="K8363" t="n">
        <v>0</v>
      </c>
      <c r="L8363" t="n">
        <v>0</v>
      </c>
      <c r="M8363" t="n">
        <v>0</v>
      </c>
      <c r="N8363" t="n">
        <v>0</v>
      </c>
      <c r="O8363" t="n">
        <v>0</v>
      </c>
      <c r="P8363" t="n">
        <v>0</v>
      </c>
      <c r="Q8363" t="n">
        <v>0</v>
      </c>
      <c r="R8363" t="n">
        <v>0</v>
      </c>
      <c r="S8363" t="n">
        <v>0</v>
      </c>
      <c r="T8363" t="n">
        <v>0</v>
      </c>
      <c r="U8363" t="n">
        <v>0</v>
      </c>
      <c r="V8363" s="2" t="inlineStr"/>
    </row>
    <row r="8364" ht="15" customHeight="1">
      <c r="A8364" t="inlineStr">
        <is>
          <t>A 36960-2023</t>
        </is>
      </c>
      <c r="B8364" t="inlineStr">
        <is>
          <t>avverkningsanmälan</t>
        </is>
      </c>
      <c r="C8364" t="inlineStr">
        <is>
          <t>Avverkning för annat ändamål</t>
        </is>
      </c>
      <c r="D8364" s="1" t="n">
        <v>45154</v>
      </c>
      <c r="E8364" s="1" t="n">
        <v>46326</v>
      </c>
      <c r="F8364" t="inlineStr">
        <is>
          <t>GÄVLEBORGS LÄN</t>
        </is>
      </c>
      <c r="G8364" t="inlineStr">
        <is>
          <t>NORDANSTIG</t>
        </is>
      </c>
      <c r="I8364" t="n">
        <v>1</v>
      </c>
      <c r="J8364" t="n">
        <v>0</v>
      </c>
      <c r="K8364" t="n">
        <v>0</v>
      </c>
      <c r="L8364" t="n">
        <v>0</v>
      </c>
      <c r="M8364" t="n">
        <v>0</v>
      </c>
      <c r="N8364" t="n">
        <v>0</v>
      </c>
      <c r="O8364" t="n">
        <v>0</v>
      </c>
      <c r="P8364" t="n">
        <v>0</v>
      </c>
      <c r="Q8364" t="n">
        <v>0</v>
      </c>
      <c r="R8364" t="n">
        <v>0</v>
      </c>
      <c r="S8364" t="n">
        <v>0</v>
      </c>
      <c r="T8364" t="n">
        <v>0</v>
      </c>
      <c r="U8364" t="n">
        <v>0</v>
      </c>
      <c r="V8364" s="2" t="inlineStr"/>
    </row>
    <row r="8365" ht="15" customHeight="1">
      <c r="A8365" t="inlineStr">
        <is>
          <t>A 31270-2024</t>
        </is>
      </c>
      <c r="B8365" t="inlineStr">
        <is>
          <t>avverkningsanmälan</t>
        </is>
      </c>
      <c r="C8365" t="inlineStr">
        <is>
          <t>Föryngringsavverkning</t>
        </is>
      </c>
      <c r="D8365" s="1" t="n">
        <v>45504</v>
      </c>
      <c r="E8365" s="1" t="n">
        <v>46326</v>
      </c>
      <c r="F8365" t="inlineStr">
        <is>
          <t>GÄVLEBORGS LÄN</t>
        </is>
      </c>
      <c r="G8365" t="inlineStr">
        <is>
          <t>NORDANSTIG</t>
        </is>
      </c>
      <c r="I8365" t="n">
        <v>3.2</v>
      </c>
      <c r="J8365" t="n">
        <v>0</v>
      </c>
      <c r="K8365" t="n">
        <v>0</v>
      </c>
      <c r="L8365" t="n">
        <v>0</v>
      </c>
      <c r="M8365" t="n">
        <v>0</v>
      </c>
      <c r="N8365" t="n">
        <v>0</v>
      </c>
      <c r="O8365" t="n">
        <v>0</v>
      </c>
      <c r="P8365" t="n">
        <v>0</v>
      </c>
      <c r="Q8365" t="n">
        <v>0</v>
      </c>
      <c r="R8365" t="n">
        <v>0</v>
      </c>
      <c r="S8365" t="n">
        <v>0</v>
      </c>
      <c r="T8365" t="n">
        <v>0</v>
      </c>
      <c r="U8365" t="n">
        <v>0</v>
      </c>
      <c r="V8365" s="2" t="inlineStr"/>
    </row>
    <row r="8366" ht="15" customHeight="1">
      <c r="A8366" t="inlineStr">
        <is>
          <t>A 10888-2025</t>
        </is>
      </c>
      <c r="B8366" t="inlineStr">
        <is>
          <t>avverkningsanmälan</t>
        </is>
      </c>
      <c r="C8366" t="inlineStr">
        <is>
          <t>Föryngringsavverkning</t>
        </is>
      </c>
      <c r="D8366" s="1" t="n">
        <v>45722</v>
      </c>
      <c r="E8366" s="1" t="n">
        <v>46326</v>
      </c>
      <c r="F8366" t="inlineStr">
        <is>
          <t>GÄVLEBORGS LÄN</t>
        </is>
      </c>
      <c r="G8366" t="inlineStr">
        <is>
          <t>OVANÅKER</t>
        </is>
      </c>
      <c r="H8366" t="inlineStr">
        <is>
          <t>Bergvik skog öst AB</t>
        </is>
      </c>
      <c r="I8366" t="n">
        <v>1</v>
      </c>
      <c r="J8366" t="n">
        <v>0</v>
      </c>
      <c r="K8366" t="n">
        <v>0</v>
      </c>
      <c r="L8366" t="n">
        <v>0</v>
      </c>
      <c r="M8366" t="n">
        <v>0</v>
      </c>
      <c r="N8366" t="n">
        <v>0</v>
      </c>
      <c r="O8366" t="n">
        <v>0</v>
      </c>
      <c r="P8366" t="n">
        <v>0</v>
      </c>
      <c r="Q8366" t="n">
        <v>0</v>
      </c>
      <c r="R8366" t="n">
        <v>0</v>
      </c>
      <c r="S8366" t="n">
        <v>0</v>
      </c>
      <c r="T8366" t="n">
        <v>0</v>
      </c>
      <c r="U8366" t="n">
        <v>0</v>
      </c>
      <c r="V8366" s="2" t="inlineStr"/>
    </row>
    <row r="8367" ht="15" customHeight="1">
      <c r="A8367" t="inlineStr">
        <is>
          <t>A 51438-2023</t>
        </is>
      </c>
      <c r="B8367" t="inlineStr">
        <is>
          <t>avverkningsanmälan</t>
        </is>
      </c>
      <c r="C8367" t="inlineStr">
        <is>
          <t>Föryngringsavverkning</t>
        </is>
      </c>
      <c r="D8367" s="1" t="n">
        <v>45219</v>
      </c>
      <c r="E8367" s="1" t="n">
        <v>46326</v>
      </c>
      <c r="F8367" t="inlineStr">
        <is>
          <t>GÄVLEBORGS LÄN</t>
        </is>
      </c>
      <c r="G8367" t="inlineStr">
        <is>
          <t>NORDANSTIG</t>
        </is>
      </c>
      <c r="H8367" t="inlineStr">
        <is>
          <t>SCA</t>
        </is>
      </c>
      <c r="I8367" t="n">
        <v>1.3</v>
      </c>
      <c r="J8367" t="n">
        <v>0</v>
      </c>
      <c r="K8367" t="n">
        <v>0</v>
      </c>
      <c r="L8367" t="n">
        <v>0</v>
      </c>
      <c r="M8367" t="n">
        <v>0</v>
      </c>
      <c r="N8367" t="n">
        <v>0</v>
      </c>
      <c r="O8367" t="n">
        <v>0</v>
      </c>
      <c r="P8367" t="n">
        <v>0</v>
      </c>
      <c r="Q8367" t="n">
        <v>0</v>
      </c>
      <c r="R8367" t="n">
        <v>0</v>
      </c>
      <c r="S8367" t="n">
        <v>0</v>
      </c>
      <c r="T8367" t="n">
        <v>0</v>
      </c>
      <c r="U8367" t="n">
        <v>0</v>
      </c>
      <c r="V8367" s="2" t="inlineStr"/>
    </row>
    <row r="8368" ht="15" customHeight="1">
      <c r="A8368" t="inlineStr">
        <is>
          <t>A 44070-2023</t>
        </is>
      </c>
      <c r="B8368" t="inlineStr">
        <is>
          <t>avverkningsanmälan</t>
        </is>
      </c>
      <c r="C8368" t="inlineStr">
        <is>
          <t>Föryngringsavverkning</t>
        </is>
      </c>
      <c r="D8368" s="1" t="n">
        <v>45188</v>
      </c>
      <c r="E8368" s="1" t="n">
        <v>46326</v>
      </c>
      <c r="F8368" t="inlineStr">
        <is>
          <t>GÄVLEBORGS LÄN</t>
        </is>
      </c>
      <c r="G8368" t="inlineStr">
        <is>
          <t>HUDIKSVALL</t>
        </is>
      </c>
      <c r="H8368" t="inlineStr">
        <is>
          <t>Holmen skog AB</t>
        </is>
      </c>
      <c r="I8368" t="n">
        <v>11.6</v>
      </c>
      <c r="J8368" t="n">
        <v>0</v>
      </c>
      <c r="K8368" t="n">
        <v>0</v>
      </c>
      <c r="L8368" t="n">
        <v>0</v>
      </c>
      <c r="M8368" t="n">
        <v>0</v>
      </c>
      <c r="N8368" t="n">
        <v>0</v>
      </c>
      <c r="O8368" t="n">
        <v>0</v>
      </c>
      <c r="P8368" t="n">
        <v>0</v>
      </c>
      <c r="Q8368" t="n">
        <v>0</v>
      </c>
      <c r="R8368" t="n">
        <v>0</v>
      </c>
      <c r="S8368" t="n">
        <v>0</v>
      </c>
      <c r="T8368" t="n">
        <v>0</v>
      </c>
      <c r="U8368" t="n">
        <v>0</v>
      </c>
      <c r="V8368" s="2" t="inlineStr"/>
    </row>
    <row r="8369" ht="15" customHeight="1">
      <c r="A8369" t="inlineStr">
        <is>
          <t>A 44084-2023</t>
        </is>
      </c>
      <c r="B8369" t="inlineStr">
        <is>
          <t>avverkningsanmälan</t>
        </is>
      </c>
      <c r="C8369" t="inlineStr">
        <is>
          <t>Föryngringsavverkning</t>
        </is>
      </c>
      <c r="D8369" s="1" t="n">
        <v>45188</v>
      </c>
      <c r="E8369" s="1" t="n">
        <v>46326</v>
      </c>
      <c r="F8369" t="inlineStr">
        <is>
          <t>GÄVLEBORGS LÄN</t>
        </is>
      </c>
      <c r="G8369" t="inlineStr">
        <is>
          <t>HUDIKSVALL</t>
        </is>
      </c>
      <c r="H8369" t="inlineStr">
        <is>
          <t>Holmen skog AB</t>
        </is>
      </c>
      <c r="I8369" t="n">
        <v>1</v>
      </c>
      <c r="J8369" t="n">
        <v>0</v>
      </c>
      <c r="K8369" t="n">
        <v>0</v>
      </c>
      <c r="L8369" t="n">
        <v>0</v>
      </c>
      <c r="M8369" t="n">
        <v>0</v>
      </c>
      <c r="N8369" t="n">
        <v>0</v>
      </c>
      <c r="O8369" t="n">
        <v>0</v>
      </c>
      <c r="P8369" t="n">
        <v>0</v>
      </c>
      <c r="Q8369" t="n">
        <v>0</v>
      </c>
      <c r="R8369" t="n">
        <v>0</v>
      </c>
      <c r="S8369" t="n">
        <v>0</v>
      </c>
      <c r="T8369" t="n">
        <v>0</v>
      </c>
      <c r="U8369" t="n">
        <v>0</v>
      </c>
      <c r="V8369" s="2" t="inlineStr"/>
    </row>
    <row r="8370" ht="15" customHeight="1">
      <c r="A8370" t="inlineStr">
        <is>
          <t>A 24198-2026</t>
        </is>
      </c>
      <c r="B8370" t="inlineStr">
        <is>
          <t>avverkningsanmälan</t>
        </is>
      </c>
      <c r="C8370" t="inlineStr">
        <is>
          <t>Föryngringsavverkning</t>
        </is>
      </c>
      <c r="D8370" s="1" t="n">
        <v>46168</v>
      </c>
      <c r="E8370" s="1" t="n">
        <v>46326</v>
      </c>
      <c r="F8370" t="inlineStr">
        <is>
          <t>GÄVLEBORGS LÄN</t>
        </is>
      </c>
      <c r="G8370" t="inlineStr">
        <is>
          <t>LJUSDAL</t>
        </is>
      </c>
      <c r="H8370" t="inlineStr">
        <is>
          <t>SCA</t>
        </is>
      </c>
      <c r="I8370" t="n">
        <v>1.3</v>
      </c>
      <c r="J8370" t="n">
        <v>0</v>
      </c>
      <c r="K8370" t="n">
        <v>0</v>
      </c>
      <c r="L8370" t="n">
        <v>0</v>
      </c>
      <c r="M8370" t="n">
        <v>0</v>
      </c>
      <c r="N8370" t="n">
        <v>0</v>
      </c>
      <c r="O8370" t="n">
        <v>0</v>
      </c>
      <c r="P8370" t="n">
        <v>0</v>
      </c>
      <c r="Q8370" t="n">
        <v>0</v>
      </c>
      <c r="R8370" t="n">
        <v>0</v>
      </c>
      <c r="S8370" t="n">
        <v>0</v>
      </c>
      <c r="T8370" t="n">
        <v>0</v>
      </c>
      <c r="U8370" t="n">
        <v>0</v>
      </c>
      <c r="V8370" s="2" t="inlineStr"/>
    </row>
    <row r="8371" ht="15" customHeight="1">
      <c r="A8371" t="inlineStr">
        <is>
          <t>A 44101-2023</t>
        </is>
      </c>
      <c r="B8371" t="inlineStr">
        <is>
          <t>avverkningsanmälan</t>
        </is>
      </c>
      <c r="C8371" t="inlineStr">
        <is>
          <t>Föryngringsavverkning</t>
        </is>
      </c>
      <c r="D8371" s="1" t="n">
        <v>45188</v>
      </c>
      <c r="E8371" s="1" t="n">
        <v>46326</v>
      </c>
      <c r="F8371" t="inlineStr">
        <is>
          <t>GÄVLEBORGS LÄN</t>
        </is>
      </c>
      <c r="G8371" t="inlineStr">
        <is>
          <t>SANDVIKEN</t>
        </is>
      </c>
      <c r="H8371" t="inlineStr">
        <is>
          <t>Bergvik skog öst AB</t>
        </is>
      </c>
      <c r="I8371" t="n">
        <v>1.5</v>
      </c>
      <c r="J8371" t="n">
        <v>0</v>
      </c>
      <c r="K8371" t="n">
        <v>0</v>
      </c>
      <c r="L8371" t="n">
        <v>0</v>
      </c>
      <c r="M8371" t="n">
        <v>0</v>
      </c>
      <c r="N8371" t="n">
        <v>0</v>
      </c>
      <c r="O8371" t="n">
        <v>0</v>
      </c>
      <c r="P8371" t="n">
        <v>0</v>
      </c>
      <c r="Q8371" t="n">
        <v>0</v>
      </c>
      <c r="R8371" t="n">
        <v>0</v>
      </c>
      <c r="S8371" t="n">
        <v>0</v>
      </c>
      <c r="T8371" t="n">
        <v>0</v>
      </c>
      <c r="U8371" t="n">
        <v>0</v>
      </c>
      <c r="V8371" s="2" t="inlineStr"/>
    </row>
    <row r="8372" ht="15" customHeight="1">
      <c r="A8372" t="inlineStr">
        <is>
          <t>A 54944-2025</t>
        </is>
      </c>
      <c r="B8372" t="inlineStr">
        <is>
          <t>avverkningsanmälan</t>
        </is>
      </c>
      <c r="C8372" t="inlineStr">
        <is>
          <t>Föryngringsavverkning</t>
        </is>
      </c>
      <c r="D8372" s="1" t="n">
        <v>45967</v>
      </c>
      <c r="E8372" s="1" t="n">
        <v>46326</v>
      </c>
      <c r="F8372" t="inlineStr">
        <is>
          <t>GÄVLEBORGS LÄN</t>
        </is>
      </c>
      <c r="G8372" t="inlineStr">
        <is>
          <t>OCKELBO</t>
        </is>
      </c>
      <c r="I8372" t="n">
        <v>1.7</v>
      </c>
      <c r="J8372" t="n">
        <v>0</v>
      </c>
      <c r="K8372" t="n">
        <v>0</v>
      </c>
      <c r="L8372" t="n">
        <v>0</v>
      </c>
      <c r="M8372" t="n">
        <v>0</v>
      </c>
      <c r="N8372" t="n">
        <v>0</v>
      </c>
      <c r="O8372" t="n">
        <v>0</v>
      </c>
      <c r="P8372" t="n">
        <v>0</v>
      </c>
      <c r="Q8372" t="n">
        <v>0</v>
      </c>
      <c r="R8372" t="n">
        <v>0</v>
      </c>
      <c r="S8372" t="n">
        <v>0</v>
      </c>
      <c r="T8372" t="n">
        <v>0</v>
      </c>
      <c r="U8372" t="n">
        <v>0</v>
      </c>
      <c r="V8372" s="2" t="inlineStr"/>
    </row>
    <row r="8373" ht="15" customHeight="1">
      <c r="A8373" t="inlineStr">
        <is>
          <t>A 24952-2026</t>
        </is>
      </c>
      <c r="B8373" t="inlineStr">
        <is>
          <t>avverkningsanmälan</t>
        </is>
      </c>
      <c r="C8373" t="inlineStr">
        <is>
          <t>Föryngringsavverkning</t>
        </is>
      </c>
      <c r="D8373" s="1" t="n">
        <v>46174</v>
      </c>
      <c r="E8373" s="1" t="n">
        <v>46326</v>
      </c>
      <c r="F8373" t="inlineStr">
        <is>
          <t>GÄVLEBORGS LÄN</t>
        </is>
      </c>
      <c r="G8373" t="inlineStr">
        <is>
          <t>OCKELBO</t>
        </is>
      </c>
      <c r="I8373" t="n">
        <v>7.9</v>
      </c>
      <c r="J8373" t="n">
        <v>0</v>
      </c>
      <c r="K8373" t="n">
        <v>0</v>
      </c>
      <c r="L8373" t="n">
        <v>0</v>
      </c>
      <c r="M8373" t="n">
        <v>0</v>
      </c>
      <c r="N8373" t="n">
        <v>0</v>
      </c>
      <c r="O8373" t="n">
        <v>0</v>
      </c>
      <c r="P8373" t="n">
        <v>0</v>
      </c>
      <c r="Q8373" t="n">
        <v>0</v>
      </c>
      <c r="R8373" t="n">
        <v>0</v>
      </c>
      <c r="S8373" t="n">
        <v>0</v>
      </c>
      <c r="T8373" t="n">
        <v>0</v>
      </c>
      <c r="U8373" t="n">
        <v>0</v>
      </c>
      <c r="V8373" s="2" t="inlineStr"/>
    </row>
    <row r="8374" ht="15" customHeight="1">
      <c r="A8374" t="inlineStr">
        <is>
          <t>A 14811-2026</t>
        </is>
      </c>
      <c r="B8374" t="inlineStr">
        <is>
          <t>avverkningsanmälan</t>
        </is>
      </c>
      <c r="C8374" t="inlineStr">
        <is>
          <t>Föryngringsavverkning</t>
        </is>
      </c>
      <c r="D8374" s="1" t="n">
        <v>46104</v>
      </c>
      <c r="E8374" s="1" t="n">
        <v>46326</v>
      </c>
      <c r="F8374" t="inlineStr">
        <is>
          <t>GÄVLEBORGS LÄN</t>
        </is>
      </c>
      <c r="G8374" t="inlineStr">
        <is>
          <t>BOLLNÄS</t>
        </is>
      </c>
      <c r="I8374" t="n">
        <v>1.2</v>
      </c>
      <c r="J8374" t="n">
        <v>0</v>
      </c>
      <c r="K8374" t="n">
        <v>0</v>
      </c>
      <c r="L8374" t="n">
        <v>0</v>
      </c>
      <c r="M8374" t="n">
        <v>0</v>
      </c>
      <c r="N8374" t="n">
        <v>0</v>
      </c>
      <c r="O8374" t="n">
        <v>0</v>
      </c>
      <c r="P8374" t="n">
        <v>0</v>
      </c>
      <c r="Q8374" t="n">
        <v>0</v>
      </c>
      <c r="R8374" t="n">
        <v>0</v>
      </c>
      <c r="S8374" t="n">
        <v>0</v>
      </c>
      <c r="T8374" t="n">
        <v>0</v>
      </c>
      <c r="U8374" t="n">
        <v>0</v>
      </c>
      <c r="V8374" s="2" t="inlineStr"/>
    </row>
    <row r="8375" ht="15" customHeight="1">
      <c r="A8375" t="inlineStr">
        <is>
          <t>A 11093-2025</t>
        </is>
      </c>
      <c r="B8375" t="inlineStr">
        <is>
          <t>avverkningsanmälan</t>
        </is>
      </c>
      <c r="C8375" t="inlineStr">
        <is>
          <t>Föryngringsavverkning</t>
        </is>
      </c>
      <c r="D8375" s="1" t="n">
        <v>45723</v>
      </c>
      <c r="E8375" s="1" t="n">
        <v>46326</v>
      </c>
      <c r="F8375" t="inlineStr">
        <is>
          <t>GÄVLEBORGS LÄN</t>
        </is>
      </c>
      <c r="G8375" t="inlineStr">
        <is>
          <t>HUDIKSVALL</t>
        </is>
      </c>
      <c r="H8375" t="inlineStr">
        <is>
          <t>Holmen skog AB</t>
        </is>
      </c>
      <c r="I8375" t="n">
        <v>6.1</v>
      </c>
      <c r="J8375" t="n">
        <v>0</v>
      </c>
      <c r="K8375" t="n">
        <v>0</v>
      </c>
      <c r="L8375" t="n">
        <v>0</v>
      </c>
      <c r="M8375" t="n">
        <v>0</v>
      </c>
      <c r="N8375" t="n">
        <v>0</v>
      </c>
      <c r="O8375" t="n">
        <v>0</v>
      </c>
      <c r="P8375" t="n">
        <v>0</v>
      </c>
      <c r="Q8375" t="n">
        <v>0</v>
      </c>
      <c r="R8375" t="n">
        <v>0</v>
      </c>
      <c r="S8375" t="n">
        <v>0</v>
      </c>
      <c r="T8375" t="n">
        <v>0</v>
      </c>
      <c r="U8375" t="n">
        <v>0</v>
      </c>
      <c r="V8375" s="2" t="inlineStr"/>
    </row>
    <row r="8376" ht="15" customHeight="1">
      <c r="A8376" t="inlineStr">
        <is>
          <t>A 11199-2025</t>
        </is>
      </c>
      <c r="B8376" t="inlineStr">
        <is>
          <t>avverkningsanmälan</t>
        </is>
      </c>
      <c r="C8376" t="inlineStr">
        <is>
          <t>Föryngringsavverkning</t>
        </is>
      </c>
      <c r="D8376" s="1" t="n">
        <v>45725</v>
      </c>
      <c r="E8376" s="1" t="n">
        <v>46326</v>
      </c>
      <c r="F8376" t="inlineStr">
        <is>
          <t>GÄVLEBORGS LÄN</t>
        </is>
      </c>
      <c r="G8376" t="inlineStr">
        <is>
          <t>LJUSDAL</t>
        </is>
      </c>
      <c r="I8376" t="n">
        <v>2.6</v>
      </c>
      <c r="J8376" t="n">
        <v>0</v>
      </c>
      <c r="K8376" t="n">
        <v>0</v>
      </c>
      <c r="L8376" t="n">
        <v>0</v>
      </c>
      <c r="M8376" t="n">
        <v>0</v>
      </c>
      <c r="N8376" t="n">
        <v>0</v>
      </c>
      <c r="O8376" t="n">
        <v>0</v>
      </c>
      <c r="P8376" t="n">
        <v>0</v>
      </c>
      <c r="Q8376" t="n">
        <v>0</v>
      </c>
      <c r="R8376" t="n">
        <v>0</v>
      </c>
      <c r="S8376" t="n">
        <v>0</v>
      </c>
      <c r="T8376" t="n">
        <v>0</v>
      </c>
      <c r="U8376" t="n">
        <v>0</v>
      </c>
      <c r="V8376" s="2" t="inlineStr"/>
    </row>
    <row r="8377" ht="15" customHeight="1">
      <c r="A8377" t="inlineStr">
        <is>
          <t>A 24988-2023</t>
        </is>
      </c>
      <c r="B8377" t="inlineStr">
        <is>
          <t>avverkningsanmälan</t>
        </is>
      </c>
      <c r="C8377" t="inlineStr">
        <is>
          <t>Föryngringsavverkning</t>
        </is>
      </c>
      <c r="D8377" s="1" t="n">
        <v>45085</v>
      </c>
      <c r="E8377" s="1" t="n">
        <v>46326</v>
      </c>
      <c r="F8377" t="inlineStr">
        <is>
          <t>GÄVLEBORGS LÄN</t>
        </is>
      </c>
      <c r="G8377" t="inlineStr">
        <is>
          <t>HOFORS</t>
        </is>
      </c>
      <c r="H8377" t="inlineStr">
        <is>
          <t>Sveaskog</t>
        </is>
      </c>
      <c r="I8377" t="n">
        <v>1.9</v>
      </c>
      <c r="J8377" t="n">
        <v>0</v>
      </c>
      <c r="K8377" t="n">
        <v>0</v>
      </c>
      <c r="L8377" t="n">
        <v>0</v>
      </c>
      <c r="M8377" t="n">
        <v>0</v>
      </c>
      <c r="N8377" t="n">
        <v>0</v>
      </c>
      <c r="O8377" t="n">
        <v>0</v>
      </c>
      <c r="P8377" t="n">
        <v>0</v>
      </c>
      <c r="Q8377" t="n">
        <v>0</v>
      </c>
      <c r="R8377" t="n">
        <v>0</v>
      </c>
      <c r="S8377" t="n">
        <v>0</v>
      </c>
      <c r="T8377" t="n">
        <v>0</v>
      </c>
      <c r="U8377" t="n">
        <v>0</v>
      </c>
      <c r="V8377" s="2" t="inlineStr"/>
    </row>
    <row r="8378" ht="15" customHeight="1">
      <c r="A8378" t="inlineStr">
        <is>
          <t>A 61879-2024</t>
        </is>
      </c>
      <c r="B8378" t="inlineStr">
        <is>
          <t>avverkningsanmälan</t>
        </is>
      </c>
      <c r="C8378" t="inlineStr">
        <is>
          <t>Föryngringsavverkning</t>
        </is>
      </c>
      <c r="D8378" s="1" t="n">
        <v>45652</v>
      </c>
      <c r="E8378" s="1" t="n">
        <v>46326</v>
      </c>
      <c r="F8378" t="inlineStr">
        <is>
          <t>GÄVLEBORGS LÄN</t>
        </is>
      </c>
      <c r="G8378" t="inlineStr">
        <is>
          <t>GÄVLE</t>
        </is>
      </c>
      <c r="I8378" t="n">
        <v>1.9</v>
      </c>
      <c r="J8378" t="n">
        <v>0</v>
      </c>
      <c r="K8378" t="n">
        <v>0</v>
      </c>
      <c r="L8378" t="n">
        <v>0</v>
      </c>
      <c r="M8378" t="n">
        <v>0</v>
      </c>
      <c r="N8378" t="n">
        <v>0</v>
      </c>
      <c r="O8378" t="n">
        <v>0</v>
      </c>
      <c r="P8378" t="n">
        <v>0</v>
      </c>
      <c r="Q8378" t="n">
        <v>0</v>
      </c>
      <c r="R8378" t="n">
        <v>0</v>
      </c>
      <c r="S8378" t="n">
        <v>0</v>
      </c>
      <c r="T8378" t="n">
        <v>0</v>
      </c>
      <c r="U8378" t="n">
        <v>0</v>
      </c>
      <c r="V8378" s="2" t="inlineStr"/>
    </row>
    <row r="8379" ht="15" customHeight="1">
      <c r="A8379" t="inlineStr">
        <is>
          <t>A 2889-2025</t>
        </is>
      </c>
      <c r="B8379" t="inlineStr">
        <is>
          <t>avverkningsanmälan</t>
        </is>
      </c>
      <c r="C8379" t="inlineStr">
        <is>
          <t>Föryngringsavverkning</t>
        </is>
      </c>
      <c r="D8379" s="1" t="n">
        <v>45677</v>
      </c>
      <c r="E8379" s="1" t="n">
        <v>46326</v>
      </c>
      <c r="F8379" t="inlineStr">
        <is>
          <t>GÄVLEBORGS LÄN</t>
        </is>
      </c>
      <c r="G8379" t="inlineStr">
        <is>
          <t>HUDIKSVALL</t>
        </is>
      </c>
      <c r="I8379" t="n">
        <v>3.2</v>
      </c>
      <c r="J8379" t="n">
        <v>0</v>
      </c>
      <c r="K8379" t="n">
        <v>0</v>
      </c>
      <c r="L8379" t="n">
        <v>0</v>
      </c>
      <c r="M8379" t="n">
        <v>0</v>
      </c>
      <c r="N8379" t="n">
        <v>0</v>
      </c>
      <c r="O8379" t="n">
        <v>0</v>
      </c>
      <c r="P8379" t="n">
        <v>0</v>
      </c>
      <c r="Q8379" t="n">
        <v>0</v>
      </c>
      <c r="R8379" t="n">
        <v>0</v>
      </c>
      <c r="S8379" t="n">
        <v>0</v>
      </c>
      <c r="T8379" t="n">
        <v>0</v>
      </c>
      <c r="U8379" t="n">
        <v>0</v>
      </c>
      <c r="V8379" s="2" t="inlineStr"/>
    </row>
    <row r="8380" ht="15" customHeight="1">
      <c r="A8380" t="inlineStr">
        <is>
          <t>A 29297-2024</t>
        </is>
      </c>
      <c r="B8380" t="inlineStr">
        <is>
          <t>avverkningsanmälan</t>
        </is>
      </c>
      <c r="C8380" t="inlineStr">
        <is>
          <t>Föryngringsavverkning</t>
        </is>
      </c>
      <c r="D8380" s="1" t="n">
        <v>45483</v>
      </c>
      <c r="E8380" s="1" t="n">
        <v>46326</v>
      </c>
      <c r="F8380" t="inlineStr">
        <is>
          <t>GÄVLEBORGS LÄN</t>
        </is>
      </c>
      <c r="G8380" t="inlineStr">
        <is>
          <t>SANDVIKEN</t>
        </is>
      </c>
      <c r="I8380" t="n">
        <v>3.1</v>
      </c>
      <c r="J8380" t="n">
        <v>0</v>
      </c>
      <c r="K8380" t="n">
        <v>0</v>
      </c>
      <c r="L8380" t="n">
        <v>0</v>
      </c>
      <c r="M8380" t="n">
        <v>0</v>
      </c>
      <c r="N8380" t="n">
        <v>0</v>
      </c>
      <c r="O8380" t="n">
        <v>0</v>
      </c>
      <c r="P8380" t="n">
        <v>0</v>
      </c>
      <c r="Q8380" t="n">
        <v>0</v>
      </c>
      <c r="R8380" t="n">
        <v>0</v>
      </c>
      <c r="S8380" t="n">
        <v>0</v>
      </c>
      <c r="T8380" t="n">
        <v>0</v>
      </c>
      <c r="U8380" t="n">
        <v>0</v>
      </c>
      <c r="V8380" s="2" t="inlineStr"/>
    </row>
    <row r="8381" ht="15" customHeight="1">
      <c r="A8381" t="inlineStr">
        <is>
          <t>A 4488-2026</t>
        </is>
      </c>
      <c r="B8381" t="inlineStr">
        <is>
          <t>avverkningsanmälan</t>
        </is>
      </c>
      <c r="C8381" t="inlineStr">
        <is>
          <t>Föryngringsavverkning</t>
        </is>
      </c>
      <c r="D8381" s="1" t="n">
        <v>46045</v>
      </c>
      <c r="E8381" s="1" t="n">
        <v>46326</v>
      </c>
      <c r="F8381" t="inlineStr">
        <is>
          <t>GÄVLEBORGS LÄN</t>
        </is>
      </c>
      <c r="G8381" t="inlineStr">
        <is>
          <t>SANDVIKEN</t>
        </is>
      </c>
      <c r="I8381" t="n">
        <v>0.5</v>
      </c>
      <c r="J8381" t="n">
        <v>0</v>
      </c>
      <c r="K8381" t="n">
        <v>0</v>
      </c>
      <c r="L8381" t="n">
        <v>0</v>
      </c>
      <c r="M8381" t="n">
        <v>0</v>
      </c>
      <c r="N8381" t="n">
        <v>0</v>
      </c>
      <c r="O8381" t="n">
        <v>0</v>
      </c>
      <c r="P8381" t="n">
        <v>0</v>
      </c>
      <c r="Q8381" t="n">
        <v>0</v>
      </c>
      <c r="R8381" t="n">
        <v>0</v>
      </c>
      <c r="S8381" t="n">
        <v>0</v>
      </c>
      <c r="T8381" t="n">
        <v>0</v>
      </c>
      <c r="U8381" t="n">
        <v>0</v>
      </c>
      <c r="V8381" s="2" t="inlineStr"/>
    </row>
    <row r="8382" ht="15" customHeight="1">
      <c r="A8382" t="inlineStr">
        <is>
          <t>A 24863-2026</t>
        </is>
      </c>
      <c r="B8382" t="inlineStr">
        <is>
          <t>avverkningsanmälan</t>
        </is>
      </c>
      <c r="C8382" t="inlineStr">
        <is>
          <t>Föryngringsavverkning</t>
        </is>
      </c>
      <c r="D8382" s="1" t="n">
        <v>46174</v>
      </c>
      <c r="E8382" s="1" t="n">
        <v>46326</v>
      </c>
      <c r="F8382" t="inlineStr">
        <is>
          <t>GÄVLEBORGS LÄN</t>
        </is>
      </c>
      <c r="G8382" t="inlineStr">
        <is>
          <t>HUDIKSVALL</t>
        </is>
      </c>
      <c r="I8382" t="n">
        <v>2.1</v>
      </c>
      <c r="J8382" t="n">
        <v>0</v>
      </c>
      <c r="K8382" t="n">
        <v>0</v>
      </c>
      <c r="L8382" t="n">
        <v>0</v>
      </c>
      <c r="M8382" t="n">
        <v>0</v>
      </c>
      <c r="N8382" t="n">
        <v>0</v>
      </c>
      <c r="O8382" t="n">
        <v>0</v>
      </c>
      <c r="P8382" t="n">
        <v>0</v>
      </c>
      <c r="Q8382" t="n">
        <v>0</v>
      </c>
      <c r="R8382" t="n">
        <v>0</v>
      </c>
      <c r="S8382" t="n">
        <v>0</v>
      </c>
      <c r="T8382" t="n">
        <v>0</v>
      </c>
      <c r="U8382" t="n">
        <v>0</v>
      </c>
      <c r="V8382" s="2" t="inlineStr"/>
    </row>
    <row r="8383" ht="15" customHeight="1">
      <c r="A8383" t="inlineStr">
        <is>
          <t>A 53007-2023</t>
        </is>
      </c>
      <c r="B8383" t="inlineStr">
        <is>
          <t>avverkningsanmälan</t>
        </is>
      </c>
      <c r="C8383" t="inlineStr">
        <is>
          <t>Föryngringsavverkning</t>
        </is>
      </c>
      <c r="D8383" s="1" t="n">
        <v>45226</v>
      </c>
      <c r="E8383" s="1" t="n">
        <v>46326</v>
      </c>
      <c r="F8383" t="inlineStr">
        <is>
          <t>GÄVLEBORGS LÄN</t>
        </is>
      </c>
      <c r="G8383" t="inlineStr">
        <is>
          <t>SANDVIKEN</t>
        </is>
      </c>
      <c r="I8383" t="n">
        <v>1.6</v>
      </c>
      <c r="J8383" t="n">
        <v>0</v>
      </c>
      <c r="K8383" t="n">
        <v>0</v>
      </c>
      <c r="L8383" t="n">
        <v>0</v>
      </c>
      <c r="M8383" t="n">
        <v>0</v>
      </c>
      <c r="N8383" t="n">
        <v>0</v>
      </c>
      <c r="O8383" t="n">
        <v>0</v>
      </c>
      <c r="P8383" t="n">
        <v>0</v>
      </c>
      <c r="Q8383" t="n">
        <v>0</v>
      </c>
      <c r="R8383" t="n">
        <v>0</v>
      </c>
      <c r="S8383" t="n">
        <v>0</v>
      </c>
      <c r="T8383" t="n">
        <v>0</v>
      </c>
      <c r="U8383" t="n">
        <v>0</v>
      </c>
      <c r="V8383" s="2" t="inlineStr"/>
    </row>
    <row r="8384" ht="15" customHeight="1">
      <c r="A8384" t="inlineStr">
        <is>
          <t>A 53013-2023</t>
        </is>
      </c>
      <c r="B8384" t="inlineStr">
        <is>
          <t>avverkningsanmälan</t>
        </is>
      </c>
      <c r="C8384" t="inlineStr">
        <is>
          <t>Föryngringsavverkning</t>
        </is>
      </c>
      <c r="D8384" s="1" t="n">
        <v>45226</v>
      </c>
      <c r="E8384" s="1" t="n">
        <v>46326</v>
      </c>
      <c r="F8384" t="inlineStr">
        <is>
          <t>GÄVLEBORGS LÄN</t>
        </is>
      </c>
      <c r="G8384" t="inlineStr">
        <is>
          <t>LJUSDAL</t>
        </is>
      </c>
      <c r="H8384" t="inlineStr">
        <is>
          <t>Sveaskog</t>
        </is>
      </c>
      <c r="I8384" t="n">
        <v>21.1</v>
      </c>
      <c r="J8384" t="n">
        <v>0</v>
      </c>
      <c r="K8384" t="n">
        <v>0</v>
      </c>
      <c r="L8384" t="n">
        <v>0</v>
      </c>
      <c r="M8384" t="n">
        <v>0</v>
      </c>
      <c r="N8384" t="n">
        <v>0</v>
      </c>
      <c r="O8384" t="n">
        <v>0</v>
      </c>
      <c r="P8384" t="n">
        <v>0</v>
      </c>
      <c r="Q8384" t="n">
        <v>0</v>
      </c>
      <c r="R8384" t="n">
        <v>0</v>
      </c>
      <c r="S8384" t="n">
        <v>0</v>
      </c>
      <c r="T8384" t="n">
        <v>0</v>
      </c>
      <c r="U8384" t="n">
        <v>0</v>
      </c>
      <c r="V8384" s="2" t="inlineStr"/>
    </row>
    <row r="8385" ht="15" customHeight="1">
      <c r="A8385" t="inlineStr">
        <is>
          <t>A 25187-2025</t>
        </is>
      </c>
      <c r="B8385" t="inlineStr">
        <is>
          <t>avverkningsanmälan</t>
        </is>
      </c>
      <c r="C8385" t="inlineStr">
        <is>
          <t>Föryngringsavverkning</t>
        </is>
      </c>
      <c r="D8385" s="1" t="n">
        <v>45800</v>
      </c>
      <c r="E8385" s="1" t="n">
        <v>46326</v>
      </c>
      <c r="F8385" t="inlineStr">
        <is>
          <t>GÄVLEBORGS LÄN</t>
        </is>
      </c>
      <c r="G8385" t="inlineStr">
        <is>
          <t>HUDIKSVALL</t>
        </is>
      </c>
      <c r="H8385" t="inlineStr">
        <is>
          <t>Holmen skog AB</t>
        </is>
      </c>
      <c r="I8385" t="n">
        <v>53.6</v>
      </c>
      <c r="J8385" t="n">
        <v>0</v>
      </c>
      <c r="K8385" t="n">
        <v>0</v>
      </c>
      <c r="L8385" t="n">
        <v>0</v>
      </c>
      <c r="M8385" t="n">
        <v>0</v>
      </c>
      <c r="N8385" t="n">
        <v>0</v>
      </c>
      <c r="O8385" t="n">
        <v>0</v>
      </c>
      <c r="P8385" t="n">
        <v>0</v>
      </c>
      <c r="Q8385" t="n">
        <v>0</v>
      </c>
      <c r="R8385" t="n">
        <v>0</v>
      </c>
      <c r="S8385" t="n">
        <v>0</v>
      </c>
      <c r="T8385" t="n">
        <v>0</v>
      </c>
      <c r="U8385" t="n">
        <v>0</v>
      </c>
      <c r="V8385" s="2" t="inlineStr"/>
    </row>
    <row r="8386" ht="15" customHeight="1">
      <c r="A8386" t="inlineStr">
        <is>
          <t>A 5905-2025</t>
        </is>
      </c>
      <c r="B8386" t="inlineStr">
        <is>
          <t>avverkningsanmälan</t>
        </is>
      </c>
      <c r="C8386" t="inlineStr">
        <is>
          <t>Föryngringsavverkning</t>
        </is>
      </c>
      <c r="D8386" s="1" t="n">
        <v>45695</v>
      </c>
      <c r="E8386" s="1" t="n">
        <v>46326</v>
      </c>
      <c r="F8386" t="inlineStr">
        <is>
          <t>GÄVLEBORGS LÄN</t>
        </is>
      </c>
      <c r="G8386" t="inlineStr">
        <is>
          <t>HUDIKSVALL</t>
        </is>
      </c>
      <c r="H8386" t="inlineStr">
        <is>
          <t>Holmen skog AB</t>
        </is>
      </c>
      <c r="I8386" t="n">
        <v>7.6</v>
      </c>
      <c r="J8386" t="n">
        <v>0</v>
      </c>
      <c r="K8386" t="n">
        <v>0</v>
      </c>
      <c r="L8386" t="n">
        <v>0</v>
      </c>
      <c r="M8386" t="n">
        <v>0</v>
      </c>
      <c r="N8386" t="n">
        <v>0</v>
      </c>
      <c r="O8386" t="n">
        <v>0</v>
      </c>
      <c r="P8386" t="n">
        <v>0</v>
      </c>
      <c r="Q8386" t="n">
        <v>0</v>
      </c>
      <c r="R8386" t="n">
        <v>0</v>
      </c>
      <c r="S8386" t="n">
        <v>0</v>
      </c>
      <c r="T8386" t="n">
        <v>0</v>
      </c>
      <c r="U8386" t="n">
        <v>0</v>
      </c>
      <c r="V8386" s="2" t="inlineStr"/>
    </row>
    <row r="8387" ht="15" customHeight="1">
      <c r="A8387" t="inlineStr">
        <is>
          <t>A 5963-2025</t>
        </is>
      </c>
      <c r="B8387" t="inlineStr">
        <is>
          <t>avverkningsanmälan</t>
        </is>
      </c>
      <c r="C8387" t="inlineStr">
        <is>
          <t>Föryngringsavverkning</t>
        </is>
      </c>
      <c r="D8387" s="1" t="n">
        <v>45695</v>
      </c>
      <c r="E8387" s="1" t="n">
        <v>46326</v>
      </c>
      <c r="F8387" t="inlineStr">
        <is>
          <t>GÄVLEBORGS LÄN</t>
        </is>
      </c>
      <c r="G8387" t="inlineStr">
        <is>
          <t>NORDANSTIG</t>
        </is>
      </c>
      <c r="I8387" t="n">
        <v>3.5</v>
      </c>
      <c r="J8387" t="n">
        <v>0</v>
      </c>
      <c r="K8387" t="n">
        <v>0</v>
      </c>
      <c r="L8387" t="n">
        <v>0</v>
      </c>
      <c r="M8387" t="n">
        <v>0</v>
      </c>
      <c r="N8387" t="n">
        <v>0</v>
      </c>
      <c r="O8387" t="n">
        <v>0</v>
      </c>
      <c r="P8387" t="n">
        <v>0</v>
      </c>
      <c r="Q8387" t="n">
        <v>0</v>
      </c>
      <c r="R8387" t="n">
        <v>0</v>
      </c>
      <c r="S8387" t="n">
        <v>0</v>
      </c>
      <c r="T8387" t="n">
        <v>0</v>
      </c>
      <c r="U8387" t="n">
        <v>0</v>
      </c>
      <c r="V8387" s="2" t="inlineStr"/>
    </row>
    <row r="8388" ht="15" customHeight="1">
      <c r="A8388" t="inlineStr">
        <is>
          <t>A 5960-2026</t>
        </is>
      </c>
      <c r="B8388" t="inlineStr">
        <is>
          <t>avverkningsanmälan</t>
        </is>
      </c>
      <c r="C8388" t="inlineStr">
        <is>
          <t>Föryngringsavverkning</t>
        </is>
      </c>
      <c r="D8388" s="1" t="n">
        <v>46052</v>
      </c>
      <c r="E8388" s="1" t="n">
        <v>46326</v>
      </c>
      <c r="F8388" t="inlineStr">
        <is>
          <t>GÄVLEBORGS LÄN</t>
        </is>
      </c>
      <c r="G8388" t="inlineStr">
        <is>
          <t>SANDVIKEN</t>
        </is>
      </c>
      <c r="I8388" t="n">
        <v>1.9</v>
      </c>
      <c r="J8388" t="n">
        <v>0</v>
      </c>
      <c r="K8388" t="n">
        <v>0</v>
      </c>
      <c r="L8388" t="n">
        <v>0</v>
      </c>
      <c r="M8388" t="n">
        <v>0</v>
      </c>
      <c r="N8388" t="n">
        <v>0</v>
      </c>
      <c r="O8388" t="n">
        <v>0</v>
      </c>
      <c r="P8388" t="n">
        <v>0</v>
      </c>
      <c r="Q8388" t="n">
        <v>0</v>
      </c>
      <c r="R8388" t="n">
        <v>0</v>
      </c>
      <c r="S8388" t="n">
        <v>0</v>
      </c>
      <c r="T8388" t="n">
        <v>0</v>
      </c>
      <c r="U8388" t="n">
        <v>0</v>
      </c>
      <c r="V8388" s="2" t="inlineStr"/>
    </row>
    <row r="8389" ht="15" customHeight="1">
      <c r="A8389" t="inlineStr">
        <is>
          <t>A 615-2026</t>
        </is>
      </c>
      <c r="B8389" t="inlineStr">
        <is>
          <t>avverkningsanmälan</t>
        </is>
      </c>
      <c r="C8389" t="inlineStr">
        <is>
          <t>Föryngringsavverkning</t>
        </is>
      </c>
      <c r="D8389" s="1" t="n">
        <v>46029</v>
      </c>
      <c r="E8389" s="1" t="n">
        <v>46326</v>
      </c>
      <c r="F8389" t="inlineStr">
        <is>
          <t>GÄVLEBORGS LÄN</t>
        </is>
      </c>
      <c r="G8389" t="inlineStr">
        <is>
          <t>NORDANSTIG</t>
        </is>
      </c>
      <c r="I8389" t="n">
        <v>1.7</v>
      </c>
      <c r="J8389" t="n">
        <v>0</v>
      </c>
      <c r="K8389" t="n">
        <v>0</v>
      </c>
      <c r="L8389" t="n">
        <v>0</v>
      </c>
      <c r="M8389" t="n">
        <v>0</v>
      </c>
      <c r="N8389" t="n">
        <v>0</v>
      </c>
      <c r="O8389" t="n">
        <v>0</v>
      </c>
      <c r="P8389" t="n">
        <v>0</v>
      </c>
      <c r="Q8389" t="n">
        <v>0</v>
      </c>
      <c r="R8389" t="n">
        <v>0</v>
      </c>
      <c r="S8389" t="n">
        <v>0</v>
      </c>
      <c r="T8389" t="n">
        <v>0</v>
      </c>
      <c r="U8389" t="n">
        <v>0</v>
      </c>
      <c r="V8389" s="2" t="inlineStr"/>
    </row>
    <row r="8390" ht="15" customHeight="1">
      <c r="A8390" t="inlineStr">
        <is>
          <t>A 1034-2026</t>
        </is>
      </c>
      <c r="B8390" t="inlineStr">
        <is>
          <t>avverkningsanmälan</t>
        </is>
      </c>
      <c r="C8390" t="inlineStr">
        <is>
          <t>Föryngringsavverkning</t>
        </is>
      </c>
      <c r="D8390" s="1" t="n">
        <v>46030</v>
      </c>
      <c r="E8390" s="1" t="n">
        <v>46326</v>
      </c>
      <c r="F8390" t="inlineStr">
        <is>
          <t>GÄVLEBORGS LÄN</t>
        </is>
      </c>
      <c r="G8390" t="inlineStr">
        <is>
          <t>NORDANSTIG</t>
        </is>
      </c>
      <c r="I8390" t="n">
        <v>11.5</v>
      </c>
      <c r="J8390" t="n">
        <v>0</v>
      </c>
      <c r="K8390" t="n">
        <v>0</v>
      </c>
      <c r="L8390" t="n">
        <v>0</v>
      </c>
      <c r="M8390" t="n">
        <v>0</v>
      </c>
      <c r="N8390" t="n">
        <v>0</v>
      </c>
      <c r="O8390" t="n">
        <v>0</v>
      </c>
      <c r="P8390" t="n">
        <v>0</v>
      </c>
      <c r="Q8390" t="n">
        <v>0</v>
      </c>
      <c r="R8390" t="n">
        <v>0</v>
      </c>
      <c r="S8390" t="n">
        <v>0</v>
      </c>
      <c r="T8390" t="n">
        <v>0</v>
      </c>
      <c r="U8390" t="n">
        <v>0</v>
      </c>
      <c r="V8390" s="2" t="inlineStr"/>
    </row>
    <row r="8391" ht="15" customHeight="1">
      <c r="A8391" t="inlineStr">
        <is>
          <t>A 8130-2026</t>
        </is>
      </c>
      <c r="B8391" t="inlineStr">
        <is>
          <t>avverkningsanmälan</t>
        </is>
      </c>
      <c r="C8391" t="inlineStr">
        <is>
          <t>Föryngringsavverkning</t>
        </is>
      </c>
      <c r="D8391" s="1" t="n">
        <v>46064</v>
      </c>
      <c r="E8391" s="1" t="n">
        <v>46326</v>
      </c>
      <c r="F8391" t="inlineStr">
        <is>
          <t>GÄVLEBORGS LÄN</t>
        </is>
      </c>
      <c r="G8391" t="inlineStr">
        <is>
          <t>BOLLNÄS</t>
        </is>
      </c>
      <c r="I8391" t="n">
        <v>1.8</v>
      </c>
      <c r="J8391" t="n">
        <v>0</v>
      </c>
      <c r="K8391" t="n">
        <v>0</v>
      </c>
      <c r="L8391" t="n">
        <v>0</v>
      </c>
      <c r="M8391" t="n">
        <v>0</v>
      </c>
      <c r="N8391" t="n">
        <v>0</v>
      </c>
      <c r="O8391" t="n">
        <v>0</v>
      </c>
      <c r="P8391" t="n">
        <v>0</v>
      </c>
      <c r="Q8391" t="n">
        <v>0</v>
      </c>
      <c r="R8391" t="n">
        <v>0</v>
      </c>
      <c r="S8391" t="n">
        <v>0</v>
      </c>
      <c r="T8391" t="n">
        <v>0</v>
      </c>
      <c r="U8391" t="n">
        <v>0</v>
      </c>
      <c r="V8391" s="2" t="inlineStr"/>
    </row>
    <row r="8392" ht="15" customHeight="1">
      <c r="A8392" t="inlineStr">
        <is>
          <t>A 24967-2026</t>
        </is>
      </c>
      <c r="B8392" t="inlineStr">
        <is>
          <t>avverkningsanmälan</t>
        </is>
      </c>
      <c r="C8392" t="inlineStr">
        <is>
          <t>Föryngringsavverkning</t>
        </is>
      </c>
      <c r="D8392" s="1" t="n">
        <v>46174</v>
      </c>
      <c r="E8392" s="1" t="n">
        <v>46326</v>
      </c>
      <c r="F8392" t="inlineStr">
        <is>
          <t>GÄVLEBORGS LÄN</t>
        </is>
      </c>
      <c r="G8392" t="inlineStr">
        <is>
          <t>OVANÅKER</t>
        </is>
      </c>
      <c r="H8392" t="inlineStr">
        <is>
          <t>Bergvik skog väst AB</t>
        </is>
      </c>
      <c r="I8392" t="n">
        <v>7.3</v>
      </c>
      <c r="J8392" t="n">
        <v>0</v>
      </c>
      <c r="K8392" t="n">
        <v>0</v>
      </c>
      <c r="L8392" t="n">
        <v>0</v>
      </c>
      <c r="M8392" t="n">
        <v>0</v>
      </c>
      <c r="N8392" t="n">
        <v>0</v>
      </c>
      <c r="O8392" t="n">
        <v>0</v>
      </c>
      <c r="P8392" t="n">
        <v>0</v>
      </c>
      <c r="Q8392" t="n">
        <v>0</v>
      </c>
      <c r="R8392" t="n">
        <v>0</v>
      </c>
      <c r="S8392" t="n">
        <v>0</v>
      </c>
      <c r="T8392" t="n">
        <v>0</v>
      </c>
      <c r="U8392" t="n">
        <v>0</v>
      </c>
      <c r="V8392" s="2" t="inlineStr"/>
    </row>
    <row r="8393" ht="15" customHeight="1">
      <c r="A8393" t="inlineStr">
        <is>
          <t>A 24974-2026</t>
        </is>
      </c>
      <c r="B8393" t="inlineStr">
        <is>
          <t>avverkningsanmälan</t>
        </is>
      </c>
      <c r="C8393" t="inlineStr">
        <is>
          <t>Föryngringsavverkning</t>
        </is>
      </c>
      <c r="D8393" s="1" t="n">
        <v>46174</v>
      </c>
      <c r="E8393" s="1" t="n">
        <v>46326</v>
      </c>
      <c r="F8393" t="inlineStr">
        <is>
          <t>GÄVLEBORGS LÄN</t>
        </is>
      </c>
      <c r="G8393" t="inlineStr">
        <is>
          <t>OCKELBO</t>
        </is>
      </c>
      <c r="I8393" t="n">
        <v>2.6</v>
      </c>
      <c r="J8393" t="n">
        <v>0</v>
      </c>
      <c r="K8393" t="n">
        <v>0</v>
      </c>
      <c r="L8393" t="n">
        <v>0</v>
      </c>
      <c r="M8393" t="n">
        <v>0</v>
      </c>
      <c r="N8393" t="n">
        <v>0</v>
      </c>
      <c r="O8393" t="n">
        <v>0</v>
      </c>
      <c r="P8393" t="n">
        <v>0</v>
      </c>
      <c r="Q8393" t="n">
        <v>0</v>
      </c>
      <c r="R8393" t="n">
        <v>0</v>
      </c>
      <c r="S8393" t="n">
        <v>0</v>
      </c>
      <c r="T8393" t="n">
        <v>0</v>
      </c>
      <c r="U8393" t="n">
        <v>0</v>
      </c>
      <c r="V8393" s="2" t="inlineStr"/>
    </row>
    <row r="8394" ht="15" customHeight="1">
      <c r="A8394" t="inlineStr">
        <is>
          <t>A 24646-2026</t>
        </is>
      </c>
      <c r="B8394" t="inlineStr">
        <is>
          <t>avverkningsanmälan</t>
        </is>
      </c>
      <c r="C8394" t="inlineStr">
        <is>
          <t>Föryngringsavverkning</t>
        </is>
      </c>
      <c r="D8394" s="1" t="n">
        <v>46171</v>
      </c>
      <c r="E8394" s="1" t="n">
        <v>46326</v>
      </c>
      <c r="F8394" t="inlineStr">
        <is>
          <t>GÄVLEBORGS LÄN</t>
        </is>
      </c>
      <c r="G8394" t="inlineStr">
        <is>
          <t>NORDANSTIG</t>
        </is>
      </c>
      <c r="I8394" t="n">
        <v>1.2</v>
      </c>
      <c r="J8394" t="n">
        <v>0</v>
      </c>
      <c r="K8394" t="n">
        <v>0</v>
      </c>
      <c r="L8394" t="n">
        <v>0</v>
      </c>
      <c r="M8394" t="n">
        <v>0</v>
      </c>
      <c r="N8394" t="n">
        <v>0</v>
      </c>
      <c r="O8394" t="n">
        <v>0</v>
      </c>
      <c r="P8394" t="n">
        <v>0</v>
      </c>
      <c r="Q8394" t="n">
        <v>0</v>
      </c>
      <c r="R8394" t="n">
        <v>0</v>
      </c>
      <c r="S8394" t="n">
        <v>0</v>
      </c>
      <c r="T8394" t="n">
        <v>0</v>
      </c>
      <c r="U8394" t="n">
        <v>0</v>
      </c>
      <c r="V8394" s="2" t="inlineStr"/>
    </row>
    <row r="8395" ht="15" customHeight="1">
      <c r="A8395" t="inlineStr">
        <is>
          <t>A 24936-2026</t>
        </is>
      </c>
      <c r="B8395" t="inlineStr">
        <is>
          <t>avverkningsanmälan</t>
        </is>
      </c>
      <c r="C8395" t="inlineStr">
        <is>
          <t>Föryngringsavverkning</t>
        </is>
      </c>
      <c r="D8395" s="1" t="n">
        <v>46174</v>
      </c>
      <c r="E8395" s="1" t="n">
        <v>46326</v>
      </c>
      <c r="F8395" t="inlineStr">
        <is>
          <t>GÄVLEBORGS LÄN</t>
        </is>
      </c>
      <c r="G8395" t="inlineStr">
        <is>
          <t>LJUSDAL</t>
        </is>
      </c>
      <c r="H8395" t="inlineStr">
        <is>
          <t>SCA</t>
        </is>
      </c>
      <c r="I8395" t="n">
        <v>3.1</v>
      </c>
      <c r="J8395" t="n">
        <v>0</v>
      </c>
      <c r="K8395" t="n">
        <v>0</v>
      </c>
      <c r="L8395" t="n">
        <v>0</v>
      </c>
      <c r="M8395" t="n">
        <v>0</v>
      </c>
      <c r="N8395" t="n">
        <v>0</v>
      </c>
      <c r="O8395" t="n">
        <v>0</v>
      </c>
      <c r="P8395" t="n">
        <v>0</v>
      </c>
      <c r="Q8395" t="n">
        <v>0</v>
      </c>
      <c r="R8395" t="n">
        <v>0</v>
      </c>
      <c r="S8395" t="n">
        <v>0</v>
      </c>
      <c r="T8395" t="n">
        <v>0</v>
      </c>
      <c r="U8395" t="n">
        <v>0</v>
      </c>
      <c r="V8395" s="2" t="inlineStr"/>
    </row>
    <row r="8396" ht="15" customHeight="1">
      <c r="A8396" t="inlineStr">
        <is>
          <t>A 19366-2026</t>
        </is>
      </c>
      <c r="B8396" t="inlineStr">
        <is>
          <t>avverkningsanmälan</t>
        </is>
      </c>
      <c r="C8396" t="inlineStr">
        <is>
          <t>Föryngringsavverkning</t>
        </is>
      </c>
      <c r="D8396" s="1" t="n">
        <v>46133</v>
      </c>
      <c r="E8396" s="1" t="n">
        <v>46326</v>
      </c>
      <c r="F8396" t="inlineStr">
        <is>
          <t>GÄVLEBORGS LÄN</t>
        </is>
      </c>
      <c r="G8396" t="inlineStr">
        <is>
          <t>HUDIKSVALL</t>
        </is>
      </c>
      <c r="I8396" t="n">
        <v>1.6</v>
      </c>
      <c r="J8396" t="n">
        <v>0</v>
      </c>
      <c r="K8396" t="n">
        <v>0</v>
      </c>
      <c r="L8396" t="n">
        <v>0</v>
      </c>
      <c r="M8396" t="n">
        <v>0</v>
      </c>
      <c r="N8396" t="n">
        <v>0</v>
      </c>
      <c r="O8396" t="n">
        <v>0</v>
      </c>
      <c r="P8396" t="n">
        <v>0</v>
      </c>
      <c r="Q8396" t="n">
        <v>0</v>
      </c>
      <c r="R8396" t="n">
        <v>0</v>
      </c>
      <c r="S8396" t="n">
        <v>0</v>
      </c>
      <c r="T8396" t="n">
        <v>0</v>
      </c>
      <c r="U8396" t="n">
        <v>0</v>
      </c>
      <c r="V8396" s="2" t="inlineStr"/>
    </row>
    <row r="8397" ht="15" customHeight="1">
      <c r="A8397" t="inlineStr">
        <is>
          <t>A 19712-2022</t>
        </is>
      </c>
      <c r="B8397" t="inlineStr">
        <is>
          <t>avverkningsanmälan</t>
        </is>
      </c>
      <c r="C8397" t="inlineStr">
        <is>
          <t>Föryngringsavverkning</t>
        </is>
      </c>
      <c r="D8397" s="1" t="n">
        <v>44694</v>
      </c>
      <c r="E8397" s="1" t="n">
        <v>46326</v>
      </c>
      <c r="F8397" t="inlineStr">
        <is>
          <t>GÄVLEBORGS LÄN</t>
        </is>
      </c>
      <c r="G8397" t="inlineStr">
        <is>
          <t>GÄVLE</t>
        </is>
      </c>
      <c r="H8397" t="inlineStr">
        <is>
          <t>Bergvik skog väst AB</t>
        </is>
      </c>
      <c r="I8397" t="n">
        <v>4</v>
      </c>
      <c r="J8397" t="n">
        <v>0</v>
      </c>
      <c r="K8397" t="n">
        <v>0</v>
      </c>
      <c r="L8397" t="n">
        <v>0</v>
      </c>
      <c r="M8397" t="n">
        <v>0</v>
      </c>
      <c r="N8397" t="n">
        <v>0</v>
      </c>
      <c r="O8397" t="n">
        <v>0</v>
      </c>
      <c r="P8397" t="n">
        <v>0</v>
      </c>
      <c r="Q8397" t="n">
        <v>0</v>
      </c>
      <c r="R8397" t="n">
        <v>0</v>
      </c>
      <c r="S8397" t="n">
        <v>0</v>
      </c>
      <c r="T8397" t="n">
        <v>0</v>
      </c>
      <c r="U8397" t="n">
        <v>0</v>
      </c>
      <c r="V8397" s="2" t="inlineStr"/>
    </row>
    <row r="8398" ht="15" customHeight="1">
      <c r="A8398" t="inlineStr">
        <is>
          <t>A 28892-2023</t>
        </is>
      </c>
      <c r="B8398" t="inlineStr">
        <is>
          <t>avverkningsanmälan</t>
        </is>
      </c>
      <c r="C8398" t="inlineStr">
        <is>
          <t>Föryngringsavverkning</t>
        </is>
      </c>
      <c r="D8398" s="1" t="n">
        <v>45104</v>
      </c>
      <c r="E8398" s="1" t="n">
        <v>46326</v>
      </c>
      <c r="F8398" t="inlineStr">
        <is>
          <t>GÄVLEBORGS LÄN</t>
        </is>
      </c>
      <c r="G8398" t="inlineStr">
        <is>
          <t>LJUSDAL</t>
        </is>
      </c>
      <c r="I8398" t="n">
        <v>2.3</v>
      </c>
      <c r="J8398" t="n">
        <v>0</v>
      </c>
      <c r="K8398" t="n">
        <v>0</v>
      </c>
      <c r="L8398" t="n">
        <v>0</v>
      </c>
      <c r="M8398" t="n">
        <v>0</v>
      </c>
      <c r="N8398" t="n">
        <v>0</v>
      </c>
      <c r="O8398" t="n">
        <v>0</v>
      </c>
      <c r="P8398" t="n">
        <v>0</v>
      </c>
      <c r="Q8398" t="n">
        <v>0</v>
      </c>
      <c r="R8398" t="n">
        <v>0</v>
      </c>
      <c r="S8398" t="n">
        <v>0</v>
      </c>
      <c r="T8398" t="n">
        <v>0</v>
      </c>
      <c r="U8398" t="n">
        <v>0</v>
      </c>
      <c r="V8398" s="2" t="inlineStr"/>
    </row>
    <row r="8399" ht="15" customHeight="1">
      <c r="A8399" t="inlineStr">
        <is>
          <t>A 2311-2024</t>
        </is>
      </c>
      <c r="B8399" t="inlineStr">
        <is>
          <t>avverkningsanmälan</t>
        </is>
      </c>
      <c r="C8399" t="inlineStr">
        <is>
          <t>Avverkning för att bevara och utveckla /försöksver</t>
        </is>
      </c>
      <c r="D8399" s="1" t="n">
        <v>45310</v>
      </c>
      <c r="E8399" s="1" t="n">
        <v>46326</v>
      </c>
      <c r="F8399" t="inlineStr">
        <is>
          <t>GÄVLEBORGS LÄN</t>
        </is>
      </c>
      <c r="G8399" t="inlineStr">
        <is>
          <t>BOLLNÄS</t>
        </is>
      </c>
      <c r="H8399" t="inlineStr">
        <is>
          <t>Övriga statliga verk och myndigheter</t>
        </is>
      </c>
      <c r="I8399" t="n">
        <v>1.1</v>
      </c>
      <c r="J8399" t="n">
        <v>0</v>
      </c>
      <c r="K8399" t="n">
        <v>0</v>
      </c>
      <c r="L8399" t="n">
        <v>0</v>
      </c>
      <c r="M8399" t="n">
        <v>0</v>
      </c>
      <c r="N8399" t="n">
        <v>0</v>
      </c>
      <c r="O8399" t="n">
        <v>0</v>
      </c>
      <c r="P8399" t="n">
        <v>0</v>
      </c>
      <c r="Q8399" t="n">
        <v>0</v>
      </c>
      <c r="R8399" t="n">
        <v>0</v>
      </c>
      <c r="S8399" t="n">
        <v>0</v>
      </c>
      <c r="T8399" t="n">
        <v>0</v>
      </c>
      <c r="U8399" t="n">
        <v>0</v>
      </c>
      <c r="V8399" s="2" t="inlineStr"/>
    </row>
    <row r="8400" ht="15" customHeight="1">
      <c r="A8400" t="inlineStr">
        <is>
          <t>A 24749-2026</t>
        </is>
      </c>
      <c r="B8400" t="inlineStr">
        <is>
          <t>avverkningsanmälan</t>
        </is>
      </c>
      <c r="C8400" t="inlineStr">
        <is>
          <t>Föryngringsavverkning</t>
        </is>
      </c>
      <c r="D8400" s="1" t="n">
        <v>46171</v>
      </c>
      <c r="E8400" s="1" t="n">
        <v>46326</v>
      </c>
      <c r="F8400" t="inlineStr">
        <is>
          <t>GÄVLEBORGS LÄN</t>
        </is>
      </c>
      <c r="G8400" t="inlineStr">
        <is>
          <t>BOLLNÄS</t>
        </is>
      </c>
      <c r="I8400" t="n">
        <v>2</v>
      </c>
      <c r="J8400" t="n">
        <v>0</v>
      </c>
      <c r="K8400" t="n">
        <v>0</v>
      </c>
      <c r="L8400" t="n">
        <v>0</v>
      </c>
      <c r="M8400" t="n">
        <v>0</v>
      </c>
      <c r="N8400" t="n">
        <v>0</v>
      </c>
      <c r="O8400" t="n">
        <v>0</v>
      </c>
      <c r="P8400" t="n">
        <v>0</v>
      </c>
      <c r="Q8400" t="n">
        <v>0</v>
      </c>
      <c r="R8400" t="n">
        <v>0</v>
      </c>
      <c r="S8400" t="n">
        <v>0</v>
      </c>
      <c r="T8400" t="n">
        <v>0</v>
      </c>
      <c r="U8400" t="n">
        <v>0</v>
      </c>
      <c r="V8400" s="2" t="inlineStr"/>
    </row>
    <row r="8401" ht="15" customHeight="1">
      <c r="A8401" t="inlineStr">
        <is>
          <t>A 39509-2022</t>
        </is>
      </c>
      <c r="B8401" t="inlineStr">
        <is>
          <t>avverkningsanmälan</t>
        </is>
      </c>
      <c r="C8401" t="inlineStr">
        <is>
          <t>Föryngringsavverkning</t>
        </is>
      </c>
      <c r="D8401" s="1" t="n">
        <v>44818</v>
      </c>
      <c r="E8401" s="1" t="n">
        <v>46326</v>
      </c>
      <c r="F8401" t="inlineStr">
        <is>
          <t>GÄVLEBORGS LÄN</t>
        </is>
      </c>
      <c r="G8401" t="inlineStr">
        <is>
          <t>GÄVLE</t>
        </is>
      </c>
      <c r="I8401" t="n">
        <v>4.2</v>
      </c>
      <c r="J8401" t="n">
        <v>0</v>
      </c>
      <c r="K8401" t="n">
        <v>0</v>
      </c>
      <c r="L8401" t="n">
        <v>0</v>
      </c>
      <c r="M8401" t="n">
        <v>0</v>
      </c>
      <c r="N8401" t="n">
        <v>0</v>
      </c>
      <c r="O8401" t="n">
        <v>0</v>
      </c>
      <c r="P8401" t="n">
        <v>0</v>
      </c>
      <c r="Q8401" t="n">
        <v>0</v>
      </c>
      <c r="R8401" t="n">
        <v>0</v>
      </c>
      <c r="S8401" t="n">
        <v>0</v>
      </c>
      <c r="T8401" t="n">
        <v>0</v>
      </c>
      <c r="U8401" t="n">
        <v>0</v>
      </c>
      <c r="V8401" s="2" t="inlineStr"/>
    </row>
    <row r="8402" ht="15" customHeight="1">
      <c r="A8402" t="inlineStr">
        <is>
          <t>A 24624-2026</t>
        </is>
      </c>
      <c r="B8402" t="inlineStr">
        <is>
          <t>avverkningsanmälan</t>
        </is>
      </c>
      <c r="C8402" t="inlineStr">
        <is>
          <t>Föryngringsavverkning</t>
        </is>
      </c>
      <c r="D8402" s="1" t="n">
        <v>46171</v>
      </c>
      <c r="E8402" s="1" t="n">
        <v>46326</v>
      </c>
      <c r="F8402" t="inlineStr">
        <is>
          <t>GÄVLEBORGS LÄN</t>
        </is>
      </c>
      <c r="G8402" t="inlineStr">
        <is>
          <t>OCKELBO</t>
        </is>
      </c>
      <c r="I8402" t="n">
        <v>3.6</v>
      </c>
      <c r="J8402" t="n">
        <v>0</v>
      </c>
      <c r="K8402" t="n">
        <v>0</v>
      </c>
      <c r="L8402" t="n">
        <v>0</v>
      </c>
      <c r="M8402" t="n">
        <v>0</v>
      </c>
      <c r="N8402" t="n">
        <v>0</v>
      </c>
      <c r="O8402" t="n">
        <v>0</v>
      </c>
      <c r="P8402" t="n">
        <v>0</v>
      </c>
      <c r="Q8402" t="n">
        <v>0</v>
      </c>
      <c r="R8402" t="n">
        <v>0</v>
      </c>
      <c r="S8402" t="n">
        <v>0</v>
      </c>
      <c r="T8402" t="n">
        <v>0</v>
      </c>
      <c r="U8402" t="n">
        <v>0</v>
      </c>
      <c r="V8402" s="2" t="inlineStr"/>
    </row>
    <row r="8403" ht="15" customHeight="1">
      <c r="A8403" t="inlineStr">
        <is>
          <t>A 39566-2022</t>
        </is>
      </c>
      <c r="B8403" t="inlineStr">
        <is>
          <t>avverkningsanmälan</t>
        </is>
      </c>
      <c r="C8403" t="inlineStr">
        <is>
          <t>Föryngringsavverkning</t>
        </is>
      </c>
      <c r="D8403" s="1" t="n">
        <v>44818</v>
      </c>
      <c r="E8403" s="1" t="n">
        <v>46326</v>
      </c>
      <c r="F8403" t="inlineStr">
        <is>
          <t>GÄVLEBORGS LÄN</t>
        </is>
      </c>
      <c r="G8403" t="inlineStr">
        <is>
          <t>SANDVIKEN</t>
        </is>
      </c>
      <c r="I8403" t="n">
        <v>2.7</v>
      </c>
      <c r="J8403" t="n">
        <v>0</v>
      </c>
      <c r="K8403" t="n">
        <v>0</v>
      </c>
      <c r="L8403" t="n">
        <v>0</v>
      </c>
      <c r="M8403" t="n">
        <v>0</v>
      </c>
      <c r="N8403" t="n">
        <v>0</v>
      </c>
      <c r="O8403" t="n">
        <v>0</v>
      </c>
      <c r="P8403" t="n">
        <v>0</v>
      </c>
      <c r="Q8403" t="n">
        <v>0</v>
      </c>
      <c r="R8403" t="n">
        <v>0</v>
      </c>
      <c r="S8403" t="n">
        <v>0</v>
      </c>
      <c r="T8403" t="n">
        <v>0</v>
      </c>
      <c r="U8403" t="n">
        <v>0</v>
      </c>
      <c r="V8403" s="2" t="inlineStr"/>
    </row>
    <row r="8404" ht="15" customHeight="1">
      <c r="A8404" t="inlineStr">
        <is>
          <t>A 24652-2026</t>
        </is>
      </c>
      <c r="B8404" t="inlineStr">
        <is>
          <t>avverkningsanmälan</t>
        </is>
      </c>
      <c r="C8404" t="inlineStr">
        <is>
          <t>Föryngringsavverkning</t>
        </is>
      </c>
      <c r="D8404" s="1" t="n">
        <v>46171</v>
      </c>
      <c r="E8404" s="1" t="n">
        <v>46326</v>
      </c>
      <c r="F8404" t="inlineStr">
        <is>
          <t>GÄVLEBORGS LÄN</t>
        </is>
      </c>
      <c r="G8404" t="inlineStr">
        <is>
          <t>BOLLNÄS</t>
        </is>
      </c>
      <c r="H8404" t="inlineStr">
        <is>
          <t>Bergvik skog väst AB</t>
        </is>
      </c>
      <c r="I8404" t="n">
        <v>15.7</v>
      </c>
      <c r="J8404" t="n">
        <v>0</v>
      </c>
      <c r="K8404" t="n">
        <v>0</v>
      </c>
      <c r="L8404" t="n">
        <v>0</v>
      </c>
      <c r="M8404" t="n">
        <v>0</v>
      </c>
      <c r="N8404" t="n">
        <v>0</v>
      </c>
      <c r="O8404" t="n">
        <v>0</v>
      </c>
      <c r="P8404" t="n">
        <v>0</v>
      </c>
      <c r="Q8404" t="n">
        <v>0</v>
      </c>
      <c r="R8404" t="n">
        <v>0</v>
      </c>
      <c r="S8404" t="n">
        <v>0</v>
      </c>
      <c r="T8404" t="n">
        <v>0</v>
      </c>
      <c r="U8404" t="n">
        <v>0</v>
      </c>
      <c r="V8404" s="2" t="inlineStr"/>
    </row>
    <row r="8405" ht="15" customHeight="1">
      <c r="A8405" t="inlineStr">
        <is>
          <t>A 24658-2026</t>
        </is>
      </c>
      <c r="B8405" t="inlineStr">
        <is>
          <t>avverkningsanmälan</t>
        </is>
      </c>
      <c r="C8405" t="inlineStr">
        <is>
          <t>Föryngringsavverkning</t>
        </is>
      </c>
      <c r="D8405" s="1" t="n">
        <v>46171</v>
      </c>
      <c r="E8405" s="1" t="n">
        <v>46326</v>
      </c>
      <c r="F8405" t="inlineStr">
        <is>
          <t>GÄVLEBORGS LÄN</t>
        </is>
      </c>
      <c r="G8405" t="inlineStr">
        <is>
          <t>BOLLNÄS</t>
        </is>
      </c>
      <c r="H8405" t="inlineStr">
        <is>
          <t>Bergvik skog väst AB</t>
        </is>
      </c>
      <c r="I8405" t="n">
        <v>15.5</v>
      </c>
      <c r="J8405" t="n">
        <v>0</v>
      </c>
      <c r="K8405" t="n">
        <v>0</v>
      </c>
      <c r="L8405" t="n">
        <v>0</v>
      </c>
      <c r="M8405" t="n">
        <v>0</v>
      </c>
      <c r="N8405" t="n">
        <v>0</v>
      </c>
      <c r="O8405" t="n">
        <v>0</v>
      </c>
      <c r="P8405" t="n">
        <v>0</v>
      </c>
      <c r="Q8405" t="n">
        <v>0</v>
      </c>
      <c r="R8405" t="n">
        <v>0</v>
      </c>
      <c r="S8405" t="n">
        <v>0</v>
      </c>
      <c r="T8405" t="n">
        <v>0</v>
      </c>
      <c r="U8405" t="n">
        <v>0</v>
      </c>
      <c r="V8405" s="2" t="inlineStr"/>
    </row>
    <row r="8406" ht="15" customHeight="1">
      <c r="A8406" t="inlineStr">
        <is>
          <t>A 16731-2025</t>
        </is>
      </c>
      <c r="B8406" t="inlineStr">
        <is>
          <t>avverkningsanmälan</t>
        </is>
      </c>
      <c r="C8406" t="inlineStr">
        <is>
          <t>Föryngringsavverkning</t>
        </is>
      </c>
      <c r="D8406" s="1" t="n">
        <v>45754</v>
      </c>
      <c r="E8406" s="1" t="n">
        <v>46326</v>
      </c>
      <c r="F8406" t="inlineStr">
        <is>
          <t>GÄVLEBORGS LÄN</t>
        </is>
      </c>
      <c r="G8406" t="inlineStr">
        <is>
          <t>SÖDERHAMN</t>
        </is>
      </c>
      <c r="I8406" t="n">
        <v>0.6</v>
      </c>
      <c r="J8406" t="n">
        <v>0</v>
      </c>
      <c r="K8406" t="n">
        <v>0</v>
      </c>
      <c r="L8406" t="n">
        <v>0</v>
      </c>
      <c r="M8406" t="n">
        <v>0</v>
      </c>
      <c r="N8406" t="n">
        <v>0</v>
      </c>
      <c r="O8406" t="n">
        <v>0</v>
      </c>
      <c r="P8406" t="n">
        <v>0</v>
      </c>
      <c r="Q8406" t="n">
        <v>0</v>
      </c>
      <c r="R8406" t="n">
        <v>0</v>
      </c>
      <c r="S8406" t="n">
        <v>0</v>
      </c>
      <c r="T8406" t="n">
        <v>0</v>
      </c>
      <c r="U8406" t="n">
        <v>0</v>
      </c>
      <c r="V8406" s="2" t="inlineStr"/>
    </row>
    <row r="8407" ht="15" customHeight="1">
      <c r="A8407" t="inlineStr">
        <is>
          <t>A 52518-2024</t>
        </is>
      </c>
      <c r="B8407" t="inlineStr">
        <is>
          <t>avverkningsanmälan</t>
        </is>
      </c>
      <c r="C8407" t="inlineStr">
        <is>
          <t>Avverkning för annat ändamål</t>
        </is>
      </c>
      <c r="D8407" s="1" t="n">
        <v>45609</v>
      </c>
      <c r="E8407" s="1" t="n">
        <v>46326</v>
      </c>
      <c r="F8407" t="inlineStr">
        <is>
          <t>GÄVLEBORGS LÄN</t>
        </is>
      </c>
      <c r="G8407" t="inlineStr">
        <is>
          <t>SÖDERHAMN</t>
        </is>
      </c>
      <c r="I8407" t="n">
        <v>2.6</v>
      </c>
      <c r="J8407" t="n">
        <v>0</v>
      </c>
      <c r="K8407" t="n">
        <v>0</v>
      </c>
      <c r="L8407" t="n">
        <v>0</v>
      </c>
      <c r="M8407" t="n">
        <v>0</v>
      </c>
      <c r="N8407" t="n">
        <v>0</v>
      </c>
      <c r="O8407" t="n">
        <v>0</v>
      </c>
      <c r="P8407" t="n">
        <v>0</v>
      </c>
      <c r="Q8407" t="n">
        <v>0</v>
      </c>
      <c r="R8407" t="n">
        <v>0</v>
      </c>
      <c r="S8407" t="n">
        <v>0</v>
      </c>
      <c r="T8407" t="n">
        <v>0</v>
      </c>
      <c r="U8407" t="n">
        <v>0</v>
      </c>
      <c r="V8407" s="2" t="inlineStr"/>
    </row>
    <row r="8408" ht="15" customHeight="1">
      <c r="A8408" t="inlineStr">
        <is>
          <t>A 24612-2026</t>
        </is>
      </c>
      <c r="B8408" t="inlineStr">
        <is>
          <t>avverkningsanmälan</t>
        </is>
      </c>
      <c r="C8408" t="inlineStr">
        <is>
          <t>Föryngringsavverkning</t>
        </is>
      </c>
      <c r="D8408" s="1" t="n">
        <v>46171</v>
      </c>
      <c r="E8408" s="1" t="n">
        <v>46326</v>
      </c>
      <c r="F8408" t="inlineStr">
        <is>
          <t>GÄVLEBORGS LÄN</t>
        </is>
      </c>
      <c r="G8408" t="inlineStr">
        <is>
          <t>NORDANSTIG</t>
        </is>
      </c>
      <c r="H8408" t="inlineStr">
        <is>
          <t>Holmen skog AB</t>
        </is>
      </c>
      <c r="I8408" t="n">
        <v>1</v>
      </c>
      <c r="J8408" t="n">
        <v>0</v>
      </c>
      <c r="K8408" t="n">
        <v>0</v>
      </c>
      <c r="L8408" t="n">
        <v>0</v>
      </c>
      <c r="M8408" t="n">
        <v>0</v>
      </c>
      <c r="N8408" t="n">
        <v>0</v>
      </c>
      <c r="O8408" t="n">
        <v>0</v>
      </c>
      <c r="P8408" t="n">
        <v>0</v>
      </c>
      <c r="Q8408" t="n">
        <v>0</v>
      </c>
      <c r="R8408" t="n">
        <v>0</v>
      </c>
      <c r="S8408" t="n">
        <v>0</v>
      </c>
      <c r="T8408" t="n">
        <v>0</v>
      </c>
      <c r="U8408" t="n">
        <v>0</v>
      </c>
      <c r="V8408" s="2" t="inlineStr"/>
    </row>
    <row r="8409" ht="15" customHeight="1">
      <c r="A8409" t="inlineStr">
        <is>
          <t>A 14050-2023</t>
        </is>
      </c>
      <c r="B8409" t="inlineStr">
        <is>
          <t>avverkningsanmälan</t>
        </is>
      </c>
      <c r="C8409" t="inlineStr">
        <is>
          <t>Föryngringsavverkning</t>
        </is>
      </c>
      <c r="D8409" s="1" t="n">
        <v>45008</v>
      </c>
      <c r="E8409" s="1" t="n">
        <v>46326</v>
      </c>
      <c r="F8409" t="inlineStr">
        <is>
          <t>GÄVLEBORGS LÄN</t>
        </is>
      </c>
      <c r="G8409" t="inlineStr">
        <is>
          <t>BOLLNÄS</t>
        </is>
      </c>
      <c r="I8409" t="n">
        <v>0.4</v>
      </c>
      <c r="J8409" t="n">
        <v>0</v>
      </c>
      <c r="K8409" t="n">
        <v>0</v>
      </c>
      <c r="L8409" t="n">
        <v>0</v>
      </c>
      <c r="M8409" t="n">
        <v>0</v>
      </c>
      <c r="N8409" t="n">
        <v>0</v>
      </c>
      <c r="O8409" t="n">
        <v>0</v>
      </c>
      <c r="P8409" t="n">
        <v>0</v>
      </c>
      <c r="Q8409" t="n">
        <v>0</v>
      </c>
      <c r="R8409" t="n">
        <v>0</v>
      </c>
      <c r="S8409" t="n">
        <v>0</v>
      </c>
      <c r="T8409" t="n">
        <v>0</v>
      </c>
      <c r="U8409" t="n">
        <v>0</v>
      </c>
      <c r="V8409" s="2" t="inlineStr"/>
    </row>
    <row r="8410" ht="15" customHeight="1">
      <c r="A8410" t="inlineStr">
        <is>
          <t>A 17482-2022</t>
        </is>
      </c>
      <c r="B8410" t="inlineStr">
        <is>
          <t>avverkningsanmälan</t>
        </is>
      </c>
      <c r="C8410" t="inlineStr">
        <is>
          <t>Föryngringsavverkning</t>
        </is>
      </c>
      <c r="D8410" s="1" t="n">
        <v>44679</v>
      </c>
      <c r="E8410" s="1" t="n">
        <v>46326</v>
      </c>
      <c r="F8410" t="inlineStr">
        <is>
          <t>GÄVLEBORGS LÄN</t>
        </is>
      </c>
      <c r="G8410" t="inlineStr">
        <is>
          <t>NORDANSTIG</t>
        </is>
      </c>
      <c r="H8410" t="inlineStr">
        <is>
          <t>Holmen skog AB</t>
        </is>
      </c>
      <c r="I8410" t="n">
        <v>0.9</v>
      </c>
      <c r="J8410" t="n">
        <v>0</v>
      </c>
      <c r="K8410" t="n">
        <v>0</v>
      </c>
      <c r="L8410" t="n">
        <v>0</v>
      </c>
      <c r="M8410" t="n">
        <v>0</v>
      </c>
      <c r="N8410" t="n">
        <v>0</v>
      </c>
      <c r="O8410" t="n">
        <v>0</v>
      </c>
      <c r="P8410" t="n">
        <v>0</v>
      </c>
      <c r="Q8410" t="n">
        <v>0</v>
      </c>
      <c r="R8410" t="n">
        <v>0</v>
      </c>
      <c r="S8410" t="n">
        <v>0</v>
      </c>
      <c r="T8410" t="n">
        <v>0</v>
      </c>
      <c r="U8410" t="n">
        <v>0</v>
      </c>
      <c r="V8410" s="2" t="inlineStr"/>
    </row>
    <row r="8411" ht="15" customHeight="1">
      <c r="A8411" t="inlineStr">
        <is>
          <t>A 24623-2026</t>
        </is>
      </c>
      <c r="B8411" t="inlineStr">
        <is>
          <t>avverkningsanmälan</t>
        </is>
      </c>
      <c r="C8411" t="inlineStr">
        <is>
          <t>Föryngringsavverkning</t>
        </is>
      </c>
      <c r="D8411" s="1" t="n">
        <v>46171</v>
      </c>
      <c r="E8411" s="1" t="n">
        <v>46326</v>
      </c>
      <c r="F8411" t="inlineStr">
        <is>
          <t>GÄVLEBORGS LÄN</t>
        </is>
      </c>
      <c r="G8411" t="inlineStr">
        <is>
          <t>NORDANSTIG</t>
        </is>
      </c>
      <c r="I8411" t="n">
        <v>2.3</v>
      </c>
      <c r="J8411" t="n">
        <v>0</v>
      </c>
      <c r="K8411" t="n">
        <v>0</v>
      </c>
      <c r="L8411" t="n">
        <v>0</v>
      </c>
      <c r="M8411" t="n">
        <v>0</v>
      </c>
      <c r="N8411" t="n">
        <v>0</v>
      </c>
      <c r="O8411" t="n">
        <v>0</v>
      </c>
      <c r="P8411" t="n">
        <v>0</v>
      </c>
      <c r="Q8411" t="n">
        <v>0</v>
      </c>
      <c r="R8411" t="n">
        <v>0</v>
      </c>
      <c r="S8411" t="n">
        <v>0</v>
      </c>
      <c r="T8411" t="n">
        <v>0</v>
      </c>
      <c r="U8411" t="n">
        <v>0</v>
      </c>
      <c r="V8411" s="2" t="inlineStr"/>
    </row>
    <row r="8412" ht="15" customHeight="1">
      <c r="A8412" t="inlineStr">
        <is>
          <t>A 31385-2023</t>
        </is>
      </c>
      <c r="B8412" t="inlineStr">
        <is>
          <t>avverkningsanmälan</t>
        </is>
      </c>
      <c r="C8412" t="inlineStr">
        <is>
          <t>Föryngringsavverkning</t>
        </is>
      </c>
      <c r="D8412" s="1" t="n">
        <v>45114</v>
      </c>
      <c r="E8412" s="1" t="n">
        <v>46326</v>
      </c>
      <c r="F8412" t="inlineStr">
        <is>
          <t>GÄVLEBORGS LÄN</t>
        </is>
      </c>
      <c r="G8412" t="inlineStr">
        <is>
          <t>BOLLNÄS</t>
        </is>
      </c>
      <c r="I8412" t="n">
        <v>6.9</v>
      </c>
      <c r="J8412" t="n">
        <v>0</v>
      </c>
      <c r="K8412" t="n">
        <v>0</v>
      </c>
      <c r="L8412" t="n">
        <v>0</v>
      </c>
      <c r="M8412" t="n">
        <v>0</v>
      </c>
      <c r="N8412" t="n">
        <v>0</v>
      </c>
      <c r="O8412" t="n">
        <v>0</v>
      </c>
      <c r="P8412" t="n">
        <v>0</v>
      </c>
      <c r="Q8412" t="n">
        <v>0</v>
      </c>
      <c r="R8412" t="n">
        <v>0</v>
      </c>
      <c r="S8412" t="n">
        <v>0</v>
      </c>
      <c r="T8412" t="n">
        <v>0</v>
      </c>
      <c r="U8412" t="n">
        <v>0</v>
      </c>
      <c r="V8412" s="2" t="inlineStr"/>
    </row>
    <row r="8413" ht="15" customHeight="1">
      <c r="A8413" t="inlineStr">
        <is>
          <t>A 49855-2023</t>
        </is>
      </c>
      <c r="B8413" t="inlineStr">
        <is>
          <t>avverkningsanmälan</t>
        </is>
      </c>
      <c r="C8413" t="inlineStr">
        <is>
          <t>Föryngringsavverkning</t>
        </is>
      </c>
      <c r="D8413" s="1" t="n">
        <v>45212</v>
      </c>
      <c r="E8413" s="1" t="n">
        <v>46326</v>
      </c>
      <c r="F8413" t="inlineStr">
        <is>
          <t>GÄVLEBORGS LÄN</t>
        </is>
      </c>
      <c r="G8413" t="inlineStr">
        <is>
          <t>LJUSDAL</t>
        </is>
      </c>
      <c r="I8413" t="n">
        <v>2.7</v>
      </c>
      <c r="J8413" t="n">
        <v>0</v>
      </c>
      <c r="K8413" t="n">
        <v>0</v>
      </c>
      <c r="L8413" t="n">
        <v>0</v>
      </c>
      <c r="M8413" t="n">
        <v>0</v>
      </c>
      <c r="N8413" t="n">
        <v>0</v>
      </c>
      <c r="O8413" t="n">
        <v>0</v>
      </c>
      <c r="P8413" t="n">
        <v>0</v>
      </c>
      <c r="Q8413" t="n">
        <v>0</v>
      </c>
      <c r="R8413" t="n">
        <v>0</v>
      </c>
      <c r="S8413" t="n">
        <v>0</v>
      </c>
      <c r="T8413" t="n">
        <v>0</v>
      </c>
      <c r="U8413" t="n">
        <v>0</v>
      </c>
      <c r="V8413" s="2" t="inlineStr"/>
    </row>
    <row r="8414" ht="15" customHeight="1">
      <c r="A8414" t="inlineStr">
        <is>
          <t>A 24912-2026</t>
        </is>
      </c>
      <c r="B8414" t="inlineStr">
        <is>
          <t>avverkningsanmälan</t>
        </is>
      </c>
      <c r="C8414" t="inlineStr">
        <is>
          <t>Föryngringsavverkning</t>
        </is>
      </c>
      <c r="D8414" s="1" t="n">
        <v>46174</v>
      </c>
      <c r="E8414" s="1" t="n">
        <v>46326</v>
      </c>
      <c r="F8414" t="inlineStr">
        <is>
          <t>GÄVLEBORGS LÄN</t>
        </is>
      </c>
      <c r="G8414" t="inlineStr">
        <is>
          <t>SÖDERHAMN</t>
        </is>
      </c>
      <c r="I8414" t="n">
        <v>2.8</v>
      </c>
      <c r="J8414" t="n">
        <v>0</v>
      </c>
      <c r="K8414" t="n">
        <v>0</v>
      </c>
      <c r="L8414" t="n">
        <v>0</v>
      </c>
      <c r="M8414" t="n">
        <v>0</v>
      </c>
      <c r="N8414" t="n">
        <v>0</v>
      </c>
      <c r="O8414" t="n">
        <v>0</v>
      </c>
      <c r="P8414" t="n">
        <v>0</v>
      </c>
      <c r="Q8414" t="n">
        <v>0</v>
      </c>
      <c r="R8414" t="n">
        <v>0</v>
      </c>
      <c r="S8414" t="n">
        <v>0</v>
      </c>
      <c r="T8414" t="n">
        <v>0</v>
      </c>
      <c r="U8414" t="n">
        <v>0</v>
      </c>
      <c r="V8414" s="2" t="inlineStr"/>
    </row>
    <row r="8415" ht="15" customHeight="1">
      <c r="A8415" t="inlineStr">
        <is>
          <t>A 24921-2026</t>
        </is>
      </c>
      <c r="B8415" t="inlineStr">
        <is>
          <t>avverkningsanmälan</t>
        </is>
      </c>
      <c r="C8415" t="inlineStr">
        <is>
          <t>Föryngringsavverkning</t>
        </is>
      </c>
      <c r="D8415" s="1" t="n">
        <v>46174</v>
      </c>
      <c r="E8415" s="1" t="n">
        <v>46326</v>
      </c>
      <c r="F8415" t="inlineStr">
        <is>
          <t>GÄVLEBORGS LÄN</t>
        </is>
      </c>
      <c r="G8415" t="inlineStr">
        <is>
          <t>SÖDERHAMN</t>
        </is>
      </c>
      <c r="I8415" t="n">
        <v>5.8</v>
      </c>
      <c r="J8415" t="n">
        <v>0</v>
      </c>
      <c r="K8415" t="n">
        <v>0</v>
      </c>
      <c r="L8415" t="n">
        <v>0</v>
      </c>
      <c r="M8415" t="n">
        <v>0</v>
      </c>
      <c r="N8415" t="n">
        <v>0</v>
      </c>
      <c r="O8415" t="n">
        <v>0</v>
      </c>
      <c r="P8415" t="n">
        <v>0</v>
      </c>
      <c r="Q8415" t="n">
        <v>0</v>
      </c>
      <c r="R8415" t="n">
        <v>0</v>
      </c>
      <c r="S8415" t="n">
        <v>0</v>
      </c>
      <c r="T8415" t="n">
        <v>0</v>
      </c>
      <c r="U8415" t="n">
        <v>0</v>
      </c>
      <c r="V8415" s="2" t="inlineStr"/>
    </row>
    <row r="8416" ht="15" customHeight="1">
      <c r="A8416" t="inlineStr">
        <is>
          <t>A 24925-2026</t>
        </is>
      </c>
      <c r="B8416" t="inlineStr">
        <is>
          <t>avverkningsanmälan</t>
        </is>
      </c>
      <c r="C8416" t="inlineStr">
        <is>
          <t>Föryngringsavverkning</t>
        </is>
      </c>
      <c r="D8416" s="1" t="n">
        <v>46174</v>
      </c>
      <c r="E8416" s="1" t="n">
        <v>46326</v>
      </c>
      <c r="F8416" t="inlineStr">
        <is>
          <t>GÄVLEBORGS LÄN</t>
        </is>
      </c>
      <c r="G8416" t="inlineStr">
        <is>
          <t>BOLLNÄS</t>
        </is>
      </c>
      <c r="I8416" t="n">
        <v>1.6</v>
      </c>
      <c r="J8416" t="n">
        <v>0</v>
      </c>
      <c r="K8416" t="n">
        <v>0</v>
      </c>
      <c r="L8416" t="n">
        <v>0</v>
      </c>
      <c r="M8416" t="n">
        <v>0</v>
      </c>
      <c r="N8416" t="n">
        <v>0</v>
      </c>
      <c r="O8416" t="n">
        <v>0</v>
      </c>
      <c r="P8416" t="n">
        <v>0</v>
      </c>
      <c r="Q8416" t="n">
        <v>0</v>
      </c>
      <c r="R8416" t="n">
        <v>0</v>
      </c>
      <c r="S8416" t="n">
        <v>0</v>
      </c>
      <c r="T8416" t="n">
        <v>0</v>
      </c>
      <c r="U8416" t="n">
        <v>0</v>
      </c>
      <c r="V8416" s="2" t="inlineStr"/>
    </row>
    <row r="8417" ht="15" customHeight="1">
      <c r="A8417" t="inlineStr">
        <is>
          <t>A 24840-2026</t>
        </is>
      </c>
      <c r="B8417" t="inlineStr">
        <is>
          <t>avverkningsanmälan</t>
        </is>
      </c>
      <c r="C8417" t="inlineStr">
        <is>
          <t>Föryngringsavverkning</t>
        </is>
      </c>
      <c r="D8417" s="1" t="n">
        <v>46174</v>
      </c>
      <c r="E8417" s="1" t="n">
        <v>46326</v>
      </c>
      <c r="F8417" t="inlineStr">
        <is>
          <t>GÄVLEBORGS LÄN</t>
        </is>
      </c>
      <c r="G8417" t="inlineStr">
        <is>
          <t>LJUSDAL</t>
        </is>
      </c>
      <c r="H8417" t="inlineStr">
        <is>
          <t>SCA</t>
        </is>
      </c>
      <c r="I8417" t="n">
        <v>3.8</v>
      </c>
      <c r="J8417" t="n">
        <v>0</v>
      </c>
      <c r="K8417" t="n">
        <v>0</v>
      </c>
      <c r="L8417" t="n">
        <v>0</v>
      </c>
      <c r="M8417" t="n">
        <v>0</v>
      </c>
      <c r="N8417" t="n">
        <v>0</v>
      </c>
      <c r="O8417" t="n">
        <v>0</v>
      </c>
      <c r="P8417" t="n">
        <v>0</v>
      </c>
      <c r="Q8417" t="n">
        <v>0</v>
      </c>
      <c r="R8417" t="n">
        <v>0</v>
      </c>
      <c r="S8417" t="n">
        <v>0</v>
      </c>
      <c r="T8417" t="n">
        <v>0</v>
      </c>
      <c r="U8417" t="n">
        <v>0</v>
      </c>
      <c r="V8417" s="2" t="inlineStr"/>
    </row>
    <row r="8418" ht="15" customHeight="1">
      <c r="A8418" t="inlineStr">
        <is>
          <t>A 24743-2026</t>
        </is>
      </c>
      <c r="B8418" t="inlineStr">
        <is>
          <t>avverkningsanmälan</t>
        </is>
      </c>
      <c r="C8418" t="inlineStr">
        <is>
          <t>Föryngringsavverkning</t>
        </is>
      </c>
      <c r="D8418" s="1" t="n">
        <v>46171</v>
      </c>
      <c r="E8418" s="1" t="n">
        <v>46326</v>
      </c>
      <c r="F8418" t="inlineStr">
        <is>
          <t>GÄVLEBORGS LÄN</t>
        </is>
      </c>
      <c r="G8418" t="inlineStr">
        <is>
          <t>BOLLNÄS</t>
        </is>
      </c>
      <c r="I8418" t="n">
        <v>0.9</v>
      </c>
      <c r="J8418" t="n">
        <v>0</v>
      </c>
      <c r="K8418" t="n">
        <v>0</v>
      </c>
      <c r="L8418" t="n">
        <v>0</v>
      </c>
      <c r="M8418" t="n">
        <v>0</v>
      </c>
      <c r="N8418" t="n">
        <v>0</v>
      </c>
      <c r="O8418" t="n">
        <v>0</v>
      </c>
      <c r="P8418" t="n">
        <v>0</v>
      </c>
      <c r="Q8418" t="n">
        <v>0</v>
      </c>
      <c r="R8418" t="n">
        <v>0</v>
      </c>
      <c r="S8418" t="n">
        <v>0</v>
      </c>
      <c r="T8418" t="n">
        <v>0</v>
      </c>
      <c r="U8418" t="n">
        <v>0</v>
      </c>
      <c r="V8418" s="2" t="inlineStr"/>
    </row>
    <row r="8419" ht="15" customHeight="1">
      <c r="A8419" t="inlineStr">
        <is>
          <t>A 24748-2026</t>
        </is>
      </c>
      <c r="B8419" t="inlineStr">
        <is>
          <t>avverkningsanmälan</t>
        </is>
      </c>
      <c r="C8419" t="inlineStr">
        <is>
          <t>Föryngringsavverkning</t>
        </is>
      </c>
      <c r="D8419" s="1" t="n">
        <v>46171</v>
      </c>
      <c r="E8419" s="1" t="n">
        <v>46326</v>
      </c>
      <c r="F8419" t="inlineStr">
        <is>
          <t>GÄVLEBORGS LÄN</t>
        </is>
      </c>
      <c r="G8419" t="inlineStr">
        <is>
          <t>BOLLNÄS</t>
        </is>
      </c>
      <c r="I8419" t="n">
        <v>7.2</v>
      </c>
      <c r="J8419" t="n">
        <v>0</v>
      </c>
      <c r="K8419" t="n">
        <v>0</v>
      </c>
      <c r="L8419" t="n">
        <v>0</v>
      </c>
      <c r="M8419" t="n">
        <v>0</v>
      </c>
      <c r="N8419" t="n">
        <v>0</v>
      </c>
      <c r="O8419" t="n">
        <v>0</v>
      </c>
      <c r="P8419" t="n">
        <v>0</v>
      </c>
      <c r="Q8419" t="n">
        <v>0</v>
      </c>
      <c r="R8419" t="n">
        <v>0</v>
      </c>
      <c r="S8419" t="n">
        <v>0</v>
      </c>
      <c r="T8419" t="n">
        <v>0</v>
      </c>
      <c r="U8419" t="n">
        <v>0</v>
      </c>
      <c r="V8419" s="2" t="inlineStr"/>
    </row>
    <row r="8420" ht="15" customHeight="1">
      <c r="A8420" t="inlineStr">
        <is>
          <t>A 24751-2026</t>
        </is>
      </c>
      <c r="B8420" t="inlineStr">
        <is>
          <t>avverkningsanmälan</t>
        </is>
      </c>
      <c r="C8420" t="inlineStr">
        <is>
          <t>Föryngringsavverkning</t>
        </is>
      </c>
      <c r="D8420" s="1" t="n">
        <v>46171</v>
      </c>
      <c r="E8420" s="1" t="n">
        <v>46326</v>
      </c>
      <c r="F8420" t="inlineStr">
        <is>
          <t>GÄVLEBORGS LÄN</t>
        </is>
      </c>
      <c r="G8420" t="inlineStr">
        <is>
          <t>BOLLNÄS</t>
        </is>
      </c>
      <c r="I8420" t="n">
        <v>1.4</v>
      </c>
      <c r="J8420" t="n">
        <v>0</v>
      </c>
      <c r="K8420" t="n">
        <v>0</v>
      </c>
      <c r="L8420" t="n">
        <v>0</v>
      </c>
      <c r="M8420" t="n">
        <v>0</v>
      </c>
      <c r="N8420" t="n">
        <v>0</v>
      </c>
      <c r="O8420" t="n">
        <v>0</v>
      </c>
      <c r="P8420" t="n">
        <v>0</v>
      </c>
      <c r="Q8420" t="n">
        <v>0</v>
      </c>
      <c r="R8420" t="n">
        <v>0</v>
      </c>
      <c r="S8420" t="n">
        <v>0</v>
      </c>
      <c r="T8420" t="n">
        <v>0</v>
      </c>
      <c r="U8420" t="n">
        <v>0</v>
      </c>
      <c r="V8420" s="2" t="inlineStr"/>
    </row>
    <row r="8421" ht="15" customHeight="1">
      <c r="A8421" t="inlineStr">
        <is>
          <t>A 3819-2026</t>
        </is>
      </c>
      <c r="B8421" t="inlineStr">
        <is>
          <t>avverkningsanmälan</t>
        </is>
      </c>
      <c r="C8421" t="inlineStr">
        <is>
          <t>Föryngringsavverkning</t>
        </is>
      </c>
      <c r="D8421" s="1" t="n">
        <v>46043</v>
      </c>
      <c r="E8421" s="1" t="n">
        <v>46326</v>
      </c>
      <c r="F8421" t="inlineStr">
        <is>
          <t>GÄVLEBORGS LÄN</t>
        </is>
      </c>
      <c r="G8421" t="inlineStr">
        <is>
          <t>NORDANSTIG</t>
        </is>
      </c>
      <c r="I8421" t="n">
        <v>1.3</v>
      </c>
      <c r="J8421" t="n">
        <v>0</v>
      </c>
      <c r="K8421" t="n">
        <v>0</v>
      </c>
      <c r="L8421" t="n">
        <v>0</v>
      </c>
      <c r="M8421" t="n">
        <v>0</v>
      </c>
      <c r="N8421" t="n">
        <v>0</v>
      </c>
      <c r="O8421" t="n">
        <v>0</v>
      </c>
      <c r="P8421" t="n">
        <v>0</v>
      </c>
      <c r="Q8421" t="n">
        <v>0</v>
      </c>
      <c r="R8421" t="n">
        <v>0</v>
      </c>
      <c r="S8421" t="n">
        <v>0</v>
      </c>
      <c r="T8421" t="n">
        <v>0</v>
      </c>
      <c r="U8421" t="n">
        <v>0</v>
      </c>
      <c r="V8421" s="2" t="inlineStr"/>
    </row>
    <row r="8422" ht="15" customHeight="1">
      <c r="A8422" t="inlineStr">
        <is>
          <t>A 9341-2026</t>
        </is>
      </c>
      <c r="B8422" t="inlineStr">
        <is>
          <t>avverkningsanmälan</t>
        </is>
      </c>
      <c r="C8422" t="inlineStr">
        <is>
          <t>Föryngringsavverkning</t>
        </is>
      </c>
      <c r="D8422" s="1" t="n">
        <v>46070</v>
      </c>
      <c r="E8422" s="1" t="n">
        <v>46326</v>
      </c>
      <c r="F8422" t="inlineStr">
        <is>
          <t>GÄVLEBORGS LÄN</t>
        </is>
      </c>
      <c r="G8422" t="inlineStr">
        <is>
          <t>BOLLNÄS</t>
        </is>
      </c>
      <c r="I8422" t="n">
        <v>2.4</v>
      </c>
      <c r="J8422" t="n">
        <v>0</v>
      </c>
      <c r="K8422" t="n">
        <v>0</v>
      </c>
      <c r="L8422" t="n">
        <v>0</v>
      </c>
      <c r="M8422" t="n">
        <v>0</v>
      </c>
      <c r="N8422" t="n">
        <v>0</v>
      </c>
      <c r="O8422" t="n">
        <v>0</v>
      </c>
      <c r="P8422" t="n">
        <v>0</v>
      </c>
      <c r="Q8422" t="n">
        <v>0</v>
      </c>
      <c r="R8422" t="n">
        <v>0</v>
      </c>
      <c r="S8422" t="n">
        <v>0</v>
      </c>
      <c r="T8422" t="n">
        <v>0</v>
      </c>
      <c r="U8422" t="n">
        <v>0</v>
      </c>
      <c r="V8422" s="2" t="inlineStr"/>
    </row>
    <row r="8423" ht="15" customHeight="1">
      <c r="A8423" t="inlineStr">
        <is>
          <t>A 54519-2024</t>
        </is>
      </c>
      <c r="B8423" t="inlineStr">
        <is>
          <t>avverkningsanmälan</t>
        </is>
      </c>
      <c r="C8423" t="inlineStr">
        <is>
          <t>Föryngringsavverkning</t>
        </is>
      </c>
      <c r="D8423" s="1" t="n">
        <v>45617</v>
      </c>
      <c r="E8423" s="1" t="n">
        <v>46326</v>
      </c>
      <c r="F8423" t="inlineStr">
        <is>
          <t>GÄVLEBORGS LÄN</t>
        </is>
      </c>
      <c r="G8423" t="inlineStr">
        <is>
          <t>NORDANSTIG</t>
        </is>
      </c>
      <c r="H8423" t="inlineStr">
        <is>
          <t>Holmen skog AB</t>
        </is>
      </c>
      <c r="I8423" t="n">
        <v>5.8</v>
      </c>
      <c r="J8423" t="n">
        <v>0</v>
      </c>
      <c r="K8423" t="n">
        <v>0</v>
      </c>
      <c r="L8423" t="n">
        <v>0</v>
      </c>
      <c r="M8423" t="n">
        <v>0</v>
      </c>
      <c r="N8423" t="n">
        <v>0</v>
      </c>
      <c r="O8423" t="n">
        <v>0</v>
      </c>
      <c r="P8423" t="n">
        <v>0</v>
      </c>
      <c r="Q8423" t="n">
        <v>0</v>
      </c>
      <c r="R8423" t="n">
        <v>0</v>
      </c>
      <c r="S8423" t="n">
        <v>0</v>
      </c>
      <c r="T8423" t="n">
        <v>0</v>
      </c>
      <c r="U8423" t="n">
        <v>0</v>
      </c>
      <c r="V8423" s="2" t="inlineStr"/>
    </row>
    <row r="8424" ht="15" customHeight="1">
      <c r="A8424" t="inlineStr">
        <is>
          <t>A 11087-2022</t>
        </is>
      </c>
      <c r="B8424" t="inlineStr">
        <is>
          <t>avverkningsanmälan</t>
        </is>
      </c>
      <c r="C8424" t="inlineStr">
        <is>
          <t>Föryngringsavverkning</t>
        </is>
      </c>
      <c r="D8424" s="1" t="n">
        <v>44628</v>
      </c>
      <c r="E8424" s="1" t="n">
        <v>46326</v>
      </c>
      <c r="F8424" t="inlineStr">
        <is>
          <t>GÄVLEBORGS LÄN</t>
        </is>
      </c>
      <c r="G8424" t="inlineStr">
        <is>
          <t>NORDANSTIG</t>
        </is>
      </c>
      <c r="I8424" t="n">
        <v>1.2</v>
      </c>
      <c r="J8424" t="n">
        <v>0</v>
      </c>
      <c r="K8424" t="n">
        <v>0</v>
      </c>
      <c r="L8424" t="n">
        <v>0</v>
      </c>
      <c r="M8424" t="n">
        <v>0</v>
      </c>
      <c r="N8424" t="n">
        <v>0</v>
      </c>
      <c r="O8424" t="n">
        <v>0</v>
      </c>
      <c r="P8424" t="n">
        <v>0</v>
      </c>
      <c r="Q8424" t="n">
        <v>0</v>
      </c>
      <c r="R8424" t="n">
        <v>0</v>
      </c>
      <c r="S8424" t="n">
        <v>0</v>
      </c>
      <c r="T8424" t="n">
        <v>0</v>
      </c>
      <c r="U8424" t="n">
        <v>0</v>
      </c>
      <c r="V8424" s="2" t="inlineStr"/>
    </row>
    <row r="8425" ht="15" customHeight="1">
      <c r="A8425" t="inlineStr">
        <is>
          <t>A 29238-2023</t>
        </is>
      </c>
      <c r="B8425" t="inlineStr">
        <is>
          <t>avverkningsanmälan</t>
        </is>
      </c>
      <c r="C8425" t="inlineStr">
        <is>
          <t>Avverkning för annat ändamål</t>
        </is>
      </c>
      <c r="D8425" s="1" t="n">
        <v>45105</v>
      </c>
      <c r="E8425" s="1" t="n">
        <v>46326</v>
      </c>
      <c r="F8425" t="inlineStr">
        <is>
          <t>GÄVLEBORGS LÄN</t>
        </is>
      </c>
      <c r="G8425" t="inlineStr">
        <is>
          <t>LJUSDAL</t>
        </is>
      </c>
      <c r="I8425" t="n">
        <v>1</v>
      </c>
      <c r="J8425" t="n">
        <v>0</v>
      </c>
      <c r="K8425" t="n">
        <v>0</v>
      </c>
      <c r="L8425" t="n">
        <v>0</v>
      </c>
      <c r="M8425" t="n">
        <v>0</v>
      </c>
      <c r="N8425" t="n">
        <v>0</v>
      </c>
      <c r="O8425" t="n">
        <v>0</v>
      </c>
      <c r="P8425" t="n">
        <v>0</v>
      </c>
      <c r="Q8425" t="n">
        <v>0</v>
      </c>
      <c r="R8425" t="n">
        <v>0</v>
      </c>
      <c r="S8425" t="n">
        <v>0</v>
      </c>
      <c r="T8425" t="n">
        <v>0</v>
      </c>
      <c r="U8425" t="n">
        <v>0</v>
      </c>
      <c r="V8425" s="2" t="inlineStr"/>
    </row>
    <row r="8426" ht="15" customHeight="1">
      <c r="A8426" t="inlineStr">
        <is>
          <t>A 25474-2026</t>
        </is>
      </c>
      <c r="B8426" t="inlineStr">
        <is>
          <t>avverkningsanmälan</t>
        </is>
      </c>
      <c r="C8426" t="inlineStr">
        <is>
          <t>Föryngringsavverkning</t>
        </is>
      </c>
      <c r="D8426" s="1" t="n">
        <v>46177</v>
      </c>
      <c r="E8426" s="1" t="n">
        <v>46326</v>
      </c>
      <c r="F8426" t="inlineStr">
        <is>
          <t>GÄVLEBORGS LÄN</t>
        </is>
      </c>
      <c r="G8426" t="inlineStr">
        <is>
          <t>BOLLNÄS</t>
        </is>
      </c>
      <c r="I8426" t="n">
        <v>0.9</v>
      </c>
      <c r="J8426" t="n">
        <v>0</v>
      </c>
      <c r="K8426" t="n">
        <v>0</v>
      </c>
      <c r="L8426" t="n">
        <v>0</v>
      </c>
      <c r="M8426" t="n">
        <v>0</v>
      </c>
      <c r="N8426" t="n">
        <v>0</v>
      </c>
      <c r="O8426" t="n">
        <v>0</v>
      </c>
      <c r="P8426" t="n">
        <v>0</v>
      </c>
      <c r="Q8426" t="n">
        <v>0</v>
      </c>
      <c r="R8426" t="n">
        <v>0</v>
      </c>
      <c r="S8426" t="n">
        <v>0</v>
      </c>
      <c r="T8426" t="n">
        <v>0</v>
      </c>
      <c r="U8426" t="n">
        <v>0</v>
      </c>
      <c r="V8426" s="2" t="inlineStr"/>
    </row>
    <row r="8427" ht="15" customHeight="1">
      <c r="A8427" t="inlineStr">
        <is>
          <t>A 30662-2022</t>
        </is>
      </c>
      <c r="B8427" t="inlineStr">
        <is>
          <t>avverkningsanmälan</t>
        </is>
      </c>
      <c r="C8427" t="inlineStr">
        <is>
          <t>Föryngringsavverkning</t>
        </is>
      </c>
      <c r="D8427" s="1" t="n">
        <v>44763</v>
      </c>
      <c r="E8427" s="1" t="n">
        <v>46326</v>
      </c>
      <c r="F8427" t="inlineStr">
        <is>
          <t>GÄVLEBORGS LÄN</t>
        </is>
      </c>
      <c r="G8427" t="inlineStr">
        <is>
          <t>GÄVLE</t>
        </is>
      </c>
      <c r="I8427" t="n">
        <v>1.3</v>
      </c>
      <c r="J8427" t="n">
        <v>0</v>
      </c>
      <c r="K8427" t="n">
        <v>0</v>
      </c>
      <c r="L8427" t="n">
        <v>0</v>
      </c>
      <c r="M8427" t="n">
        <v>0</v>
      </c>
      <c r="N8427" t="n">
        <v>0</v>
      </c>
      <c r="O8427" t="n">
        <v>0</v>
      </c>
      <c r="P8427" t="n">
        <v>0</v>
      </c>
      <c r="Q8427" t="n">
        <v>0</v>
      </c>
      <c r="R8427" t="n">
        <v>0</v>
      </c>
      <c r="S8427" t="n">
        <v>0</v>
      </c>
      <c r="T8427" t="n">
        <v>0</v>
      </c>
      <c r="U8427" t="n">
        <v>0</v>
      </c>
      <c r="V8427" s="2" t="inlineStr"/>
    </row>
    <row r="8428" ht="15" customHeight="1">
      <c r="A8428" t="inlineStr">
        <is>
          <t>A 46207-2024</t>
        </is>
      </c>
      <c r="B8428" t="inlineStr">
        <is>
          <t>avverkningsanmälan</t>
        </is>
      </c>
      <c r="C8428" t="inlineStr">
        <is>
          <t>Föryngringsavverkning</t>
        </is>
      </c>
      <c r="D8428" s="1" t="n">
        <v>45581</v>
      </c>
      <c r="E8428" s="1" t="n">
        <v>46326</v>
      </c>
      <c r="F8428" t="inlineStr">
        <is>
          <t>GÄVLEBORGS LÄN</t>
        </is>
      </c>
      <c r="G8428" t="inlineStr">
        <is>
          <t>HUDIKSVALL</t>
        </is>
      </c>
      <c r="H8428" t="inlineStr">
        <is>
          <t>Holmen skog AB</t>
        </is>
      </c>
      <c r="I8428" t="n">
        <v>3</v>
      </c>
      <c r="J8428" t="n">
        <v>0</v>
      </c>
      <c r="K8428" t="n">
        <v>0</v>
      </c>
      <c r="L8428" t="n">
        <v>0</v>
      </c>
      <c r="M8428" t="n">
        <v>0</v>
      </c>
      <c r="N8428" t="n">
        <v>0</v>
      </c>
      <c r="O8428" t="n">
        <v>0</v>
      </c>
      <c r="P8428" t="n">
        <v>0</v>
      </c>
      <c r="Q8428" t="n">
        <v>0</v>
      </c>
      <c r="R8428" t="n">
        <v>0</v>
      </c>
      <c r="S8428" t="n">
        <v>0</v>
      </c>
      <c r="T8428" t="n">
        <v>0</v>
      </c>
      <c r="U8428" t="n">
        <v>0</v>
      </c>
      <c r="V8428" s="2" t="inlineStr"/>
    </row>
    <row r="8429" ht="15" customHeight="1">
      <c r="A8429" t="inlineStr">
        <is>
          <t>A 25406-2026</t>
        </is>
      </c>
      <c r="B8429" t="inlineStr">
        <is>
          <t>avverkningsanmälan</t>
        </is>
      </c>
      <c r="C8429" t="inlineStr">
        <is>
          <t>Föryngringsavverkning</t>
        </is>
      </c>
      <c r="D8429" s="1" t="n">
        <v>46176</v>
      </c>
      <c r="E8429" s="1" t="n">
        <v>46326</v>
      </c>
      <c r="F8429" t="inlineStr">
        <is>
          <t>GÄVLEBORGS LÄN</t>
        </is>
      </c>
      <c r="G8429" t="inlineStr">
        <is>
          <t>NORDANSTIG</t>
        </is>
      </c>
      <c r="H8429" t="inlineStr">
        <is>
          <t>Holmen skog AB</t>
        </is>
      </c>
      <c r="I8429" t="n">
        <v>2.3</v>
      </c>
      <c r="J8429" t="n">
        <v>0</v>
      </c>
      <c r="K8429" t="n">
        <v>0</v>
      </c>
      <c r="L8429" t="n">
        <v>0</v>
      </c>
      <c r="M8429" t="n">
        <v>0</v>
      </c>
      <c r="N8429" t="n">
        <v>0</v>
      </c>
      <c r="O8429" t="n">
        <v>0</v>
      </c>
      <c r="P8429" t="n">
        <v>0</v>
      </c>
      <c r="Q8429" t="n">
        <v>0</v>
      </c>
      <c r="R8429" t="n">
        <v>0</v>
      </c>
      <c r="S8429" t="n">
        <v>0</v>
      </c>
      <c r="T8429" t="n">
        <v>0</v>
      </c>
      <c r="U8429" t="n">
        <v>0</v>
      </c>
      <c r="V8429" s="2" t="inlineStr"/>
    </row>
    <row r="8430" ht="15" customHeight="1">
      <c r="A8430" t="inlineStr">
        <is>
          <t>A 25384-2026</t>
        </is>
      </c>
      <c r="B8430" t="inlineStr">
        <is>
          <t>avverkningsanmälan</t>
        </is>
      </c>
      <c r="C8430" t="inlineStr">
        <is>
          <t>Föryngringsavverkning</t>
        </is>
      </c>
      <c r="D8430" s="1" t="n">
        <v>46176</v>
      </c>
      <c r="E8430" s="1" t="n">
        <v>46326</v>
      </c>
      <c r="F8430" t="inlineStr">
        <is>
          <t>GÄVLEBORGS LÄN</t>
        </is>
      </c>
      <c r="G8430" t="inlineStr">
        <is>
          <t>GÄVLE</t>
        </is>
      </c>
      <c r="I8430" t="n">
        <v>0.4</v>
      </c>
      <c r="J8430" t="n">
        <v>0</v>
      </c>
      <c r="K8430" t="n">
        <v>0</v>
      </c>
      <c r="L8430" t="n">
        <v>0</v>
      </c>
      <c r="M8430" t="n">
        <v>0</v>
      </c>
      <c r="N8430" t="n">
        <v>0</v>
      </c>
      <c r="O8430" t="n">
        <v>0</v>
      </c>
      <c r="P8430" t="n">
        <v>0</v>
      </c>
      <c r="Q8430" t="n">
        <v>0</v>
      </c>
      <c r="R8430" t="n">
        <v>0</v>
      </c>
      <c r="S8430" t="n">
        <v>0</v>
      </c>
      <c r="T8430" t="n">
        <v>0</v>
      </c>
      <c r="U8430" t="n">
        <v>0</v>
      </c>
      <c r="V8430" s="2" t="inlineStr"/>
    </row>
    <row r="8431" ht="15" customHeight="1">
      <c r="A8431" t="inlineStr">
        <is>
          <t>A 254-2022</t>
        </is>
      </c>
      <c r="B8431" t="inlineStr">
        <is>
          <t>avverkningsanmälan</t>
        </is>
      </c>
      <c r="C8431" t="inlineStr">
        <is>
          <t>Föryngringsavverkning</t>
        </is>
      </c>
      <c r="D8431" s="1" t="n">
        <v>44564</v>
      </c>
      <c r="E8431" s="1" t="n">
        <v>46326</v>
      </c>
      <c r="F8431" t="inlineStr">
        <is>
          <t>GÄVLEBORGS LÄN</t>
        </is>
      </c>
      <c r="G8431" t="inlineStr">
        <is>
          <t>SÖDERHAMN</t>
        </is>
      </c>
      <c r="I8431" t="n">
        <v>0.8</v>
      </c>
      <c r="J8431" t="n">
        <v>0</v>
      </c>
      <c r="K8431" t="n">
        <v>0</v>
      </c>
      <c r="L8431" t="n">
        <v>0</v>
      </c>
      <c r="M8431" t="n">
        <v>0</v>
      </c>
      <c r="N8431" t="n">
        <v>0</v>
      </c>
      <c r="O8431" t="n">
        <v>0</v>
      </c>
      <c r="P8431" t="n">
        <v>0</v>
      </c>
      <c r="Q8431" t="n">
        <v>0</v>
      </c>
      <c r="R8431" t="n">
        <v>0</v>
      </c>
      <c r="S8431" t="n">
        <v>0</v>
      </c>
      <c r="T8431" t="n">
        <v>0</v>
      </c>
      <c r="U8431" t="n">
        <v>0</v>
      </c>
      <c r="V8431" s="2" t="inlineStr"/>
    </row>
    <row r="8432" ht="15" customHeight="1">
      <c r="A8432" t="inlineStr">
        <is>
          <t>A 25266-2026</t>
        </is>
      </c>
      <c r="B8432" t="inlineStr">
        <is>
          <t>avverkningsanmälan</t>
        </is>
      </c>
      <c r="C8432" t="inlineStr">
        <is>
          <t>Föryngringsavverkning</t>
        </is>
      </c>
      <c r="D8432" s="1" t="n">
        <v>46175</v>
      </c>
      <c r="E8432" s="1" t="n">
        <v>46326</v>
      </c>
      <c r="F8432" t="inlineStr">
        <is>
          <t>GÄVLEBORGS LÄN</t>
        </is>
      </c>
      <c r="G8432" t="inlineStr">
        <is>
          <t>OVANÅKER</t>
        </is>
      </c>
      <c r="I8432" t="n">
        <v>3.4</v>
      </c>
      <c r="J8432" t="n">
        <v>0</v>
      </c>
      <c r="K8432" t="n">
        <v>0</v>
      </c>
      <c r="L8432" t="n">
        <v>0</v>
      </c>
      <c r="M8432" t="n">
        <v>0</v>
      </c>
      <c r="N8432" t="n">
        <v>0</v>
      </c>
      <c r="O8432" t="n">
        <v>0</v>
      </c>
      <c r="P8432" t="n">
        <v>0</v>
      </c>
      <c r="Q8432" t="n">
        <v>0</v>
      </c>
      <c r="R8432" t="n">
        <v>0</v>
      </c>
      <c r="S8432" t="n">
        <v>0</v>
      </c>
      <c r="T8432" t="n">
        <v>0</v>
      </c>
      <c r="U8432" t="n">
        <v>0</v>
      </c>
      <c r="V8432" s="2" t="inlineStr"/>
    </row>
    <row r="8433" ht="15" customHeight="1">
      <c r="A8433" t="inlineStr">
        <is>
          <t>A 25137-2026</t>
        </is>
      </c>
      <c r="B8433" t="inlineStr">
        <is>
          <t>avverkningsanmälan</t>
        </is>
      </c>
      <c r="C8433" t="inlineStr">
        <is>
          <t>Föryngringsavverkning</t>
        </is>
      </c>
      <c r="D8433" s="1" t="n">
        <v>46175</v>
      </c>
      <c r="E8433" s="1" t="n">
        <v>46326</v>
      </c>
      <c r="F8433" t="inlineStr">
        <is>
          <t>GÄVLEBORGS LÄN</t>
        </is>
      </c>
      <c r="G8433" t="inlineStr">
        <is>
          <t>OVANÅKER</t>
        </is>
      </c>
      <c r="I8433" t="n">
        <v>0.7</v>
      </c>
      <c r="J8433" t="n">
        <v>0</v>
      </c>
      <c r="K8433" t="n">
        <v>0</v>
      </c>
      <c r="L8433" t="n">
        <v>0</v>
      </c>
      <c r="M8433" t="n">
        <v>0</v>
      </c>
      <c r="N8433" t="n">
        <v>0</v>
      </c>
      <c r="O8433" t="n">
        <v>0</v>
      </c>
      <c r="P8433" t="n">
        <v>0</v>
      </c>
      <c r="Q8433" t="n">
        <v>0</v>
      </c>
      <c r="R8433" t="n">
        <v>0</v>
      </c>
      <c r="S8433" t="n">
        <v>0</v>
      </c>
      <c r="T8433" t="n">
        <v>0</v>
      </c>
      <c r="U8433" t="n">
        <v>0</v>
      </c>
      <c r="V8433" s="2" t="inlineStr"/>
    </row>
    <row r="8434" ht="15" customHeight="1">
      <c r="A8434" t="inlineStr">
        <is>
          <t>A 25204-2026</t>
        </is>
      </c>
      <c r="B8434" t="inlineStr">
        <is>
          <t>avverkningsanmälan</t>
        </is>
      </c>
      <c r="C8434" t="inlineStr">
        <is>
          <t>Föryngringsavverkning</t>
        </is>
      </c>
      <c r="D8434" s="1" t="n">
        <v>46175</v>
      </c>
      <c r="E8434" s="1" t="n">
        <v>46326</v>
      </c>
      <c r="F8434" t="inlineStr">
        <is>
          <t>GÄVLEBORGS LÄN</t>
        </is>
      </c>
      <c r="G8434" t="inlineStr">
        <is>
          <t>BOLLNÄS</t>
        </is>
      </c>
      <c r="I8434" t="n">
        <v>10.1</v>
      </c>
      <c r="J8434" t="n">
        <v>0</v>
      </c>
      <c r="K8434" t="n">
        <v>0</v>
      </c>
      <c r="L8434" t="n">
        <v>0</v>
      </c>
      <c r="M8434" t="n">
        <v>0</v>
      </c>
      <c r="N8434" t="n">
        <v>0</v>
      </c>
      <c r="O8434" t="n">
        <v>0</v>
      </c>
      <c r="P8434" t="n">
        <v>0</v>
      </c>
      <c r="Q8434" t="n">
        <v>0</v>
      </c>
      <c r="R8434" t="n">
        <v>0</v>
      </c>
      <c r="S8434" t="n">
        <v>0</v>
      </c>
      <c r="T8434" t="n">
        <v>0</v>
      </c>
      <c r="U8434" t="n">
        <v>0</v>
      </c>
      <c r="V8434" s="2" t="inlineStr"/>
    </row>
    <row r="8435" ht="15" customHeight="1">
      <c r="A8435" t="inlineStr">
        <is>
          <t>A 20909-2023</t>
        </is>
      </c>
      <c r="B8435" t="inlineStr">
        <is>
          <t>avverkningsanmälan</t>
        </is>
      </c>
      <c r="C8435" t="inlineStr">
        <is>
          <t>Föryngringsavverkning</t>
        </is>
      </c>
      <c r="D8435" s="1" t="n">
        <v>45060</v>
      </c>
      <c r="E8435" s="1" t="n">
        <v>46326</v>
      </c>
      <c r="F8435" t="inlineStr">
        <is>
          <t>GÄVLEBORGS LÄN</t>
        </is>
      </c>
      <c r="G8435" t="inlineStr">
        <is>
          <t>LJUSDAL</t>
        </is>
      </c>
      <c r="I8435" t="n">
        <v>5.3</v>
      </c>
      <c r="J8435" t="n">
        <v>0</v>
      </c>
      <c r="K8435" t="n">
        <v>0</v>
      </c>
      <c r="L8435" t="n">
        <v>0</v>
      </c>
      <c r="M8435" t="n">
        <v>0</v>
      </c>
      <c r="N8435" t="n">
        <v>0</v>
      </c>
      <c r="O8435" t="n">
        <v>0</v>
      </c>
      <c r="P8435" t="n">
        <v>0</v>
      </c>
      <c r="Q8435" t="n">
        <v>0</v>
      </c>
      <c r="R8435" t="n">
        <v>0</v>
      </c>
      <c r="S8435" t="n">
        <v>0</v>
      </c>
      <c r="T8435" t="n">
        <v>0</v>
      </c>
      <c r="U8435" t="n">
        <v>0</v>
      </c>
      <c r="V8435" s="2" t="inlineStr"/>
    </row>
    <row r="8436" ht="15" customHeight="1">
      <c r="A8436" t="inlineStr">
        <is>
          <t>A 25191-2026</t>
        </is>
      </c>
      <c r="B8436" t="inlineStr">
        <is>
          <t>avverkningsanmälan</t>
        </is>
      </c>
      <c r="C8436" t="inlineStr">
        <is>
          <t>Föryngringsavverkning</t>
        </is>
      </c>
      <c r="D8436" s="1" t="n">
        <v>46175</v>
      </c>
      <c r="E8436" s="1" t="n">
        <v>46326</v>
      </c>
      <c r="F8436" t="inlineStr">
        <is>
          <t>GÄVLEBORGS LÄN</t>
        </is>
      </c>
      <c r="G8436" t="inlineStr">
        <is>
          <t>HUDIKSVALL</t>
        </is>
      </c>
      <c r="I8436" t="n">
        <v>1.1</v>
      </c>
      <c r="J8436" t="n">
        <v>0</v>
      </c>
      <c r="K8436" t="n">
        <v>0</v>
      </c>
      <c r="L8436" t="n">
        <v>0</v>
      </c>
      <c r="M8436" t="n">
        <v>0</v>
      </c>
      <c r="N8436" t="n">
        <v>0</v>
      </c>
      <c r="O8436" t="n">
        <v>0</v>
      </c>
      <c r="P8436" t="n">
        <v>0</v>
      </c>
      <c r="Q8436" t="n">
        <v>0</v>
      </c>
      <c r="R8436" t="n">
        <v>0</v>
      </c>
      <c r="S8436" t="n">
        <v>0</v>
      </c>
      <c r="T8436" t="n">
        <v>0</v>
      </c>
      <c r="U8436" t="n">
        <v>0</v>
      </c>
      <c r="V8436" s="2" t="inlineStr"/>
    </row>
    <row r="8437" ht="15" customHeight="1">
      <c r="A8437" t="inlineStr">
        <is>
          <t>A 11385-2023</t>
        </is>
      </c>
      <c r="B8437" t="inlineStr">
        <is>
          <t>avverkningsanmälan</t>
        </is>
      </c>
      <c r="C8437" t="inlineStr">
        <is>
          <t>Föryngringsavverkning</t>
        </is>
      </c>
      <c r="D8437" s="1" t="n">
        <v>44988</v>
      </c>
      <c r="E8437" s="1" t="n">
        <v>46326</v>
      </c>
      <c r="F8437" t="inlineStr">
        <is>
          <t>GÄVLEBORGS LÄN</t>
        </is>
      </c>
      <c r="G8437" t="inlineStr">
        <is>
          <t>SANDVIKEN</t>
        </is>
      </c>
      <c r="I8437" t="n">
        <v>0.8</v>
      </c>
      <c r="J8437" t="n">
        <v>0</v>
      </c>
      <c r="K8437" t="n">
        <v>0</v>
      </c>
      <c r="L8437" t="n">
        <v>0</v>
      </c>
      <c r="M8437" t="n">
        <v>0</v>
      </c>
      <c r="N8437" t="n">
        <v>0</v>
      </c>
      <c r="O8437" t="n">
        <v>0</v>
      </c>
      <c r="P8437" t="n">
        <v>0</v>
      </c>
      <c r="Q8437" t="n">
        <v>0</v>
      </c>
      <c r="R8437" t="n">
        <v>0</v>
      </c>
      <c r="S8437" t="n">
        <v>0</v>
      </c>
      <c r="T8437" t="n">
        <v>0</v>
      </c>
      <c r="U8437" t="n">
        <v>0</v>
      </c>
      <c r="V8437" s="2" t="inlineStr"/>
    </row>
    <row r="8438" ht="15" customHeight="1">
      <c r="A8438" t="inlineStr">
        <is>
          <t>A 12526-2024</t>
        </is>
      </c>
      <c r="B8438" t="inlineStr">
        <is>
          <t>avverkningsanmälan</t>
        </is>
      </c>
      <c r="C8438" t="inlineStr">
        <is>
          <t>Föryngringsavverkning</t>
        </is>
      </c>
      <c r="D8438" s="1" t="n">
        <v>45379</v>
      </c>
      <c r="E8438" s="1" t="n">
        <v>46326</v>
      </c>
      <c r="F8438" t="inlineStr">
        <is>
          <t>GÄVLEBORGS LÄN</t>
        </is>
      </c>
      <c r="G8438" t="inlineStr">
        <is>
          <t>HUDIKSVALL</t>
        </is>
      </c>
      <c r="I8438" t="n">
        <v>1.3</v>
      </c>
      <c r="J8438" t="n">
        <v>0</v>
      </c>
      <c r="K8438" t="n">
        <v>0</v>
      </c>
      <c r="L8438" t="n">
        <v>0</v>
      </c>
      <c r="M8438" t="n">
        <v>0</v>
      </c>
      <c r="N8438" t="n">
        <v>0</v>
      </c>
      <c r="O8438" t="n">
        <v>0</v>
      </c>
      <c r="P8438" t="n">
        <v>0</v>
      </c>
      <c r="Q8438" t="n">
        <v>0</v>
      </c>
      <c r="R8438" t="n">
        <v>0</v>
      </c>
      <c r="S8438" t="n">
        <v>0</v>
      </c>
      <c r="T8438" t="n">
        <v>0</v>
      </c>
      <c r="U8438" t="n">
        <v>0</v>
      </c>
      <c r="V8438" s="2" t="inlineStr"/>
    </row>
    <row r="8439" ht="15" customHeight="1">
      <c r="A8439" t="inlineStr">
        <is>
          <t>A 60736-2023</t>
        </is>
      </c>
      <c r="B8439" t="inlineStr">
        <is>
          <t>avverkningsanmälan</t>
        </is>
      </c>
      <c r="C8439" t="inlineStr">
        <is>
          <t>Föryngringsavverkning</t>
        </is>
      </c>
      <c r="D8439" s="1" t="n">
        <v>45260</v>
      </c>
      <c r="E8439" s="1" t="n">
        <v>46326</v>
      </c>
      <c r="F8439" t="inlineStr">
        <is>
          <t>GÄVLEBORGS LÄN</t>
        </is>
      </c>
      <c r="G8439" t="inlineStr">
        <is>
          <t>HUDIKSVALL</t>
        </is>
      </c>
      <c r="H8439" t="inlineStr">
        <is>
          <t>Holmen skog AB</t>
        </is>
      </c>
      <c r="I8439" t="n">
        <v>3.1</v>
      </c>
      <c r="J8439" t="n">
        <v>0</v>
      </c>
      <c r="K8439" t="n">
        <v>0</v>
      </c>
      <c r="L8439" t="n">
        <v>0</v>
      </c>
      <c r="M8439" t="n">
        <v>0</v>
      </c>
      <c r="N8439" t="n">
        <v>0</v>
      </c>
      <c r="O8439" t="n">
        <v>0</v>
      </c>
      <c r="P8439" t="n">
        <v>0</v>
      </c>
      <c r="Q8439" t="n">
        <v>0</v>
      </c>
      <c r="R8439" t="n">
        <v>0</v>
      </c>
      <c r="S8439" t="n">
        <v>0</v>
      </c>
      <c r="T8439" t="n">
        <v>0</v>
      </c>
      <c r="U8439" t="n">
        <v>0</v>
      </c>
      <c r="V8439" s="2" t="inlineStr"/>
    </row>
    <row r="8440" ht="15" customHeight="1">
      <c r="A8440" t="inlineStr">
        <is>
          <t>A 3281-2026</t>
        </is>
      </c>
      <c r="B8440" t="inlineStr">
        <is>
          <t>avverkningsanmälan</t>
        </is>
      </c>
      <c r="C8440" t="inlineStr">
        <is>
          <t>Föryngringsavverkning</t>
        </is>
      </c>
      <c r="D8440" s="1" t="n">
        <v>46041</v>
      </c>
      <c r="E8440" s="1" t="n">
        <v>46326</v>
      </c>
      <c r="F8440" t="inlineStr">
        <is>
          <t>GÄVLEBORGS LÄN</t>
        </is>
      </c>
      <c r="G8440" t="inlineStr">
        <is>
          <t>BOLLNÄS</t>
        </is>
      </c>
      <c r="I8440" t="n">
        <v>2.6</v>
      </c>
      <c r="J8440" t="n">
        <v>0</v>
      </c>
      <c r="K8440" t="n">
        <v>0</v>
      </c>
      <c r="L8440" t="n">
        <v>0</v>
      </c>
      <c r="M8440" t="n">
        <v>0</v>
      </c>
      <c r="N8440" t="n">
        <v>0</v>
      </c>
      <c r="O8440" t="n">
        <v>0</v>
      </c>
      <c r="P8440" t="n">
        <v>0</v>
      </c>
      <c r="Q8440" t="n">
        <v>0</v>
      </c>
      <c r="R8440" t="n">
        <v>0</v>
      </c>
      <c r="S8440" t="n">
        <v>0</v>
      </c>
      <c r="T8440" t="n">
        <v>0</v>
      </c>
      <c r="U8440" t="n">
        <v>0</v>
      </c>
      <c r="V8440" s="2" t="inlineStr"/>
    </row>
    <row r="8441" ht="15" customHeight="1">
      <c r="A8441" t="inlineStr">
        <is>
          <t>A 13264-2026</t>
        </is>
      </c>
      <c r="B8441" t="inlineStr">
        <is>
          <t>avverkningsanmälan</t>
        </is>
      </c>
      <c r="C8441" t="inlineStr">
        <is>
          <t>Föryngringsavverkning</t>
        </is>
      </c>
      <c r="D8441" s="1" t="n">
        <v>46093</v>
      </c>
      <c r="E8441" s="1" t="n">
        <v>46326</v>
      </c>
      <c r="F8441" t="inlineStr">
        <is>
          <t>GÄVLEBORGS LÄN</t>
        </is>
      </c>
      <c r="G8441" t="inlineStr">
        <is>
          <t>OVANÅKER</t>
        </is>
      </c>
      <c r="I8441" t="n">
        <v>3.3</v>
      </c>
      <c r="J8441" t="n">
        <v>0</v>
      </c>
      <c r="K8441" t="n">
        <v>0</v>
      </c>
      <c r="L8441" t="n">
        <v>0</v>
      </c>
      <c r="M8441" t="n">
        <v>0</v>
      </c>
      <c r="N8441" t="n">
        <v>0</v>
      </c>
      <c r="O8441" t="n">
        <v>0</v>
      </c>
      <c r="P8441" t="n">
        <v>0</v>
      </c>
      <c r="Q8441" t="n">
        <v>0</v>
      </c>
      <c r="R8441" t="n">
        <v>0</v>
      </c>
      <c r="S8441" t="n">
        <v>0</v>
      </c>
      <c r="T8441" t="n">
        <v>0</v>
      </c>
      <c r="U8441" t="n">
        <v>0</v>
      </c>
      <c r="V8441" s="2" t="inlineStr"/>
    </row>
    <row r="8442" ht="15" customHeight="1">
      <c r="A8442" t="inlineStr">
        <is>
          <t>A 25166-2026</t>
        </is>
      </c>
      <c r="B8442" t="inlineStr">
        <is>
          <t>avverkningsanmälan</t>
        </is>
      </c>
      <c r="C8442" t="inlineStr">
        <is>
          <t>Föryngringsavverkning</t>
        </is>
      </c>
      <c r="D8442" s="1" t="n">
        <v>46175</v>
      </c>
      <c r="E8442" s="1" t="n">
        <v>46326</v>
      </c>
      <c r="F8442" t="inlineStr">
        <is>
          <t>GÄVLEBORGS LÄN</t>
        </is>
      </c>
      <c r="G8442" t="inlineStr">
        <is>
          <t>NORDANSTIG</t>
        </is>
      </c>
      <c r="I8442" t="n">
        <v>1.5</v>
      </c>
      <c r="J8442" t="n">
        <v>0</v>
      </c>
      <c r="K8442" t="n">
        <v>0</v>
      </c>
      <c r="L8442" t="n">
        <v>0</v>
      </c>
      <c r="M8442" t="n">
        <v>0</v>
      </c>
      <c r="N8442" t="n">
        <v>0</v>
      </c>
      <c r="O8442" t="n">
        <v>0</v>
      </c>
      <c r="P8442" t="n">
        <v>0</v>
      </c>
      <c r="Q8442" t="n">
        <v>0</v>
      </c>
      <c r="R8442" t="n">
        <v>0</v>
      </c>
      <c r="S8442" t="n">
        <v>0</v>
      </c>
      <c r="T8442" t="n">
        <v>0</v>
      </c>
      <c r="U8442" t="n">
        <v>0</v>
      </c>
      <c r="V8442" s="2" t="inlineStr"/>
    </row>
    <row r="8443" ht="15" customHeight="1">
      <c r="A8443" t="inlineStr">
        <is>
          <t>A 35029-2024</t>
        </is>
      </c>
      <c r="B8443" t="inlineStr">
        <is>
          <t>avverkningsanmälan</t>
        </is>
      </c>
      <c r="C8443" t="inlineStr">
        <is>
          <t>Föryngringsavverkning</t>
        </is>
      </c>
      <c r="D8443" s="1" t="n">
        <v>45527</v>
      </c>
      <c r="E8443" s="1" t="n">
        <v>46326</v>
      </c>
      <c r="F8443" t="inlineStr">
        <is>
          <t>GÄVLEBORGS LÄN</t>
        </is>
      </c>
      <c r="G8443" t="inlineStr">
        <is>
          <t>LJUSDAL</t>
        </is>
      </c>
      <c r="I8443" t="n">
        <v>1</v>
      </c>
      <c r="J8443" t="n">
        <v>0</v>
      </c>
      <c r="K8443" t="n">
        <v>0</v>
      </c>
      <c r="L8443" t="n">
        <v>0</v>
      </c>
      <c r="M8443" t="n">
        <v>0</v>
      </c>
      <c r="N8443" t="n">
        <v>0</v>
      </c>
      <c r="O8443" t="n">
        <v>0</v>
      </c>
      <c r="P8443" t="n">
        <v>0</v>
      </c>
      <c r="Q8443" t="n">
        <v>0</v>
      </c>
      <c r="R8443" t="n">
        <v>0</v>
      </c>
      <c r="S8443" t="n">
        <v>0</v>
      </c>
      <c r="T8443" t="n">
        <v>0</v>
      </c>
      <c r="U8443" t="n">
        <v>0</v>
      </c>
      <c r="V8443" s="2" t="inlineStr"/>
    </row>
    <row r="8444" ht="15" customHeight="1">
      <c r="A8444" t="inlineStr">
        <is>
          <t>A 25311-2026</t>
        </is>
      </c>
      <c r="B8444" t="inlineStr">
        <is>
          <t>avverkningsanmälan</t>
        </is>
      </c>
      <c r="C8444" t="inlineStr">
        <is>
          <t>Föryngringsavverkning</t>
        </is>
      </c>
      <c r="D8444" s="1" t="n">
        <v>46176</v>
      </c>
      <c r="E8444" s="1" t="n">
        <v>46326</v>
      </c>
      <c r="F8444" t="inlineStr">
        <is>
          <t>GÄVLEBORGS LÄN</t>
        </is>
      </c>
      <c r="G8444" t="inlineStr">
        <is>
          <t>HUDIKSVALL</t>
        </is>
      </c>
      <c r="I8444" t="n">
        <v>1.8</v>
      </c>
      <c r="J8444" t="n">
        <v>0</v>
      </c>
      <c r="K8444" t="n">
        <v>0</v>
      </c>
      <c r="L8444" t="n">
        <v>0</v>
      </c>
      <c r="M8444" t="n">
        <v>0</v>
      </c>
      <c r="N8444" t="n">
        <v>0</v>
      </c>
      <c r="O8444" t="n">
        <v>0</v>
      </c>
      <c r="P8444" t="n">
        <v>0</v>
      </c>
      <c r="Q8444" t="n">
        <v>0</v>
      </c>
      <c r="R8444" t="n">
        <v>0</v>
      </c>
      <c r="S8444" t="n">
        <v>0</v>
      </c>
      <c r="T8444" t="n">
        <v>0</v>
      </c>
      <c r="U8444" t="n">
        <v>0</v>
      </c>
      <c r="V8444" s="2" t="inlineStr"/>
    </row>
    <row r="8445" ht="15" customHeight="1">
      <c r="A8445" t="inlineStr">
        <is>
          <t>A 25269-2026</t>
        </is>
      </c>
      <c r="B8445" t="inlineStr">
        <is>
          <t>avverkningsanmälan</t>
        </is>
      </c>
      <c r="C8445" t="inlineStr">
        <is>
          <t>Föryngringsavverkning</t>
        </is>
      </c>
      <c r="D8445" s="1" t="n">
        <v>46176</v>
      </c>
      <c r="E8445" s="1" t="n">
        <v>46326</v>
      </c>
      <c r="F8445" t="inlineStr">
        <is>
          <t>GÄVLEBORGS LÄN</t>
        </is>
      </c>
      <c r="G8445" t="inlineStr">
        <is>
          <t>BOLLNÄS</t>
        </is>
      </c>
      <c r="H8445" t="inlineStr">
        <is>
          <t>Bergvik skog väst AB</t>
        </is>
      </c>
      <c r="I8445" t="n">
        <v>1.3</v>
      </c>
      <c r="J8445" t="n">
        <v>0</v>
      </c>
      <c r="K8445" t="n">
        <v>0</v>
      </c>
      <c r="L8445" t="n">
        <v>0</v>
      </c>
      <c r="M8445" t="n">
        <v>0</v>
      </c>
      <c r="N8445" t="n">
        <v>0</v>
      </c>
      <c r="O8445" t="n">
        <v>0</v>
      </c>
      <c r="P8445" t="n">
        <v>0</v>
      </c>
      <c r="Q8445" t="n">
        <v>0</v>
      </c>
      <c r="R8445" t="n">
        <v>0</v>
      </c>
      <c r="S8445" t="n">
        <v>0</v>
      </c>
      <c r="T8445" t="n">
        <v>0</v>
      </c>
      <c r="U8445" t="n">
        <v>0</v>
      </c>
      <c r="V8445" s="2" t="inlineStr"/>
    </row>
    <row r="8446" ht="15" customHeight="1">
      <c r="A8446" t="inlineStr">
        <is>
          <t>A 25089-2026</t>
        </is>
      </c>
      <c r="B8446" t="inlineStr">
        <is>
          <t>avverkningsanmälan</t>
        </is>
      </c>
      <c r="C8446" t="inlineStr">
        <is>
          <t>Föryngringsavverkning</t>
        </is>
      </c>
      <c r="D8446" s="1" t="n">
        <v>46175</v>
      </c>
      <c r="E8446" s="1" t="n">
        <v>46326</v>
      </c>
      <c r="F8446" t="inlineStr">
        <is>
          <t>GÄVLEBORGS LÄN</t>
        </is>
      </c>
      <c r="G8446" t="inlineStr">
        <is>
          <t>NORDANSTIG</t>
        </is>
      </c>
      <c r="H8446" t="inlineStr">
        <is>
          <t>Holmen skog AB</t>
        </is>
      </c>
      <c r="I8446" t="n">
        <v>1.2</v>
      </c>
      <c r="J8446" t="n">
        <v>0</v>
      </c>
      <c r="K8446" t="n">
        <v>0</v>
      </c>
      <c r="L8446" t="n">
        <v>0</v>
      </c>
      <c r="M8446" t="n">
        <v>0</v>
      </c>
      <c r="N8446" t="n">
        <v>0</v>
      </c>
      <c r="O8446" t="n">
        <v>0</v>
      </c>
      <c r="P8446" t="n">
        <v>0</v>
      </c>
      <c r="Q8446" t="n">
        <v>0</v>
      </c>
      <c r="R8446" t="n">
        <v>0</v>
      </c>
      <c r="S8446" t="n">
        <v>0</v>
      </c>
      <c r="T8446" t="n">
        <v>0</v>
      </c>
      <c r="U8446" t="n">
        <v>0</v>
      </c>
      <c r="V8446" s="2" t="inlineStr"/>
    </row>
    <row r="8447" ht="15" customHeight="1">
      <c r="A8447" t="inlineStr">
        <is>
          <t>A 52006-2024</t>
        </is>
      </c>
      <c r="B8447" t="inlineStr">
        <is>
          <t>avverkningsanmälan</t>
        </is>
      </c>
      <c r="C8447" t="inlineStr">
        <is>
          <t>Föryngringsavverkning</t>
        </is>
      </c>
      <c r="D8447" s="1" t="n">
        <v>45607</v>
      </c>
      <c r="E8447" s="1" t="n">
        <v>46326</v>
      </c>
      <c r="F8447" t="inlineStr">
        <is>
          <t>GÄVLEBORGS LÄN</t>
        </is>
      </c>
      <c r="G8447" t="inlineStr">
        <is>
          <t>NORDANSTIG</t>
        </is>
      </c>
      <c r="I8447" t="n">
        <v>6</v>
      </c>
      <c r="J8447" t="n">
        <v>0</v>
      </c>
      <c r="K8447" t="n">
        <v>0</v>
      </c>
      <c r="L8447" t="n">
        <v>0</v>
      </c>
      <c r="M8447" t="n">
        <v>0</v>
      </c>
      <c r="N8447" t="n">
        <v>0</v>
      </c>
      <c r="O8447" t="n">
        <v>0</v>
      </c>
      <c r="P8447" t="n">
        <v>0</v>
      </c>
      <c r="Q8447" t="n">
        <v>0</v>
      </c>
      <c r="R8447" t="n">
        <v>0</v>
      </c>
      <c r="S8447" t="n">
        <v>0</v>
      </c>
      <c r="T8447" t="n">
        <v>0</v>
      </c>
      <c r="U8447" t="n">
        <v>0</v>
      </c>
      <c r="V8447" s="2" t="inlineStr"/>
    </row>
    <row r="8448" ht="15" customHeight="1">
      <c r="A8448" t="inlineStr">
        <is>
          <t>A 52099-2024</t>
        </is>
      </c>
      <c r="B8448" t="inlineStr">
        <is>
          <t>avverkningsanmälan</t>
        </is>
      </c>
      <c r="C8448" t="inlineStr">
        <is>
          <t>Avverkning för annat ändamål</t>
        </is>
      </c>
      <c r="D8448" s="1" t="n">
        <v>45608</v>
      </c>
      <c r="E8448" s="1" t="n">
        <v>46326</v>
      </c>
      <c r="F8448" t="inlineStr">
        <is>
          <t>GÄVLEBORGS LÄN</t>
        </is>
      </c>
      <c r="G8448" t="inlineStr">
        <is>
          <t>LJUSDAL</t>
        </is>
      </c>
      <c r="I8448" t="n">
        <v>0.2</v>
      </c>
      <c r="J8448" t="n">
        <v>0</v>
      </c>
      <c r="K8448" t="n">
        <v>0</v>
      </c>
      <c r="L8448" t="n">
        <v>0</v>
      </c>
      <c r="M8448" t="n">
        <v>0</v>
      </c>
      <c r="N8448" t="n">
        <v>0</v>
      </c>
      <c r="O8448" t="n">
        <v>0</v>
      </c>
      <c r="P8448" t="n">
        <v>0</v>
      </c>
      <c r="Q8448" t="n">
        <v>0</v>
      </c>
      <c r="R8448" t="n">
        <v>0</v>
      </c>
      <c r="S8448" t="n">
        <v>0</v>
      </c>
      <c r="T8448" t="n">
        <v>0</v>
      </c>
      <c r="U8448" t="n">
        <v>0</v>
      </c>
      <c r="V8448" s="2" t="inlineStr"/>
    </row>
    <row r="8449" ht="15" customHeight="1">
      <c r="A8449" t="inlineStr">
        <is>
          <t>A 61220-2022</t>
        </is>
      </c>
      <c r="B8449" t="inlineStr">
        <is>
          <t>avverkningsanmälan</t>
        </is>
      </c>
      <c r="C8449" t="inlineStr">
        <is>
          <t>Föryngringsavverkning</t>
        </is>
      </c>
      <c r="D8449" s="1" t="n">
        <v>44915</v>
      </c>
      <c r="E8449" s="1" t="n">
        <v>46326</v>
      </c>
      <c r="F8449" t="inlineStr">
        <is>
          <t>GÄVLEBORGS LÄN</t>
        </is>
      </c>
      <c r="G8449" t="inlineStr">
        <is>
          <t>BOLLNÄS</t>
        </is>
      </c>
      <c r="I8449" t="n">
        <v>0.8</v>
      </c>
      <c r="J8449" t="n">
        <v>0</v>
      </c>
      <c r="K8449" t="n">
        <v>0</v>
      </c>
      <c r="L8449" t="n">
        <v>0</v>
      </c>
      <c r="M8449" t="n">
        <v>0</v>
      </c>
      <c r="N8449" t="n">
        <v>0</v>
      </c>
      <c r="O8449" t="n">
        <v>0</v>
      </c>
      <c r="P8449" t="n">
        <v>0</v>
      </c>
      <c r="Q8449" t="n">
        <v>0</v>
      </c>
      <c r="R8449" t="n">
        <v>0</v>
      </c>
      <c r="S8449" t="n">
        <v>0</v>
      </c>
      <c r="T8449" t="n">
        <v>0</v>
      </c>
      <c r="U8449" t="n">
        <v>0</v>
      </c>
      <c r="V8449" s="2" t="inlineStr"/>
    </row>
    <row r="8450" ht="15" customHeight="1">
      <c r="A8450" t="inlineStr">
        <is>
          <t>A 25128-2026</t>
        </is>
      </c>
      <c r="B8450" t="inlineStr">
        <is>
          <t>avverkningsanmälan</t>
        </is>
      </c>
      <c r="C8450" t="inlineStr">
        <is>
          <t>Föryngringsavverkning</t>
        </is>
      </c>
      <c r="D8450" s="1" t="n">
        <v>46175</v>
      </c>
      <c r="E8450" s="1" t="n">
        <v>46326</v>
      </c>
      <c r="F8450" t="inlineStr">
        <is>
          <t>GÄVLEBORGS LÄN</t>
        </is>
      </c>
      <c r="G8450" t="inlineStr">
        <is>
          <t>OCKELBO</t>
        </is>
      </c>
      <c r="H8450" t="inlineStr">
        <is>
          <t>Bergvik skog väst AB</t>
        </is>
      </c>
      <c r="I8450" t="n">
        <v>0.4</v>
      </c>
      <c r="J8450" t="n">
        <v>0</v>
      </c>
      <c r="K8450" t="n">
        <v>0</v>
      </c>
      <c r="L8450" t="n">
        <v>0</v>
      </c>
      <c r="M8450" t="n">
        <v>0</v>
      </c>
      <c r="N8450" t="n">
        <v>0</v>
      </c>
      <c r="O8450" t="n">
        <v>0</v>
      </c>
      <c r="P8450" t="n">
        <v>0</v>
      </c>
      <c r="Q8450" t="n">
        <v>0</v>
      </c>
      <c r="R8450" t="n">
        <v>0</v>
      </c>
      <c r="S8450" t="n">
        <v>0</v>
      </c>
      <c r="T8450" t="n">
        <v>0</v>
      </c>
      <c r="U8450" t="n">
        <v>0</v>
      </c>
      <c r="V8450" s="2" t="inlineStr"/>
    </row>
    <row r="8451" ht="15" customHeight="1">
      <c r="A8451" t="inlineStr">
        <is>
          <t>A 25133-2026</t>
        </is>
      </c>
      <c r="B8451" t="inlineStr">
        <is>
          <t>avverkningsanmälan</t>
        </is>
      </c>
      <c r="C8451" t="inlineStr">
        <is>
          <t>Föryngringsavverkning</t>
        </is>
      </c>
      <c r="D8451" s="1" t="n">
        <v>46175</v>
      </c>
      <c r="E8451" s="1" t="n">
        <v>46326</v>
      </c>
      <c r="F8451" t="inlineStr">
        <is>
          <t>GÄVLEBORGS LÄN</t>
        </is>
      </c>
      <c r="G8451" t="inlineStr">
        <is>
          <t>OCKELBO</t>
        </is>
      </c>
      <c r="H8451" t="inlineStr">
        <is>
          <t>Bergvik skog väst AB</t>
        </is>
      </c>
      <c r="I8451" t="n">
        <v>0.5</v>
      </c>
      <c r="J8451" t="n">
        <v>0</v>
      </c>
      <c r="K8451" t="n">
        <v>0</v>
      </c>
      <c r="L8451" t="n">
        <v>0</v>
      </c>
      <c r="M8451" t="n">
        <v>0</v>
      </c>
      <c r="N8451" t="n">
        <v>0</v>
      </c>
      <c r="O8451" t="n">
        <v>0</v>
      </c>
      <c r="P8451" t="n">
        <v>0</v>
      </c>
      <c r="Q8451" t="n">
        <v>0</v>
      </c>
      <c r="R8451" t="n">
        <v>0</v>
      </c>
      <c r="S8451" t="n">
        <v>0</v>
      </c>
      <c r="T8451" t="n">
        <v>0</v>
      </c>
      <c r="U8451" t="n">
        <v>0</v>
      </c>
      <c r="V8451" s="2" t="inlineStr"/>
    </row>
    <row r="8452" ht="15" customHeight="1">
      <c r="A8452" t="inlineStr">
        <is>
          <t>A 56882-2023</t>
        </is>
      </c>
      <c r="B8452" t="inlineStr">
        <is>
          <t>avverkningsanmälan</t>
        </is>
      </c>
      <c r="C8452" t="inlineStr">
        <is>
          <t>Föryngringsavverkning</t>
        </is>
      </c>
      <c r="D8452" s="1" t="n">
        <v>45244</v>
      </c>
      <c r="E8452" s="1" t="n">
        <v>46326</v>
      </c>
      <c r="F8452" t="inlineStr">
        <is>
          <t>GÄVLEBORGS LÄN</t>
        </is>
      </c>
      <c r="G8452" t="inlineStr">
        <is>
          <t>HUDIKSVALL</t>
        </is>
      </c>
      <c r="I8452" t="n">
        <v>7.7</v>
      </c>
      <c r="J8452" t="n">
        <v>0</v>
      </c>
      <c r="K8452" t="n">
        <v>0</v>
      </c>
      <c r="L8452" t="n">
        <v>0</v>
      </c>
      <c r="M8452" t="n">
        <v>0</v>
      </c>
      <c r="N8452" t="n">
        <v>0</v>
      </c>
      <c r="O8452" t="n">
        <v>0</v>
      </c>
      <c r="P8452" t="n">
        <v>0</v>
      </c>
      <c r="Q8452" t="n">
        <v>0</v>
      </c>
      <c r="R8452" t="n">
        <v>0</v>
      </c>
      <c r="S8452" t="n">
        <v>0</v>
      </c>
      <c r="T8452" t="n">
        <v>0</v>
      </c>
      <c r="U8452" t="n">
        <v>0</v>
      </c>
      <c r="V8452" s="2" t="inlineStr"/>
    </row>
    <row r="8453" ht="15" customHeight="1">
      <c r="A8453" t="inlineStr">
        <is>
          <t>A 25538-2026</t>
        </is>
      </c>
      <c r="B8453" t="inlineStr">
        <is>
          <t>avverkningsanmälan</t>
        </is>
      </c>
      <c r="C8453" t="inlineStr">
        <is>
          <t>Föryngringsavverkning</t>
        </is>
      </c>
      <c r="D8453" s="1" t="n">
        <v>46177</v>
      </c>
      <c r="E8453" s="1" t="n">
        <v>46326</v>
      </c>
      <c r="F8453" t="inlineStr">
        <is>
          <t>GÄVLEBORGS LÄN</t>
        </is>
      </c>
      <c r="G8453" t="inlineStr">
        <is>
          <t>BOLLNÄS</t>
        </is>
      </c>
      <c r="I8453" t="n">
        <v>1</v>
      </c>
      <c r="J8453" t="n">
        <v>0</v>
      </c>
      <c r="K8453" t="n">
        <v>0</v>
      </c>
      <c r="L8453" t="n">
        <v>0</v>
      </c>
      <c r="M8453" t="n">
        <v>0</v>
      </c>
      <c r="N8453" t="n">
        <v>0</v>
      </c>
      <c r="O8453" t="n">
        <v>0</v>
      </c>
      <c r="P8453" t="n">
        <v>0</v>
      </c>
      <c r="Q8453" t="n">
        <v>0</v>
      </c>
      <c r="R8453" t="n">
        <v>0</v>
      </c>
      <c r="S8453" t="n">
        <v>0</v>
      </c>
      <c r="T8453" t="n">
        <v>0</v>
      </c>
      <c r="U8453" t="n">
        <v>0</v>
      </c>
      <c r="V8453" s="2" t="inlineStr"/>
    </row>
    <row r="8454" ht="15" customHeight="1">
      <c r="A8454" t="inlineStr">
        <is>
          <t>A 25249-2026</t>
        </is>
      </c>
      <c r="B8454" t="inlineStr">
        <is>
          <t>avverkningsanmälan</t>
        </is>
      </c>
      <c r="C8454" t="inlineStr">
        <is>
          <t>Föryngringsavverkning</t>
        </is>
      </c>
      <c r="D8454" s="1" t="n">
        <v>46175</v>
      </c>
      <c r="E8454" s="1" t="n">
        <v>46326</v>
      </c>
      <c r="F8454" t="inlineStr">
        <is>
          <t>GÄVLEBORGS LÄN</t>
        </is>
      </c>
      <c r="G8454" t="inlineStr">
        <is>
          <t>SANDVIKEN</t>
        </is>
      </c>
      <c r="I8454" t="n">
        <v>0.7</v>
      </c>
      <c r="J8454" t="n">
        <v>0</v>
      </c>
      <c r="K8454" t="n">
        <v>0</v>
      </c>
      <c r="L8454" t="n">
        <v>0</v>
      </c>
      <c r="M8454" t="n">
        <v>0</v>
      </c>
      <c r="N8454" t="n">
        <v>0</v>
      </c>
      <c r="O8454" t="n">
        <v>0</v>
      </c>
      <c r="P8454" t="n">
        <v>0</v>
      </c>
      <c r="Q8454" t="n">
        <v>0</v>
      </c>
      <c r="R8454" t="n">
        <v>0</v>
      </c>
      <c r="S8454" t="n">
        <v>0</v>
      </c>
      <c r="T8454" t="n">
        <v>0</v>
      </c>
      <c r="U8454" t="n">
        <v>0</v>
      </c>
      <c r="V8454" s="2" t="inlineStr"/>
    </row>
    <row r="8455" ht="15" customHeight="1">
      <c r="A8455" t="inlineStr">
        <is>
          <t>A 25220-2026</t>
        </is>
      </c>
      <c r="B8455" t="inlineStr">
        <is>
          <t>avverkningsanmälan</t>
        </is>
      </c>
      <c r="C8455" t="inlineStr">
        <is>
          <t>Föryngringsavverkning</t>
        </is>
      </c>
      <c r="D8455" s="1" t="n">
        <v>46175</v>
      </c>
      <c r="E8455" s="1" t="n">
        <v>46326</v>
      </c>
      <c r="F8455" t="inlineStr">
        <is>
          <t>GÄVLEBORGS LÄN</t>
        </is>
      </c>
      <c r="G8455" t="inlineStr">
        <is>
          <t>SANDVIKEN</t>
        </is>
      </c>
      <c r="I8455" t="n">
        <v>0.6</v>
      </c>
      <c r="J8455" t="n">
        <v>0</v>
      </c>
      <c r="K8455" t="n">
        <v>0</v>
      </c>
      <c r="L8455" t="n">
        <v>0</v>
      </c>
      <c r="M8455" t="n">
        <v>0</v>
      </c>
      <c r="N8455" t="n">
        <v>0</v>
      </c>
      <c r="O8455" t="n">
        <v>0</v>
      </c>
      <c r="P8455" t="n">
        <v>0</v>
      </c>
      <c r="Q8455" t="n">
        <v>0</v>
      </c>
      <c r="R8455" t="n">
        <v>0</v>
      </c>
      <c r="S8455" t="n">
        <v>0</v>
      </c>
      <c r="T8455" t="n">
        <v>0</v>
      </c>
      <c r="U8455" t="n">
        <v>0</v>
      </c>
      <c r="V8455" s="2" t="inlineStr"/>
    </row>
    <row r="8456" ht="15" customHeight="1">
      <c r="A8456" t="inlineStr">
        <is>
          <t>A 25367-2026</t>
        </is>
      </c>
      <c r="B8456" t="inlineStr">
        <is>
          <t>avverkningsanmälan</t>
        </is>
      </c>
      <c r="C8456" t="inlineStr">
        <is>
          <t>Föryngringsavverkning</t>
        </is>
      </c>
      <c r="D8456" s="1" t="n">
        <v>46176</v>
      </c>
      <c r="E8456" s="1" t="n">
        <v>46326</v>
      </c>
      <c r="F8456" t="inlineStr">
        <is>
          <t>GÄVLEBORGS LÄN</t>
        </is>
      </c>
      <c r="G8456" t="inlineStr">
        <is>
          <t>GÄVLE</t>
        </is>
      </c>
      <c r="I8456" t="n">
        <v>0.8</v>
      </c>
      <c r="J8456" t="n">
        <v>0</v>
      </c>
      <c r="K8456" t="n">
        <v>0</v>
      </c>
      <c r="L8456" t="n">
        <v>0</v>
      </c>
      <c r="M8456" t="n">
        <v>0</v>
      </c>
      <c r="N8456" t="n">
        <v>0</v>
      </c>
      <c r="O8456" t="n">
        <v>0</v>
      </c>
      <c r="P8456" t="n">
        <v>0</v>
      </c>
      <c r="Q8456" t="n">
        <v>0</v>
      </c>
      <c r="R8456" t="n">
        <v>0</v>
      </c>
      <c r="S8456" t="n">
        <v>0</v>
      </c>
      <c r="T8456" t="n">
        <v>0</v>
      </c>
      <c r="U8456" t="n">
        <v>0</v>
      </c>
      <c r="V8456" s="2" t="inlineStr"/>
    </row>
    <row r="8457" ht="15" customHeight="1">
      <c r="A8457" t="inlineStr">
        <is>
          <t>A 37892-2023</t>
        </is>
      </c>
      <c r="B8457" t="inlineStr">
        <is>
          <t>avverkningsanmälan</t>
        </is>
      </c>
      <c r="C8457" t="inlineStr">
        <is>
          <t>Föryngringsavverkning</t>
        </is>
      </c>
      <c r="D8457" s="1" t="n">
        <v>45160</v>
      </c>
      <c r="E8457" s="1" t="n">
        <v>46326</v>
      </c>
      <c r="F8457" t="inlineStr">
        <is>
          <t>GÄVLEBORGS LÄN</t>
        </is>
      </c>
      <c r="G8457" t="inlineStr">
        <is>
          <t>LJUSDAL</t>
        </is>
      </c>
      <c r="H8457" t="inlineStr">
        <is>
          <t>Sveaskog</t>
        </is>
      </c>
      <c r="I8457" t="n">
        <v>1.6</v>
      </c>
      <c r="J8457" t="n">
        <v>0</v>
      </c>
      <c r="K8457" t="n">
        <v>0</v>
      </c>
      <c r="L8457" t="n">
        <v>0</v>
      </c>
      <c r="M8457" t="n">
        <v>0</v>
      </c>
      <c r="N8457" t="n">
        <v>0</v>
      </c>
      <c r="O8457" t="n">
        <v>0</v>
      </c>
      <c r="P8457" t="n">
        <v>0</v>
      </c>
      <c r="Q8457" t="n">
        <v>0</v>
      </c>
      <c r="R8457" t="n">
        <v>0</v>
      </c>
      <c r="S8457" t="n">
        <v>0</v>
      </c>
      <c r="T8457" t="n">
        <v>0</v>
      </c>
      <c r="U8457" t="n">
        <v>0</v>
      </c>
      <c r="V8457" s="2" t="inlineStr"/>
    </row>
    <row r="8458" ht="15" customHeight="1">
      <c r="A8458" t="inlineStr">
        <is>
          <t>A 25412-2026</t>
        </is>
      </c>
      <c r="B8458" t="inlineStr">
        <is>
          <t>avverkningsanmälan</t>
        </is>
      </c>
      <c r="C8458" t="inlineStr">
        <is>
          <t>Föryngringsavverkning</t>
        </is>
      </c>
      <c r="D8458" s="1" t="n">
        <v>46176</v>
      </c>
      <c r="E8458" s="1" t="n">
        <v>46326</v>
      </c>
      <c r="F8458" t="inlineStr">
        <is>
          <t>GÄVLEBORGS LÄN</t>
        </is>
      </c>
      <c r="G8458" t="inlineStr">
        <is>
          <t>SANDVIKEN</t>
        </is>
      </c>
      <c r="H8458" t="inlineStr">
        <is>
          <t>Bergvik skog öst AB</t>
        </is>
      </c>
      <c r="I8458" t="n">
        <v>4.6</v>
      </c>
      <c r="J8458" t="n">
        <v>0</v>
      </c>
      <c r="K8458" t="n">
        <v>0</v>
      </c>
      <c r="L8458" t="n">
        <v>0</v>
      </c>
      <c r="M8458" t="n">
        <v>0</v>
      </c>
      <c r="N8458" t="n">
        <v>0</v>
      </c>
      <c r="O8458" t="n">
        <v>0</v>
      </c>
      <c r="P8458" t="n">
        <v>0</v>
      </c>
      <c r="Q8458" t="n">
        <v>0</v>
      </c>
      <c r="R8458" t="n">
        <v>0</v>
      </c>
      <c r="S8458" t="n">
        <v>0</v>
      </c>
      <c r="T8458" t="n">
        <v>0</v>
      </c>
      <c r="U8458" t="n">
        <v>0</v>
      </c>
      <c r="V8458" s="2" t="inlineStr"/>
    </row>
    <row r="8459" ht="15" customHeight="1">
      <c r="A8459" t="inlineStr">
        <is>
          <t>A 25413-2026</t>
        </is>
      </c>
      <c r="B8459" t="inlineStr">
        <is>
          <t>avverkningsanmälan</t>
        </is>
      </c>
      <c r="C8459" t="inlineStr">
        <is>
          <t>Föryngringsavverkning</t>
        </is>
      </c>
      <c r="D8459" s="1" t="n">
        <v>46176</v>
      </c>
      <c r="E8459" s="1" t="n">
        <v>46326</v>
      </c>
      <c r="F8459" t="inlineStr">
        <is>
          <t>GÄVLEBORGS LÄN</t>
        </is>
      </c>
      <c r="G8459" t="inlineStr">
        <is>
          <t>SANDVIKEN</t>
        </is>
      </c>
      <c r="H8459" t="inlineStr">
        <is>
          <t>Bergvik skog öst AB</t>
        </is>
      </c>
      <c r="I8459" t="n">
        <v>1.1</v>
      </c>
      <c r="J8459" t="n">
        <v>0</v>
      </c>
      <c r="K8459" t="n">
        <v>0</v>
      </c>
      <c r="L8459" t="n">
        <v>0</v>
      </c>
      <c r="M8459" t="n">
        <v>0</v>
      </c>
      <c r="N8459" t="n">
        <v>0</v>
      </c>
      <c r="O8459" t="n">
        <v>0</v>
      </c>
      <c r="P8459" t="n">
        <v>0</v>
      </c>
      <c r="Q8459" t="n">
        <v>0</v>
      </c>
      <c r="R8459" t="n">
        <v>0</v>
      </c>
      <c r="S8459" t="n">
        <v>0</v>
      </c>
      <c r="T8459" t="n">
        <v>0</v>
      </c>
      <c r="U8459" t="n">
        <v>0</v>
      </c>
      <c r="V8459" s="2" t="inlineStr"/>
    </row>
    <row r="8460" ht="15" customHeight="1">
      <c r="A8460" t="inlineStr">
        <is>
          <t>A 25175-2026</t>
        </is>
      </c>
      <c r="B8460" t="inlineStr">
        <is>
          <t>avverkningsanmälan</t>
        </is>
      </c>
      <c r="C8460" t="inlineStr">
        <is>
          <t>Föryngringsavverkning</t>
        </is>
      </c>
      <c r="D8460" s="1" t="n">
        <v>46175</v>
      </c>
      <c r="E8460" s="1" t="n">
        <v>46326</v>
      </c>
      <c r="F8460" t="inlineStr">
        <is>
          <t>GÄVLEBORGS LÄN</t>
        </is>
      </c>
      <c r="G8460" t="inlineStr">
        <is>
          <t>SANDVIKEN</t>
        </is>
      </c>
      <c r="H8460" t="inlineStr">
        <is>
          <t>Kommuner</t>
        </is>
      </c>
      <c r="I8460" t="n">
        <v>4</v>
      </c>
      <c r="J8460" t="n">
        <v>0</v>
      </c>
      <c r="K8460" t="n">
        <v>0</v>
      </c>
      <c r="L8460" t="n">
        <v>0</v>
      </c>
      <c r="M8460" t="n">
        <v>0</v>
      </c>
      <c r="N8460" t="n">
        <v>0</v>
      </c>
      <c r="O8460" t="n">
        <v>0</v>
      </c>
      <c r="P8460" t="n">
        <v>0</v>
      </c>
      <c r="Q8460" t="n">
        <v>0</v>
      </c>
      <c r="R8460" t="n">
        <v>0</v>
      </c>
      <c r="S8460" t="n">
        <v>0</v>
      </c>
      <c r="T8460" t="n">
        <v>0</v>
      </c>
      <c r="U8460" t="n">
        <v>0</v>
      </c>
      <c r="V8460" s="2" t="inlineStr"/>
    </row>
    <row r="8461" ht="15" customHeight="1">
      <c r="A8461" t="inlineStr">
        <is>
          <t>A 25181-2026</t>
        </is>
      </c>
      <c r="B8461" t="inlineStr">
        <is>
          <t>avverkningsanmälan</t>
        </is>
      </c>
      <c r="C8461" t="inlineStr">
        <is>
          <t>Föryngringsavverkning</t>
        </is>
      </c>
      <c r="D8461" s="1" t="n">
        <v>46175</v>
      </c>
      <c r="E8461" s="1" t="n">
        <v>46326</v>
      </c>
      <c r="F8461" t="inlineStr">
        <is>
          <t>GÄVLEBORGS LÄN</t>
        </is>
      </c>
      <c r="G8461" t="inlineStr">
        <is>
          <t>LJUSDAL</t>
        </is>
      </c>
      <c r="I8461" t="n">
        <v>1</v>
      </c>
      <c r="J8461" t="n">
        <v>0</v>
      </c>
      <c r="K8461" t="n">
        <v>0</v>
      </c>
      <c r="L8461" t="n">
        <v>0</v>
      </c>
      <c r="M8461" t="n">
        <v>0</v>
      </c>
      <c r="N8461" t="n">
        <v>0</v>
      </c>
      <c r="O8461" t="n">
        <v>0</v>
      </c>
      <c r="P8461" t="n">
        <v>0</v>
      </c>
      <c r="Q8461" t="n">
        <v>0</v>
      </c>
      <c r="R8461" t="n">
        <v>0</v>
      </c>
      <c r="S8461" t="n">
        <v>0</v>
      </c>
      <c r="T8461" t="n">
        <v>0</v>
      </c>
      <c r="U8461" t="n">
        <v>0</v>
      </c>
      <c r="V8461" s="2" t="inlineStr"/>
    </row>
    <row r="8462" ht="15" customHeight="1">
      <c r="A8462" t="inlineStr">
        <is>
          <t>A 25200-2026</t>
        </is>
      </c>
      <c r="B8462" t="inlineStr">
        <is>
          <t>avverkningsanmälan</t>
        </is>
      </c>
      <c r="C8462" t="inlineStr">
        <is>
          <t>Föryngringsavverkning</t>
        </is>
      </c>
      <c r="D8462" s="1" t="n">
        <v>46175</v>
      </c>
      <c r="E8462" s="1" t="n">
        <v>46326</v>
      </c>
      <c r="F8462" t="inlineStr">
        <is>
          <t>GÄVLEBORGS LÄN</t>
        </is>
      </c>
      <c r="G8462" t="inlineStr">
        <is>
          <t>SÖDERHAMN</t>
        </is>
      </c>
      <c r="I8462" t="n">
        <v>2.5</v>
      </c>
      <c r="J8462" t="n">
        <v>0</v>
      </c>
      <c r="K8462" t="n">
        <v>0</v>
      </c>
      <c r="L8462" t="n">
        <v>0</v>
      </c>
      <c r="M8462" t="n">
        <v>0</v>
      </c>
      <c r="N8462" t="n">
        <v>0</v>
      </c>
      <c r="O8462" t="n">
        <v>0</v>
      </c>
      <c r="P8462" t="n">
        <v>0</v>
      </c>
      <c r="Q8462" t="n">
        <v>0</v>
      </c>
      <c r="R8462" t="n">
        <v>0</v>
      </c>
      <c r="S8462" t="n">
        <v>0</v>
      </c>
      <c r="T8462" t="n">
        <v>0</v>
      </c>
      <c r="U8462" t="n">
        <v>0</v>
      </c>
      <c r="V8462" s="2" t="inlineStr"/>
    </row>
    <row r="8463" ht="15" customHeight="1">
      <c r="A8463" t="inlineStr">
        <is>
          <t>A 38670-2023</t>
        </is>
      </c>
      <c r="B8463" t="inlineStr">
        <is>
          <t>avverkningsanmälan</t>
        </is>
      </c>
      <c r="C8463" t="inlineStr">
        <is>
          <t>Föryngringsavverkning</t>
        </is>
      </c>
      <c r="D8463" s="1" t="n">
        <v>45162</v>
      </c>
      <c r="E8463" s="1" t="n">
        <v>46326</v>
      </c>
      <c r="F8463" t="inlineStr">
        <is>
          <t>GÄVLEBORGS LÄN</t>
        </is>
      </c>
      <c r="G8463" t="inlineStr">
        <is>
          <t>HUDIKSVALL</t>
        </is>
      </c>
      <c r="I8463" t="n">
        <v>1.9</v>
      </c>
      <c r="J8463" t="n">
        <v>0</v>
      </c>
      <c r="K8463" t="n">
        <v>0</v>
      </c>
      <c r="L8463" t="n">
        <v>0</v>
      </c>
      <c r="M8463" t="n">
        <v>0</v>
      </c>
      <c r="N8463" t="n">
        <v>0</v>
      </c>
      <c r="O8463" t="n">
        <v>0</v>
      </c>
      <c r="P8463" t="n">
        <v>0</v>
      </c>
      <c r="Q8463" t="n">
        <v>0</v>
      </c>
      <c r="R8463" t="n">
        <v>0</v>
      </c>
      <c r="S8463" t="n">
        <v>0</v>
      </c>
      <c r="T8463" t="n">
        <v>0</v>
      </c>
      <c r="U8463" t="n">
        <v>0</v>
      </c>
      <c r="V8463" s="2" t="inlineStr"/>
    </row>
    <row r="8464" ht="15" customHeight="1">
      <c r="A8464" t="inlineStr">
        <is>
          <t>A 54401-2024</t>
        </is>
      </c>
      <c r="B8464" t="inlineStr">
        <is>
          <t>avverkningsanmälan</t>
        </is>
      </c>
      <c r="C8464" t="inlineStr">
        <is>
          <t>Föryngringsavverkning</t>
        </is>
      </c>
      <c r="D8464" s="1" t="n">
        <v>45617</v>
      </c>
      <c r="E8464" s="1" t="n">
        <v>46326</v>
      </c>
      <c r="F8464" t="inlineStr">
        <is>
          <t>GÄVLEBORGS LÄN</t>
        </is>
      </c>
      <c r="G8464" t="inlineStr">
        <is>
          <t>NORDANSTIG</t>
        </is>
      </c>
      <c r="H8464" t="inlineStr">
        <is>
          <t>Holmen skog AB</t>
        </is>
      </c>
      <c r="I8464" t="n">
        <v>1.8</v>
      </c>
      <c r="J8464" t="n">
        <v>0</v>
      </c>
      <c r="K8464" t="n">
        <v>0</v>
      </c>
      <c r="L8464" t="n">
        <v>0</v>
      </c>
      <c r="M8464" t="n">
        <v>0</v>
      </c>
      <c r="N8464" t="n">
        <v>0</v>
      </c>
      <c r="O8464" t="n">
        <v>0</v>
      </c>
      <c r="P8464" t="n">
        <v>0</v>
      </c>
      <c r="Q8464" t="n">
        <v>0</v>
      </c>
      <c r="R8464" t="n">
        <v>0</v>
      </c>
      <c r="S8464" t="n">
        <v>0</v>
      </c>
      <c r="T8464" t="n">
        <v>0</v>
      </c>
      <c r="U8464" t="n">
        <v>0</v>
      </c>
      <c r="V8464" s="2" t="inlineStr"/>
    </row>
    <row r="8465" ht="15" customHeight="1">
      <c r="A8465" t="inlineStr">
        <is>
          <t>A 37352-2024</t>
        </is>
      </c>
      <c r="B8465" t="inlineStr">
        <is>
          <t>avverkningsanmälan</t>
        </is>
      </c>
      <c r="C8465" t="inlineStr">
        <is>
          <t>Föryngringsavverkning</t>
        </is>
      </c>
      <c r="D8465" s="1" t="n">
        <v>45540</v>
      </c>
      <c r="E8465" s="1" t="n">
        <v>46326</v>
      </c>
      <c r="F8465" t="inlineStr">
        <is>
          <t>GÄVLEBORGS LÄN</t>
        </is>
      </c>
      <c r="G8465" t="inlineStr">
        <is>
          <t>GÄVLE</t>
        </is>
      </c>
      <c r="I8465" t="n">
        <v>1.7</v>
      </c>
      <c r="J8465" t="n">
        <v>0</v>
      </c>
      <c r="K8465" t="n">
        <v>0</v>
      </c>
      <c r="L8465" t="n">
        <v>0</v>
      </c>
      <c r="M8465" t="n">
        <v>0</v>
      </c>
      <c r="N8465" t="n">
        <v>0</v>
      </c>
      <c r="O8465" t="n">
        <v>0</v>
      </c>
      <c r="P8465" t="n">
        <v>0</v>
      </c>
      <c r="Q8465" t="n">
        <v>0</v>
      </c>
      <c r="R8465" t="n">
        <v>0</v>
      </c>
      <c r="S8465" t="n">
        <v>0</v>
      </c>
      <c r="T8465" t="n">
        <v>0</v>
      </c>
      <c r="U8465" t="n">
        <v>0</v>
      </c>
      <c r="V8465" s="2" t="inlineStr"/>
    </row>
    <row r="8466" ht="15" customHeight="1">
      <c r="A8466" t="inlineStr">
        <is>
          <t>A 18311-2025</t>
        </is>
      </c>
      <c r="B8466" t="inlineStr">
        <is>
          <t>avverkningsanmälan</t>
        </is>
      </c>
      <c r="C8466" t="inlineStr">
        <is>
          <t>Avverkning för annat ändamål</t>
        </is>
      </c>
      <c r="D8466" s="1" t="n">
        <v>45762</v>
      </c>
      <c r="E8466" s="1" t="n">
        <v>46326</v>
      </c>
      <c r="F8466" t="inlineStr">
        <is>
          <t>GÄVLEBORGS LÄN</t>
        </is>
      </c>
      <c r="G8466" t="inlineStr">
        <is>
          <t>BOLLNÄS</t>
        </is>
      </c>
      <c r="H8466" t="inlineStr">
        <is>
          <t>Bergvik skog väst AB</t>
        </is>
      </c>
      <c r="I8466" t="n">
        <v>0.3</v>
      </c>
      <c r="J8466" t="n">
        <v>0</v>
      </c>
      <c r="K8466" t="n">
        <v>0</v>
      </c>
      <c r="L8466" t="n">
        <v>0</v>
      </c>
      <c r="M8466" t="n">
        <v>0</v>
      </c>
      <c r="N8466" t="n">
        <v>0</v>
      </c>
      <c r="O8466" t="n">
        <v>0</v>
      </c>
      <c r="P8466" t="n">
        <v>0</v>
      </c>
      <c r="Q8466" t="n">
        <v>0</v>
      </c>
      <c r="R8466" t="n">
        <v>0</v>
      </c>
      <c r="S8466" t="n">
        <v>0</v>
      </c>
      <c r="T8466" t="n">
        <v>0</v>
      </c>
      <c r="U8466" t="n">
        <v>0</v>
      </c>
      <c r="V8466" s="2" t="inlineStr"/>
    </row>
    <row r="8467" ht="15" customHeight="1">
      <c r="A8467" t="inlineStr">
        <is>
          <t>A 23918-2025</t>
        </is>
      </c>
      <c r="B8467" t="inlineStr">
        <is>
          <t>avverkningsanmälan</t>
        </is>
      </c>
      <c r="C8467" t="inlineStr">
        <is>
          <t>Föryngringsavverkning</t>
        </is>
      </c>
      <c r="D8467" s="1" t="n">
        <v>45795</v>
      </c>
      <c r="E8467" s="1" t="n">
        <v>46326</v>
      </c>
      <c r="F8467" t="inlineStr">
        <is>
          <t>GÄVLEBORGS LÄN</t>
        </is>
      </c>
      <c r="G8467" t="inlineStr">
        <is>
          <t>LJUSDAL</t>
        </is>
      </c>
      <c r="H8467" t="inlineStr">
        <is>
          <t>SCA</t>
        </is>
      </c>
      <c r="I8467" t="n">
        <v>3.7</v>
      </c>
      <c r="J8467" t="n">
        <v>0</v>
      </c>
      <c r="K8467" t="n">
        <v>0</v>
      </c>
      <c r="L8467" t="n">
        <v>0</v>
      </c>
      <c r="M8467" t="n">
        <v>0</v>
      </c>
      <c r="N8467" t="n">
        <v>0</v>
      </c>
      <c r="O8467" t="n">
        <v>0</v>
      </c>
      <c r="P8467" t="n">
        <v>0</v>
      </c>
      <c r="Q8467" t="n">
        <v>0</v>
      </c>
      <c r="R8467" t="n">
        <v>0</v>
      </c>
      <c r="S8467" t="n">
        <v>0</v>
      </c>
      <c r="T8467" t="n">
        <v>0</v>
      </c>
      <c r="U8467" t="n">
        <v>0</v>
      </c>
      <c r="V8467" s="2" t="inlineStr"/>
    </row>
    <row r="8468" ht="15" customHeight="1">
      <c r="A8468" t="inlineStr">
        <is>
          <t>A 17605-2025</t>
        </is>
      </c>
      <c r="B8468" t="inlineStr">
        <is>
          <t>avverkningsanmälan</t>
        </is>
      </c>
      <c r="C8468" t="inlineStr">
        <is>
          <t>Föryngringsavverkning</t>
        </is>
      </c>
      <c r="D8468" s="1" t="n">
        <v>45757</v>
      </c>
      <c r="E8468" s="1" t="n">
        <v>46326</v>
      </c>
      <c r="F8468" t="inlineStr">
        <is>
          <t>GÄVLEBORGS LÄN</t>
        </is>
      </c>
      <c r="G8468" t="inlineStr">
        <is>
          <t>GÄVLE</t>
        </is>
      </c>
      <c r="I8468" t="n">
        <v>2</v>
      </c>
      <c r="J8468" t="n">
        <v>0</v>
      </c>
      <c r="K8468" t="n">
        <v>0</v>
      </c>
      <c r="L8468" t="n">
        <v>0</v>
      </c>
      <c r="M8468" t="n">
        <v>0</v>
      </c>
      <c r="N8468" t="n">
        <v>0</v>
      </c>
      <c r="O8468" t="n">
        <v>0</v>
      </c>
      <c r="P8468" t="n">
        <v>0</v>
      </c>
      <c r="Q8468" t="n">
        <v>0</v>
      </c>
      <c r="R8468" t="n">
        <v>0</v>
      </c>
      <c r="S8468" t="n">
        <v>0</v>
      </c>
      <c r="T8468" t="n">
        <v>0</v>
      </c>
      <c r="U8468" t="n">
        <v>0</v>
      </c>
      <c r="V8468" s="2" t="inlineStr"/>
    </row>
    <row r="8469" ht="15" customHeight="1">
      <c r="A8469" t="inlineStr">
        <is>
          <t>A 17607-2025</t>
        </is>
      </c>
      <c r="B8469" t="inlineStr">
        <is>
          <t>avverkningsanmälan</t>
        </is>
      </c>
      <c r="C8469" t="inlineStr">
        <is>
          <t>Föryngringsavverkning</t>
        </is>
      </c>
      <c r="D8469" s="1" t="n">
        <v>45757</v>
      </c>
      <c r="E8469" s="1" t="n">
        <v>46326</v>
      </c>
      <c r="F8469" t="inlineStr">
        <is>
          <t>GÄVLEBORGS LÄN</t>
        </is>
      </c>
      <c r="G8469" t="inlineStr">
        <is>
          <t>GÄVLE</t>
        </is>
      </c>
      <c r="I8469" t="n">
        <v>7.6</v>
      </c>
      <c r="J8469" t="n">
        <v>0</v>
      </c>
      <c r="K8469" t="n">
        <v>0</v>
      </c>
      <c r="L8469" t="n">
        <v>0</v>
      </c>
      <c r="M8469" t="n">
        <v>0</v>
      </c>
      <c r="N8469" t="n">
        <v>0</v>
      </c>
      <c r="O8469" t="n">
        <v>0</v>
      </c>
      <c r="P8469" t="n">
        <v>0</v>
      </c>
      <c r="Q8469" t="n">
        <v>0</v>
      </c>
      <c r="R8469" t="n">
        <v>0</v>
      </c>
      <c r="S8469" t="n">
        <v>0</v>
      </c>
      <c r="T8469" t="n">
        <v>0</v>
      </c>
      <c r="U8469" t="n">
        <v>0</v>
      </c>
      <c r="V8469" s="2" t="inlineStr"/>
    </row>
    <row r="8470" ht="15" customHeight="1">
      <c r="A8470" t="inlineStr">
        <is>
          <t>A 56832-2025</t>
        </is>
      </c>
      <c r="B8470" t="inlineStr">
        <is>
          <t>avverkningsanmälan</t>
        </is>
      </c>
      <c r="C8470" t="inlineStr">
        <is>
          <t>Föryngringsavverkning</t>
        </is>
      </c>
      <c r="D8470" s="1" t="n">
        <v>45978</v>
      </c>
      <c r="E8470" s="1" t="n">
        <v>46326</v>
      </c>
      <c r="F8470" t="inlineStr">
        <is>
          <t>GÄVLEBORGS LÄN</t>
        </is>
      </c>
      <c r="G8470" t="inlineStr">
        <is>
          <t>HUDIKSVALL</t>
        </is>
      </c>
      <c r="I8470" t="n">
        <v>1.4</v>
      </c>
      <c r="J8470" t="n">
        <v>0</v>
      </c>
      <c r="K8470" t="n">
        <v>0</v>
      </c>
      <c r="L8470" t="n">
        <v>0</v>
      </c>
      <c r="M8470" t="n">
        <v>0</v>
      </c>
      <c r="N8470" t="n">
        <v>0</v>
      </c>
      <c r="O8470" t="n">
        <v>0</v>
      </c>
      <c r="P8470" t="n">
        <v>0</v>
      </c>
      <c r="Q8470" t="n">
        <v>0</v>
      </c>
      <c r="R8470" t="n">
        <v>0</v>
      </c>
      <c r="S8470" t="n">
        <v>0</v>
      </c>
      <c r="T8470" t="n">
        <v>0</v>
      </c>
      <c r="U8470" t="n">
        <v>0</v>
      </c>
      <c r="V8470" s="2" t="inlineStr"/>
    </row>
    <row r="8471" ht="15" customHeight="1">
      <c r="A8471" t="inlineStr">
        <is>
          <t>A 17617-2025</t>
        </is>
      </c>
      <c r="B8471" t="inlineStr">
        <is>
          <t>avverkningsanmälan</t>
        </is>
      </c>
      <c r="C8471" t="inlineStr">
        <is>
          <t>Föryngringsavverkning</t>
        </is>
      </c>
      <c r="D8471" s="1" t="n">
        <v>45757</v>
      </c>
      <c r="E8471" s="1" t="n">
        <v>46326</v>
      </c>
      <c r="F8471" t="inlineStr">
        <is>
          <t>GÄVLEBORGS LÄN</t>
        </is>
      </c>
      <c r="G8471" t="inlineStr">
        <is>
          <t>OVANÅKER</t>
        </is>
      </c>
      <c r="H8471" t="inlineStr">
        <is>
          <t>Holmen skog AB</t>
        </is>
      </c>
      <c r="I8471" t="n">
        <v>6.9</v>
      </c>
      <c r="J8471" t="n">
        <v>0</v>
      </c>
      <c r="K8471" t="n">
        <v>0</v>
      </c>
      <c r="L8471" t="n">
        <v>0</v>
      </c>
      <c r="M8471" t="n">
        <v>0</v>
      </c>
      <c r="N8471" t="n">
        <v>0</v>
      </c>
      <c r="O8471" t="n">
        <v>0</v>
      </c>
      <c r="P8471" t="n">
        <v>0</v>
      </c>
      <c r="Q8471" t="n">
        <v>0</v>
      </c>
      <c r="R8471" t="n">
        <v>0</v>
      </c>
      <c r="S8471" t="n">
        <v>0</v>
      </c>
      <c r="T8471" t="n">
        <v>0</v>
      </c>
      <c r="U8471" t="n">
        <v>0</v>
      </c>
      <c r="V8471" s="2" t="inlineStr"/>
    </row>
    <row r="8472" ht="15" customHeight="1">
      <c r="A8472" t="inlineStr">
        <is>
          <t>A 5725-2024</t>
        </is>
      </c>
      <c r="B8472" t="inlineStr">
        <is>
          <t>avverkningsanmälan</t>
        </is>
      </c>
      <c r="C8472" t="inlineStr">
        <is>
          <t>Föryngringsavverkning</t>
        </is>
      </c>
      <c r="D8472" s="1" t="n">
        <v>45334</v>
      </c>
      <c r="E8472" s="1" t="n">
        <v>46326</v>
      </c>
      <c r="F8472" t="inlineStr">
        <is>
          <t>GÄVLEBORGS LÄN</t>
        </is>
      </c>
      <c r="G8472" t="inlineStr">
        <is>
          <t>HUDIKSVALL</t>
        </is>
      </c>
      <c r="I8472" t="n">
        <v>1.2</v>
      </c>
      <c r="J8472" t="n">
        <v>0</v>
      </c>
      <c r="K8472" t="n">
        <v>0</v>
      </c>
      <c r="L8472" t="n">
        <v>0</v>
      </c>
      <c r="M8472" t="n">
        <v>0</v>
      </c>
      <c r="N8472" t="n">
        <v>0</v>
      </c>
      <c r="O8472" t="n">
        <v>0</v>
      </c>
      <c r="P8472" t="n">
        <v>0</v>
      </c>
      <c r="Q8472" t="n">
        <v>0</v>
      </c>
      <c r="R8472" t="n">
        <v>0</v>
      </c>
      <c r="S8472" t="n">
        <v>0</v>
      </c>
      <c r="T8472" t="n">
        <v>0</v>
      </c>
      <c r="U8472" t="n">
        <v>0</v>
      </c>
      <c r="V8472" s="2" t="inlineStr"/>
    </row>
    <row r="8473" ht="15" customHeight="1">
      <c r="A8473" t="inlineStr">
        <is>
          <t>A 10042-2025</t>
        </is>
      </c>
      <c r="B8473" t="inlineStr">
        <is>
          <t>avverkningsanmälan</t>
        </is>
      </c>
      <c r="C8473" t="inlineStr">
        <is>
          <t>Föryngringsavverkning</t>
        </is>
      </c>
      <c r="D8473" s="1" t="n">
        <v>45719</v>
      </c>
      <c r="E8473" s="1" t="n">
        <v>46326</v>
      </c>
      <c r="F8473" t="inlineStr">
        <is>
          <t>GÄVLEBORGS LÄN</t>
        </is>
      </c>
      <c r="G8473" t="inlineStr">
        <is>
          <t>NORDANSTIG</t>
        </is>
      </c>
      <c r="H8473" t="inlineStr">
        <is>
          <t>Holmen skog AB</t>
        </is>
      </c>
      <c r="I8473" t="n">
        <v>6.6</v>
      </c>
      <c r="J8473" t="n">
        <v>0</v>
      </c>
      <c r="K8473" t="n">
        <v>0</v>
      </c>
      <c r="L8473" t="n">
        <v>0</v>
      </c>
      <c r="M8473" t="n">
        <v>0</v>
      </c>
      <c r="N8473" t="n">
        <v>0</v>
      </c>
      <c r="O8473" t="n">
        <v>0</v>
      </c>
      <c r="P8473" t="n">
        <v>0</v>
      </c>
      <c r="Q8473" t="n">
        <v>0</v>
      </c>
      <c r="R8473" t="n">
        <v>0</v>
      </c>
      <c r="S8473" t="n">
        <v>0</v>
      </c>
      <c r="T8473" t="n">
        <v>0</v>
      </c>
      <c r="U8473" t="n">
        <v>0</v>
      </c>
      <c r="V8473" s="2" t="inlineStr"/>
    </row>
    <row r="8474" ht="15" customHeight="1">
      <c r="A8474" t="inlineStr">
        <is>
          <t>A 53434-2023</t>
        </is>
      </c>
      <c r="B8474" t="inlineStr">
        <is>
          <t>avverkningsanmälan</t>
        </is>
      </c>
      <c r="C8474" t="inlineStr">
        <is>
          <t>Föryngringsavverkning</t>
        </is>
      </c>
      <c r="D8474" s="1" t="n">
        <v>45229</v>
      </c>
      <c r="E8474" s="1" t="n">
        <v>46326</v>
      </c>
      <c r="F8474" t="inlineStr">
        <is>
          <t>GÄVLEBORGS LÄN</t>
        </is>
      </c>
      <c r="G8474" t="inlineStr">
        <is>
          <t>HUDIKSVALL</t>
        </is>
      </c>
      <c r="I8474" t="n">
        <v>0.5</v>
      </c>
      <c r="J8474" t="n">
        <v>0</v>
      </c>
      <c r="K8474" t="n">
        <v>0</v>
      </c>
      <c r="L8474" t="n">
        <v>0</v>
      </c>
      <c r="M8474" t="n">
        <v>0</v>
      </c>
      <c r="N8474" t="n">
        <v>0</v>
      </c>
      <c r="O8474" t="n">
        <v>0</v>
      </c>
      <c r="P8474" t="n">
        <v>0</v>
      </c>
      <c r="Q8474" t="n">
        <v>0</v>
      </c>
      <c r="R8474" t="n">
        <v>0</v>
      </c>
      <c r="S8474" t="n">
        <v>0</v>
      </c>
      <c r="T8474" t="n">
        <v>0</v>
      </c>
      <c r="U8474" t="n">
        <v>0</v>
      </c>
      <c r="V8474" s="2" t="inlineStr"/>
    </row>
    <row r="8475" ht="15" customHeight="1">
      <c r="A8475" t="inlineStr">
        <is>
          <t>A 17730-2025</t>
        </is>
      </c>
      <c r="B8475" t="inlineStr">
        <is>
          <t>avverkningsanmälan</t>
        </is>
      </c>
      <c r="C8475" t="inlineStr">
        <is>
          <t>Föryngringsavverkning</t>
        </is>
      </c>
      <c r="D8475" s="1" t="n">
        <v>45758</v>
      </c>
      <c r="E8475" s="1" t="n">
        <v>46326</v>
      </c>
      <c r="F8475" t="inlineStr">
        <is>
          <t>GÄVLEBORGS LÄN</t>
        </is>
      </c>
      <c r="G8475" t="inlineStr">
        <is>
          <t>OCKELBO</t>
        </is>
      </c>
      <c r="I8475" t="n">
        <v>0.9</v>
      </c>
      <c r="J8475" t="n">
        <v>0</v>
      </c>
      <c r="K8475" t="n">
        <v>0</v>
      </c>
      <c r="L8475" t="n">
        <v>0</v>
      </c>
      <c r="M8475" t="n">
        <v>0</v>
      </c>
      <c r="N8475" t="n">
        <v>0</v>
      </c>
      <c r="O8475" t="n">
        <v>0</v>
      </c>
      <c r="P8475" t="n">
        <v>0</v>
      </c>
      <c r="Q8475" t="n">
        <v>0</v>
      </c>
      <c r="R8475" t="n">
        <v>0</v>
      </c>
      <c r="S8475" t="n">
        <v>0</v>
      </c>
      <c r="T8475" t="n">
        <v>0</v>
      </c>
      <c r="U8475" t="n">
        <v>0</v>
      </c>
      <c r="V8475" s="2" t="inlineStr"/>
    </row>
    <row r="8476" ht="15" customHeight="1">
      <c r="A8476" t="inlineStr">
        <is>
          <t>A 25691-2026</t>
        </is>
      </c>
      <c r="B8476" t="inlineStr">
        <is>
          <t>avverkningsanmälan</t>
        </is>
      </c>
      <c r="C8476" t="inlineStr">
        <is>
          <t>Föryngringsavverkning</t>
        </is>
      </c>
      <c r="D8476" s="1" t="n">
        <v>46178</v>
      </c>
      <c r="E8476" s="1" t="n">
        <v>46326</v>
      </c>
      <c r="F8476" t="inlineStr">
        <is>
          <t>GÄVLEBORGS LÄN</t>
        </is>
      </c>
      <c r="G8476" t="inlineStr">
        <is>
          <t>SANDVIKEN</t>
        </is>
      </c>
      <c r="I8476" t="n">
        <v>1.1</v>
      </c>
      <c r="J8476" t="n">
        <v>0</v>
      </c>
      <c r="K8476" t="n">
        <v>0</v>
      </c>
      <c r="L8476" t="n">
        <v>0</v>
      </c>
      <c r="M8476" t="n">
        <v>0</v>
      </c>
      <c r="N8476" t="n">
        <v>0</v>
      </c>
      <c r="O8476" t="n">
        <v>0</v>
      </c>
      <c r="P8476" t="n">
        <v>0</v>
      </c>
      <c r="Q8476" t="n">
        <v>0</v>
      </c>
      <c r="R8476" t="n">
        <v>0</v>
      </c>
      <c r="S8476" t="n">
        <v>0</v>
      </c>
      <c r="T8476" t="n">
        <v>0</v>
      </c>
      <c r="U8476" t="n">
        <v>0</v>
      </c>
      <c r="V8476" s="2" t="inlineStr"/>
    </row>
    <row r="8477" ht="15" customHeight="1">
      <c r="A8477" t="inlineStr">
        <is>
          <t>A 25449-2026</t>
        </is>
      </c>
      <c r="B8477" t="inlineStr">
        <is>
          <t>avverkningsanmälan</t>
        </is>
      </c>
      <c r="C8477" t="inlineStr">
        <is>
          <t>Föryngringsavverkning</t>
        </is>
      </c>
      <c r="D8477" s="1" t="n">
        <v>46177</v>
      </c>
      <c r="E8477" s="1" t="n">
        <v>46326</v>
      </c>
      <c r="F8477" t="inlineStr">
        <is>
          <t>GÄVLEBORGS LÄN</t>
        </is>
      </c>
      <c r="G8477" t="inlineStr">
        <is>
          <t>BOLLNÄS</t>
        </is>
      </c>
      <c r="I8477" t="n">
        <v>7.5</v>
      </c>
      <c r="J8477" t="n">
        <v>0</v>
      </c>
      <c r="K8477" t="n">
        <v>0</v>
      </c>
      <c r="L8477" t="n">
        <v>0</v>
      </c>
      <c r="M8477" t="n">
        <v>0</v>
      </c>
      <c r="N8477" t="n">
        <v>0</v>
      </c>
      <c r="O8477" t="n">
        <v>0</v>
      </c>
      <c r="P8477" t="n">
        <v>0</v>
      </c>
      <c r="Q8477" t="n">
        <v>0</v>
      </c>
      <c r="R8477" t="n">
        <v>0</v>
      </c>
      <c r="S8477" t="n">
        <v>0</v>
      </c>
      <c r="T8477" t="n">
        <v>0</v>
      </c>
      <c r="U8477" t="n">
        <v>0</v>
      </c>
      <c r="V8477" s="2" t="inlineStr"/>
    </row>
    <row r="8478" ht="15" customHeight="1">
      <c r="A8478" t="inlineStr">
        <is>
          <t>A 52932-2022</t>
        </is>
      </c>
      <c r="B8478" t="inlineStr">
        <is>
          <t>avverkningsanmälan</t>
        </is>
      </c>
      <c r="C8478" t="inlineStr">
        <is>
          <t>Föryngringsavverkning</t>
        </is>
      </c>
      <c r="D8478" s="1" t="n">
        <v>44875</v>
      </c>
      <c r="E8478" s="1" t="n">
        <v>46326</v>
      </c>
      <c r="F8478" t="inlineStr">
        <is>
          <t>GÄVLEBORGS LÄN</t>
        </is>
      </c>
      <c r="G8478" t="inlineStr">
        <is>
          <t>SANDVIKEN</t>
        </is>
      </c>
      <c r="I8478" t="n">
        <v>1.1</v>
      </c>
      <c r="J8478" t="n">
        <v>0</v>
      </c>
      <c r="K8478" t="n">
        <v>0</v>
      </c>
      <c r="L8478" t="n">
        <v>0</v>
      </c>
      <c r="M8478" t="n">
        <v>0</v>
      </c>
      <c r="N8478" t="n">
        <v>0</v>
      </c>
      <c r="O8478" t="n">
        <v>0</v>
      </c>
      <c r="P8478" t="n">
        <v>0</v>
      </c>
      <c r="Q8478" t="n">
        <v>0</v>
      </c>
      <c r="R8478" t="n">
        <v>0</v>
      </c>
      <c r="S8478" t="n">
        <v>0</v>
      </c>
      <c r="T8478" t="n">
        <v>0</v>
      </c>
      <c r="U8478" t="n">
        <v>0</v>
      </c>
      <c r="V8478" s="2" t="inlineStr"/>
    </row>
    <row r="8479" ht="15" customHeight="1">
      <c r="A8479" t="inlineStr">
        <is>
          <t>A 50968-2024</t>
        </is>
      </c>
      <c r="B8479" t="inlineStr">
        <is>
          <t>avverkningsanmälan</t>
        </is>
      </c>
      <c r="C8479" t="inlineStr">
        <is>
          <t>Föryngringsavverkning</t>
        </is>
      </c>
      <c r="D8479" s="1" t="n">
        <v>45603</v>
      </c>
      <c r="E8479" s="1" t="n">
        <v>46326</v>
      </c>
      <c r="F8479" t="inlineStr">
        <is>
          <t>GÄVLEBORGS LÄN</t>
        </is>
      </c>
      <c r="G8479" t="inlineStr">
        <is>
          <t>OCKELBO</t>
        </is>
      </c>
      <c r="I8479" t="n">
        <v>1</v>
      </c>
      <c r="J8479" t="n">
        <v>0</v>
      </c>
      <c r="K8479" t="n">
        <v>0</v>
      </c>
      <c r="L8479" t="n">
        <v>0</v>
      </c>
      <c r="M8479" t="n">
        <v>0</v>
      </c>
      <c r="N8479" t="n">
        <v>0</v>
      </c>
      <c r="O8479" t="n">
        <v>0</v>
      </c>
      <c r="P8479" t="n">
        <v>0</v>
      </c>
      <c r="Q8479" t="n">
        <v>0</v>
      </c>
      <c r="R8479" t="n">
        <v>0</v>
      </c>
      <c r="S8479" t="n">
        <v>0</v>
      </c>
      <c r="T8479" t="n">
        <v>0</v>
      </c>
      <c r="U8479" t="n">
        <v>0</v>
      </c>
      <c r="V8479" s="2" t="inlineStr"/>
    </row>
    <row r="8480" ht="15" customHeight="1">
      <c r="A8480" t="inlineStr">
        <is>
          <t>A 36362-2024</t>
        </is>
      </c>
      <c r="B8480" t="inlineStr">
        <is>
          <t>avverkningsanmälan</t>
        </is>
      </c>
      <c r="C8480" t="inlineStr">
        <is>
          <t>Föryngringsavverkning</t>
        </is>
      </c>
      <c r="D8480" s="1" t="n">
        <v>45534</v>
      </c>
      <c r="E8480" s="1" t="n">
        <v>46326</v>
      </c>
      <c r="F8480" t="inlineStr">
        <is>
          <t>GÄVLEBORGS LÄN</t>
        </is>
      </c>
      <c r="G8480" t="inlineStr">
        <is>
          <t>OCKELBO</t>
        </is>
      </c>
      <c r="I8480" t="n">
        <v>2.9</v>
      </c>
      <c r="J8480" t="n">
        <v>0</v>
      </c>
      <c r="K8480" t="n">
        <v>0</v>
      </c>
      <c r="L8480" t="n">
        <v>0</v>
      </c>
      <c r="M8480" t="n">
        <v>0</v>
      </c>
      <c r="N8480" t="n">
        <v>0</v>
      </c>
      <c r="O8480" t="n">
        <v>0</v>
      </c>
      <c r="P8480" t="n">
        <v>0</v>
      </c>
      <c r="Q8480" t="n">
        <v>0</v>
      </c>
      <c r="R8480" t="n">
        <v>0</v>
      </c>
      <c r="S8480" t="n">
        <v>0</v>
      </c>
      <c r="T8480" t="n">
        <v>0</v>
      </c>
      <c r="U8480" t="n">
        <v>0</v>
      </c>
      <c r="V8480" s="2" t="inlineStr"/>
    </row>
    <row r="8481" ht="15" customHeight="1">
      <c r="A8481" t="inlineStr">
        <is>
          <t>A 5558-2024</t>
        </is>
      </c>
      <c r="B8481" t="inlineStr">
        <is>
          <t>avverkningsanmälan</t>
        </is>
      </c>
      <c r="C8481" t="inlineStr">
        <is>
          <t>Föryngringsavverkning</t>
        </is>
      </c>
      <c r="D8481" s="1" t="n">
        <v>45334</v>
      </c>
      <c r="E8481" s="1" t="n">
        <v>46326</v>
      </c>
      <c r="F8481" t="inlineStr">
        <is>
          <t>GÄVLEBORGS LÄN</t>
        </is>
      </c>
      <c r="G8481" t="inlineStr">
        <is>
          <t>OCKELBO</t>
        </is>
      </c>
      <c r="I8481" t="n">
        <v>4.7</v>
      </c>
      <c r="J8481" t="n">
        <v>0</v>
      </c>
      <c r="K8481" t="n">
        <v>0</v>
      </c>
      <c r="L8481" t="n">
        <v>0</v>
      </c>
      <c r="M8481" t="n">
        <v>0</v>
      </c>
      <c r="N8481" t="n">
        <v>0</v>
      </c>
      <c r="O8481" t="n">
        <v>0</v>
      </c>
      <c r="P8481" t="n">
        <v>0</v>
      </c>
      <c r="Q8481" t="n">
        <v>0</v>
      </c>
      <c r="R8481" t="n">
        <v>0</v>
      </c>
      <c r="S8481" t="n">
        <v>0</v>
      </c>
      <c r="T8481" t="n">
        <v>0</v>
      </c>
      <c r="U8481" t="n">
        <v>0</v>
      </c>
      <c r="V8481" s="2" t="inlineStr"/>
    </row>
    <row r="8482" ht="15" customHeight="1">
      <c r="A8482" t="inlineStr">
        <is>
          <t>A 12181-2025</t>
        </is>
      </c>
      <c r="B8482" t="inlineStr">
        <is>
          <t>avverkningsanmälan</t>
        </is>
      </c>
      <c r="C8482" t="inlineStr">
        <is>
          <t>Föryngringsavverkning</t>
        </is>
      </c>
      <c r="D8482" s="1" t="n">
        <v>45729</v>
      </c>
      <c r="E8482" s="1" t="n">
        <v>46326</v>
      </c>
      <c r="F8482" t="inlineStr">
        <is>
          <t>GÄVLEBORGS LÄN</t>
        </is>
      </c>
      <c r="G8482" t="inlineStr">
        <is>
          <t>BOLLNÄS</t>
        </is>
      </c>
      <c r="I8482" t="n">
        <v>3.8</v>
      </c>
      <c r="J8482" t="n">
        <v>0</v>
      </c>
      <c r="K8482" t="n">
        <v>0</v>
      </c>
      <c r="L8482" t="n">
        <v>0</v>
      </c>
      <c r="M8482" t="n">
        <v>0</v>
      </c>
      <c r="N8482" t="n">
        <v>0</v>
      </c>
      <c r="O8482" t="n">
        <v>0</v>
      </c>
      <c r="P8482" t="n">
        <v>0</v>
      </c>
      <c r="Q8482" t="n">
        <v>0</v>
      </c>
      <c r="R8482" t="n">
        <v>0</v>
      </c>
      <c r="S8482" t="n">
        <v>0</v>
      </c>
      <c r="T8482" t="n">
        <v>0</v>
      </c>
      <c r="U8482" t="n">
        <v>0</v>
      </c>
      <c r="V8482" s="2" t="inlineStr"/>
    </row>
    <row r="8483" ht="15" customHeight="1">
      <c r="A8483" t="inlineStr">
        <is>
          <t>A 5608-2026</t>
        </is>
      </c>
      <c r="B8483" t="inlineStr">
        <is>
          <t>avverkningsanmälan</t>
        </is>
      </c>
      <c r="C8483" t="inlineStr">
        <is>
          <t>Föryngringsavverkning</t>
        </is>
      </c>
      <c r="D8483" s="1" t="n">
        <v>46051</v>
      </c>
      <c r="E8483" s="1" t="n">
        <v>46326</v>
      </c>
      <c r="F8483" t="inlineStr">
        <is>
          <t>GÄVLEBORGS LÄN</t>
        </is>
      </c>
      <c r="G8483" t="inlineStr">
        <is>
          <t>NORDANSTIG</t>
        </is>
      </c>
      <c r="I8483" t="n">
        <v>1.2</v>
      </c>
      <c r="J8483" t="n">
        <v>0</v>
      </c>
      <c r="K8483" t="n">
        <v>0</v>
      </c>
      <c r="L8483" t="n">
        <v>0</v>
      </c>
      <c r="M8483" t="n">
        <v>0</v>
      </c>
      <c r="N8483" t="n">
        <v>0</v>
      </c>
      <c r="O8483" t="n">
        <v>0</v>
      </c>
      <c r="P8483" t="n">
        <v>0</v>
      </c>
      <c r="Q8483" t="n">
        <v>0</v>
      </c>
      <c r="R8483" t="n">
        <v>0</v>
      </c>
      <c r="S8483" t="n">
        <v>0</v>
      </c>
      <c r="T8483" t="n">
        <v>0</v>
      </c>
      <c r="U8483" t="n">
        <v>0</v>
      </c>
      <c r="V8483" s="2" t="inlineStr"/>
    </row>
    <row r="8484" ht="15" customHeight="1">
      <c r="A8484" t="inlineStr">
        <is>
          <t>A 12855-2024</t>
        </is>
      </c>
      <c r="B8484" t="inlineStr">
        <is>
          <t>avverkningsanmälan</t>
        </is>
      </c>
      <c r="C8484" t="inlineStr">
        <is>
          <t>Föryngringsavverkning</t>
        </is>
      </c>
      <c r="D8484" s="1" t="n">
        <v>45384</v>
      </c>
      <c r="E8484" s="1" t="n">
        <v>46326</v>
      </c>
      <c r="F8484" t="inlineStr">
        <is>
          <t>GÄVLEBORGS LÄN</t>
        </is>
      </c>
      <c r="G8484" t="inlineStr">
        <is>
          <t>LJUSDAL</t>
        </is>
      </c>
      <c r="I8484" t="n">
        <v>2</v>
      </c>
      <c r="J8484" t="n">
        <v>0</v>
      </c>
      <c r="K8484" t="n">
        <v>0</v>
      </c>
      <c r="L8484" t="n">
        <v>0</v>
      </c>
      <c r="M8484" t="n">
        <v>0</v>
      </c>
      <c r="N8484" t="n">
        <v>0</v>
      </c>
      <c r="O8484" t="n">
        <v>0</v>
      </c>
      <c r="P8484" t="n">
        <v>0</v>
      </c>
      <c r="Q8484" t="n">
        <v>0</v>
      </c>
      <c r="R8484" t="n">
        <v>0</v>
      </c>
      <c r="S8484" t="n">
        <v>0</v>
      </c>
      <c r="T8484" t="n">
        <v>0</v>
      </c>
      <c r="U8484" t="n">
        <v>0</v>
      </c>
      <c r="V8484" s="2" t="inlineStr"/>
    </row>
    <row r="8485" ht="15" customHeight="1">
      <c r="A8485" t="inlineStr">
        <is>
          <t>A 25826-2026</t>
        </is>
      </c>
      <c r="B8485" t="inlineStr">
        <is>
          <t>avverkningsanmälan</t>
        </is>
      </c>
      <c r="C8485" t="inlineStr">
        <is>
          <t>Föryngringsavverkning</t>
        </is>
      </c>
      <c r="D8485" s="1" t="n">
        <v>46178</v>
      </c>
      <c r="E8485" s="1" t="n">
        <v>46326</v>
      </c>
      <c r="F8485" t="inlineStr">
        <is>
          <t>GÄVLEBORGS LÄN</t>
        </is>
      </c>
      <c r="G8485" t="inlineStr">
        <is>
          <t>SANDVIKEN</t>
        </is>
      </c>
      <c r="I8485" t="n">
        <v>2.5</v>
      </c>
      <c r="J8485" t="n">
        <v>0</v>
      </c>
      <c r="K8485" t="n">
        <v>0</v>
      </c>
      <c r="L8485" t="n">
        <v>0</v>
      </c>
      <c r="M8485" t="n">
        <v>0</v>
      </c>
      <c r="N8485" t="n">
        <v>0</v>
      </c>
      <c r="O8485" t="n">
        <v>0</v>
      </c>
      <c r="P8485" t="n">
        <v>0</v>
      </c>
      <c r="Q8485" t="n">
        <v>0</v>
      </c>
      <c r="R8485" t="n">
        <v>0</v>
      </c>
      <c r="S8485" t="n">
        <v>0</v>
      </c>
      <c r="T8485" t="n">
        <v>0</v>
      </c>
      <c r="U8485" t="n">
        <v>0</v>
      </c>
      <c r="V8485" s="2" t="inlineStr"/>
    </row>
    <row r="8486" ht="15" customHeight="1">
      <c r="A8486" t="inlineStr">
        <is>
          <t>A 3640-2026</t>
        </is>
      </c>
      <c r="B8486" t="inlineStr">
        <is>
          <t>avverkningsanmälan</t>
        </is>
      </c>
      <c r="C8486" t="inlineStr">
        <is>
          <t>Föryngringsavverkning</t>
        </is>
      </c>
      <c r="D8486" s="1" t="n">
        <v>46043</v>
      </c>
      <c r="E8486" s="1" t="n">
        <v>46326</v>
      </c>
      <c r="F8486" t="inlineStr">
        <is>
          <t>GÄVLEBORGS LÄN</t>
        </is>
      </c>
      <c r="G8486" t="inlineStr">
        <is>
          <t>NORDANSTIG</t>
        </is>
      </c>
      <c r="I8486" t="n">
        <v>1.4</v>
      </c>
      <c r="J8486" t="n">
        <v>0</v>
      </c>
      <c r="K8486" t="n">
        <v>0</v>
      </c>
      <c r="L8486" t="n">
        <v>0</v>
      </c>
      <c r="M8486" t="n">
        <v>0</v>
      </c>
      <c r="N8486" t="n">
        <v>0</v>
      </c>
      <c r="O8486" t="n">
        <v>0</v>
      </c>
      <c r="P8486" t="n">
        <v>0</v>
      </c>
      <c r="Q8486" t="n">
        <v>0</v>
      </c>
      <c r="R8486" t="n">
        <v>0</v>
      </c>
      <c r="S8486" t="n">
        <v>0</v>
      </c>
      <c r="T8486" t="n">
        <v>0</v>
      </c>
      <c r="U8486" t="n">
        <v>0</v>
      </c>
      <c r="V8486" s="2" t="inlineStr"/>
    </row>
    <row r="8487" ht="15" customHeight="1">
      <c r="A8487" t="inlineStr">
        <is>
          <t>A 33850-2023</t>
        </is>
      </c>
      <c r="B8487" t="inlineStr">
        <is>
          <t>avverkningsanmälan</t>
        </is>
      </c>
      <c r="C8487" t="inlineStr">
        <is>
          <t>Föryngringsavverkning</t>
        </is>
      </c>
      <c r="D8487" s="1" t="n">
        <v>45133</v>
      </c>
      <c r="E8487" s="1" t="n">
        <v>46326</v>
      </c>
      <c r="F8487" t="inlineStr">
        <is>
          <t>GÄVLEBORGS LÄN</t>
        </is>
      </c>
      <c r="G8487" t="inlineStr">
        <is>
          <t>LJUSDAL</t>
        </is>
      </c>
      <c r="H8487" t="inlineStr">
        <is>
          <t>Holmen skog AB</t>
        </is>
      </c>
      <c r="I8487" t="n">
        <v>5.4</v>
      </c>
      <c r="J8487" t="n">
        <v>0</v>
      </c>
      <c r="K8487" t="n">
        <v>0</v>
      </c>
      <c r="L8487" t="n">
        <v>0</v>
      </c>
      <c r="M8487" t="n">
        <v>0</v>
      </c>
      <c r="N8487" t="n">
        <v>0</v>
      </c>
      <c r="O8487" t="n">
        <v>0</v>
      </c>
      <c r="P8487" t="n">
        <v>0</v>
      </c>
      <c r="Q8487" t="n">
        <v>0</v>
      </c>
      <c r="R8487" t="n">
        <v>0</v>
      </c>
      <c r="S8487" t="n">
        <v>0</v>
      </c>
      <c r="T8487" t="n">
        <v>0</v>
      </c>
      <c r="U8487" t="n">
        <v>0</v>
      </c>
      <c r="V8487" s="2" t="inlineStr"/>
    </row>
    <row r="8488" ht="15" customHeight="1">
      <c r="A8488" t="inlineStr">
        <is>
          <t>A 68662-2021</t>
        </is>
      </c>
      <c r="B8488" t="inlineStr">
        <is>
          <t>avverkningsanmälan</t>
        </is>
      </c>
      <c r="C8488" t="inlineStr">
        <is>
          <t>Föryngringsavverkning</t>
        </is>
      </c>
      <c r="D8488" s="1" t="n">
        <v>44529</v>
      </c>
      <c r="E8488" s="1" t="n">
        <v>46326</v>
      </c>
      <c r="F8488" t="inlineStr">
        <is>
          <t>GÄVLEBORGS LÄN</t>
        </is>
      </c>
      <c r="G8488" t="inlineStr">
        <is>
          <t>HUDIKSVALL</t>
        </is>
      </c>
      <c r="H8488" t="inlineStr">
        <is>
          <t>Holmen skog AB</t>
        </is>
      </c>
      <c r="I8488" t="n">
        <v>1.2</v>
      </c>
      <c r="J8488" t="n">
        <v>0</v>
      </c>
      <c r="K8488" t="n">
        <v>0</v>
      </c>
      <c r="L8488" t="n">
        <v>0</v>
      </c>
      <c r="M8488" t="n">
        <v>0</v>
      </c>
      <c r="N8488" t="n">
        <v>0</v>
      </c>
      <c r="O8488" t="n">
        <v>0</v>
      </c>
      <c r="P8488" t="n">
        <v>0</v>
      </c>
      <c r="Q8488" t="n">
        <v>0</v>
      </c>
      <c r="R8488" t="n">
        <v>0</v>
      </c>
      <c r="S8488" t="n">
        <v>0</v>
      </c>
      <c r="T8488" t="n">
        <v>0</v>
      </c>
      <c r="U8488" t="n">
        <v>0</v>
      </c>
      <c r="V8488" s="2" t="inlineStr"/>
    </row>
    <row r="8489" ht="15" customHeight="1">
      <c r="A8489" t="inlineStr">
        <is>
          <t>A 12266-2025</t>
        </is>
      </c>
      <c r="B8489" t="inlineStr">
        <is>
          <t>avverkningsanmälan</t>
        </is>
      </c>
      <c r="C8489" t="inlineStr">
        <is>
          <t>Föryngringsavverkning</t>
        </is>
      </c>
      <c r="D8489" s="1" t="n">
        <v>45729</v>
      </c>
      <c r="E8489" s="1" t="n">
        <v>46326</v>
      </c>
      <c r="F8489" t="inlineStr">
        <is>
          <t>GÄVLEBORGS LÄN</t>
        </is>
      </c>
      <c r="G8489" t="inlineStr">
        <is>
          <t>NORDANSTIG</t>
        </is>
      </c>
      <c r="H8489" t="inlineStr">
        <is>
          <t>Holmen skog AB</t>
        </is>
      </c>
      <c r="I8489" t="n">
        <v>3.1</v>
      </c>
      <c r="J8489" t="n">
        <v>0</v>
      </c>
      <c r="K8489" t="n">
        <v>0</v>
      </c>
      <c r="L8489" t="n">
        <v>0</v>
      </c>
      <c r="M8489" t="n">
        <v>0</v>
      </c>
      <c r="N8489" t="n">
        <v>0</v>
      </c>
      <c r="O8489" t="n">
        <v>0</v>
      </c>
      <c r="P8489" t="n">
        <v>0</v>
      </c>
      <c r="Q8489" t="n">
        <v>0</v>
      </c>
      <c r="R8489" t="n">
        <v>0</v>
      </c>
      <c r="S8489" t="n">
        <v>0</v>
      </c>
      <c r="T8489" t="n">
        <v>0</v>
      </c>
      <c r="U8489" t="n">
        <v>0</v>
      </c>
      <c r="V8489" s="2" t="inlineStr"/>
    </row>
    <row r="8490" ht="15" customHeight="1">
      <c r="A8490" t="inlineStr">
        <is>
          <t>A 595-2025</t>
        </is>
      </c>
      <c r="B8490" t="inlineStr">
        <is>
          <t>avverkningsanmälan</t>
        </is>
      </c>
      <c r="C8490" t="inlineStr">
        <is>
          <t>Föryngringsavverkning</t>
        </is>
      </c>
      <c r="D8490" s="1" t="n">
        <v>45664</v>
      </c>
      <c r="E8490" s="1" t="n">
        <v>46326</v>
      </c>
      <c r="F8490" t="inlineStr">
        <is>
          <t>GÄVLEBORGS LÄN</t>
        </is>
      </c>
      <c r="G8490" t="inlineStr">
        <is>
          <t>BOLLNÄS</t>
        </is>
      </c>
      <c r="I8490" t="n">
        <v>1.5</v>
      </c>
      <c r="J8490" t="n">
        <v>0</v>
      </c>
      <c r="K8490" t="n">
        <v>0</v>
      </c>
      <c r="L8490" t="n">
        <v>0</v>
      </c>
      <c r="M8490" t="n">
        <v>0</v>
      </c>
      <c r="N8490" t="n">
        <v>0</v>
      </c>
      <c r="O8490" t="n">
        <v>0</v>
      </c>
      <c r="P8490" t="n">
        <v>0</v>
      </c>
      <c r="Q8490" t="n">
        <v>0</v>
      </c>
      <c r="R8490" t="n">
        <v>0</v>
      </c>
      <c r="S8490" t="n">
        <v>0</v>
      </c>
      <c r="T8490" t="n">
        <v>0</v>
      </c>
      <c r="U8490" t="n">
        <v>0</v>
      </c>
      <c r="V8490" s="2" t="inlineStr"/>
    </row>
    <row r="8491" ht="15" customHeight="1">
      <c r="A8491" t="inlineStr">
        <is>
          <t>A 26028-2024</t>
        </is>
      </c>
      <c r="B8491" t="inlineStr">
        <is>
          <t>avverkningsanmälan</t>
        </is>
      </c>
      <c r="C8491" t="inlineStr">
        <is>
          <t>Föryngringsavverkning</t>
        </is>
      </c>
      <c r="D8491" s="1" t="n">
        <v>45467</v>
      </c>
      <c r="E8491" s="1" t="n">
        <v>46326</v>
      </c>
      <c r="F8491" t="inlineStr">
        <is>
          <t>GÄVLEBORGS LÄN</t>
        </is>
      </c>
      <c r="G8491" t="inlineStr">
        <is>
          <t>OVANÅKER</t>
        </is>
      </c>
      <c r="I8491" t="n">
        <v>5.4</v>
      </c>
      <c r="J8491" t="n">
        <v>0</v>
      </c>
      <c r="K8491" t="n">
        <v>0</v>
      </c>
      <c r="L8491" t="n">
        <v>0</v>
      </c>
      <c r="M8491" t="n">
        <v>0</v>
      </c>
      <c r="N8491" t="n">
        <v>0</v>
      </c>
      <c r="O8491" t="n">
        <v>0</v>
      </c>
      <c r="P8491" t="n">
        <v>0</v>
      </c>
      <c r="Q8491" t="n">
        <v>0</v>
      </c>
      <c r="R8491" t="n">
        <v>0</v>
      </c>
      <c r="S8491" t="n">
        <v>0</v>
      </c>
      <c r="T8491" t="n">
        <v>0</v>
      </c>
      <c r="U8491" t="n">
        <v>0</v>
      </c>
      <c r="V8491" s="2" t="inlineStr"/>
    </row>
    <row r="8492" ht="15" customHeight="1">
      <c r="A8492" t="inlineStr">
        <is>
          <t>A 3387-2026</t>
        </is>
      </c>
      <c r="B8492" t="inlineStr">
        <is>
          <t>avverkningsanmälan</t>
        </is>
      </c>
      <c r="C8492" t="inlineStr">
        <is>
          <t>Föryngringsavverkning</t>
        </is>
      </c>
      <c r="D8492" s="1" t="n">
        <v>46042</v>
      </c>
      <c r="E8492" s="1" t="n">
        <v>46326</v>
      </c>
      <c r="F8492" t="inlineStr">
        <is>
          <t>GÄVLEBORGS LÄN</t>
        </is>
      </c>
      <c r="G8492" t="inlineStr">
        <is>
          <t>NORDANSTIG</t>
        </is>
      </c>
      <c r="I8492" t="n">
        <v>2</v>
      </c>
      <c r="J8492" t="n">
        <v>0</v>
      </c>
      <c r="K8492" t="n">
        <v>0</v>
      </c>
      <c r="L8492" t="n">
        <v>0</v>
      </c>
      <c r="M8492" t="n">
        <v>0</v>
      </c>
      <c r="N8492" t="n">
        <v>0</v>
      </c>
      <c r="O8492" t="n">
        <v>0</v>
      </c>
      <c r="P8492" t="n">
        <v>0</v>
      </c>
      <c r="Q8492" t="n">
        <v>0</v>
      </c>
      <c r="R8492" t="n">
        <v>0</v>
      </c>
      <c r="S8492" t="n">
        <v>0</v>
      </c>
      <c r="T8492" t="n">
        <v>0</v>
      </c>
      <c r="U8492" t="n">
        <v>0</v>
      </c>
      <c r="V8492" s="2" t="inlineStr"/>
    </row>
    <row r="8493" ht="15" customHeight="1">
      <c r="A8493" t="inlineStr">
        <is>
          <t>A 7992-2024</t>
        </is>
      </c>
      <c r="B8493" t="inlineStr">
        <is>
          <t>avverkningsanmälan</t>
        </is>
      </c>
      <c r="C8493" t="inlineStr">
        <is>
          <t>Föryngringsavverkning</t>
        </is>
      </c>
      <c r="D8493" s="1" t="n">
        <v>45350</v>
      </c>
      <c r="E8493" s="1" t="n">
        <v>46326</v>
      </c>
      <c r="F8493" t="inlineStr">
        <is>
          <t>GÄVLEBORGS LÄN</t>
        </is>
      </c>
      <c r="G8493" t="inlineStr">
        <is>
          <t>HUDIKSVALL</t>
        </is>
      </c>
      <c r="H8493" t="inlineStr">
        <is>
          <t>Holmen skog AB</t>
        </is>
      </c>
      <c r="I8493" t="n">
        <v>0.8</v>
      </c>
      <c r="J8493" t="n">
        <v>0</v>
      </c>
      <c r="K8493" t="n">
        <v>0</v>
      </c>
      <c r="L8493" t="n">
        <v>0</v>
      </c>
      <c r="M8493" t="n">
        <v>0</v>
      </c>
      <c r="N8493" t="n">
        <v>0</v>
      </c>
      <c r="O8493" t="n">
        <v>0</v>
      </c>
      <c r="P8493" t="n">
        <v>0</v>
      </c>
      <c r="Q8493" t="n">
        <v>0</v>
      </c>
      <c r="R8493" t="n">
        <v>0</v>
      </c>
      <c r="S8493" t="n">
        <v>0</v>
      </c>
      <c r="T8493" t="n">
        <v>0</v>
      </c>
      <c r="U8493" t="n">
        <v>0</v>
      </c>
      <c r="V8493" s="2" t="inlineStr"/>
    </row>
    <row r="8494" ht="15" customHeight="1">
      <c r="A8494" t="inlineStr">
        <is>
          <t>A 25842-2026</t>
        </is>
      </c>
      <c r="B8494" t="inlineStr">
        <is>
          <t>avverkningsanmälan</t>
        </is>
      </c>
      <c r="C8494" t="inlineStr">
        <is>
          <t>Föryngringsavverkning</t>
        </is>
      </c>
      <c r="D8494" s="1" t="n">
        <v>46178</v>
      </c>
      <c r="E8494" s="1" t="n">
        <v>46326</v>
      </c>
      <c r="F8494" t="inlineStr">
        <is>
          <t>GÄVLEBORGS LÄN</t>
        </is>
      </c>
      <c r="G8494" t="inlineStr">
        <is>
          <t>SANDVIKEN</t>
        </is>
      </c>
      <c r="H8494" t="inlineStr">
        <is>
          <t>Bergvik skog öst AB</t>
        </is>
      </c>
      <c r="I8494" t="n">
        <v>2.9</v>
      </c>
      <c r="J8494" t="n">
        <v>0</v>
      </c>
      <c r="K8494" t="n">
        <v>0</v>
      </c>
      <c r="L8494" t="n">
        <v>0</v>
      </c>
      <c r="M8494" t="n">
        <v>0</v>
      </c>
      <c r="N8494" t="n">
        <v>0</v>
      </c>
      <c r="O8494" t="n">
        <v>0</v>
      </c>
      <c r="P8494" t="n">
        <v>0</v>
      </c>
      <c r="Q8494" t="n">
        <v>0</v>
      </c>
      <c r="R8494" t="n">
        <v>0</v>
      </c>
      <c r="S8494" t="n">
        <v>0</v>
      </c>
      <c r="T8494" t="n">
        <v>0</v>
      </c>
      <c r="U8494" t="n">
        <v>0</v>
      </c>
      <c r="V8494" s="2" t="inlineStr"/>
    </row>
    <row r="8495" ht="15" customHeight="1">
      <c r="A8495" t="inlineStr">
        <is>
          <t>A 13623-2025</t>
        </is>
      </c>
      <c r="B8495" t="inlineStr">
        <is>
          <t>avverkningsanmälan</t>
        </is>
      </c>
      <c r="C8495" t="inlineStr">
        <is>
          <t>Föryngringsavverkning</t>
        </is>
      </c>
      <c r="D8495" s="1" t="n">
        <v>45736</v>
      </c>
      <c r="E8495" s="1" t="n">
        <v>46326</v>
      </c>
      <c r="F8495" t="inlineStr">
        <is>
          <t>GÄVLEBORGS LÄN</t>
        </is>
      </c>
      <c r="G8495" t="inlineStr">
        <is>
          <t>LJUSDAL</t>
        </is>
      </c>
      <c r="I8495" t="n">
        <v>2.4</v>
      </c>
      <c r="J8495" t="n">
        <v>0</v>
      </c>
      <c r="K8495" t="n">
        <v>0</v>
      </c>
      <c r="L8495" t="n">
        <v>0</v>
      </c>
      <c r="M8495" t="n">
        <v>0</v>
      </c>
      <c r="N8495" t="n">
        <v>0</v>
      </c>
      <c r="O8495" t="n">
        <v>0</v>
      </c>
      <c r="P8495" t="n">
        <v>0</v>
      </c>
      <c r="Q8495" t="n">
        <v>0</v>
      </c>
      <c r="R8495" t="n">
        <v>0</v>
      </c>
      <c r="S8495" t="n">
        <v>0</v>
      </c>
      <c r="T8495" t="n">
        <v>0</v>
      </c>
      <c r="U8495" t="n">
        <v>0</v>
      </c>
      <c r="V8495" s="2" t="inlineStr"/>
    </row>
    <row r="8496" ht="15" customHeight="1">
      <c r="A8496" t="inlineStr">
        <is>
          <t>A 18899-2026</t>
        </is>
      </c>
      <c r="B8496" t="inlineStr">
        <is>
          <t>avverkningsanmälan</t>
        </is>
      </c>
      <c r="C8496" t="inlineStr">
        <is>
          <t>Föryngringsavverkning</t>
        </is>
      </c>
      <c r="D8496" s="1" t="n">
        <v>46129</v>
      </c>
      <c r="E8496" s="1" t="n">
        <v>46326</v>
      </c>
      <c r="F8496" t="inlineStr">
        <is>
          <t>GÄVLEBORGS LÄN</t>
        </is>
      </c>
      <c r="G8496" t="inlineStr">
        <is>
          <t>OVANÅKER</t>
        </is>
      </c>
      <c r="I8496" t="n">
        <v>0.9</v>
      </c>
      <c r="J8496" t="n">
        <v>0</v>
      </c>
      <c r="K8496" t="n">
        <v>0</v>
      </c>
      <c r="L8496" t="n">
        <v>0</v>
      </c>
      <c r="M8496" t="n">
        <v>0</v>
      </c>
      <c r="N8496" t="n">
        <v>0</v>
      </c>
      <c r="O8496" t="n">
        <v>0</v>
      </c>
      <c r="P8496" t="n">
        <v>0</v>
      </c>
      <c r="Q8496" t="n">
        <v>0</v>
      </c>
      <c r="R8496" t="n">
        <v>0</v>
      </c>
      <c r="S8496" t="n">
        <v>0</v>
      </c>
      <c r="T8496" t="n">
        <v>0</v>
      </c>
      <c r="U8496" t="n">
        <v>0</v>
      </c>
      <c r="V8496" s="2" t="inlineStr"/>
    </row>
    <row r="8497" ht="15" customHeight="1">
      <c r="A8497" t="inlineStr">
        <is>
          <t>A 25177-2023</t>
        </is>
      </c>
      <c r="B8497" t="inlineStr">
        <is>
          <t>avverkningsanmälan</t>
        </is>
      </c>
      <c r="C8497" t="inlineStr">
        <is>
          <t>Föryngringsavverkning</t>
        </is>
      </c>
      <c r="D8497" s="1" t="n">
        <v>45086</v>
      </c>
      <c r="E8497" s="1" t="n">
        <v>46326</v>
      </c>
      <c r="F8497" t="inlineStr">
        <is>
          <t>GÄVLEBORGS LÄN</t>
        </is>
      </c>
      <c r="G8497" t="inlineStr">
        <is>
          <t>BOLLNÄS</t>
        </is>
      </c>
      <c r="H8497" t="inlineStr">
        <is>
          <t>Sveaskog</t>
        </is>
      </c>
      <c r="I8497" t="n">
        <v>2.3</v>
      </c>
      <c r="J8497" t="n">
        <v>0</v>
      </c>
      <c r="K8497" t="n">
        <v>0</v>
      </c>
      <c r="L8497" t="n">
        <v>0</v>
      </c>
      <c r="M8497" t="n">
        <v>0</v>
      </c>
      <c r="N8497" t="n">
        <v>0</v>
      </c>
      <c r="O8497" t="n">
        <v>0</v>
      </c>
      <c r="P8497" t="n">
        <v>0</v>
      </c>
      <c r="Q8497" t="n">
        <v>0</v>
      </c>
      <c r="R8497" t="n">
        <v>0</v>
      </c>
      <c r="S8497" t="n">
        <v>0</v>
      </c>
      <c r="T8497" t="n">
        <v>0</v>
      </c>
      <c r="U8497" t="n">
        <v>0</v>
      </c>
      <c r="V8497" s="2" t="inlineStr"/>
    </row>
    <row r="8498" ht="15" customHeight="1">
      <c r="A8498" t="inlineStr">
        <is>
          <t>A 20676-2026</t>
        </is>
      </c>
      <c r="B8498" t="inlineStr">
        <is>
          <t>avverkningsanmälan</t>
        </is>
      </c>
      <c r="C8498" t="inlineStr">
        <is>
          <t>Föryngringsavverkning</t>
        </is>
      </c>
      <c r="D8498" s="1" t="n">
        <v>46141</v>
      </c>
      <c r="E8498" s="1" t="n">
        <v>46326</v>
      </c>
      <c r="F8498" t="inlineStr">
        <is>
          <t>GÄVLEBORGS LÄN</t>
        </is>
      </c>
      <c r="G8498" t="inlineStr">
        <is>
          <t>GÄVLE</t>
        </is>
      </c>
      <c r="H8498" t="inlineStr">
        <is>
          <t>Bergvik skog öst AB</t>
        </is>
      </c>
      <c r="I8498" t="n">
        <v>14.7</v>
      </c>
      <c r="J8498" t="n">
        <v>0</v>
      </c>
      <c r="K8498" t="n">
        <v>0</v>
      </c>
      <c r="L8498" t="n">
        <v>0</v>
      </c>
      <c r="M8498" t="n">
        <v>0</v>
      </c>
      <c r="N8498" t="n">
        <v>0</v>
      </c>
      <c r="O8498" t="n">
        <v>0</v>
      </c>
      <c r="P8498" t="n">
        <v>0</v>
      </c>
      <c r="Q8498" t="n">
        <v>0</v>
      </c>
      <c r="R8498" t="n">
        <v>0</v>
      </c>
      <c r="S8498" t="n">
        <v>0</v>
      </c>
      <c r="T8498" t="n">
        <v>0</v>
      </c>
      <c r="U8498" t="n">
        <v>0</v>
      </c>
      <c r="V8498" s="2" t="inlineStr"/>
    </row>
    <row r="8499" ht="15" customHeight="1">
      <c r="A8499" t="inlineStr">
        <is>
          <t>A 10910-2026</t>
        </is>
      </c>
      <c r="B8499" t="inlineStr">
        <is>
          <t>avverkningsanmälan</t>
        </is>
      </c>
      <c r="C8499" t="inlineStr">
        <is>
          <t>Föryngringsavverkning</t>
        </is>
      </c>
      <c r="D8499" s="1" t="n">
        <v>46079</v>
      </c>
      <c r="E8499" s="1" t="n">
        <v>46326</v>
      </c>
      <c r="F8499" t="inlineStr">
        <is>
          <t>GÄVLEBORGS LÄN</t>
        </is>
      </c>
      <c r="G8499" t="inlineStr">
        <is>
          <t>NORDANSTIG</t>
        </is>
      </c>
      <c r="I8499" t="n">
        <v>1.1</v>
      </c>
      <c r="J8499" t="n">
        <v>0</v>
      </c>
      <c r="K8499" t="n">
        <v>0</v>
      </c>
      <c r="L8499" t="n">
        <v>0</v>
      </c>
      <c r="M8499" t="n">
        <v>0</v>
      </c>
      <c r="N8499" t="n">
        <v>0</v>
      </c>
      <c r="O8499" t="n">
        <v>0</v>
      </c>
      <c r="P8499" t="n">
        <v>0</v>
      </c>
      <c r="Q8499" t="n">
        <v>0</v>
      </c>
      <c r="R8499" t="n">
        <v>0</v>
      </c>
      <c r="S8499" t="n">
        <v>0</v>
      </c>
      <c r="T8499" t="n">
        <v>0</v>
      </c>
      <c r="U8499" t="n">
        <v>0</v>
      </c>
      <c r="V8499" s="2" t="inlineStr"/>
    </row>
    <row r="8500" ht="15" customHeight="1">
      <c r="A8500" t="inlineStr">
        <is>
          <t>A 13505-2025</t>
        </is>
      </c>
      <c r="B8500" t="inlineStr">
        <is>
          <t>avverkningsanmälan</t>
        </is>
      </c>
      <c r="C8500" t="inlineStr">
        <is>
          <t>Föryngringsavverkning</t>
        </is>
      </c>
      <c r="D8500" s="1" t="n">
        <v>45736</v>
      </c>
      <c r="E8500" s="1" t="n">
        <v>46326</v>
      </c>
      <c r="F8500" t="inlineStr">
        <is>
          <t>GÄVLEBORGS LÄN</t>
        </is>
      </c>
      <c r="G8500" t="inlineStr">
        <is>
          <t>LJUSDAL</t>
        </is>
      </c>
      <c r="I8500" t="n">
        <v>3.5</v>
      </c>
      <c r="J8500" t="n">
        <v>0</v>
      </c>
      <c r="K8500" t="n">
        <v>0</v>
      </c>
      <c r="L8500" t="n">
        <v>0</v>
      </c>
      <c r="M8500" t="n">
        <v>0</v>
      </c>
      <c r="N8500" t="n">
        <v>0</v>
      </c>
      <c r="O8500" t="n">
        <v>0</v>
      </c>
      <c r="P8500" t="n">
        <v>0</v>
      </c>
      <c r="Q8500" t="n">
        <v>0</v>
      </c>
      <c r="R8500" t="n">
        <v>0</v>
      </c>
      <c r="S8500" t="n">
        <v>0</v>
      </c>
      <c r="T8500" t="n">
        <v>0</v>
      </c>
      <c r="U8500" t="n">
        <v>0</v>
      </c>
      <c r="V8500" s="2" t="inlineStr"/>
    </row>
    <row r="8501" ht="15" customHeight="1">
      <c r="A8501" t="inlineStr">
        <is>
          <t>A 8940-2026</t>
        </is>
      </c>
      <c r="B8501" t="inlineStr">
        <is>
          <t>avverkningsanmälan</t>
        </is>
      </c>
      <c r="C8501" t="inlineStr">
        <is>
          <t>Föryngringsavverkning</t>
        </is>
      </c>
      <c r="D8501" s="1" t="n">
        <v>46069</v>
      </c>
      <c r="E8501" s="1" t="n">
        <v>46326</v>
      </c>
      <c r="F8501" t="inlineStr">
        <is>
          <t>GÄVLEBORGS LÄN</t>
        </is>
      </c>
      <c r="G8501" t="inlineStr">
        <is>
          <t>SANDVIKEN</t>
        </is>
      </c>
      <c r="I8501" t="n">
        <v>6.3</v>
      </c>
      <c r="J8501" t="n">
        <v>0</v>
      </c>
      <c r="K8501" t="n">
        <v>0</v>
      </c>
      <c r="L8501" t="n">
        <v>0</v>
      </c>
      <c r="M8501" t="n">
        <v>0</v>
      </c>
      <c r="N8501" t="n">
        <v>0</v>
      </c>
      <c r="O8501" t="n">
        <v>0</v>
      </c>
      <c r="P8501" t="n">
        <v>0</v>
      </c>
      <c r="Q8501" t="n">
        <v>0</v>
      </c>
      <c r="R8501" t="n">
        <v>0</v>
      </c>
      <c r="S8501" t="n">
        <v>0</v>
      </c>
      <c r="T8501" t="n">
        <v>0</v>
      </c>
      <c r="U8501" t="n">
        <v>0</v>
      </c>
      <c r="V8501" s="2" t="inlineStr"/>
    </row>
    <row r="8502" ht="15" customHeight="1">
      <c r="A8502" t="inlineStr">
        <is>
          <t>A 58005-2024</t>
        </is>
      </c>
      <c r="B8502" t="inlineStr">
        <is>
          <t>avverkningsanmälan</t>
        </is>
      </c>
      <c r="C8502" t="inlineStr">
        <is>
          <t>Föryngringsavverkning</t>
        </is>
      </c>
      <c r="D8502" s="1" t="n">
        <v>45631</v>
      </c>
      <c r="E8502" s="1" t="n">
        <v>46326</v>
      </c>
      <c r="F8502" t="inlineStr">
        <is>
          <t>GÄVLEBORGS LÄN</t>
        </is>
      </c>
      <c r="G8502" t="inlineStr">
        <is>
          <t>HUDIKSVALL</t>
        </is>
      </c>
      <c r="I8502" t="n">
        <v>1.1</v>
      </c>
      <c r="J8502" t="n">
        <v>0</v>
      </c>
      <c r="K8502" t="n">
        <v>0</v>
      </c>
      <c r="L8502" t="n">
        <v>0</v>
      </c>
      <c r="M8502" t="n">
        <v>0</v>
      </c>
      <c r="N8502" t="n">
        <v>0</v>
      </c>
      <c r="O8502" t="n">
        <v>0</v>
      </c>
      <c r="P8502" t="n">
        <v>0</v>
      </c>
      <c r="Q8502" t="n">
        <v>0</v>
      </c>
      <c r="R8502" t="n">
        <v>0</v>
      </c>
      <c r="S8502" t="n">
        <v>0</v>
      </c>
      <c r="T8502" t="n">
        <v>0</v>
      </c>
      <c r="U8502" t="n">
        <v>0</v>
      </c>
      <c r="V8502" s="2" t="inlineStr"/>
    </row>
    <row r="8503" ht="15" customHeight="1">
      <c r="A8503" t="inlineStr">
        <is>
          <t>A 52335-2024</t>
        </is>
      </c>
      <c r="B8503" t="inlineStr">
        <is>
          <t>avverkningsanmälan</t>
        </is>
      </c>
      <c r="C8503" t="inlineStr">
        <is>
          <t>Avverkning för annat ändamål</t>
        </is>
      </c>
      <c r="D8503" s="1" t="n">
        <v>45609</v>
      </c>
      <c r="E8503" s="1" t="n">
        <v>46326</v>
      </c>
      <c r="F8503" t="inlineStr">
        <is>
          <t>GÄVLEBORGS LÄN</t>
        </is>
      </c>
      <c r="G8503" t="inlineStr">
        <is>
          <t>OCKELBO</t>
        </is>
      </c>
      <c r="H8503" t="inlineStr">
        <is>
          <t>Bergvik skog väst AB</t>
        </is>
      </c>
      <c r="I8503" t="n">
        <v>0.6</v>
      </c>
      <c r="J8503" t="n">
        <v>0</v>
      </c>
      <c r="K8503" t="n">
        <v>0</v>
      </c>
      <c r="L8503" t="n">
        <v>0</v>
      </c>
      <c r="M8503" t="n">
        <v>0</v>
      </c>
      <c r="N8503" t="n">
        <v>0</v>
      </c>
      <c r="O8503" t="n">
        <v>0</v>
      </c>
      <c r="P8503" t="n">
        <v>0</v>
      </c>
      <c r="Q8503" t="n">
        <v>0</v>
      </c>
      <c r="R8503" t="n">
        <v>0</v>
      </c>
      <c r="S8503" t="n">
        <v>0</v>
      </c>
      <c r="T8503" t="n">
        <v>0</v>
      </c>
      <c r="U8503" t="n">
        <v>0</v>
      </c>
      <c r="V8503" s="2" t="inlineStr"/>
    </row>
    <row r="8504" ht="15" customHeight="1">
      <c r="A8504" t="inlineStr">
        <is>
          <t>A 25477-2026</t>
        </is>
      </c>
      <c r="B8504" t="inlineStr">
        <is>
          <t>avverkningsanmälan</t>
        </is>
      </c>
      <c r="C8504" t="inlineStr">
        <is>
          <t>Föryngringsavverkning</t>
        </is>
      </c>
      <c r="D8504" s="1" t="n">
        <v>46177</v>
      </c>
      <c r="E8504" s="1" t="n">
        <v>46326</v>
      </c>
      <c r="F8504" t="inlineStr">
        <is>
          <t>GÄVLEBORGS LÄN</t>
        </is>
      </c>
      <c r="G8504" t="inlineStr">
        <is>
          <t>SÖDERHAMN</t>
        </is>
      </c>
      <c r="I8504" t="n">
        <v>0.9</v>
      </c>
      <c r="J8504" t="n">
        <v>0</v>
      </c>
      <c r="K8504" t="n">
        <v>0</v>
      </c>
      <c r="L8504" t="n">
        <v>0</v>
      </c>
      <c r="M8504" t="n">
        <v>0</v>
      </c>
      <c r="N8504" t="n">
        <v>0</v>
      </c>
      <c r="O8504" t="n">
        <v>0</v>
      </c>
      <c r="P8504" t="n">
        <v>0</v>
      </c>
      <c r="Q8504" t="n">
        <v>0</v>
      </c>
      <c r="R8504" t="n">
        <v>0</v>
      </c>
      <c r="S8504" t="n">
        <v>0</v>
      </c>
      <c r="T8504" t="n">
        <v>0</v>
      </c>
      <c r="U8504" t="n">
        <v>0</v>
      </c>
      <c r="V8504" s="2" t="inlineStr"/>
    </row>
    <row r="8505" ht="15" customHeight="1">
      <c r="A8505" t="inlineStr">
        <is>
          <t>A 18722-2026</t>
        </is>
      </c>
      <c r="B8505" t="inlineStr">
        <is>
          <t>avverkningsanmälan</t>
        </is>
      </c>
      <c r="C8505" t="inlineStr">
        <is>
          <t>Föryngringsavverkning</t>
        </is>
      </c>
      <c r="D8505" s="1" t="n">
        <v>46128</v>
      </c>
      <c r="E8505" s="1" t="n">
        <v>46326</v>
      </c>
      <c r="F8505" t="inlineStr">
        <is>
          <t>GÄVLEBORGS LÄN</t>
        </is>
      </c>
      <c r="G8505" t="inlineStr">
        <is>
          <t>OVANÅKER</t>
        </is>
      </c>
      <c r="I8505" t="n">
        <v>1.1</v>
      </c>
      <c r="J8505" t="n">
        <v>0</v>
      </c>
      <c r="K8505" t="n">
        <v>0</v>
      </c>
      <c r="L8505" t="n">
        <v>0</v>
      </c>
      <c r="M8505" t="n">
        <v>0</v>
      </c>
      <c r="N8505" t="n">
        <v>0</v>
      </c>
      <c r="O8505" t="n">
        <v>0</v>
      </c>
      <c r="P8505" t="n">
        <v>0</v>
      </c>
      <c r="Q8505" t="n">
        <v>0</v>
      </c>
      <c r="R8505" t="n">
        <v>0</v>
      </c>
      <c r="S8505" t="n">
        <v>0</v>
      </c>
      <c r="T8505" t="n">
        <v>0</v>
      </c>
      <c r="U8505" t="n">
        <v>0</v>
      </c>
      <c r="V8505" s="2" t="inlineStr"/>
    </row>
    <row r="8506" ht="15" customHeight="1">
      <c r="A8506" t="inlineStr">
        <is>
          <t>A 26728-2022</t>
        </is>
      </c>
      <c r="B8506" t="inlineStr">
        <is>
          <t>avverkningsanmälan</t>
        </is>
      </c>
      <c r="C8506" t="inlineStr">
        <is>
          <t>Föryngringsavverkning</t>
        </is>
      </c>
      <c r="D8506" s="1" t="n">
        <v>44739</v>
      </c>
      <c r="E8506" s="1" t="n">
        <v>46326</v>
      </c>
      <c r="F8506" t="inlineStr">
        <is>
          <t>GÄVLEBORGS LÄN</t>
        </is>
      </c>
      <c r="G8506" t="inlineStr">
        <is>
          <t>NORDANSTIG</t>
        </is>
      </c>
      <c r="I8506" t="n">
        <v>6.5</v>
      </c>
      <c r="J8506" t="n">
        <v>0</v>
      </c>
      <c r="K8506" t="n">
        <v>0</v>
      </c>
      <c r="L8506" t="n">
        <v>0</v>
      </c>
      <c r="M8506" t="n">
        <v>0</v>
      </c>
      <c r="N8506" t="n">
        <v>0</v>
      </c>
      <c r="O8506" t="n">
        <v>0</v>
      </c>
      <c r="P8506" t="n">
        <v>0</v>
      </c>
      <c r="Q8506" t="n">
        <v>0</v>
      </c>
      <c r="R8506" t="n">
        <v>0</v>
      </c>
      <c r="S8506" t="n">
        <v>0</v>
      </c>
      <c r="T8506" t="n">
        <v>0</v>
      </c>
      <c r="U8506" t="n">
        <v>0</v>
      </c>
      <c r="V8506" s="2" t="inlineStr"/>
    </row>
    <row r="8507" ht="15" customHeight="1">
      <c r="A8507" t="inlineStr">
        <is>
          <t>A 25773-2026</t>
        </is>
      </c>
      <c r="B8507" t="inlineStr">
        <is>
          <t>avverkningsanmälan</t>
        </is>
      </c>
      <c r="C8507" t="inlineStr">
        <is>
          <t>Föryngringsavverkning</t>
        </is>
      </c>
      <c r="D8507" s="1" t="n">
        <v>46178</v>
      </c>
      <c r="E8507" s="1" t="n">
        <v>46326</v>
      </c>
      <c r="F8507" t="inlineStr">
        <is>
          <t>GÄVLEBORGS LÄN</t>
        </is>
      </c>
      <c r="G8507" t="inlineStr">
        <is>
          <t>LJUSDAL</t>
        </is>
      </c>
      <c r="H8507" t="inlineStr">
        <is>
          <t>Holmen skog AB</t>
        </is>
      </c>
      <c r="I8507" t="n">
        <v>2.4</v>
      </c>
      <c r="J8507" t="n">
        <v>0</v>
      </c>
      <c r="K8507" t="n">
        <v>0</v>
      </c>
      <c r="L8507" t="n">
        <v>0</v>
      </c>
      <c r="M8507" t="n">
        <v>0</v>
      </c>
      <c r="N8507" t="n">
        <v>0</v>
      </c>
      <c r="O8507" t="n">
        <v>0</v>
      </c>
      <c r="P8507" t="n">
        <v>0</v>
      </c>
      <c r="Q8507" t="n">
        <v>0</v>
      </c>
      <c r="R8507" t="n">
        <v>0</v>
      </c>
      <c r="S8507" t="n">
        <v>0</v>
      </c>
      <c r="T8507" t="n">
        <v>0</v>
      </c>
      <c r="U8507" t="n">
        <v>0</v>
      </c>
      <c r="V8507" s="2" t="inlineStr"/>
    </row>
    <row r="8508" ht="15" customHeight="1">
      <c r="A8508" t="inlineStr">
        <is>
          <t>A 25586-2026</t>
        </is>
      </c>
      <c r="B8508" t="inlineStr">
        <is>
          <t>avverkningsanmälan</t>
        </is>
      </c>
      <c r="C8508" t="inlineStr">
        <is>
          <t>Föryngringsavverkning</t>
        </is>
      </c>
      <c r="D8508" s="1" t="n">
        <v>46177</v>
      </c>
      <c r="E8508" s="1" t="n">
        <v>46326</v>
      </c>
      <c r="F8508" t="inlineStr">
        <is>
          <t>GÄVLEBORGS LÄN</t>
        </is>
      </c>
      <c r="G8508" t="inlineStr">
        <is>
          <t>NORDANSTIG</t>
        </is>
      </c>
      <c r="H8508" t="inlineStr">
        <is>
          <t>SCA</t>
        </is>
      </c>
      <c r="I8508" t="n">
        <v>1.1</v>
      </c>
      <c r="J8508" t="n">
        <v>0</v>
      </c>
      <c r="K8508" t="n">
        <v>0</v>
      </c>
      <c r="L8508" t="n">
        <v>0</v>
      </c>
      <c r="M8508" t="n">
        <v>0</v>
      </c>
      <c r="N8508" t="n">
        <v>0</v>
      </c>
      <c r="O8508" t="n">
        <v>0</v>
      </c>
      <c r="P8508" t="n">
        <v>0</v>
      </c>
      <c r="Q8508" t="n">
        <v>0</v>
      </c>
      <c r="R8508" t="n">
        <v>0</v>
      </c>
      <c r="S8508" t="n">
        <v>0</v>
      </c>
      <c r="T8508" t="n">
        <v>0</v>
      </c>
      <c r="U8508" t="n">
        <v>0</v>
      </c>
      <c r="V8508" s="2" t="inlineStr"/>
    </row>
    <row r="8509" ht="15" customHeight="1">
      <c r="A8509" t="inlineStr">
        <is>
          <t>A 6073-2024</t>
        </is>
      </c>
      <c r="B8509" t="inlineStr">
        <is>
          <t>avverkningsanmälan</t>
        </is>
      </c>
      <c r="C8509" t="inlineStr">
        <is>
          <t>Föryngringsavverkning</t>
        </is>
      </c>
      <c r="D8509" s="1" t="n">
        <v>45336</v>
      </c>
      <c r="E8509" s="1" t="n">
        <v>46326</v>
      </c>
      <c r="F8509" t="inlineStr">
        <is>
          <t>GÄVLEBORGS LÄN</t>
        </is>
      </c>
      <c r="G8509" t="inlineStr">
        <is>
          <t>LJUSDAL</t>
        </is>
      </c>
      <c r="I8509" t="n">
        <v>1.6</v>
      </c>
      <c r="J8509" t="n">
        <v>0</v>
      </c>
      <c r="K8509" t="n">
        <v>0</v>
      </c>
      <c r="L8509" t="n">
        <v>0</v>
      </c>
      <c r="M8509" t="n">
        <v>0</v>
      </c>
      <c r="N8509" t="n">
        <v>0</v>
      </c>
      <c r="O8509" t="n">
        <v>0</v>
      </c>
      <c r="P8509" t="n">
        <v>0</v>
      </c>
      <c r="Q8509" t="n">
        <v>0</v>
      </c>
      <c r="R8509" t="n">
        <v>0</v>
      </c>
      <c r="S8509" t="n">
        <v>0</v>
      </c>
      <c r="T8509" t="n">
        <v>0</v>
      </c>
      <c r="U8509" t="n">
        <v>0</v>
      </c>
      <c r="V8509" s="2" t="inlineStr"/>
    </row>
    <row r="8510" ht="15" customHeight="1">
      <c r="A8510" t="inlineStr">
        <is>
          <t>A 52729-2023</t>
        </is>
      </c>
      <c r="B8510" t="inlineStr">
        <is>
          <t>avverkningsanmälan</t>
        </is>
      </c>
      <c r="C8510" t="inlineStr">
        <is>
          <t>Föryngringsavverkning</t>
        </is>
      </c>
      <c r="D8510" s="1" t="n">
        <v>45225</v>
      </c>
      <c r="E8510" s="1" t="n">
        <v>46326</v>
      </c>
      <c r="F8510" t="inlineStr">
        <is>
          <t>GÄVLEBORGS LÄN</t>
        </is>
      </c>
      <c r="G8510" t="inlineStr">
        <is>
          <t>LJUSDAL</t>
        </is>
      </c>
      <c r="I8510" t="n">
        <v>3.1</v>
      </c>
      <c r="J8510" t="n">
        <v>0</v>
      </c>
      <c r="K8510" t="n">
        <v>0</v>
      </c>
      <c r="L8510" t="n">
        <v>0</v>
      </c>
      <c r="M8510" t="n">
        <v>0</v>
      </c>
      <c r="N8510" t="n">
        <v>0</v>
      </c>
      <c r="O8510" t="n">
        <v>0</v>
      </c>
      <c r="P8510" t="n">
        <v>0</v>
      </c>
      <c r="Q8510" t="n">
        <v>0</v>
      </c>
      <c r="R8510" t="n">
        <v>0</v>
      </c>
      <c r="S8510" t="n">
        <v>0</v>
      </c>
      <c r="T8510" t="n">
        <v>0</v>
      </c>
      <c r="U8510" t="n">
        <v>0</v>
      </c>
      <c r="V8510" s="2" t="inlineStr"/>
    </row>
    <row r="8511" ht="15" customHeight="1">
      <c r="A8511" t="inlineStr">
        <is>
          <t>A 10591-2022</t>
        </is>
      </c>
      <c r="B8511" t="inlineStr">
        <is>
          <t>avverkningsanmälan</t>
        </is>
      </c>
      <c r="C8511" t="inlineStr">
        <is>
          <t>Föryngringsavverkning</t>
        </is>
      </c>
      <c r="D8511" s="1" t="n">
        <v>44624</v>
      </c>
      <c r="E8511" s="1" t="n">
        <v>46326</v>
      </c>
      <c r="F8511" t="inlineStr">
        <is>
          <t>GÄVLEBORGS LÄN</t>
        </is>
      </c>
      <c r="G8511" t="inlineStr">
        <is>
          <t>LJUSDAL</t>
        </is>
      </c>
      <c r="I8511" t="n">
        <v>4</v>
      </c>
      <c r="J8511" t="n">
        <v>0</v>
      </c>
      <c r="K8511" t="n">
        <v>0</v>
      </c>
      <c r="L8511" t="n">
        <v>0</v>
      </c>
      <c r="M8511" t="n">
        <v>0</v>
      </c>
      <c r="N8511" t="n">
        <v>0</v>
      </c>
      <c r="O8511" t="n">
        <v>0</v>
      </c>
      <c r="P8511" t="n">
        <v>0</v>
      </c>
      <c r="Q8511" t="n">
        <v>0</v>
      </c>
      <c r="R8511" t="n">
        <v>0</v>
      </c>
      <c r="S8511" t="n">
        <v>0</v>
      </c>
      <c r="T8511" t="n">
        <v>0</v>
      </c>
      <c r="U8511" t="n">
        <v>0</v>
      </c>
      <c r="V8511" s="2" t="inlineStr"/>
    </row>
    <row r="8512" ht="15" customHeight="1">
      <c r="A8512" t="inlineStr">
        <is>
          <t>A 25704-2026</t>
        </is>
      </c>
      <c r="B8512" t="inlineStr">
        <is>
          <t>avverkningsanmälan</t>
        </is>
      </c>
      <c r="C8512" t="inlineStr">
        <is>
          <t>Föryngringsavverkning</t>
        </is>
      </c>
      <c r="D8512" s="1" t="n">
        <v>46178</v>
      </c>
      <c r="E8512" s="1" t="n">
        <v>46326</v>
      </c>
      <c r="F8512" t="inlineStr">
        <is>
          <t>GÄVLEBORGS LÄN</t>
        </is>
      </c>
      <c r="G8512" t="inlineStr">
        <is>
          <t>NORDANSTIG</t>
        </is>
      </c>
      <c r="H8512" t="inlineStr">
        <is>
          <t>Holmen skog AB</t>
        </is>
      </c>
      <c r="I8512" t="n">
        <v>5.1</v>
      </c>
      <c r="J8512" t="n">
        <v>0</v>
      </c>
      <c r="K8512" t="n">
        <v>0</v>
      </c>
      <c r="L8512" t="n">
        <v>0</v>
      </c>
      <c r="M8512" t="n">
        <v>0</v>
      </c>
      <c r="N8512" t="n">
        <v>0</v>
      </c>
      <c r="O8512" t="n">
        <v>0</v>
      </c>
      <c r="P8512" t="n">
        <v>0</v>
      </c>
      <c r="Q8512" t="n">
        <v>0</v>
      </c>
      <c r="R8512" t="n">
        <v>0</v>
      </c>
      <c r="S8512" t="n">
        <v>0</v>
      </c>
      <c r="T8512" t="n">
        <v>0</v>
      </c>
      <c r="U8512" t="n">
        <v>0</v>
      </c>
      <c r="V8512" s="2" t="inlineStr"/>
    </row>
    <row r="8513" ht="15" customHeight="1">
      <c r="A8513" t="inlineStr">
        <is>
          <t>A 2724-2025</t>
        </is>
      </c>
      <c r="B8513" t="inlineStr">
        <is>
          <t>avverkningsanmälan</t>
        </is>
      </c>
      <c r="C8513" t="inlineStr">
        <is>
          <t>Föryngringsavverkning</t>
        </is>
      </c>
      <c r="D8513" s="1" t="n">
        <v>45677</v>
      </c>
      <c r="E8513" s="1" t="n">
        <v>46326</v>
      </c>
      <c r="F8513" t="inlineStr">
        <is>
          <t>GÄVLEBORGS LÄN</t>
        </is>
      </c>
      <c r="G8513" t="inlineStr">
        <is>
          <t>SÖDERHAMN</t>
        </is>
      </c>
      <c r="I8513" t="n">
        <v>6.6</v>
      </c>
      <c r="J8513" t="n">
        <v>0</v>
      </c>
      <c r="K8513" t="n">
        <v>0</v>
      </c>
      <c r="L8513" t="n">
        <v>0</v>
      </c>
      <c r="M8513" t="n">
        <v>0</v>
      </c>
      <c r="N8513" t="n">
        <v>0</v>
      </c>
      <c r="O8513" t="n">
        <v>0</v>
      </c>
      <c r="P8513" t="n">
        <v>0</v>
      </c>
      <c r="Q8513" t="n">
        <v>0</v>
      </c>
      <c r="R8513" t="n">
        <v>0</v>
      </c>
      <c r="S8513" t="n">
        <v>0</v>
      </c>
      <c r="T8513" t="n">
        <v>0</v>
      </c>
      <c r="U8513" t="n">
        <v>0</v>
      </c>
      <c r="V8513" s="2" t="inlineStr"/>
    </row>
    <row r="8514" ht="15" customHeight="1">
      <c r="A8514" t="inlineStr">
        <is>
          <t>A 25497-2026</t>
        </is>
      </c>
      <c r="B8514" t="inlineStr">
        <is>
          <t>avverkningsanmälan</t>
        </is>
      </c>
      <c r="C8514" t="inlineStr">
        <is>
          <t>Föryngringsavverkning</t>
        </is>
      </c>
      <c r="D8514" s="1" t="n">
        <v>46177</v>
      </c>
      <c r="E8514" s="1" t="n">
        <v>46326</v>
      </c>
      <c r="F8514" t="inlineStr">
        <is>
          <t>GÄVLEBORGS LÄN</t>
        </is>
      </c>
      <c r="G8514" t="inlineStr">
        <is>
          <t>BOLLNÄS</t>
        </is>
      </c>
      <c r="I8514" t="n">
        <v>6.5</v>
      </c>
      <c r="J8514" t="n">
        <v>0</v>
      </c>
      <c r="K8514" t="n">
        <v>0</v>
      </c>
      <c r="L8514" t="n">
        <v>0</v>
      </c>
      <c r="M8514" t="n">
        <v>0</v>
      </c>
      <c r="N8514" t="n">
        <v>0</v>
      </c>
      <c r="O8514" t="n">
        <v>0</v>
      </c>
      <c r="P8514" t="n">
        <v>0</v>
      </c>
      <c r="Q8514" t="n">
        <v>0</v>
      </c>
      <c r="R8514" t="n">
        <v>0</v>
      </c>
      <c r="S8514" t="n">
        <v>0</v>
      </c>
      <c r="T8514" t="n">
        <v>0</v>
      </c>
      <c r="U8514" t="n">
        <v>0</v>
      </c>
      <c r="V8514" s="2" t="inlineStr"/>
    </row>
    <row r="8515" ht="15" customHeight="1">
      <c r="A8515" t="inlineStr">
        <is>
          <t>A 25525-2026</t>
        </is>
      </c>
      <c r="B8515" t="inlineStr">
        <is>
          <t>avverkningsanmälan</t>
        </is>
      </c>
      <c r="C8515" t="inlineStr">
        <is>
          <t>Föryngringsavverkning</t>
        </is>
      </c>
      <c r="D8515" s="1" t="n">
        <v>46177</v>
      </c>
      <c r="E8515" s="1" t="n">
        <v>46326</v>
      </c>
      <c r="F8515" t="inlineStr">
        <is>
          <t>GÄVLEBORGS LÄN</t>
        </is>
      </c>
      <c r="G8515" t="inlineStr">
        <is>
          <t>OCKELBO</t>
        </is>
      </c>
      <c r="H8515" t="inlineStr">
        <is>
          <t>Bergvik skog väst AB</t>
        </is>
      </c>
      <c r="I8515" t="n">
        <v>9.4</v>
      </c>
      <c r="J8515" t="n">
        <v>0</v>
      </c>
      <c r="K8515" t="n">
        <v>0</v>
      </c>
      <c r="L8515" t="n">
        <v>0</v>
      </c>
      <c r="M8515" t="n">
        <v>0</v>
      </c>
      <c r="N8515" t="n">
        <v>0</v>
      </c>
      <c r="O8515" t="n">
        <v>0</v>
      </c>
      <c r="P8515" t="n">
        <v>0</v>
      </c>
      <c r="Q8515" t="n">
        <v>0</v>
      </c>
      <c r="R8515" t="n">
        <v>0</v>
      </c>
      <c r="S8515" t="n">
        <v>0</v>
      </c>
      <c r="T8515" t="n">
        <v>0</v>
      </c>
      <c r="U8515" t="n">
        <v>0</v>
      </c>
      <c r="V8515" s="2" t="inlineStr"/>
    </row>
    <row r="8516" ht="15" customHeight="1">
      <c r="A8516" t="inlineStr">
        <is>
          <t>A 56487-2023</t>
        </is>
      </c>
      <c r="B8516" t="inlineStr">
        <is>
          <t>avverkningsanmälan</t>
        </is>
      </c>
      <c r="C8516" t="inlineStr">
        <is>
          <t>Föryngringsavverkning</t>
        </is>
      </c>
      <c r="D8516" s="1" t="n">
        <v>45243</v>
      </c>
      <c r="E8516" s="1" t="n">
        <v>46326</v>
      </c>
      <c r="F8516" t="inlineStr">
        <is>
          <t>GÄVLEBORGS LÄN</t>
        </is>
      </c>
      <c r="G8516" t="inlineStr">
        <is>
          <t>GÄVLE</t>
        </is>
      </c>
      <c r="I8516" t="n">
        <v>8.699999999999999</v>
      </c>
      <c r="J8516" t="n">
        <v>0</v>
      </c>
      <c r="K8516" t="n">
        <v>0</v>
      </c>
      <c r="L8516" t="n">
        <v>0</v>
      </c>
      <c r="M8516" t="n">
        <v>0</v>
      </c>
      <c r="N8516" t="n">
        <v>0</v>
      </c>
      <c r="O8516" t="n">
        <v>0</v>
      </c>
      <c r="P8516" t="n">
        <v>0</v>
      </c>
      <c r="Q8516" t="n">
        <v>0</v>
      </c>
      <c r="R8516" t="n">
        <v>0</v>
      </c>
      <c r="S8516" t="n">
        <v>0</v>
      </c>
      <c r="T8516" t="n">
        <v>0</v>
      </c>
      <c r="U8516" t="n">
        <v>0</v>
      </c>
      <c r="V8516" s="2" t="inlineStr"/>
    </row>
    <row r="8517" ht="15" customHeight="1">
      <c r="A8517" t="inlineStr">
        <is>
          <t>A 56500-2023</t>
        </is>
      </c>
      <c r="B8517" t="inlineStr">
        <is>
          <t>avverkningsanmälan</t>
        </is>
      </c>
      <c r="C8517" t="inlineStr">
        <is>
          <t>Föryngringsavverkning</t>
        </is>
      </c>
      <c r="D8517" s="1" t="n">
        <v>45243</v>
      </c>
      <c r="E8517" s="1" t="n">
        <v>46326</v>
      </c>
      <c r="F8517" t="inlineStr">
        <is>
          <t>GÄVLEBORGS LÄN</t>
        </is>
      </c>
      <c r="G8517" t="inlineStr">
        <is>
          <t>SÖDERHAMN</t>
        </is>
      </c>
      <c r="I8517" t="n">
        <v>0.5</v>
      </c>
      <c r="J8517" t="n">
        <v>0</v>
      </c>
      <c r="K8517" t="n">
        <v>0</v>
      </c>
      <c r="L8517" t="n">
        <v>0</v>
      </c>
      <c r="M8517" t="n">
        <v>0</v>
      </c>
      <c r="N8517" t="n">
        <v>0</v>
      </c>
      <c r="O8517" t="n">
        <v>0</v>
      </c>
      <c r="P8517" t="n">
        <v>0</v>
      </c>
      <c r="Q8517" t="n">
        <v>0</v>
      </c>
      <c r="R8517" t="n">
        <v>0</v>
      </c>
      <c r="S8517" t="n">
        <v>0</v>
      </c>
      <c r="T8517" t="n">
        <v>0</v>
      </c>
      <c r="U8517" t="n">
        <v>0</v>
      </c>
      <c r="V8517" s="2" t="inlineStr"/>
    </row>
    <row r="8518" ht="15" customHeight="1">
      <c r="A8518" t="inlineStr">
        <is>
          <t>A 44500-2024</t>
        </is>
      </c>
      <c r="B8518" t="inlineStr">
        <is>
          <t>avverkningsanmälan</t>
        </is>
      </c>
      <c r="C8518" t="inlineStr">
        <is>
          <t>Föryngringsavverkning</t>
        </is>
      </c>
      <c r="D8518" s="1" t="n">
        <v>45574</v>
      </c>
      <c r="E8518" s="1" t="n">
        <v>46326</v>
      </c>
      <c r="F8518" t="inlineStr">
        <is>
          <t>GÄVLEBORGS LÄN</t>
        </is>
      </c>
      <c r="G8518" t="inlineStr">
        <is>
          <t>NORDANSTIG</t>
        </is>
      </c>
      <c r="I8518" t="n">
        <v>2.2</v>
      </c>
      <c r="J8518" t="n">
        <v>0</v>
      </c>
      <c r="K8518" t="n">
        <v>0</v>
      </c>
      <c r="L8518" t="n">
        <v>0</v>
      </c>
      <c r="M8518" t="n">
        <v>0</v>
      </c>
      <c r="N8518" t="n">
        <v>0</v>
      </c>
      <c r="O8518" t="n">
        <v>0</v>
      </c>
      <c r="P8518" t="n">
        <v>0</v>
      </c>
      <c r="Q8518" t="n">
        <v>0</v>
      </c>
      <c r="R8518" t="n">
        <v>0</v>
      </c>
      <c r="S8518" t="n">
        <v>0</v>
      </c>
      <c r="T8518" t="n">
        <v>0</v>
      </c>
      <c r="U8518" t="n">
        <v>0</v>
      </c>
      <c r="V8518" s="2" t="inlineStr"/>
    </row>
    <row r="8519" ht="15" customHeight="1">
      <c r="A8519" t="inlineStr">
        <is>
          <t>A 9307-2022</t>
        </is>
      </c>
      <c r="B8519" t="inlineStr">
        <is>
          <t>avverkningsanmälan</t>
        </is>
      </c>
      <c r="C8519" t="inlineStr">
        <is>
          <t>Föryngringsavverkning</t>
        </is>
      </c>
      <c r="D8519" s="1" t="n">
        <v>44616</v>
      </c>
      <c r="E8519" s="1" t="n">
        <v>46326</v>
      </c>
      <c r="F8519" t="inlineStr">
        <is>
          <t>GÄVLEBORGS LÄN</t>
        </is>
      </c>
      <c r="G8519" t="inlineStr">
        <is>
          <t>GÄVLE</t>
        </is>
      </c>
      <c r="I8519" t="n">
        <v>4.8</v>
      </c>
      <c r="J8519" t="n">
        <v>0</v>
      </c>
      <c r="K8519" t="n">
        <v>0</v>
      </c>
      <c r="L8519" t="n">
        <v>0</v>
      </c>
      <c r="M8519" t="n">
        <v>0</v>
      </c>
      <c r="N8519" t="n">
        <v>0</v>
      </c>
      <c r="O8519" t="n">
        <v>0</v>
      </c>
      <c r="P8519" t="n">
        <v>0</v>
      </c>
      <c r="Q8519" t="n">
        <v>0</v>
      </c>
      <c r="R8519" t="n">
        <v>0</v>
      </c>
      <c r="S8519" t="n">
        <v>0</v>
      </c>
      <c r="T8519" t="n">
        <v>0</v>
      </c>
      <c r="U8519" t="n">
        <v>0</v>
      </c>
      <c r="V8519" s="2" t="inlineStr"/>
    </row>
    <row r="8520" ht="15" customHeight="1">
      <c r="A8520" t="inlineStr">
        <is>
          <t>A 25790-2026</t>
        </is>
      </c>
      <c r="B8520" t="inlineStr">
        <is>
          <t>avverkningsanmälan</t>
        </is>
      </c>
      <c r="C8520" t="inlineStr">
        <is>
          <t>Föryngringsavverkning</t>
        </is>
      </c>
      <c r="D8520" s="1" t="n">
        <v>46178</v>
      </c>
      <c r="E8520" s="1" t="n">
        <v>46326</v>
      </c>
      <c r="F8520" t="inlineStr">
        <is>
          <t>GÄVLEBORGS LÄN</t>
        </is>
      </c>
      <c r="G8520" t="inlineStr">
        <is>
          <t>OVANÅKER</t>
        </is>
      </c>
      <c r="I8520" t="n">
        <v>0.7</v>
      </c>
      <c r="J8520" t="n">
        <v>0</v>
      </c>
      <c r="K8520" t="n">
        <v>0</v>
      </c>
      <c r="L8520" t="n">
        <v>0</v>
      </c>
      <c r="M8520" t="n">
        <v>0</v>
      </c>
      <c r="N8520" t="n">
        <v>0</v>
      </c>
      <c r="O8520" t="n">
        <v>0</v>
      </c>
      <c r="P8520" t="n">
        <v>0</v>
      </c>
      <c r="Q8520" t="n">
        <v>0</v>
      </c>
      <c r="R8520" t="n">
        <v>0</v>
      </c>
      <c r="S8520" t="n">
        <v>0</v>
      </c>
      <c r="T8520" t="n">
        <v>0</v>
      </c>
      <c r="U8520" t="n">
        <v>0</v>
      </c>
      <c r="V8520" s="2" t="inlineStr"/>
    </row>
    <row r="8521" ht="15" customHeight="1">
      <c r="A8521" t="inlineStr">
        <is>
          <t>A 41074-2023</t>
        </is>
      </c>
      <c r="B8521" t="inlineStr">
        <is>
          <t>avverkningsanmälan</t>
        </is>
      </c>
      <c r="C8521" t="inlineStr">
        <is>
          <t>Föryngringsavverkning</t>
        </is>
      </c>
      <c r="D8521" s="1" t="n">
        <v>45173</v>
      </c>
      <c r="E8521" s="1" t="n">
        <v>46326</v>
      </c>
      <c r="F8521" t="inlineStr">
        <is>
          <t>GÄVLEBORGS LÄN</t>
        </is>
      </c>
      <c r="G8521" t="inlineStr">
        <is>
          <t>NORDANSTIG</t>
        </is>
      </c>
      <c r="I8521" t="n">
        <v>1.3</v>
      </c>
      <c r="J8521" t="n">
        <v>0</v>
      </c>
      <c r="K8521" t="n">
        <v>0</v>
      </c>
      <c r="L8521" t="n">
        <v>0</v>
      </c>
      <c r="M8521" t="n">
        <v>0</v>
      </c>
      <c r="N8521" t="n">
        <v>0</v>
      </c>
      <c r="O8521" t="n">
        <v>0</v>
      </c>
      <c r="P8521" t="n">
        <v>0</v>
      </c>
      <c r="Q8521" t="n">
        <v>0</v>
      </c>
      <c r="R8521" t="n">
        <v>0</v>
      </c>
      <c r="S8521" t="n">
        <v>0</v>
      </c>
      <c r="T8521" t="n">
        <v>0</v>
      </c>
      <c r="U8521" t="n">
        <v>0</v>
      </c>
      <c r="V8521" s="2" t="inlineStr"/>
    </row>
    <row r="8522" ht="15" customHeight="1">
      <c r="A8522" t="inlineStr">
        <is>
          <t>A 63862-2023</t>
        </is>
      </c>
      <c r="B8522" t="inlineStr">
        <is>
          <t>avverkningsanmälan</t>
        </is>
      </c>
      <c r="C8522" t="inlineStr">
        <is>
          <t>Föryngringsavverkning</t>
        </is>
      </c>
      <c r="D8522" s="1" t="n">
        <v>45278</v>
      </c>
      <c r="E8522" s="1" t="n">
        <v>46326</v>
      </c>
      <c r="F8522" t="inlineStr">
        <is>
          <t>GÄVLEBORGS LÄN</t>
        </is>
      </c>
      <c r="G8522" t="inlineStr">
        <is>
          <t>BOLLNÄS</t>
        </is>
      </c>
      <c r="I8522" t="n">
        <v>2.7</v>
      </c>
      <c r="J8522" t="n">
        <v>0</v>
      </c>
      <c r="K8522" t="n">
        <v>0</v>
      </c>
      <c r="L8522" t="n">
        <v>0</v>
      </c>
      <c r="M8522" t="n">
        <v>0</v>
      </c>
      <c r="N8522" t="n">
        <v>0</v>
      </c>
      <c r="O8522" t="n">
        <v>0</v>
      </c>
      <c r="P8522" t="n">
        <v>0</v>
      </c>
      <c r="Q8522" t="n">
        <v>0</v>
      </c>
      <c r="R8522" t="n">
        <v>0</v>
      </c>
      <c r="S8522" t="n">
        <v>0</v>
      </c>
      <c r="T8522" t="n">
        <v>0</v>
      </c>
      <c r="U8522" t="n">
        <v>0</v>
      </c>
      <c r="V8522" s="2" t="inlineStr"/>
    </row>
    <row r="8523" ht="15" customHeight="1">
      <c r="A8523" t="inlineStr">
        <is>
          <t>A 25599-2026</t>
        </is>
      </c>
      <c r="B8523" t="inlineStr">
        <is>
          <t>avverkningsanmälan</t>
        </is>
      </c>
      <c r="C8523" t="inlineStr">
        <is>
          <t>Föryngringsavverkning</t>
        </is>
      </c>
      <c r="D8523" s="1" t="n">
        <v>46177</v>
      </c>
      <c r="E8523" s="1" t="n">
        <v>46326</v>
      </c>
      <c r="F8523" t="inlineStr">
        <is>
          <t>GÄVLEBORGS LÄN</t>
        </is>
      </c>
      <c r="G8523" t="inlineStr">
        <is>
          <t>OCKELBO</t>
        </is>
      </c>
      <c r="H8523" t="inlineStr">
        <is>
          <t>Bergvik skog väst AB</t>
        </is>
      </c>
      <c r="I8523" t="n">
        <v>0.4</v>
      </c>
      <c r="J8523" t="n">
        <v>0</v>
      </c>
      <c r="K8523" t="n">
        <v>0</v>
      </c>
      <c r="L8523" t="n">
        <v>0</v>
      </c>
      <c r="M8523" t="n">
        <v>0</v>
      </c>
      <c r="N8523" t="n">
        <v>0</v>
      </c>
      <c r="O8523" t="n">
        <v>0</v>
      </c>
      <c r="P8523" t="n">
        <v>0</v>
      </c>
      <c r="Q8523" t="n">
        <v>0</v>
      </c>
      <c r="R8523" t="n">
        <v>0</v>
      </c>
      <c r="S8523" t="n">
        <v>0</v>
      </c>
      <c r="T8523" t="n">
        <v>0</v>
      </c>
      <c r="U8523" t="n">
        <v>0</v>
      </c>
      <c r="V8523" s="2" t="inlineStr"/>
    </row>
    <row r="8524" ht="15" customHeight="1">
      <c r="A8524" t="inlineStr">
        <is>
          <t>A 25764-2026</t>
        </is>
      </c>
      <c r="B8524" t="inlineStr">
        <is>
          <t>avverkningsanmälan</t>
        </is>
      </c>
      <c r="C8524" t="inlineStr">
        <is>
          <t>Föryngringsavverkning</t>
        </is>
      </c>
      <c r="D8524" s="1" t="n">
        <v>46178</v>
      </c>
      <c r="E8524" s="1" t="n">
        <v>46326</v>
      </c>
      <c r="F8524" t="inlineStr">
        <is>
          <t>GÄVLEBORGS LÄN</t>
        </is>
      </c>
      <c r="G8524" t="inlineStr">
        <is>
          <t>LJUSDAL</t>
        </is>
      </c>
      <c r="H8524" t="inlineStr">
        <is>
          <t>Holmen skog AB</t>
        </is>
      </c>
      <c r="I8524" t="n">
        <v>1.1</v>
      </c>
      <c r="J8524" t="n">
        <v>0</v>
      </c>
      <c r="K8524" t="n">
        <v>0</v>
      </c>
      <c r="L8524" t="n">
        <v>0</v>
      </c>
      <c r="M8524" t="n">
        <v>0</v>
      </c>
      <c r="N8524" t="n">
        <v>0</v>
      </c>
      <c r="O8524" t="n">
        <v>0</v>
      </c>
      <c r="P8524" t="n">
        <v>0</v>
      </c>
      <c r="Q8524" t="n">
        <v>0</v>
      </c>
      <c r="R8524" t="n">
        <v>0</v>
      </c>
      <c r="S8524" t="n">
        <v>0</v>
      </c>
      <c r="T8524" t="n">
        <v>0</v>
      </c>
      <c r="U8524" t="n">
        <v>0</v>
      </c>
      <c r="V8524" s="2" t="inlineStr"/>
    </row>
    <row r="8525" ht="15" customHeight="1">
      <c r="A8525" t="inlineStr">
        <is>
          <t>A 15966-2023</t>
        </is>
      </c>
      <c r="B8525" t="inlineStr">
        <is>
          <t>avverkningsanmälan</t>
        </is>
      </c>
      <c r="C8525" t="inlineStr">
        <is>
          <t>Föryngringsavverkning</t>
        </is>
      </c>
      <c r="D8525" s="1" t="n">
        <v>45022</v>
      </c>
      <c r="E8525" s="1" t="n">
        <v>46326</v>
      </c>
      <c r="F8525" t="inlineStr">
        <is>
          <t>GÄVLEBORGS LÄN</t>
        </is>
      </c>
      <c r="G8525" t="inlineStr">
        <is>
          <t>OCKELBO</t>
        </is>
      </c>
      <c r="I8525" t="n">
        <v>2.7</v>
      </c>
      <c r="J8525" t="n">
        <v>0</v>
      </c>
      <c r="K8525" t="n">
        <v>0</v>
      </c>
      <c r="L8525" t="n">
        <v>0</v>
      </c>
      <c r="M8525" t="n">
        <v>0</v>
      </c>
      <c r="N8525" t="n">
        <v>0</v>
      </c>
      <c r="O8525" t="n">
        <v>0</v>
      </c>
      <c r="P8525" t="n">
        <v>0</v>
      </c>
      <c r="Q8525" t="n">
        <v>0</v>
      </c>
      <c r="R8525" t="n">
        <v>0</v>
      </c>
      <c r="S8525" t="n">
        <v>0</v>
      </c>
      <c r="T8525" t="n">
        <v>0</v>
      </c>
      <c r="U8525" t="n">
        <v>0</v>
      </c>
      <c r="V8525" s="2" t="inlineStr"/>
    </row>
    <row r="8526" ht="15" customHeight="1">
      <c r="A8526" t="inlineStr">
        <is>
          <t>A 36079-2025</t>
        </is>
      </c>
      <c r="B8526" t="inlineStr">
        <is>
          <t>avverkningsanmälan</t>
        </is>
      </c>
      <c r="C8526" t="inlineStr">
        <is>
          <t>Föryngringsavverkning</t>
        </is>
      </c>
      <c r="D8526" s="1" t="n">
        <v>45866</v>
      </c>
      <c r="E8526" s="1" t="n">
        <v>46326</v>
      </c>
      <c r="F8526" t="inlineStr">
        <is>
          <t>GÄVLEBORGS LÄN</t>
        </is>
      </c>
      <c r="G8526" t="inlineStr">
        <is>
          <t>LJUSDAL</t>
        </is>
      </c>
      <c r="I8526" t="n">
        <v>4.3</v>
      </c>
      <c r="J8526" t="n">
        <v>0</v>
      </c>
      <c r="K8526" t="n">
        <v>0</v>
      </c>
      <c r="L8526" t="n">
        <v>0</v>
      </c>
      <c r="M8526" t="n">
        <v>0</v>
      </c>
      <c r="N8526" t="n">
        <v>0</v>
      </c>
      <c r="O8526" t="n">
        <v>0</v>
      </c>
      <c r="P8526" t="n">
        <v>0</v>
      </c>
      <c r="Q8526" t="n">
        <v>0</v>
      </c>
      <c r="R8526" t="n">
        <v>0</v>
      </c>
      <c r="S8526" t="n">
        <v>0</v>
      </c>
      <c r="T8526" t="n">
        <v>0</v>
      </c>
      <c r="U8526" t="n">
        <v>0</v>
      </c>
      <c r="V8526" s="2" t="inlineStr"/>
    </row>
    <row r="8527" ht="15" customHeight="1">
      <c r="A8527" t="inlineStr">
        <is>
          <t>A 34444-2023</t>
        </is>
      </c>
      <c r="B8527" t="inlineStr">
        <is>
          <t>avverkningsanmälan</t>
        </is>
      </c>
      <c r="C8527" t="inlineStr">
        <is>
          <t>Föryngringsavverkning</t>
        </is>
      </c>
      <c r="D8527" s="1" t="n">
        <v>45139</v>
      </c>
      <c r="E8527" s="1" t="n">
        <v>46326</v>
      </c>
      <c r="F8527" t="inlineStr">
        <is>
          <t>GÄVLEBORGS LÄN</t>
        </is>
      </c>
      <c r="G8527" t="inlineStr">
        <is>
          <t>OCKELBO</t>
        </is>
      </c>
      <c r="I8527" t="n">
        <v>1.9</v>
      </c>
      <c r="J8527" t="n">
        <v>0</v>
      </c>
      <c r="K8527" t="n">
        <v>0</v>
      </c>
      <c r="L8527" t="n">
        <v>0</v>
      </c>
      <c r="M8527" t="n">
        <v>0</v>
      </c>
      <c r="N8527" t="n">
        <v>0</v>
      </c>
      <c r="O8527" t="n">
        <v>0</v>
      </c>
      <c r="P8527" t="n">
        <v>0</v>
      </c>
      <c r="Q8527" t="n">
        <v>0</v>
      </c>
      <c r="R8527" t="n">
        <v>0</v>
      </c>
      <c r="S8527" t="n">
        <v>0</v>
      </c>
      <c r="T8527" t="n">
        <v>0</v>
      </c>
      <c r="U8527" t="n">
        <v>0</v>
      </c>
      <c r="V8527" s="2" t="inlineStr"/>
    </row>
    <row r="8528" ht="15" customHeight="1">
      <c r="A8528" t="inlineStr">
        <is>
          <t>A 25582-2026</t>
        </is>
      </c>
      <c r="B8528" t="inlineStr">
        <is>
          <t>avverkningsanmälan</t>
        </is>
      </c>
      <c r="C8528" t="inlineStr">
        <is>
          <t>Föryngringsavverkning</t>
        </is>
      </c>
      <c r="D8528" s="1" t="n">
        <v>46177</v>
      </c>
      <c r="E8528" s="1" t="n">
        <v>46326</v>
      </c>
      <c r="F8528" t="inlineStr">
        <is>
          <t>GÄVLEBORGS LÄN</t>
        </is>
      </c>
      <c r="G8528" t="inlineStr">
        <is>
          <t>GÄVLE</t>
        </is>
      </c>
      <c r="I8528" t="n">
        <v>1.1</v>
      </c>
      <c r="J8528" t="n">
        <v>0</v>
      </c>
      <c r="K8528" t="n">
        <v>0</v>
      </c>
      <c r="L8528" t="n">
        <v>0</v>
      </c>
      <c r="M8528" t="n">
        <v>0</v>
      </c>
      <c r="N8528" t="n">
        <v>0</v>
      </c>
      <c r="O8528" t="n">
        <v>0</v>
      </c>
      <c r="P8528" t="n">
        <v>0</v>
      </c>
      <c r="Q8528" t="n">
        <v>0</v>
      </c>
      <c r="R8528" t="n">
        <v>0</v>
      </c>
      <c r="S8528" t="n">
        <v>0</v>
      </c>
      <c r="T8528" t="n">
        <v>0</v>
      </c>
      <c r="U8528" t="n">
        <v>0</v>
      </c>
      <c r="V8528" s="2" t="inlineStr"/>
    </row>
    <row r="8529" ht="15" customHeight="1">
      <c r="A8529" t="inlineStr">
        <is>
          <t>A 25590-2026</t>
        </is>
      </c>
      <c r="B8529" t="inlineStr">
        <is>
          <t>avverkningsanmälan</t>
        </is>
      </c>
      <c r="C8529" t="inlineStr">
        <is>
          <t>Föryngringsavverkning</t>
        </is>
      </c>
      <c r="D8529" s="1" t="n">
        <v>46177</v>
      </c>
      <c r="E8529" s="1" t="n">
        <v>46326</v>
      </c>
      <c r="F8529" t="inlineStr">
        <is>
          <t>GÄVLEBORGS LÄN</t>
        </is>
      </c>
      <c r="G8529" t="inlineStr">
        <is>
          <t>HUDIKSVALL</t>
        </is>
      </c>
      <c r="H8529" t="inlineStr">
        <is>
          <t>Holmen skog AB</t>
        </is>
      </c>
      <c r="I8529" t="n">
        <v>1.2</v>
      </c>
      <c r="J8529" t="n">
        <v>0</v>
      </c>
      <c r="K8529" t="n">
        <v>0</v>
      </c>
      <c r="L8529" t="n">
        <v>0</v>
      </c>
      <c r="M8529" t="n">
        <v>0</v>
      </c>
      <c r="N8529" t="n">
        <v>0</v>
      </c>
      <c r="O8529" t="n">
        <v>0</v>
      </c>
      <c r="P8529" t="n">
        <v>0</v>
      </c>
      <c r="Q8529" t="n">
        <v>0</v>
      </c>
      <c r="R8529" t="n">
        <v>0</v>
      </c>
      <c r="S8529" t="n">
        <v>0</v>
      </c>
      <c r="T8529" t="n">
        <v>0</v>
      </c>
      <c r="U8529" t="n">
        <v>0</v>
      </c>
      <c r="V8529" s="2" t="inlineStr"/>
    </row>
    <row r="8530" ht="15" customHeight="1">
      <c r="A8530" t="inlineStr">
        <is>
          <t>A 25593-2026</t>
        </is>
      </c>
      <c r="B8530" t="inlineStr">
        <is>
          <t>avverkningsanmälan</t>
        </is>
      </c>
      <c r="C8530" t="inlineStr">
        <is>
          <t>Föryngringsavverkning</t>
        </is>
      </c>
      <c r="D8530" s="1" t="n">
        <v>46177</v>
      </c>
      <c r="E8530" s="1" t="n">
        <v>46326</v>
      </c>
      <c r="F8530" t="inlineStr">
        <is>
          <t>GÄVLEBORGS LÄN</t>
        </is>
      </c>
      <c r="G8530" t="inlineStr">
        <is>
          <t>OVANÅKER</t>
        </is>
      </c>
      <c r="I8530" t="n">
        <v>1.1</v>
      </c>
      <c r="J8530" t="n">
        <v>0</v>
      </c>
      <c r="K8530" t="n">
        <v>0</v>
      </c>
      <c r="L8530" t="n">
        <v>0</v>
      </c>
      <c r="M8530" t="n">
        <v>0</v>
      </c>
      <c r="N8530" t="n">
        <v>0</v>
      </c>
      <c r="O8530" t="n">
        <v>0</v>
      </c>
      <c r="P8530" t="n">
        <v>0</v>
      </c>
      <c r="Q8530" t="n">
        <v>0</v>
      </c>
      <c r="R8530" t="n">
        <v>0</v>
      </c>
      <c r="S8530" t="n">
        <v>0</v>
      </c>
      <c r="T8530" t="n">
        <v>0</v>
      </c>
      <c r="U8530" t="n">
        <v>0</v>
      </c>
      <c r="V8530" s="2" t="inlineStr"/>
    </row>
    <row r="8531" ht="15" customHeight="1">
      <c r="A8531" t="inlineStr">
        <is>
          <t>A 22976-2024</t>
        </is>
      </c>
      <c r="B8531" t="inlineStr">
        <is>
          <t>avverkningsanmälan</t>
        </is>
      </c>
      <c r="C8531" t="inlineStr">
        <is>
          <t>Föryngringsavverkning</t>
        </is>
      </c>
      <c r="D8531" s="1" t="n">
        <v>45449</v>
      </c>
      <c r="E8531" s="1" t="n">
        <v>46326</v>
      </c>
      <c r="F8531" t="inlineStr">
        <is>
          <t>GÄVLEBORGS LÄN</t>
        </is>
      </c>
      <c r="G8531" t="inlineStr">
        <is>
          <t>HUDIKSVALL</t>
        </is>
      </c>
      <c r="H8531" t="inlineStr">
        <is>
          <t>Holmen skog AB</t>
        </is>
      </c>
      <c r="I8531" t="n">
        <v>5.9</v>
      </c>
      <c r="J8531" t="n">
        <v>0</v>
      </c>
      <c r="K8531" t="n">
        <v>0</v>
      </c>
      <c r="L8531" t="n">
        <v>0</v>
      </c>
      <c r="M8531" t="n">
        <v>0</v>
      </c>
      <c r="N8531" t="n">
        <v>0</v>
      </c>
      <c r="O8531" t="n">
        <v>0</v>
      </c>
      <c r="P8531" t="n">
        <v>0</v>
      </c>
      <c r="Q8531" t="n">
        <v>0</v>
      </c>
      <c r="R8531" t="n">
        <v>0</v>
      </c>
      <c r="S8531" t="n">
        <v>0</v>
      </c>
      <c r="T8531" t="n">
        <v>0</v>
      </c>
      <c r="U8531" t="n">
        <v>0</v>
      </c>
      <c r="V8531" s="2" t="inlineStr"/>
    </row>
    <row r="8532" ht="15" customHeight="1">
      <c r="A8532" t="inlineStr">
        <is>
          <t>A 25931-2026</t>
        </is>
      </c>
      <c r="B8532" t="inlineStr">
        <is>
          <t>avverkningsanmälan</t>
        </is>
      </c>
      <c r="C8532" t="inlineStr">
        <is>
          <t>Föryngringsavverkning</t>
        </is>
      </c>
      <c r="D8532" s="1" t="n">
        <v>46179</v>
      </c>
      <c r="E8532" s="1" t="n">
        <v>46326</v>
      </c>
      <c r="F8532" t="inlineStr">
        <is>
          <t>GÄVLEBORGS LÄN</t>
        </is>
      </c>
      <c r="G8532" t="inlineStr">
        <is>
          <t>NORDANSTIG</t>
        </is>
      </c>
      <c r="I8532" t="n">
        <v>8.4</v>
      </c>
      <c r="J8532" t="n">
        <v>0</v>
      </c>
      <c r="K8532" t="n">
        <v>0</v>
      </c>
      <c r="L8532" t="n">
        <v>0</v>
      </c>
      <c r="M8532" t="n">
        <v>0</v>
      </c>
      <c r="N8532" t="n">
        <v>0</v>
      </c>
      <c r="O8532" t="n">
        <v>0</v>
      </c>
      <c r="P8532" t="n">
        <v>0</v>
      </c>
      <c r="Q8532" t="n">
        <v>0</v>
      </c>
      <c r="R8532" t="n">
        <v>0</v>
      </c>
      <c r="S8532" t="n">
        <v>0</v>
      </c>
      <c r="T8532" t="n">
        <v>0</v>
      </c>
      <c r="U8532" t="n">
        <v>0</v>
      </c>
      <c r="V8532" s="2" t="inlineStr"/>
    </row>
    <row r="8533" ht="15" customHeight="1">
      <c r="A8533" t="inlineStr">
        <is>
          <t>A 25633-2026</t>
        </is>
      </c>
      <c r="B8533" t="inlineStr">
        <is>
          <t>avverkningsanmälan</t>
        </is>
      </c>
      <c r="C8533" t="inlineStr">
        <is>
          <t>Föryngringsavverkning</t>
        </is>
      </c>
      <c r="D8533" s="1" t="n">
        <v>46177</v>
      </c>
      <c r="E8533" s="1" t="n">
        <v>46326</v>
      </c>
      <c r="F8533" t="inlineStr">
        <is>
          <t>GÄVLEBORGS LÄN</t>
        </is>
      </c>
      <c r="G8533" t="inlineStr">
        <is>
          <t>NORDANSTIG</t>
        </is>
      </c>
      <c r="I8533" t="n">
        <v>1.4</v>
      </c>
      <c r="J8533" t="n">
        <v>0</v>
      </c>
      <c r="K8533" t="n">
        <v>0</v>
      </c>
      <c r="L8533" t="n">
        <v>0</v>
      </c>
      <c r="M8533" t="n">
        <v>0</v>
      </c>
      <c r="N8533" t="n">
        <v>0</v>
      </c>
      <c r="O8533" t="n">
        <v>0</v>
      </c>
      <c r="P8533" t="n">
        <v>0</v>
      </c>
      <c r="Q8533" t="n">
        <v>0</v>
      </c>
      <c r="R8533" t="n">
        <v>0</v>
      </c>
      <c r="S8533" t="n">
        <v>0</v>
      </c>
      <c r="T8533" t="n">
        <v>0</v>
      </c>
      <c r="U8533" t="n">
        <v>0</v>
      </c>
      <c r="V8533" s="2" t="inlineStr"/>
    </row>
    <row r="8534" ht="15" customHeight="1">
      <c r="A8534" t="inlineStr">
        <is>
          <t>A 16391-2026</t>
        </is>
      </c>
      <c r="B8534" t="inlineStr">
        <is>
          <t>avverkningsanmälan</t>
        </is>
      </c>
      <c r="C8534" t="inlineStr">
        <is>
          <t>Föryngringsavverkning</t>
        </is>
      </c>
      <c r="D8534" s="1" t="n">
        <v>46111</v>
      </c>
      <c r="E8534" s="1" t="n">
        <v>46326</v>
      </c>
      <c r="F8534" t="inlineStr">
        <is>
          <t>GÄVLEBORGS LÄN</t>
        </is>
      </c>
      <c r="G8534" t="inlineStr">
        <is>
          <t>BOLLNÄS</t>
        </is>
      </c>
      <c r="H8534" t="inlineStr">
        <is>
          <t>Bergvik skog öst AB</t>
        </is>
      </c>
      <c r="I8534" t="n">
        <v>1.8</v>
      </c>
      <c r="J8534" t="n">
        <v>0</v>
      </c>
      <c r="K8534" t="n">
        <v>0</v>
      </c>
      <c r="L8534" t="n">
        <v>0</v>
      </c>
      <c r="M8534" t="n">
        <v>0</v>
      </c>
      <c r="N8534" t="n">
        <v>0</v>
      </c>
      <c r="O8534" t="n">
        <v>0</v>
      </c>
      <c r="P8534" t="n">
        <v>0</v>
      </c>
      <c r="Q8534" t="n">
        <v>0</v>
      </c>
      <c r="R8534" t="n">
        <v>0</v>
      </c>
      <c r="S8534" t="n">
        <v>0</v>
      </c>
      <c r="T8534" t="n">
        <v>0</v>
      </c>
      <c r="U8534" t="n">
        <v>0</v>
      </c>
      <c r="V8534" s="2" t="inlineStr"/>
    </row>
    <row r="8535" ht="15" customHeight="1">
      <c r="A8535" t="inlineStr">
        <is>
          <t>A 25573-2026</t>
        </is>
      </c>
      <c r="B8535" t="inlineStr">
        <is>
          <t>avverkningsanmälan</t>
        </is>
      </c>
      <c r="C8535" t="inlineStr">
        <is>
          <t>Föryngringsavverkning</t>
        </is>
      </c>
      <c r="D8535" s="1" t="n">
        <v>46177</v>
      </c>
      <c r="E8535" s="1" t="n">
        <v>46326</v>
      </c>
      <c r="F8535" t="inlineStr">
        <is>
          <t>GÄVLEBORGS LÄN</t>
        </is>
      </c>
      <c r="G8535" t="inlineStr">
        <is>
          <t>HUDIKSVALL</t>
        </is>
      </c>
      <c r="H8535" t="inlineStr">
        <is>
          <t>Holmen skog AB</t>
        </is>
      </c>
      <c r="I8535" t="n">
        <v>4.1</v>
      </c>
      <c r="J8535" t="n">
        <v>0</v>
      </c>
      <c r="K8535" t="n">
        <v>0</v>
      </c>
      <c r="L8535" t="n">
        <v>0</v>
      </c>
      <c r="M8535" t="n">
        <v>0</v>
      </c>
      <c r="N8535" t="n">
        <v>0</v>
      </c>
      <c r="O8535" t="n">
        <v>0</v>
      </c>
      <c r="P8535" t="n">
        <v>0</v>
      </c>
      <c r="Q8535" t="n">
        <v>0</v>
      </c>
      <c r="R8535" t="n">
        <v>0</v>
      </c>
      <c r="S8535" t="n">
        <v>0</v>
      </c>
      <c r="T8535" t="n">
        <v>0</v>
      </c>
      <c r="U8535" t="n">
        <v>0</v>
      </c>
      <c r="V8535" s="2" t="inlineStr"/>
    </row>
    <row r="8536" ht="15" customHeight="1">
      <c r="A8536" t="inlineStr">
        <is>
          <t>A 25829-2026</t>
        </is>
      </c>
      <c r="B8536" t="inlineStr">
        <is>
          <t>avverkningsanmälan</t>
        </is>
      </c>
      <c r="C8536" t="inlineStr">
        <is>
          <t>Föryngringsavverkning</t>
        </is>
      </c>
      <c r="D8536" s="1" t="n">
        <v>46178</v>
      </c>
      <c r="E8536" s="1" t="n">
        <v>46326</v>
      </c>
      <c r="F8536" t="inlineStr">
        <is>
          <t>GÄVLEBORGS LÄN</t>
        </is>
      </c>
      <c r="G8536" t="inlineStr">
        <is>
          <t>GÄVLE</t>
        </is>
      </c>
      <c r="I8536" t="n">
        <v>1.1</v>
      </c>
      <c r="J8536" t="n">
        <v>0</v>
      </c>
      <c r="K8536" t="n">
        <v>0</v>
      </c>
      <c r="L8536" t="n">
        <v>0</v>
      </c>
      <c r="M8536" t="n">
        <v>0</v>
      </c>
      <c r="N8536" t="n">
        <v>0</v>
      </c>
      <c r="O8536" t="n">
        <v>0</v>
      </c>
      <c r="P8536" t="n">
        <v>0</v>
      </c>
      <c r="Q8536" t="n">
        <v>0</v>
      </c>
      <c r="R8536" t="n">
        <v>0</v>
      </c>
      <c r="S8536" t="n">
        <v>0</v>
      </c>
      <c r="T8536" t="n">
        <v>0</v>
      </c>
      <c r="U8536" t="n">
        <v>0</v>
      </c>
      <c r="V8536" s="2" t="inlineStr"/>
    </row>
    <row r="8537" ht="15" customHeight="1">
      <c r="A8537" t="inlineStr">
        <is>
          <t>A 6181-2026</t>
        </is>
      </c>
      <c r="B8537" t="inlineStr">
        <is>
          <t>avverkningsanmälan</t>
        </is>
      </c>
      <c r="C8537" t="inlineStr">
        <is>
          <t>Föryngringsavverkning</t>
        </is>
      </c>
      <c r="D8537" s="1" t="n">
        <v>46055</v>
      </c>
      <c r="E8537" s="1" t="n">
        <v>46326</v>
      </c>
      <c r="F8537" t="inlineStr">
        <is>
          <t>GÄVLEBORGS LÄN</t>
        </is>
      </c>
      <c r="G8537" t="inlineStr">
        <is>
          <t>LJUSDAL</t>
        </is>
      </c>
      <c r="H8537" t="inlineStr">
        <is>
          <t>Holmen skog AB</t>
        </is>
      </c>
      <c r="I8537" t="n">
        <v>2.5</v>
      </c>
      <c r="J8537" t="n">
        <v>0</v>
      </c>
      <c r="K8537" t="n">
        <v>0</v>
      </c>
      <c r="L8537" t="n">
        <v>0</v>
      </c>
      <c r="M8537" t="n">
        <v>0</v>
      </c>
      <c r="N8537" t="n">
        <v>0</v>
      </c>
      <c r="O8537" t="n">
        <v>0</v>
      </c>
      <c r="P8537" t="n">
        <v>0</v>
      </c>
      <c r="Q8537" t="n">
        <v>0</v>
      </c>
      <c r="R8537" t="n">
        <v>0</v>
      </c>
      <c r="S8537" t="n">
        <v>0</v>
      </c>
      <c r="T8537" t="n">
        <v>0</v>
      </c>
      <c r="U8537" t="n">
        <v>0</v>
      </c>
      <c r="V8537" s="2" t="inlineStr"/>
    </row>
    <row r="8538" ht="15" customHeight="1">
      <c r="A8538" t="inlineStr">
        <is>
          <t>A 30721-2023</t>
        </is>
      </c>
      <c r="B8538" t="inlineStr">
        <is>
          <t>avverkningsanmälan</t>
        </is>
      </c>
      <c r="C8538" t="inlineStr">
        <is>
          <t>Föryngringsavverkning</t>
        </is>
      </c>
      <c r="D8538" s="1" t="n">
        <v>45112</v>
      </c>
      <c r="E8538" s="1" t="n">
        <v>46326</v>
      </c>
      <c r="F8538" t="inlineStr">
        <is>
          <t>GÄVLEBORGS LÄN</t>
        </is>
      </c>
      <c r="G8538" t="inlineStr">
        <is>
          <t>SANDVIKEN</t>
        </is>
      </c>
      <c r="I8538" t="n">
        <v>2.2</v>
      </c>
      <c r="J8538" t="n">
        <v>0</v>
      </c>
      <c r="K8538" t="n">
        <v>0</v>
      </c>
      <c r="L8538" t="n">
        <v>0</v>
      </c>
      <c r="M8538" t="n">
        <v>0</v>
      </c>
      <c r="N8538" t="n">
        <v>0</v>
      </c>
      <c r="O8538" t="n">
        <v>0</v>
      </c>
      <c r="P8538" t="n">
        <v>0</v>
      </c>
      <c r="Q8538" t="n">
        <v>0</v>
      </c>
      <c r="R8538" t="n">
        <v>0</v>
      </c>
      <c r="S8538" t="n">
        <v>0</v>
      </c>
      <c r="T8538" t="n">
        <v>0</v>
      </c>
      <c r="U8538" t="n">
        <v>0</v>
      </c>
      <c r="V8538" s="2" t="inlineStr"/>
    </row>
    <row r="8539" ht="15" customHeight="1">
      <c r="A8539" t="inlineStr">
        <is>
          <t>A 60675-2024</t>
        </is>
      </c>
      <c r="B8539" t="inlineStr">
        <is>
          <t>avverkningsanmälan</t>
        </is>
      </c>
      <c r="C8539" t="inlineStr">
        <is>
          <t>Föryngringsavverkning</t>
        </is>
      </c>
      <c r="D8539" s="1" t="n">
        <v>45644</v>
      </c>
      <c r="E8539" s="1" t="n">
        <v>46326</v>
      </c>
      <c r="F8539" t="inlineStr">
        <is>
          <t>GÄVLEBORGS LÄN</t>
        </is>
      </c>
      <c r="G8539" t="inlineStr">
        <is>
          <t>NORDANSTIG</t>
        </is>
      </c>
      <c r="H8539" t="inlineStr">
        <is>
          <t>Holmen skog AB</t>
        </is>
      </c>
      <c r="I8539" t="n">
        <v>4</v>
      </c>
      <c r="J8539" t="n">
        <v>0</v>
      </c>
      <c r="K8539" t="n">
        <v>0</v>
      </c>
      <c r="L8539" t="n">
        <v>0</v>
      </c>
      <c r="M8539" t="n">
        <v>0</v>
      </c>
      <c r="N8539" t="n">
        <v>0</v>
      </c>
      <c r="O8539" t="n">
        <v>0</v>
      </c>
      <c r="P8539" t="n">
        <v>0</v>
      </c>
      <c r="Q8539" t="n">
        <v>0</v>
      </c>
      <c r="R8539" t="n">
        <v>0</v>
      </c>
      <c r="S8539" t="n">
        <v>0</v>
      </c>
      <c r="T8539" t="n">
        <v>0</v>
      </c>
      <c r="U8539" t="n">
        <v>0</v>
      </c>
      <c r="V8539" s="2" t="inlineStr"/>
    </row>
    <row r="8540" ht="15" customHeight="1">
      <c r="A8540" t="inlineStr">
        <is>
          <t>A 25623-2026</t>
        </is>
      </c>
      <c r="B8540" t="inlineStr">
        <is>
          <t>avverkningsanmälan</t>
        </is>
      </c>
      <c r="C8540" t="inlineStr">
        <is>
          <t>Föryngringsavverkning</t>
        </is>
      </c>
      <c r="D8540" s="1" t="n">
        <v>46177</v>
      </c>
      <c r="E8540" s="1" t="n">
        <v>46326</v>
      </c>
      <c r="F8540" t="inlineStr">
        <is>
          <t>GÄVLEBORGS LÄN</t>
        </is>
      </c>
      <c r="G8540" t="inlineStr">
        <is>
          <t>GÄVLE</t>
        </is>
      </c>
      <c r="I8540" t="n">
        <v>2.2</v>
      </c>
      <c r="J8540" t="n">
        <v>0</v>
      </c>
      <c r="K8540" t="n">
        <v>0</v>
      </c>
      <c r="L8540" t="n">
        <v>0</v>
      </c>
      <c r="M8540" t="n">
        <v>0</v>
      </c>
      <c r="N8540" t="n">
        <v>0</v>
      </c>
      <c r="O8540" t="n">
        <v>0</v>
      </c>
      <c r="P8540" t="n">
        <v>0</v>
      </c>
      <c r="Q8540" t="n">
        <v>0</v>
      </c>
      <c r="R8540" t="n">
        <v>0</v>
      </c>
      <c r="S8540" t="n">
        <v>0</v>
      </c>
      <c r="T8540" t="n">
        <v>0</v>
      </c>
      <c r="U8540" t="n">
        <v>0</v>
      </c>
      <c r="V8540" s="2" t="inlineStr"/>
    </row>
    <row r="8541" ht="15" customHeight="1">
      <c r="A8541" t="inlineStr">
        <is>
          <t>A 25647-2026</t>
        </is>
      </c>
      <c r="B8541" t="inlineStr">
        <is>
          <t>avverkningsanmälan</t>
        </is>
      </c>
      <c r="C8541" t="inlineStr">
        <is>
          <t>Föryngringsavverkning</t>
        </is>
      </c>
      <c r="D8541" s="1" t="n">
        <v>46177</v>
      </c>
      <c r="E8541" s="1" t="n">
        <v>46326</v>
      </c>
      <c r="F8541" t="inlineStr">
        <is>
          <t>GÄVLEBORGS LÄN</t>
        </is>
      </c>
      <c r="G8541" t="inlineStr">
        <is>
          <t>SANDVIKEN</t>
        </is>
      </c>
      <c r="I8541" t="n">
        <v>0.8</v>
      </c>
      <c r="J8541" t="n">
        <v>0</v>
      </c>
      <c r="K8541" t="n">
        <v>0</v>
      </c>
      <c r="L8541" t="n">
        <v>0</v>
      </c>
      <c r="M8541" t="n">
        <v>0</v>
      </c>
      <c r="N8541" t="n">
        <v>0</v>
      </c>
      <c r="O8541" t="n">
        <v>0</v>
      </c>
      <c r="P8541" t="n">
        <v>0</v>
      </c>
      <c r="Q8541" t="n">
        <v>0</v>
      </c>
      <c r="R8541" t="n">
        <v>0</v>
      </c>
      <c r="S8541" t="n">
        <v>0</v>
      </c>
      <c r="T8541" t="n">
        <v>0</v>
      </c>
      <c r="U8541" t="n">
        <v>0</v>
      </c>
      <c r="V8541" s="2" t="inlineStr"/>
    </row>
    <row r="8542" ht="15" customHeight="1">
      <c r="A8542" t="inlineStr">
        <is>
          <t>A 25456-2026</t>
        </is>
      </c>
      <c r="B8542" t="inlineStr">
        <is>
          <t>avverkningsanmälan</t>
        </is>
      </c>
      <c r="C8542" t="inlineStr">
        <is>
          <t>Föryngringsavverkning</t>
        </is>
      </c>
      <c r="D8542" s="1" t="n">
        <v>46177</v>
      </c>
      <c r="E8542" s="1" t="n">
        <v>46326</v>
      </c>
      <c r="F8542" t="inlineStr">
        <is>
          <t>GÄVLEBORGS LÄN</t>
        </is>
      </c>
      <c r="G8542" t="inlineStr">
        <is>
          <t>SANDVIKEN</t>
        </is>
      </c>
      <c r="I8542" t="n">
        <v>1.8</v>
      </c>
      <c r="J8542" t="n">
        <v>0</v>
      </c>
      <c r="K8542" t="n">
        <v>0</v>
      </c>
      <c r="L8542" t="n">
        <v>0</v>
      </c>
      <c r="M8542" t="n">
        <v>0</v>
      </c>
      <c r="N8542" t="n">
        <v>0</v>
      </c>
      <c r="O8542" t="n">
        <v>0</v>
      </c>
      <c r="P8542" t="n">
        <v>0</v>
      </c>
      <c r="Q8542" t="n">
        <v>0</v>
      </c>
      <c r="R8542" t="n">
        <v>0</v>
      </c>
      <c r="S8542" t="n">
        <v>0</v>
      </c>
      <c r="T8542" t="n">
        <v>0</v>
      </c>
      <c r="U8542" t="n">
        <v>0</v>
      </c>
      <c r="V8542" s="2" t="inlineStr"/>
    </row>
    <row r="8543" ht="15" customHeight="1">
      <c r="A8543" t="inlineStr">
        <is>
          <t>A 25552-2026</t>
        </is>
      </c>
      <c r="B8543" t="inlineStr">
        <is>
          <t>avverkningsanmälan</t>
        </is>
      </c>
      <c r="C8543" t="inlineStr">
        <is>
          <t>Föryngringsavverkning</t>
        </is>
      </c>
      <c r="D8543" s="1" t="n">
        <v>46177</v>
      </c>
      <c r="E8543" s="1" t="n">
        <v>46326</v>
      </c>
      <c r="F8543" t="inlineStr">
        <is>
          <t>GÄVLEBORGS LÄN</t>
        </is>
      </c>
      <c r="G8543" t="inlineStr">
        <is>
          <t>SÖDERHAMN</t>
        </is>
      </c>
      <c r="I8543" t="n">
        <v>3.4</v>
      </c>
      <c r="J8543" t="n">
        <v>0</v>
      </c>
      <c r="K8543" t="n">
        <v>0</v>
      </c>
      <c r="L8543" t="n">
        <v>0</v>
      </c>
      <c r="M8543" t="n">
        <v>0</v>
      </c>
      <c r="N8543" t="n">
        <v>0</v>
      </c>
      <c r="O8543" t="n">
        <v>0</v>
      </c>
      <c r="P8543" t="n">
        <v>0</v>
      </c>
      <c r="Q8543" t="n">
        <v>0</v>
      </c>
      <c r="R8543" t="n">
        <v>0</v>
      </c>
      <c r="S8543" t="n">
        <v>0</v>
      </c>
      <c r="T8543" t="n">
        <v>0</v>
      </c>
      <c r="U8543" t="n">
        <v>0</v>
      </c>
      <c r="V8543" s="2" t="inlineStr"/>
    </row>
    <row r="8544" ht="15" customHeight="1">
      <c r="A8544" t="inlineStr">
        <is>
          <t>A 25561-2026</t>
        </is>
      </c>
      <c r="B8544" t="inlineStr">
        <is>
          <t>avverkningsanmälan</t>
        </is>
      </c>
      <c r="C8544" t="inlineStr">
        <is>
          <t>Föryngringsavverkning</t>
        </is>
      </c>
      <c r="D8544" s="1" t="n">
        <v>46177</v>
      </c>
      <c r="E8544" s="1" t="n">
        <v>46326</v>
      </c>
      <c r="F8544" t="inlineStr">
        <is>
          <t>GÄVLEBORGS LÄN</t>
        </is>
      </c>
      <c r="G8544" t="inlineStr">
        <is>
          <t>BOLLNÄS</t>
        </is>
      </c>
      <c r="I8544" t="n">
        <v>21.8</v>
      </c>
      <c r="J8544" t="n">
        <v>0</v>
      </c>
      <c r="K8544" t="n">
        <v>0</v>
      </c>
      <c r="L8544" t="n">
        <v>0</v>
      </c>
      <c r="M8544" t="n">
        <v>0</v>
      </c>
      <c r="N8544" t="n">
        <v>0</v>
      </c>
      <c r="O8544" t="n">
        <v>0</v>
      </c>
      <c r="P8544" t="n">
        <v>0</v>
      </c>
      <c r="Q8544" t="n">
        <v>0</v>
      </c>
      <c r="R8544" t="n">
        <v>0</v>
      </c>
      <c r="S8544" t="n">
        <v>0</v>
      </c>
      <c r="T8544" t="n">
        <v>0</v>
      </c>
      <c r="U8544" t="n">
        <v>0</v>
      </c>
      <c r="V8544" s="2" t="inlineStr"/>
    </row>
    <row r="8545" ht="15" customHeight="1">
      <c r="A8545" t="inlineStr">
        <is>
          <t>A 50385-2023</t>
        </is>
      </c>
      <c r="B8545" t="inlineStr">
        <is>
          <t>avverkningsanmälan</t>
        </is>
      </c>
      <c r="C8545" t="inlineStr">
        <is>
          <t>Föryngringsavverkning</t>
        </is>
      </c>
      <c r="D8545" s="1" t="n">
        <v>45216</v>
      </c>
      <c r="E8545" s="1" t="n">
        <v>46326</v>
      </c>
      <c r="F8545" t="inlineStr">
        <is>
          <t>GÄVLEBORGS LÄN</t>
        </is>
      </c>
      <c r="G8545" t="inlineStr">
        <is>
          <t>LJUSDAL</t>
        </is>
      </c>
      <c r="I8545" t="n">
        <v>4.3</v>
      </c>
      <c r="J8545" t="n">
        <v>0</v>
      </c>
      <c r="K8545" t="n">
        <v>0</v>
      </c>
      <c r="L8545" t="n">
        <v>0</v>
      </c>
      <c r="M8545" t="n">
        <v>0</v>
      </c>
      <c r="N8545" t="n">
        <v>0</v>
      </c>
      <c r="O8545" t="n">
        <v>0</v>
      </c>
      <c r="P8545" t="n">
        <v>0</v>
      </c>
      <c r="Q8545" t="n">
        <v>0</v>
      </c>
      <c r="R8545" t="n">
        <v>0</v>
      </c>
      <c r="S8545" t="n">
        <v>0</v>
      </c>
      <c r="T8545" t="n">
        <v>0</v>
      </c>
      <c r="U8545" t="n">
        <v>0</v>
      </c>
      <c r="V8545" s="2" t="inlineStr"/>
    </row>
    <row r="8546" ht="15" customHeight="1">
      <c r="A8546" t="inlineStr">
        <is>
          <t>A 13193-2025</t>
        </is>
      </c>
      <c r="B8546" t="inlineStr">
        <is>
          <t>avverkningsanmälan</t>
        </is>
      </c>
      <c r="C8546" t="inlineStr">
        <is>
          <t>Föryngringsavverkning</t>
        </is>
      </c>
      <c r="D8546" s="1" t="n">
        <v>45735</v>
      </c>
      <c r="E8546" s="1" t="n">
        <v>46326</v>
      </c>
      <c r="F8546" t="inlineStr">
        <is>
          <t>GÄVLEBORGS LÄN</t>
        </is>
      </c>
      <c r="G8546" t="inlineStr">
        <is>
          <t>GÄVLE</t>
        </is>
      </c>
      <c r="I8546" t="n">
        <v>1.9</v>
      </c>
      <c r="J8546" t="n">
        <v>0</v>
      </c>
      <c r="K8546" t="n">
        <v>0</v>
      </c>
      <c r="L8546" t="n">
        <v>0</v>
      </c>
      <c r="M8546" t="n">
        <v>0</v>
      </c>
      <c r="N8546" t="n">
        <v>0</v>
      </c>
      <c r="O8546" t="n">
        <v>0</v>
      </c>
      <c r="P8546" t="n">
        <v>0</v>
      </c>
      <c r="Q8546" t="n">
        <v>0</v>
      </c>
      <c r="R8546" t="n">
        <v>0</v>
      </c>
      <c r="S8546" t="n">
        <v>0</v>
      </c>
      <c r="T8546" t="n">
        <v>0</v>
      </c>
      <c r="U8546" t="n">
        <v>0</v>
      </c>
      <c r="V8546" s="2" t="inlineStr"/>
    </row>
    <row r="8547" ht="15" customHeight="1">
      <c r="A8547" t="inlineStr">
        <is>
          <t>A 33968-2024</t>
        </is>
      </c>
      <c r="B8547" t="inlineStr">
        <is>
          <t>avverkningsanmälan</t>
        </is>
      </c>
      <c r="C8547" t="inlineStr">
        <is>
          <t>Föryngringsavverkning</t>
        </is>
      </c>
      <c r="D8547" s="1" t="n">
        <v>45523</v>
      </c>
      <c r="E8547" s="1" t="n">
        <v>46326</v>
      </c>
      <c r="F8547" t="inlineStr">
        <is>
          <t>GÄVLEBORGS LÄN</t>
        </is>
      </c>
      <c r="G8547" t="inlineStr">
        <is>
          <t>HUDIKSVALL</t>
        </is>
      </c>
      <c r="I8547" t="n">
        <v>1.4</v>
      </c>
      <c r="J8547" t="n">
        <v>0</v>
      </c>
      <c r="K8547" t="n">
        <v>0</v>
      </c>
      <c r="L8547" t="n">
        <v>0</v>
      </c>
      <c r="M8547" t="n">
        <v>0</v>
      </c>
      <c r="N8547" t="n">
        <v>0</v>
      </c>
      <c r="O8547" t="n">
        <v>0</v>
      </c>
      <c r="P8547" t="n">
        <v>0</v>
      </c>
      <c r="Q8547" t="n">
        <v>0</v>
      </c>
      <c r="R8547" t="n">
        <v>0</v>
      </c>
      <c r="S8547" t="n">
        <v>0</v>
      </c>
      <c r="T8547" t="n">
        <v>0</v>
      </c>
      <c r="U8547" t="n">
        <v>0</v>
      </c>
      <c r="V8547" s="2" t="inlineStr"/>
    </row>
    <row r="8548" ht="15" customHeight="1">
      <c r="A8548" t="inlineStr">
        <is>
          <t>A 16640-2025</t>
        </is>
      </c>
      <c r="B8548" t="inlineStr">
        <is>
          <t>avverkningsanmälan</t>
        </is>
      </c>
      <c r="C8548" t="inlineStr">
        <is>
          <t>Föryngringsavverkning</t>
        </is>
      </c>
      <c r="D8548" s="1" t="n">
        <v>45754</v>
      </c>
      <c r="E8548" s="1" t="n">
        <v>46326</v>
      </c>
      <c r="F8548" t="inlineStr">
        <is>
          <t>GÄVLEBORGS LÄN</t>
        </is>
      </c>
      <c r="G8548" t="inlineStr">
        <is>
          <t>NORDANSTIG</t>
        </is>
      </c>
      <c r="H8548" t="inlineStr">
        <is>
          <t>Holmen skog AB</t>
        </is>
      </c>
      <c r="I8548" t="n">
        <v>1</v>
      </c>
      <c r="J8548" t="n">
        <v>0</v>
      </c>
      <c r="K8548" t="n">
        <v>0</v>
      </c>
      <c r="L8548" t="n">
        <v>0</v>
      </c>
      <c r="M8548" t="n">
        <v>0</v>
      </c>
      <c r="N8548" t="n">
        <v>0</v>
      </c>
      <c r="O8548" t="n">
        <v>0</v>
      </c>
      <c r="P8548" t="n">
        <v>0</v>
      </c>
      <c r="Q8548" t="n">
        <v>0</v>
      </c>
      <c r="R8548" t="n">
        <v>0</v>
      </c>
      <c r="S8548" t="n">
        <v>0</v>
      </c>
      <c r="T8548" t="n">
        <v>0</v>
      </c>
      <c r="U8548" t="n">
        <v>0</v>
      </c>
      <c r="V8548" s="2" t="inlineStr"/>
    </row>
    <row r="8549" ht="15" customHeight="1">
      <c r="A8549" t="inlineStr">
        <is>
          <t>A 3324-2024</t>
        </is>
      </c>
      <c r="B8549" t="inlineStr">
        <is>
          <t>avverkningsanmälan</t>
        </is>
      </c>
      <c r="C8549" t="inlineStr">
        <is>
          <t>Föryngringsavverkning</t>
        </is>
      </c>
      <c r="D8549" s="1" t="n">
        <v>45317</v>
      </c>
      <c r="E8549" s="1" t="n">
        <v>46326</v>
      </c>
      <c r="F8549" t="inlineStr">
        <is>
          <t>GÄVLEBORGS LÄN</t>
        </is>
      </c>
      <c r="G8549" t="inlineStr">
        <is>
          <t>OVANÅKER</t>
        </is>
      </c>
      <c r="I8549" t="n">
        <v>1.1</v>
      </c>
      <c r="J8549" t="n">
        <v>0</v>
      </c>
      <c r="K8549" t="n">
        <v>0</v>
      </c>
      <c r="L8549" t="n">
        <v>0</v>
      </c>
      <c r="M8549" t="n">
        <v>0</v>
      </c>
      <c r="N8549" t="n">
        <v>0</v>
      </c>
      <c r="O8549" t="n">
        <v>0</v>
      </c>
      <c r="P8549" t="n">
        <v>0</v>
      </c>
      <c r="Q8549" t="n">
        <v>0</v>
      </c>
      <c r="R8549" t="n">
        <v>0</v>
      </c>
      <c r="S8549" t="n">
        <v>0</v>
      </c>
      <c r="T8549" t="n">
        <v>0</v>
      </c>
      <c r="U8549" t="n">
        <v>0</v>
      </c>
      <c r="V8549" s="2" t="inlineStr"/>
    </row>
    <row r="8550" ht="15" customHeight="1">
      <c r="A8550" t="inlineStr">
        <is>
          <t>A 31866-2023</t>
        </is>
      </c>
      <c r="B8550" t="inlineStr">
        <is>
          <t>avverkningsanmälan</t>
        </is>
      </c>
      <c r="C8550" t="inlineStr">
        <is>
          <t>Föryngringsavverkning</t>
        </is>
      </c>
      <c r="D8550" s="1" t="n">
        <v>45106</v>
      </c>
      <c r="E8550" s="1" t="n">
        <v>46326</v>
      </c>
      <c r="F8550" t="inlineStr">
        <is>
          <t>GÄVLEBORGS LÄN</t>
        </is>
      </c>
      <c r="G8550" t="inlineStr">
        <is>
          <t>GÄVLE</t>
        </is>
      </c>
      <c r="I8550" t="n">
        <v>2.1</v>
      </c>
      <c r="J8550" t="n">
        <v>0</v>
      </c>
      <c r="K8550" t="n">
        <v>0</v>
      </c>
      <c r="L8550" t="n">
        <v>0</v>
      </c>
      <c r="M8550" t="n">
        <v>0</v>
      </c>
      <c r="N8550" t="n">
        <v>0</v>
      </c>
      <c r="O8550" t="n">
        <v>0</v>
      </c>
      <c r="P8550" t="n">
        <v>0</v>
      </c>
      <c r="Q8550" t="n">
        <v>0</v>
      </c>
      <c r="R8550" t="n">
        <v>0</v>
      </c>
      <c r="S8550" t="n">
        <v>0</v>
      </c>
      <c r="T8550" t="n">
        <v>0</v>
      </c>
      <c r="U8550" t="n">
        <v>0</v>
      </c>
      <c r="V8550" s="2" t="inlineStr"/>
    </row>
    <row r="8551" ht="15" customHeight="1">
      <c r="A8551" t="inlineStr">
        <is>
          <t>A 1802-2023</t>
        </is>
      </c>
      <c r="B8551" t="inlineStr">
        <is>
          <t>avverkningsanmälan</t>
        </is>
      </c>
      <c r="C8551" t="inlineStr">
        <is>
          <t>Föryngringsavverkning</t>
        </is>
      </c>
      <c r="D8551" s="1" t="n">
        <v>44938</v>
      </c>
      <c r="E8551" s="1" t="n">
        <v>46326</v>
      </c>
      <c r="F8551" t="inlineStr">
        <is>
          <t>GÄVLEBORGS LÄN</t>
        </is>
      </c>
      <c r="G8551" t="inlineStr">
        <is>
          <t>NORDANSTIG</t>
        </is>
      </c>
      <c r="I8551" t="n">
        <v>1</v>
      </c>
      <c r="J8551" t="n">
        <v>0</v>
      </c>
      <c r="K8551" t="n">
        <v>0</v>
      </c>
      <c r="L8551" t="n">
        <v>0</v>
      </c>
      <c r="M8551" t="n">
        <v>0</v>
      </c>
      <c r="N8551" t="n">
        <v>0</v>
      </c>
      <c r="O8551" t="n">
        <v>0</v>
      </c>
      <c r="P8551" t="n">
        <v>0</v>
      </c>
      <c r="Q8551" t="n">
        <v>0</v>
      </c>
      <c r="R8551" t="n">
        <v>0</v>
      </c>
      <c r="S8551" t="n">
        <v>0</v>
      </c>
      <c r="T8551" t="n">
        <v>0</v>
      </c>
      <c r="U8551" t="n">
        <v>0</v>
      </c>
      <c r="V8551" s="2" t="inlineStr"/>
    </row>
    <row r="8552" ht="15" customHeight="1">
      <c r="A8552" t="inlineStr">
        <is>
          <t>A 34946-2022</t>
        </is>
      </c>
      <c r="B8552" t="inlineStr">
        <is>
          <t>avverkningsanmälan</t>
        </is>
      </c>
      <c r="C8552" t="inlineStr">
        <is>
          <t>Föryngringsavverkning</t>
        </is>
      </c>
      <c r="D8552" s="1" t="n">
        <v>44796</v>
      </c>
      <c r="E8552" s="1" t="n">
        <v>46326</v>
      </c>
      <c r="F8552" t="inlineStr">
        <is>
          <t>GÄVLEBORGS LÄN</t>
        </is>
      </c>
      <c r="G8552" t="inlineStr">
        <is>
          <t>SANDVIKEN</t>
        </is>
      </c>
      <c r="H8552" t="inlineStr">
        <is>
          <t>Bergvik skog öst AB</t>
        </is>
      </c>
      <c r="I8552" t="n">
        <v>1.8</v>
      </c>
      <c r="J8552" t="n">
        <v>0</v>
      </c>
      <c r="K8552" t="n">
        <v>0</v>
      </c>
      <c r="L8552" t="n">
        <v>0</v>
      </c>
      <c r="M8552" t="n">
        <v>0</v>
      </c>
      <c r="N8552" t="n">
        <v>0</v>
      </c>
      <c r="O8552" t="n">
        <v>0</v>
      </c>
      <c r="P8552" t="n">
        <v>0</v>
      </c>
      <c r="Q8552" t="n">
        <v>0</v>
      </c>
      <c r="R8552" t="n">
        <v>0</v>
      </c>
      <c r="S8552" t="n">
        <v>0</v>
      </c>
      <c r="T8552" t="n">
        <v>0</v>
      </c>
      <c r="U8552" t="n">
        <v>0</v>
      </c>
      <c r="V8552" s="2" t="inlineStr"/>
    </row>
    <row r="8553" ht="15" customHeight="1">
      <c r="A8553" t="inlineStr">
        <is>
          <t>A 26069-2026</t>
        </is>
      </c>
      <c r="B8553" t="inlineStr">
        <is>
          <t>avverkningsanmälan</t>
        </is>
      </c>
      <c r="C8553" t="inlineStr">
        <is>
          <t>Föryngringsavverkning</t>
        </is>
      </c>
      <c r="D8553" s="1" t="n">
        <v>46181</v>
      </c>
      <c r="E8553" s="1" t="n">
        <v>46326</v>
      </c>
      <c r="F8553" t="inlineStr">
        <is>
          <t>GÄVLEBORGS LÄN</t>
        </is>
      </c>
      <c r="G8553" t="inlineStr">
        <is>
          <t>BOLLNÄS</t>
        </is>
      </c>
      <c r="I8553" t="n">
        <v>1.6</v>
      </c>
      <c r="J8553" t="n">
        <v>0</v>
      </c>
      <c r="K8553" t="n">
        <v>0</v>
      </c>
      <c r="L8553" t="n">
        <v>0</v>
      </c>
      <c r="M8553" t="n">
        <v>0</v>
      </c>
      <c r="N8553" t="n">
        <v>0</v>
      </c>
      <c r="O8553" t="n">
        <v>0</v>
      </c>
      <c r="P8553" t="n">
        <v>0</v>
      </c>
      <c r="Q8553" t="n">
        <v>0</v>
      </c>
      <c r="R8553" t="n">
        <v>0</v>
      </c>
      <c r="S8553" t="n">
        <v>0</v>
      </c>
      <c r="T8553" t="n">
        <v>0</v>
      </c>
      <c r="U8553" t="n">
        <v>0</v>
      </c>
      <c r="V8553" s="2" t="inlineStr"/>
    </row>
    <row r="8554" ht="15" customHeight="1">
      <c r="A8554" t="inlineStr">
        <is>
          <t>A 26041-2026</t>
        </is>
      </c>
      <c r="B8554" t="inlineStr">
        <is>
          <t>avverkningsanmälan</t>
        </is>
      </c>
      <c r="C8554" t="inlineStr">
        <is>
          <t>Föryngringsavverkning</t>
        </is>
      </c>
      <c r="D8554" s="1" t="n">
        <v>46181</v>
      </c>
      <c r="E8554" s="1" t="n">
        <v>46326</v>
      </c>
      <c r="F8554" t="inlineStr">
        <is>
          <t>GÄVLEBORGS LÄN</t>
        </is>
      </c>
      <c r="G8554" t="inlineStr">
        <is>
          <t>BOLLNÄS</t>
        </is>
      </c>
      <c r="I8554" t="n">
        <v>6.4</v>
      </c>
      <c r="J8554" t="n">
        <v>0</v>
      </c>
      <c r="K8554" t="n">
        <v>0</v>
      </c>
      <c r="L8554" t="n">
        <v>0</v>
      </c>
      <c r="M8554" t="n">
        <v>0</v>
      </c>
      <c r="N8554" t="n">
        <v>0</v>
      </c>
      <c r="O8554" t="n">
        <v>0</v>
      </c>
      <c r="P8554" t="n">
        <v>0</v>
      </c>
      <c r="Q8554" t="n">
        <v>0</v>
      </c>
      <c r="R8554" t="n">
        <v>0</v>
      </c>
      <c r="S8554" t="n">
        <v>0</v>
      </c>
      <c r="T8554" t="n">
        <v>0</v>
      </c>
      <c r="U8554" t="n">
        <v>0</v>
      </c>
      <c r="V8554" s="2" t="inlineStr"/>
    </row>
    <row r="8555" ht="15" customHeight="1">
      <c r="A8555" t="inlineStr">
        <is>
          <t>A 26068-2026</t>
        </is>
      </c>
      <c r="B8555" t="inlineStr">
        <is>
          <t>avverkningsanmälan</t>
        </is>
      </c>
      <c r="C8555" t="inlineStr">
        <is>
          <t>Föryngringsavverkning</t>
        </is>
      </c>
      <c r="D8555" s="1" t="n">
        <v>46181</v>
      </c>
      <c r="E8555" s="1" t="n">
        <v>46326</v>
      </c>
      <c r="F8555" t="inlineStr">
        <is>
          <t>GÄVLEBORGS LÄN</t>
        </is>
      </c>
      <c r="G8555" t="inlineStr">
        <is>
          <t>BOLLNÄS</t>
        </is>
      </c>
      <c r="I8555" t="n">
        <v>2.8</v>
      </c>
      <c r="J8555" t="n">
        <v>0</v>
      </c>
      <c r="K8555" t="n">
        <v>0</v>
      </c>
      <c r="L8555" t="n">
        <v>0</v>
      </c>
      <c r="M8555" t="n">
        <v>0</v>
      </c>
      <c r="N8555" t="n">
        <v>0</v>
      </c>
      <c r="O8555" t="n">
        <v>0</v>
      </c>
      <c r="P8555" t="n">
        <v>0</v>
      </c>
      <c r="Q8555" t="n">
        <v>0</v>
      </c>
      <c r="R8555" t="n">
        <v>0</v>
      </c>
      <c r="S8555" t="n">
        <v>0</v>
      </c>
      <c r="T8555" t="n">
        <v>0</v>
      </c>
      <c r="U8555" t="n">
        <v>0</v>
      </c>
      <c r="V8555" s="2" t="inlineStr"/>
    </row>
    <row r="8556" ht="15" customHeight="1">
      <c r="A8556" t="inlineStr">
        <is>
          <t>A 26322-2026</t>
        </is>
      </c>
      <c r="B8556" t="inlineStr">
        <is>
          <t>avverkningsanmälan</t>
        </is>
      </c>
      <c r="C8556" t="inlineStr">
        <is>
          <t>Föryngringsavverkning</t>
        </is>
      </c>
      <c r="D8556" s="1" t="n">
        <v>46182</v>
      </c>
      <c r="E8556" s="1" t="n">
        <v>46326</v>
      </c>
      <c r="F8556" t="inlineStr">
        <is>
          <t>GÄVLEBORGS LÄN</t>
        </is>
      </c>
      <c r="G8556" t="inlineStr">
        <is>
          <t>LJUSDAL</t>
        </is>
      </c>
      <c r="H8556" t="inlineStr">
        <is>
          <t>SCA</t>
        </is>
      </c>
      <c r="I8556" t="n">
        <v>0.9</v>
      </c>
      <c r="J8556" t="n">
        <v>0</v>
      </c>
      <c r="K8556" t="n">
        <v>0</v>
      </c>
      <c r="L8556" t="n">
        <v>0</v>
      </c>
      <c r="M8556" t="n">
        <v>0</v>
      </c>
      <c r="N8556" t="n">
        <v>0</v>
      </c>
      <c r="O8556" t="n">
        <v>0</v>
      </c>
      <c r="P8556" t="n">
        <v>0</v>
      </c>
      <c r="Q8556" t="n">
        <v>0</v>
      </c>
      <c r="R8556" t="n">
        <v>0</v>
      </c>
      <c r="S8556" t="n">
        <v>0</v>
      </c>
      <c r="T8556" t="n">
        <v>0</v>
      </c>
      <c r="U8556" t="n">
        <v>0</v>
      </c>
      <c r="V8556" s="2" t="inlineStr"/>
    </row>
    <row r="8557" ht="15" customHeight="1">
      <c r="A8557" t="inlineStr">
        <is>
          <t>A 11627-2026</t>
        </is>
      </c>
      <c r="B8557" t="inlineStr">
        <is>
          <t>avverkningsanmälan</t>
        </is>
      </c>
      <c r="C8557" t="inlineStr">
        <is>
          <t>Föryngringsavverkning</t>
        </is>
      </c>
      <c r="D8557" s="1" t="n">
        <v>46084</v>
      </c>
      <c r="E8557" s="1" t="n">
        <v>46326</v>
      </c>
      <c r="F8557" t="inlineStr">
        <is>
          <t>GÄVLEBORGS LÄN</t>
        </is>
      </c>
      <c r="G8557" t="inlineStr">
        <is>
          <t>NORDANSTIG</t>
        </is>
      </c>
      <c r="I8557" t="n">
        <v>1.9</v>
      </c>
      <c r="J8557" t="n">
        <v>0</v>
      </c>
      <c r="K8557" t="n">
        <v>0</v>
      </c>
      <c r="L8557" t="n">
        <v>0</v>
      </c>
      <c r="M8557" t="n">
        <v>0</v>
      </c>
      <c r="N8557" t="n">
        <v>0</v>
      </c>
      <c r="O8557" t="n">
        <v>0</v>
      </c>
      <c r="P8557" t="n">
        <v>0</v>
      </c>
      <c r="Q8557" t="n">
        <v>0</v>
      </c>
      <c r="R8557" t="n">
        <v>0</v>
      </c>
      <c r="S8557" t="n">
        <v>0</v>
      </c>
      <c r="T8557" t="n">
        <v>0</v>
      </c>
      <c r="U8557" t="n">
        <v>0</v>
      </c>
      <c r="V8557" s="2" t="inlineStr"/>
    </row>
    <row r="8558" ht="15" customHeight="1">
      <c r="A8558" t="inlineStr">
        <is>
          <t>A 61579-2024</t>
        </is>
      </c>
      <c r="B8558" t="inlineStr">
        <is>
          <t>avverkningsanmälan</t>
        </is>
      </c>
      <c r="C8558" t="inlineStr">
        <is>
          <t>Föryngringsavverkning</t>
        </is>
      </c>
      <c r="D8558" s="1" t="n">
        <v>45646</v>
      </c>
      <c r="E8558" s="1" t="n">
        <v>46326</v>
      </c>
      <c r="F8558" t="inlineStr">
        <is>
          <t>GÄVLEBORGS LÄN</t>
        </is>
      </c>
      <c r="G8558" t="inlineStr">
        <is>
          <t>HUDIKSVALL</t>
        </is>
      </c>
      <c r="I8558" t="n">
        <v>0.9</v>
      </c>
      <c r="J8558" t="n">
        <v>0</v>
      </c>
      <c r="K8558" t="n">
        <v>0</v>
      </c>
      <c r="L8558" t="n">
        <v>0</v>
      </c>
      <c r="M8558" t="n">
        <v>0</v>
      </c>
      <c r="N8558" t="n">
        <v>0</v>
      </c>
      <c r="O8558" t="n">
        <v>0</v>
      </c>
      <c r="P8558" t="n">
        <v>0</v>
      </c>
      <c r="Q8558" t="n">
        <v>0</v>
      </c>
      <c r="R8558" t="n">
        <v>0</v>
      </c>
      <c r="S8558" t="n">
        <v>0</v>
      </c>
      <c r="T8558" t="n">
        <v>0</v>
      </c>
      <c r="U8558" t="n">
        <v>0</v>
      </c>
      <c r="V8558" s="2" t="inlineStr"/>
    </row>
    <row r="8559" ht="15" customHeight="1">
      <c r="A8559" t="inlineStr">
        <is>
          <t>A 17965-2025</t>
        </is>
      </c>
      <c r="B8559" t="inlineStr">
        <is>
          <t>avverkningsanmälan</t>
        </is>
      </c>
      <c r="C8559" t="inlineStr">
        <is>
          <t>Föryngringsavverkning</t>
        </is>
      </c>
      <c r="D8559" s="1" t="n">
        <v>45761</v>
      </c>
      <c r="E8559" s="1" t="n">
        <v>46326</v>
      </c>
      <c r="F8559" t="inlineStr">
        <is>
          <t>GÄVLEBORGS LÄN</t>
        </is>
      </c>
      <c r="G8559" t="inlineStr">
        <is>
          <t>OVANÅKER</t>
        </is>
      </c>
      <c r="H8559" t="inlineStr">
        <is>
          <t>Bergvik skog öst AB</t>
        </is>
      </c>
      <c r="I8559" t="n">
        <v>1.7</v>
      </c>
      <c r="J8559" t="n">
        <v>0</v>
      </c>
      <c r="K8559" t="n">
        <v>0</v>
      </c>
      <c r="L8559" t="n">
        <v>0</v>
      </c>
      <c r="M8559" t="n">
        <v>0</v>
      </c>
      <c r="N8559" t="n">
        <v>0</v>
      </c>
      <c r="O8559" t="n">
        <v>0</v>
      </c>
      <c r="P8559" t="n">
        <v>0</v>
      </c>
      <c r="Q8559" t="n">
        <v>0</v>
      </c>
      <c r="R8559" t="n">
        <v>0</v>
      </c>
      <c r="S8559" t="n">
        <v>0</v>
      </c>
      <c r="T8559" t="n">
        <v>0</v>
      </c>
      <c r="U8559" t="n">
        <v>0</v>
      </c>
      <c r="V8559" s="2" t="inlineStr"/>
    </row>
    <row r="8560" ht="15" customHeight="1">
      <c r="A8560" t="inlineStr">
        <is>
          <t>A 26231-2026</t>
        </is>
      </c>
      <c r="B8560" t="inlineStr">
        <is>
          <t>avverkningsanmälan</t>
        </is>
      </c>
      <c r="C8560" t="inlineStr">
        <is>
          <t>Föryngringsavverkning</t>
        </is>
      </c>
      <c r="D8560" s="1" t="n">
        <v>46182</v>
      </c>
      <c r="E8560" s="1" t="n">
        <v>46326</v>
      </c>
      <c r="F8560" t="inlineStr">
        <is>
          <t>GÄVLEBORGS LÄN</t>
        </is>
      </c>
      <c r="G8560" t="inlineStr">
        <is>
          <t>BOLLNÄS</t>
        </is>
      </c>
      <c r="I8560" t="n">
        <v>1.1</v>
      </c>
      <c r="J8560" t="n">
        <v>0</v>
      </c>
      <c r="K8560" t="n">
        <v>0</v>
      </c>
      <c r="L8560" t="n">
        <v>0</v>
      </c>
      <c r="M8560" t="n">
        <v>0</v>
      </c>
      <c r="N8560" t="n">
        <v>0</v>
      </c>
      <c r="O8560" t="n">
        <v>0</v>
      </c>
      <c r="P8560" t="n">
        <v>0</v>
      </c>
      <c r="Q8560" t="n">
        <v>0</v>
      </c>
      <c r="R8560" t="n">
        <v>0</v>
      </c>
      <c r="S8560" t="n">
        <v>0</v>
      </c>
      <c r="T8560" t="n">
        <v>0</v>
      </c>
      <c r="U8560" t="n">
        <v>0</v>
      </c>
      <c r="V8560" s="2" t="inlineStr"/>
    </row>
    <row r="8561" ht="15" customHeight="1">
      <c r="A8561" t="inlineStr">
        <is>
          <t>A 43893-2023</t>
        </is>
      </c>
      <c r="B8561" t="inlineStr">
        <is>
          <t>avverkningsanmälan</t>
        </is>
      </c>
      <c r="C8561" t="inlineStr">
        <is>
          <t>Föryngringsavverkning</t>
        </is>
      </c>
      <c r="D8561" s="1" t="n">
        <v>45187</v>
      </c>
      <c r="E8561" s="1" t="n">
        <v>46326</v>
      </c>
      <c r="F8561" t="inlineStr">
        <is>
          <t>GÄVLEBORGS LÄN</t>
        </is>
      </c>
      <c r="G8561" t="inlineStr">
        <is>
          <t>NORDANSTIG</t>
        </is>
      </c>
      <c r="I8561" t="n">
        <v>3.2</v>
      </c>
      <c r="J8561" t="n">
        <v>0</v>
      </c>
      <c r="K8561" t="n">
        <v>0</v>
      </c>
      <c r="L8561" t="n">
        <v>0</v>
      </c>
      <c r="M8561" t="n">
        <v>0</v>
      </c>
      <c r="N8561" t="n">
        <v>0</v>
      </c>
      <c r="O8561" t="n">
        <v>0</v>
      </c>
      <c r="P8561" t="n">
        <v>0</v>
      </c>
      <c r="Q8561" t="n">
        <v>0</v>
      </c>
      <c r="R8561" t="n">
        <v>0</v>
      </c>
      <c r="S8561" t="n">
        <v>0</v>
      </c>
      <c r="T8561" t="n">
        <v>0</v>
      </c>
      <c r="U8561" t="n">
        <v>0</v>
      </c>
      <c r="V8561" s="2" t="inlineStr"/>
    </row>
    <row r="8562" ht="15" customHeight="1">
      <c r="A8562" t="inlineStr">
        <is>
          <t>A 45700-2024</t>
        </is>
      </c>
      <c r="B8562" t="inlineStr">
        <is>
          <t>avverkningsanmälan</t>
        </is>
      </c>
      <c r="C8562" t="inlineStr">
        <is>
          <t>Föryngringsavverkning</t>
        </is>
      </c>
      <c r="D8562" s="1" t="n">
        <v>45579</v>
      </c>
      <c r="E8562" s="1" t="n">
        <v>46326</v>
      </c>
      <c r="F8562" t="inlineStr">
        <is>
          <t>GÄVLEBORGS LÄN</t>
        </is>
      </c>
      <c r="G8562" t="inlineStr">
        <is>
          <t>HUDIKSVALL</t>
        </is>
      </c>
      <c r="H8562" t="inlineStr">
        <is>
          <t>Holmen skog AB</t>
        </is>
      </c>
      <c r="I8562" t="n">
        <v>4.1</v>
      </c>
      <c r="J8562" t="n">
        <v>0</v>
      </c>
      <c r="K8562" t="n">
        <v>0</v>
      </c>
      <c r="L8562" t="n">
        <v>0</v>
      </c>
      <c r="M8562" t="n">
        <v>0</v>
      </c>
      <c r="N8562" t="n">
        <v>0</v>
      </c>
      <c r="O8562" t="n">
        <v>0</v>
      </c>
      <c r="P8562" t="n">
        <v>0</v>
      </c>
      <c r="Q8562" t="n">
        <v>0</v>
      </c>
      <c r="R8562" t="n">
        <v>0</v>
      </c>
      <c r="S8562" t="n">
        <v>0</v>
      </c>
      <c r="T8562" t="n">
        <v>0</v>
      </c>
      <c r="U8562" t="n">
        <v>0</v>
      </c>
      <c r="V8562" s="2" t="inlineStr"/>
    </row>
    <row r="8563" ht="15" customHeight="1">
      <c r="A8563" t="inlineStr">
        <is>
          <t>A 26039-2026</t>
        </is>
      </c>
      <c r="B8563" t="inlineStr">
        <is>
          <t>avverkningsanmälan</t>
        </is>
      </c>
      <c r="C8563" t="inlineStr">
        <is>
          <t>Föryngringsavverkning</t>
        </is>
      </c>
      <c r="D8563" s="1" t="n">
        <v>46181</v>
      </c>
      <c r="E8563" s="1" t="n">
        <v>46326</v>
      </c>
      <c r="F8563" t="inlineStr">
        <is>
          <t>GÄVLEBORGS LÄN</t>
        </is>
      </c>
      <c r="G8563" t="inlineStr">
        <is>
          <t>BOLLNÄS</t>
        </is>
      </c>
      <c r="I8563" t="n">
        <v>2.2</v>
      </c>
      <c r="J8563" t="n">
        <v>0</v>
      </c>
      <c r="K8563" t="n">
        <v>0</v>
      </c>
      <c r="L8563" t="n">
        <v>0</v>
      </c>
      <c r="M8563" t="n">
        <v>0</v>
      </c>
      <c r="N8563" t="n">
        <v>0</v>
      </c>
      <c r="O8563" t="n">
        <v>0</v>
      </c>
      <c r="P8563" t="n">
        <v>0</v>
      </c>
      <c r="Q8563" t="n">
        <v>0</v>
      </c>
      <c r="R8563" t="n">
        <v>0</v>
      </c>
      <c r="S8563" t="n">
        <v>0</v>
      </c>
      <c r="T8563" t="n">
        <v>0</v>
      </c>
      <c r="U8563" t="n">
        <v>0</v>
      </c>
      <c r="V8563" s="2" t="inlineStr"/>
    </row>
    <row r="8564" ht="15" customHeight="1">
      <c r="A8564" t="inlineStr">
        <is>
          <t>A 14807-2023</t>
        </is>
      </c>
      <c r="B8564" t="inlineStr">
        <is>
          <t>avverkningsanmälan</t>
        </is>
      </c>
      <c r="C8564" t="inlineStr">
        <is>
          <t>Föryngringsavverkning</t>
        </is>
      </c>
      <c r="D8564" s="1" t="n">
        <v>45014</v>
      </c>
      <c r="E8564" s="1" t="n">
        <v>46326</v>
      </c>
      <c r="F8564" t="inlineStr">
        <is>
          <t>GÄVLEBORGS LÄN</t>
        </is>
      </c>
      <c r="G8564" t="inlineStr">
        <is>
          <t>GÄVLE</t>
        </is>
      </c>
      <c r="I8564" t="n">
        <v>1.9</v>
      </c>
      <c r="J8564" t="n">
        <v>0</v>
      </c>
      <c r="K8564" t="n">
        <v>0</v>
      </c>
      <c r="L8564" t="n">
        <v>0</v>
      </c>
      <c r="M8564" t="n">
        <v>0</v>
      </c>
      <c r="N8564" t="n">
        <v>0</v>
      </c>
      <c r="O8564" t="n">
        <v>0</v>
      </c>
      <c r="P8564" t="n">
        <v>0</v>
      </c>
      <c r="Q8564" t="n">
        <v>0</v>
      </c>
      <c r="R8564" t="n">
        <v>0</v>
      </c>
      <c r="S8564" t="n">
        <v>0</v>
      </c>
      <c r="T8564" t="n">
        <v>0</v>
      </c>
      <c r="U8564" t="n">
        <v>0</v>
      </c>
      <c r="V8564" s="2" t="inlineStr"/>
    </row>
    <row r="8565" ht="15" customHeight="1">
      <c r="A8565" t="inlineStr">
        <is>
          <t>A 26213-2026</t>
        </is>
      </c>
      <c r="B8565" t="inlineStr">
        <is>
          <t>avverkningsanmälan</t>
        </is>
      </c>
      <c r="C8565" t="inlineStr">
        <is>
          <t>Föryngringsavverkning</t>
        </is>
      </c>
      <c r="D8565" s="1" t="n">
        <v>46182</v>
      </c>
      <c r="E8565" s="1" t="n">
        <v>46326</v>
      </c>
      <c r="F8565" t="inlineStr">
        <is>
          <t>GÄVLEBORGS LÄN</t>
        </is>
      </c>
      <c r="G8565" t="inlineStr">
        <is>
          <t>SÖDERHAMN</t>
        </is>
      </c>
      <c r="I8565" t="n">
        <v>1</v>
      </c>
      <c r="J8565" t="n">
        <v>0</v>
      </c>
      <c r="K8565" t="n">
        <v>0</v>
      </c>
      <c r="L8565" t="n">
        <v>0</v>
      </c>
      <c r="M8565" t="n">
        <v>0</v>
      </c>
      <c r="N8565" t="n">
        <v>0</v>
      </c>
      <c r="O8565" t="n">
        <v>0</v>
      </c>
      <c r="P8565" t="n">
        <v>0</v>
      </c>
      <c r="Q8565" t="n">
        <v>0</v>
      </c>
      <c r="R8565" t="n">
        <v>0</v>
      </c>
      <c r="S8565" t="n">
        <v>0</v>
      </c>
      <c r="T8565" t="n">
        <v>0</v>
      </c>
      <c r="U8565" t="n">
        <v>0</v>
      </c>
      <c r="V8565" s="2" t="inlineStr"/>
    </row>
    <row r="8566" ht="15" customHeight="1">
      <c r="A8566" t="inlineStr">
        <is>
          <t>A 18195-2023</t>
        </is>
      </c>
      <c r="B8566" t="inlineStr">
        <is>
          <t>avverkningsanmälan</t>
        </is>
      </c>
      <c r="C8566" t="inlineStr">
        <is>
          <t>Föryngringsavverkning</t>
        </is>
      </c>
      <c r="D8566" s="1" t="n">
        <v>45041</v>
      </c>
      <c r="E8566" s="1" t="n">
        <v>46326</v>
      </c>
      <c r="F8566" t="inlineStr">
        <is>
          <t>GÄVLEBORGS LÄN</t>
        </is>
      </c>
      <c r="G8566" t="inlineStr">
        <is>
          <t>SÖDERHAMN</t>
        </is>
      </c>
      <c r="H8566" t="inlineStr">
        <is>
          <t>Bergvik skog väst AB</t>
        </is>
      </c>
      <c r="I8566" t="n">
        <v>0.8</v>
      </c>
      <c r="J8566" t="n">
        <v>0</v>
      </c>
      <c r="K8566" t="n">
        <v>0</v>
      </c>
      <c r="L8566" t="n">
        <v>0</v>
      </c>
      <c r="M8566" t="n">
        <v>0</v>
      </c>
      <c r="N8566" t="n">
        <v>0</v>
      </c>
      <c r="O8566" t="n">
        <v>0</v>
      </c>
      <c r="P8566" t="n">
        <v>0</v>
      </c>
      <c r="Q8566" t="n">
        <v>0</v>
      </c>
      <c r="R8566" t="n">
        <v>0</v>
      </c>
      <c r="S8566" t="n">
        <v>0</v>
      </c>
      <c r="T8566" t="n">
        <v>0</v>
      </c>
      <c r="U8566" t="n">
        <v>0</v>
      </c>
      <c r="V8566" s="2" t="inlineStr"/>
    </row>
    <row r="8567" ht="15" customHeight="1">
      <c r="A8567" t="inlineStr">
        <is>
          <t>A 49306-2023</t>
        </is>
      </c>
      <c r="B8567" t="inlineStr">
        <is>
          <t>avverkningsanmälan</t>
        </is>
      </c>
      <c r="C8567" t="inlineStr">
        <is>
          <t>Föryngringsavverkning</t>
        </is>
      </c>
      <c r="D8567" s="1" t="n">
        <v>45210</v>
      </c>
      <c r="E8567" s="1" t="n">
        <v>46326</v>
      </c>
      <c r="F8567" t="inlineStr">
        <is>
          <t>GÄVLEBORGS LÄN</t>
        </is>
      </c>
      <c r="G8567" t="inlineStr">
        <is>
          <t>SÖDERHAMN</t>
        </is>
      </c>
      <c r="I8567" t="n">
        <v>1.3</v>
      </c>
      <c r="J8567" t="n">
        <v>0</v>
      </c>
      <c r="K8567" t="n">
        <v>0</v>
      </c>
      <c r="L8567" t="n">
        <v>0</v>
      </c>
      <c r="M8567" t="n">
        <v>0</v>
      </c>
      <c r="N8567" t="n">
        <v>0</v>
      </c>
      <c r="O8567" t="n">
        <v>0</v>
      </c>
      <c r="P8567" t="n">
        <v>0</v>
      </c>
      <c r="Q8567" t="n">
        <v>0</v>
      </c>
      <c r="R8567" t="n">
        <v>0</v>
      </c>
      <c r="S8567" t="n">
        <v>0</v>
      </c>
      <c r="T8567" t="n">
        <v>0</v>
      </c>
      <c r="U8567" t="n">
        <v>0</v>
      </c>
      <c r="V8567" s="2" t="inlineStr"/>
    </row>
    <row r="8568" ht="15" customHeight="1">
      <c r="A8568" t="inlineStr">
        <is>
          <t>A 35882-2025</t>
        </is>
      </c>
      <c r="B8568" t="inlineStr">
        <is>
          <t>avverkningsanmälan</t>
        </is>
      </c>
      <c r="C8568" t="inlineStr">
        <is>
          <t>Föryngringsavverkning</t>
        </is>
      </c>
      <c r="D8568" s="1" t="n">
        <v>45862</v>
      </c>
      <c r="E8568" s="1" t="n">
        <v>46326</v>
      </c>
      <c r="F8568" t="inlineStr">
        <is>
          <t>GÄVLEBORGS LÄN</t>
        </is>
      </c>
      <c r="G8568" t="inlineStr">
        <is>
          <t>HUDIKSVALL</t>
        </is>
      </c>
      <c r="I8568" t="n">
        <v>1.4</v>
      </c>
      <c r="J8568" t="n">
        <v>0</v>
      </c>
      <c r="K8568" t="n">
        <v>0</v>
      </c>
      <c r="L8568" t="n">
        <v>0</v>
      </c>
      <c r="M8568" t="n">
        <v>0</v>
      </c>
      <c r="N8568" t="n">
        <v>0</v>
      </c>
      <c r="O8568" t="n">
        <v>0</v>
      </c>
      <c r="P8568" t="n">
        <v>0</v>
      </c>
      <c r="Q8568" t="n">
        <v>0</v>
      </c>
      <c r="R8568" t="n">
        <v>0</v>
      </c>
      <c r="S8568" t="n">
        <v>0</v>
      </c>
      <c r="T8568" t="n">
        <v>0</v>
      </c>
      <c r="U8568" t="n">
        <v>0</v>
      </c>
      <c r="V8568" s="2" t="inlineStr"/>
    </row>
    <row r="8569" ht="15" customHeight="1">
      <c r="A8569" t="inlineStr">
        <is>
          <t>A 26044-2026</t>
        </is>
      </c>
      <c r="B8569" t="inlineStr">
        <is>
          <t>avverkningsanmälan</t>
        </is>
      </c>
      <c r="C8569" t="inlineStr">
        <is>
          <t>Föryngringsavverkning</t>
        </is>
      </c>
      <c r="D8569" s="1" t="n">
        <v>46181</v>
      </c>
      <c r="E8569" s="1" t="n">
        <v>46326</v>
      </c>
      <c r="F8569" t="inlineStr">
        <is>
          <t>GÄVLEBORGS LÄN</t>
        </is>
      </c>
      <c r="G8569" t="inlineStr">
        <is>
          <t>NORDANSTIG</t>
        </is>
      </c>
      <c r="H8569" t="inlineStr">
        <is>
          <t>Holmen skog AB</t>
        </is>
      </c>
      <c r="I8569" t="n">
        <v>2</v>
      </c>
      <c r="J8569" t="n">
        <v>0</v>
      </c>
      <c r="K8569" t="n">
        <v>0</v>
      </c>
      <c r="L8569" t="n">
        <v>0</v>
      </c>
      <c r="M8569" t="n">
        <v>0</v>
      </c>
      <c r="N8569" t="n">
        <v>0</v>
      </c>
      <c r="O8569" t="n">
        <v>0</v>
      </c>
      <c r="P8569" t="n">
        <v>0</v>
      </c>
      <c r="Q8569" t="n">
        <v>0</v>
      </c>
      <c r="R8569" t="n">
        <v>0</v>
      </c>
      <c r="S8569" t="n">
        <v>0</v>
      </c>
      <c r="T8569" t="n">
        <v>0</v>
      </c>
      <c r="U8569" t="n">
        <v>0</v>
      </c>
      <c r="V8569" s="2" t="inlineStr"/>
    </row>
    <row r="8570" ht="15" customHeight="1">
      <c r="A8570" t="inlineStr">
        <is>
          <t>A 26131-2026</t>
        </is>
      </c>
      <c r="B8570" t="inlineStr">
        <is>
          <t>avverkningsanmälan</t>
        </is>
      </c>
      <c r="C8570" t="inlineStr">
        <is>
          <t>Föryngringsavverkning</t>
        </is>
      </c>
      <c r="D8570" s="1" t="n">
        <v>46181</v>
      </c>
      <c r="E8570" s="1" t="n">
        <v>46326</v>
      </c>
      <c r="F8570" t="inlineStr">
        <is>
          <t>GÄVLEBORGS LÄN</t>
        </is>
      </c>
      <c r="G8570" t="inlineStr">
        <is>
          <t>OCKELBO</t>
        </is>
      </c>
      <c r="I8570" t="n">
        <v>0.8</v>
      </c>
      <c r="J8570" t="n">
        <v>0</v>
      </c>
      <c r="K8570" t="n">
        <v>0</v>
      </c>
      <c r="L8570" t="n">
        <v>0</v>
      </c>
      <c r="M8570" t="n">
        <v>0</v>
      </c>
      <c r="N8570" t="n">
        <v>0</v>
      </c>
      <c r="O8570" t="n">
        <v>0</v>
      </c>
      <c r="P8570" t="n">
        <v>0</v>
      </c>
      <c r="Q8570" t="n">
        <v>0</v>
      </c>
      <c r="R8570" t="n">
        <v>0</v>
      </c>
      <c r="S8570" t="n">
        <v>0</v>
      </c>
      <c r="T8570" t="n">
        <v>0</v>
      </c>
      <c r="U8570" t="n">
        <v>0</v>
      </c>
      <c r="V8570" s="2" t="inlineStr"/>
    </row>
    <row r="8571" ht="15" customHeight="1">
      <c r="A8571" t="inlineStr">
        <is>
          <t>A 26192-2026</t>
        </is>
      </c>
      <c r="B8571" t="inlineStr">
        <is>
          <t>avverkningsanmälan</t>
        </is>
      </c>
      <c r="C8571" t="inlineStr">
        <is>
          <t>Föryngringsavverkning</t>
        </is>
      </c>
      <c r="D8571" s="1" t="n">
        <v>46182</v>
      </c>
      <c r="E8571" s="1" t="n">
        <v>46326</v>
      </c>
      <c r="F8571" t="inlineStr">
        <is>
          <t>GÄVLEBORGS LÄN</t>
        </is>
      </c>
      <c r="G8571" t="inlineStr">
        <is>
          <t>BOLLNÄS</t>
        </is>
      </c>
      <c r="I8571" t="n">
        <v>0.6</v>
      </c>
      <c r="J8571" t="n">
        <v>0</v>
      </c>
      <c r="K8571" t="n">
        <v>0</v>
      </c>
      <c r="L8571" t="n">
        <v>0</v>
      </c>
      <c r="M8571" t="n">
        <v>0</v>
      </c>
      <c r="N8571" t="n">
        <v>0</v>
      </c>
      <c r="O8571" t="n">
        <v>0</v>
      </c>
      <c r="P8571" t="n">
        <v>0</v>
      </c>
      <c r="Q8571" t="n">
        <v>0</v>
      </c>
      <c r="R8571" t="n">
        <v>0</v>
      </c>
      <c r="S8571" t="n">
        <v>0</v>
      </c>
      <c r="T8571" t="n">
        <v>0</v>
      </c>
      <c r="U8571" t="n">
        <v>0</v>
      </c>
      <c r="V8571" s="2" t="inlineStr"/>
    </row>
    <row r="8572" ht="15" customHeight="1">
      <c r="A8572" t="inlineStr">
        <is>
          <t>A 26013-2026</t>
        </is>
      </c>
      <c r="B8572" t="inlineStr">
        <is>
          <t>avverkningsanmälan</t>
        </is>
      </c>
      <c r="C8572" t="inlineStr">
        <is>
          <t>Föryngringsavverkning</t>
        </is>
      </c>
      <c r="D8572" s="1" t="n">
        <v>46181</v>
      </c>
      <c r="E8572" s="1" t="n">
        <v>46326</v>
      </c>
      <c r="F8572" t="inlineStr">
        <is>
          <t>GÄVLEBORGS LÄN</t>
        </is>
      </c>
      <c r="G8572" t="inlineStr">
        <is>
          <t>SÖDERHAMN</t>
        </is>
      </c>
      <c r="I8572" t="n">
        <v>1.5</v>
      </c>
      <c r="J8572" t="n">
        <v>0</v>
      </c>
      <c r="K8572" t="n">
        <v>0</v>
      </c>
      <c r="L8572" t="n">
        <v>0</v>
      </c>
      <c r="M8572" t="n">
        <v>0</v>
      </c>
      <c r="N8572" t="n">
        <v>0</v>
      </c>
      <c r="O8572" t="n">
        <v>0</v>
      </c>
      <c r="P8572" t="n">
        <v>0</v>
      </c>
      <c r="Q8572" t="n">
        <v>0</v>
      </c>
      <c r="R8572" t="n">
        <v>0</v>
      </c>
      <c r="S8572" t="n">
        <v>0</v>
      </c>
      <c r="T8572" t="n">
        <v>0</v>
      </c>
      <c r="U8572" t="n">
        <v>0</v>
      </c>
      <c r="V8572" s="2" t="inlineStr"/>
    </row>
    <row r="8573" ht="15" customHeight="1">
      <c r="A8573" t="inlineStr">
        <is>
          <t>A 26065-2026</t>
        </is>
      </c>
      <c r="B8573" t="inlineStr">
        <is>
          <t>avverkningsanmälan</t>
        </is>
      </c>
      <c r="C8573" t="inlineStr">
        <is>
          <t>Föryngringsavverkning</t>
        </is>
      </c>
      <c r="D8573" s="1" t="n">
        <v>46181</v>
      </c>
      <c r="E8573" s="1" t="n">
        <v>46326</v>
      </c>
      <c r="F8573" t="inlineStr">
        <is>
          <t>GÄVLEBORGS LÄN</t>
        </is>
      </c>
      <c r="G8573" t="inlineStr">
        <is>
          <t>BOLLNÄS</t>
        </is>
      </c>
      <c r="I8573" t="n">
        <v>1.1</v>
      </c>
      <c r="J8573" t="n">
        <v>0</v>
      </c>
      <c r="K8573" t="n">
        <v>0</v>
      </c>
      <c r="L8573" t="n">
        <v>0</v>
      </c>
      <c r="M8573" t="n">
        <v>0</v>
      </c>
      <c r="N8573" t="n">
        <v>0</v>
      </c>
      <c r="O8573" t="n">
        <v>0</v>
      </c>
      <c r="P8573" t="n">
        <v>0</v>
      </c>
      <c r="Q8573" t="n">
        <v>0</v>
      </c>
      <c r="R8573" t="n">
        <v>0</v>
      </c>
      <c r="S8573" t="n">
        <v>0</v>
      </c>
      <c r="T8573" t="n">
        <v>0</v>
      </c>
      <c r="U8573" t="n">
        <v>0</v>
      </c>
      <c r="V8573" s="2" t="inlineStr"/>
    </row>
    <row r="8574" ht="15" customHeight="1">
      <c r="A8574" t="inlineStr">
        <is>
          <t>A 26066-2026</t>
        </is>
      </c>
      <c r="B8574" t="inlineStr">
        <is>
          <t>avverkningsanmälan</t>
        </is>
      </c>
      <c r="C8574" t="inlineStr">
        <is>
          <t>Föryngringsavverkning</t>
        </is>
      </c>
      <c r="D8574" s="1" t="n">
        <v>46181</v>
      </c>
      <c r="E8574" s="1" t="n">
        <v>46326</v>
      </c>
      <c r="F8574" t="inlineStr">
        <is>
          <t>GÄVLEBORGS LÄN</t>
        </is>
      </c>
      <c r="G8574" t="inlineStr">
        <is>
          <t>BOLLNÄS</t>
        </is>
      </c>
      <c r="I8574" t="n">
        <v>1.6</v>
      </c>
      <c r="J8574" t="n">
        <v>0</v>
      </c>
      <c r="K8574" t="n">
        <v>0</v>
      </c>
      <c r="L8574" t="n">
        <v>0</v>
      </c>
      <c r="M8574" t="n">
        <v>0</v>
      </c>
      <c r="N8574" t="n">
        <v>0</v>
      </c>
      <c r="O8574" t="n">
        <v>0</v>
      </c>
      <c r="P8574" t="n">
        <v>0</v>
      </c>
      <c r="Q8574" t="n">
        <v>0</v>
      </c>
      <c r="R8574" t="n">
        <v>0</v>
      </c>
      <c r="S8574" t="n">
        <v>0</v>
      </c>
      <c r="T8574" t="n">
        <v>0</v>
      </c>
      <c r="U8574" t="n">
        <v>0</v>
      </c>
      <c r="V8574" s="2" t="inlineStr"/>
    </row>
    <row r="8575" ht="15" customHeight="1">
      <c r="A8575" t="inlineStr">
        <is>
          <t>A 26242-2026</t>
        </is>
      </c>
      <c r="B8575" t="inlineStr">
        <is>
          <t>avverkningsanmälan</t>
        </is>
      </c>
      <c r="C8575" t="inlineStr">
        <is>
          <t>Föryngringsavverkning</t>
        </is>
      </c>
      <c r="D8575" s="1" t="n">
        <v>46182</v>
      </c>
      <c r="E8575" s="1" t="n">
        <v>46326</v>
      </c>
      <c r="F8575" t="inlineStr">
        <is>
          <t>GÄVLEBORGS LÄN</t>
        </is>
      </c>
      <c r="G8575" t="inlineStr">
        <is>
          <t>OVANÅKER</t>
        </is>
      </c>
      <c r="I8575" t="n">
        <v>1.1</v>
      </c>
      <c r="J8575" t="n">
        <v>0</v>
      </c>
      <c r="K8575" t="n">
        <v>0</v>
      </c>
      <c r="L8575" t="n">
        <v>0</v>
      </c>
      <c r="M8575" t="n">
        <v>0</v>
      </c>
      <c r="N8575" t="n">
        <v>0</v>
      </c>
      <c r="O8575" t="n">
        <v>0</v>
      </c>
      <c r="P8575" t="n">
        <v>0</v>
      </c>
      <c r="Q8575" t="n">
        <v>0</v>
      </c>
      <c r="R8575" t="n">
        <v>0</v>
      </c>
      <c r="S8575" t="n">
        <v>0</v>
      </c>
      <c r="T8575" t="n">
        <v>0</v>
      </c>
      <c r="U8575" t="n">
        <v>0</v>
      </c>
      <c r="V8575" s="2" t="inlineStr"/>
    </row>
    <row r="8576" ht="15" customHeight="1">
      <c r="A8576" t="inlineStr">
        <is>
          <t>A 26247-2026</t>
        </is>
      </c>
      <c r="B8576" t="inlineStr">
        <is>
          <t>avverkningsanmälan</t>
        </is>
      </c>
      <c r="C8576" t="inlineStr">
        <is>
          <t>Föryngringsavverkning</t>
        </is>
      </c>
      <c r="D8576" s="1" t="n">
        <v>46182</v>
      </c>
      <c r="E8576" s="1" t="n">
        <v>46326</v>
      </c>
      <c r="F8576" t="inlineStr">
        <is>
          <t>GÄVLEBORGS LÄN</t>
        </is>
      </c>
      <c r="G8576" t="inlineStr">
        <is>
          <t>BOLLNÄS</t>
        </is>
      </c>
      <c r="I8576" t="n">
        <v>1.8</v>
      </c>
      <c r="J8576" t="n">
        <v>0</v>
      </c>
      <c r="K8576" t="n">
        <v>0</v>
      </c>
      <c r="L8576" t="n">
        <v>0</v>
      </c>
      <c r="M8576" t="n">
        <v>0</v>
      </c>
      <c r="N8576" t="n">
        <v>0</v>
      </c>
      <c r="O8576" t="n">
        <v>0</v>
      </c>
      <c r="P8576" t="n">
        <v>0</v>
      </c>
      <c r="Q8576" t="n">
        <v>0</v>
      </c>
      <c r="R8576" t="n">
        <v>0</v>
      </c>
      <c r="S8576" t="n">
        <v>0</v>
      </c>
      <c r="T8576" t="n">
        <v>0</v>
      </c>
      <c r="U8576" t="n">
        <v>0</v>
      </c>
      <c r="V8576" s="2" t="inlineStr"/>
    </row>
    <row r="8577" ht="15" customHeight="1">
      <c r="A8577" t="inlineStr">
        <is>
          <t>A 38200-2024</t>
        </is>
      </c>
      <c r="B8577" t="inlineStr">
        <is>
          <t>avverkningsanmälan</t>
        </is>
      </c>
      <c r="C8577" t="inlineStr">
        <is>
          <t>Föryngringsavverkning</t>
        </is>
      </c>
      <c r="D8577" s="1" t="n">
        <v>45545</v>
      </c>
      <c r="E8577" s="1" t="n">
        <v>46326</v>
      </c>
      <c r="F8577" t="inlineStr">
        <is>
          <t>GÄVLEBORGS LÄN</t>
        </is>
      </c>
      <c r="G8577" t="inlineStr">
        <is>
          <t>SANDVIKEN</t>
        </is>
      </c>
      <c r="H8577" t="inlineStr">
        <is>
          <t>Sveaskog</t>
        </is>
      </c>
      <c r="I8577" t="n">
        <v>1.2</v>
      </c>
      <c r="J8577" t="n">
        <v>0</v>
      </c>
      <c r="K8577" t="n">
        <v>0</v>
      </c>
      <c r="L8577" t="n">
        <v>0</v>
      </c>
      <c r="M8577" t="n">
        <v>0</v>
      </c>
      <c r="N8577" t="n">
        <v>0</v>
      </c>
      <c r="O8577" t="n">
        <v>0</v>
      </c>
      <c r="P8577" t="n">
        <v>0</v>
      </c>
      <c r="Q8577" t="n">
        <v>0</v>
      </c>
      <c r="R8577" t="n">
        <v>0</v>
      </c>
      <c r="S8577" t="n">
        <v>0</v>
      </c>
      <c r="T8577" t="n">
        <v>0</v>
      </c>
      <c r="U8577" t="n">
        <v>0</v>
      </c>
      <c r="V8577" s="2" t="inlineStr"/>
    </row>
    <row r="8578" ht="15" customHeight="1">
      <c r="A8578" t="inlineStr">
        <is>
          <t>A 30695-2024</t>
        </is>
      </c>
      <c r="B8578" t="inlineStr">
        <is>
          <t>avverkningsanmälan</t>
        </is>
      </c>
      <c r="C8578" t="inlineStr">
        <is>
          <t>Föryngringsavverkning</t>
        </is>
      </c>
      <c r="D8578" s="1" t="n">
        <v>45496</v>
      </c>
      <c r="E8578" s="1" t="n">
        <v>46326</v>
      </c>
      <c r="F8578" t="inlineStr">
        <is>
          <t>GÄVLEBORGS LÄN</t>
        </is>
      </c>
      <c r="G8578" t="inlineStr">
        <is>
          <t>OVANÅKER</t>
        </is>
      </c>
      <c r="H8578" t="inlineStr">
        <is>
          <t>Bergvik skog väst AB</t>
        </is>
      </c>
      <c r="I8578" t="n">
        <v>8.1</v>
      </c>
      <c r="J8578" t="n">
        <v>0</v>
      </c>
      <c r="K8578" t="n">
        <v>0</v>
      </c>
      <c r="L8578" t="n">
        <v>0</v>
      </c>
      <c r="M8578" t="n">
        <v>0</v>
      </c>
      <c r="N8578" t="n">
        <v>0</v>
      </c>
      <c r="O8578" t="n">
        <v>0</v>
      </c>
      <c r="P8578" t="n">
        <v>0</v>
      </c>
      <c r="Q8578" t="n">
        <v>0</v>
      </c>
      <c r="R8578" t="n">
        <v>0</v>
      </c>
      <c r="S8578" t="n">
        <v>0</v>
      </c>
      <c r="T8578" t="n">
        <v>0</v>
      </c>
      <c r="U8578" t="n">
        <v>0</v>
      </c>
      <c r="V8578" s="2" t="inlineStr"/>
    </row>
    <row r="8579" ht="15" customHeight="1">
      <c r="A8579" t="inlineStr">
        <is>
          <t>A 26314-2026</t>
        </is>
      </c>
      <c r="B8579" t="inlineStr">
        <is>
          <t>avverkningsanmälan</t>
        </is>
      </c>
      <c r="C8579" t="inlineStr">
        <is>
          <t>Föryngringsavverkning</t>
        </is>
      </c>
      <c r="D8579" s="1" t="n">
        <v>46182</v>
      </c>
      <c r="E8579" s="1" t="n">
        <v>46326</v>
      </c>
      <c r="F8579" t="inlineStr">
        <is>
          <t>GÄVLEBORGS LÄN</t>
        </is>
      </c>
      <c r="G8579" t="inlineStr">
        <is>
          <t>LJUSDAL</t>
        </is>
      </c>
      <c r="H8579" t="inlineStr">
        <is>
          <t>SCA</t>
        </is>
      </c>
      <c r="I8579" t="n">
        <v>4.9</v>
      </c>
      <c r="J8579" t="n">
        <v>0</v>
      </c>
      <c r="K8579" t="n">
        <v>0</v>
      </c>
      <c r="L8579" t="n">
        <v>0</v>
      </c>
      <c r="M8579" t="n">
        <v>0</v>
      </c>
      <c r="N8579" t="n">
        <v>0</v>
      </c>
      <c r="O8579" t="n">
        <v>0</v>
      </c>
      <c r="P8579" t="n">
        <v>0</v>
      </c>
      <c r="Q8579" t="n">
        <v>0</v>
      </c>
      <c r="R8579" t="n">
        <v>0</v>
      </c>
      <c r="S8579" t="n">
        <v>0</v>
      </c>
      <c r="T8579" t="n">
        <v>0</v>
      </c>
      <c r="U8579" t="n">
        <v>0</v>
      </c>
      <c r="V8579" s="2" t="inlineStr"/>
    </row>
    <row r="8580" ht="15" customHeight="1">
      <c r="A8580" t="inlineStr">
        <is>
          <t>A 55070-2023</t>
        </is>
      </c>
      <c r="B8580" t="inlineStr">
        <is>
          <t>avverkningsanmälan</t>
        </is>
      </c>
      <c r="C8580" t="inlineStr">
        <is>
          <t>Föryngringsavverkning</t>
        </is>
      </c>
      <c r="D8580" s="1" t="n">
        <v>45237</v>
      </c>
      <c r="E8580" s="1" t="n">
        <v>46326</v>
      </c>
      <c r="F8580" t="inlineStr">
        <is>
          <t>GÄVLEBORGS LÄN</t>
        </is>
      </c>
      <c r="G8580" t="inlineStr">
        <is>
          <t>OCKELBO</t>
        </is>
      </c>
      <c r="I8580" t="n">
        <v>3.2</v>
      </c>
      <c r="J8580" t="n">
        <v>0</v>
      </c>
      <c r="K8580" t="n">
        <v>0</v>
      </c>
      <c r="L8580" t="n">
        <v>0</v>
      </c>
      <c r="M8580" t="n">
        <v>0</v>
      </c>
      <c r="N8580" t="n">
        <v>0</v>
      </c>
      <c r="O8580" t="n">
        <v>0</v>
      </c>
      <c r="P8580" t="n">
        <v>0</v>
      </c>
      <c r="Q8580" t="n">
        <v>0</v>
      </c>
      <c r="R8580" t="n">
        <v>0</v>
      </c>
      <c r="S8580" t="n">
        <v>0</v>
      </c>
      <c r="T8580" t="n">
        <v>0</v>
      </c>
      <c r="U8580" t="n">
        <v>0</v>
      </c>
      <c r="V8580" s="2" t="inlineStr"/>
    </row>
    <row r="8581" ht="15" customHeight="1">
      <c r="A8581" t="inlineStr">
        <is>
          <t>A 6194-2025</t>
        </is>
      </c>
      <c r="B8581" t="inlineStr">
        <is>
          <t>avverkningsanmälan</t>
        </is>
      </c>
      <c r="C8581" t="inlineStr">
        <is>
          <t>Föryngringsavverkning</t>
        </is>
      </c>
      <c r="D8581" s="1" t="n">
        <v>45698</v>
      </c>
      <c r="E8581" s="1" t="n">
        <v>46326</v>
      </c>
      <c r="F8581" t="inlineStr">
        <is>
          <t>GÄVLEBORGS LÄN</t>
        </is>
      </c>
      <c r="G8581" t="inlineStr">
        <is>
          <t>OCKELBO</t>
        </is>
      </c>
      <c r="I8581" t="n">
        <v>1.3</v>
      </c>
      <c r="J8581" t="n">
        <v>0</v>
      </c>
      <c r="K8581" t="n">
        <v>0</v>
      </c>
      <c r="L8581" t="n">
        <v>0</v>
      </c>
      <c r="M8581" t="n">
        <v>0</v>
      </c>
      <c r="N8581" t="n">
        <v>0</v>
      </c>
      <c r="O8581" t="n">
        <v>0</v>
      </c>
      <c r="P8581" t="n">
        <v>0</v>
      </c>
      <c r="Q8581" t="n">
        <v>0</v>
      </c>
      <c r="R8581" t="n">
        <v>0</v>
      </c>
      <c r="S8581" t="n">
        <v>0</v>
      </c>
      <c r="T8581" t="n">
        <v>0</v>
      </c>
      <c r="U8581" t="n">
        <v>0</v>
      </c>
      <c r="V8581" s="2" t="inlineStr"/>
    </row>
    <row r="8582" ht="15" customHeight="1">
      <c r="A8582" t="inlineStr">
        <is>
          <t>A 26194-2026</t>
        </is>
      </c>
      <c r="B8582" t="inlineStr">
        <is>
          <t>avverkningsanmälan</t>
        </is>
      </c>
      <c r="C8582" t="inlineStr">
        <is>
          <t>Föryngringsavverkning</t>
        </is>
      </c>
      <c r="D8582" s="1" t="n">
        <v>46182</v>
      </c>
      <c r="E8582" s="1" t="n">
        <v>46326</v>
      </c>
      <c r="F8582" t="inlineStr">
        <is>
          <t>GÄVLEBORGS LÄN</t>
        </is>
      </c>
      <c r="G8582" t="inlineStr">
        <is>
          <t>BOLLNÄS</t>
        </is>
      </c>
      <c r="I8582" t="n">
        <v>5.5</v>
      </c>
      <c r="J8582" t="n">
        <v>0</v>
      </c>
      <c r="K8582" t="n">
        <v>0</v>
      </c>
      <c r="L8582" t="n">
        <v>0</v>
      </c>
      <c r="M8582" t="n">
        <v>0</v>
      </c>
      <c r="N8582" t="n">
        <v>0</v>
      </c>
      <c r="O8582" t="n">
        <v>0</v>
      </c>
      <c r="P8582" t="n">
        <v>0</v>
      </c>
      <c r="Q8582" t="n">
        <v>0</v>
      </c>
      <c r="R8582" t="n">
        <v>0</v>
      </c>
      <c r="S8582" t="n">
        <v>0</v>
      </c>
      <c r="T8582" t="n">
        <v>0</v>
      </c>
      <c r="U8582" t="n">
        <v>0</v>
      </c>
      <c r="V8582" s="2" t="inlineStr"/>
    </row>
    <row r="8583" ht="15" customHeight="1">
      <c r="A8583" t="inlineStr">
        <is>
          <t>A 26214-2026</t>
        </is>
      </c>
      <c r="B8583" t="inlineStr">
        <is>
          <t>avverkningsanmälan</t>
        </is>
      </c>
      <c r="C8583" t="inlineStr">
        <is>
          <t>Föryngringsavverkning</t>
        </is>
      </c>
      <c r="D8583" s="1" t="n">
        <v>46182</v>
      </c>
      <c r="E8583" s="1" t="n">
        <v>46326</v>
      </c>
      <c r="F8583" t="inlineStr">
        <is>
          <t>GÄVLEBORGS LÄN</t>
        </is>
      </c>
      <c r="G8583" t="inlineStr">
        <is>
          <t>BOLLNÄS</t>
        </is>
      </c>
      <c r="I8583" t="n">
        <v>2.7</v>
      </c>
      <c r="J8583" t="n">
        <v>0</v>
      </c>
      <c r="K8583" t="n">
        <v>0</v>
      </c>
      <c r="L8583" t="n">
        <v>0</v>
      </c>
      <c r="M8583" t="n">
        <v>0</v>
      </c>
      <c r="N8583" t="n">
        <v>0</v>
      </c>
      <c r="O8583" t="n">
        <v>0</v>
      </c>
      <c r="P8583" t="n">
        <v>0</v>
      </c>
      <c r="Q8583" t="n">
        <v>0</v>
      </c>
      <c r="R8583" t="n">
        <v>0</v>
      </c>
      <c r="S8583" t="n">
        <v>0</v>
      </c>
      <c r="T8583" t="n">
        <v>0</v>
      </c>
      <c r="U8583" t="n">
        <v>0</v>
      </c>
      <c r="V8583" s="2" t="inlineStr"/>
    </row>
    <row r="8584" ht="15" customHeight="1">
      <c r="A8584" t="inlineStr">
        <is>
          <t>A 1192-2026</t>
        </is>
      </c>
      <c r="B8584" t="inlineStr">
        <is>
          <t>avverkningsanmälan</t>
        </is>
      </c>
      <c r="C8584" t="inlineStr">
        <is>
          <t>Föryngringsavverkning</t>
        </is>
      </c>
      <c r="D8584" s="1" t="n">
        <v>46031</v>
      </c>
      <c r="E8584" s="1" t="n">
        <v>46326</v>
      </c>
      <c r="F8584" t="inlineStr">
        <is>
          <t>GÄVLEBORGS LÄN</t>
        </is>
      </c>
      <c r="G8584" t="inlineStr">
        <is>
          <t>HUDIKSVALL</t>
        </is>
      </c>
      <c r="H8584" t="inlineStr">
        <is>
          <t>Holmen skog AB</t>
        </is>
      </c>
      <c r="I8584" t="n">
        <v>3.3</v>
      </c>
      <c r="J8584" t="n">
        <v>0</v>
      </c>
      <c r="K8584" t="n">
        <v>0</v>
      </c>
      <c r="L8584" t="n">
        <v>0</v>
      </c>
      <c r="M8584" t="n">
        <v>0</v>
      </c>
      <c r="N8584" t="n">
        <v>0</v>
      </c>
      <c r="O8584" t="n">
        <v>0</v>
      </c>
      <c r="P8584" t="n">
        <v>0</v>
      </c>
      <c r="Q8584" t="n">
        <v>0</v>
      </c>
      <c r="R8584" t="n">
        <v>0</v>
      </c>
      <c r="S8584" t="n">
        <v>0</v>
      </c>
      <c r="T8584" t="n">
        <v>0</v>
      </c>
      <c r="U8584" t="n">
        <v>0</v>
      </c>
      <c r="V8584" s="2" t="inlineStr"/>
    </row>
    <row r="8585" ht="15" customHeight="1">
      <c r="A8585" t="inlineStr">
        <is>
          <t>A 67049-2021</t>
        </is>
      </c>
      <c r="B8585" t="inlineStr">
        <is>
          <t>avverkningsanmälan</t>
        </is>
      </c>
      <c r="C8585" t="inlineStr">
        <is>
          <t>Föryngringsavverkning</t>
        </is>
      </c>
      <c r="D8585" s="1" t="n">
        <v>44522</v>
      </c>
      <c r="E8585" s="1" t="n">
        <v>46326</v>
      </c>
      <c r="F8585" t="inlineStr">
        <is>
          <t>GÄVLEBORGS LÄN</t>
        </is>
      </c>
      <c r="G8585" t="inlineStr">
        <is>
          <t>HUDIKSVALL</t>
        </is>
      </c>
      <c r="I8585" t="n">
        <v>1</v>
      </c>
      <c r="J8585" t="n">
        <v>0</v>
      </c>
      <c r="K8585" t="n">
        <v>0</v>
      </c>
      <c r="L8585" t="n">
        <v>0</v>
      </c>
      <c r="M8585" t="n">
        <v>0</v>
      </c>
      <c r="N8585" t="n">
        <v>0</v>
      </c>
      <c r="O8585" t="n">
        <v>0</v>
      </c>
      <c r="P8585" t="n">
        <v>0</v>
      </c>
      <c r="Q8585" t="n">
        <v>0</v>
      </c>
      <c r="R8585" t="n">
        <v>0</v>
      </c>
      <c r="S8585" t="n">
        <v>0</v>
      </c>
      <c r="T8585" t="n">
        <v>0</v>
      </c>
      <c r="U8585" t="n">
        <v>0</v>
      </c>
      <c r="V8585" s="2" t="inlineStr"/>
    </row>
    <row r="8586" ht="15" customHeight="1">
      <c r="A8586" t="inlineStr">
        <is>
          <t>A 67082-2021</t>
        </is>
      </c>
      <c r="B8586" t="inlineStr">
        <is>
          <t>avverkningsanmälan</t>
        </is>
      </c>
      <c r="C8586" t="inlineStr">
        <is>
          <t>Föryngringsavverkning</t>
        </is>
      </c>
      <c r="D8586" s="1" t="n">
        <v>44522</v>
      </c>
      <c r="E8586" s="1" t="n">
        <v>46326</v>
      </c>
      <c r="F8586" t="inlineStr">
        <is>
          <t>GÄVLEBORGS LÄN</t>
        </is>
      </c>
      <c r="G8586" t="inlineStr">
        <is>
          <t>HUDIKSVALL</t>
        </is>
      </c>
      <c r="I8586" t="n">
        <v>2.5</v>
      </c>
      <c r="J8586" t="n">
        <v>0</v>
      </c>
      <c r="K8586" t="n">
        <v>0</v>
      </c>
      <c r="L8586" t="n">
        <v>0</v>
      </c>
      <c r="M8586" t="n">
        <v>0</v>
      </c>
      <c r="N8586" t="n">
        <v>0</v>
      </c>
      <c r="O8586" t="n">
        <v>0</v>
      </c>
      <c r="P8586" t="n">
        <v>0</v>
      </c>
      <c r="Q8586" t="n">
        <v>0</v>
      </c>
      <c r="R8586" t="n">
        <v>0</v>
      </c>
      <c r="S8586" t="n">
        <v>0</v>
      </c>
      <c r="T8586" t="n">
        <v>0</v>
      </c>
      <c r="U8586" t="n">
        <v>0</v>
      </c>
      <c r="V8586" s="2" t="inlineStr"/>
    </row>
    <row r="8587" ht="15" customHeight="1">
      <c r="A8587" t="inlineStr">
        <is>
          <t>A 22960-2026</t>
        </is>
      </c>
      <c r="B8587" t="inlineStr">
        <is>
          <t>avverkningsanmälan</t>
        </is>
      </c>
      <c r="C8587" t="inlineStr">
        <is>
          <t>Föryngringsavverkning</t>
        </is>
      </c>
      <c r="D8587" s="1" t="n">
        <v>46160</v>
      </c>
      <c r="E8587" s="1" t="n">
        <v>46326</v>
      </c>
      <c r="F8587" t="inlineStr">
        <is>
          <t>GÄVLEBORGS LÄN</t>
        </is>
      </c>
      <c r="G8587" t="inlineStr">
        <is>
          <t>OVANÅKER</t>
        </is>
      </c>
      <c r="I8587" t="n">
        <v>2.8</v>
      </c>
      <c r="J8587" t="n">
        <v>0</v>
      </c>
      <c r="K8587" t="n">
        <v>0</v>
      </c>
      <c r="L8587" t="n">
        <v>0</v>
      </c>
      <c r="M8587" t="n">
        <v>0</v>
      </c>
      <c r="N8587" t="n">
        <v>0</v>
      </c>
      <c r="O8587" t="n">
        <v>0</v>
      </c>
      <c r="P8587" t="n">
        <v>0</v>
      </c>
      <c r="Q8587" t="n">
        <v>0</v>
      </c>
      <c r="R8587" t="n">
        <v>0</v>
      </c>
      <c r="S8587" t="n">
        <v>0</v>
      </c>
      <c r="T8587" t="n">
        <v>0</v>
      </c>
      <c r="U8587" t="n">
        <v>0</v>
      </c>
      <c r="V8587" s="2" t="inlineStr"/>
    </row>
    <row r="8588" ht="15" customHeight="1">
      <c r="A8588" t="inlineStr">
        <is>
          <t>A 57886-2024</t>
        </is>
      </c>
      <c r="B8588" t="inlineStr">
        <is>
          <t>avverkningsanmälan</t>
        </is>
      </c>
      <c r="C8588" t="inlineStr">
        <is>
          <t>Föryngringsavverkning</t>
        </is>
      </c>
      <c r="D8588" s="1" t="n">
        <v>45631</v>
      </c>
      <c r="E8588" s="1" t="n">
        <v>46326</v>
      </c>
      <c r="F8588" t="inlineStr">
        <is>
          <t>GÄVLEBORGS LÄN</t>
        </is>
      </c>
      <c r="G8588" t="inlineStr">
        <is>
          <t>LJUSDAL</t>
        </is>
      </c>
      <c r="I8588" t="n">
        <v>2.9</v>
      </c>
      <c r="J8588" t="n">
        <v>0</v>
      </c>
      <c r="K8588" t="n">
        <v>0</v>
      </c>
      <c r="L8588" t="n">
        <v>0</v>
      </c>
      <c r="M8588" t="n">
        <v>0</v>
      </c>
      <c r="N8588" t="n">
        <v>0</v>
      </c>
      <c r="O8588" t="n">
        <v>0</v>
      </c>
      <c r="P8588" t="n">
        <v>0</v>
      </c>
      <c r="Q8588" t="n">
        <v>0</v>
      </c>
      <c r="R8588" t="n">
        <v>0</v>
      </c>
      <c r="S8588" t="n">
        <v>0</v>
      </c>
      <c r="T8588" t="n">
        <v>0</v>
      </c>
      <c r="U8588" t="n">
        <v>0</v>
      </c>
      <c r="V8588" s="2" t="inlineStr"/>
    </row>
    <row r="8589" ht="15" customHeight="1">
      <c r="A8589" t="inlineStr">
        <is>
          <t>A 33880-2022</t>
        </is>
      </c>
      <c r="B8589" t="inlineStr">
        <is>
          <t>avverkningsanmälan</t>
        </is>
      </c>
      <c r="C8589" t="inlineStr">
        <is>
          <t>Föryngringsavverkning</t>
        </is>
      </c>
      <c r="D8589" s="1" t="n">
        <v>44790</v>
      </c>
      <c r="E8589" s="1" t="n">
        <v>46326</v>
      </c>
      <c r="F8589" t="inlineStr">
        <is>
          <t>GÄVLEBORGS LÄN</t>
        </is>
      </c>
      <c r="G8589" t="inlineStr">
        <is>
          <t>GÄVLE</t>
        </is>
      </c>
      <c r="I8589" t="n">
        <v>9.4</v>
      </c>
      <c r="J8589" t="n">
        <v>0</v>
      </c>
      <c r="K8589" t="n">
        <v>0</v>
      </c>
      <c r="L8589" t="n">
        <v>0</v>
      </c>
      <c r="M8589" t="n">
        <v>0</v>
      </c>
      <c r="N8589" t="n">
        <v>0</v>
      </c>
      <c r="O8589" t="n">
        <v>0</v>
      </c>
      <c r="P8589" t="n">
        <v>0</v>
      </c>
      <c r="Q8589" t="n">
        <v>0</v>
      </c>
      <c r="R8589" t="n">
        <v>0</v>
      </c>
      <c r="S8589" t="n">
        <v>0</v>
      </c>
      <c r="T8589" t="n">
        <v>0</v>
      </c>
      <c r="U8589" t="n">
        <v>0</v>
      </c>
      <c r="V8589" s="2" t="inlineStr"/>
    </row>
    <row r="8590" ht="15" customHeight="1">
      <c r="A8590" t="inlineStr">
        <is>
          <t>A 43299-2023</t>
        </is>
      </c>
      <c r="B8590" t="inlineStr">
        <is>
          <t>avverkningsanmälan</t>
        </is>
      </c>
      <c r="C8590" t="inlineStr">
        <is>
          <t>Föryngringsavverkning</t>
        </is>
      </c>
      <c r="D8590" s="1" t="n">
        <v>45183</v>
      </c>
      <c r="E8590" s="1" t="n">
        <v>46326</v>
      </c>
      <c r="F8590" t="inlineStr">
        <is>
          <t>GÄVLEBORGS LÄN</t>
        </is>
      </c>
      <c r="G8590" t="inlineStr">
        <is>
          <t>OVANÅKER</t>
        </is>
      </c>
      <c r="I8590" t="n">
        <v>0.6</v>
      </c>
      <c r="J8590" t="n">
        <v>0</v>
      </c>
      <c r="K8590" t="n">
        <v>0</v>
      </c>
      <c r="L8590" t="n">
        <v>0</v>
      </c>
      <c r="M8590" t="n">
        <v>0</v>
      </c>
      <c r="N8590" t="n">
        <v>0</v>
      </c>
      <c r="O8590" t="n">
        <v>0</v>
      </c>
      <c r="P8590" t="n">
        <v>0</v>
      </c>
      <c r="Q8590" t="n">
        <v>0</v>
      </c>
      <c r="R8590" t="n">
        <v>0</v>
      </c>
      <c r="S8590" t="n">
        <v>0</v>
      </c>
      <c r="T8590" t="n">
        <v>0</v>
      </c>
      <c r="U8590" t="n">
        <v>0</v>
      </c>
      <c r="V8590" s="2" t="inlineStr"/>
    </row>
    <row r="8591" ht="15" customHeight="1">
      <c r="A8591" t="inlineStr">
        <is>
          <t>A 26126-2026</t>
        </is>
      </c>
      <c r="B8591" t="inlineStr">
        <is>
          <t>avverkningsanmälan</t>
        </is>
      </c>
      <c r="C8591" t="inlineStr">
        <is>
          <t>Föryngringsavverkning</t>
        </is>
      </c>
      <c r="D8591" s="1" t="n">
        <v>46181</v>
      </c>
      <c r="E8591" s="1" t="n">
        <v>46326</v>
      </c>
      <c r="F8591" t="inlineStr">
        <is>
          <t>GÄVLEBORGS LÄN</t>
        </is>
      </c>
      <c r="G8591" t="inlineStr">
        <is>
          <t>NORDANSTIG</t>
        </is>
      </c>
      <c r="H8591" t="inlineStr">
        <is>
          <t>Holmen skog AB</t>
        </is>
      </c>
      <c r="I8591" t="n">
        <v>3.9</v>
      </c>
      <c r="J8591" t="n">
        <v>0</v>
      </c>
      <c r="K8591" t="n">
        <v>0</v>
      </c>
      <c r="L8591" t="n">
        <v>0</v>
      </c>
      <c r="M8591" t="n">
        <v>0</v>
      </c>
      <c r="N8591" t="n">
        <v>0</v>
      </c>
      <c r="O8591" t="n">
        <v>0</v>
      </c>
      <c r="P8591" t="n">
        <v>0</v>
      </c>
      <c r="Q8591" t="n">
        <v>0</v>
      </c>
      <c r="R8591" t="n">
        <v>0</v>
      </c>
      <c r="S8591" t="n">
        <v>0</v>
      </c>
      <c r="T8591" t="n">
        <v>0</v>
      </c>
      <c r="U8591" t="n">
        <v>0</v>
      </c>
      <c r="V8591" s="2" t="inlineStr"/>
    </row>
    <row r="8592" ht="15" customHeight="1">
      <c r="A8592" t="inlineStr">
        <is>
          <t>A 26558-2026</t>
        </is>
      </c>
      <c r="B8592" t="inlineStr">
        <is>
          <t>avverkningsanmälan</t>
        </is>
      </c>
      <c r="C8592" t="inlineStr">
        <is>
          <t>Föryngringsavverkning</t>
        </is>
      </c>
      <c r="D8592" s="1" t="n">
        <v>46183</v>
      </c>
      <c r="E8592" s="1" t="n">
        <v>46326</v>
      </c>
      <c r="F8592" t="inlineStr">
        <is>
          <t>GÄVLEBORGS LÄN</t>
        </is>
      </c>
      <c r="G8592" t="inlineStr">
        <is>
          <t>BOLLNÄS</t>
        </is>
      </c>
      <c r="I8592" t="n">
        <v>0.8</v>
      </c>
      <c r="J8592" t="n">
        <v>0</v>
      </c>
      <c r="K8592" t="n">
        <v>0</v>
      </c>
      <c r="L8592" t="n">
        <v>0</v>
      </c>
      <c r="M8592" t="n">
        <v>0</v>
      </c>
      <c r="N8592" t="n">
        <v>0</v>
      </c>
      <c r="O8592" t="n">
        <v>0</v>
      </c>
      <c r="P8592" t="n">
        <v>0</v>
      </c>
      <c r="Q8592" t="n">
        <v>0</v>
      </c>
      <c r="R8592" t="n">
        <v>0</v>
      </c>
      <c r="S8592" t="n">
        <v>0</v>
      </c>
      <c r="T8592" t="n">
        <v>0</v>
      </c>
      <c r="U8592" t="n">
        <v>0</v>
      </c>
      <c r="V8592" s="2" t="inlineStr"/>
    </row>
    <row r="8593" ht="15" customHeight="1">
      <c r="A8593" t="inlineStr">
        <is>
          <t>A 26613-2026</t>
        </is>
      </c>
      <c r="B8593" t="inlineStr">
        <is>
          <t>avverkningsanmälan</t>
        </is>
      </c>
      <c r="C8593" t="inlineStr">
        <is>
          <t>Föryngringsavverkning</t>
        </is>
      </c>
      <c r="D8593" s="1" t="n">
        <v>46184</v>
      </c>
      <c r="E8593" s="1" t="n">
        <v>46326</v>
      </c>
      <c r="F8593" t="inlineStr">
        <is>
          <t>GÄVLEBORGS LÄN</t>
        </is>
      </c>
      <c r="G8593" t="inlineStr">
        <is>
          <t>OVANÅKER</t>
        </is>
      </c>
      <c r="I8593" t="n">
        <v>2.5</v>
      </c>
      <c r="J8593" t="n">
        <v>0</v>
      </c>
      <c r="K8593" t="n">
        <v>0</v>
      </c>
      <c r="L8593" t="n">
        <v>0</v>
      </c>
      <c r="M8593" t="n">
        <v>0</v>
      </c>
      <c r="N8593" t="n">
        <v>0</v>
      </c>
      <c r="O8593" t="n">
        <v>0</v>
      </c>
      <c r="P8593" t="n">
        <v>0</v>
      </c>
      <c r="Q8593" t="n">
        <v>0</v>
      </c>
      <c r="R8593" t="n">
        <v>0</v>
      </c>
      <c r="S8593" t="n">
        <v>0</v>
      </c>
      <c r="T8593" t="n">
        <v>0</v>
      </c>
      <c r="U8593" t="n">
        <v>0</v>
      </c>
      <c r="V8593" s="2" t="inlineStr"/>
    </row>
    <row r="8594" ht="15" customHeight="1">
      <c r="A8594" t="inlineStr">
        <is>
          <t>A 26763-2026</t>
        </is>
      </c>
      <c r="B8594" t="inlineStr">
        <is>
          <t>avverkningsanmälan</t>
        </is>
      </c>
      <c r="C8594" t="inlineStr">
        <is>
          <t>Föryngringsavverkning</t>
        </is>
      </c>
      <c r="D8594" s="1" t="n">
        <v>46184</v>
      </c>
      <c r="E8594" s="1" t="n">
        <v>46326</v>
      </c>
      <c r="F8594" t="inlineStr">
        <is>
          <t>GÄVLEBORGS LÄN</t>
        </is>
      </c>
      <c r="G8594" t="inlineStr">
        <is>
          <t>SANDVIKEN</t>
        </is>
      </c>
      <c r="I8594" t="n">
        <v>0.7</v>
      </c>
      <c r="J8594" t="n">
        <v>0</v>
      </c>
      <c r="K8594" t="n">
        <v>0</v>
      </c>
      <c r="L8594" t="n">
        <v>0</v>
      </c>
      <c r="M8594" t="n">
        <v>0</v>
      </c>
      <c r="N8594" t="n">
        <v>0</v>
      </c>
      <c r="O8594" t="n">
        <v>0</v>
      </c>
      <c r="P8594" t="n">
        <v>0</v>
      </c>
      <c r="Q8594" t="n">
        <v>0</v>
      </c>
      <c r="R8594" t="n">
        <v>0</v>
      </c>
      <c r="S8594" t="n">
        <v>0</v>
      </c>
      <c r="T8594" t="n">
        <v>0</v>
      </c>
      <c r="U8594" t="n">
        <v>0</v>
      </c>
      <c r="V8594" s="2" t="inlineStr"/>
    </row>
    <row r="8595" ht="15" customHeight="1">
      <c r="A8595" t="inlineStr">
        <is>
          <t>A 21153-2023</t>
        </is>
      </c>
      <c r="B8595" t="inlineStr">
        <is>
          <t>avverkningsanmälan</t>
        </is>
      </c>
      <c r="C8595" t="inlineStr">
        <is>
          <t>Föryngringsavverkning</t>
        </is>
      </c>
      <c r="D8595" s="1" t="n">
        <v>45062</v>
      </c>
      <c r="E8595" s="1" t="n">
        <v>46326</v>
      </c>
      <c r="F8595" t="inlineStr">
        <is>
          <t>GÄVLEBORGS LÄN</t>
        </is>
      </c>
      <c r="G8595" t="inlineStr">
        <is>
          <t>NORDANSTIG</t>
        </is>
      </c>
      <c r="I8595" t="n">
        <v>1.1</v>
      </c>
      <c r="J8595" t="n">
        <v>0</v>
      </c>
      <c r="K8595" t="n">
        <v>0</v>
      </c>
      <c r="L8595" t="n">
        <v>0</v>
      </c>
      <c r="M8595" t="n">
        <v>0</v>
      </c>
      <c r="N8595" t="n">
        <v>0</v>
      </c>
      <c r="O8595" t="n">
        <v>0</v>
      </c>
      <c r="P8595" t="n">
        <v>0</v>
      </c>
      <c r="Q8595" t="n">
        <v>0</v>
      </c>
      <c r="R8595" t="n">
        <v>0</v>
      </c>
      <c r="S8595" t="n">
        <v>0</v>
      </c>
      <c r="T8595" t="n">
        <v>0</v>
      </c>
      <c r="U8595" t="n">
        <v>0</v>
      </c>
      <c r="V8595" s="2" t="inlineStr"/>
    </row>
    <row r="8596" ht="15" customHeight="1">
      <c r="A8596" t="inlineStr">
        <is>
          <t>A 24092-2023</t>
        </is>
      </c>
      <c r="B8596" t="inlineStr">
        <is>
          <t>avverkningsanmälan</t>
        </is>
      </c>
      <c r="C8596" t="inlineStr">
        <is>
          <t>Föryngringsavverkning</t>
        </is>
      </c>
      <c r="D8596" s="1" t="n">
        <v>45079</v>
      </c>
      <c r="E8596" s="1" t="n">
        <v>46326</v>
      </c>
      <c r="F8596" t="inlineStr">
        <is>
          <t>GÄVLEBORGS LÄN</t>
        </is>
      </c>
      <c r="G8596" t="inlineStr">
        <is>
          <t>HUDIKSVALL</t>
        </is>
      </c>
      <c r="H8596" t="inlineStr">
        <is>
          <t>Holmen skog AB</t>
        </is>
      </c>
      <c r="I8596" t="n">
        <v>1</v>
      </c>
      <c r="J8596" t="n">
        <v>0</v>
      </c>
      <c r="K8596" t="n">
        <v>0</v>
      </c>
      <c r="L8596" t="n">
        <v>0</v>
      </c>
      <c r="M8596" t="n">
        <v>0</v>
      </c>
      <c r="N8596" t="n">
        <v>0</v>
      </c>
      <c r="O8596" t="n">
        <v>0</v>
      </c>
      <c r="P8596" t="n">
        <v>0</v>
      </c>
      <c r="Q8596" t="n">
        <v>0</v>
      </c>
      <c r="R8596" t="n">
        <v>0</v>
      </c>
      <c r="S8596" t="n">
        <v>0</v>
      </c>
      <c r="T8596" t="n">
        <v>0</v>
      </c>
      <c r="U8596" t="n">
        <v>0</v>
      </c>
      <c r="V8596" s="2" t="inlineStr"/>
    </row>
    <row r="8597" ht="15" customHeight="1">
      <c r="A8597" t="inlineStr">
        <is>
          <t>A 26515-2026</t>
        </is>
      </c>
      <c r="B8597" t="inlineStr">
        <is>
          <t>avverkningsanmälan</t>
        </is>
      </c>
      <c r="C8597" t="inlineStr">
        <is>
          <t>Avverkning för annat ändamål</t>
        </is>
      </c>
      <c r="D8597" s="1" t="n">
        <v>46183</v>
      </c>
      <c r="E8597" s="1" t="n">
        <v>46326</v>
      </c>
      <c r="F8597" t="inlineStr">
        <is>
          <t>GÄVLEBORGS LÄN</t>
        </is>
      </c>
      <c r="G8597" t="inlineStr">
        <is>
          <t>HOFORS</t>
        </is>
      </c>
      <c r="H8597" t="inlineStr">
        <is>
          <t>Sveaskog</t>
        </is>
      </c>
      <c r="I8597" t="n">
        <v>1.4</v>
      </c>
      <c r="J8597" t="n">
        <v>0</v>
      </c>
      <c r="K8597" t="n">
        <v>0</v>
      </c>
      <c r="L8597" t="n">
        <v>0</v>
      </c>
      <c r="M8597" t="n">
        <v>0</v>
      </c>
      <c r="N8597" t="n">
        <v>0</v>
      </c>
      <c r="O8597" t="n">
        <v>0</v>
      </c>
      <c r="P8597" t="n">
        <v>0</v>
      </c>
      <c r="Q8597" t="n">
        <v>0</v>
      </c>
      <c r="R8597" t="n">
        <v>0</v>
      </c>
      <c r="S8597" t="n">
        <v>0</v>
      </c>
      <c r="T8597" t="n">
        <v>0</v>
      </c>
      <c r="U8597" t="n">
        <v>0</v>
      </c>
      <c r="V8597" s="2" t="inlineStr"/>
    </row>
    <row r="8598" ht="15" customHeight="1">
      <c r="A8598" t="inlineStr">
        <is>
          <t>A 26526-2026</t>
        </is>
      </c>
      <c r="B8598" t="inlineStr">
        <is>
          <t>avverkningsanmälan</t>
        </is>
      </c>
      <c r="C8598" t="inlineStr">
        <is>
          <t>Föryngringsavverkning</t>
        </is>
      </c>
      <c r="D8598" s="1" t="n">
        <v>46183</v>
      </c>
      <c r="E8598" s="1" t="n">
        <v>46326</v>
      </c>
      <c r="F8598" t="inlineStr">
        <is>
          <t>GÄVLEBORGS LÄN</t>
        </is>
      </c>
      <c r="G8598" t="inlineStr">
        <is>
          <t>BOLLNÄS</t>
        </is>
      </c>
      <c r="I8598" t="n">
        <v>4.6</v>
      </c>
      <c r="J8598" t="n">
        <v>0</v>
      </c>
      <c r="K8598" t="n">
        <v>0</v>
      </c>
      <c r="L8598" t="n">
        <v>0</v>
      </c>
      <c r="M8598" t="n">
        <v>0</v>
      </c>
      <c r="N8598" t="n">
        <v>0</v>
      </c>
      <c r="O8598" t="n">
        <v>0</v>
      </c>
      <c r="P8598" t="n">
        <v>0</v>
      </c>
      <c r="Q8598" t="n">
        <v>0</v>
      </c>
      <c r="R8598" t="n">
        <v>0</v>
      </c>
      <c r="S8598" t="n">
        <v>0</v>
      </c>
      <c r="T8598" t="n">
        <v>0</v>
      </c>
      <c r="U8598" t="n">
        <v>0</v>
      </c>
      <c r="V8598" s="2" t="inlineStr"/>
    </row>
    <row r="8599" ht="15" customHeight="1">
      <c r="A8599" t="inlineStr">
        <is>
          <t>A 11734-2025</t>
        </is>
      </c>
      <c r="B8599" t="inlineStr">
        <is>
          <t>avverkningsanmälan</t>
        </is>
      </c>
      <c r="C8599" t="inlineStr">
        <is>
          <t>Föryngringsavverkning</t>
        </is>
      </c>
      <c r="D8599" s="1" t="n">
        <v>45727</v>
      </c>
      <c r="E8599" s="1" t="n">
        <v>46326</v>
      </c>
      <c r="F8599" t="inlineStr">
        <is>
          <t>GÄVLEBORGS LÄN</t>
        </is>
      </c>
      <c r="G8599" t="inlineStr">
        <is>
          <t>OCKELBO</t>
        </is>
      </c>
      <c r="I8599" t="n">
        <v>1.9</v>
      </c>
      <c r="J8599" t="n">
        <v>0</v>
      </c>
      <c r="K8599" t="n">
        <v>0</v>
      </c>
      <c r="L8599" t="n">
        <v>0</v>
      </c>
      <c r="M8599" t="n">
        <v>0</v>
      </c>
      <c r="N8599" t="n">
        <v>0</v>
      </c>
      <c r="O8599" t="n">
        <v>0</v>
      </c>
      <c r="P8599" t="n">
        <v>0</v>
      </c>
      <c r="Q8599" t="n">
        <v>0</v>
      </c>
      <c r="R8599" t="n">
        <v>0</v>
      </c>
      <c r="S8599" t="n">
        <v>0</v>
      </c>
      <c r="T8599" t="n">
        <v>0</v>
      </c>
      <c r="U8599" t="n">
        <v>0</v>
      </c>
      <c r="V8599" s="2" t="inlineStr"/>
    </row>
    <row r="8600" ht="15" customHeight="1">
      <c r="A8600" t="inlineStr">
        <is>
          <t>A 26486-2026</t>
        </is>
      </c>
      <c r="B8600" t="inlineStr">
        <is>
          <t>avverkningsanmälan</t>
        </is>
      </c>
      <c r="C8600" t="inlineStr">
        <is>
          <t>Föryngringsavverkning</t>
        </is>
      </c>
      <c r="D8600" s="1" t="n">
        <v>46183</v>
      </c>
      <c r="E8600" s="1" t="n">
        <v>46326</v>
      </c>
      <c r="F8600" t="inlineStr">
        <is>
          <t>GÄVLEBORGS LÄN</t>
        </is>
      </c>
      <c r="G8600" t="inlineStr">
        <is>
          <t>NORDANSTIG</t>
        </is>
      </c>
      <c r="I8600" t="n">
        <v>3</v>
      </c>
      <c r="J8600" t="n">
        <v>0</v>
      </c>
      <c r="K8600" t="n">
        <v>0</v>
      </c>
      <c r="L8600" t="n">
        <v>0</v>
      </c>
      <c r="M8600" t="n">
        <v>0</v>
      </c>
      <c r="N8600" t="n">
        <v>0</v>
      </c>
      <c r="O8600" t="n">
        <v>0</v>
      </c>
      <c r="P8600" t="n">
        <v>0</v>
      </c>
      <c r="Q8600" t="n">
        <v>0</v>
      </c>
      <c r="R8600" t="n">
        <v>0</v>
      </c>
      <c r="S8600" t="n">
        <v>0</v>
      </c>
      <c r="T8600" t="n">
        <v>0</v>
      </c>
      <c r="U8600" t="n">
        <v>0</v>
      </c>
      <c r="V8600" s="2" t="inlineStr"/>
    </row>
    <row r="8601" ht="15" customHeight="1">
      <c r="A8601" t="inlineStr">
        <is>
          <t>A 6370-2025</t>
        </is>
      </c>
      <c r="B8601" t="inlineStr">
        <is>
          <t>avverkningsanmälan</t>
        </is>
      </c>
      <c r="C8601" t="inlineStr">
        <is>
          <t>Föryngringsavverkning</t>
        </is>
      </c>
      <c r="D8601" s="1" t="n">
        <v>45699</v>
      </c>
      <c r="E8601" s="1" t="n">
        <v>46326</v>
      </c>
      <c r="F8601" t="inlineStr">
        <is>
          <t>GÄVLEBORGS LÄN</t>
        </is>
      </c>
      <c r="G8601" t="inlineStr">
        <is>
          <t>GÄVLE</t>
        </is>
      </c>
      <c r="I8601" t="n">
        <v>1.6</v>
      </c>
      <c r="J8601" t="n">
        <v>0</v>
      </c>
      <c r="K8601" t="n">
        <v>0</v>
      </c>
      <c r="L8601" t="n">
        <v>0</v>
      </c>
      <c r="M8601" t="n">
        <v>0</v>
      </c>
      <c r="N8601" t="n">
        <v>0</v>
      </c>
      <c r="O8601" t="n">
        <v>0</v>
      </c>
      <c r="P8601" t="n">
        <v>0</v>
      </c>
      <c r="Q8601" t="n">
        <v>0</v>
      </c>
      <c r="R8601" t="n">
        <v>0</v>
      </c>
      <c r="S8601" t="n">
        <v>0</v>
      </c>
      <c r="T8601" t="n">
        <v>0</v>
      </c>
      <c r="U8601" t="n">
        <v>0</v>
      </c>
      <c r="V8601" s="2" t="inlineStr"/>
    </row>
    <row r="8602" ht="15" customHeight="1">
      <c r="A8602" t="inlineStr">
        <is>
          <t>A 26413-2026</t>
        </is>
      </c>
      <c r="B8602" t="inlineStr">
        <is>
          <t>avverkningsanmälan</t>
        </is>
      </c>
      <c r="C8602" t="inlineStr">
        <is>
          <t>Föryngringsavverkning</t>
        </is>
      </c>
      <c r="D8602" s="1" t="n">
        <v>46183</v>
      </c>
      <c r="E8602" s="1" t="n">
        <v>46326</v>
      </c>
      <c r="F8602" t="inlineStr">
        <is>
          <t>GÄVLEBORGS LÄN</t>
        </is>
      </c>
      <c r="G8602" t="inlineStr">
        <is>
          <t>HUDIKSVALL</t>
        </is>
      </c>
      <c r="I8602" t="n">
        <v>1.8</v>
      </c>
      <c r="J8602" t="n">
        <v>0</v>
      </c>
      <c r="K8602" t="n">
        <v>0</v>
      </c>
      <c r="L8602" t="n">
        <v>0</v>
      </c>
      <c r="M8602" t="n">
        <v>0</v>
      </c>
      <c r="N8602" t="n">
        <v>0</v>
      </c>
      <c r="O8602" t="n">
        <v>0</v>
      </c>
      <c r="P8602" t="n">
        <v>0</v>
      </c>
      <c r="Q8602" t="n">
        <v>0</v>
      </c>
      <c r="R8602" t="n">
        <v>0</v>
      </c>
      <c r="S8602" t="n">
        <v>0</v>
      </c>
      <c r="T8602" t="n">
        <v>0</v>
      </c>
      <c r="U8602" t="n">
        <v>0</v>
      </c>
      <c r="V8602" s="2" t="inlineStr"/>
    </row>
    <row r="8603" ht="15" customHeight="1">
      <c r="A8603" t="inlineStr">
        <is>
          <t>A 26600-2026</t>
        </is>
      </c>
      <c r="B8603" t="inlineStr">
        <is>
          <t>avverkningsanmälan</t>
        </is>
      </c>
      <c r="C8603" t="inlineStr">
        <is>
          <t>Föryngringsavverkning</t>
        </is>
      </c>
      <c r="D8603" s="1" t="n">
        <v>46183</v>
      </c>
      <c r="E8603" s="1" t="n">
        <v>46326</v>
      </c>
      <c r="F8603" t="inlineStr">
        <is>
          <t>GÄVLEBORGS LÄN</t>
        </is>
      </c>
      <c r="G8603" t="inlineStr">
        <is>
          <t>GÄVLE</t>
        </is>
      </c>
      <c r="H8603" t="inlineStr">
        <is>
          <t>Bergvik skog öst AB</t>
        </is>
      </c>
      <c r="I8603" t="n">
        <v>0.6</v>
      </c>
      <c r="J8603" t="n">
        <v>0</v>
      </c>
      <c r="K8603" t="n">
        <v>0</v>
      </c>
      <c r="L8603" t="n">
        <v>0</v>
      </c>
      <c r="M8603" t="n">
        <v>0</v>
      </c>
      <c r="N8603" t="n">
        <v>0</v>
      </c>
      <c r="O8603" t="n">
        <v>0</v>
      </c>
      <c r="P8603" t="n">
        <v>0</v>
      </c>
      <c r="Q8603" t="n">
        <v>0</v>
      </c>
      <c r="R8603" t="n">
        <v>0</v>
      </c>
      <c r="S8603" t="n">
        <v>0</v>
      </c>
      <c r="T8603" t="n">
        <v>0</v>
      </c>
      <c r="U8603" t="n">
        <v>0</v>
      </c>
      <c r="V8603" s="2" t="inlineStr"/>
    </row>
    <row r="8604" ht="15" customHeight="1">
      <c r="A8604" t="inlineStr">
        <is>
          <t>A 16594-2024</t>
        </is>
      </c>
      <c r="B8604" t="inlineStr">
        <is>
          <t>avverkningsanmälan</t>
        </is>
      </c>
      <c r="C8604" t="inlineStr">
        <is>
          <t>Föryngringsavverkning</t>
        </is>
      </c>
      <c r="D8604" s="1" t="n">
        <v>45408</v>
      </c>
      <c r="E8604" s="1" t="n">
        <v>46326</v>
      </c>
      <c r="F8604" t="inlineStr">
        <is>
          <t>GÄVLEBORGS LÄN</t>
        </is>
      </c>
      <c r="G8604" t="inlineStr">
        <is>
          <t>HUDIKSVALL</t>
        </is>
      </c>
      <c r="I8604" t="n">
        <v>11.8</v>
      </c>
      <c r="J8604" t="n">
        <v>0</v>
      </c>
      <c r="K8604" t="n">
        <v>0</v>
      </c>
      <c r="L8604" t="n">
        <v>0</v>
      </c>
      <c r="M8604" t="n">
        <v>0</v>
      </c>
      <c r="N8604" t="n">
        <v>0</v>
      </c>
      <c r="O8604" t="n">
        <v>0</v>
      </c>
      <c r="P8604" t="n">
        <v>0</v>
      </c>
      <c r="Q8604" t="n">
        <v>0</v>
      </c>
      <c r="R8604" t="n">
        <v>0</v>
      </c>
      <c r="S8604" t="n">
        <v>0</v>
      </c>
      <c r="T8604" t="n">
        <v>0</v>
      </c>
      <c r="U8604" t="n">
        <v>0</v>
      </c>
      <c r="V8604" s="2" t="inlineStr"/>
    </row>
    <row r="8605" ht="15" customHeight="1">
      <c r="A8605" t="inlineStr">
        <is>
          <t>A 26705-2026</t>
        </is>
      </c>
      <c r="B8605" t="inlineStr">
        <is>
          <t>avverkningsanmälan</t>
        </is>
      </c>
      <c r="C8605" t="inlineStr">
        <is>
          <t>Föryngringsavverkning</t>
        </is>
      </c>
      <c r="D8605" s="1" t="n">
        <v>46184</v>
      </c>
      <c r="E8605" s="1" t="n">
        <v>46326</v>
      </c>
      <c r="F8605" t="inlineStr">
        <is>
          <t>GÄVLEBORGS LÄN</t>
        </is>
      </c>
      <c r="G8605" t="inlineStr">
        <is>
          <t>BOLLNÄS</t>
        </is>
      </c>
      <c r="H8605" t="inlineStr">
        <is>
          <t>Kyrkan</t>
        </is>
      </c>
      <c r="I8605" t="n">
        <v>1.9</v>
      </c>
      <c r="J8605" t="n">
        <v>0</v>
      </c>
      <c r="K8605" t="n">
        <v>0</v>
      </c>
      <c r="L8605" t="n">
        <v>0</v>
      </c>
      <c r="M8605" t="n">
        <v>0</v>
      </c>
      <c r="N8605" t="n">
        <v>0</v>
      </c>
      <c r="O8605" t="n">
        <v>0</v>
      </c>
      <c r="P8605" t="n">
        <v>0</v>
      </c>
      <c r="Q8605" t="n">
        <v>0</v>
      </c>
      <c r="R8605" t="n">
        <v>0</v>
      </c>
      <c r="S8605" t="n">
        <v>0</v>
      </c>
      <c r="T8605" t="n">
        <v>0</v>
      </c>
      <c r="U8605" t="n">
        <v>0</v>
      </c>
      <c r="V8605" s="2" t="inlineStr"/>
    </row>
    <row r="8606" ht="15" customHeight="1">
      <c r="A8606" t="inlineStr">
        <is>
          <t>A 26708-2026</t>
        </is>
      </c>
      <c r="B8606" t="inlineStr">
        <is>
          <t>avverkningsanmälan</t>
        </is>
      </c>
      <c r="C8606" t="inlineStr">
        <is>
          <t>Föryngringsavverkning</t>
        </is>
      </c>
      <c r="D8606" s="1" t="n">
        <v>46184</v>
      </c>
      <c r="E8606" s="1" t="n">
        <v>46326</v>
      </c>
      <c r="F8606" t="inlineStr">
        <is>
          <t>GÄVLEBORGS LÄN</t>
        </is>
      </c>
      <c r="G8606" t="inlineStr">
        <is>
          <t>OVANÅKER</t>
        </is>
      </c>
      <c r="I8606" t="n">
        <v>9.9</v>
      </c>
      <c r="J8606" t="n">
        <v>0</v>
      </c>
      <c r="K8606" t="n">
        <v>0</v>
      </c>
      <c r="L8606" t="n">
        <v>0</v>
      </c>
      <c r="M8606" t="n">
        <v>0</v>
      </c>
      <c r="N8606" t="n">
        <v>0</v>
      </c>
      <c r="O8606" t="n">
        <v>0</v>
      </c>
      <c r="P8606" t="n">
        <v>0</v>
      </c>
      <c r="Q8606" t="n">
        <v>0</v>
      </c>
      <c r="R8606" t="n">
        <v>0</v>
      </c>
      <c r="S8606" t="n">
        <v>0</v>
      </c>
      <c r="T8606" t="n">
        <v>0</v>
      </c>
      <c r="U8606" t="n">
        <v>0</v>
      </c>
      <c r="V8606" s="2" t="inlineStr"/>
    </row>
    <row r="8607" ht="15" customHeight="1">
      <c r="A8607" t="inlineStr">
        <is>
          <t>A 26755-2026</t>
        </is>
      </c>
      <c r="B8607" t="inlineStr">
        <is>
          <t>avverkningsanmälan</t>
        </is>
      </c>
      <c r="C8607" t="inlineStr">
        <is>
          <t>Föryngringsavverkning</t>
        </is>
      </c>
      <c r="D8607" s="1" t="n">
        <v>46184</v>
      </c>
      <c r="E8607" s="1" t="n">
        <v>46326</v>
      </c>
      <c r="F8607" t="inlineStr">
        <is>
          <t>GÄVLEBORGS LÄN</t>
        </is>
      </c>
      <c r="G8607" t="inlineStr">
        <is>
          <t>LJUSDAL</t>
        </is>
      </c>
      <c r="H8607" t="inlineStr">
        <is>
          <t>Sveaskog</t>
        </is>
      </c>
      <c r="I8607" t="n">
        <v>2</v>
      </c>
      <c r="J8607" t="n">
        <v>0</v>
      </c>
      <c r="K8607" t="n">
        <v>0</v>
      </c>
      <c r="L8607" t="n">
        <v>0</v>
      </c>
      <c r="M8607" t="n">
        <v>0</v>
      </c>
      <c r="N8607" t="n">
        <v>0</v>
      </c>
      <c r="O8607" t="n">
        <v>0</v>
      </c>
      <c r="P8607" t="n">
        <v>0</v>
      </c>
      <c r="Q8607" t="n">
        <v>0</v>
      </c>
      <c r="R8607" t="n">
        <v>0</v>
      </c>
      <c r="S8607" t="n">
        <v>0</v>
      </c>
      <c r="T8607" t="n">
        <v>0</v>
      </c>
      <c r="U8607" t="n">
        <v>0</v>
      </c>
      <c r="V8607" s="2" t="inlineStr"/>
    </row>
    <row r="8608" ht="15" customHeight="1">
      <c r="A8608" t="inlineStr">
        <is>
          <t>A 26780-2026</t>
        </is>
      </c>
      <c r="B8608" t="inlineStr">
        <is>
          <t>avverkningsanmälan</t>
        </is>
      </c>
      <c r="C8608" t="inlineStr">
        <is>
          <t>Föryngringsavverkning</t>
        </is>
      </c>
      <c r="D8608" s="1" t="n">
        <v>46184</v>
      </c>
      <c r="E8608" s="1" t="n">
        <v>46326</v>
      </c>
      <c r="F8608" t="inlineStr">
        <is>
          <t>GÄVLEBORGS LÄN</t>
        </is>
      </c>
      <c r="G8608" t="inlineStr">
        <is>
          <t>SANDVIKEN</t>
        </is>
      </c>
      <c r="I8608" t="n">
        <v>2.6</v>
      </c>
      <c r="J8608" t="n">
        <v>0</v>
      </c>
      <c r="K8608" t="n">
        <v>0</v>
      </c>
      <c r="L8608" t="n">
        <v>0</v>
      </c>
      <c r="M8608" t="n">
        <v>0</v>
      </c>
      <c r="N8608" t="n">
        <v>0</v>
      </c>
      <c r="O8608" t="n">
        <v>0</v>
      </c>
      <c r="P8608" t="n">
        <v>0</v>
      </c>
      <c r="Q8608" t="n">
        <v>0</v>
      </c>
      <c r="R8608" t="n">
        <v>0</v>
      </c>
      <c r="S8608" t="n">
        <v>0</v>
      </c>
      <c r="T8608" t="n">
        <v>0</v>
      </c>
      <c r="U8608" t="n">
        <v>0</v>
      </c>
      <c r="V8608" s="2" t="inlineStr"/>
    </row>
    <row r="8609" ht="15" customHeight="1">
      <c r="A8609" t="inlineStr">
        <is>
          <t>A 69613-2021</t>
        </is>
      </c>
      <c r="B8609" t="inlineStr">
        <is>
          <t>avverkningsanmälan</t>
        </is>
      </c>
      <c r="C8609" t="inlineStr">
        <is>
          <t>Föryngringsavverkning</t>
        </is>
      </c>
      <c r="D8609" s="1" t="n">
        <v>44532</v>
      </c>
      <c r="E8609" s="1" t="n">
        <v>46326</v>
      </c>
      <c r="F8609" t="inlineStr">
        <is>
          <t>GÄVLEBORGS LÄN</t>
        </is>
      </c>
      <c r="G8609" t="inlineStr">
        <is>
          <t>BOLLNÄS</t>
        </is>
      </c>
      <c r="H8609" t="inlineStr">
        <is>
          <t>Bergvik skog väst AB</t>
        </is>
      </c>
      <c r="I8609" t="n">
        <v>1.1</v>
      </c>
      <c r="J8609" t="n">
        <v>0</v>
      </c>
      <c r="K8609" t="n">
        <v>0</v>
      </c>
      <c r="L8609" t="n">
        <v>0</v>
      </c>
      <c r="M8609" t="n">
        <v>0</v>
      </c>
      <c r="N8609" t="n">
        <v>0</v>
      </c>
      <c r="O8609" t="n">
        <v>0</v>
      </c>
      <c r="P8609" t="n">
        <v>0</v>
      </c>
      <c r="Q8609" t="n">
        <v>0</v>
      </c>
      <c r="R8609" t="n">
        <v>0</v>
      </c>
      <c r="S8609" t="n">
        <v>0</v>
      </c>
      <c r="T8609" t="n">
        <v>0</v>
      </c>
      <c r="U8609" t="n">
        <v>0</v>
      </c>
      <c r="V8609" s="2" t="inlineStr"/>
    </row>
    <row r="8610" ht="15" customHeight="1">
      <c r="A8610" t="inlineStr">
        <is>
          <t>A 26695-2026</t>
        </is>
      </c>
      <c r="B8610" t="inlineStr">
        <is>
          <t>avverkningsanmälan</t>
        </is>
      </c>
      <c r="C8610" t="inlineStr">
        <is>
          <t>Föryngringsavverkning</t>
        </is>
      </c>
      <c r="D8610" s="1" t="n">
        <v>46184</v>
      </c>
      <c r="E8610" s="1" t="n">
        <v>46326</v>
      </c>
      <c r="F8610" t="inlineStr">
        <is>
          <t>GÄVLEBORGS LÄN</t>
        </is>
      </c>
      <c r="G8610" t="inlineStr">
        <is>
          <t>BOLLNÄS</t>
        </is>
      </c>
      <c r="H8610" t="inlineStr">
        <is>
          <t>Kyrkan</t>
        </is>
      </c>
      <c r="I8610" t="n">
        <v>8.300000000000001</v>
      </c>
      <c r="J8610" t="n">
        <v>0</v>
      </c>
      <c r="K8610" t="n">
        <v>0</v>
      </c>
      <c r="L8610" t="n">
        <v>0</v>
      </c>
      <c r="M8610" t="n">
        <v>0</v>
      </c>
      <c r="N8610" t="n">
        <v>0</v>
      </c>
      <c r="O8610" t="n">
        <v>0</v>
      </c>
      <c r="P8610" t="n">
        <v>0</v>
      </c>
      <c r="Q8610" t="n">
        <v>0</v>
      </c>
      <c r="R8610" t="n">
        <v>0</v>
      </c>
      <c r="S8610" t="n">
        <v>0</v>
      </c>
      <c r="T8610" t="n">
        <v>0</v>
      </c>
      <c r="U8610" t="n">
        <v>0</v>
      </c>
      <c r="V8610" s="2" t="inlineStr"/>
    </row>
    <row r="8611" ht="15" customHeight="1">
      <c r="A8611" t="inlineStr">
        <is>
          <t>A 58716-2023</t>
        </is>
      </c>
      <c r="B8611" t="inlineStr">
        <is>
          <t>avverkningsanmälan</t>
        </is>
      </c>
      <c r="C8611" t="inlineStr">
        <is>
          <t>Föryngringsavverkning</t>
        </is>
      </c>
      <c r="D8611" s="1" t="n">
        <v>45251</v>
      </c>
      <c r="E8611" s="1" t="n">
        <v>46326</v>
      </c>
      <c r="F8611" t="inlineStr">
        <is>
          <t>GÄVLEBORGS LÄN</t>
        </is>
      </c>
      <c r="G8611" t="inlineStr">
        <is>
          <t>BOLLNÄS</t>
        </is>
      </c>
      <c r="I8611" t="n">
        <v>3.1</v>
      </c>
      <c r="J8611" t="n">
        <v>0</v>
      </c>
      <c r="K8611" t="n">
        <v>0</v>
      </c>
      <c r="L8611" t="n">
        <v>0</v>
      </c>
      <c r="M8611" t="n">
        <v>0</v>
      </c>
      <c r="N8611" t="n">
        <v>0</v>
      </c>
      <c r="O8611" t="n">
        <v>0</v>
      </c>
      <c r="P8611" t="n">
        <v>0</v>
      </c>
      <c r="Q8611" t="n">
        <v>0</v>
      </c>
      <c r="R8611" t="n">
        <v>0</v>
      </c>
      <c r="S8611" t="n">
        <v>0</v>
      </c>
      <c r="T8611" t="n">
        <v>0</v>
      </c>
      <c r="U8611" t="n">
        <v>0</v>
      </c>
      <c r="V8611" s="2" t="inlineStr"/>
    </row>
    <row r="8612" ht="15" customHeight="1">
      <c r="A8612" t="inlineStr">
        <is>
          <t>A 69007-2021</t>
        </is>
      </c>
      <c r="B8612" t="inlineStr">
        <is>
          <t>avverkningsanmälan</t>
        </is>
      </c>
      <c r="C8612" t="inlineStr">
        <is>
          <t>Föryngringsavverkning</t>
        </is>
      </c>
      <c r="D8612" s="1" t="n">
        <v>44530</v>
      </c>
      <c r="E8612" s="1" t="n">
        <v>46326</v>
      </c>
      <c r="F8612" t="inlineStr">
        <is>
          <t>GÄVLEBORGS LÄN</t>
        </is>
      </c>
      <c r="G8612" t="inlineStr">
        <is>
          <t>OVANÅKER</t>
        </is>
      </c>
      <c r="I8612" t="n">
        <v>0.9</v>
      </c>
      <c r="J8612" t="n">
        <v>0</v>
      </c>
      <c r="K8612" t="n">
        <v>0</v>
      </c>
      <c r="L8612" t="n">
        <v>0</v>
      </c>
      <c r="M8612" t="n">
        <v>0</v>
      </c>
      <c r="N8612" t="n">
        <v>0</v>
      </c>
      <c r="O8612" t="n">
        <v>0</v>
      </c>
      <c r="P8612" t="n">
        <v>0</v>
      </c>
      <c r="Q8612" t="n">
        <v>0</v>
      </c>
      <c r="R8612" t="n">
        <v>0</v>
      </c>
      <c r="S8612" t="n">
        <v>0</v>
      </c>
      <c r="T8612" t="n">
        <v>0</v>
      </c>
      <c r="U8612" t="n">
        <v>0</v>
      </c>
      <c r="V8612" s="2" t="inlineStr"/>
    </row>
    <row r="8613" ht="15" customHeight="1">
      <c r="A8613" t="inlineStr">
        <is>
          <t>A 22238-2023</t>
        </is>
      </c>
      <c r="B8613" t="inlineStr">
        <is>
          <t>avverkningsanmälan</t>
        </is>
      </c>
      <c r="C8613" t="inlineStr">
        <is>
          <t>Föryngringsavverkning</t>
        </is>
      </c>
      <c r="D8613" s="1" t="n">
        <v>45070</v>
      </c>
      <c r="E8613" s="1" t="n">
        <v>46326</v>
      </c>
      <c r="F8613" t="inlineStr">
        <is>
          <t>GÄVLEBORGS LÄN</t>
        </is>
      </c>
      <c r="G8613" t="inlineStr">
        <is>
          <t>SANDVIKEN</t>
        </is>
      </c>
      <c r="I8613" t="n">
        <v>2.1</v>
      </c>
      <c r="J8613" t="n">
        <v>0</v>
      </c>
      <c r="K8613" t="n">
        <v>0</v>
      </c>
      <c r="L8613" t="n">
        <v>0</v>
      </c>
      <c r="M8613" t="n">
        <v>0</v>
      </c>
      <c r="N8613" t="n">
        <v>0</v>
      </c>
      <c r="O8613" t="n">
        <v>0</v>
      </c>
      <c r="P8613" t="n">
        <v>0</v>
      </c>
      <c r="Q8613" t="n">
        <v>0</v>
      </c>
      <c r="R8613" t="n">
        <v>0</v>
      </c>
      <c r="S8613" t="n">
        <v>0</v>
      </c>
      <c r="T8613" t="n">
        <v>0</v>
      </c>
      <c r="U8613" t="n">
        <v>0</v>
      </c>
      <c r="V8613" s="2" t="inlineStr"/>
    </row>
    <row r="8614" ht="15" customHeight="1">
      <c r="A8614" t="inlineStr">
        <is>
          <t>A 26741-2026</t>
        </is>
      </c>
      <c r="B8614" t="inlineStr">
        <is>
          <t>avverkningsanmälan</t>
        </is>
      </c>
      <c r="C8614" t="inlineStr">
        <is>
          <t>Föryngringsavverkning</t>
        </is>
      </c>
      <c r="D8614" s="1" t="n">
        <v>46184</v>
      </c>
      <c r="E8614" s="1" t="n">
        <v>46326</v>
      </c>
      <c r="F8614" t="inlineStr">
        <is>
          <t>GÄVLEBORGS LÄN</t>
        </is>
      </c>
      <c r="G8614" t="inlineStr">
        <is>
          <t>BOLLNÄS</t>
        </is>
      </c>
      <c r="I8614" t="n">
        <v>1.5</v>
      </c>
      <c r="J8614" t="n">
        <v>0</v>
      </c>
      <c r="K8614" t="n">
        <v>0</v>
      </c>
      <c r="L8614" t="n">
        <v>0</v>
      </c>
      <c r="M8614" t="n">
        <v>0</v>
      </c>
      <c r="N8614" t="n">
        <v>0</v>
      </c>
      <c r="O8614" t="n">
        <v>0</v>
      </c>
      <c r="P8614" t="n">
        <v>0</v>
      </c>
      <c r="Q8614" t="n">
        <v>0</v>
      </c>
      <c r="R8614" t="n">
        <v>0</v>
      </c>
      <c r="S8614" t="n">
        <v>0</v>
      </c>
      <c r="T8614" t="n">
        <v>0</v>
      </c>
      <c r="U8614" t="n">
        <v>0</v>
      </c>
      <c r="V8614" s="2" t="inlineStr"/>
    </row>
    <row r="8615" ht="15" customHeight="1">
      <c r="A8615" t="inlineStr">
        <is>
          <t>A 26632-2026</t>
        </is>
      </c>
      <c r="B8615" t="inlineStr">
        <is>
          <t>avverkningsanmälan</t>
        </is>
      </c>
      <c r="C8615" t="inlineStr">
        <is>
          <t>Föryngringsavverkning</t>
        </is>
      </c>
      <c r="D8615" s="1" t="n">
        <v>46184</v>
      </c>
      <c r="E8615" s="1" t="n">
        <v>46326</v>
      </c>
      <c r="F8615" t="inlineStr">
        <is>
          <t>GÄVLEBORGS LÄN</t>
        </is>
      </c>
      <c r="G8615" t="inlineStr">
        <is>
          <t>BOLLNÄS</t>
        </is>
      </c>
      <c r="H8615" t="inlineStr">
        <is>
          <t>Kyrkan</t>
        </is>
      </c>
      <c r="I8615" t="n">
        <v>0.9</v>
      </c>
      <c r="J8615" t="n">
        <v>0</v>
      </c>
      <c r="K8615" t="n">
        <v>0</v>
      </c>
      <c r="L8615" t="n">
        <v>0</v>
      </c>
      <c r="M8615" t="n">
        <v>0</v>
      </c>
      <c r="N8615" t="n">
        <v>0</v>
      </c>
      <c r="O8615" t="n">
        <v>0</v>
      </c>
      <c r="P8615" t="n">
        <v>0</v>
      </c>
      <c r="Q8615" t="n">
        <v>0</v>
      </c>
      <c r="R8615" t="n">
        <v>0</v>
      </c>
      <c r="S8615" t="n">
        <v>0</v>
      </c>
      <c r="T8615" t="n">
        <v>0</v>
      </c>
      <c r="U8615" t="n">
        <v>0</v>
      </c>
      <c r="V8615" s="2" t="inlineStr"/>
    </row>
    <row r="8616" ht="15" customHeight="1">
      <c r="A8616" t="inlineStr">
        <is>
          <t>A 26753-2026</t>
        </is>
      </c>
      <c r="B8616" t="inlineStr">
        <is>
          <t>avverkningsanmälan</t>
        </is>
      </c>
      <c r="C8616" t="inlineStr">
        <is>
          <t>Föryngringsavverkning</t>
        </is>
      </c>
      <c r="D8616" s="1" t="n">
        <v>46184</v>
      </c>
      <c r="E8616" s="1" t="n">
        <v>46326</v>
      </c>
      <c r="F8616" t="inlineStr">
        <is>
          <t>GÄVLEBORGS LÄN</t>
        </is>
      </c>
      <c r="G8616" t="inlineStr">
        <is>
          <t>LJUSDAL</t>
        </is>
      </c>
      <c r="H8616" t="inlineStr">
        <is>
          <t>Sveaskog</t>
        </is>
      </c>
      <c r="I8616" t="n">
        <v>1.1</v>
      </c>
      <c r="J8616" t="n">
        <v>0</v>
      </c>
      <c r="K8616" t="n">
        <v>0</v>
      </c>
      <c r="L8616" t="n">
        <v>0</v>
      </c>
      <c r="M8616" t="n">
        <v>0</v>
      </c>
      <c r="N8616" t="n">
        <v>0</v>
      </c>
      <c r="O8616" t="n">
        <v>0</v>
      </c>
      <c r="P8616" t="n">
        <v>0</v>
      </c>
      <c r="Q8616" t="n">
        <v>0</v>
      </c>
      <c r="R8616" t="n">
        <v>0</v>
      </c>
      <c r="S8616" t="n">
        <v>0</v>
      </c>
      <c r="T8616" t="n">
        <v>0</v>
      </c>
      <c r="U8616" t="n">
        <v>0</v>
      </c>
      <c r="V8616" s="2" t="inlineStr"/>
    </row>
    <row r="8617" ht="15" customHeight="1">
      <c r="A8617" t="inlineStr">
        <is>
          <t>A 4001-2023</t>
        </is>
      </c>
      <c r="B8617" t="inlineStr">
        <is>
          <t>avverkningsanmälan</t>
        </is>
      </c>
      <c r="C8617" t="inlineStr">
        <is>
          <t>Föryngringsavverkning</t>
        </is>
      </c>
      <c r="D8617" s="1" t="n">
        <v>44952</v>
      </c>
      <c r="E8617" s="1" t="n">
        <v>46326</v>
      </c>
      <c r="F8617" t="inlineStr">
        <is>
          <t>GÄVLEBORGS LÄN</t>
        </is>
      </c>
      <c r="G8617" t="inlineStr">
        <is>
          <t>NORDANSTIG</t>
        </is>
      </c>
      <c r="H8617" t="inlineStr">
        <is>
          <t>Holmen skog AB</t>
        </is>
      </c>
      <c r="I8617" t="n">
        <v>1.6</v>
      </c>
      <c r="J8617" t="n">
        <v>0</v>
      </c>
      <c r="K8617" t="n">
        <v>0</v>
      </c>
      <c r="L8617" t="n">
        <v>0</v>
      </c>
      <c r="M8617" t="n">
        <v>0</v>
      </c>
      <c r="N8617" t="n">
        <v>0</v>
      </c>
      <c r="O8617" t="n">
        <v>0</v>
      </c>
      <c r="P8617" t="n">
        <v>0</v>
      </c>
      <c r="Q8617" t="n">
        <v>0</v>
      </c>
      <c r="R8617" t="n">
        <v>0</v>
      </c>
      <c r="S8617" t="n">
        <v>0</v>
      </c>
      <c r="T8617" t="n">
        <v>0</v>
      </c>
      <c r="U8617" t="n">
        <v>0</v>
      </c>
      <c r="V8617" s="2" t="inlineStr"/>
    </row>
    <row r="8618" ht="15" customHeight="1">
      <c r="A8618" t="inlineStr">
        <is>
          <t>A 4024-2023</t>
        </is>
      </c>
      <c r="B8618" t="inlineStr">
        <is>
          <t>avverkningsanmälan</t>
        </is>
      </c>
      <c r="C8618" t="inlineStr">
        <is>
          <t>Föryngringsavverkning</t>
        </is>
      </c>
      <c r="D8618" s="1" t="n">
        <v>44952</v>
      </c>
      <c r="E8618" s="1" t="n">
        <v>46326</v>
      </c>
      <c r="F8618" t="inlineStr">
        <is>
          <t>GÄVLEBORGS LÄN</t>
        </is>
      </c>
      <c r="G8618" t="inlineStr">
        <is>
          <t>NORDANSTIG</t>
        </is>
      </c>
      <c r="H8618" t="inlineStr">
        <is>
          <t>Holmen skog AB</t>
        </is>
      </c>
      <c r="I8618" t="n">
        <v>2.1</v>
      </c>
      <c r="J8618" t="n">
        <v>0</v>
      </c>
      <c r="K8618" t="n">
        <v>0</v>
      </c>
      <c r="L8618" t="n">
        <v>0</v>
      </c>
      <c r="M8618" t="n">
        <v>0</v>
      </c>
      <c r="N8618" t="n">
        <v>0</v>
      </c>
      <c r="O8618" t="n">
        <v>0</v>
      </c>
      <c r="P8618" t="n">
        <v>0</v>
      </c>
      <c r="Q8618" t="n">
        <v>0</v>
      </c>
      <c r="R8618" t="n">
        <v>0</v>
      </c>
      <c r="S8618" t="n">
        <v>0</v>
      </c>
      <c r="T8618" t="n">
        <v>0</v>
      </c>
      <c r="U8618" t="n">
        <v>0</v>
      </c>
      <c r="V8618" s="2" t="inlineStr"/>
    </row>
    <row r="8619" ht="15" customHeight="1">
      <c r="A8619" t="inlineStr">
        <is>
          <t>A 26609-2026</t>
        </is>
      </c>
      <c r="B8619" t="inlineStr">
        <is>
          <t>avverkningsanmälan</t>
        </is>
      </c>
      <c r="C8619" t="inlineStr">
        <is>
          <t>Föryngringsavverkning</t>
        </is>
      </c>
      <c r="D8619" s="1" t="n">
        <v>46184</v>
      </c>
      <c r="E8619" s="1" t="n">
        <v>46326</v>
      </c>
      <c r="F8619" t="inlineStr">
        <is>
          <t>GÄVLEBORGS LÄN</t>
        </is>
      </c>
      <c r="G8619" t="inlineStr">
        <is>
          <t>OVANÅKER</t>
        </is>
      </c>
      <c r="I8619" t="n">
        <v>1.7</v>
      </c>
      <c r="J8619" t="n">
        <v>0</v>
      </c>
      <c r="K8619" t="n">
        <v>0</v>
      </c>
      <c r="L8619" t="n">
        <v>0</v>
      </c>
      <c r="M8619" t="n">
        <v>0</v>
      </c>
      <c r="N8619" t="n">
        <v>0</v>
      </c>
      <c r="O8619" t="n">
        <v>0</v>
      </c>
      <c r="P8619" t="n">
        <v>0</v>
      </c>
      <c r="Q8619" t="n">
        <v>0</v>
      </c>
      <c r="R8619" t="n">
        <v>0</v>
      </c>
      <c r="S8619" t="n">
        <v>0</v>
      </c>
      <c r="T8619" t="n">
        <v>0</v>
      </c>
      <c r="U8619" t="n">
        <v>0</v>
      </c>
      <c r="V8619" s="2" t="inlineStr"/>
    </row>
    <row r="8620" ht="15" customHeight="1">
      <c r="A8620" t="inlineStr">
        <is>
          <t>A 26614-2026</t>
        </is>
      </c>
      <c r="B8620" t="inlineStr">
        <is>
          <t>avverkningsanmälan</t>
        </is>
      </c>
      <c r="C8620" t="inlineStr">
        <is>
          <t>Föryngringsavverkning</t>
        </is>
      </c>
      <c r="D8620" s="1" t="n">
        <v>46184</v>
      </c>
      <c r="E8620" s="1" t="n">
        <v>46326</v>
      </c>
      <c r="F8620" t="inlineStr">
        <is>
          <t>GÄVLEBORGS LÄN</t>
        </is>
      </c>
      <c r="G8620" t="inlineStr">
        <is>
          <t>OVANÅKER</t>
        </is>
      </c>
      <c r="I8620" t="n">
        <v>3.5</v>
      </c>
      <c r="J8620" t="n">
        <v>0</v>
      </c>
      <c r="K8620" t="n">
        <v>0</v>
      </c>
      <c r="L8620" t="n">
        <v>0</v>
      </c>
      <c r="M8620" t="n">
        <v>0</v>
      </c>
      <c r="N8620" t="n">
        <v>0</v>
      </c>
      <c r="O8620" t="n">
        <v>0</v>
      </c>
      <c r="P8620" t="n">
        <v>0</v>
      </c>
      <c r="Q8620" t="n">
        <v>0</v>
      </c>
      <c r="R8620" t="n">
        <v>0</v>
      </c>
      <c r="S8620" t="n">
        <v>0</v>
      </c>
      <c r="T8620" t="n">
        <v>0</v>
      </c>
      <c r="U8620" t="n">
        <v>0</v>
      </c>
      <c r="V8620" s="2" t="inlineStr"/>
    </row>
    <row r="8621" ht="15" customHeight="1">
      <c r="A8621" t="inlineStr">
        <is>
          <t>A 4582-2024</t>
        </is>
      </c>
      <c r="B8621" t="inlineStr">
        <is>
          <t>avverkningsanmälan</t>
        </is>
      </c>
      <c r="C8621" t="inlineStr">
        <is>
          <t>Avverkning för annat ändamål</t>
        </is>
      </c>
      <c r="D8621" s="1" t="n">
        <v>45327</v>
      </c>
      <c r="E8621" s="1" t="n">
        <v>46326</v>
      </c>
      <c r="F8621" t="inlineStr">
        <is>
          <t>GÄVLEBORGS LÄN</t>
        </is>
      </c>
      <c r="G8621" t="inlineStr">
        <is>
          <t>LJUSDAL</t>
        </is>
      </c>
      <c r="I8621" t="n">
        <v>1.2</v>
      </c>
      <c r="J8621" t="n">
        <v>0</v>
      </c>
      <c r="K8621" t="n">
        <v>0</v>
      </c>
      <c r="L8621" t="n">
        <v>0</v>
      </c>
      <c r="M8621" t="n">
        <v>0</v>
      </c>
      <c r="N8621" t="n">
        <v>0</v>
      </c>
      <c r="O8621" t="n">
        <v>0</v>
      </c>
      <c r="P8621" t="n">
        <v>0</v>
      </c>
      <c r="Q8621" t="n">
        <v>0</v>
      </c>
      <c r="R8621" t="n">
        <v>0</v>
      </c>
      <c r="S8621" t="n">
        <v>0</v>
      </c>
      <c r="T8621" t="n">
        <v>0</v>
      </c>
      <c r="U8621" t="n">
        <v>0</v>
      </c>
      <c r="V8621" s="2" t="inlineStr"/>
    </row>
    <row r="8622" ht="15" customHeight="1">
      <c r="A8622" t="inlineStr">
        <is>
          <t>A 26516-2026</t>
        </is>
      </c>
      <c r="B8622" t="inlineStr">
        <is>
          <t>avverkningsanmälan</t>
        </is>
      </c>
      <c r="C8622" t="inlineStr">
        <is>
          <t>Avverkning för annat ändamål</t>
        </is>
      </c>
      <c r="D8622" s="1" t="n">
        <v>46183</v>
      </c>
      <c r="E8622" s="1" t="n">
        <v>46326</v>
      </c>
      <c r="F8622" t="inlineStr">
        <is>
          <t>GÄVLEBORGS LÄN</t>
        </is>
      </c>
      <c r="G8622" t="inlineStr">
        <is>
          <t>HOFORS</t>
        </is>
      </c>
      <c r="H8622" t="inlineStr">
        <is>
          <t>Sveaskog</t>
        </is>
      </c>
      <c r="I8622" t="n">
        <v>1.8</v>
      </c>
      <c r="J8622" t="n">
        <v>0</v>
      </c>
      <c r="K8622" t="n">
        <v>0</v>
      </c>
      <c r="L8622" t="n">
        <v>0</v>
      </c>
      <c r="M8622" t="n">
        <v>0</v>
      </c>
      <c r="N8622" t="n">
        <v>0</v>
      </c>
      <c r="O8622" t="n">
        <v>0</v>
      </c>
      <c r="P8622" t="n">
        <v>0</v>
      </c>
      <c r="Q8622" t="n">
        <v>0</v>
      </c>
      <c r="R8622" t="n">
        <v>0</v>
      </c>
      <c r="S8622" t="n">
        <v>0</v>
      </c>
      <c r="T8622" t="n">
        <v>0</v>
      </c>
      <c r="U8622" t="n">
        <v>0</v>
      </c>
      <c r="V8622" s="2" t="inlineStr"/>
    </row>
    <row r="8623" ht="15" customHeight="1">
      <c r="A8623" t="inlineStr">
        <is>
          <t>A 50066-2023</t>
        </is>
      </c>
      <c r="B8623" t="inlineStr">
        <is>
          <t>avverkningsanmälan</t>
        </is>
      </c>
      <c r="C8623" t="inlineStr">
        <is>
          <t>Föryngringsavverkning</t>
        </is>
      </c>
      <c r="D8623" s="1" t="n">
        <v>45215</v>
      </c>
      <c r="E8623" s="1" t="n">
        <v>46326</v>
      </c>
      <c r="F8623" t="inlineStr">
        <is>
          <t>GÄVLEBORGS LÄN</t>
        </is>
      </c>
      <c r="G8623" t="inlineStr">
        <is>
          <t>SÖDERHAMN</t>
        </is>
      </c>
      <c r="I8623" t="n">
        <v>0.5</v>
      </c>
      <c r="J8623" t="n">
        <v>0</v>
      </c>
      <c r="K8623" t="n">
        <v>0</v>
      </c>
      <c r="L8623" t="n">
        <v>0</v>
      </c>
      <c r="M8623" t="n">
        <v>0</v>
      </c>
      <c r="N8623" t="n">
        <v>0</v>
      </c>
      <c r="O8623" t="n">
        <v>0</v>
      </c>
      <c r="P8623" t="n">
        <v>0</v>
      </c>
      <c r="Q8623" t="n">
        <v>0</v>
      </c>
      <c r="R8623" t="n">
        <v>0</v>
      </c>
      <c r="S8623" t="n">
        <v>0</v>
      </c>
      <c r="T8623" t="n">
        <v>0</v>
      </c>
      <c r="U8623" t="n">
        <v>0</v>
      </c>
      <c r="V8623" s="2" t="inlineStr"/>
    </row>
    <row r="8624" ht="15" customHeight="1">
      <c r="A8624" t="inlineStr">
        <is>
          <t>A 32602-2024</t>
        </is>
      </c>
      <c r="B8624" t="inlineStr">
        <is>
          <t>avverkningsanmälan</t>
        </is>
      </c>
      <c r="C8624" t="inlineStr">
        <is>
          <t>Föryngringsavverkning</t>
        </is>
      </c>
      <c r="D8624" s="1" t="n">
        <v>45513</v>
      </c>
      <c r="E8624" s="1" t="n">
        <v>46326</v>
      </c>
      <c r="F8624" t="inlineStr">
        <is>
          <t>GÄVLEBORGS LÄN</t>
        </is>
      </c>
      <c r="G8624" t="inlineStr">
        <is>
          <t>NORDANSTIG</t>
        </is>
      </c>
      <c r="H8624" t="inlineStr">
        <is>
          <t>Holmen skog AB</t>
        </is>
      </c>
      <c r="I8624" t="n">
        <v>2.6</v>
      </c>
      <c r="J8624" t="n">
        <v>0</v>
      </c>
      <c r="K8624" t="n">
        <v>0</v>
      </c>
      <c r="L8624" t="n">
        <v>0</v>
      </c>
      <c r="M8624" t="n">
        <v>0</v>
      </c>
      <c r="N8624" t="n">
        <v>0</v>
      </c>
      <c r="O8624" t="n">
        <v>0</v>
      </c>
      <c r="P8624" t="n">
        <v>0</v>
      </c>
      <c r="Q8624" t="n">
        <v>0</v>
      </c>
      <c r="R8624" t="n">
        <v>0</v>
      </c>
      <c r="S8624" t="n">
        <v>0</v>
      </c>
      <c r="T8624" t="n">
        <v>0</v>
      </c>
      <c r="U8624" t="n">
        <v>0</v>
      </c>
      <c r="V8624" s="2" t="inlineStr"/>
    </row>
    <row r="8625" ht="15" customHeight="1">
      <c r="A8625" t="inlineStr">
        <is>
          <t>A 26881-2026</t>
        </is>
      </c>
      <c r="B8625" t="inlineStr">
        <is>
          <t>avverkningsanmälan</t>
        </is>
      </c>
      <c r="C8625" t="inlineStr">
        <is>
          <t>Föryngringsavverkning</t>
        </is>
      </c>
      <c r="D8625" s="1" t="n">
        <v>46185</v>
      </c>
      <c r="E8625" s="1" t="n">
        <v>46326</v>
      </c>
      <c r="F8625" t="inlineStr">
        <is>
          <t>GÄVLEBORGS LÄN</t>
        </is>
      </c>
      <c r="G8625" t="inlineStr">
        <is>
          <t>LJUSDAL</t>
        </is>
      </c>
      <c r="I8625" t="n">
        <v>3.7</v>
      </c>
      <c r="J8625" t="n">
        <v>0</v>
      </c>
      <c r="K8625" t="n">
        <v>0</v>
      </c>
      <c r="L8625" t="n">
        <v>0</v>
      </c>
      <c r="M8625" t="n">
        <v>0</v>
      </c>
      <c r="N8625" t="n">
        <v>0</v>
      </c>
      <c r="O8625" t="n">
        <v>0</v>
      </c>
      <c r="P8625" t="n">
        <v>0</v>
      </c>
      <c r="Q8625" t="n">
        <v>0</v>
      </c>
      <c r="R8625" t="n">
        <v>0</v>
      </c>
      <c r="S8625" t="n">
        <v>0</v>
      </c>
      <c r="T8625" t="n">
        <v>0</v>
      </c>
      <c r="U8625" t="n">
        <v>0</v>
      </c>
      <c r="V8625" s="2" t="inlineStr"/>
    </row>
    <row r="8626" ht="15" customHeight="1">
      <c r="A8626" t="inlineStr">
        <is>
          <t>A 26892-2026</t>
        </is>
      </c>
      <c r="B8626" t="inlineStr">
        <is>
          <t>avverkningsanmälan</t>
        </is>
      </c>
      <c r="C8626" t="inlineStr">
        <is>
          <t>Föryngringsavverkning</t>
        </is>
      </c>
      <c r="D8626" s="1" t="n">
        <v>46185</v>
      </c>
      <c r="E8626" s="1" t="n">
        <v>46326</v>
      </c>
      <c r="F8626" t="inlineStr">
        <is>
          <t>GÄVLEBORGS LÄN</t>
        </is>
      </c>
      <c r="G8626" t="inlineStr">
        <is>
          <t>BOLLNÄS</t>
        </is>
      </c>
      <c r="I8626" t="n">
        <v>9.800000000000001</v>
      </c>
      <c r="J8626" t="n">
        <v>0</v>
      </c>
      <c r="K8626" t="n">
        <v>0</v>
      </c>
      <c r="L8626" t="n">
        <v>0</v>
      </c>
      <c r="M8626" t="n">
        <v>0</v>
      </c>
      <c r="N8626" t="n">
        <v>0</v>
      </c>
      <c r="O8626" t="n">
        <v>0</v>
      </c>
      <c r="P8626" t="n">
        <v>0</v>
      </c>
      <c r="Q8626" t="n">
        <v>0</v>
      </c>
      <c r="R8626" t="n">
        <v>0</v>
      </c>
      <c r="S8626" t="n">
        <v>0</v>
      </c>
      <c r="T8626" t="n">
        <v>0</v>
      </c>
      <c r="U8626" t="n">
        <v>0</v>
      </c>
      <c r="V8626" s="2" t="inlineStr"/>
    </row>
    <row r="8627" ht="15" customHeight="1">
      <c r="A8627" t="inlineStr">
        <is>
          <t>A 26599-2026</t>
        </is>
      </c>
      <c r="B8627" t="inlineStr">
        <is>
          <t>avverkningsanmälan</t>
        </is>
      </c>
      <c r="C8627" t="inlineStr">
        <is>
          <t>Föryngringsavverkning</t>
        </is>
      </c>
      <c r="D8627" s="1" t="n">
        <v>46183</v>
      </c>
      <c r="E8627" s="1" t="n">
        <v>46326</v>
      </c>
      <c r="F8627" t="inlineStr">
        <is>
          <t>GÄVLEBORGS LÄN</t>
        </is>
      </c>
      <c r="G8627" t="inlineStr">
        <is>
          <t>GÄVLE</t>
        </is>
      </c>
      <c r="H8627" t="inlineStr">
        <is>
          <t>Bergvik skog öst AB</t>
        </is>
      </c>
      <c r="I8627" t="n">
        <v>3.4</v>
      </c>
      <c r="J8627" t="n">
        <v>0</v>
      </c>
      <c r="K8627" t="n">
        <v>0</v>
      </c>
      <c r="L8627" t="n">
        <v>0</v>
      </c>
      <c r="M8627" t="n">
        <v>0</v>
      </c>
      <c r="N8627" t="n">
        <v>0</v>
      </c>
      <c r="O8627" t="n">
        <v>0</v>
      </c>
      <c r="P8627" t="n">
        <v>0</v>
      </c>
      <c r="Q8627" t="n">
        <v>0</v>
      </c>
      <c r="R8627" t="n">
        <v>0</v>
      </c>
      <c r="S8627" t="n">
        <v>0</v>
      </c>
      <c r="T8627" t="n">
        <v>0</v>
      </c>
      <c r="U8627" t="n">
        <v>0</v>
      </c>
      <c r="V8627" s="2" t="inlineStr"/>
    </row>
    <row r="8628" ht="15" customHeight="1">
      <c r="A8628" t="inlineStr">
        <is>
          <t>A 26601-2026</t>
        </is>
      </c>
      <c r="B8628" t="inlineStr">
        <is>
          <t>avverkningsanmälan</t>
        </is>
      </c>
      <c r="C8628" t="inlineStr">
        <is>
          <t>Föryngringsavverkning</t>
        </is>
      </c>
      <c r="D8628" s="1" t="n">
        <v>46183</v>
      </c>
      <c r="E8628" s="1" t="n">
        <v>46326</v>
      </c>
      <c r="F8628" t="inlineStr">
        <is>
          <t>GÄVLEBORGS LÄN</t>
        </is>
      </c>
      <c r="G8628" t="inlineStr">
        <is>
          <t>SANDVIKEN</t>
        </is>
      </c>
      <c r="H8628" t="inlineStr">
        <is>
          <t>Bergvik skog öst AB</t>
        </is>
      </c>
      <c r="I8628" t="n">
        <v>2.5</v>
      </c>
      <c r="J8628" t="n">
        <v>0</v>
      </c>
      <c r="K8628" t="n">
        <v>0</v>
      </c>
      <c r="L8628" t="n">
        <v>0</v>
      </c>
      <c r="M8628" t="n">
        <v>0</v>
      </c>
      <c r="N8628" t="n">
        <v>0</v>
      </c>
      <c r="O8628" t="n">
        <v>0</v>
      </c>
      <c r="P8628" t="n">
        <v>0</v>
      </c>
      <c r="Q8628" t="n">
        <v>0</v>
      </c>
      <c r="R8628" t="n">
        <v>0</v>
      </c>
      <c r="S8628" t="n">
        <v>0</v>
      </c>
      <c r="T8628" t="n">
        <v>0</v>
      </c>
      <c r="U8628" t="n">
        <v>0</v>
      </c>
      <c r="V8628" s="2" t="inlineStr"/>
    </row>
    <row r="8629" ht="15" customHeight="1">
      <c r="A8629" t="inlineStr">
        <is>
          <t>A 26666-2026</t>
        </is>
      </c>
      <c r="B8629" t="inlineStr">
        <is>
          <t>avverkningsanmälan</t>
        </is>
      </c>
      <c r="C8629" t="inlineStr">
        <is>
          <t>Föryngringsavverkning</t>
        </is>
      </c>
      <c r="D8629" s="1" t="n">
        <v>46184</v>
      </c>
      <c r="E8629" s="1" t="n">
        <v>46326</v>
      </c>
      <c r="F8629" t="inlineStr">
        <is>
          <t>GÄVLEBORGS LÄN</t>
        </is>
      </c>
      <c r="G8629" t="inlineStr">
        <is>
          <t>OVANÅKER</t>
        </is>
      </c>
      <c r="I8629" t="n">
        <v>2.3</v>
      </c>
      <c r="J8629" t="n">
        <v>0</v>
      </c>
      <c r="K8629" t="n">
        <v>0</v>
      </c>
      <c r="L8629" t="n">
        <v>0</v>
      </c>
      <c r="M8629" t="n">
        <v>0</v>
      </c>
      <c r="N8629" t="n">
        <v>0</v>
      </c>
      <c r="O8629" t="n">
        <v>0</v>
      </c>
      <c r="P8629" t="n">
        <v>0</v>
      </c>
      <c r="Q8629" t="n">
        <v>0</v>
      </c>
      <c r="R8629" t="n">
        <v>0</v>
      </c>
      <c r="S8629" t="n">
        <v>0</v>
      </c>
      <c r="T8629" t="n">
        <v>0</v>
      </c>
      <c r="U8629" t="n">
        <v>0</v>
      </c>
      <c r="V8629" s="2" t="inlineStr"/>
    </row>
    <row r="8630" ht="15" customHeight="1">
      <c r="A8630" t="inlineStr">
        <is>
          <t>A 24135-2026</t>
        </is>
      </c>
      <c r="B8630" t="inlineStr">
        <is>
          <t>avverkningsanmälan</t>
        </is>
      </c>
      <c r="C8630" t="inlineStr">
        <is>
          <t>Föryngringsavverkning</t>
        </is>
      </c>
      <c r="D8630" s="1" t="n">
        <v>46168</v>
      </c>
      <c r="E8630" s="1" t="n">
        <v>46326</v>
      </c>
      <c r="F8630" t="inlineStr">
        <is>
          <t>GÄVLEBORGS LÄN</t>
        </is>
      </c>
      <c r="G8630" t="inlineStr">
        <is>
          <t>LJUSDAL</t>
        </is>
      </c>
      <c r="I8630" t="n">
        <v>2.8</v>
      </c>
      <c r="J8630" t="n">
        <v>0</v>
      </c>
      <c r="K8630" t="n">
        <v>0</v>
      </c>
      <c r="L8630" t="n">
        <v>0</v>
      </c>
      <c r="M8630" t="n">
        <v>0</v>
      </c>
      <c r="N8630" t="n">
        <v>0</v>
      </c>
      <c r="O8630" t="n">
        <v>0</v>
      </c>
      <c r="P8630" t="n">
        <v>0</v>
      </c>
      <c r="Q8630" t="n">
        <v>0</v>
      </c>
      <c r="R8630" t="n">
        <v>0</v>
      </c>
      <c r="S8630" t="n">
        <v>0</v>
      </c>
      <c r="T8630" t="n">
        <v>0</v>
      </c>
      <c r="U8630" t="n">
        <v>0</v>
      </c>
      <c r="V8630" s="2" t="inlineStr"/>
    </row>
    <row r="8631" ht="15" customHeight="1">
      <c r="A8631" t="inlineStr">
        <is>
          <t>A 26658-2026</t>
        </is>
      </c>
      <c r="B8631" t="inlineStr">
        <is>
          <t>avverkningsanmälan</t>
        </is>
      </c>
      <c r="C8631" t="inlineStr">
        <is>
          <t>Föryngringsavverkning</t>
        </is>
      </c>
      <c r="D8631" s="1" t="n">
        <v>46184</v>
      </c>
      <c r="E8631" s="1" t="n">
        <v>46326</v>
      </c>
      <c r="F8631" t="inlineStr">
        <is>
          <t>GÄVLEBORGS LÄN</t>
        </is>
      </c>
      <c r="G8631" t="inlineStr">
        <is>
          <t>GÄVLE</t>
        </is>
      </c>
      <c r="H8631" t="inlineStr">
        <is>
          <t>Bergvik skog öst AB</t>
        </is>
      </c>
      <c r="I8631" t="n">
        <v>0.7</v>
      </c>
      <c r="J8631" t="n">
        <v>0</v>
      </c>
      <c r="K8631" t="n">
        <v>0</v>
      </c>
      <c r="L8631" t="n">
        <v>0</v>
      </c>
      <c r="M8631" t="n">
        <v>0</v>
      </c>
      <c r="N8631" t="n">
        <v>0</v>
      </c>
      <c r="O8631" t="n">
        <v>0</v>
      </c>
      <c r="P8631" t="n">
        <v>0</v>
      </c>
      <c r="Q8631" t="n">
        <v>0</v>
      </c>
      <c r="R8631" t="n">
        <v>0</v>
      </c>
      <c r="S8631" t="n">
        <v>0</v>
      </c>
      <c r="T8631" t="n">
        <v>0</v>
      </c>
      <c r="U8631" t="n">
        <v>0</v>
      </c>
      <c r="V8631" s="2" t="inlineStr"/>
    </row>
    <row r="8632" ht="15" customHeight="1">
      <c r="A8632" t="inlineStr">
        <is>
          <t>A 10332-2023</t>
        </is>
      </c>
      <c r="B8632" t="inlineStr">
        <is>
          <t>avverkningsanmälan</t>
        </is>
      </c>
      <c r="C8632" t="inlineStr">
        <is>
          <t>Föryngringsavverkning</t>
        </is>
      </c>
      <c r="D8632" s="1" t="n">
        <v>44987</v>
      </c>
      <c r="E8632" s="1" t="n">
        <v>46326</v>
      </c>
      <c r="F8632" t="inlineStr">
        <is>
          <t>GÄVLEBORGS LÄN</t>
        </is>
      </c>
      <c r="G8632" t="inlineStr">
        <is>
          <t>HUDIKSVALL</t>
        </is>
      </c>
      <c r="H8632" t="inlineStr">
        <is>
          <t>Holmen skog AB</t>
        </is>
      </c>
      <c r="I8632" t="n">
        <v>1.2</v>
      </c>
      <c r="J8632" t="n">
        <v>0</v>
      </c>
      <c r="K8632" t="n">
        <v>0</v>
      </c>
      <c r="L8632" t="n">
        <v>0</v>
      </c>
      <c r="M8632" t="n">
        <v>0</v>
      </c>
      <c r="N8632" t="n">
        <v>0</v>
      </c>
      <c r="O8632" t="n">
        <v>0</v>
      </c>
      <c r="P8632" t="n">
        <v>0</v>
      </c>
      <c r="Q8632" t="n">
        <v>0</v>
      </c>
      <c r="R8632" t="n">
        <v>0</v>
      </c>
      <c r="S8632" t="n">
        <v>0</v>
      </c>
      <c r="T8632" t="n">
        <v>0</v>
      </c>
      <c r="U8632" t="n">
        <v>0</v>
      </c>
      <c r="V8632" s="2" t="inlineStr"/>
    </row>
    <row r="8633" ht="15" customHeight="1">
      <c r="A8633" t="inlineStr">
        <is>
          <t>A 26396-2026</t>
        </is>
      </c>
      <c r="B8633" t="inlineStr">
        <is>
          <t>avverkningsanmälan</t>
        </is>
      </c>
      <c r="C8633" t="inlineStr">
        <is>
          <t>Föryngringsavverkning</t>
        </is>
      </c>
      <c r="D8633" s="1" t="n">
        <v>46183</v>
      </c>
      <c r="E8633" s="1" t="n">
        <v>46326</v>
      </c>
      <c r="F8633" t="inlineStr">
        <is>
          <t>GÄVLEBORGS LÄN</t>
        </is>
      </c>
      <c r="G8633" t="inlineStr">
        <is>
          <t>LJUSDAL</t>
        </is>
      </c>
      <c r="I8633" t="n">
        <v>7.5</v>
      </c>
      <c r="J8633" t="n">
        <v>0</v>
      </c>
      <c r="K8633" t="n">
        <v>0</v>
      </c>
      <c r="L8633" t="n">
        <v>0</v>
      </c>
      <c r="M8633" t="n">
        <v>0</v>
      </c>
      <c r="N8633" t="n">
        <v>0</v>
      </c>
      <c r="O8633" t="n">
        <v>0</v>
      </c>
      <c r="P8633" t="n">
        <v>0</v>
      </c>
      <c r="Q8633" t="n">
        <v>0</v>
      </c>
      <c r="R8633" t="n">
        <v>0</v>
      </c>
      <c r="S8633" t="n">
        <v>0</v>
      </c>
      <c r="T8633" t="n">
        <v>0</v>
      </c>
      <c r="U8633" t="n">
        <v>0</v>
      </c>
      <c r="V8633" s="2" t="inlineStr"/>
    </row>
    <row r="8634" ht="15" customHeight="1">
      <c r="A8634" t="inlineStr">
        <is>
          <t>A 61234-2023</t>
        </is>
      </c>
      <c r="B8634" t="inlineStr">
        <is>
          <t>avverkningsanmälan</t>
        </is>
      </c>
      <c r="C8634" t="inlineStr">
        <is>
          <t>Föryngringsavverkning</t>
        </is>
      </c>
      <c r="D8634" s="1" t="n">
        <v>45264</v>
      </c>
      <c r="E8634" s="1" t="n">
        <v>46326</v>
      </c>
      <c r="F8634" t="inlineStr">
        <is>
          <t>GÄVLEBORGS LÄN</t>
        </is>
      </c>
      <c r="G8634" t="inlineStr">
        <is>
          <t>HUDIKSVALL</t>
        </is>
      </c>
      <c r="I8634" t="n">
        <v>0.9</v>
      </c>
      <c r="J8634" t="n">
        <v>0</v>
      </c>
      <c r="K8634" t="n">
        <v>0</v>
      </c>
      <c r="L8634" t="n">
        <v>0</v>
      </c>
      <c r="M8634" t="n">
        <v>0</v>
      </c>
      <c r="N8634" t="n">
        <v>0</v>
      </c>
      <c r="O8634" t="n">
        <v>0</v>
      </c>
      <c r="P8634" t="n">
        <v>0</v>
      </c>
      <c r="Q8634" t="n">
        <v>0</v>
      </c>
      <c r="R8634" t="n">
        <v>0</v>
      </c>
      <c r="S8634" t="n">
        <v>0</v>
      </c>
      <c r="T8634" t="n">
        <v>0</v>
      </c>
      <c r="U8634" t="n">
        <v>0</v>
      </c>
      <c r="V8634" s="2" t="inlineStr"/>
    </row>
    <row r="8635" ht="15" customHeight="1">
      <c r="A8635" t="inlineStr">
        <is>
          <t>A 26489-2026</t>
        </is>
      </c>
      <c r="B8635" t="inlineStr">
        <is>
          <t>avverkningsanmälan</t>
        </is>
      </c>
      <c r="C8635" t="inlineStr">
        <is>
          <t>Föryngringsavverkning</t>
        </is>
      </c>
      <c r="D8635" s="1" t="n">
        <v>46183</v>
      </c>
      <c r="E8635" s="1" t="n">
        <v>46326</v>
      </c>
      <c r="F8635" t="inlineStr">
        <is>
          <t>GÄVLEBORGS LÄN</t>
        </is>
      </c>
      <c r="G8635" t="inlineStr">
        <is>
          <t>OVANÅKER</t>
        </is>
      </c>
      <c r="I8635" t="n">
        <v>6.5</v>
      </c>
      <c r="J8635" t="n">
        <v>0</v>
      </c>
      <c r="K8635" t="n">
        <v>0</v>
      </c>
      <c r="L8635" t="n">
        <v>0</v>
      </c>
      <c r="M8635" t="n">
        <v>0</v>
      </c>
      <c r="N8635" t="n">
        <v>0</v>
      </c>
      <c r="O8635" t="n">
        <v>0</v>
      </c>
      <c r="P8635" t="n">
        <v>0</v>
      </c>
      <c r="Q8635" t="n">
        <v>0</v>
      </c>
      <c r="R8635" t="n">
        <v>0</v>
      </c>
      <c r="S8635" t="n">
        <v>0</v>
      </c>
      <c r="T8635" t="n">
        <v>0</v>
      </c>
      <c r="U8635" t="n">
        <v>0</v>
      </c>
      <c r="V8635" s="2" t="inlineStr"/>
    </row>
    <row r="8636" ht="15" customHeight="1">
      <c r="A8636" t="inlineStr">
        <is>
          <t>A 11691-2024</t>
        </is>
      </c>
      <c r="B8636" t="inlineStr">
        <is>
          <t>avverkningsanmälan</t>
        </is>
      </c>
      <c r="C8636" t="inlineStr">
        <is>
          <t>Föryngringsavverkning</t>
        </is>
      </c>
      <c r="D8636" s="1" t="n">
        <v>45373</v>
      </c>
      <c r="E8636" s="1" t="n">
        <v>46326</v>
      </c>
      <c r="F8636" t="inlineStr">
        <is>
          <t>GÄVLEBORGS LÄN</t>
        </is>
      </c>
      <c r="G8636" t="inlineStr">
        <is>
          <t>GÄVLE</t>
        </is>
      </c>
      <c r="I8636" t="n">
        <v>1.7</v>
      </c>
      <c r="J8636" t="n">
        <v>0</v>
      </c>
      <c r="K8636" t="n">
        <v>0</v>
      </c>
      <c r="L8636" t="n">
        <v>0</v>
      </c>
      <c r="M8636" t="n">
        <v>0</v>
      </c>
      <c r="N8636" t="n">
        <v>0</v>
      </c>
      <c r="O8636" t="n">
        <v>0</v>
      </c>
      <c r="P8636" t="n">
        <v>0</v>
      </c>
      <c r="Q8636" t="n">
        <v>0</v>
      </c>
      <c r="R8636" t="n">
        <v>0</v>
      </c>
      <c r="S8636" t="n">
        <v>0</v>
      </c>
      <c r="T8636" t="n">
        <v>0</v>
      </c>
      <c r="U8636" t="n">
        <v>0</v>
      </c>
      <c r="V8636" s="2" t="inlineStr"/>
    </row>
    <row r="8637" ht="15" customHeight="1">
      <c r="A8637" t="inlineStr">
        <is>
          <t>A 3453-2023</t>
        </is>
      </c>
      <c r="B8637" t="inlineStr">
        <is>
          <t>avverkningsanmälan</t>
        </is>
      </c>
      <c r="C8637" t="inlineStr">
        <is>
          <t>Föryngringsavverkning</t>
        </is>
      </c>
      <c r="D8637" s="1" t="n">
        <v>44949</v>
      </c>
      <c r="E8637" s="1" t="n">
        <v>46326</v>
      </c>
      <c r="F8637" t="inlineStr">
        <is>
          <t>GÄVLEBORGS LÄN</t>
        </is>
      </c>
      <c r="G8637" t="inlineStr">
        <is>
          <t>OVANÅKER</t>
        </is>
      </c>
      <c r="I8637" t="n">
        <v>0.8</v>
      </c>
      <c r="J8637" t="n">
        <v>0</v>
      </c>
      <c r="K8637" t="n">
        <v>0</v>
      </c>
      <c r="L8637" t="n">
        <v>0</v>
      </c>
      <c r="M8637" t="n">
        <v>0</v>
      </c>
      <c r="N8637" t="n">
        <v>0</v>
      </c>
      <c r="O8637" t="n">
        <v>0</v>
      </c>
      <c r="P8637" t="n">
        <v>0</v>
      </c>
      <c r="Q8637" t="n">
        <v>0</v>
      </c>
      <c r="R8637" t="n">
        <v>0</v>
      </c>
      <c r="S8637" t="n">
        <v>0</v>
      </c>
      <c r="T8637" t="n">
        <v>0</v>
      </c>
      <c r="U8637" t="n">
        <v>0</v>
      </c>
      <c r="V8637" s="2" t="inlineStr"/>
    </row>
    <row r="8638" ht="15" customHeight="1">
      <c r="A8638" t="inlineStr">
        <is>
          <t>A 62766-2022</t>
        </is>
      </c>
      <c r="B8638" t="inlineStr">
        <is>
          <t>avverkningsanmälan</t>
        </is>
      </c>
      <c r="C8638" t="inlineStr">
        <is>
          <t>Föryngringsavverkning</t>
        </is>
      </c>
      <c r="D8638" s="1" t="n">
        <v>44885</v>
      </c>
      <c r="E8638" s="1" t="n">
        <v>46326</v>
      </c>
      <c r="F8638" t="inlineStr">
        <is>
          <t>GÄVLEBORGS LÄN</t>
        </is>
      </c>
      <c r="G8638" t="inlineStr">
        <is>
          <t>GÄVLE</t>
        </is>
      </c>
      <c r="I8638" t="n">
        <v>1</v>
      </c>
      <c r="J8638" t="n">
        <v>0</v>
      </c>
      <c r="K8638" t="n">
        <v>0</v>
      </c>
      <c r="L8638" t="n">
        <v>0</v>
      </c>
      <c r="M8638" t="n">
        <v>0</v>
      </c>
      <c r="N8638" t="n">
        <v>0</v>
      </c>
      <c r="O8638" t="n">
        <v>0</v>
      </c>
      <c r="P8638" t="n">
        <v>0</v>
      </c>
      <c r="Q8638" t="n">
        <v>0</v>
      </c>
      <c r="R8638" t="n">
        <v>0</v>
      </c>
      <c r="S8638" t="n">
        <v>0</v>
      </c>
      <c r="T8638" t="n">
        <v>0</v>
      </c>
      <c r="U8638" t="n">
        <v>0</v>
      </c>
      <c r="V8638" s="2" t="inlineStr"/>
    </row>
    <row r="8639" ht="15" customHeight="1">
      <c r="A8639" t="inlineStr">
        <is>
          <t>A 73389-2021</t>
        </is>
      </c>
      <c r="B8639" t="inlineStr">
        <is>
          <t>avverkningsanmälan</t>
        </is>
      </c>
      <c r="C8639" t="inlineStr">
        <is>
          <t>Föryngringsavverkning</t>
        </is>
      </c>
      <c r="D8639" s="1" t="n">
        <v>44551</v>
      </c>
      <c r="E8639" s="1" t="n">
        <v>46326</v>
      </c>
      <c r="F8639" t="inlineStr">
        <is>
          <t>GÄVLEBORGS LÄN</t>
        </is>
      </c>
      <c r="G8639" t="inlineStr">
        <is>
          <t>NORDANSTIG</t>
        </is>
      </c>
      <c r="I8639" t="n">
        <v>4.2</v>
      </c>
      <c r="J8639" t="n">
        <v>0</v>
      </c>
      <c r="K8639" t="n">
        <v>0</v>
      </c>
      <c r="L8639" t="n">
        <v>0</v>
      </c>
      <c r="M8639" t="n">
        <v>0</v>
      </c>
      <c r="N8639" t="n">
        <v>0</v>
      </c>
      <c r="O8639" t="n">
        <v>0</v>
      </c>
      <c r="P8639" t="n">
        <v>0</v>
      </c>
      <c r="Q8639" t="n">
        <v>0</v>
      </c>
      <c r="R8639" t="n">
        <v>0</v>
      </c>
      <c r="S8639" t="n">
        <v>0</v>
      </c>
      <c r="T8639" t="n">
        <v>0</v>
      </c>
      <c r="U8639" t="n">
        <v>0</v>
      </c>
      <c r="V8639" s="2" t="inlineStr"/>
    </row>
    <row r="8640" ht="15" customHeight="1">
      <c r="A8640" t="inlineStr">
        <is>
          <t>A 26430-2026</t>
        </is>
      </c>
      <c r="B8640" t="inlineStr">
        <is>
          <t>avverkningsanmälan</t>
        </is>
      </c>
      <c r="C8640" t="inlineStr">
        <is>
          <t>Föryngringsavverkning</t>
        </is>
      </c>
      <c r="D8640" s="1" t="n">
        <v>46183</v>
      </c>
      <c r="E8640" s="1" t="n">
        <v>46326</v>
      </c>
      <c r="F8640" t="inlineStr">
        <is>
          <t>GÄVLEBORGS LÄN</t>
        </is>
      </c>
      <c r="G8640" t="inlineStr">
        <is>
          <t>OVANÅKER</t>
        </is>
      </c>
      <c r="I8640" t="n">
        <v>1.1</v>
      </c>
      <c r="J8640" t="n">
        <v>0</v>
      </c>
      <c r="K8640" t="n">
        <v>0</v>
      </c>
      <c r="L8640" t="n">
        <v>0</v>
      </c>
      <c r="M8640" t="n">
        <v>0</v>
      </c>
      <c r="N8640" t="n">
        <v>0</v>
      </c>
      <c r="O8640" t="n">
        <v>0</v>
      </c>
      <c r="P8640" t="n">
        <v>0</v>
      </c>
      <c r="Q8640" t="n">
        <v>0</v>
      </c>
      <c r="R8640" t="n">
        <v>0</v>
      </c>
      <c r="S8640" t="n">
        <v>0</v>
      </c>
      <c r="T8640" t="n">
        <v>0</v>
      </c>
      <c r="U8640" t="n">
        <v>0</v>
      </c>
      <c r="V8640" s="2" t="inlineStr"/>
    </row>
    <row r="8641" ht="15" customHeight="1">
      <c r="A8641" t="inlineStr">
        <is>
          <t>A 4461-2023</t>
        </is>
      </c>
      <c r="B8641" t="inlineStr">
        <is>
          <t>avverkningsanmälan</t>
        </is>
      </c>
      <c r="C8641" t="inlineStr">
        <is>
          <t>Föryngringsavverkning</t>
        </is>
      </c>
      <c r="D8641" s="1" t="n">
        <v>44956</v>
      </c>
      <c r="E8641" s="1" t="n">
        <v>46326</v>
      </c>
      <c r="F8641" t="inlineStr">
        <is>
          <t>GÄVLEBORGS LÄN</t>
        </is>
      </c>
      <c r="G8641" t="inlineStr">
        <is>
          <t>SANDVIKEN</t>
        </is>
      </c>
      <c r="I8641" t="n">
        <v>0.5</v>
      </c>
      <c r="J8641" t="n">
        <v>0</v>
      </c>
      <c r="K8641" t="n">
        <v>0</v>
      </c>
      <c r="L8641" t="n">
        <v>0</v>
      </c>
      <c r="M8641" t="n">
        <v>0</v>
      </c>
      <c r="N8641" t="n">
        <v>0</v>
      </c>
      <c r="O8641" t="n">
        <v>0</v>
      </c>
      <c r="P8641" t="n">
        <v>0</v>
      </c>
      <c r="Q8641" t="n">
        <v>0</v>
      </c>
      <c r="R8641" t="n">
        <v>0</v>
      </c>
      <c r="S8641" t="n">
        <v>0</v>
      </c>
      <c r="T8641" t="n">
        <v>0</v>
      </c>
      <c r="U8641" t="n">
        <v>0</v>
      </c>
      <c r="V8641" s="2" t="inlineStr"/>
    </row>
    <row r="8642" ht="15" customHeight="1">
      <c r="A8642" t="inlineStr">
        <is>
          <t>A 26610-2026</t>
        </is>
      </c>
      <c r="B8642" t="inlineStr">
        <is>
          <t>avverkningsanmälan</t>
        </is>
      </c>
      <c r="C8642" t="inlineStr">
        <is>
          <t>Föryngringsavverkning</t>
        </is>
      </c>
      <c r="D8642" s="1" t="n">
        <v>46184</v>
      </c>
      <c r="E8642" s="1" t="n">
        <v>46326</v>
      </c>
      <c r="F8642" t="inlineStr">
        <is>
          <t>GÄVLEBORGS LÄN</t>
        </is>
      </c>
      <c r="G8642" t="inlineStr">
        <is>
          <t>BOLLNÄS</t>
        </is>
      </c>
      <c r="H8642" t="inlineStr">
        <is>
          <t>Kyrkan</t>
        </is>
      </c>
      <c r="I8642" t="n">
        <v>3.4</v>
      </c>
      <c r="J8642" t="n">
        <v>0</v>
      </c>
      <c r="K8642" t="n">
        <v>0</v>
      </c>
      <c r="L8642" t="n">
        <v>0</v>
      </c>
      <c r="M8642" t="n">
        <v>0</v>
      </c>
      <c r="N8642" t="n">
        <v>0</v>
      </c>
      <c r="O8642" t="n">
        <v>0</v>
      </c>
      <c r="P8642" t="n">
        <v>0</v>
      </c>
      <c r="Q8642" t="n">
        <v>0</v>
      </c>
      <c r="R8642" t="n">
        <v>0</v>
      </c>
      <c r="S8642" t="n">
        <v>0</v>
      </c>
      <c r="T8642" t="n">
        <v>0</v>
      </c>
      <c r="U8642" t="n">
        <v>0</v>
      </c>
      <c r="V8642" s="2" t="inlineStr"/>
    </row>
    <row r="8643" ht="15" customHeight="1">
      <c r="A8643" t="inlineStr">
        <is>
          <t>A 26634-2026</t>
        </is>
      </c>
      <c r="B8643" t="inlineStr">
        <is>
          <t>avverkningsanmälan</t>
        </is>
      </c>
      <c r="C8643" t="inlineStr">
        <is>
          <t>Föryngringsavverkning</t>
        </is>
      </c>
      <c r="D8643" s="1" t="n">
        <v>46184</v>
      </c>
      <c r="E8643" s="1" t="n">
        <v>46326</v>
      </c>
      <c r="F8643" t="inlineStr">
        <is>
          <t>GÄVLEBORGS LÄN</t>
        </is>
      </c>
      <c r="G8643" t="inlineStr">
        <is>
          <t>NORDANSTIG</t>
        </is>
      </c>
      <c r="H8643" t="inlineStr">
        <is>
          <t>Holmen skog AB</t>
        </is>
      </c>
      <c r="I8643" t="n">
        <v>1.7</v>
      </c>
      <c r="J8643" t="n">
        <v>0</v>
      </c>
      <c r="K8643" t="n">
        <v>0</v>
      </c>
      <c r="L8643" t="n">
        <v>0</v>
      </c>
      <c r="M8643" t="n">
        <v>0</v>
      </c>
      <c r="N8643" t="n">
        <v>0</v>
      </c>
      <c r="O8643" t="n">
        <v>0</v>
      </c>
      <c r="P8643" t="n">
        <v>0</v>
      </c>
      <c r="Q8643" t="n">
        <v>0</v>
      </c>
      <c r="R8643" t="n">
        <v>0</v>
      </c>
      <c r="S8643" t="n">
        <v>0</v>
      </c>
      <c r="T8643" t="n">
        <v>0</v>
      </c>
      <c r="U8643" t="n">
        <v>0</v>
      </c>
      <c r="V8643" s="2" t="inlineStr"/>
    </row>
    <row r="8644" ht="15" customHeight="1">
      <c r="A8644" t="inlineStr">
        <is>
          <t>A 40695-2023</t>
        </is>
      </c>
      <c r="B8644" t="inlineStr">
        <is>
          <t>avverkningsanmälan</t>
        </is>
      </c>
      <c r="C8644" t="inlineStr">
        <is>
          <t>Föryngringsavverkning</t>
        </is>
      </c>
      <c r="D8644" s="1" t="n">
        <v>45170</v>
      </c>
      <c r="E8644" s="1" t="n">
        <v>46326</v>
      </c>
      <c r="F8644" t="inlineStr">
        <is>
          <t>GÄVLEBORGS LÄN</t>
        </is>
      </c>
      <c r="G8644" t="inlineStr">
        <is>
          <t>LJUSDAL</t>
        </is>
      </c>
      <c r="H8644" t="inlineStr">
        <is>
          <t>Holmen skog AB</t>
        </is>
      </c>
      <c r="I8644" t="n">
        <v>1.8</v>
      </c>
      <c r="J8644" t="n">
        <v>0</v>
      </c>
      <c r="K8644" t="n">
        <v>0</v>
      </c>
      <c r="L8644" t="n">
        <v>0</v>
      </c>
      <c r="M8644" t="n">
        <v>0</v>
      </c>
      <c r="N8644" t="n">
        <v>0</v>
      </c>
      <c r="O8644" t="n">
        <v>0</v>
      </c>
      <c r="P8644" t="n">
        <v>0</v>
      </c>
      <c r="Q8644" t="n">
        <v>0</v>
      </c>
      <c r="R8644" t="n">
        <v>0</v>
      </c>
      <c r="S8644" t="n">
        <v>0</v>
      </c>
      <c r="T8644" t="n">
        <v>0</v>
      </c>
      <c r="U8644" t="n">
        <v>0</v>
      </c>
      <c r="V8644" s="2" t="inlineStr"/>
    </row>
    <row r="8645" ht="15" customHeight="1">
      <c r="A8645" t="inlineStr">
        <is>
          <t>A 26991-2026</t>
        </is>
      </c>
      <c r="B8645" t="inlineStr">
        <is>
          <t>avverkningsanmälan</t>
        </is>
      </c>
      <c r="C8645" t="inlineStr">
        <is>
          <t>Föryngringsavverkning</t>
        </is>
      </c>
      <c r="D8645" s="1" t="n">
        <v>46185</v>
      </c>
      <c r="E8645" s="1" t="n">
        <v>46326</v>
      </c>
      <c r="F8645" t="inlineStr">
        <is>
          <t>GÄVLEBORGS LÄN</t>
        </is>
      </c>
      <c r="G8645" t="inlineStr">
        <is>
          <t>GÄVLE</t>
        </is>
      </c>
      <c r="I8645" t="n">
        <v>3.3</v>
      </c>
      <c r="J8645" t="n">
        <v>0</v>
      </c>
      <c r="K8645" t="n">
        <v>0</v>
      </c>
      <c r="L8645" t="n">
        <v>0</v>
      </c>
      <c r="M8645" t="n">
        <v>0</v>
      </c>
      <c r="N8645" t="n">
        <v>0</v>
      </c>
      <c r="O8645" t="n">
        <v>0</v>
      </c>
      <c r="P8645" t="n">
        <v>0</v>
      </c>
      <c r="Q8645" t="n">
        <v>0</v>
      </c>
      <c r="R8645" t="n">
        <v>0</v>
      </c>
      <c r="S8645" t="n">
        <v>0</v>
      </c>
      <c r="T8645" t="n">
        <v>0</v>
      </c>
      <c r="U8645" t="n">
        <v>0</v>
      </c>
      <c r="V8645" s="2" t="inlineStr"/>
    </row>
    <row r="8646" ht="15" customHeight="1">
      <c r="A8646" t="inlineStr">
        <is>
          <t>A 27092-2026</t>
        </is>
      </c>
      <c r="B8646" t="inlineStr">
        <is>
          <t>avverkningsanmälan</t>
        </is>
      </c>
      <c r="C8646" t="inlineStr">
        <is>
          <t>Föryngringsavverkning</t>
        </is>
      </c>
      <c r="D8646" s="1" t="n">
        <v>46188</v>
      </c>
      <c r="E8646" s="1" t="n">
        <v>46326</v>
      </c>
      <c r="F8646" t="inlineStr">
        <is>
          <t>GÄVLEBORGS LÄN</t>
        </is>
      </c>
      <c r="G8646" t="inlineStr">
        <is>
          <t>BOLLNÄS</t>
        </is>
      </c>
      <c r="H8646" t="inlineStr">
        <is>
          <t>Bergvik skog väst AB</t>
        </is>
      </c>
      <c r="I8646" t="n">
        <v>1.6</v>
      </c>
      <c r="J8646" t="n">
        <v>0</v>
      </c>
      <c r="K8646" t="n">
        <v>0</v>
      </c>
      <c r="L8646" t="n">
        <v>0</v>
      </c>
      <c r="M8646" t="n">
        <v>0</v>
      </c>
      <c r="N8646" t="n">
        <v>0</v>
      </c>
      <c r="O8646" t="n">
        <v>0</v>
      </c>
      <c r="P8646" t="n">
        <v>0</v>
      </c>
      <c r="Q8646" t="n">
        <v>0</v>
      </c>
      <c r="R8646" t="n">
        <v>0</v>
      </c>
      <c r="S8646" t="n">
        <v>0</v>
      </c>
      <c r="T8646" t="n">
        <v>0</v>
      </c>
      <c r="U8646" t="n">
        <v>0</v>
      </c>
      <c r="V8646" s="2" t="inlineStr"/>
    </row>
    <row r="8647" ht="15" customHeight="1">
      <c r="A8647" t="inlineStr">
        <is>
          <t>A 34913-2023</t>
        </is>
      </c>
      <c r="B8647" t="inlineStr">
        <is>
          <t>avverkningsanmälan</t>
        </is>
      </c>
      <c r="C8647" t="inlineStr">
        <is>
          <t>Föryngringsavverkning</t>
        </is>
      </c>
      <c r="D8647" s="1" t="n">
        <v>45142</v>
      </c>
      <c r="E8647" s="1" t="n">
        <v>46326</v>
      </c>
      <c r="F8647" t="inlineStr">
        <is>
          <t>GÄVLEBORGS LÄN</t>
        </is>
      </c>
      <c r="G8647" t="inlineStr">
        <is>
          <t>NORDANSTIG</t>
        </is>
      </c>
      <c r="H8647" t="inlineStr">
        <is>
          <t>Holmen skog AB</t>
        </is>
      </c>
      <c r="I8647" t="n">
        <v>1.5</v>
      </c>
      <c r="J8647" t="n">
        <v>0</v>
      </c>
      <c r="K8647" t="n">
        <v>0</v>
      </c>
      <c r="L8647" t="n">
        <v>0</v>
      </c>
      <c r="M8647" t="n">
        <v>0</v>
      </c>
      <c r="N8647" t="n">
        <v>0</v>
      </c>
      <c r="O8647" t="n">
        <v>0</v>
      </c>
      <c r="P8647" t="n">
        <v>0</v>
      </c>
      <c r="Q8647" t="n">
        <v>0</v>
      </c>
      <c r="R8647" t="n">
        <v>0</v>
      </c>
      <c r="S8647" t="n">
        <v>0</v>
      </c>
      <c r="T8647" t="n">
        <v>0</v>
      </c>
      <c r="U8647" t="n">
        <v>0</v>
      </c>
      <c r="V8647" s="2" t="inlineStr"/>
    </row>
    <row r="8648" ht="15" customHeight="1">
      <c r="A8648" t="inlineStr">
        <is>
          <t>A 34918-2023</t>
        </is>
      </c>
      <c r="B8648" t="inlineStr">
        <is>
          <t>avverkningsanmälan</t>
        </is>
      </c>
      <c r="C8648" t="inlineStr">
        <is>
          <t>Föryngringsavverkning</t>
        </is>
      </c>
      <c r="D8648" s="1" t="n">
        <v>45142</v>
      </c>
      <c r="E8648" s="1" t="n">
        <v>46326</v>
      </c>
      <c r="F8648" t="inlineStr">
        <is>
          <t>GÄVLEBORGS LÄN</t>
        </is>
      </c>
      <c r="G8648" t="inlineStr">
        <is>
          <t>NORDANSTIG</t>
        </is>
      </c>
      <c r="H8648" t="inlineStr">
        <is>
          <t>Holmen skog AB</t>
        </is>
      </c>
      <c r="I8648" t="n">
        <v>1.2</v>
      </c>
      <c r="J8648" t="n">
        <v>0</v>
      </c>
      <c r="K8648" t="n">
        <v>0</v>
      </c>
      <c r="L8648" t="n">
        <v>0</v>
      </c>
      <c r="M8648" t="n">
        <v>0</v>
      </c>
      <c r="N8648" t="n">
        <v>0</v>
      </c>
      <c r="O8648" t="n">
        <v>0</v>
      </c>
      <c r="P8648" t="n">
        <v>0</v>
      </c>
      <c r="Q8648" t="n">
        <v>0</v>
      </c>
      <c r="R8648" t="n">
        <v>0</v>
      </c>
      <c r="S8648" t="n">
        <v>0</v>
      </c>
      <c r="T8648" t="n">
        <v>0</v>
      </c>
      <c r="U8648" t="n">
        <v>0</v>
      </c>
      <c r="V8648" s="2" t="inlineStr"/>
    </row>
    <row r="8649" ht="15" customHeight="1">
      <c r="A8649" t="inlineStr">
        <is>
          <t>A 60917-2023</t>
        </is>
      </c>
      <c r="B8649" t="inlineStr">
        <is>
          <t>avverkningsanmälan</t>
        </is>
      </c>
      <c r="C8649" t="inlineStr">
        <is>
          <t>Avverkning för att bevara och utveckla /försöksver</t>
        </is>
      </c>
      <c r="D8649" s="1" t="n">
        <v>45261</v>
      </c>
      <c r="E8649" s="1" t="n">
        <v>46326</v>
      </c>
      <c r="F8649" t="inlineStr">
        <is>
          <t>GÄVLEBORGS LÄN</t>
        </is>
      </c>
      <c r="G8649" t="inlineStr">
        <is>
          <t>HUDIKSVALL</t>
        </is>
      </c>
      <c r="H8649" t="inlineStr">
        <is>
          <t>Holmen skog AB</t>
        </is>
      </c>
      <c r="I8649" t="n">
        <v>3.4</v>
      </c>
      <c r="J8649" t="n">
        <v>0</v>
      </c>
      <c r="K8649" t="n">
        <v>0</v>
      </c>
      <c r="L8649" t="n">
        <v>0</v>
      </c>
      <c r="M8649" t="n">
        <v>0</v>
      </c>
      <c r="N8649" t="n">
        <v>0</v>
      </c>
      <c r="O8649" t="n">
        <v>0</v>
      </c>
      <c r="P8649" t="n">
        <v>0</v>
      </c>
      <c r="Q8649" t="n">
        <v>0</v>
      </c>
      <c r="R8649" t="n">
        <v>0</v>
      </c>
      <c r="S8649" t="n">
        <v>0</v>
      </c>
      <c r="T8649" t="n">
        <v>0</v>
      </c>
      <c r="U8649" t="n">
        <v>0</v>
      </c>
      <c r="V8649" s="2" t="inlineStr"/>
    </row>
    <row r="8650" ht="15" customHeight="1">
      <c r="A8650" t="inlineStr">
        <is>
          <t>A 60938-2023</t>
        </is>
      </c>
      <c r="B8650" t="inlineStr">
        <is>
          <t>avverkningsanmälan</t>
        </is>
      </c>
      <c r="C8650" t="inlineStr">
        <is>
          <t>Föryngringsavverkning</t>
        </is>
      </c>
      <c r="D8650" s="1" t="n">
        <v>45261</v>
      </c>
      <c r="E8650" s="1" t="n">
        <v>46326</v>
      </c>
      <c r="F8650" t="inlineStr">
        <is>
          <t>GÄVLEBORGS LÄN</t>
        </is>
      </c>
      <c r="G8650" t="inlineStr">
        <is>
          <t>HUDIKSVALL</t>
        </is>
      </c>
      <c r="H8650" t="inlineStr">
        <is>
          <t>Holmen skog AB</t>
        </is>
      </c>
      <c r="I8650" t="n">
        <v>2.2</v>
      </c>
      <c r="J8650" t="n">
        <v>0</v>
      </c>
      <c r="K8650" t="n">
        <v>0</v>
      </c>
      <c r="L8650" t="n">
        <v>0</v>
      </c>
      <c r="M8650" t="n">
        <v>0</v>
      </c>
      <c r="N8650" t="n">
        <v>0</v>
      </c>
      <c r="O8650" t="n">
        <v>0</v>
      </c>
      <c r="P8650" t="n">
        <v>0</v>
      </c>
      <c r="Q8650" t="n">
        <v>0</v>
      </c>
      <c r="R8650" t="n">
        <v>0</v>
      </c>
      <c r="S8650" t="n">
        <v>0</v>
      </c>
      <c r="T8650" t="n">
        <v>0</v>
      </c>
      <c r="U8650" t="n">
        <v>0</v>
      </c>
      <c r="V8650" s="2" t="inlineStr"/>
    </row>
    <row r="8651" ht="15" customHeight="1">
      <c r="A8651" t="inlineStr">
        <is>
          <t>A 27104-2026</t>
        </is>
      </c>
      <c r="B8651" t="inlineStr">
        <is>
          <t>avverkningsanmälan</t>
        </is>
      </c>
      <c r="C8651" t="inlineStr">
        <is>
          <t>Föryngringsavverkning</t>
        </is>
      </c>
      <c r="D8651" s="1" t="n">
        <v>46188</v>
      </c>
      <c r="E8651" s="1" t="n">
        <v>46326</v>
      </c>
      <c r="F8651" t="inlineStr">
        <is>
          <t>GÄVLEBORGS LÄN</t>
        </is>
      </c>
      <c r="G8651" t="inlineStr">
        <is>
          <t>OVANÅKER</t>
        </is>
      </c>
      <c r="I8651" t="n">
        <v>1.3</v>
      </c>
      <c r="J8651" t="n">
        <v>0</v>
      </c>
      <c r="K8651" t="n">
        <v>0</v>
      </c>
      <c r="L8651" t="n">
        <v>0</v>
      </c>
      <c r="M8651" t="n">
        <v>0</v>
      </c>
      <c r="N8651" t="n">
        <v>0</v>
      </c>
      <c r="O8651" t="n">
        <v>0</v>
      </c>
      <c r="P8651" t="n">
        <v>0</v>
      </c>
      <c r="Q8651" t="n">
        <v>0</v>
      </c>
      <c r="R8651" t="n">
        <v>0</v>
      </c>
      <c r="S8651" t="n">
        <v>0</v>
      </c>
      <c r="T8651" t="n">
        <v>0</v>
      </c>
      <c r="U8651" t="n">
        <v>0</v>
      </c>
      <c r="V8651" s="2" t="inlineStr"/>
    </row>
    <row r="8652" ht="15" customHeight="1">
      <c r="A8652" t="inlineStr">
        <is>
          <t>A 27130-2026</t>
        </is>
      </c>
      <c r="B8652" t="inlineStr">
        <is>
          <t>avverkningsanmälan</t>
        </is>
      </c>
      <c r="C8652" t="inlineStr">
        <is>
          <t>Föryngringsavverkning</t>
        </is>
      </c>
      <c r="D8652" s="1" t="n">
        <v>46188</v>
      </c>
      <c r="E8652" s="1" t="n">
        <v>46326</v>
      </c>
      <c r="F8652" t="inlineStr">
        <is>
          <t>GÄVLEBORGS LÄN</t>
        </is>
      </c>
      <c r="G8652" t="inlineStr">
        <is>
          <t>SÖDERHAMN</t>
        </is>
      </c>
      <c r="I8652" t="n">
        <v>1.7</v>
      </c>
      <c r="J8652" t="n">
        <v>0</v>
      </c>
      <c r="K8652" t="n">
        <v>0</v>
      </c>
      <c r="L8652" t="n">
        <v>0</v>
      </c>
      <c r="M8652" t="n">
        <v>0</v>
      </c>
      <c r="N8652" t="n">
        <v>0</v>
      </c>
      <c r="O8652" t="n">
        <v>0</v>
      </c>
      <c r="P8652" t="n">
        <v>0</v>
      </c>
      <c r="Q8652" t="n">
        <v>0</v>
      </c>
      <c r="R8652" t="n">
        <v>0</v>
      </c>
      <c r="S8652" t="n">
        <v>0</v>
      </c>
      <c r="T8652" t="n">
        <v>0</v>
      </c>
      <c r="U8652" t="n">
        <v>0</v>
      </c>
      <c r="V8652" s="2" t="inlineStr"/>
    </row>
    <row r="8653" ht="15" customHeight="1">
      <c r="A8653" t="inlineStr">
        <is>
          <t>A 27183-2026</t>
        </is>
      </c>
      <c r="B8653" t="inlineStr">
        <is>
          <t>avverkningsanmälan</t>
        </is>
      </c>
      <c r="C8653" t="inlineStr">
        <is>
          <t>Föryngringsavverkning</t>
        </is>
      </c>
      <c r="D8653" s="1" t="n">
        <v>46188</v>
      </c>
      <c r="E8653" s="1" t="n">
        <v>46326</v>
      </c>
      <c r="F8653" t="inlineStr">
        <is>
          <t>GÄVLEBORGS LÄN</t>
        </is>
      </c>
      <c r="G8653" t="inlineStr">
        <is>
          <t>NORDANSTIG</t>
        </is>
      </c>
      <c r="I8653" t="n">
        <v>4.5</v>
      </c>
      <c r="J8653" t="n">
        <v>0</v>
      </c>
      <c r="K8653" t="n">
        <v>0</v>
      </c>
      <c r="L8653" t="n">
        <v>0</v>
      </c>
      <c r="M8653" t="n">
        <v>0</v>
      </c>
      <c r="N8653" t="n">
        <v>0</v>
      </c>
      <c r="O8653" t="n">
        <v>0</v>
      </c>
      <c r="P8653" t="n">
        <v>0</v>
      </c>
      <c r="Q8653" t="n">
        <v>0</v>
      </c>
      <c r="R8653" t="n">
        <v>0</v>
      </c>
      <c r="S8653" t="n">
        <v>0</v>
      </c>
      <c r="T8653" t="n">
        <v>0</v>
      </c>
      <c r="U8653" t="n">
        <v>0</v>
      </c>
      <c r="V8653" s="2" t="inlineStr"/>
    </row>
    <row r="8654" ht="15" customHeight="1">
      <c r="A8654" t="inlineStr">
        <is>
          <t>A 27038-2026</t>
        </is>
      </c>
      <c r="B8654" t="inlineStr">
        <is>
          <t>avverkningsanmälan</t>
        </is>
      </c>
      <c r="C8654" t="inlineStr">
        <is>
          <t>Föryngringsavverkning</t>
        </is>
      </c>
      <c r="D8654" s="1" t="n">
        <v>46185</v>
      </c>
      <c r="E8654" s="1" t="n">
        <v>46326</v>
      </c>
      <c r="F8654" t="inlineStr">
        <is>
          <t>GÄVLEBORGS LÄN</t>
        </is>
      </c>
      <c r="G8654" t="inlineStr">
        <is>
          <t>SÖDERHAMN</t>
        </is>
      </c>
      <c r="I8654" t="n">
        <v>2</v>
      </c>
      <c r="J8654" t="n">
        <v>0</v>
      </c>
      <c r="K8654" t="n">
        <v>0</v>
      </c>
      <c r="L8654" t="n">
        <v>0</v>
      </c>
      <c r="M8654" t="n">
        <v>0</v>
      </c>
      <c r="N8654" t="n">
        <v>0</v>
      </c>
      <c r="O8654" t="n">
        <v>0</v>
      </c>
      <c r="P8654" t="n">
        <v>0</v>
      </c>
      <c r="Q8654" t="n">
        <v>0</v>
      </c>
      <c r="R8654" t="n">
        <v>0</v>
      </c>
      <c r="S8654" t="n">
        <v>0</v>
      </c>
      <c r="T8654" t="n">
        <v>0</v>
      </c>
      <c r="U8654" t="n">
        <v>0</v>
      </c>
      <c r="V8654" s="2" t="inlineStr"/>
    </row>
    <row r="8655" ht="15" customHeight="1">
      <c r="A8655" t="inlineStr">
        <is>
          <t>A 716-2024</t>
        </is>
      </c>
      <c r="B8655" t="inlineStr">
        <is>
          <t>avverkningsanmälan</t>
        </is>
      </c>
      <c r="C8655" t="inlineStr">
        <is>
          <t>Föryngringsavverkning</t>
        </is>
      </c>
      <c r="D8655" s="1" t="n">
        <v>45300</v>
      </c>
      <c r="E8655" s="1" t="n">
        <v>46326</v>
      </c>
      <c r="F8655" t="inlineStr">
        <is>
          <t>GÄVLEBORGS LÄN</t>
        </is>
      </c>
      <c r="G8655" t="inlineStr">
        <is>
          <t>SANDVIKEN</t>
        </is>
      </c>
      <c r="I8655" t="n">
        <v>0.9</v>
      </c>
      <c r="J8655" t="n">
        <v>0</v>
      </c>
      <c r="K8655" t="n">
        <v>0</v>
      </c>
      <c r="L8655" t="n">
        <v>0</v>
      </c>
      <c r="M8655" t="n">
        <v>0</v>
      </c>
      <c r="N8655" t="n">
        <v>0</v>
      </c>
      <c r="O8655" t="n">
        <v>0</v>
      </c>
      <c r="P8655" t="n">
        <v>0</v>
      </c>
      <c r="Q8655" t="n">
        <v>0</v>
      </c>
      <c r="R8655" t="n">
        <v>0</v>
      </c>
      <c r="S8655" t="n">
        <v>0</v>
      </c>
      <c r="T8655" t="n">
        <v>0</v>
      </c>
      <c r="U8655" t="n">
        <v>0</v>
      </c>
      <c r="V8655" s="2" t="inlineStr"/>
    </row>
    <row r="8656" ht="15" customHeight="1">
      <c r="A8656" t="inlineStr">
        <is>
          <t>A 25133-2022</t>
        </is>
      </c>
      <c r="B8656" t="inlineStr">
        <is>
          <t>avverkningsanmälan</t>
        </is>
      </c>
      <c r="C8656" t="inlineStr">
        <is>
          <t>Föryngringsavverkning</t>
        </is>
      </c>
      <c r="D8656" s="1" t="n">
        <v>44729</v>
      </c>
      <c r="E8656" s="1" t="n">
        <v>46326</v>
      </c>
      <c r="F8656" t="inlineStr">
        <is>
          <t>GÄVLEBORGS LÄN</t>
        </is>
      </c>
      <c r="G8656" t="inlineStr">
        <is>
          <t>OVANÅKER</t>
        </is>
      </c>
      <c r="I8656" t="n">
        <v>1.9</v>
      </c>
      <c r="J8656" t="n">
        <v>0</v>
      </c>
      <c r="K8656" t="n">
        <v>0</v>
      </c>
      <c r="L8656" t="n">
        <v>0</v>
      </c>
      <c r="M8656" t="n">
        <v>0</v>
      </c>
      <c r="N8656" t="n">
        <v>0</v>
      </c>
      <c r="O8656" t="n">
        <v>0</v>
      </c>
      <c r="P8656" t="n">
        <v>0</v>
      </c>
      <c r="Q8656" t="n">
        <v>0</v>
      </c>
      <c r="R8656" t="n">
        <v>0</v>
      </c>
      <c r="S8656" t="n">
        <v>0</v>
      </c>
      <c r="T8656" t="n">
        <v>0</v>
      </c>
      <c r="U8656" t="n">
        <v>0</v>
      </c>
      <c r="V8656" s="2" t="inlineStr"/>
    </row>
    <row r="8657" ht="15" customHeight="1">
      <c r="A8657" t="inlineStr">
        <is>
          <t>A 31163-2022</t>
        </is>
      </c>
      <c r="B8657" t="inlineStr">
        <is>
          <t>avverkningsanmälan</t>
        </is>
      </c>
      <c r="C8657" t="inlineStr">
        <is>
          <t>Föryngringsavverkning</t>
        </is>
      </c>
      <c r="D8657" s="1" t="n">
        <v>44770</v>
      </c>
      <c r="E8657" s="1" t="n">
        <v>46326</v>
      </c>
      <c r="F8657" t="inlineStr">
        <is>
          <t>GÄVLEBORGS LÄN</t>
        </is>
      </c>
      <c r="G8657" t="inlineStr">
        <is>
          <t>OVANÅKER</t>
        </is>
      </c>
      <c r="H8657" t="inlineStr">
        <is>
          <t>Bergvik skog öst AB</t>
        </is>
      </c>
      <c r="I8657" t="n">
        <v>2.2</v>
      </c>
      <c r="J8657" t="n">
        <v>0</v>
      </c>
      <c r="K8657" t="n">
        <v>0</v>
      </c>
      <c r="L8657" t="n">
        <v>0</v>
      </c>
      <c r="M8657" t="n">
        <v>0</v>
      </c>
      <c r="N8657" t="n">
        <v>0</v>
      </c>
      <c r="O8657" t="n">
        <v>0</v>
      </c>
      <c r="P8657" t="n">
        <v>0</v>
      </c>
      <c r="Q8657" t="n">
        <v>0</v>
      </c>
      <c r="R8657" t="n">
        <v>0</v>
      </c>
      <c r="S8657" t="n">
        <v>0</v>
      </c>
      <c r="T8657" t="n">
        <v>0</v>
      </c>
      <c r="U8657" t="n">
        <v>0</v>
      </c>
      <c r="V8657" s="2" t="inlineStr"/>
    </row>
    <row r="8658" ht="15" customHeight="1">
      <c r="A8658" t="inlineStr">
        <is>
          <t>A 27052-2026</t>
        </is>
      </c>
      <c r="B8658" t="inlineStr">
        <is>
          <t>avverkningsanmälan</t>
        </is>
      </c>
      <c r="C8658" t="inlineStr">
        <is>
          <t>Föryngringsavverkning</t>
        </is>
      </c>
      <c r="D8658" s="1" t="n">
        <v>46185</v>
      </c>
      <c r="E8658" s="1" t="n">
        <v>46326</v>
      </c>
      <c r="F8658" t="inlineStr">
        <is>
          <t>GÄVLEBORGS LÄN</t>
        </is>
      </c>
      <c r="G8658" t="inlineStr">
        <is>
          <t>GÄVLE</t>
        </is>
      </c>
      <c r="H8658" t="inlineStr">
        <is>
          <t>Bergvik skog öst AB</t>
        </is>
      </c>
      <c r="I8658" t="n">
        <v>1.6</v>
      </c>
      <c r="J8658" t="n">
        <v>0</v>
      </c>
      <c r="K8658" t="n">
        <v>0</v>
      </c>
      <c r="L8658" t="n">
        <v>0</v>
      </c>
      <c r="M8658" t="n">
        <v>0</v>
      </c>
      <c r="N8658" t="n">
        <v>0</v>
      </c>
      <c r="O8658" t="n">
        <v>0</v>
      </c>
      <c r="P8658" t="n">
        <v>0</v>
      </c>
      <c r="Q8658" t="n">
        <v>0</v>
      </c>
      <c r="R8658" t="n">
        <v>0</v>
      </c>
      <c r="S8658" t="n">
        <v>0</v>
      </c>
      <c r="T8658" t="n">
        <v>0</v>
      </c>
      <c r="U8658" t="n">
        <v>0</v>
      </c>
      <c r="V8658" s="2" t="inlineStr"/>
    </row>
    <row r="8659" ht="15" customHeight="1">
      <c r="A8659" t="inlineStr">
        <is>
          <t>A 64801-2023</t>
        </is>
      </c>
      <c r="B8659" t="inlineStr">
        <is>
          <t>avverkningsanmälan</t>
        </is>
      </c>
      <c r="C8659" t="inlineStr">
        <is>
          <t>Föryngringsavverkning</t>
        </is>
      </c>
      <c r="D8659" s="1" t="n">
        <v>45282</v>
      </c>
      <c r="E8659" s="1" t="n">
        <v>46326</v>
      </c>
      <c r="F8659" t="inlineStr">
        <is>
          <t>GÄVLEBORGS LÄN</t>
        </is>
      </c>
      <c r="G8659" t="inlineStr">
        <is>
          <t>SANDVIKEN</t>
        </is>
      </c>
      <c r="I8659" t="n">
        <v>2.3</v>
      </c>
      <c r="J8659" t="n">
        <v>0</v>
      </c>
      <c r="K8659" t="n">
        <v>0</v>
      </c>
      <c r="L8659" t="n">
        <v>0</v>
      </c>
      <c r="M8659" t="n">
        <v>0</v>
      </c>
      <c r="N8659" t="n">
        <v>0</v>
      </c>
      <c r="O8659" t="n">
        <v>0</v>
      </c>
      <c r="P8659" t="n">
        <v>0</v>
      </c>
      <c r="Q8659" t="n">
        <v>0</v>
      </c>
      <c r="R8659" t="n">
        <v>0</v>
      </c>
      <c r="S8659" t="n">
        <v>0</v>
      </c>
      <c r="T8659" t="n">
        <v>0</v>
      </c>
      <c r="U8659" t="n">
        <v>0</v>
      </c>
      <c r="V8659" s="2" t="inlineStr"/>
    </row>
    <row r="8660" ht="15" customHeight="1">
      <c r="A8660" t="inlineStr">
        <is>
          <t>A 64873-2023</t>
        </is>
      </c>
      <c r="B8660" t="inlineStr">
        <is>
          <t>avverkningsanmälan</t>
        </is>
      </c>
      <c r="C8660" t="inlineStr">
        <is>
          <t>Avverkning för annat ändamål</t>
        </is>
      </c>
      <c r="D8660" s="1" t="n">
        <v>45282</v>
      </c>
      <c r="E8660" s="1" t="n">
        <v>46326</v>
      </c>
      <c r="F8660" t="inlineStr">
        <is>
          <t>GÄVLEBORGS LÄN</t>
        </is>
      </c>
      <c r="G8660" t="inlineStr">
        <is>
          <t>GÄVLE</t>
        </is>
      </c>
      <c r="I8660" t="n">
        <v>0.4</v>
      </c>
      <c r="J8660" t="n">
        <v>0</v>
      </c>
      <c r="K8660" t="n">
        <v>0</v>
      </c>
      <c r="L8660" t="n">
        <v>0</v>
      </c>
      <c r="M8660" t="n">
        <v>0</v>
      </c>
      <c r="N8660" t="n">
        <v>0</v>
      </c>
      <c r="O8660" t="n">
        <v>0</v>
      </c>
      <c r="P8660" t="n">
        <v>0</v>
      </c>
      <c r="Q8660" t="n">
        <v>0</v>
      </c>
      <c r="R8660" t="n">
        <v>0</v>
      </c>
      <c r="S8660" t="n">
        <v>0</v>
      </c>
      <c r="T8660" t="n">
        <v>0</v>
      </c>
      <c r="U8660" t="n">
        <v>0</v>
      </c>
      <c r="V8660" s="2" t="inlineStr"/>
    </row>
    <row r="8661" ht="15" customHeight="1">
      <c r="A8661" t="inlineStr">
        <is>
          <t>A 26882-2026</t>
        </is>
      </c>
      <c r="B8661" t="inlineStr">
        <is>
          <t>avverkningsanmälan</t>
        </is>
      </c>
      <c r="C8661" t="inlineStr">
        <is>
          <t>Föryngringsavverkning</t>
        </is>
      </c>
      <c r="D8661" s="1" t="n">
        <v>46185</v>
      </c>
      <c r="E8661" s="1" t="n">
        <v>46326</v>
      </c>
      <c r="F8661" t="inlineStr">
        <is>
          <t>GÄVLEBORGS LÄN</t>
        </is>
      </c>
      <c r="G8661" t="inlineStr">
        <is>
          <t>SANDVIKEN</t>
        </is>
      </c>
      <c r="I8661" t="n">
        <v>3.9</v>
      </c>
      <c r="J8661" t="n">
        <v>0</v>
      </c>
      <c r="K8661" t="n">
        <v>0</v>
      </c>
      <c r="L8661" t="n">
        <v>0</v>
      </c>
      <c r="M8661" t="n">
        <v>0</v>
      </c>
      <c r="N8661" t="n">
        <v>0</v>
      </c>
      <c r="O8661" t="n">
        <v>0</v>
      </c>
      <c r="P8661" t="n">
        <v>0</v>
      </c>
      <c r="Q8661" t="n">
        <v>0</v>
      </c>
      <c r="R8661" t="n">
        <v>0</v>
      </c>
      <c r="S8661" t="n">
        <v>0</v>
      </c>
      <c r="T8661" t="n">
        <v>0</v>
      </c>
      <c r="U8661" t="n">
        <v>0</v>
      </c>
      <c r="V8661" s="2" t="inlineStr"/>
    </row>
    <row r="8662" ht="15" customHeight="1">
      <c r="A8662" t="inlineStr">
        <is>
          <t>A 16745-2025</t>
        </is>
      </c>
      <c r="B8662" t="inlineStr">
        <is>
          <t>avverkningsanmälan</t>
        </is>
      </c>
      <c r="C8662" t="inlineStr">
        <is>
          <t>Föryngringsavverkning</t>
        </is>
      </c>
      <c r="D8662" s="1" t="n">
        <v>45754</v>
      </c>
      <c r="E8662" s="1" t="n">
        <v>46326</v>
      </c>
      <c r="F8662" t="inlineStr">
        <is>
          <t>GÄVLEBORGS LÄN</t>
        </is>
      </c>
      <c r="G8662" t="inlineStr">
        <is>
          <t>HUDIKSVALL</t>
        </is>
      </c>
      <c r="I8662" t="n">
        <v>1</v>
      </c>
      <c r="J8662" t="n">
        <v>0</v>
      </c>
      <c r="K8662" t="n">
        <v>0</v>
      </c>
      <c r="L8662" t="n">
        <v>0</v>
      </c>
      <c r="M8662" t="n">
        <v>0</v>
      </c>
      <c r="N8662" t="n">
        <v>0</v>
      </c>
      <c r="O8662" t="n">
        <v>0</v>
      </c>
      <c r="P8662" t="n">
        <v>0</v>
      </c>
      <c r="Q8662" t="n">
        <v>0</v>
      </c>
      <c r="R8662" t="n">
        <v>0</v>
      </c>
      <c r="S8662" t="n">
        <v>0</v>
      </c>
      <c r="T8662" t="n">
        <v>0</v>
      </c>
      <c r="U8662" t="n">
        <v>0</v>
      </c>
      <c r="V8662" s="2" t="inlineStr"/>
    </row>
    <row r="8663" ht="15" customHeight="1">
      <c r="A8663" t="inlineStr">
        <is>
          <t>A 62628-2023</t>
        </is>
      </c>
      <c r="B8663" t="inlineStr">
        <is>
          <t>avverkningsanmälan</t>
        </is>
      </c>
      <c r="C8663" t="inlineStr">
        <is>
          <t>Föryngringsavverkning</t>
        </is>
      </c>
      <c r="D8663" s="1" t="n">
        <v>45271</v>
      </c>
      <c r="E8663" s="1" t="n">
        <v>46326</v>
      </c>
      <c r="F8663" t="inlineStr">
        <is>
          <t>GÄVLEBORGS LÄN</t>
        </is>
      </c>
      <c r="G8663" t="inlineStr">
        <is>
          <t>HUDIKSVALL</t>
        </is>
      </c>
      <c r="I8663" t="n">
        <v>0.5</v>
      </c>
      <c r="J8663" t="n">
        <v>0</v>
      </c>
      <c r="K8663" t="n">
        <v>0</v>
      </c>
      <c r="L8663" t="n">
        <v>0</v>
      </c>
      <c r="M8663" t="n">
        <v>0</v>
      </c>
      <c r="N8663" t="n">
        <v>0</v>
      </c>
      <c r="O8663" t="n">
        <v>0</v>
      </c>
      <c r="P8663" t="n">
        <v>0</v>
      </c>
      <c r="Q8663" t="n">
        <v>0</v>
      </c>
      <c r="R8663" t="n">
        <v>0</v>
      </c>
      <c r="S8663" t="n">
        <v>0</v>
      </c>
      <c r="T8663" t="n">
        <v>0</v>
      </c>
      <c r="U8663" t="n">
        <v>0</v>
      </c>
      <c r="V8663" s="2" t="inlineStr"/>
    </row>
    <row r="8664" ht="15" customHeight="1">
      <c r="A8664" t="inlineStr">
        <is>
          <t>A 26890-2026</t>
        </is>
      </c>
      <c r="B8664" t="inlineStr">
        <is>
          <t>avverkningsanmälan</t>
        </is>
      </c>
      <c r="C8664" t="inlineStr">
        <is>
          <t>Föryngringsavverkning</t>
        </is>
      </c>
      <c r="D8664" s="1" t="n">
        <v>46185</v>
      </c>
      <c r="E8664" s="1" t="n">
        <v>46326</v>
      </c>
      <c r="F8664" t="inlineStr">
        <is>
          <t>GÄVLEBORGS LÄN</t>
        </is>
      </c>
      <c r="G8664" t="inlineStr">
        <is>
          <t>BOLLNÄS</t>
        </is>
      </c>
      <c r="I8664" t="n">
        <v>1.7</v>
      </c>
      <c r="J8664" t="n">
        <v>0</v>
      </c>
      <c r="K8664" t="n">
        <v>0</v>
      </c>
      <c r="L8664" t="n">
        <v>0</v>
      </c>
      <c r="M8664" t="n">
        <v>0</v>
      </c>
      <c r="N8664" t="n">
        <v>0</v>
      </c>
      <c r="O8664" t="n">
        <v>0</v>
      </c>
      <c r="P8664" t="n">
        <v>0</v>
      </c>
      <c r="Q8664" t="n">
        <v>0</v>
      </c>
      <c r="R8664" t="n">
        <v>0</v>
      </c>
      <c r="S8664" t="n">
        <v>0</v>
      </c>
      <c r="T8664" t="n">
        <v>0</v>
      </c>
      <c r="U8664" t="n">
        <v>0</v>
      </c>
      <c r="V8664" s="2" t="inlineStr"/>
    </row>
    <row r="8665" ht="15" customHeight="1">
      <c r="A8665" t="inlineStr">
        <is>
          <t>A 26891-2026</t>
        </is>
      </c>
      <c r="B8665" t="inlineStr">
        <is>
          <t>avverkningsanmälan</t>
        </is>
      </c>
      <c r="C8665" t="inlineStr">
        <is>
          <t>Föryngringsavverkning</t>
        </is>
      </c>
      <c r="D8665" s="1" t="n">
        <v>46185</v>
      </c>
      <c r="E8665" s="1" t="n">
        <v>46326</v>
      </c>
      <c r="F8665" t="inlineStr">
        <is>
          <t>GÄVLEBORGS LÄN</t>
        </is>
      </c>
      <c r="G8665" t="inlineStr">
        <is>
          <t>BOLLNÄS</t>
        </is>
      </c>
      <c r="I8665" t="n">
        <v>0.3</v>
      </c>
      <c r="J8665" t="n">
        <v>0</v>
      </c>
      <c r="K8665" t="n">
        <v>0</v>
      </c>
      <c r="L8665" t="n">
        <v>0</v>
      </c>
      <c r="M8665" t="n">
        <v>0</v>
      </c>
      <c r="N8665" t="n">
        <v>0</v>
      </c>
      <c r="O8665" t="n">
        <v>0</v>
      </c>
      <c r="P8665" t="n">
        <v>0</v>
      </c>
      <c r="Q8665" t="n">
        <v>0</v>
      </c>
      <c r="R8665" t="n">
        <v>0</v>
      </c>
      <c r="S8665" t="n">
        <v>0</v>
      </c>
      <c r="T8665" t="n">
        <v>0</v>
      </c>
      <c r="U8665" t="n">
        <v>0</v>
      </c>
      <c r="V8665" s="2" t="inlineStr"/>
    </row>
    <row r="8666" ht="15" customHeight="1">
      <c r="A8666" t="inlineStr">
        <is>
          <t>A 27065-2026</t>
        </is>
      </c>
      <c r="B8666" t="inlineStr">
        <is>
          <t>avverkningsanmälan</t>
        </is>
      </c>
      <c r="C8666" t="inlineStr">
        <is>
          <t>Föryngringsavverkning</t>
        </is>
      </c>
      <c r="D8666" s="1" t="n">
        <v>46185</v>
      </c>
      <c r="E8666" s="1" t="n">
        <v>46326</v>
      </c>
      <c r="F8666" t="inlineStr">
        <is>
          <t>GÄVLEBORGS LÄN</t>
        </is>
      </c>
      <c r="G8666" t="inlineStr">
        <is>
          <t>GÄVLE</t>
        </is>
      </c>
      <c r="H8666" t="inlineStr">
        <is>
          <t>Bergvik skog öst AB</t>
        </is>
      </c>
      <c r="I8666" t="n">
        <v>3.1</v>
      </c>
      <c r="J8666" t="n">
        <v>0</v>
      </c>
      <c r="K8666" t="n">
        <v>0</v>
      </c>
      <c r="L8666" t="n">
        <v>0</v>
      </c>
      <c r="M8666" t="n">
        <v>0</v>
      </c>
      <c r="N8666" t="n">
        <v>0</v>
      </c>
      <c r="O8666" t="n">
        <v>0</v>
      </c>
      <c r="P8666" t="n">
        <v>0</v>
      </c>
      <c r="Q8666" t="n">
        <v>0</v>
      </c>
      <c r="R8666" t="n">
        <v>0</v>
      </c>
      <c r="S8666" t="n">
        <v>0</v>
      </c>
      <c r="T8666" t="n">
        <v>0</v>
      </c>
      <c r="U8666" t="n">
        <v>0</v>
      </c>
      <c r="V8666" s="2" t="inlineStr"/>
    </row>
    <row r="8667" ht="15" customHeight="1">
      <c r="A8667" t="inlineStr">
        <is>
          <t>A 27067-2026</t>
        </is>
      </c>
      <c r="B8667" t="inlineStr">
        <is>
          <t>avverkningsanmälan</t>
        </is>
      </c>
      <c r="C8667" t="inlineStr">
        <is>
          <t>Föryngringsavverkning</t>
        </is>
      </c>
      <c r="D8667" s="1" t="n">
        <v>46185</v>
      </c>
      <c r="E8667" s="1" t="n">
        <v>46326</v>
      </c>
      <c r="F8667" t="inlineStr">
        <is>
          <t>GÄVLEBORGS LÄN</t>
        </is>
      </c>
      <c r="G8667" t="inlineStr">
        <is>
          <t>GÄVLE</t>
        </is>
      </c>
      <c r="H8667" t="inlineStr">
        <is>
          <t>Bergvik skog öst AB</t>
        </is>
      </c>
      <c r="I8667" t="n">
        <v>3.9</v>
      </c>
      <c r="J8667" t="n">
        <v>0</v>
      </c>
      <c r="K8667" t="n">
        <v>0</v>
      </c>
      <c r="L8667" t="n">
        <v>0</v>
      </c>
      <c r="M8667" t="n">
        <v>0</v>
      </c>
      <c r="N8667" t="n">
        <v>0</v>
      </c>
      <c r="O8667" t="n">
        <v>0</v>
      </c>
      <c r="P8667" t="n">
        <v>0</v>
      </c>
      <c r="Q8667" t="n">
        <v>0</v>
      </c>
      <c r="R8667" t="n">
        <v>0</v>
      </c>
      <c r="S8667" t="n">
        <v>0</v>
      </c>
      <c r="T8667" t="n">
        <v>0</v>
      </c>
      <c r="U8667" t="n">
        <v>0</v>
      </c>
      <c r="V8667" s="2" t="inlineStr"/>
    </row>
    <row r="8668" ht="15" customHeight="1">
      <c r="A8668" t="inlineStr">
        <is>
          <t>A 27053-2026</t>
        </is>
      </c>
      <c r="B8668" t="inlineStr">
        <is>
          <t>avverkningsanmälan</t>
        </is>
      </c>
      <c r="C8668" t="inlineStr">
        <is>
          <t>Föryngringsavverkning</t>
        </is>
      </c>
      <c r="D8668" s="1" t="n">
        <v>46185</v>
      </c>
      <c r="E8668" s="1" t="n">
        <v>46326</v>
      </c>
      <c r="F8668" t="inlineStr">
        <is>
          <t>GÄVLEBORGS LÄN</t>
        </is>
      </c>
      <c r="G8668" t="inlineStr">
        <is>
          <t>GÄVLE</t>
        </is>
      </c>
      <c r="H8668" t="inlineStr">
        <is>
          <t>Bergvik skog öst AB</t>
        </is>
      </c>
      <c r="I8668" t="n">
        <v>3.2</v>
      </c>
      <c r="J8668" t="n">
        <v>0</v>
      </c>
      <c r="K8668" t="n">
        <v>0</v>
      </c>
      <c r="L8668" t="n">
        <v>0</v>
      </c>
      <c r="M8668" t="n">
        <v>0</v>
      </c>
      <c r="N8668" t="n">
        <v>0</v>
      </c>
      <c r="O8668" t="n">
        <v>0</v>
      </c>
      <c r="P8668" t="n">
        <v>0</v>
      </c>
      <c r="Q8668" t="n">
        <v>0</v>
      </c>
      <c r="R8668" t="n">
        <v>0</v>
      </c>
      <c r="S8668" t="n">
        <v>0</v>
      </c>
      <c r="T8668" t="n">
        <v>0</v>
      </c>
      <c r="U8668" t="n">
        <v>0</v>
      </c>
      <c r="V8668" s="2" t="inlineStr"/>
    </row>
    <row r="8669" ht="15" customHeight="1">
      <c r="A8669" t="inlineStr">
        <is>
          <t>A 27060-2026</t>
        </is>
      </c>
      <c r="B8669" t="inlineStr">
        <is>
          <t>avverkningsanmälan</t>
        </is>
      </c>
      <c r="C8669" t="inlineStr">
        <is>
          <t>Föryngringsavverkning</t>
        </is>
      </c>
      <c r="D8669" s="1" t="n">
        <v>46185</v>
      </c>
      <c r="E8669" s="1" t="n">
        <v>46326</v>
      </c>
      <c r="F8669" t="inlineStr">
        <is>
          <t>GÄVLEBORGS LÄN</t>
        </is>
      </c>
      <c r="G8669" t="inlineStr">
        <is>
          <t>GÄVLE</t>
        </is>
      </c>
      <c r="H8669" t="inlineStr">
        <is>
          <t>Bergvik skog öst AB</t>
        </is>
      </c>
      <c r="I8669" t="n">
        <v>2.3</v>
      </c>
      <c r="J8669" t="n">
        <v>0</v>
      </c>
      <c r="K8669" t="n">
        <v>0</v>
      </c>
      <c r="L8669" t="n">
        <v>0</v>
      </c>
      <c r="M8669" t="n">
        <v>0</v>
      </c>
      <c r="N8669" t="n">
        <v>0</v>
      </c>
      <c r="O8669" t="n">
        <v>0</v>
      </c>
      <c r="P8669" t="n">
        <v>0</v>
      </c>
      <c r="Q8669" t="n">
        <v>0</v>
      </c>
      <c r="R8669" t="n">
        <v>0</v>
      </c>
      <c r="S8669" t="n">
        <v>0</v>
      </c>
      <c r="T8669" t="n">
        <v>0</v>
      </c>
      <c r="U8669" t="n">
        <v>0</v>
      </c>
      <c r="V8669" s="2" t="inlineStr"/>
    </row>
    <row r="8670" ht="15" customHeight="1">
      <c r="A8670" t="inlineStr">
        <is>
          <t>A 27129-2026</t>
        </is>
      </c>
      <c r="B8670" t="inlineStr">
        <is>
          <t>avverkningsanmälan</t>
        </is>
      </c>
      <c r="C8670" t="inlineStr">
        <is>
          <t>Föryngringsavverkning</t>
        </is>
      </c>
      <c r="D8670" s="1" t="n">
        <v>46188</v>
      </c>
      <c r="E8670" s="1" t="n">
        <v>46326</v>
      </c>
      <c r="F8670" t="inlineStr">
        <is>
          <t>GÄVLEBORGS LÄN</t>
        </is>
      </c>
      <c r="G8670" t="inlineStr">
        <is>
          <t>NORDANSTIG</t>
        </is>
      </c>
      <c r="H8670" t="inlineStr">
        <is>
          <t>Holmen skog AB</t>
        </is>
      </c>
      <c r="I8670" t="n">
        <v>25.3</v>
      </c>
      <c r="J8670" t="n">
        <v>0</v>
      </c>
      <c r="K8670" t="n">
        <v>0</v>
      </c>
      <c r="L8670" t="n">
        <v>0</v>
      </c>
      <c r="M8670" t="n">
        <v>0</v>
      </c>
      <c r="N8670" t="n">
        <v>0</v>
      </c>
      <c r="O8670" t="n">
        <v>0</v>
      </c>
      <c r="P8670" t="n">
        <v>0</v>
      </c>
      <c r="Q8670" t="n">
        <v>0</v>
      </c>
      <c r="R8670" t="n">
        <v>0</v>
      </c>
      <c r="S8670" t="n">
        <v>0</v>
      </c>
      <c r="T8670" t="n">
        <v>0</v>
      </c>
      <c r="U8670" t="n">
        <v>0</v>
      </c>
      <c r="V8670" s="2" t="inlineStr"/>
    </row>
    <row r="8671" ht="15" customHeight="1">
      <c r="A8671" t="inlineStr">
        <is>
          <t>A 26808-2026</t>
        </is>
      </c>
      <c r="B8671" t="inlineStr">
        <is>
          <t>avverkningsanmälan</t>
        </is>
      </c>
      <c r="C8671" t="inlineStr">
        <is>
          <t>Föryngringsavverkning</t>
        </is>
      </c>
      <c r="D8671" s="1" t="n">
        <v>46185</v>
      </c>
      <c r="E8671" s="1" t="n">
        <v>46326</v>
      </c>
      <c r="F8671" t="inlineStr">
        <is>
          <t>GÄVLEBORGS LÄN</t>
        </is>
      </c>
      <c r="G8671" t="inlineStr">
        <is>
          <t>OCKELBO</t>
        </is>
      </c>
      <c r="I8671" t="n">
        <v>2.1</v>
      </c>
      <c r="J8671" t="n">
        <v>0</v>
      </c>
      <c r="K8671" t="n">
        <v>0</v>
      </c>
      <c r="L8671" t="n">
        <v>0</v>
      </c>
      <c r="M8671" t="n">
        <v>0</v>
      </c>
      <c r="N8671" t="n">
        <v>0</v>
      </c>
      <c r="O8671" t="n">
        <v>0</v>
      </c>
      <c r="P8671" t="n">
        <v>0</v>
      </c>
      <c r="Q8671" t="n">
        <v>0</v>
      </c>
      <c r="R8671" t="n">
        <v>0</v>
      </c>
      <c r="S8671" t="n">
        <v>0</v>
      </c>
      <c r="T8671" t="n">
        <v>0</v>
      </c>
      <c r="U8671" t="n">
        <v>0</v>
      </c>
      <c r="V8671" s="2" t="inlineStr"/>
    </row>
    <row r="8672" ht="15" customHeight="1">
      <c r="A8672" t="inlineStr">
        <is>
          <t>A 26861-2026</t>
        </is>
      </c>
      <c r="B8672" t="inlineStr">
        <is>
          <t>avverkningsanmälan</t>
        </is>
      </c>
      <c r="C8672" t="inlineStr">
        <is>
          <t>Föryngringsavverkning</t>
        </is>
      </c>
      <c r="D8672" s="1" t="n">
        <v>46185</v>
      </c>
      <c r="E8672" s="1" t="n">
        <v>46326</v>
      </c>
      <c r="F8672" t="inlineStr">
        <is>
          <t>GÄVLEBORGS LÄN</t>
        </is>
      </c>
      <c r="G8672" t="inlineStr">
        <is>
          <t>OCKELBO</t>
        </is>
      </c>
      <c r="I8672" t="n">
        <v>1.6</v>
      </c>
      <c r="J8672" t="n">
        <v>0</v>
      </c>
      <c r="K8672" t="n">
        <v>0</v>
      </c>
      <c r="L8672" t="n">
        <v>0</v>
      </c>
      <c r="M8672" t="n">
        <v>0</v>
      </c>
      <c r="N8672" t="n">
        <v>0</v>
      </c>
      <c r="O8672" t="n">
        <v>0</v>
      </c>
      <c r="P8672" t="n">
        <v>0</v>
      </c>
      <c r="Q8672" t="n">
        <v>0</v>
      </c>
      <c r="R8672" t="n">
        <v>0</v>
      </c>
      <c r="S8672" t="n">
        <v>0</v>
      </c>
      <c r="T8672" t="n">
        <v>0</v>
      </c>
      <c r="U8672" t="n">
        <v>0</v>
      </c>
      <c r="V8672" s="2" t="inlineStr"/>
    </row>
    <row r="8673" ht="15" customHeight="1">
      <c r="A8673" t="inlineStr">
        <is>
          <t>A 26872-2026</t>
        </is>
      </c>
      <c r="B8673" t="inlineStr">
        <is>
          <t>avverkningsanmälan</t>
        </is>
      </c>
      <c r="C8673" t="inlineStr">
        <is>
          <t>Föryngringsavverkning</t>
        </is>
      </c>
      <c r="D8673" s="1" t="n">
        <v>46185</v>
      </c>
      <c r="E8673" s="1" t="n">
        <v>46326</v>
      </c>
      <c r="F8673" t="inlineStr">
        <is>
          <t>GÄVLEBORGS LÄN</t>
        </is>
      </c>
      <c r="G8673" t="inlineStr">
        <is>
          <t>SANDVIKEN</t>
        </is>
      </c>
      <c r="I8673" t="n">
        <v>2</v>
      </c>
      <c r="J8673" t="n">
        <v>0</v>
      </c>
      <c r="K8673" t="n">
        <v>0</v>
      </c>
      <c r="L8673" t="n">
        <v>0</v>
      </c>
      <c r="M8673" t="n">
        <v>0</v>
      </c>
      <c r="N8673" t="n">
        <v>0</v>
      </c>
      <c r="O8673" t="n">
        <v>0</v>
      </c>
      <c r="P8673" t="n">
        <v>0</v>
      </c>
      <c r="Q8673" t="n">
        <v>0</v>
      </c>
      <c r="R8673" t="n">
        <v>0</v>
      </c>
      <c r="S8673" t="n">
        <v>0</v>
      </c>
      <c r="T8673" t="n">
        <v>0</v>
      </c>
      <c r="U8673" t="n">
        <v>0</v>
      </c>
      <c r="V8673" s="2" t="inlineStr"/>
    </row>
    <row r="8674" ht="15" customHeight="1">
      <c r="A8674" t="inlineStr">
        <is>
          <t>A 27955-2024</t>
        </is>
      </c>
      <c r="B8674" t="inlineStr">
        <is>
          <t>avverkningsanmälan</t>
        </is>
      </c>
      <c r="C8674" t="inlineStr">
        <is>
          <t>Föryngringsavverkning</t>
        </is>
      </c>
      <c r="D8674" s="1" t="n">
        <v>45476</v>
      </c>
      <c r="E8674" s="1" t="n">
        <v>46326</v>
      </c>
      <c r="F8674" t="inlineStr">
        <is>
          <t>GÄVLEBORGS LÄN</t>
        </is>
      </c>
      <c r="G8674" t="inlineStr">
        <is>
          <t>HUDIKSVALL</t>
        </is>
      </c>
      <c r="H8674" t="inlineStr">
        <is>
          <t>Holmen skog AB</t>
        </is>
      </c>
      <c r="I8674" t="n">
        <v>0.9</v>
      </c>
      <c r="J8674" t="n">
        <v>0</v>
      </c>
      <c r="K8674" t="n">
        <v>0</v>
      </c>
      <c r="L8674" t="n">
        <v>0</v>
      </c>
      <c r="M8674" t="n">
        <v>0</v>
      </c>
      <c r="N8674" t="n">
        <v>0</v>
      </c>
      <c r="O8674" t="n">
        <v>0</v>
      </c>
      <c r="P8674" t="n">
        <v>0</v>
      </c>
      <c r="Q8674" t="n">
        <v>0</v>
      </c>
      <c r="R8674" t="n">
        <v>0</v>
      </c>
      <c r="S8674" t="n">
        <v>0</v>
      </c>
      <c r="T8674" t="n">
        <v>0</v>
      </c>
      <c r="U8674" t="n">
        <v>0</v>
      </c>
      <c r="V8674" s="2" t="inlineStr"/>
    </row>
    <row r="8675" ht="15" customHeight="1">
      <c r="A8675" t="inlineStr">
        <is>
          <t>A 46007-2024</t>
        </is>
      </c>
      <c r="B8675" t="inlineStr">
        <is>
          <t>avverkningsanmälan</t>
        </is>
      </c>
      <c r="C8675" t="inlineStr">
        <is>
          <t>Föryngringsavverkning</t>
        </is>
      </c>
      <c r="D8675" s="1" t="n">
        <v>45580</v>
      </c>
      <c r="E8675" s="1" t="n">
        <v>46326</v>
      </c>
      <c r="F8675" t="inlineStr">
        <is>
          <t>GÄVLEBORGS LÄN</t>
        </is>
      </c>
      <c r="G8675" t="inlineStr">
        <is>
          <t>SÖDERHAMN</t>
        </is>
      </c>
      <c r="I8675" t="n">
        <v>0.6</v>
      </c>
      <c r="J8675" t="n">
        <v>0</v>
      </c>
      <c r="K8675" t="n">
        <v>0</v>
      </c>
      <c r="L8675" t="n">
        <v>0</v>
      </c>
      <c r="M8675" t="n">
        <v>0</v>
      </c>
      <c r="N8675" t="n">
        <v>0</v>
      </c>
      <c r="O8675" t="n">
        <v>0</v>
      </c>
      <c r="P8675" t="n">
        <v>0</v>
      </c>
      <c r="Q8675" t="n">
        <v>0</v>
      </c>
      <c r="R8675" t="n">
        <v>0</v>
      </c>
      <c r="S8675" t="n">
        <v>0</v>
      </c>
      <c r="T8675" t="n">
        <v>0</v>
      </c>
      <c r="U8675" t="n">
        <v>0</v>
      </c>
      <c r="V8675" s="2" t="inlineStr"/>
    </row>
    <row r="8676" ht="15" customHeight="1">
      <c r="A8676" t="inlineStr">
        <is>
          <t>A 26981-2026</t>
        </is>
      </c>
      <c r="B8676" t="inlineStr">
        <is>
          <t>avverkningsanmälan</t>
        </is>
      </c>
      <c r="C8676" t="inlineStr">
        <is>
          <t>Föryngringsavverkning</t>
        </is>
      </c>
      <c r="D8676" s="1" t="n">
        <v>46185</v>
      </c>
      <c r="E8676" s="1" t="n">
        <v>46326</v>
      </c>
      <c r="F8676" t="inlineStr">
        <is>
          <t>GÄVLEBORGS LÄN</t>
        </is>
      </c>
      <c r="G8676" t="inlineStr">
        <is>
          <t>BOLLNÄS</t>
        </is>
      </c>
      <c r="I8676" t="n">
        <v>2.6</v>
      </c>
      <c r="J8676" t="n">
        <v>0</v>
      </c>
      <c r="K8676" t="n">
        <v>0</v>
      </c>
      <c r="L8676" t="n">
        <v>0</v>
      </c>
      <c r="M8676" t="n">
        <v>0</v>
      </c>
      <c r="N8676" t="n">
        <v>0</v>
      </c>
      <c r="O8676" t="n">
        <v>0</v>
      </c>
      <c r="P8676" t="n">
        <v>0</v>
      </c>
      <c r="Q8676" t="n">
        <v>0</v>
      </c>
      <c r="R8676" t="n">
        <v>0</v>
      </c>
      <c r="S8676" t="n">
        <v>0</v>
      </c>
      <c r="T8676" t="n">
        <v>0</v>
      </c>
      <c r="U8676" t="n">
        <v>0</v>
      </c>
      <c r="V8676" s="2" t="inlineStr"/>
    </row>
    <row r="8677" ht="15" customHeight="1">
      <c r="A8677" t="inlineStr">
        <is>
          <t>A 30798-2024</t>
        </is>
      </c>
      <c r="B8677" t="inlineStr">
        <is>
          <t>avverkningsanmälan</t>
        </is>
      </c>
      <c r="C8677" t="inlineStr">
        <is>
          <t>Föryngringsavverkning</t>
        </is>
      </c>
      <c r="D8677" s="1" t="n">
        <v>45497</v>
      </c>
      <c r="E8677" s="1" t="n">
        <v>46326</v>
      </c>
      <c r="F8677" t="inlineStr">
        <is>
          <t>GÄVLEBORGS LÄN</t>
        </is>
      </c>
      <c r="G8677" t="inlineStr">
        <is>
          <t>OCKELBO</t>
        </is>
      </c>
      <c r="I8677" t="n">
        <v>8.699999999999999</v>
      </c>
      <c r="J8677" t="n">
        <v>0</v>
      </c>
      <c r="K8677" t="n">
        <v>0</v>
      </c>
      <c r="L8677" t="n">
        <v>0</v>
      </c>
      <c r="M8677" t="n">
        <v>0</v>
      </c>
      <c r="N8677" t="n">
        <v>0</v>
      </c>
      <c r="O8677" t="n">
        <v>0</v>
      </c>
      <c r="P8677" t="n">
        <v>0</v>
      </c>
      <c r="Q8677" t="n">
        <v>0</v>
      </c>
      <c r="R8677" t="n">
        <v>0</v>
      </c>
      <c r="S8677" t="n">
        <v>0</v>
      </c>
      <c r="T8677" t="n">
        <v>0</v>
      </c>
      <c r="U8677" t="n">
        <v>0</v>
      </c>
      <c r="V8677" s="2" t="inlineStr"/>
    </row>
    <row r="8678" ht="15" customHeight="1">
      <c r="A8678" t="inlineStr">
        <is>
          <t>A 26893-2026</t>
        </is>
      </c>
      <c r="B8678" t="inlineStr">
        <is>
          <t>avverkningsanmälan</t>
        </is>
      </c>
      <c r="C8678" t="inlineStr">
        <is>
          <t>Föryngringsavverkning</t>
        </is>
      </c>
      <c r="D8678" s="1" t="n">
        <v>46185</v>
      </c>
      <c r="E8678" s="1" t="n">
        <v>46326</v>
      </c>
      <c r="F8678" t="inlineStr">
        <is>
          <t>GÄVLEBORGS LÄN</t>
        </is>
      </c>
      <c r="G8678" t="inlineStr">
        <is>
          <t>NORDANSTIG</t>
        </is>
      </c>
      <c r="I8678" t="n">
        <v>2.1</v>
      </c>
      <c r="J8678" t="n">
        <v>0</v>
      </c>
      <c r="K8678" t="n">
        <v>0</v>
      </c>
      <c r="L8678" t="n">
        <v>0</v>
      </c>
      <c r="M8678" t="n">
        <v>0</v>
      </c>
      <c r="N8678" t="n">
        <v>0</v>
      </c>
      <c r="O8678" t="n">
        <v>0</v>
      </c>
      <c r="P8678" t="n">
        <v>0</v>
      </c>
      <c r="Q8678" t="n">
        <v>0</v>
      </c>
      <c r="R8678" t="n">
        <v>0</v>
      </c>
      <c r="S8678" t="n">
        <v>0</v>
      </c>
      <c r="T8678" t="n">
        <v>0</v>
      </c>
      <c r="U8678" t="n">
        <v>0</v>
      </c>
      <c r="V8678" s="2" t="inlineStr"/>
    </row>
    <row r="8679" ht="15" customHeight="1">
      <c r="A8679" t="inlineStr">
        <is>
          <t>A 25268-2024</t>
        </is>
      </c>
      <c r="B8679" t="inlineStr">
        <is>
          <t>avverkningsanmälan</t>
        </is>
      </c>
      <c r="C8679" t="inlineStr">
        <is>
          <t>Föryngringsavverkning</t>
        </is>
      </c>
      <c r="D8679" s="1" t="n">
        <v>45462</v>
      </c>
      <c r="E8679" s="1" t="n">
        <v>46326</v>
      </c>
      <c r="F8679" t="inlineStr">
        <is>
          <t>GÄVLEBORGS LÄN</t>
        </is>
      </c>
      <c r="G8679" t="inlineStr">
        <is>
          <t>HUDIKSVALL</t>
        </is>
      </c>
      <c r="H8679" t="inlineStr">
        <is>
          <t>Holmen skog AB</t>
        </is>
      </c>
      <c r="I8679" t="n">
        <v>1</v>
      </c>
      <c r="J8679" t="n">
        <v>0</v>
      </c>
      <c r="K8679" t="n">
        <v>0</v>
      </c>
      <c r="L8679" t="n">
        <v>0</v>
      </c>
      <c r="M8679" t="n">
        <v>0</v>
      </c>
      <c r="N8679" t="n">
        <v>0</v>
      </c>
      <c r="O8679" t="n">
        <v>0</v>
      </c>
      <c r="P8679" t="n">
        <v>0</v>
      </c>
      <c r="Q8679" t="n">
        <v>0</v>
      </c>
      <c r="R8679" t="n">
        <v>0</v>
      </c>
      <c r="S8679" t="n">
        <v>0</v>
      </c>
      <c r="T8679" t="n">
        <v>0</v>
      </c>
      <c r="U8679" t="n">
        <v>0</v>
      </c>
      <c r="V8679" s="2" t="inlineStr"/>
    </row>
    <row r="8680" ht="15" customHeight="1">
      <c r="A8680" t="inlineStr">
        <is>
          <t>A 25273-2024</t>
        </is>
      </c>
      <c r="B8680" t="inlineStr">
        <is>
          <t>avverkningsanmälan</t>
        </is>
      </c>
      <c r="C8680" t="inlineStr">
        <is>
          <t>Föryngringsavverkning</t>
        </is>
      </c>
      <c r="D8680" s="1" t="n">
        <v>45462</v>
      </c>
      <c r="E8680" s="1" t="n">
        <v>46326</v>
      </c>
      <c r="F8680" t="inlineStr">
        <is>
          <t>GÄVLEBORGS LÄN</t>
        </is>
      </c>
      <c r="G8680" t="inlineStr">
        <is>
          <t>NORDANSTIG</t>
        </is>
      </c>
      <c r="I8680" t="n">
        <v>1.3</v>
      </c>
      <c r="J8680" t="n">
        <v>0</v>
      </c>
      <c r="K8680" t="n">
        <v>0</v>
      </c>
      <c r="L8680" t="n">
        <v>0</v>
      </c>
      <c r="M8680" t="n">
        <v>0</v>
      </c>
      <c r="N8680" t="n">
        <v>0</v>
      </c>
      <c r="O8680" t="n">
        <v>0</v>
      </c>
      <c r="P8680" t="n">
        <v>0</v>
      </c>
      <c r="Q8680" t="n">
        <v>0</v>
      </c>
      <c r="R8680" t="n">
        <v>0</v>
      </c>
      <c r="S8680" t="n">
        <v>0</v>
      </c>
      <c r="T8680" t="n">
        <v>0</v>
      </c>
      <c r="U8680" t="n">
        <v>0</v>
      </c>
      <c r="V8680" s="2" t="inlineStr"/>
    </row>
    <row r="8681" ht="15" customHeight="1">
      <c r="A8681" t="inlineStr">
        <is>
          <t>A 27231-2026</t>
        </is>
      </c>
      <c r="B8681" t="inlineStr">
        <is>
          <t>avverkningsanmälan</t>
        </is>
      </c>
      <c r="C8681" t="inlineStr">
        <is>
          <t>Föryngringsavverkning</t>
        </is>
      </c>
      <c r="D8681" s="1" t="n">
        <v>46188</v>
      </c>
      <c r="E8681" s="1" t="n">
        <v>46326</v>
      </c>
      <c r="F8681" t="inlineStr">
        <is>
          <t>GÄVLEBORGS LÄN</t>
        </is>
      </c>
      <c r="G8681" t="inlineStr">
        <is>
          <t>OCKELBO</t>
        </is>
      </c>
      <c r="H8681" t="inlineStr">
        <is>
          <t>Bergvik skog väst AB</t>
        </is>
      </c>
      <c r="I8681" t="n">
        <v>0.6</v>
      </c>
      <c r="J8681" t="n">
        <v>0</v>
      </c>
      <c r="K8681" t="n">
        <v>0</v>
      </c>
      <c r="L8681" t="n">
        <v>0</v>
      </c>
      <c r="M8681" t="n">
        <v>0</v>
      </c>
      <c r="N8681" t="n">
        <v>0</v>
      </c>
      <c r="O8681" t="n">
        <v>0</v>
      </c>
      <c r="P8681" t="n">
        <v>0</v>
      </c>
      <c r="Q8681" t="n">
        <v>0</v>
      </c>
      <c r="R8681" t="n">
        <v>0</v>
      </c>
      <c r="S8681" t="n">
        <v>0</v>
      </c>
      <c r="T8681" t="n">
        <v>0</v>
      </c>
      <c r="U8681" t="n">
        <v>0</v>
      </c>
      <c r="V8681" s="2" t="inlineStr"/>
    </row>
    <row r="8682" ht="15" customHeight="1">
      <c r="A8682" t="inlineStr">
        <is>
          <t>A 49178-2023</t>
        </is>
      </c>
      <c r="B8682" t="inlineStr">
        <is>
          <t>avverkningsanmälan</t>
        </is>
      </c>
      <c r="C8682" t="inlineStr">
        <is>
          <t>Avverkning för att bevara och utveckla /försöksver</t>
        </is>
      </c>
      <c r="D8682" s="1" t="n">
        <v>45210</v>
      </c>
      <c r="E8682" s="1" t="n">
        <v>46326</v>
      </c>
      <c r="F8682" t="inlineStr">
        <is>
          <t>GÄVLEBORGS LÄN</t>
        </is>
      </c>
      <c r="G8682" t="inlineStr">
        <is>
          <t>OVANÅKER</t>
        </is>
      </c>
      <c r="H8682" t="inlineStr">
        <is>
          <t>Bergvik skog öst AB</t>
        </is>
      </c>
      <c r="I8682" t="n">
        <v>1.1</v>
      </c>
      <c r="J8682" t="n">
        <v>0</v>
      </c>
      <c r="K8682" t="n">
        <v>0</v>
      </c>
      <c r="L8682" t="n">
        <v>0</v>
      </c>
      <c r="M8682" t="n">
        <v>0</v>
      </c>
      <c r="N8682" t="n">
        <v>0</v>
      </c>
      <c r="O8682" t="n">
        <v>0</v>
      </c>
      <c r="P8682" t="n">
        <v>0</v>
      </c>
      <c r="Q8682" t="n">
        <v>0</v>
      </c>
      <c r="R8682" t="n">
        <v>0</v>
      </c>
      <c r="S8682" t="n">
        <v>0</v>
      </c>
      <c r="T8682" t="n">
        <v>0</v>
      </c>
      <c r="U8682" t="n">
        <v>0</v>
      </c>
      <c r="V8682" s="2" t="inlineStr"/>
    </row>
    <row r="8683" ht="15" customHeight="1">
      <c r="A8683" t="inlineStr">
        <is>
          <t>A 27057-2026</t>
        </is>
      </c>
      <c r="B8683" t="inlineStr">
        <is>
          <t>avverkningsanmälan</t>
        </is>
      </c>
      <c r="C8683" t="inlineStr">
        <is>
          <t>Föryngringsavverkning</t>
        </is>
      </c>
      <c r="D8683" s="1" t="n">
        <v>46185</v>
      </c>
      <c r="E8683" s="1" t="n">
        <v>46326</v>
      </c>
      <c r="F8683" t="inlineStr">
        <is>
          <t>GÄVLEBORGS LÄN</t>
        </is>
      </c>
      <c r="G8683" t="inlineStr">
        <is>
          <t>GÄVLE</t>
        </is>
      </c>
      <c r="H8683" t="inlineStr">
        <is>
          <t>Bergvik skog öst AB</t>
        </is>
      </c>
      <c r="I8683" t="n">
        <v>14.7</v>
      </c>
      <c r="J8683" t="n">
        <v>0</v>
      </c>
      <c r="K8683" t="n">
        <v>0</v>
      </c>
      <c r="L8683" t="n">
        <v>0</v>
      </c>
      <c r="M8683" t="n">
        <v>0</v>
      </c>
      <c r="N8683" t="n">
        <v>0</v>
      </c>
      <c r="O8683" t="n">
        <v>0</v>
      </c>
      <c r="P8683" t="n">
        <v>0</v>
      </c>
      <c r="Q8683" t="n">
        <v>0</v>
      </c>
      <c r="R8683" t="n">
        <v>0</v>
      </c>
      <c r="S8683" t="n">
        <v>0</v>
      </c>
      <c r="T8683" t="n">
        <v>0</v>
      </c>
      <c r="U8683" t="n">
        <v>0</v>
      </c>
      <c r="V8683" s="2" t="inlineStr"/>
    </row>
    <row r="8684" ht="15" customHeight="1">
      <c r="A8684" t="inlineStr">
        <is>
          <t>A 5806-2022</t>
        </is>
      </c>
      <c r="B8684" t="inlineStr">
        <is>
          <t>avverkningsanmälan</t>
        </is>
      </c>
      <c r="C8684" t="inlineStr">
        <is>
          <t>Föryngringsavverkning</t>
        </is>
      </c>
      <c r="D8684" s="1" t="n">
        <v>44596</v>
      </c>
      <c r="E8684" s="1" t="n">
        <v>46326</v>
      </c>
      <c r="F8684" t="inlineStr">
        <is>
          <t>GÄVLEBORGS LÄN</t>
        </is>
      </c>
      <c r="G8684" t="inlineStr">
        <is>
          <t>BOLLNÄS</t>
        </is>
      </c>
      <c r="I8684" t="n">
        <v>0.8</v>
      </c>
      <c r="J8684" t="n">
        <v>0</v>
      </c>
      <c r="K8684" t="n">
        <v>0</v>
      </c>
      <c r="L8684" t="n">
        <v>0</v>
      </c>
      <c r="M8684" t="n">
        <v>0</v>
      </c>
      <c r="N8684" t="n">
        <v>0</v>
      </c>
      <c r="O8684" t="n">
        <v>0</v>
      </c>
      <c r="P8684" t="n">
        <v>0</v>
      </c>
      <c r="Q8684" t="n">
        <v>0</v>
      </c>
      <c r="R8684" t="n">
        <v>0</v>
      </c>
      <c r="S8684" t="n">
        <v>0</v>
      </c>
      <c r="T8684" t="n">
        <v>0</v>
      </c>
      <c r="U8684" t="n">
        <v>0</v>
      </c>
      <c r="V8684" s="2" t="inlineStr"/>
    </row>
    <row r="8685" ht="15" customHeight="1">
      <c r="A8685" t="inlineStr">
        <is>
          <t>A 26721-2024</t>
        </is>
      </c>
      <c r="B8685" t="inlineStr">
        <is>
          <t>avverkningsanmälan</t>
        </is>
      </c>
      <c r="C8685" t="inlineStr">
        <is>
          <t>Föryngringsavverkning</t>
        </is>
      </c>
      <c r="D8685" s="1" t="n">
        <v>45470</v>
      </c>
      <c r="E8685" s="1" t="n">
        <v>46326</v>
      </c>
      <c r="F8685" t="inlineStr">
        <is>
          <t>GÄVLEBORGS LÄN</t>
        </is>
      </c>
      <c r="G8685" t="inlineStr">
        <is>
          <t>LJUSDAL</t>
        </is>
      </c>
      <c r="H8685" t="inlineStr">
        <is>
          <t>Bergvik skog väst AB</t>
        </is>
      </c>
      <c r="I8685" t="n">
        <v>0.4</v>
      </c>
      <c r="J8685" t="n">
        <v>0</v>
      </c>
      <c r="K8685" t="n">
        <v>0</v>
      </c>
      <c r="L8685" t="n">
        <v>0</v>
      </c>
      <c r="M8685" t="n">
        <v>0</v>
      </c>
      <c r="N8685" t="n">
        <v>0</v>
      </c>
      <c r="O8685" t="n">
        <v>0</v>
      </c>
      <c r="P8685" t="n">
        <v>0</v>
      </c>
      <c r="Q8685" t="n">
        <v>0</v>
      </c>
      <c r="R8685" t="n">
        <v>0</v>
      </c>
      <c r="S8685" t="n">
        <v>0</v>
      </c>
      <c r="T8685" t="n">
        <v>0</v>
      </c>
      <c r="U8685" t="n">
        <v>0</v>
      </c>
      <c r="V8685" s="2" t="inlineStr"/>
    </row>
    <row r="8686" ht="15" customHeight="1">
      <c r="A8686" t="inlineStr">
        <is>
          <t>A 46377-2022</t>
        </is>
      </c>
      <c r="B8686" t="inlineStr">
        <is>
          <t>avverkningsanmälan</t>
        </is>
      </c>
      <c r="C8686" t="inlineStr">
        <is>
          <t>Avverkning för att bevara och utveckla /försöksver</t>
        </is>
      </c>
      <c r="D8686" s="1" t="n">
        <v>44848</v>
      </c>
      <c r="E8686" s="1" t="n">
        <v>46326</v>
      </c>
      <c r="F8686" t="inlineStr">
        <is>
          <t>GÄVLEBORGS LÄN</t>
        </is>
      </c>
      <c r="G8686" t="inlineStr">
        <is>
          <t>OVANÅKER</t>
        </is>
      </c>
      <c r="H8686" t="inlineStr">
        <is>
          <t>Sveaskog</t>
        </is>
      </c>
      <c r="I8686" t="n">
        <v>2.7</v>
      </c>
      <c r="J8686" t="n">
        <v>0</v>
      </c>
      <c r="K8686" t="n">
        <v>0</v>
      </c>
      <c r="L8686" t="n">
        <v>0</v>
      </c>
      <c r="M8686" t="n">
        <v>0</v>
      </c>
      <c r="N8686" t="n">
        <v>0</v>
      </c>
      <c r="O8686" t="n">
        <v>0</v>
      </c>
      <c r="P8686" t="n">
        <v>0</v>
      </c>
      <c r="Q8686" t="n">
        <v>0</v>
      </c>
      <c r="R8686" t="n">
        <v>0</v>
      </c>
      <c r="S8686" t="n">
        <v>0</v>
      </c>
      <c r="T8686" t="n">
        <v>0</v>
      </c>
      <c r="U8686" t="n">
        <v>0</v>
      </c>
      <c r="V8686" s="2" t="inlineStr"/>
    </row>
    <row r="8687" ht="15" customHeight="1">
      <c r="A8687" t="inlineStr">
        <is>
          <t>A 27068-2026</t>
        </is>
      </c>
      <c r="B8687" t="inlineStr">
        <is>
          <t>avverkningsanmälan</t>
        </is>
      </c>
      <c r="C8687" t="inlineStr">
        <is>
          <t>Föryngringsavverkning</t>
        </is>
      </c>
      <c r="D8687" s="1" t="n">
        <v>46185</v>
      </c>
      <c r="E8687" s="1" t="n">
        <v>46326</v>
      </c>
      <c r="F8687" t="inlineStr">
        <is>
          <t>GÄVLEBORGS LÄN</t>
        </is>
      </c>
      <c r="G8687" t="inlineStr">
        <is>
          <t>GÄVLE</t>
        </is>
      </c>
      <c r="H8687" t="inlineStr">
        <is>
          <t>Bergvik skog öst AB</t>
        </is>
      </c>
      <c r="I8687" t="n">
        <v>4.3</v>
      </c>
      <c r="J8687" t="n">
        <v>0</v>
      </c>
      <c r="K8687" t="n">
        <v>0</v>
      </c>
      <c r="L8687" t="n">
        <v>0</v>
      </c>
      <c r="M8687" t="n">
        <v>0</v>
      </c>
      <c r="N8687" t="n">
        <v>0</v>
      </c>
      <c r="O8687" t="n">
        <v>0</v>
      </c>
      <c r="P8687" t="n">
        <v>0</v>
      </c>
      <c r="Q8687" t="n">
        <v>0</v>
      </c>
      <c r="R8687" t="n">
        <v>0</v>
      </c>
      <c r="S8687" t="n">
        <v>0</v>
      </c>
      <c r="T8687" t="n">
        <v>0</v>
      </c>
      <c r="U8687" t="n">
        <v>0</v>
      </c>
      <c r="V8687" s="2" t="inlineStr"/>
    </row>
    <row r="8688" ht="15" customHeight="1">
      <c r="A8688" t="inlineStr">
        <is>
          <t>A 48307-2023</t>
        </is>
      </c>
      <c r="B8688" t="inlineStr">
        <is>
          <t>avverkningsanmälan</t>
        </is>
      </c>
      <c r="C8688" t="inlineStr">
        <is>
          <t>Föryngringsavverkning</t>
        </is>
      </c>
      <c r="D8688" s="1" t="n">
        <v>45205</v>
      </c>
      <c r="E8688" s="1" t="n">
        <v>46326</v>
      </c>
      <c r="F8688" t="inlineStr">
        <is>
          <t>GÄVLEBORGS LÄN</t>
        </is>
      </c>
      <c r="G8688" t="inlineStr">
        <is>
          <t>BOLLNÄS</t>
        </is>
      </c>
      <c r="I8688" t="n">
        <v>0.7</v>
      </c>
      <c r="J8688" t="n">
        <v>0</v>
      </c>
      <c r="K8688" t="n">
        <v>0</v>
      </c>
      <c r="L8688" t="n">
        <v>0</v>
      </c>
      <c r="M8688" t="n">
        <v>0</v>
      </c>
      <c r="N8688" t="n">
        <v>0</v>
      </c>
      <c r="O8688" t="n">
        <v>0</v>
      </c>
      <c r="P8688" t="n">
        <v>0</v>
      </c>
      <c r="Q8688" t="n">
        <v>0</v>
      </c>
      <c r="R8688" t="n">
        <v>0</v>
      </c>
      <c r="S8688" t="n">
        <v>0</v>
      </c>
      <c r="T8688" t="n">
        <v>0</v>
      </c>
      <c r="U8688" t="n">
        <v>0</v>
      </c>
      <c r="V8688" s="2" t="inlineStr"/>
    </row>
    <row r="8689" ht="15" customHeight="1">
      <c r="A8689" t="inlineStr">
        <is>
          <t>A 44229-2024</t>
        </is>
      </c>
      <c r="B8689" t="inlineStr">
        <is>
          <t>avverkningsanmälan</t>
        </is>
      </c>
      <c r="C8689" t="inlineStr">
        <is>
          <t>Föryngringsavverkning</t>
        </is>
      </c>
      <c r="D8689" s="1" t="n">
        <v>45573</v>
      </c>
      <c r="E8689" s="1" t="n">
        <v>46326</v>
      </c>
      <c r="F8689" t="inlineStr">
        <is>
          <t>GÄVLEBORGS LÄN</t>
        </is>
      </c>
      <c r="G8689" t="inlineStr">
        <is>
          <t>HUDIKSVALL</t>
        </is>
      </c>
      <c r="I8689" t="n">
        <v>0.9</v>
      </c>
      <c r="J8689" t="n">
        <v>0</v>
      </c>
      <c r="K8689" t="n">
        <v>0</v>
      </c>
      <c r="L8689" t="n">
        <v>0</v>
      </c>
      <c r="M8689" t="n">
        <v>0</v>
      </c>
      <c r="N8689" t="n">
        <v>0</v>
      </c>
      <c r="O8689" t="n">
        <v>0</v>
      </c>
      <c r="P8689" t="n">
        <v>0</v>
      </c>
      <c r="Q8689" t="n">
        <v>0</v>
      </c>
      <c r="R8689" t="n">
        <v>0</v>
      </c>
      <c r="S8689" t="n">
        <v>0</v>
      </c>
      <c r="T8689" t="n">
        <v>0</v>
      </c>
      <c r="U8689" t="n">
        <v>0</v>
      </c>
      <c r="V8689" s="2" t="inlineStr"/>
    </row>
    <row r="8690" ht="15" customHeight="1">
      <c r="A8690" t="inlineStr">
        <is>
          <t>A 27327-2026</t>
        </is>
      </c>
      <c r="B8690" t="inlineStr">
        <is>
          <t>avverkningsanmälan</t>
        </is>
      </c>
      <c r="C8690" t="inlineStr">
        <is>
          <t>Föryngringsavverkning</t>
        </is>
      </c>
      <c r="D8690" s="1" t="n">
        <v>46188</v>
      </c>
      <c r="E8690" s="1" t="n">
        <v>46326</v>
      </c>
      <c r="F8690" t="inlineStr">
        <is>
          <t>GÄVLEBORGS LÄN</t>
        </is>
      </c>
      <c r="G8690" t="inlineStr">
        <is>
          <t>BOLLNÄS</t>
        </is>
      </c>
      <c r="I8690" t="n">
        <v>1</v>
      </c>
      <c r="J8690" t="n">
        <v>0</v>
      </c>
      <c r="K8690" t="n">
        <v>0</v>
      </c>
      <c r="L8690" t="n">
        <v>0</v>
      </c>
      <c r="M8690" t="n">
        <v>0</v>
      </c>
      <c r="N8690" t="n">
        <v>0</v>
      </c>
      <c r="O8690" t="n">
        <v>0</v>
      </c>
      <c r="P8690" t="n">
        <v>0</v>
      </c>
      <c r="Q8690" t="n">
        <v>0</v>
      </c>
      <c r="R8690" t="n">
        <v>0</v>
      </c>
      <c r="S8690" t="n">
        <v>0</v>
      </c>
      <c r="T8690" t="n">
        <v>0</v>
      </c>
      <c r="U8690" t="n">
        <v>0</v>
      </c>
      <c r="V8690" s="2" t="inlineStr"/>
    </row>
    <row r="8691" ht="15" customHeight="1">
      <c r="A8691" t="inlineStr">
        <is>
          <t>A 27361-2026</t>
        </is>
      </c>
      <c r="B8691" t="inlineStr">
        <is>
          <t>avverkningsanmälan</t>
        </is>
      </c>
      <c r="C8691" t="inlineStr">
        <is>
          <t>Föryngringsavverkning</t>
        </is>
      </c>
      <c r="D8691" s="1" t="n">
        <v>46188</v>
      </c>
      <c r="E8691" s="1" t="n">
        <v>46326</v>
      </c>
      <c r="F8691" t="inlineStr">
        <is>
          <t>GÄVLEBORGS LÄN</t>
        </is>
      </c>
      <c r="G8691" t="inlineStr">
        <is>
          <t>GÄVLE</t>
        </is>
      </c>
      <c r="H8691" t="inlineStr">
        <is>
          <t>Bergvik skog öst AB</t>
        </is>
      </c>
      <c r="I8691" t="n">
        <v>4.3</v>
      </c>
      <c r="J8691" t="n">
        <v>0</v>
      </c>
      <c r="K8691" t="n">
        <v>0</v>
      </c>
      <c r="L8691" t="n">
        <v>0</v>
      </c>
      <c r="M8691" t="n">
        <v>0</v>
      </c>
      <c r="N8691" t="n">
        <v>0</v>
      </c>
      <c r="O8691" t="n">
        <v>0</v>
      </c>
      <c r="P8691" t="n">
        <v>0</v>
      </c>
      <c r="Q8691" t="n">
        <v>0</v>
      </c>
      <c r="R8691" t="n">
        <v>0</v>
      </c>
      <c r="S8691" t="n">
        <v>0</v>
      </c>
      <c r="T8691" t="n">
        <v>0</v>
      </c>
      <c r="U8691" t="n">
        <v>0</v>
      </c>
      <c r="V8691" s="2" t="inlineStr"/>
    </row>
    <row r="8692" ht="15" customHeight="1">
      <c r="A8692" t="inlineStr">
        <is>
          <t>A 30107-2024</t>
        </is>
      </c>
      <c r="B8692" t="inlineStr">
        <is>
          <t>avverkningsanmälan</t>
        </is>
      </c>
      <c r="C8692" t="inlineStr">
        <is>
          <t>Föryngringsavverkning</t>
        </is>
      </c>
      <c r="D8692" s="1" t="n">
        <v>45489</v>
      </c>
      <c r="E8692" s="1" t="n">
        <v>46326</v>
      </c>
      <c r="F8692" t="inlineStr">
        <is>
          <t>GÄVLEBORGS LÄN</t>
        </is>
      </c>
      <c r="G8692" t="inlineStr">
        <is>
          <t>HUDIKSVALL</t>
        </is>
      </c>
      <c r="H8692" t="inlineStr">
        <is>
          <t>Holmen skog AB</t>
        </is>
      </c>
      <c r="I8692" t="n">
        <v>3.2</v>
      </c>
      <c r="J8692" t="n">
        <v>0</v>
      </c>
      <c r="K8692" t="n">
        <v>0</v>
      </c>
      <c r="L8692" t="n">
        <v>0</v>
      </c>
      <c r="M8692" t="n">
        <v>0</v>
      </c>
      <c r="N8692" t="n">
        <v>0</v>
      </c>
      <c r="O8692" t="n">
        <v>0</v>
      </c>
      <c r="P8692" t="n">
        <v>0</v>
      </c>
      <c r="Q8692" t="n">
        <v>0</v>
      </c>
      <c r="R8692" t="n">
        <v>0</v>
      </c>
      <c r="S8692" t="n">
        <v>0</v>
      </c>
      <c r="T8692" t="n">
        <v>0</v>
      </c>
      <c r="U8692" t="n">
        <v>0</v>
      </c>
      <c r="V8692" s="2" t="inlineStr"/>
    </row>
    <row r="8693" ht="15" customHeight="1">
      <c r="A8693" t="inlineStr">
        <is>
          <t>A 27041-2026</t>
        </is>
      </c>
      <c r="B8693" t="inlineStr">
        <is>
          <t>avverkningsanmälan</t>
        </is>
      </c>
      <c r="C8693" t="inlineStr">
        <is>
          <t>Föryngringsavverkning</t>
        </is>
      </c>
      <c r="D8693" s="1" t="n">
        <v>46185</v>
      </c>
      <c r="E8693" s="1" t="n">
        <v>46326</v>
      </c>
      <c r="F8693" t="inlineStr">
        <is>
          <t>GÄVLEBORGS LÄN</t>
        </is>
      </c>
      <c r="G8693" t="inlineStr">
        <is>
          <t>GÄVLE</t>
        </is>
      </c>
      <c r="H8693" t="inlineStr">
        <is>
          <t>Bergvik skog öst AB</t>
        </is>
      </c>
      <c r="I8693" t="n">
        <v>2.3</v>
      </c>
      <c r="J8693" t="n">
        <v>0</v>
      </c>
      <c r="K8693" t="n">
        <v>0</v>
      </c>
      <c r="L8693" t="n">
        <v>0</v>
      </c>
      <c r="M8693" t="n">
        <v>0</v>
      </c>
      <c r="N8693" t="n">
        <v>0</v>
      </c>
      <c r="O8693" t="n">
        <v>0</v>
      </c>
      <c r="P8693" t="n">
        <v>0</v>
      </c>
      <c r="Q8693" t="n">
        <v>0</v>
      </c>
      <c r="R8693" t="n">
        <v>0</v>
      </c>
      <c r="S8693" t="n">
        <v>0</v>
      </c>
      <c r="T8693" t="n">
        <v>0</v>
      </c>
      <c r="U8693" t="n">
        <v>0</v>
      </c>
      <c r="V8693" s="2" t="inlineStr"/>
    </row>
    <row r="8694" ht="15" customHeight="1">
      <c r="A8694" t="inlineStr">
        <is>
          <t>A 59974-2024</t>
        </is>
      </c>
      <c r="B8694" t="inlineStr">
        <is>
          <t>avverkningsanmälan</t>
        </is>
      </c>
      <c r="C8694" t="inlineStr">
        <is>
          <t>Föryngringsavverkning</t>
        </is>
      </c>
      <c r="D8694" s="1" t="n">
        <v>45642</v>
      </c>
      <c r="E8694" s="1" t="n">
        <v>46326</v>
      </c>
      <c r="F8694" t="inlineStr">
        <is>
          <t>GÄVLEBORGS LÄN</t>
        </is>
      </c>
      <c r="G8694" t="inlineStr">
        <is>
          <t>OVANÅKER</t>
        </is>
      </c>
      <c r="I8694" t="n">
        <v>4.6</v>
      </c>
      <c r="J8694" t="n">
        <v>0</v>
      </c>
      <c r="K8694" t="n">
        <v>0</v>
      </c>
      <c r="L8694" t="n">
        <v>0</v>
      </c>
      <c r="M8694" t="n">
        <v>0</v>
      </c>
      <c r="N8694" t="n">
        <v>0</v>
      </c>
      <c r="O8694" t="n">
        <v>0</v>
      </c>
      <c r="P8694" t="n">
        <v>0</v>
      </c>
      <c r="Q8694" t="n">
        <v>0</v>
      </c>
      <c r="R8694" t="n">
        <v>0</v>
      </c>
      <c r="S8694" t="n">
        <v>0</v>
      </c>
      <c r="T8694" t="n">
        <v>0</v>
      </c>
      <c r="U8694" t="n">
        <v>0</v>
      </c>
      <c r="V8694" s="2" t="inlineStr"/>
    </row>
    <row r="8695" ht="15" customHeight="1">
      <c r="A8695" t="inlineStr">
        <is>
          <t>A 26964-2026</t>
        </is>
      </c>
      <c r="B8695" t="inlineStr">
        <is>
          <t>avverkningsanmälan</t>
        </is>
      </c>
      <c r="C8695" t="inlineStr">
        <is>
          <t>Föryngringsavverkning</t>
        </is>
      </c>
      <c r="D8695" s="1" t="n">
        <v>46185</v>
      </c>
      <c r="E8695" s="1" t="n">
        <v>46326</v>
      </c>
      <c r="F8695" t="inlineStr">
        <is>
          <t>GÄVLEBORGS LÄN</t>
        </is>
      </c>
      <c r="G8695" t="inlineStr">
        <is>
          <t>SANDVIKEN</t>
        </is>
      </c>
      <c r="I8695" t="n">
        <v>2.2</v>
      </c>
      <c r="J8695" t="n">
        <v>0</v>
      </c>
      <c r="K8695" t="n">
        <v>0</v>
      </c>
      <c r="L8695" t="n">
        <v>0</v>
      </c>
      <c r="M8695" t="n">
        <v>0</v>
      </c>
      <c r="N8695" t="n">
        <v>0</v>
      </c>
      <c r="O8695" t="n">
        <v>0</v>
      </c>
      <c r="P8695" t="n">
        <v>0</v>
      </c>
      <c r="Q8695" t="n">
        <v>0</v>
      </c>
      <c r="R8695" t="n">
        <v>0</v>
      </c>
      <c r="S8695" t="n">
        <v>0</v>
      </c>
      <c r="T8695" t="n">
        <v>0</v>
      </c>
      <c r="U8695" t="n">
        <v>0</v>
      </c>
      <c r="V8695" s="2" t="inlineStr"/>
    </row>
    <row r="8696" ht="15" customHeight="1">
      <c r="A8696" t="inlineStr">
        <is>
          <t>A 27002-2026</t>
        </is>
      </c>
      <c r="B8696" t="inlineStr">
        <is>
          <t>avverkningsanmälan</t>
        </is>
      </c>
      <c r="C8696" t="inlineStr">
        <is>
          <t>Föryngringsavverkning</t>
        </is>
      </c>
      <c r="D8696" s="1" t="n">
        <v>46185</v>
      </c>
      <c r="E8696" s="1" t="n">
        <v>46326</v>
      </c>
      <c r="F8696" t="inlineStr">
        <is>
          <t>GÄVLEBORGS LÄN</t>
        </is>
      </c>
      <c r="G8696" t="inlineStr">
        <is>
          <t>LJUSDAL</t>
        </is>
      </c>
      <c r="H8696" t="inlineStr">
        <is>
          <t>Sveaskog</t>
        </is>
      </c>
      <c r="I8696" t="n">
        <v>24.7</v>
      </c>
      <c r="J8696" t="n">
        <v>0</v>
      </c>
      <c r="K8696" t="n">
        <v>0</v>
      </c>
      <c r="L8696" t="n">
        <v>0</v>
      </c>
      <c r="M8696" t="n">
        <v>0</v>
      </c>
      <c r="N8696" t="n">
        <v>0</v>
      </c>
      <c r="O8696" t="n">
        <v>0</v>
      </c>
      <c r="P8696" t="n">
        <v>0</v>
      </c>
      <c r="Q8696" t="n">
        <v>0</v>
      </c>
      <c r="R8696" t="n">
        <v>0</v>
      </c>
      <c r="S8696" t="n">
        <v>0</v>
      </c>
      <c r="T8696" t="n">
        <v>0</v>
      </c>
      <c r="U8696" t="n">
        <v>0</v>
      </c>
      <c r="V8696" s="2" t="inlineStr"/>
    </row>
    <row r="8697" ht="15" customHeight="1">
      <c r="A8697" t="inlineStr">
        <is>
          <t>A 27114-2026</t>
        </is>
      </c>
      <c r="B8697" t="inlineStr">
        <is>
          <t>avverkningsanmälan</t>
        </is>
      </c>
      <c r="C8697" t="inlineStr">
        <is>
          <t>Föryngringsavverkning</t>
        </is>
      </c>
      <c r="D8697" s="1" t="n">
        <v>46188</v>
      </c>
      <c r="E8697" s="1" t="n">
        <v>46326</v>
      </c>
      <c r="F8697" t="inlineStr">
        <is>
          <t>GÄVLEBORGS LÄN</t>
        </is>
      </c>
      <c r="G8697" t="inlineStr">
        <is>
          <t>NORDANSTIG</t>
        </is>
      </c>
      <c r="H8697" t="inlineStr">
        <is>
          <t>Holmen skog AB</t>
        </is>
      </c>
      <c r="I8697" t="n">
        <v>36</v>
      </c>
      <c r="J8697" t="n">
        <v>0</v>
      </c>
      <c r="K8697" t="n">
        <v>0</v>
      </c>
      <c r="L8697" t="n">
        <v>0</v>
      </c>
      <c r="M8697" t="n">
        <v>0</v>
      </c>
      <c r="N8697" t="n">
        <v>0</v>
      </c>
      <c r="O8697" t="n">
        <v>0</v>
      </c>
      <c r="P8697" t="n">
        <v>0</v>
      </c>
      <c r="Q8697" t="n">
        <v>0</v>
      </c>
      <c r="R8697" t="n">
        <v>0</v>
      </c>
      <c r="S8697" t="n">
        <v>0</v>
      </c>
      <c r="T8697" t="n">
        <v>0</v>
      </c>
      <c r="U8697" t="n">
        <v>0</v>
      </c>
      <c r="V8697" s="2" t="inlineStr"/>
    </row>
    <row r="8698" ht="15" customHeight="1">
      <c r="A8698" t="inlineStr">
        <is>
          <t>A 47917-2022</t>
        </is>
      </c>
      <c r="B8698" t="inlineStr">
        <is>
          <t>avverkningsanmälan</t>
        </is>
      </c>
      <c r="C8698" t="inlineStr">
        <is>
          <t>Föryngringsavverkning</t>
        </is>
      </c>
      <c r="D8698" s="1" t="n">
        <v>44855</v>
      </c>
      <c r="E8698" s="1" t="n">
        <v>46326</v>
      </c>
      <c r="F8698" t="inlineStr">
        <is>
          <t>GÄVLEBORGS LÄN</t>
        </is>
      </c>
      <c r="G8698" t="inlineStr">
        <is>
          <t>OVANÅKER</t>
        </is>
      </c>
      <c r="I8698" t="n">
        <v>1.4</v>
      </c>
      <c r="J8698" t="n">
        <v>0</v>
      </c>
      <c r="K8698" t="n">
        <v>0</v>
      </c>
      <c r="L8698" t="n">
        <v>0</v>
      </c>
      <c r="M8698" t="n">
        <v>0</v>
      </c>
      <c r="N8698" t="n">
        <v>0</v>
      </c>
      <c r="O8698" t="n">
        <v>0</v>
      </c>
      <c r="P8698" t="n">
        <v>0</v>
      </c>
      <c r="Q8698" t="n">
        <v>0</v>
      </c>
      <c r="R8698" t="n">
        <v>0</v>
      </c>
      <c r="S8698" t="n">
        <v>0</v>
      </c>
      <c r="T8698" t="n">
        <v>0</v>
      </c>
      <c r="U8698" t="n">
        <v>0</v>
      </c>
      <c r="V8698" s="2" t="inlineStr"/>
    </row>
    <row r="8699" ht="15" customHeight="1">
      <c r="A8699" t="inlineStr">
        <is>
          <t>A 36316-2023</t>
        </is>
      </c>
      <c r="B8699" t="inlineStr">
        <is>
          <t>avverkningsanmälan</t>
        </is>
      </c>
      <c r="C8699" t="inlineStr">
        <is>
          <t>Föryngringsavverkning</t>
        </is>
      </c>
      <c r="D8699" s="1" t="n">
        <v>45152</v>
      </c>
      <c r="E8699" s="1" t="n">
        <v>46326</v>
      </c>
      <c r="F8699" t="inlineStr">
        <is>
          <t>GÄVLEBORGS LÄN</t>
        </is>
      </c>
      <c r="G8699" t="inlineStr">
        <is>
          <t>OVANÅKER</t>
        </is>
      </c>
      <c r="I8699" t="n">
        <v>2.2</v>
      </c>
      <c r="J8699" t="n">
        <v>0</v>
      </c>
      <c r="K8699" t="n">
        <v>0</v>
      </c>
      <c r="L8699" t="n">
        <v>0</v>
      </c>
      <c r="M8699" t="n">
        <v>0</v>
      </c>
      <c r="N8699" t="n">
        <v>0</v>
      </c>
      <c r="O8699" t="n">
        <v>0</v>
      </c>
      <c r="P8699" t="n">
        <v>0</v>
      </c>
      <c r="Q8699" t="n">
        <v>0</v>
      </c>
      <c r="R8699" t="n">
        <v>0</v>
      </c>
      <c r="S8699" t="n">
        <v>0</v>
      </c>
      <c r="T8699" t="n">
        <v>0</v>
      </c>
      <c r="U8699" t="n">
        <v>0</v>
      </c>
      <c r="V8699" s="2" t="inlineStr"/>
    </row>
    <row r="8700" ht="15" customHeight="1">
      <c r="A8700" t="inlineStr">
        <is>
          <t>A 27143-2026</t>
        </is>
      </c>
      <c r="B8700" t="inlineStr">
        <is>
          <t>avverkningsanmälan</t>
        </is>
      </c>
      <c r="C8700" t="inlineStr">
        <is>
          <t>Föryngringsavverkning</t>
        </is>
      </c>
      <c r="D8700" s="1" t="n">
        <v>46188</v>
      </c>
      <c r="E8700" s="1" t="n">
        <v>46326</v>
      </c>
      <c r="F8700" t="inlineStr">
        <is>
          <t>GÄVLEBORGS LÄN</t>
        </is>
      </c>
      <c r="G8700" t="inlineStr">
        <is>
          <t>BOLLNÄS</t>
        </is>
      </c>
      <c r="I8700" t="n">
        <v>2.8</v>
      </c>
      <c r="J8700" t="n">
        <v>0</v>
      </c>
      <c r="K8700" t="n">
        <v>0</v>
      </c>
      <c r="L8700" t="n">
        <v>0</v>
      </c>
      <c r="M8700" t="n">
        <v>0</v>
      </c>
      <c r="N8700" t="n">
        <v>0</v>
      </c>
      <c r="O8700" t="n">
        <v>0</v>
      </c>
      <c r="P8700" t="n">
        <v>0</v>
      </c>
      <c r="Q8700" t="n">
        <v>0</v>
      </c>
      <c r="R8700" t="n">
        <v>0</v>
      </c>
      <c r="S8700" t="n">
        <v>0</v>
      </c>
      <c r="T8700" t="n">
        <v>0</v>
      </c>
      <c r="U8700" t="n">
        <v>0</v>
      </c>
      <c r="V8700" s="2" t="inlineStr"/>
    </row>
    <row r="8701" ht="15" customHeight="1">
      <c r="A8701" t="inlineStr">
        <is>
          <t>A 36321-2023</t>
        </is>
      </c>
      <c r="B8701" t="inlineStr">
        <is>
          <t>avverkningsanmälan</t>
        </is>
      </c>
      <c r="C8701" t="inlineStr">
        <is>
          <t>Föryngringsavverkning</t>
        </is>
      </c>
      <c r="D8701" s="1" t="n">
        <v>45152</v>
      </c>
      <c r="E8701" s="1" t="n">
        <v>46326</v>
      </c>
      <c r="F8701" t="inlineStr">
        <is>
          <t>GÄVLEBORGS LÄN</t>
        </is>
      </c>
      <c r="G8701" t="inlineStr">
        <is>
          <t>LJUSDAL</t>
        </is>
      </c>
      <c r="I8701" t="n">
        <v>2.6</v>
      </c>
      <c r="J8701" t="n">
        <v>0</v>
      </c>
      <c r="K8701" t="n">
        <v>0</v>
      </c>
      <c r="L8701" t="n">
        <v>0</v>
      </c>
      <c r="M8701" t="n">
        <v>0</v>
      </c>
      <c r="N8701" t="n">
        <v>0</v>
      </c>
      <c r="O8701" t="n">
        <v>0</v>
      </c>
      <c r="P8701" t="n">
        <v>0</v>
      </c>
      <c r="Q8701" t="n">
        <v>0</v>
      </c>
      <c r="R8701" t="n">
        <v>0</v>
      </c>
      <c r="S8701" t="n">
        <v>0</v>
      </c>
      <c r="T8701" t="n">
        <v>0</v>
      </c>
      <c r="U8701" t="n">
        <v>0</v>
      </c>
      <c r="V8701" s="2" t="inlineStr"/>
    </row>
    <row r="8702" ht="15" customHeight="1">
      <c r="A8702" t="inlineStr">
        <is>
          <t>A 27150-2026</t>
        </is>
      </c>
      <c r="B8702" t="inlineStr">
        <is>
          <t>avverkningsanmälan</t>
        </is>
      </c>
      <c r="C8702" t="inlineStr">
        <is>
          <t>Föryngringsavverkning</t>
        </is>
      </c>
      <c r="D8702" s="1" t="n">
        <v>46188</v>
      </c>
      <c r="E8702" s="1" t="n">
        <v>46326</v>
      </c>
      <c r="F8702" t="inlineStr">
        <is>
          <t>GÄVLEBORGS LÄN</t>
        </is>
      </c>
      <c r="G8702" t="inlineStr">
        <is>
          <t>NORDANSTIG</t>
        </is>
      </c>
      <c r="I8702" t="n">
        <v>0.9</v>
      </c>
      <c r="J8702" t="n">
        <v>0</v>
      </c>
      <c r="K8702" t="n">
        <v>0</v>
      </c>
      <c r="L8702" t="n">
        <v>0</v>
      </c>
      <c r="M8702" t="n">
        <v>0</v>
      </c>
      <c r="N8702" t="n">
        <v>0</v>
      </c>
      <c r="O8702" t="n">
        <v>0</v>
      </c>
      <c r="P8702" t="n">
        <v>0</v>
      </c>
      <c r="Q8702" t="n">
        <v>0</v>
      </c>
      <c r="R8702" t="n">
        <v>0</v>
      </c>
      <c r="S8702" t="n">
        <v>0</v>
      </c>
      <c r="T8702" t="n">
        <v>0</v>
      </c>
      <c r="U8702" t="n">
        <v>0</v>
      </c>
      <c r="V8702" s="2" t="inlineStr"/>
    </row>
    <row r="8703" ht="15" customHeight="1">
      <c r="A8703" t="inlineStr">
        <is>
          <t>A 27042-2026</t>
        </is>
      </c>
      <c r="B8703" t="inlineStr">
        <is>
          <t>avverkningsanmälan</t>
        </is>
      </c>
      <c r="C8703" t="inlineStr">
        <is>
          <t>Föryngringsavverkning</t>
        </is>
      </c>
      <c r="D8703" s="1" t="n">
        <v>46185</v>
      </c>
      <c r="E8703" s="1" t="n">
        <v>46326</v>
      </c>
      <c r="F8703" t="inlineStr">
        <is>
          <t>GÄVLEBORGS LÄN</t>
        </is>
      </c>
      <c r="G8703" t="inlineStr">
        <is>
          <t>GÄVLE</t>
        </is>
      </c>
      <c r="H8703" t="inlineStr">
        <is>
          <t>Bergvik skog öst AB</t>
        </is>
      </c>
      <c r="I8703" t="n">
        <v>0.8</v>
      </c>
      <c r="J8703" t="n">
        <v>0</v>
      </c>
      <c r="K8703" t="n">
        <v>0</v>
      </c>
      <c r="L8703" t="n">
        <v>0</v>
      </c>
      <c r="M8703" t="n">
        <v>0</v>
      </c>
      <c r="N8703" t="n">
        <v>0</v>
      </c>
      <c r="O8703" t="n">
        <v>0</v>
      </c>
      <c r="P8703" t="n">
        <v>0</v>
      </c>
      <c r="Q8703" t="n">
        <v>0</v>
      </c>
      <c r="R8703" t="n">
        <v>0</v>
      </c>
      <c r="S8703" t="n">
        <v>0</v>
      </c>
      <c r="T8703" t="n">
        <v>0</v>
      </c>
      <c r="U8703" t="n">
        <v>0</v>
      </c>
      <c r="V8703" s="2" t="inlineStr"/>
    </row>
    <row r="8704" ht="15" customHeight="1">
      <c r="A8704" t="inlineStr">
        <is>
          <t>A 27056-2026</t>
        </is>
      </c>
      <c r="B8704" t="inlineStr">
        <is>
          <t>avverkningsanmälan</t>
        </is>
      </c>
      <c r="C8704" t="inlineStr">
        <is>
          <t>Föryngringsavverkning</t>
        </is>
      </c>
      <c r="D8704" s="1" t="n">
        <v>46185</v>
      </c>
      <c r="E8704" s="1" t="n">
        <v>46326</v>
      </c>
      <c r="F8704" t="inlineStr">
        <is>
          <t>GÄVLEBORGS LÄN</t>
        </is>
      </c>
      <c r="G8704" t="inlineStr">
        <is>
          <t>GÄVLE</t>
        </is>
      </c>
      <c r="H8704" t="inlineStr">
        <is>
          <t>Bergvik skog öst AB</t>
        </is>
      </c>
      <c r="I8704" t="n">
        <v>0.5</v>
      </c>
      <c r="J8704" t="n">
        <v>0</v>
      </c>
      <c r="K8704" t="n">
        <v>0</v>
      </c>
      <c r="L8704" t="n">
        <v>0</v>
      </c>
      <c r="M8704" t="n">
        <v>0</v>
      </c>
      <c r="N8704" t="n">
        <v>0</v>
      </c>
      <c r="O8704" t="n">
        <v>0</v>
      </c>
      <c r="P8704" t="n">
        <v>0</v>
      </c>
      <c r="Q8704" t="n">
        <v>0</v>
      </c>
      <c r="R8704" t="n">
        <v>0</v>
      </c>
      <c r="S8704" t="n">
        <v>0</v>
      </c>
      <c r="T8704" t="n">
        <v>0</v>
      </c>
      <c r="U8704" t="n">
        <v>0</v>
      </c>
      <c r="V8704" s="2" t="inlineStr"/>
    </row>
    <row r="8705" ht="15" customHeight="1">
      <c r="A8705" t="inlineStr">
        <is>
          <t>A 27066-2026</t>
        </is>
      </c>
      <c r="B8705" t="inlineStr">
        <is>
          <t>avverkningsanmälan</t>
        </is>
      </c>
      <c r="C8705" t="inlineStr">
        <is>
          <t>Föryngringsavverkning</t>
        </is>
      </c>
      <c r="D8705" s="1" t="n">
        <v>46185</v>
      </c>
      <c r="E8705" s="1" t="n">
        <v>46326</v>
      </c>
      <c r="F8705" t="inlineStr">
        <is>
          <t>GÄVLEBORGS LÄN</t>
        </is>
      </c>
      <c r="G8705" t="inlineStr">
        <is>
          <t>GÄVLE</t>
        </is>
      </c>
      <c r="H8705" t="inlineStr">
        <is>
          <t>Bergvik skog öst AB</t>
        </is>
      </c>
      <c r="I8705" t="n">
        <v>0.6</v>
      </c>
      <c r="J8705" t="n">
        <v>0</v>
      </c>
      <c r="K8705" t="n">
        <v>0</v>
      </c>
      <c r="L8705" t="n">
        <v>0</v>
      </c>
      <c r="M8705" t="n">
        <v>0</v>
      </c>
      <c r="N8705" t="n">
        <v>0</v>
      </c>
      <c r="O8705" t="n">
        <v>0</v>
      </c>
      <c r="P8705" t="n">
        <v>0</v>
      </c>
      <c r="Q8705" t="n">
        <v>0</v>
      </c>
      <c r="R8705" t="n">
        <v>0</v>
      </c>
      <c r="S8705" t="n">
        <v>0</v>
      </c>
      <c r="T8705" t="n">
        <v>0</v>
      </c>
      <c r="U8705" t="n">
        <v>0</v>
      </c>
      <c r="V8705" s="2" t="inlineStr"/>
    </row>
    <row r="8706" ht="15" customHeight="1">
      <c r="A8706" t="inlineStr">
        <is>
          <t>A 27069-2026</t>
        </is>
      </c>
      <c r="B8706" t="inlineStr">
        <is>
          <t>avverkningsanmälan</t>
        </is>
      </c>
      <c r="C8706" t="inlineStr">
        <is>
          <t>Föryngringsavverkning</t>
        </is>
      </c>
      <c r="D8706" s="1" t="n">
        <v>46185</v>
      </c>
      <c r="E8706" s="1" t="n">
        <v>46326</v>
      </c>
      <c r="F8706" t="inlineStr">
        <is>
          <t>GÄVLEBORGS LÄN</t>
        </is>
      </c>
      <c r="G8706" t="inlineStr">
        <is>
          <t>GÄVLE</t>
        </is>
      </c>
      <c r="H8706" t="inlineStr">
        <is>
          <t>Bergvik skog öst AB</t>
        </is>
      </c>
      <c r="I8706" t="n">
        <v>0.7</v>
      </c>
      <c r="J8706" t="n">
        <v>0</v>
      </c>
      <c r="K8706" t="n">
        <v>0</v>
      </c>
      <c r="L8706" t="n">
        <v>0</v>
      </c>
      <c r="M8706" t="n">
        <v>0</v>
      </c>
      <c r="N8706" t="n">
        <v>0</v>
      </c>
      <c r="O8706" t="n">
        <v>0</v>
      </c>
      <c r="P8706" t="n">
        <v>0</v>
      </c>
      <c r="Q8706" t="n">
        <v>0</v>
      </c>
      <c r="R8706" t="n">
        <v>0</v>
      </c>
      <c r="S8706" t="n">
        <v>0</v>
      </c>
      <c r="T8706" t="n">
        <v>0</v>
      </c>
      <c r="U8706" t="n">
        <v>0</v>
      </c>
      <c r="V8706" s="2" t="inlineStr"/>
    </row>
    <row r="8707" ht="15" customHeight="1">
      <c r="A8707" t="inlineStr">
        <is>
          <t>A 27259-2026</t>
        </is>
      </c>
      <c r="B8707" t="inlineStr">
        <is>
          <t>avverkningsanmälan</t>
        </is>
      </c>
      <c r="C8707" t="inlineStr">
        <is>
          <t>Föryngringsavverkning</t>
        </is>
      </c>
      <c r="D8707" s="1" t="n">
        <v>46188</v>
      </c>
      <c r="E8707" s="1" t="n">
        <v>46326</v>
      </c>
      <c r="F8707" t="inlineStr">
        <is>
          <t>GÄVLEBORGS LÄN</t>
        </is>
      </c>
      <c r="G8707" t="inlineStr">
        <is>
          <t>HUDIKSVALL</t>
        </is>
      </c>
      <c r="I8707" t="n">
        <v>0.8</v>
      </c>
      <c r="J8707" t="n">
        <v>0</v>
      </c>
      <c r="K8707" t="n">
        <v>0</v>
      </c>
      <c r="L8707" t="n">
        <v>0</v>
      </c>
      <c r="M8707" t="n">
        <v>0</v>
      </c>
      <c r="N8707" t="n">
        <v>0</v>
      </c>
      <c r="O8707" t="n">
        <v>0</v>
      </c>
      <c r="P8707" t="n">
        <v>0</v>
      </c>
      <c r="Q8707" t="n">
        <v>0</v>
      </c>
      <c r="R8707" t="n">
        <v>0</v>
      </c>
      <c r="S8707" t="n">
        <v>0</v>
      </c>
      <c r="T8707" t="n">
        <v>0</v>
      </c>
      <c r="U8707" t="n">
        <v>0</v>
      </c>
      <c r="V8707" s="2" t="inlineStr"/>
    </row>
    <row r="8708" ht="15" customHeight="1">
      <c r="A8708" t="inlineStr">
        <is>
          <t>A 27318-2026</t>
        </is>
      </c>
      <c r="B8708" t="inlineStr">
        <is>
          <t>avverkningsanmälan</t>
        </is>
      </c>
      <c r="C8708" t="inlineStr">
        <is>
          <t>Föryngringsavverkning</t>
        </is>
      </c>
      <c r="D8708" s="1" t="n">
        <v>46188</v>
      </c>
      <c r="E8708" s="1" t="n">
        <v>46326</v>
      </c>
      <c r="F8708" t="inlineStr">
        <is>
          <t>GÄVLEBORGS LÄN</t>
        </is>
      </c>
      <c r="G8708" t="inlineStr">
        <is>
          <t>BOLLNÄS</t>
        </is>
      </c>
      <c r="I8708" t="n">
        <v>2.2</v>
      </c>
      <c r="J8708" t="n">
        <v>0</v>
      </c>
      <c r="K8708" t="n">
        <v>0</v>
      </c>
      <c r="L8708" t="n">
        <v>0</v>
      </c>
      <c r="M8708" t="n">
        <v>0</v>
      </c>
      <c r="N8708" t="n">
        <v>0</v>
      </c>
      <c r="O8708" t="n">
        <v>0</v>
      </c>
      <c r="P8708" t="n">
        <v>0</v>
      </c>
      <c r="Q8708" t="n">
        <v>0</v>
      </c>
      <c r="R8708" t="n">
        <v>0</v>
      </c>
      <c r="S8708" t="n">
        <v>0</v>
      </c>
      <c r="T8708" t="n">
        <v>0</v>
      </c>
      <c r="U8708" t="n">
        <v>0</v>
      </c>
      <c r="V8708" s="2" t="inlineStr"/>
    </row>
    <row r="8709" ht="15" customHeight="1">
      <c r="A8709" t="inlineStr">
        <is>
          <t>A 26818-2026</t>
        </is>
      </c>
      <c r="B8709" t="inlineStr">
        <is>
          <t>avverkningsanmälan</t>
        </is>
      </c>
      <c r="C8709" t="inlineStr">
        <is>
          <t>Föryngringsavverkning</t>
        </is>
      </c>
      <c r="D8709" s="1" t="n">
        <v>46185</v>
      </c>
      <c r="E8709" s="1" t="n">
        <v>46326</v>
      </c>
      <c r="F8709" t="inlineStr">
        <is>
          <t>GÄVLEBORGS LÄN</t>
        </is>
      </c>
      <c r="G8709" t="inlineStr">
        <is>
          <t>SANDVIKEN</t>
        </is>
      </c>
      <c r="I8709" t="n">
        <v>2.4</v>
      </c>
      <c r="J8709" t="n">
        <v>0</v>
      </c>
      <c r="K8709" t="n">
        <v>0</v>
      </c>
      <c r="L8709" t="n">
        <v>0</v>
      </c>
      <c r="M8709" t="n">
        <v>0</v>
      </c>
      <c r="N8709" t="n">
        <v>0</v>
      </c>
      <c r="O8709" t="n">
        <v>0</v>
      </c>
      <c r="P8709" t="n">
        <v>0</v>
      </c>
      <c r="Q8709" t="n">
        <v>0</v>
      </c>
      <c r="R8709" t="n">
        <v>0</v>
      </c>
      <c r="S8709" t="n">
        <v>0</v>
      </c>
      <c r="T8709" t="n">
        <v>0</v>
      </c>
      <c r="U8709" t="n">
        <v>0</v>
      </c>
      <c r="V8709" s="2" t="inlineStr"/>
    </row>
    <row r="8710" ht="15" customHeight="1">
      <c r="A8710" t="inlineStr">
        <is>
          <t>A 13473-2024</t>
        </is>
      </c>
      <c r="B8710" t="inlineStr">
        <is>
          <t>avverkningsanmälan</t>
        </is>
      </c>
      <c r="C8710" t="inlineStr">
        <is>
          <t>Föryngringsavverkning</t>
        </is>
      </c>
      <c r="D8710" s="1" t="n">
        <v>45387</v>
      </c>
      <c r="E8710" s="1" t="n">
        <v>46326</v>
      </c>
      <c r="F8710" t="inlineStr">
        <is>
          <t>GÄVLEBORGS LÄN</t>
        </is>
      </c>
      <c r="G8710" t="inlineStr">
        <is>
          <t>HOFORS</t>
        </is>
      </c>
      <c r="I8710" t="n">
        <v>1.8</v>
      </c>
      <c r="J8710" t="n">
        <v>0</v>
      </c>
      <c r="K8710" t="n">
        <v>0</v>
      </c>
      <c r="L8710" t="n">
        <v>0</v>
      </c>
      <c r="M8710" t="n">
        <v>0</v>
      </c>
      <c r="N8710" t="n">
        <v>0</v>
      </c>
      <c r="O8710" t="n">
        <v>0</v>
      </c>
      <c r="P8710" t="n">
        <v>0</v>
      </c>
      <c r="Q8710" t="n">
        <v>0</v>
      </c>
      <c r="R8710" t="n">
        <v>0</v>
      </c>
      <c r="S8710" t="n">
        <v>0</v>
      </c>
      <c r="T8710" t="n">
        <v>0</v>
      </c>
      <c r="U8710" t="n">
        <v>0</v>
      </c>
      <c r="V8710" s="2" t="inlineStr"/>
    </row>
    <row r="8711" ht="15" customHeight="1">
      <c r="A8711" t="inlineStr">
        <is>
          <t>A 8308-2024</t>
        </is>
      </c>
      <c r="B8711" t="inlineStr">
        <is>
          <t>avverkningsanmälan</t>
        </is>
      </c>
      <c r="C8711" t="inlineStr">
        <is>
          <t>Föryngringsavverkning</t>
        </is>
      </c>
      <c r="D8711" s="1" t="n">
        <v>45352</v>
      </c>
      <c r="E8711" s="1" t="n">
        <v>46326</v>
      </c>
      <c r="F8711" t="inlineStr">
        <is>
          <t>GÄVLEBORGS LÄN</t>
        </is>
      </c>
      <c r="G8711" t="inlineStr">
        <is>
          <t>BOLLNÄS</t>
        </is>
      </c>
      <c r="I8711" t="n">
        <v>3.3</v>
      </c>
      <c r="J8711" t="n">
        <v>0</v>
      </c>
      <c r="K8711" t="n">
        <v>0</v>
      </c>
      <c r="L8711" t="n">
        <v>0</v>
      </c>
      <c r="M8711" t="n">
        <v>0</v>
      </c>
      <c r="N8711" t="n">
        <v>0</v>
      </c>
      <c r="O8711" t="n">
        <v>0</v>
      </c>
      <c r="P8711" t="n">
        <v>0</v>
      </c>
      <c r="Q8711" t="n">
        <v>0</v>
      </c>
      <c r="R8711" t="n">
        <v>0</v>
      </c>
      <c r="S8711" t="n">
        <v>0</v>
      </c>
      <c r="T8711" t="n">
        <v>0</v>
      </c>
      <c r="U8711" t="n">
        <v>0</v>
      </c>
      <c r="V8711" s="2" t="inlineStr"/>
    </row>
    <row r="8712" ht="15" customHeight="1">
      <c r="A8712" t="inlineStr">
        <is>
          <t>A 19569-2025</t>
        </is>
      </c>
      <c r="B8712" t="inlineStr">
        <is>
          <t>avverkningsanmälan</t>
        </is>
      </c>
      <c r="C8712" t="inlineStr">
        <is>
          <t>Föryngringsavverkning</t>
        </is>
      </c>
      <c r="D8712" s="1" t="n">
        <v>45770</v>
      </c>
      <c r="E8712" s="1" t="n">
        <v>46326</v>
      </c>
      <c r="F8712" t="inlineStr">
        <is>
          <t>GÄVLEBORGS LÄN</t>
        </is>
      </c>
      <c r="G8712" t="inlineStr">
        <is>
          <t>NORDANSTIG</t>
        </is>
      </c>
      <c r="I8712" t="n">
        <v>0.8</v>
      </c>
      <c r="J8712" t="n">
        <v>0</v>
      </c>
      <c r="K8712" t="n">
        <v>0</v>
      </c>
      <c r="L8712" t="n">
        <v>0</v>
      </c>
      <c r="M8712" t="n">
        <v>0</v>
      </c>
      <c r="N8712" t="n">
        <v>0</v>
      </c>
      <c r="O8712" t="n">
        <v>0</v>
      </c>
      <c r="P8712" t="n">
        <v>0</v>
      </c>
      <c r="Q8712" t="n">
        <v>0</v>
      </c>
      <c r="R8712" t="n">
        <v>0</v>
      </c>
      <c r="S8712" t="n">
        <v>0</v>
      </c>
      <c r="T8712" t="n">
        <v>0</v>
      </c>
      <c r="U8712" t="n">
        <v>0</v>
      </c>
      <c r="V8712" s="2" t="inlineStr"/>
    </row>
    <row r="8713" ht="15" customHeight="1">
      <c r="A8713" t="inlineStr">
        <is>
          <t>A 26909-2026</t>
        </is>
      </c>
      <c r="B8713" t="inlineStr">
        <is>
          <t>avverkningsanmälan</t>
        </is>
      </c>
      <c r="C8713" t="inlineStr">
        <is>
          <t>Föryngringsavverkning</t>
        </is>
      </c>
      <c r="D8713" s="1" t="n">
        <v>46185</v>
      </c>
      <c r="E8713" s="1" t="n">
        <v>46326</v>
      </c>
      <c r="F8713" t="inlineStr">
        <is>
          <t>GÄVLEBORGS LÄN</t>
        </is>
      </c>
      <c r="G8713" t="inlineStr">
        <is>
          <t>BOLLNÄS</t>
        </is>
      </c>
      <c r="I8713" t="n">
        <v>2.5</v>
      </c>
      <c r="J8713" t="n">
        <v>0</v>
      </c>
      <c r="K8713" t="n">
        <v>0</v>
      </c>
      <c r="L8713" t="n">
        <v>0</v>
      </c>
      <c r="M8713" t="n">
        <v>0</v>
      </c>
      <c r="N8713" t="n">
        <v>0</v>
      </c>
      <c r="O8713" t="n">
        <v>0</v>
      </c>
      <c r="P8713" t="n">
        <v>0</v>
      </c>
      <c r="Q8713" t="n">
        <v>0</v>
      </c>
      <c r="R8713" t="n">
        <v>0</v>
      </c>
      <c r="S8713" t="n">
        <v>0</v>
      </c>
      <c r="T8713" t="n">
        <v>0</v>
      </c>
      <c r="U8713" t="n">
        <v>0</v>
      </c>
      <c r="V8713" s="2" t="inlineStr"/>
    </row>
    <row r="8714" ht="15" customHeight="1">
      <c r="A8714" t="inlineStr">
        <is>
          <t>A 26910-2026</t>
        </is>
      </c>
      <c r="B8714" t="inlineStr">
        <is>
          <t>avverkningsanmälan</t>
        </is>
      </c>
      <c r="C8714" t="inlineStr">
        <is>
          <t>Föryngringsavverkning</t>
        </is>
      </c>
      <c r="D8714" s="1" t="n">
        <v>46185</v>
      </c>
      <c r="E8714" s="1" t="n">
        <v>46326</v>
      </c>
      <c r="F8714" t="inlineStr">
        <is>
          <t>GÄVLEBORGS LÄN</t>
        </is>
      </c>
      <c r="G8714" t="inlineStr">
        <is>
          <t>BOLLNÄS</t>
        </is>
      </c>
      <c r="I8714" t="n">
        <v>2.7</v>
      </c>
      <c r="J8714" t="n">
        <v>0</v>
      </c>
      <c r="K8714" t="n">
        <v>0</v>
      </c>
      <c r="L8714" t="n">
        <v>0</v>
      </c>
      <c r="M8714" t="n">
        <v>0</v>
      </c>
      <c r="N8714" t="n">
        <v>0</v>
      </c>
      <c r="O8714" t="n">
        <v>0</v>
      </c>
      <c r="P8714" t="n">
        <v>0</v>
      </c>
      <c r="Q8714" t="n">
        <v>0</v>
      </c>
      <c r="R8714" t="n">
        <v>0</v>
      </c>
      <c r="S8714" t="n">
        <v>0</v>
      </c>
      <c r="T8714" t="n">
        <v>0</v>
      </c>
      <c r="U8714" t="n">
        <v>0</v>
      </c>
      <c r="V8714" s="2" t="inlineStr"/>
    </row>
    <row r="8715" ht="15" customHeight="1">
      <c r="A8715" t="inlineStr">
        <is>
          <t>A 41649-2024</t>
        </is>
      </c>
      <c r="B8715" t="inlineStr">
        <is>
          <t>avverkningsanmälan</t>
        </is>
      </c>
      <c r="C8715" t="inlineStr">
        <is>
          <t>Föryngringsavverkning</t>
        </is>
      </c>
      <c r="D8715" s="1" t="n">
        <v>45560</v>
      </c>
      <c r="E8715" s="1" t="n">
        <v>46326</v>
      </c>
      <c r="F8715" t="inlineStr">
        <is>
          <t>GÄVLEBORGS LÄN</t>
        </is>
      </c>
      <c r="G8715" t="inlineStr">
        <is>
          <t>SÖDERHAMN</t>
        </is>
      </c>
      <c r="I8715" t="n">
        <v>0.9</v>
      </c>
      <c r="J8715" t="n">
        <v>0</v>
      </c>
      <c r="K8715" t="n">
        <v>0</v>
      </c>
      <c r="L8715" t="n">
        <v>0</v>
      </c>
      <c r="M8715" t="n">
        <v>0</v>
      </c>
      <c r="N8715" t="n">
        <v>0</v>
      </c>
      <c r="O8715" t="n">
        <v>0</v>
      </c>
      <c r="P8715" t="n">
        <v>0</v>
      </c>
      <c r="Q8715" t="n">
        <v>0</v>
      </c>
      <c r="R8715" t="n">
        <v>0</v>
      </c>
      <c r="S8715" t="n">
        <v>0</v>
      </c>
      <c r="T8715" t="n">
        <v>0</v>
      </c>
      <c r="U8715" t="n">
        <v>0</v>
      </c>
      <c r="V8715" s="2" t="inlineStr"/>
    </row>
    <row r="8716" ht="15" customHeight="1">
      <c r="A8716" t="inlineStr">
        <is>
          <t>A 41650-2024</t>
        </is>
      </c>
      <c r="B8716" t="inlineStr">
        <is>
          <t>avverkningsanmälan</t>
        </is>
      </c>
      <c r="C8716" t="inlineStr">
        <is>
          <t>Föryngringsavverkning</t>
        </is>
      </c>
      <c r="D8716" s="1" t="n">
        <v>45560</v>
      </c>
      <c r="E8716" s="1" t="n">
        <v>46326</v>
      </c>
      <c r="F8716" t="inlineStr">
        <is>
          <t>GÄVLEBORGS LÄN</t>
        </is>
      </c>
      <c r="G8716" t="inlineStr">
        <is>
          <t>SÖDERHAMN</t>
        </is>
      </c>
      <c r="I8716" t="n">
        <v>1</v>
      </c>
      <c r="J8716" t="n">
        <v>0</v>
      </c>
      <c r="K8716" t="n">
        <v>0</v>
      </c>
      <c r="L8716" t="n">
        <v>0</v>
      </c>
      <c r="M8716" t="n">
        <v>0</v>
      </c>
      <c r="N8716" t="n">
        <v>0</v>
      </c>
      <c r="O8716" t="n">
        <v>0</v>
      </c>
      <c r="P8716" t="n">
        <v>0</v>
      </c>
      <c r="Q8716" t="n">
        <v>0</v>
      </c>
      <c r="R8716" t="n">
        <v>0</v>
      </c>
      <c r="S8716" t="n">
        <v>0</v>
      </c>
      <c r="T8716" t="n">
        <v>0</v>
      </c>
      <c r="U8716" t="n">
        <v>0</v>
      </c>
      <c r="V8716" s="2" t="inlineStr"/>
    </row>
    <row r="8717" ht="15" customHeight="1">
      <c r="A8717" t="inlineStr">
        <is>
          <t>A 40364-2024</t>
        </is>
      </c>
      <c r="B8717" t="inlineStr">
        <is>
          <t>avverkningsanmälan</t>
        </is>
      </c>
      <c r="C8717" t="inlineStr">
        <is>
          <t>Föryngringsavverkning</t>
        </is>
      </c>
      <c r="D8717" s="1" t="n">
        <v>45555</v>
      </c>
      <c r="E8717" s="1" t="n">
        <v>46326</v>
      </c>
      <c r="F8717" t="inlineStr">
        <is>
          <t>GÄVLEBORGS LÄN</t>
        </is>
      </c>
      <c r="G8717" t="inlineStr">
        <is>
          <t>HUDIKSVALL</t>
        </is>
      </c>
      <c r="I8717" t="n">
        <v>1.2</v>
      </c>
      <c r="J8717" t="n">
        <v>0</v>
      </c>
      <c r="K8717" t="n">
        <v>0</v>
      </c>
      <c r="L8717" t="n">
        <v>0</v>
      </c>
      <c r="M8717" t="n">
        <v>0</v>
      </c>
      <c r="N8717" t="n">
        <v>0</v>
      </c>
      <c r="O8717" t="n">
        <v>0</v>
      </c>
      <c r="P8717" t="n">
        <v>0</v>
      </c>
      <c r="Q8717" t="n">
        <v>0</v>
      </c>
      <c r="R8717" t="n">
        <v>0</v>
      </c>
      <c r="S8717" t="n">
        <v>0</v>
      </c>
      <c r="T8717" t="n">
        <v>0</v>
      </c>
      <c r="U8717" t="n">
        <v>0</v>
      </c>
      <c r="V8717" s="2" t="inlineStr"/>
    </row>
    <row r="8718" ht="15" customHeight="1">
      <c r="A8718" t="inlineStr">
        <is>
          <t>A 11475-2024</t>
        </is>
      </c>
      <c r="B8718" t="inlineStr">
        <is>
          <t>avverkningsanmälan</t>
        </is>
      </c>
      <c r="C8718" t="inlineStr">
        <is>
          <t>Föryngringsavverkning</t>
        </is>
      </c>
      <c r="D8718" s="1" t="n">
        <v>45372</v>
      </c>
      <c r="E8718" s="1" t="n">
        <v>46326</v>
      </c>
      <c r="F8718" t="inlineStr">
        <is>
          <t>GÄVLEBORGS LÄN</t>
        </is>
      </c>
      <c r="G8718" t="inlineStr">
        <is>
          <t>HUDIKSVALL</t>
        </is>
      </c>
      <c r="I8718" t="n">
        <v>1</v>
      </c>
      <c r="J8718" t="n">
        <v>0</v>
      </c>
      <c r="K8718" t="n">
        <v>0</v>
      </c>
      <c r="L8718" t="n">
        <v>0</v>
      </c>
      <c r="M8718" t="n">
        <v>0</v>
      </c>
      <c r="N8718" t="n">
        <v>0</v>
      </c>
      <c r="O8718" t="n">
        <v>0</v>
      </c>
      <c r="P8718" t="n">
        <v>0</v>
      </c>
      <c r="Q8718" t="n">
        <v>0</v>
      </c>
      <c r="R8718" t="n">
        <v>0</v>
      </c>
      <c r="S8718" t="n">
        <v>0</v>
      </c>
      <c r="T8718" t="n">
        <v>0</v>
      </c>
      <c r="U8718" t="n">
        <v>0</v>
      </c>
      <c r="V8718" s="2" t="inlineStr"/>
    </row>
    <row r="8719" ht="15" customHeight="1">
      <c r="A8719" t="inlineStr">
        <is>
          <t>A 28133-2024</t>
        </is>
      </c>
      <c r="B8719" t="inlineStr">
        <is>
          <t>avverkningsanmälan</t>
        </is>
      </c>
      <c r="C8719" t="inlineStr">
        <is>
          <t>Föryngringsavverkning</t>
        </is>
      </c>
      <c r="D8719" s="1" t="n">
        <v>45476</v>
      </c>
      <c r="E8719" s="1" t="n">
        <v>46326</v>
      </c>
      <c r="F8719" t="inlineStr">
        <is>
          <t>GÄVLEBORGS LÄN</t>
        </is>
      </c>
      <c r="G8719" t="inlineStr">
        <is>
          <t>HOFORS</t>
        </is>
      </c>
      <c r="I8719" t="n">
        <v>3.8</v>
      </c>
      <c r="J8719" t="n">
        <v>0</v>
      </c>
      <c r="K8719" t="n">
        <v>0</v>
      </c>
      <c r="L8719" t="n">
        <v>0</v>
      </c>
      <c r="M8719" t="n">
        <v>0</v>
      </c>
      <c r="N8719" t="n">
        <v>0</v>
      </c>
      <c r="O8719" t="n">
        <v>0</v>
      </c>
      <c r="P8719" t="n">
        <v>0</v>
      </c>
      <c r="Q8719" t="n">
        <v>0</v>
      </c>
      <c r="R8719" t="n">
        <v>0</v>
      </c>
      <c r="S8719" t="n">
        <v>0</v>
      </c>
      <c r="T8719" t="n">
        <v>0</v>
      </c>
      <c r="U8719" t="n">
        <v>0</v>
      </c>
      <c r="V8719" s="2" t="inlineStr"/>
    </row>
    <row r="8720" ht="15" customHeight="1">
      <c r="A8720" t="inlineStr">
        <is>
          <t>A 29769-2023</t>
        </is>
      </c>
      <c r="B8720" t="inlineStr">
        <is>
          <t>avverkningsanmälan</t>
        </is>
      </c>
      <c r="C8720" t="inlineStr">
        <is>
          <t>Föryngringsavverkning</t>
        </is>
      </c>
      <c r="D8720" s="1" t="n">
        <v>45107</v>
      </c>
      <c r="E8720" s="1" t="n">
        <v>46326</v>
      </c>
      <c r="F8720" t="inlineStr">
        <is>
          <t>GÄVLEBORGS LÄN</t>
        </is>
      </c>
      <c r="G8720" t="inlineStr">
        <is>
          <t>BOLLNÄS</t>
        </is>
      </c>
      <c r="I8720" t="n">
        <v>0.5</v>
      </c>
      <c r="J8720" t="n">
        <v>0</v>
      </c>
      <c r="K8720" t="n">
        <v>0</v>
      </c>
      <c r="L8720" t="n">
        <v>0</v>
      </c>
      <c r="M8720" t="n">
        <v>0</v>
      </c>
      <c r="N8720" t="n">
        <v>0</v>
      </c>
      <c r="O8720" t="n">
        <v>0</v>
      </c>
      <c r="P8720" t="n">
        <v>0</v>
      </c>
      <c r="Q8720" t="n">
        <v>0</v>
      </c>
      <c r="R8720" t="n">
        <v>0</v>
      </c>
      <c r="S8720" t="n">
        <v>0</v>
      </c>
      <c r="T8720" t="n">
        <v>0</v>
      </c>
      <c r="U8720" t="n">
        <v>0</v>
      </c>
      <c r="V8720" s="2" t="inlineStr"/>
    </row>
    <row r="8721" ht="15" customHeight="1">
      <c r="A8721" t="inlineStr">
        <is>
          <t>A 29818-2023</t>
        </is>
      </c>
      <c r="B8721" t="inlineStr">
        <is>
          <t>avverkningsanmälan</t>
        </is>
      </c>
      <c r="C8721" t="inlineStr">
        <is>
          <t>Föryngringsavverkning</t>
        </is>
      </c>
      <c r="D8721" s="1" t="n">
        <v>45107</v>
      </c>
      <c r="E8721" s="1" t="n">
        <v>46326</v>
      </c>
      <c r="F8721" t="inlineStr">
        <is>
          <t>GÄVLEBORGS LÄN</t>
        </is>
      </c>
      <c r="G8721" t="inlineStr">
        <is>
          <t>SÖDERHAMN</t>
        </is>
      </c>
      <c r="I8721" t="n">
        <v>0.9</v>
      </c>
      <c r="J8721" t="n">
        <v>0</v>
      </c>
      <c r="K8721" t="n">
        <v>0</v>
      </c>
      <c r="L8721" t="n">
        <v>0</v>
      </c>
      <c r="M8721" t="n">
        <v>0</v>
      </c>
      <c r="N8721" t="n">
        <v>0</v>
      </c>
      <c r="O8721" t="n">
        <v>0</v>
      </c>
      <c r="P8721" t="n">
        <v>0</v>
      </c>
      <c r="Q8721" t="n">
        <v>0</v>
      </c>
      <c r="R8721" t="n">
        <v>0</v>
      </c>
      <c r="S8721" t="n">
        <v>0</v>
      </c>
      <c r="T8721" t="n">
        <v>0</v>
      </c>
      <c r="U8721" t="n">
        <v>0</v>
      </c>
      <c r="V8721" s="2" t="inlineStr"/>
    </row>
    <row r="8722" ht="15" customHeight="1">
      <c r="A8722" t="inlineStr">
        <is>
          <t>A 29845-2023</t>
        </is>
      </c>
      <c r="B8722" t="inlineStr">
        <is>
          <t>avverkningsanmälan</t>
        </is>
      </c>
      <c r="C8722" t="inlineStr">
        <is>
          <t>Föryngringsavverkning</t>
        </is>
      </c>
      <c r="D8722" s="1" t="n">
        <v>45099</v>
      </c>
      <c r="E8722" s="1" t="n">
        <v>46326</v>
      </c>
      <c r="F8722" t="inlineStr">
        <is>
          <t>GÄVLEBORGS LÄN</t>
        </is>
      </c>
      <c r="G8722" t="inlineStr">
        <is>
          <t>LJUSDAL</t>
        </is>
      </c>
      <c r="I8722" t="n">
        <v>1.4</v>
      </c>
      <c r="J8722" t="n">
        <v>0</v>
      </c>
      <c r="K8722" t="n">
        <v>0</v>
      </c>
      <c r="L8722" t="n">
        <v>0</v>
      </c>
      <c r="M8722" t="n">
        <v>0</v>
      </c>
      <c r="N8722" t="n">
        <v>0</v>
      </c>
      <c r="O8722" t="n">
        <v>0</v>
      </c>
      <c r="P8722" t="n">
        <v>0</v>
      </c>
      <c r="Q8722" t="n">
        <v>0</v>
      </c>
      <c r="R8722" t="n">
        <v>0</v>
      </c>
      <c r="S8722" t="n">
        <v>0</v>
      </c>
      <c r="T8722" t="n">
        <v>0</v>
      </c>
      <c r="U8722" t="n">
        <v>0</v>
      </c>
      <c r="V8722" s="2" t="inlineStr"/>
    </row>
    <row r="8723" ht="15" customHeight="1">
      <c r="A8723" t="inlineStr">
        <is>
          <t>A 29862-2023</t>
        </is>
      </c>
      <c r="B8723" t="inlineStr">
        <is>
          <t>avverkningsanmälan</t>
        </is>
      </c>
      <c r="C8723" t="inlineStr">
        <is>
          <t>Föryngringsavverkning</t>
        </is>
      </c>
      <c r="D8723" s="1" t="n">
        <v>45107</v>
      </c>
      <c r="E8723" s="1" t="n">
        <v>46326</v>
      </c>
      <c r="F8723" t="inlineStr">
        <is>
          <t>GÄVLEBORGS LÄN</t>
        </is>
      </c>
      <c r="G8723" t="inlineStr">
        <is>
          <t>GÄVLE</t>
        </is>
      </c>
      <c r="I8723" t="n">
        <v>4.2</v>
      </c>
      <c r="J8723" t="n">
        <v>0</v>
      </c>
      <c r="K8723" t="n">
        <v>0</v>
      </c>
      <c r="L8723" t="n">
        <v>0</v>
      </c>
      <c r="M8723" t="n">
        <v>0</v>
      </c>
      <c r="N8723" t="n">
        <v>0</v>
      </c>
      <c r="O8723" t="n">
        <v>0</v>
      </c>
      <c r="P8723" t="n">
        <v>0</v>
      </c>
      <c r="Q8723" t="n">
        <v>0</v>
      </c>
      <c r="R8723" t="n">
        <v>0</v>
      </c>
      <c r="S8723" t="n">
        <v>0</v>
      </c>
      <c r="T8723" t="n">
        <v>0</v>
      </c>
      <c r="U8723" t="n">
        <v>0</v>
      </c>
      <c r="V8723" s="2" t="inlineStr"/>
    </row>
    <row r="8724" ht="15" customHeight="1">
      <c r="A8724" t="inlineStr">
        <is>
          <t>A 26924-2026</t>
        </is>
      </c>
      <c r="B8724" t="inlineStr">
        <is>
          <t>avverkningsanmälan</t>
        </is>
      </c>
      <c r="C8724" t="inlineStr">
        <is>
          <t>Föryngringsavverkning</t>
        </is>
      </c>
      <c r="D8724" s="1" t="n">
        <v>46185</v>
      </c>
      <c r="E8724" s="1" t="n">
        <v>46326</v>
      </c>
      <c r="F8724" t="inlineStr">
        <is>
          <t>GÄVLEBORGS LÄN</t>
        </is>
      </c>
      <c r="G8724" t="inlineStr">
        <is>
          <t>OCKELBO</t>
        </is>
      </c>
      <c r="I8724" t="n">
        <v>0.9</v>
      </c>
      <c r="J8724" t="n">
        <v>0</v>
      </c>
      <c r="K8724" t="n">
        <v>0</v>
      </c>
      <c r="L8724" t="n">
        <v>0</v>
      </c>
      <c r="M8724" t="n">
        <v>0</v>
      </c>
      <c r="N8724" t="n">
        <v>0</v>
      </c>
      <c r="O8724" t="n">
        <v>0</v>
      </c>
      <c r="P8724" t="n">
        <v>0</v>
      </c>
      <c r="Q8724" t="n">
        <v>0</v>
      </c>
      <c r="R8724" t="n">
        <v>0</v>
      </c>
      <c r="S8724" t="n">
        <v>0</v>
      </c>
      <c r="T8724" t="n">
        <v>0</v>
      </c>
      <c r="U8724" t="n">
        <v>0</v>
      </c>
      <c r="V8724" s="2" t="inlineStr"/>
    </row>
    <row r="8725" ht="15" customHeight="1">
      <c r="A8725" t="inlineStr">
        <is>
          <t>A 51250-2022</t>
        </is>
      </c>
      <c r="B8725" t="inlineStr">
        <is>
          <t>avverkningsanmälan</t>
        </is>
      </c>
      <c r="C8725" t="inlineStr">
        <is>
          <t>Föryngringsavverkning</t>
        </is>
      </c>
      <c r="D8725" s="1" t="n">
        <v>44868</v>
      </c>
      <c r="E8725" s="1" t="n">
        <v>46326</v>
      </c>
      <c r="F8725" t="inlineStr">
        <is>
          <t>GÄVLEBORGS LÄN</t>
        </is>
      </c>
      <c r="G8725" t="inlineStr">
        <is>
          <t>NORDANSTIG</t>
        </is>
      </c>
      <c r="H8725" t="inlineStr">
        <is>
          <t>Holmen skog AB</t>
        </is>
      </c>
      <c r="I8725" t="n">
        <v>1</v>
      </c>
      <c r="J8725" t="n">
        <v>0</v>
      </c>
      <c r="K8725" t="n">
        <v>0</v>
      </c>
      <c r="L8725" t="n">
        <v>0</v>
      </c>
      <c r="M8725" t="n">
        <v>0</v>
      </c>
      <c r="N8725" t="n">
        <v>0</v>
      </c>
      <c r="O8725" t="n">
        <v>0</v>
      </c>
      <c r="P8725" t="n">
        <v>0</v>
      </c>
      <c r="Q8725" t="n">
        <v>0</v>
      </c>
      <c r="R8725" t="n">
        <v>0</v>
      </c>
      <c r="S8725" t="n">
        <v>0</v>
      </c>
      <c r="T8725" t="n">
        <v>0</v>
      </c>
      <c r="U8725" t="n">
        <v>0</v>
      </c>
      <c r="V8725" s="2" t="inlineStr"/>
    </row>
    <row r="8726" ht="15" customHeight="1">
      <c r="A8726" t="inlineStr">
        <is>
          <t>A 26843-2026</t>
        </is>
      </c>
      <c r="B8726" t="inlineStr">
        <is>
          <t>avverkningsanmälan</t>
        </is>
      </c>
      <c r="C8726" t="inlineStr">
        <is>
          <t>Föryngringsavverkning</t>
        </is>
      </c>
      <c r="D8726" s="1" t="n">
        <v>46185</v>
      </c>
      <c r="E8726" s="1" t="n">
        <v>46326</v>
      </c>
      <c r="F8726" t="inlineStr">
        <is>
          <t>GÄVLEBORGS LÄN</t>
        </is>
      </c>
      <c r="G8726" t="inlineStr">
        <is>
          <t>OCKELBO</t>
        </is>
      </c>
      <c r="I8726" t="n">
        <v>14.6</v>
      </c>
      <c r="J8726" t="n">
        <v>0</v>
      </c>
      <c r="K8726" t="n">
        <v>0</v>
      </c>
      <c r="L8726" t="n">
        <v>0</v>
      </c>
      <c r="M8726" t="n">
        <v>0</v>
      </c>
      <c r="N8726" t="n">
        <v>0</v>
      </c>
      <c r="O8726" t="n">
        <v>0</v>
      </c>
      <c r="P8726" t="n">
        <v>0</v>
      </c>
      <c r="Q8726" t="n">
        <v>0</v>
      </c>
      <c r="R8726" t="n">
        <v>0</v>
      </c>
      <c r="S8726" t="n">
        <v>0</v>
      </c>
      <c r="T8726" t="n">
        <v>0</v>
      </c>
      <c r="U8726" t="n">
        <v>0</v>
      </c>
      <c r="V8726" s="2" t="inlineStr"/>
    </row>
    <row r="8727" ht="15" customHeight="1">
      <c r="A8727" t="inlineStr">
        <is>
          <t>A 26845-2026</t>
        </is>
      </c>
      <c r="B8727" t="inlineStr">
        <is>
          <t>avverkningsanmälan</t>
        </is>
      </c>
      <c r="C8727" t="inlineStr">
        <is>
          <t>Föryngringsavverkning</t>
        </is>
      </c>
      <c r="D8727" s="1" t="n">
        <v>46185</v>
      </c>
      <c r="E8727" s="1" t="n">
        <v>46326</v>
      </c>
      <c r="F8727" t="inlineStr">
        <is>
          <t>GÄVLEBORGS LÄN</t>
        </is>
      </c>
      <c r="G8727" t="inlineStr">
        <is>
          <t>OCKELBO</t>
        </is>
      </c>
      <c r="I8727" t="n">
        <v>3.4</v>
      </c>
      <c r="J8727" t="n">
        <v>0</v>
      </c>
      <c r="K8727" t="n">
        <v>0</v>
      </c>
      <c r="L8727" t="n">
        <v>0</v>
      </c>
      <c r="M8727" t="n">
        <v>0</v>
      </c>
      <c r="N8727" t="n">
        <v>0</v>
      </c>
      <c r="O8727" t="n">
        <v>0</v>
      </c>
      <c r="P8727" t="n">
        <v>0</v>
      </c>
      <c r="Q8727" t="n">
        <v>0</v>
      </c>
      <c r="R8727" t="n">
        <v>0</v>
      </c>
      <c r="S8727" t="n">
        <v>0</v>
      </c>
      <c r="T8727" t="n">
        <v>0</v>
      </c>
      <c r="U8727" t="n">
        <v>0</v>
      </c>
      <c r="V8727" s="2" t="inlineStr"/>
    </row>
    <row r="8728" ht="15" customHeight="1">
      <c r="A8728" t="inlineStr">
        <is>
          <t>A 26803-2026</t>
        </is>
      </c>
      <c r="B8728" t="inlineStr">
        <is>
          <t>avverkningsanmälan</t>
        </is>
      </c>
      <c r="C8728" t="inlineStr">
        <is>
          <t>Föryngringsavverkning</t>
        </is>
      </c>
      <c r="D8728" s="1" t="n">
        <v>46185</v>
      </c>
      <c r="E8728" s="1" t="n">
        <v>46326</v>
      </c>
      <c r="F8728" t="inlineStr">
        <is>
          <t>GÄVLEBORGS LÄN</t>
        </is>
      </c>
      <c r="G8728" t="inlineStr">
        <is>
          <t>HUDIKSVALL</t>
        </is>
      </c>
      <c r="I8728" t="n">
        <v>0.9</v>
      </c>
      <c r="J8728" t="n">
        <v>0</v>
      </c>
      <c r="K8728" t="n">
        <v>0</v>
      </c>
      <c r="L8728" t="n">
        <v>0</v>
      </c>
      <c r="M8728" t="n">
        <v>0</v>
      </c>
      <c r="N8728" t="n">
        <v>0</v>
      </c>
      <c r="O8728" t="n">
        <v>0</v>
      </c>
      <c r="P8728" t="n">
        <v>0</v>
      </c>
      <c r="Q8728" t="n">
        <v>0</v>
      </c>
      <c r="R8728" t="n">
        <v>0</v>
      </c>
      <c r="S8728" t="n">
        <v>0</v>
      </c>
      <c r="T8728" t="n">
        <v>0</v>
      </c>
      <c r="U8728" t="n">
        <v>0</v>
      </c>
      <c r="V8728" s="2" t="inlineStr"/>
    </row>
    <row r="8729" ht="15" customHeight="1">
      <c r="A8729" t="inlineStr">
        <is>
          <t>A 48757-2024</t>
        </is>
      </c>
      <c r="B8729" t="inlineStr">
        <is>
          <t>avverkningsanmälan</t>
        </is>
      </c>
      <c r="C8729" t="inlineStr">
        <is>
          <t>Föryngringsavverkning</t>
        </is>
      </c>
      <c r="D8729" s="1" t="n">
        <v>45593</v>
      </c>
      <c r="E8729" s="1" t="n">
        <v>46326</v>
      </c>
      <c r="F8729" t="inlineStr">
        <is>
          <t>GÄVLEBORGS LÄN</t>
        </is>
      </c>
      <c r="G8729" t="inlineStr">
        <is>
          <t>OVANÅKER</t>
        </is>
      </c>
      <c r="I8729" t="n">
        <v>0.6</v>
      </c>
      <c r="J8729" t="n">
        <v>0</v>
      </c>
      <c r="K8729" t="n">
        <v>0</v>
      </c>
      <c r="L8729" t="n">
        <v>0</v>
      </c>
      <c r="M8729" t="n">
        <v>0</v>
      </c>
      <c r="N8729" t="n">
        <v>0</v>
      </c>
      <c r="O8729" t="n">
        <v>0</v>
      </c>
      <c r="P8729" t="n">
        <v>0</v>
      </c>
      <c r="Q8729" t="n">
        <v>0</v>
      </c>
      <c r="R8729" t="n">
        <v>0</v>
      </c>
      <c r="S8729" t="n">
        <v>0</v>
      </c>
      <c r="T8729" t="n">
        <v>0</v>
      </c>
      <c r="U8729" t="n">
        <v>0</v>
      </c>
      <c r="V8729" s="2" t="inlineStr"/>
    </row>
    <row r="8730" ht="15" customHeight="1">
      <c r="A8730" t="inlineStr">
        <is>
          <t>A 43799-2022</t>
        </is>
      </c>
      <c r="B8730" t="inlineStr">
        <is>
          <t>avverkningsanmälan</t>
        </is>
      </c>
      <c r="C8730" t="inlineStr">
        <is>
          <t>Föryngringsavverkning</t>
        </is>
      </c>
      <c r="D8730" s="1" t="n">
        <v>44838</v>
      </c>
      <c r="E8730" s="1" t="n">
        <v>46326</v>
      </c>
      <c r="F8730" t="inlineStr">
        <is>
          <t>GÄVLEBORGS LÄN</t>
        </is>
      </c>
      <c r="G8730" t="inlineStr">
        <is>
          <t>OCKELBO</t>
        </is>
      </c>
      <c r="I8730" t="n">
        <v>3.7</v>
      </c>
      <c r="J8730" t="n">
        <v>0</v>
      </c>
      <c r="K8730" t="n">
        <v>0</v>
      </c>
      <c r="L8730" t="n">
        <v>0</v>
      </c>
      <c r="M8730" t="n">
        <v>0</v>
      </c>
      <c r="N8730" t="n">
        <v>0</v>
      </c>
      <c r="O8730" t="n">
        <v>0</v>
      </c>
      <c r="P8730" t="n">
        <v>0</v>
      </c>
      <c r="Q8730" t="n">
        <v>0</v>
      </c>
      <c r="R8730" t="n">
        <v>0</v>
      </c>
      <c r="S8730" t="n">
        <v>0</v>
      </c>
      <c r="T8730" t="n">
        <v>0</v>
      </c>
      <c r="U8730" t="n">
        <v>0</v>
      </c>
      <c r="V8730" s="2" t="inlineStr"/>
    </row>
    <row r="8731" ht="15" customHeight="1">
      <c r="A8731" t="inlineStr">
        <is>
          <t>A 27359-2026</t>
        </is>
      </c>
      <c r="B8731" t="inlineStr">
        <is>
          <t>avverkningsanmälan</t>
        </is>
      </c>
      <c r="C8731" t="inlineStr">
        <is>
          <t>Föryngringsavverkning</t>
        </is>
      </c>
      <c r="D8731" s="1" t="n">
        <v>46188</v>
      </c>
      <c r="E8731" s="1" t="n">
        <v>46326</v>
      </c>
      <c r="F8731" t="inlineStr">
        <is>
          <t>GÄVLEBORGS LÄN</t>
        </is>
      </c>
      <c r="G8731" t="inlineStr">
        <is>
          <t>GÄVLE</t>
        </is>
      </c>
      <c r="H8731" t="inlineStr">
        <is>
          <t>Bergvik skog öst AB</t>
        </is>
      </c>
      <c r="I8731" t="n">
        <v>3.7</v>
      </c>
      <c r="J8731" t="n">
        <v>0</v>
      </c>
      <c r="K8731" t="n">
        <v>0</v>
      </c>
      <c r="L8731" t="n">
        <v>0</v>
      </c>
      <c r="M8731" t="n">
        <v>0</v>
      </c>
      <c r="N8731" t="n">
        <v>0</v>
      </c>
      <c r="O8731" t="n">
        <v>0</v>
      </c>
      <c r="P8731" t="n">
        <v>0</v>
      </c>
      <c r="Q8731" t="n">
        <v>0</v>
      </c>
      <c r="R8731" t="n">
        <v>0</v>
      </c>
      <c r="S8731" t="n">
        <v>0</v>
      </c>
      <c r="T8731" t="n">
        <v>0</v>
      </c>
      <c r="U8731" t="n">
        <v>0</v>
      </c>
      <c r="V8731" s="2" t="inlineStr"/>
    </row>
    <row r="8732" ht="15" customHeight="1">
      <c r="A8732" t="inlineStr">
        <is>
          <t>A 27360-2026</t>
        </is>
      </c>
      <c r="B8732" t="inlineStr">
        <is>
          <t>avverkningsanmälan</t>
        </is>
      </c>
      <c r="C8732" t="inlineStr">
        <is>
          <t>Föryngringsavverkning</t>
        </is>
      </c>
      <c r="D8732" s="1" t="n">
        <v>46188</v>
      </c>
      <c r="E8732" s="1" t="n">
        <v>46326</v>
      </c>
      <c r="F8732" t="inlineStr">
        <is>
          <t>GÄVLEBORGS LÄN</t>
        </is>
      </c>
      <c r="G8732" t="inlineStr">
        <is>
          <t>GÄVLE</t>
        </is>
      </c>
      <c r="H8732" t="inlineStr">
        <is>
          <t>Bergvik skog öst AB</t>
        </is>
      </c>
      <c r="I8732" t="n">
        <v>2.6</v>
      </c>
      <c r="J8732" t="n">
        <v>0</v>
      </c>
      <c r="K8732" t="n">
        <v>0</v>
      </c>
      <c r="L8732" t="n">
        <v>0</v>
      </c>
      <c r="M8732" t="n">
        <v>0</v>
      </c>
      <c r="N8732" t="n">
        <v>0</v>
      </c>
      <c r="O8732" t="n">
        <v>0</v>
      </c>
      <c r="P8732" t="n">
        <v>0</v>
      </c>
      <c r="Q8732" t="n">
        <v>0</v>
      </c>
      <c r="R8732" t="n">
        <v>0</v>
      </c>
      <c r="S8732" t="n">
        <v>0</v>
      </c>
      <c r="T8732" t="n">
        <v>0</v>
      </c>
      <c r="U8732" t="n">
        <v>0</v>
      </c>
      <c r="V8732" s="2" t="inlineStr"/>
    </row>
    <row r="8733" ht="15" customHeight="1">
      <c r="A8733" t="inlineStr">
        <is>
          <t>A 617-2025</t>
        </is>
      </c>
      <c r="B8733" t="inlineStr">
        <is>
          <t>avverkningsanmälan</t>
        </is>
      </c>
      <c r="C8733" t="inlineStr">
        <is>
          <t>Föryngringsavverkning</t>
        </is>
      </c>
      <c r="D8733" s="1" t="n">
        <v>45664</v>
      </c>
      <c r="E8733" s="1" t="n">
        <v>46326</v>
      </c>
      <c r="F8733" t="inlineStr">
        <is>
          <t>GÄVLEBORGS LÄN</t>
        </is>
      </c>
      <c r="G8733" t="inlineStr">
        <is>
          <t>BOLLNÄS</t>
        </is>
      </c>
      <c r="I8733" t="n">
        <v>0.7</v>
      </c>
      <c r="J8733" t="n">
        <v>0</v>
      </c>
      <c r="K8733" t="n">
        <v>0</v>
      </c>
      <c r="L8733" t="n">
        <v>0</v>
      </c>
      <c r="M8733" t="n">
        <v>0</v>
      </c>
      <c r="N8733" t="n">
        <v>0</v>
      </c>
      <c r="O8733" t="n">
        <v>0</v>
      </c>
      <c r="P8733" t="n">
        <v>0</v>
      </c>
      <c r="Q8733" t="n">
        <v>0</v>
      </c>
      <c r="R8733" t="n">
        <v>0</v>
      </c>
      <c r="S8733" t="n">
        <v>0</v>
      </c>
      <c r="T8733" t="n">
        <v>0</v>
      </c>
      <c r="U8733" t="n">
        <v>0</v>
      </c>
      <c r="V8733" s="2" t="inlineStr"/>
    </row>
    <row r="8734" ht="15" customHeight="1">
      <c r="A8734" t="inlineStr">
        <is>
          <t>A 45289-2023</t>
        </is>
      </c>
      <c r="B8734" t="inlineStr">
        <is>
          <t>avverkningsanmälan</t>
        </is>
      </c>
      <c r="C8734" t="inlineStr">
        <is>
          <t>Föryngringsavverkning</t>
        </is>
      </c>
      <c r="D8734" s="1" t="n">
        <v>45191</v>
      </c>
      <c r="E8734" s="1" t="n">
        <v>46326</v>
      </c>
      <c r="F8734" t="inlineStr">
        <is>
          <t>GÄVLEBORGS LÄN</t>
        </is>
      </c>
      <c r="G8734" t="inlineStr">
        <is>
          <t>LJUSDAL</t>
        </is>
      </c>
      <c r="I8734" t="n">
        <v>2.2</v>
      </c>
      <c r="J8734" t="n">
        <v>0</v>
      </c>
      <c r="K8734" t="n">
        <v>0</v>
      </c>
      <c r="L8734" t="n">
        <v>0</v>
      </c>
      <c r="M8734" t="n">
        <v>0</v>
      </c>
      <c r="N8734" t="n">
        <v>0</v>
      </c>
      <c r="O8734" t="n">
        <v>0</v>
      </c>
      <c r="P8734" t="n">
        <v>0</v>
      </c>
      <c r="Q8734" t="n">
        <v>0</v>
      </c>
      <c r="R8734" t="n">
        <v>0</v>
      </c>
      <c r="S8734" t="n">
        <v>0</v>
      </c>
      <c r="T8734" t="n">
        <v>0</v>
      </c>
      <c r="U8734" t="n">
        <v>0</v>
      </c>
      <c r="V8734" s="2" t="inlineStr"/>
    </row>
    <row r="8735" ht="15" customHeight="1">
      <c r="A8735" t="inlineStr">
        <is>
          <t>A 27111-2026</t>
        </is>
      </c>
      <c r="B8735" t="inlineStr">
        <is>
          <t>avverkningsanmälan</t>
        </is>
      </c>
      <c r="C8735" t="inlineStr">
        <is>
          <t>Föryngringsavverkning</t>
        </is>
      </c>
      <c r="D8735" s="1" t="n">
        <v>46188</v>
      </c>
      <c r="E8735" s="1" t="n">
        <v>46326</v>
      </c>
      <c r="F8735" t="inlineStr">
        <is>
          <t>GÄVLEBORGS LÄN</t>
        </is>
      </c>
      <c r="G8735" t="inlineStr">
        <is>
          <t>OVANÅKER</t>
        </is>
      </c>
      <c r="I8735" t="n">
        <v>0.7</v>
      </c>
      <c r="J8735" t="n">
        <v>0</v>
      </c>
      <c r="K8735" t="n">
        <v>0</v>
      </c>
      <c r="L8735" t="n">
        <v>0</v>
      </c>
      <c r="M8735" t="n">
        <v>0</v>
      </c>
      <c r="N8735" t="n">
        <v>0</v>
      </c>
      <c r="O8735" t="n">
        <v>0</v>
      </c>
      <c r="P8735" t="n">
        <v>0</v>
      </c>
      <c r="Q8735" t="n">
        <v>0</v>
      </c>
      <c r="R8735" t="n">
        <v>0</v>
      </c>
      <c r="S8735" t="n">
        <v>0</v>
      </c>
      <c r="T8735" t="n">
        <v>0</v>
      </c>
      <c r="U8735" t="n">
        <v>0</v>
      </c>
      <c r="V8735" s="2" t="inlineStr"/>
    </row>
    <row r="8736" ht="15" customHeight="1">
      <c r="A8736" t="inlineStr">
        <is>
          <t>A 26885-2026</t>
        </is>
      </c>
      <c r="B8736" t="inlineStr">
        <is>
          <t>avverkningsanmälan</t>
        </is>
      </c>
      <c r="C8736" t="inlineStr">
        <is>
          <t>Föryngringsavverkning</t>
        </is>
      </c>
      <c r="D8736" s="1" t="n">
        <v>46185</v>
      </c>
      <c r="E8736" s="1" t="n">
        <v>46326</v>
      </c>
      <c r="F8736" t="inlineStr">
        <is>
          <t>GÄVLEBORGS LÄN</t>
        </is>
      </c>
      <c r="G8736" t="inlineStr">
        <is>
          <t>GÄVLE</t>
        </is>
      </c>
      <c r="H8736" t="inlineStr">
        <is>
          <t>Bergvik skog öst AB</t>
        </is>
      </c>
      <c r="I8736" t="n">
        <v>0.9</v>
      </c>
      <c r="J8736" t="n">
        <v>0</v>
      </c>
      <c r="K8736" t="n">
        <v>0</v>
      </c>
      <c r="L8736" t="n">
        <v>0</v>
      </c>
      <c r="M8736" t="n">
        <v>0</v>
      </c>
      <c r="N8736" t="n">
        <v>0</v>
      </c>
      <c r="O8736" t="n">
        <v>0</v>
      </c>
      <c r="P8736" t="n">
        <v>0</v>
      </c>
      <c r="Q8736" t="n">
        <v>0</v>
      </c>
      <c r="R8736" t="n">
        <v>0</v>
      </c>
      <c r="S8736" t="n">
        <v>0</v>
      </c>
      <c r="T8736" t="n">
        <v>0</v>
      </c>
      <c r="U8736" t="n">
        <v>0</v>
      </c>
      <c r="V8736" s="2" t="inlineStr"/>
    </row>
    <row r="8737" ht="15" customHeight="1">
      <c r="A8737" t="inlineStr">
        <is>
          <t>A 26942-2026</t>
        </is>
      </c>
      <c r="B8737" t="inlineStr">
        <is>
          <t>avverkningsanmälan</t>
        </is>
      </c>
      <c r="C8737" t="inlineStr">
        <is>
          <t>Föryngringsavverkning</t>
        </is>
      </c>
      <c r="D8737" s="1" t="n">
        <v>46185</v>
      </c>
      <c r="E8737" s="1" t="n">
        <v>46326</v>
      </c>
      <c r="F8737" t="inlineStr">
        <is>
          <t>GÄVLEBORGS LÄN</t>
        </is>
      </c>
      <c r="G8737" t="inlineStr">
        <is>
          <t>GÄVLE</t>
        </is>
      </c>
      <c r="H8737" t="inlineStr">
        <is>
          <t>Bergvik skog väst AB</t>
        </is>
      </c>
      <c r="I8737" t="n">
        <v>0.9</v>
      </c>
      <c r="J8737" t="n">
        <v>0</v>
      </c>
      <c r="K8737" t="n">
        <v>0</v>
      </c>
      <c r="L8737" t="n">
        <v>0</v>
      </c>
      <c r="M8737" t="n">
        <v>0</v>
      </c>
      <c r="N8737" t="n">
        <v>0</v>
      </c>
      <c r="O8737" t="n">
        <v>0</v>
      </c>
      <c r="P8737" t="n">
        <v>0</v>
      </c>
      <c r="Q8737" t="n">
        <v>0</v>
      </c>
      <c r="R8737" t="n">
        <v>0</v>
      </c>
      <c r="S8737" t="n">
        <v>0</v>
      </c>
      <c r="T8737" t="n">
        <v>0</v>
      </c>
      <c r="U8737" t="n">
        <v>0</v>
      </c>
      <c r="V8737" s="2" t="inlineStr"/>
    </row>
    <row r="8738" ht="15" customHeight="1">
      <c r="A8738" t="inlineStr">
        <is>
          <t>A 26838-2026</t>
        </is>
      </c>
      <c r="B8738" t="inlineStr">
        <is>
          <t>avverkningsanmälan</t>
        </is>
      </c>
      <c r="C8738" t="inlineStr">
        <is>
          <t>Föryngringsavverkning</t>
        </is>
      </c>
      <c r="D8738" s="1" t="n">
        <v>46185</v>
      </c>
      <c r="E8738" s="1" t="n">
        <v>46326</v>
      </c>
      <c r="F8738" t="inlineStr">
        <is>
          <t>GÄVLEBORGS LÄN</t>
        </is>
      </c>
      <c r="G8738" t="inlineStr">
        <is>
          <t>NORDANSTIG</t>
        </is>
      </c>
      <c r="H8738" t="inlineStr">
        <is>
          <t>SCA</t>
        </is>
      </c>
      <c r="I8738" t="n">
        <v>0.6</v>
      </c>
      <c r="J8738" t="n">
        <v>0</v>
      </c>
      <c r="K8738" t="n">
        <v>0</v>
      </c>
      <c r="L8738" t="n">
        <v>0</v>
      </c>
      <c r="M8738" t="n">
        <v>0</v>
      </c>
      <c r="N8738" t="n">
        <v>0</v>
      </c>
      <c r="O8738" t="n">
        <v>0</v>
      </c>
      <c r="P8738" t="n">
        <v>0</v>
      </c>
      <c r="Q8738" t="n">
        <v>0</v>
      </c>
      <c r="R8738" t="n">
        <v>0</v>
      </c>
      <c r="S8738" t="n">
        <v>0</v>
      </c>
      <c r="T8738" t="n">
        <v>0</v>
      </c>
      <c r="U8738" t="n">
        <v>0</v>
      </c>
      <c r="V8738" s="2" t="inlineStr"/>
    </row>
    <row r="8739" ht="15" customHeight="1">
      <c r="A8739" t="inlineStr">
        <is>
          <t>A 34664-2022</t>
        </is>
      </c>
      <c r="B8739" t="inlineStr">
        <is>
          <t>avverkningsanmälan</t>
        </is>
      </c>
      <c r="C8739" t="inlineStr">
        <is>
          <t>Föryngringsavverkning</t>
        </is>
      </c>
      <c r="D8739" s="1" t="n">
        <v>44795</v>
      </c>
      <c r="E8739" s="1" t="n">
        <v>46326</v>
      </c>
      <c r="F8739" t="inlineStr">
        <is>
          <t>GÄVLEBORGS LÄN</t>
        </is>
      </c>
      <c r="G8739" t="inlineStr">
        <is>
          <t>HUDIKSVALL</t>
        </is>
      </c>
      <c r="I8739" t="n">
        <v>2.6</v>
      </c>
      <c r="J8739" t="n">
        <v>0</v>
      </c>
      <c r="K8739" t="n">
        <v>0</v>
      </c>
      <c r="L8739" t="n">
        <v>0</v>
      </c>
      <c r="M8739" t="n">
        <v>0</v>
      </c>
      <c r="N8739" t="n">
        <v>0</v>
      </c>
      <c r="O8739" t="n">
        <v>0</v>
      </c>
      <c r="P8739" t="n">
        <v>0</v>
      </c>
      <c r="Q8739" t="n">
        <v>0</v>
      </c>
      <c r="R8739" t="n">
        <v>0</v>
      </c>
      <c r="S8739" t="n">
        <v>0</v>
      </c>
      <c r="T8739" t="n">
        <v>0</v>
      </c>
      <c r="U8739" t="n">
        <v>0</v>
      </c>
      <c r="V8739" s="2" t="inlineStr"/>
    </row>
    <row r="8740" ht="15" customHeight="1">
      <c r="A8740" t="inlineStr">
        <is>
          <t>A 24834-2024</t>
        </is>
      </c>
      <c r="B8740" t="inlineStr">
        <is>
          <t>avverkningsanmälan</t>
        </is>
      </c>
      <c r="C8740" t="inlineStr">
        <is>
          <t>Föryngringsavverkning</t>
        </is>
      </c>
      <c r="D8740" s="1" t="n">
        <v>45461</v>
      </c>
      <c r="E8740" s="1" t="n">
        <v>46326</v>
      </c>
      <c r="F8740" t="inlineStr">
        <is>
          <t>GÄVLEBORGS LÄN</t>
        </is>
      </c>
      <c r="G8740" t="inlineStr">
        <is>
          <t>HUDIKSVALL</t>
        </is>
      </c>
      <c r="H8740" t="inlineStr">
        <is>
          <t>Holmen skog AB</t>
        </is>
      </c>
      <c r="I8740" t="n">
        <v>3.4</v>
      </c>
      <c r="J8740" t="n">
        <v>0</v>
      </c>
      <c r="K8740" t="n">
        <v>0</v>
      </c>
      <c r="L8740" t="n">
        <v>0</v>
      </c>
      <c r="M8740" t="n">
        <v>0</v>
      </c>
      <c r="N8740" t="n">
        <v>0</v>
      </c>
      <c r="O8740" t="n">
        <v>0</v>
      </c>
      <c r="P8740" t="n">
        <v>0</v>
      </c>
      <c r="Q8740" t="n">
        <v>0</v>
      </c>
      <c r="R8740" t="n">
        <v>0</v>
      </c>
      <c r="S8740" t="n">
        <v>0</v>
      </c>
      <c r="T8740" t="n">
        <v>0</v>
      </c>
      <c r="U8740" t="n">
        <v>0</v>
      </c>
      <c r="V8740" s="2" t="inlineStr"/>
    </row>
    <row r="8741" ht="15" customHeight="1">
      <c r="A8741" t="inlineStr">
        <is>
          <t>A 26977-2026</t>
        </is>
      </c>
      <c r="B8741" t="inlineStr">
        <is>
          <t>avverkningsanmälan</t>
        </is>
      </c>
      <c r="C8741" t="inlineStr">
        <is>
          <t>Föryngringsavverkning</t>
        </is>
      </c>
      <c r="D8741" s="1" t="n">
        <v>46185</v>
      </c>
      <c r="E8741" s="1" t="n">
        <v>46326</v>
      </c>
      <c r="F8741" t="inlineStr">
        <is>
          <t>GÄVLEBORGS LÄN</t>
        </is>
      </c>
      <c r="G8741" t="inlineStr">
        <is>
          <t>BOLLNÄS</t>
        </is>
      </c>
      <c r="I8741" t="n">
        <v>3.4</v>
      </c>
      <c r="J8741" t="n">
        <v>0</v>
      </c>
      <c r="K8741" t="n">
        <v>0</v>
      </c>
      <c r="L8741" t="n">
        <v>0</v>
      </c>
      <c r="M8741" t="n">
        <v>0</v>
      </c>
      <c r="N8741" t="n">
        <v>0</v>
      </c>
      <c r="O8741" t="n">
        <v>0</v>
      </c>
      <c r="P8741" t="n">
        <v>0</v>
      </c>
      <c r="Q8741" t="n">
        <v>0</v>
      </c>
      <c r="R8741" t="n">
        <v>0</v>
      </c>
      <c r="S8741" t="n">
        <v>0</v>
      </c>
      <c r="T8741" t="n">
        <v>0</v>
      </c>
      <c r="U8741" t="n">
        <v>0</v>
      </c>
      <c r="V8741" s="2" t="inlineStr"/>
    </row>
    <row r="8742" ht="15" customHeight="1">
      <c r="A8742" t="inlineStr">
        <is>
          <t>A 18802-2025</t>
        </is>
      </c>
      <c r="B8742" t="inlineStr">
        <is>
          <t>avverkningsanmälan</t>
        </is>
      </c>
      <c r="C8742" t="inlineStr">
        <is>
          <t>Föryngringsavverkning</t>
        </is>
      </c>
      <c r="D8742" s="1" t="n">
        <v>45764</v>
      </c>
      <c r="E8742" s="1" t="n">
        <v>46326</v>
      </c>
      <c r="F8742" t="inlineStr">
        <is>
          <t>GÄVLEBORGS LÄN</t>
        </is>
      </c>
      <c r="G8742" t="inlineStr">
        <is>
          <t>LJUSDAL</t>
        </is>
      </c>
      <c r="H8742" t="inlineStr">
        <is>
          <t>Sveaskog</t>
        </is>
      </c>
      <c r="I8742" t="n">
        <v>13.1</v>
      </c>
      <c r="J8742" t="n">
        <v>0</v>
      </c>
      <c r="K8742" t="n">
        <v>0</v>
      </c>
      <c r="L8742" t="n">
        <v>0</v>
      </c>
      <c r="M8742" t="n">
        <v>0</v>
      </c>
      <c r="N8742" t="n">
        <v>0</v>
      </c>
      <c r="O8742" t="n">
        <v>0</v>
      </c>
      <c r="P8742" t="n">
        <v>0</v>
      </c>
      <c r="Q8742" t="n">
        <v>0</v>
      </c>
      <c r="R8742" t="n">
        <v>0</v>
      </c>
      <c r="S8742" t="n">
        <v>0</v>
      </c>
      <c r="T8742" t="n">
        <v>0</v>
      </c>
      <c r="U8742" t="n">
        <v>0</v>
      </c>
      <c r="V8742" s="2" t="inlineStr"/>
    </row>
    <row r="8743" ht="15" customHeight="1">
      <c r="A8743" t="inlineStr">
        <is>
          <t>A 27171-2026</t>
        </is>
      </c>
      <c r="B8743" t="inlineStr">
        <is>
          <t>avverkningsanmälan</t>
        </is>
      </c>
      <c r="C8743" t="inlineStr">
        <is>
          <t>Föryngringsavverkning</t>
        </is>
      </c>
      <c r="D8743" s="1" t="n">
        <v>46188</v>
      </c>
      <c r="E8743" s="1" t="n">
        <v>46326</v>
      </c>
      <c r="F8743" t="inlineStr">
        <is>
          <t>GÄVLEBORGS LÄN</t>
        </is>
      </c>
      <c r="G8743" t="inlineStr">
        <is>
          <t>HUDIKSVALL</t>
        </is>
      </c>
      <c r="I8743" t="n">
        <v>1.4</v>
      </c>
      <c r="J8743" t="n">
        <v>0</v>
      </c>
      <c r="K8743" t="n">
        <v>0</v>
      </c>
      <c r="L8743" t="n">
        <v>0</v>
      </c>
      <c r="M8743" t="n">
        <v>0</v>
      </c>
      <c r="N8743" t="n">
        <v>0</v>
      </c>
      <c r="O8743" t="n">
        <v>0</v>
      </c>
      <c r="P8743" t="n">
        <v>0</v>
      </c>
      <c r="Q8743" t="n">
        <v>0</v>
      </c>
      <c r="R8743" t="n">
        <v>0</v>
      </c>
      <c r="S8743" t="n">
        <v>0</v>
      </c>
      <c r="T8743" t="n">
        <v>0</v>
      </c>
      <c r="U8743" t="n">
        <v>0</v>
      </c>
      <c r="V8743" s="2" t="inlineStr"/>
    </row>
    <row r="8744" ht="15" customHeight="1">
      <c r="A8744" t="inlineStr">
        <is>
          <t>A 27236-2026</t>
        </is>
      </c>
      <c r="B8744" t="inlineStr">
        <is>
          <t>avverkningsanmälan</t>
        </is>
      </c>
      <c r="C8744" t="inlineStr">
        <is>
          <t>Föryngringsavverkning</t>
        </is>
      </c>
      <c r="D8744" s="1" t="n">
        <v>46188</v>
      </c>
      <c r="E8744" s="1" t="n">
        <v>46326</v>
      </c>
      <c r="F8744" t="inlineStr">
        <is>
          <t>GÄVLEBORGS LÄN</t>
        </is>
      </c>
      <c r="G8744" t="inlineStr">
        <is>
          <t>NORDANSTIG</t>
        </is>
      </c>
      <c r="I8744" t="n">
        <v>1.1</v>
      </c>
      <c r="J8744" t="n">
        <v>0</v>
      </c>
      <c r="K8744" t="n">
        <v>0</v>
      </c>
      <c r="L8744" t="n">
        <v>0</v>
      </c>
      <c r="M8744" t="n">
        <v>0</v>
      </c>
      <c r="N8744" t="n">
        <v>0</v>
      </c>
      <c r="O8744" t="n">
        <v>0</v>
      </c>
      <c r="P8744" t="n">
        <v>0</v>
      </c>
      <c r="Q8744" t="n">
        <v>0</v>
      </c>
      <c r="R8744" t="n">
        <v>0</v>
      </c>
      <c r="S8744" t="n">
        <v>0</v>
      </c>
      <c r="T8744" t="n">
        <v>0</v>
      </c>
      <c r="U8744" t="n">
        <v>0</v>
      </c>
      <c r="V8744" s="2" t="inlineStr"/>
    </row>
    <row r="8745" ht="15" customHeight="1">
      <c r="A8745" t="inlineStr">
        <is>
          <t>A 11075-2023</t>
        </is>
      </c>
      <c r="B8745" t="inlineStr">
        <is>
          <t>avverkningsanmälan</t>
        </is>
      </c>
      <c r="C8745" t="inlineStr">
        <is>
          <t>Avverkning för annat ändamål</t>
        </is>
      </c>
      <c r="D8745" s="1" t="n">
        <v>44992</v>
      </c>
      <c r="E8745" s="1" t="n">
        <v>46326</v>
      </c>
      <c r="F8745" t="inlineStr">
        <is>
          <t>GÄVLEBORGS LÄN</t>
        </is>
      </c>
      <c r="G8745" t="inlineStr">
        <is>
          <t>SÖDERHAMN</t>
        </is>
      </c>
      <c r="I8745" t="n">
        <v>0.4</v>
      </c>
      <c r="J8745" t="n">
        <v>0</v>
      </c>
      <c r="K8745" t="n">
        <v>0</v>
      </c>
      <c r="L8745" t="n">
        <v>0</v>
      </c>
      <c r="M8745" t="n">
        <v>0</v>
      </c>
      <c r="N8745" t="n">
        <v>0</v>
      </c>
      <c r="O8745" t="n">
        <v>0</v>
      </c>
      <c r="P8745" t="n">
        <v>0</v>
      </c>
      <c r="Q8745" t="n">
        <v>0</v>
      </c>
      <c r="R8745" t="n">
        <v>0</v>
      </c>
      <c r="S8745" t="n">
        <v>0</v>
      </c>
      <c r="T8745" t="n">
        <v>0</v>
      </c>
      <c r="U8745" t="n">
        <v>0</v>
      </c>
      <c r="V8745" s="2" t="inlineStr"/>
    </row>
    <row r="8746" ht="15" customHeight="1">
      <c r="A8746" t="inlineStr">
        <is>
          <t>A 11082-2023</t>
        </is>
      </c>
      <c r="B8746" t="inlineStr">
        <is>
          <t>avverkningsanmälan</t>
        </is>
      </c>
      <c r="C8746" t="inlineStr">
        <is>
          <t>Föryngringsavverkning</t>
        </is>
      </c>
      <c r="D8746" s="1" t="n">
        <v>44992</v>
      </c>
      <c r="E8746" s="1" t="n">
        <v>46326</v>
      </c>
      <c r="F8746" t="inlineStr">
        <is>
          <t>GÄVLEBORGS LÄN</t>
        </is>
      </c>
      <c r="G8746" t="inlineStr">
        <is>
          <t>HUDIKSVALL</t>
        </is>
      </c>
      <c r="I8746" t="n">
        <v>1.1</v>
      </c>
      <c r="J8746" t="n">
        <v>0</v>
      </c>
      <c r="K8746" t="n">
        <v>0</v>
      </c>
      <c r="L8746" t="n">
        <v>0</v>
      </c>
      <c r="M8746" t="n">
        <v>0</v>
      </c>
      <c r="N8746" t="n">
        <v>0</v>
      </c>
      <c r="O8746" t="n">
        <v>0</v>
      </c>
      <c r="P8746" t="n">
        <v>0</v>
      </c>
      <c r="Q8746" t="n">
        <v>0</v>
      </c>
      <c r="R8746" t="n">
        <v>0</v>
      </c>
      <c r="S8746" t="n">
        <v>0</v>
      </c>
      <c r="T8746" t="n">
        <v>0</v>
      </c>
      <c r="U8746" t="n">
        <v>0</v>
      </c>
      <c r="V8746" s="2" t="inlineStr"/>
    </row>
    <row r="8747" ht="15" customHeight="1">
      <c r="A8747" t="inlineStr">
        <is>
          <t>A 27326-2026</t>
        </is>
      </c>
      <c r="B8747" t="inlineStr">
        <is>
          <t>avverkningsanmälan</t>
        </is>
      </c>
      <c r="C8747" t="inlineStr">
        <is>
          <t>Föryngringsavverkning</t>
        </is>
      </c>
      <c r="D8747" s="1" t="n">
        <v>46188</v>
      </c>
      <c r="E8747" s="1" t="n">
        <v>46326</v>
      </c>
      <c r="F8747" t="inlineStr">
        <is>
          <t>GÄVLEBORGS LÄN</t>
        </is>
      </c>
      <c r="G8747" t="inlineStr">
        <is>
          <t>BOLLNÄS</t>
        </is>
      </c>
      <c r="I8747" t="n">
        <v>0.6</v>
      </c>
      <c r="J8747" t="n">
        <v>0</v>
      </c>
      <c r="K8747" t="n">
        <v>0</v>
      </c>
      <c r="L8747" t="n">
        <v>0</v>
      </c>
      <c r="M8747" t="n">
        <v>0</v>
      </c>
      <c r="N8747" t="n">
        <v>0</v>
      </c>
      <c r="O8747" t="n">
        <v>0</v>
      </c>
      <c r="P8747" t="n">
        <v>0</v>
      </c>
      <c r="Q8747" t="n">
        <v>0</v>
      </c>
      <c r="R8747" t="n">
        <v>0</v>
      </c>
      <c r="S8747" t="n">
        <v>0</v>
      </c>
      <c r="T8747" t="n">
        <v>0</v>
      </c>
      <c r="U8747" t="n">
        <v>0</v>
      </c>
      <c r="V8747" s="2" t="inlineStr"/>
    </row>
    <row r="8748" ht="15" customHeight="1">
      <c r="A8748" t="inlineStr">
        <is>
          <t>A 27037-2026</t>
        </is>
      </c>
      <c r="B8748" t="inlineStr">
        <is>
          <t>avverkningsanmälan</t>
        </is>
      </c>
      <c r="C8748" t="inlineStr">
        <is>
          <t>Föryngringsavverkning</t>
        </is>
      </c>
      <c r="D8748" s="1" t="n">
        <v>46185</v>
      </c>
      <c r="E8748" s="1" t="n">
        <v>46326</v>
      </c>
      <c r="F8748" t="inlineStr">
        <is>
          <t>GÄVLEBORGS LÄN</t>
        </is>
      </c>
      <c r="G8748" t="inlineStr">
        <is>
          <t>BOLLNÄS</t>
        </is>
      </c>
      <c r="I8748" t="n">
        <v>0.8</v>
      </c>
      <c r="J8748" t="n">
        <v>0</v>
      </c>
      <c r="K8748" t="n">
        <v>0</v>
      </c>
      <c r="L8748" t="n">
        <v>0</v>
      </c>
      <c r="M8748" t="n">
        <v>0</v>
      </c>
      <c r="N8748" t="n">
        <v>0</v>
      </c>
      <c r="O8748" t="n">
        <v>0</v>
      </c>
      <c r="P8748" t="n">
        <v>0</v>
      </c>
      <c r="Q8748" t="n">
        <v>0</v>
      </c>
      <c r="R8748" t="n">
        <v>0</v>
      </c>
      <c r="S8748" t="n">
        <v>0</v>
      </c>
      <c r="T8748" t="n">
        <v>0</v>
      </c>
      <c r="U8748" t="n">
        <v>0</v>
      </c>
      <c r="V8748" s="2" t="inlineStr"/>
    </row>
    <row r="8749" ht="15" customHeight="1">
      <c r="A8749" t="inlineStr">
        <is>
          <t>A 27055-2026</t>
        </is>
      </c>
      <c r="B8749" t="inlineStr">
        <is>
          <t>avverkningsanmälan</t>
        </is>
      </c>
      <c r="C8749" t="inlineStr">
        <is>
          <t>Föryngringsavverkning</t>
        </is>
      </c>
      <c r="D8749" s="1" t="n">
        <v>46185</v>
      </c>
      <c r="E8749" s="1" t="n">
        <v>46326</v>
      </c>
      <c r="F8749" t="inlineStr">
        <is>
          <t>GÄVLEBORGS LÄN</t>
        </is>
      </c>
      <c r="G8749" t="inlineStr">
        <is>
          <t>GÄVLE</t>
        </is>
      </c>
      <c r="H8749" t="inlineStr">
        <is>
          <t>Bergvik skog öst AB</t>
        </is>
      </c>
      <c r="I8749" t="n">
        <v>2.2</v>
      </c>
      <c r="J8749" t="n">
        <v>0</v>
      </c>
      <c r="K8749" t="n">
        <v>0</v>
      </c>
      <c r="L8749" t="n">
        <v>0</v>
      </c>
      <c r="M8749" t="n">
        <v>0</v>
      </c>
      <c r="N8749" t="n">
        <v>0</v>
      </c>
      <c r="O8749" t="n">
        <v>0</v>
      </c>
      <c r="P8749" t="n">
        <v>0</v>
      </c>
      <c r="Q8749" t="n">
        <v>0</v>
      </c>
      <c r="R8749" t="n">
        <v>0</v>
      </c>
      <c r="S8749" t="n">
        <v>0</v>
      </c>
      <c r="T8749" t="n">
        <v>0</v>
      </c>
      <c r="U8749" t="n">
        <v>0</v>
      </c>
      <c r="V8749" s="2" t="inlineStr"/>
    </row>
    <row r="8750" ht="15" customHeight="1">
      <c r="A8750" t="inlineStr">
        <is>
          <t>A 27059-2026</t>
        </is>
      </c>
      <c r="B8750" t="inlineStr">
        <is>
          <t>avverkningsanmälan</t>
        </is>
      </c>
      <c r="C8750" t="inlineStr">
        <is>
          <t>Föryngringsavverkning</t>
        </is>
      </c>
      <c r="D8750" s="1" t="n">
        <v>46185</v>
      </c>
      <c r="E8750" s="1" t="n">
        <v>46326</v>
      </c>
      <c r="F8750" t="inlineStr">
        <is>
          <t>GÄVLEBORGS LÄN</t>
        </is>
      </c>
      <c r="G8750" t="inlineStr">
        <is>
          <t>GÄVLE</t>
        </is>
      </c>
      <c r="H8750" t="inlineStr">
        <is>
          <t>Bergvik skog öst AB</t>
        </is>
      </c>
      <c r="I8750" t="n">
        <v>3.2</v>
      </c>
      <c r="J8750" t="n">
        <v>0</v>
      </c>
      <c r="K8750" t="n">
        <v>0</v>
      </c>
      <c r="L8750" t="n">
        <v>0</v>
      </c>
      <c r="M8750" t="n">
        <v>0</v>
      </c>
      <c r="N8750" t="n">
        <v>0</v>
      </c>
      <c r="O8750" t="n">
        <v>0</v>
      </c>
      <c r="P8750" t="n">
        <v>0</v>
      </c>
      <c r="Q8750" t="n">
        <v>0</v>
      </c>
      <c r="R8750" t="n">
        <v>0</v>
      </c>
      <c r="S8750" t="n">
        <v>0</v>
      </c>
      <c r="T8750" t="n">
        <v>0</v>
      </c>
      <c r="U8750" t="n">
        <v>0</v>
      </c>
      <c r="V8750" s="2" t="inlineStr"/>
    </row>
    <row r="8751" ht="15" customHeight="1">
      <c r="A8751" t="inlineStr">
        <is>
          <t>A 27061-2026</t>
        </is>
      </c>
      <c r="B8751" t="inlineStr">
        <is>
          <t>avverkningsanmälan</t>
        </is>
      </c>
      <c r="C8751" t="inlineStr">
        <is>
          <t>Föryngringsavverkning</t>
        </is>
      </c>
      <c r="D8751" s="1" t="n">
        <v>46185</v>
      </c>
      <c r="E8751" s="1" t="n">
        <v>46326</v>
      </c>
      <c r="F8751" t="inlineStr">
        <is>
          <t>GÄVLEBORGS LÄN</t>
        </is>
      </c>
      <c r="G8751" t="inlineStr">
        <is>
          <t>GÄVLE</t>
        </is>
      </c>
      <c r="H8751" t="inlineStr">
        <is>
          <t>Bergvik skog öst AB</t>
        </is>
      </c>
      <c r="I8751" t="n">
        <v>0.8</v>
      </c>
      <c r="J8751" t="n">
        <v>0</v>
      </c>
      <c r="K8751" t="n">
        <v>0</v>
      </c>
      <c r="L8751" t="n">
        <v>0</v>
      </c>
      <c r="M8751" t="n">
        <v>0</v>
      </c>
      <c r="N8751" t="n">
        <v>0</v>
      </c>
      <c r="O8751" t="n">
        <v>0</v>
      </c>
      <c r="P8751" t="n">
        <v>0</v>
      </c>
      <c r="Q8751" t="n">
        <v>0</v>
      </c>
      <c r="R8751" t="n">
        <v>0</v>
      </c>
      <c r="S8751" t="n">
        <v>0</v>
      </c>
      <c r="T8751" t="n">
        <v>0</v>
      </c>
      <c r="U8751" t="n">
        <v>0</v>
      </c>
      <c r="V8751" s="2" t="inlineStr"/>
    </row>
    <row r="8752" ht="15" customHeight="1">
      <c r="A8752" t="inlineStr">
        <is>
          <t>A 50765-2024</t>
        </is>
      </c>
      <c r="B8752" t="inlineStr">
        <is>
          <t>avverkningsanmälan</t>
        </is>
      </c>
      <c r="C8752" t="inlineStr">
        <is>
          <t>Föryngringsavverkning</t>
        </is>
      </c>
      <c r="D8752" s="1" t="n">
        <v>45602</v>
      </c>
      <c r="E8752" s="1" t="n">
        <v>46326</v>
      </c>
      <c r="F8752" t="inlineStr">
        <is>
          <t>GÄVLEBORGS LÄN</t>
        </is>
      </c>
      <c r="G8752" t="inlineStr">
        <is>
          <t>SANDVIKEN</t>
        </is>
      </c>
      <c r="I8752" t="n">
        <v>1.2</v>
      </c>
      <c r="J8752" t="n">
        <v>0</v>
      </c>
      <c r="K8752" t="n">
        <v>0</v>
      </c>
      <c r="L8752" t="n">
        <v>0</v>
      </c>
      <c r="M8752" t="n">
        <v>0</v>
      </c>
      <c r="N8752" t="n">
        <v>0</v>
      </c>
      <c r="O8752" t="n">
        <v>0</v>
      </c>
      <c r="P8752" t="n">
        <v>0</v>
      </c>
      <c r="Q8752" t="n">
        <v>0</v>
      </c>
      <c r="R8752" t="n">
        <v>0</v>
      </c>
      <c r="S8752" t="n">
        <v>0</v>
      </c>
      <c r="T8752" t="n">
        <v>0</v>
      </c>
      <c r="U8752" t="n">
        <v>0</v>
      </c>
      <c r="V8752" s="2" t="inlineStr"/>
    </row>
    <row r="8753" ht="15" customHeight="1">
      <c r="A8753" t="inlineStr">
        <is>
          <t>A 27562-2026</t>
        </is>
      </c>
      <c r="B8753" t="inlineStr">
        <is>
          <t>avverkningsanmälan</t>
        </is>
      </c>
      <c r="C8753" t="inlineStr">
        <is>
          <t>Föryngringsavverkning</t>
        </is>
      </c>
      <c r="D8753" s="1" t="n">
        <v>46190</v>
      </c>
      <c r="E8753" s="1" t="n">
        <v>46326</v>
      </c>
      <c r="F8753" t="inlineStr">
        <is>
          <t>GÄVLEBORGS LÄN</t>
        </is>
      </c>
      <c r="G8753" t="inlineStr">
        <is>
          <t>OCKELBO</t>
        </is>
      </c>
      <c r="I8753" t="n">
        <v>4</v>
      </c>
      <c r="J8753" t="n">
        <v>0</v>
      </c>
      <c r="K8753" t="n">
        <v>0</v>
      </c>
      <c r="L8753" t="n">
        <v>0</v>
      </c>
      <c r="M8753" t="n">
        <v>0</v>
      </c>
      <c r="N8753" t="n">
        <v>0</v>
      </c>
      <c r="O8753" t="n">
        <v>0</v>
      </c>
      <c r="P8753" t="n">
        <v>0</v>
      </c>
      <c r="Q8753" t="n">
        <v>0</v>
      </c>
      <c r="R8753" t="n">
        <v>0</v>
      </c>
      <c r="S8753" t="n">
        <v>0</v>
      </c>
      <c r="T8753" t="n">
        <v>0</v>
      </c>
      <c r="U8753" t="n">
        <v>0</v>
      </c>
      <c r="V8753" s="2" t="inlineStr"/>
    </row>
    <row r="8754" ht="15" customHeight="1">
      <c r="A8754" t="inlineStr">
        <is>
          <t>A 58363-2022</t>
        </is>
      </c>
      <c r="B8754" t="inlineStr">
        <is>
          <t>avverkningsanmälan</t>
        </is>
      </c>
      <c r="C8754" t="inlineStr">
        <is>
          <t>Föryngringsavverkning</t>
        </is>
      </c>
      <c r="D8754" s="1" t="n">
        <v>44901</v>
      </c>
      <c r="E8754" s="1" t="n">
        <v>46326</v>
      </c>
      <c r="F8754" t="inlineStr">
        <is>
          <t>GÄVLEBORGS LÄN</t>
        </is>
      </c>
      <c r="G8754" t="inlineStr">
        <is>
          <t>SANDVIKEN</t>
        </is>
      </c>
      <c r="I8754" t="n">
        <v>7.3</v>
      </c>
      <c r="J8754" t="n">
        <v>0</v>
      </c>
      <c r="K8754" t="n">
        <v>0</v>
      </c>
      <c r="L8754" t="n">
        <v>0</v>
      </c>
      <c r="M8754" t="n">
        <v>0</v>
      </c>
      <c r="N8754" t="n">
        <v>0</v>
      </c>
      <c r="O8754" t="n">
        <v>0</v>
      </c>
      <c r="P8754" t="n">
        <v>0</v>
      </c>
      <c r="Q8754" t="n">
        <v>0</v>
      </c>
      <c r="R8754" t="n">
        <v>0</v>
      </c>
      <c r="S8754" t="n">
        <v>0</v>
      </c>
      <c r="T8754" t="n">
        <v>0</v>
      </c>
      <c r="U8754" t="n">
        <v>0</v>
      </c>
      <c r="V8754" s="2" t="inlineStr"/>
    </row>
    <row r="8755" ht="15" customHeight="1">
      <c r="A8755" t="inlineStr">
        <is>
          <t>A 27706-2026</t>
        </is>
      </c>
      <c r="B8755" t="inlineStr">
        <is>
          <t>avverkningsanmälan</t>
        </is>
      </c>
      <c r="C8755" t="inlineStr">
        <is>
          <t>Föryngringsavverkning</t>
        </is>
      </c>
      <c r="D8755" s="1" t="n">
        <v>46190</v>
      </c>
      <c r="E8755" s="1" t="n">
        <v>46326</v>
      </c>
      <c r="F8755" t="inlineStr">
        <is>
          <t>GÄVLEBORGS LÄN</t>
        </is>
      </c>
      <c r="G8755" t="inlineStr">
        <is>
          <t>HUDIKSVALL</t>
        </is>
      </c>
      <c r="I8755" t="n">
        <v>1.2</v>
      </c>
      <c r="J8755" t="n">
        <v>0</v>
      </c>
      <c r="K8755" t="n">
        <v>0</v>
      </c>
      <c r="L8755" t="n">
        <v>0</v>
      </c>
      <c r="M8755" t="n">
        <v>0</v>
      </c>
      <c r="N8755" t="n">
        <v>0</v>
      </c>
      <c r="O8755" t="n">
        <v>0</v>
      </c>
      <c r="P8755" t="n">
        <v>0</v>
      </c>
      <c r="Q8755" t="n">
        <v>0</v>
      </c>
      <c r="R8755" t="n">
        <v>0</v>
      </c>
      <c r="S8755" t="n">
        <v>0</v>
      </c>
      <c r="T8755" t="n">
        <v>0</v>
      </c>
      <c r="U8755" t="n">
        <v>0</v>
      </c>
      <c r="V8755" s="2" t="inlineStr"/>
    </row>
    <row r="8756" ht="15" customHeight="1">
      <c r="A8756" t="inlineStr">
        <is>
          <t>A 27707-2026</t>
        </is>
      </c>
      <c r="B8756" t="inlineStr">
        <is>
          <t>avverkningsanmälan</t>
        </is>
      </c>
      <c r="C8756" t="inlineStr">
        <is>
          <t>Föryngringsavverkning</t>
        </is>
      </c>
      <c r="D8756" s="1" t="n">
        <v>46190</v>
      </c>
      <c r="E8756" s="1" t="n">
        <v>46326</v>
      </c>
      <c r="F8756" t="inlineStr">
        <is>
          <t>GÄVLEBORGS LÄN</t>
        </is>
      </c>
      <c r="G8756" t="inlineStr">
        <is>
          <t>LJUSDAL</t>
        </is>
      </c>
      <c r="H8756" t="inlineStr">
        <is>
          <t>Sveaskog</t>
        </is>
      </c>
      <c r="I8756" t="n">
        <v>4</v>
      </c>
      <c r="J8756" t="n">
        <v>0</v>
      </c>
      <c r="K8756" t="n">
        <v>0</v>
      </c>
      <c r="L8756" t="n">
        <v>0</v>
      </c>
      <c r="M8756" t="n">
        <v>0</v>
      </c>
      <c r="N8756" t="n">
        <v>0</v>
      </c>
      <c r="O8756" t="n">
        <v>0</v>
      </c>
      <c r="P8756" t="n">
        <v>0</v>
      </c>
      <c r="Q8756" t="n">
        <v>0</v>
      </c>
      <c r="R8756" t="n">
        <v>0</v>
      </c>
      <c r="S8756" t="n">
        <v>0</v>
      </c>
      <c r="T8756" t="n">
        <v>0</v>
      </c>
      <c r="U8756" t="n">
        <v>0</v>
      </c>
      <c r="V8756" s="2" t="inlineStr"/>
    </row>
    <row r="8757" ht="15" customHeight="1">
      <c r="A8757" t="inlineStr">
        <is>
          <t>A 43803-2022</t>
        </is>
      </c>
      <c r="B8757" t="inlineStr">
        <is>
          <t>avverkningsanmälan</t>
        </is>
      </c>
      <c r="C8757" t="inlineStr">
        <is>
          <t>Föryngringsavverkning</t>
        </is>
      </c>
      <c r="D8757" s="1" t="n">
        <v>44838</v>
      </c>
      <c r="E8757" s="1" t="n">
        <v>46326</v>
      </c>
      <c r="F8757" t="inlineStr">
        <is>
          <t>GÄVLEBORGS LÄN</t>
        </is>
      </c>
      <c r="G8757" t="inlineStr">
        <is>
          <t>HUDIKSVALL</t>
        </is>
      </c>
      <c r="H8757" t="inlineStr">
        <is>
          <t>Holmen skog AB</t>
        </is>
      </c>
      <c r="I8757" t="n">
        <v>1.5</v>
      </c>
      <c r="J8757" t="n">
        <v>0</v>
      </c>
      <c r="K8757" t="n">
        <v>0</v>
      </c>
      <c r="L8757" t="n">
        <v>0</v>
      </c>
      <c r="M8757" t="n">
        <v>0</v>
      </c>
      <c r="N8757" t="n">
        <v>0</v>
      </c>
      <c r="O8757" t="n">
        <v>0</v>
      </c>
      <c r="P8757" t="n">
        <v>0</v>
      </c>
      <c r="Q8757" t="n">
        <v>0</v>
      </c>
      <c r="R8757" t="n">
        <v>0</v>
      </c>
      <c r="S8757" t="n">
        <v>0</v>
      </c>
      <c r="T8757" t="n">
        <v>0</v>
      </c>
      <c r="U8757" t="n">
        <v>0</v>
      </c>
      <c r="V8757" s="2" t="inlineStr"/>
    </row>
    <row r="8758" ht="15" customHeight="1">
      <c r="A8758" t="inlineStr">
        <is>
          <t>A 36084-2024</t>
        </is>
      </c>
      <c r="B8758" t="inlineStr">
        <is>
          <t>avverkningsanmälan</t>
        </is>
      </c>
      <c r="C8758" t="inlineStr">
        <is>
          <t>Föryngringsavverkning</t>
        </is>
      </c>
      <c r="D8758" s="1" t="n">
        <v>45533</v>
      </c>
      <c r="E8758" s="1" t="n">
        <v>46326</v>
      </c>
      <c r="F8758" t="inlineStr">
        <is>
          <t>GÄVLEBORGS LÄN</t>
        </is>
      </c>
      <c r="G8758" t="inlineStr">
        <is>
          <t>HUDIKSVALL</t>
        </is>
      </c>
      <c r="I8758" t="n">
        <v>1.5</v>
      </c>
      <c r="J8758" t="n">
        <v>0</v>
      </c>
      <c r="K8758" t="n">
        <v>0</v>
      </c>
      <c r="L8758" t="n">
        <v>0</v>
      </c>
      <c r="M8758" t="n">
        <v>0</v>
      </c>
      <c r="N8758" t="n">
        <v>0</v>
      </c>
      <c r="O8758" t="n">
        <v>0</v>
      </c>
      <c r="P8758" t="n">
        <v>0</v>
      </c>
      <c r="Q8758" t="n">
        <v>0</v>
      </c>
      <c r="R8758" t="n">
        <v>0</v>
      </c>
      <c r="S8758" t="n">
        <v>0</v>
      </c>
      <c r="T8758" t="n">
        <v>0</v>
      </c>
      <c r="U8758" t="n">
        <v>0</v>
      </c>
      <c r="V8758" s="2" t="inlineStr"/>
    </row>
    <row r="8759" ht="15" customHeight="1">
      <c r="A8759" t="inlineStr">
        <is>
          <t>A 47438-2023</t>
        </is>
      </c>
      <c r="B8759" t="inlineStr">
        <is>
          <t>avverkningsanmälan</t>
        </is>
      </c>
      <c r="C8759" t="inlineStr">
        <is>
          <t>Föryngringsavverkning</t>
        </is>
      </c>
      <c r="D8759" s="1" t="n">
        <v>45202</v>
      </c>
      <c r="E8759" s="1" t="n">
        <v>46326</v>
      </c>
      <c r="F8759" t="inlineStr">
        <is>
          <t>GÄVLEBORGS LÄN</t>
        </is>
      </c>
      <c r="G8759" t="inlineStr">
        <is>
          <t>BOLLNÄS</t>
        </is>
      </c>
      <c r="I8759" t="n">
        <v>9.1</v>
      </c>
      <c r="J8759" t="n">
        <v>0</v>
      </c>
      <c r="K8759" t="n">
        <v>0</v>
      </c>
      <c r="L8759" t="n">
        <v>0</v>
      </c>
      <c r="M8759" t="n">
        <v>0</v>
      </c>
      <c r="N8759" t="n">
        <v>0</v>
      </c>
      <c r="O8759" t="n">
        <v>0</v>
      </c>
      <c r="P8759" t="n">
        <v>0</v>
      </c>
      <c r="Q8759" t="n">
        <v>0</v>
      </c>
      <c r="R8759" t="n">
        <v>0</v>
      </c>
      <c r="S8759" t="n">
        <v>0</v>
      </c>
      <c r="T8759" t="n">
        <v>0</v>
      </c>
      <c r="U8759" t="n">
        <v>0</v>
      </c>
      <c r="V8759" s="2" t="inlineStr"/>
    </row>
    <row r="8760" ht="15" customHeight="1">
      <c r="A8760" t="inlineStr">
        <is>
          <t>A 37391-2023</t>
        </is>
      </c>
      <c r="B8760" t="inlineStr">
        <is>
          <t>avverkningsanmälan</t>
        </is>
      </c>
      <c r="C8760" t="inlineStr">
        <is>
          <t>Föryngringsavverkning</t>
        </is>
      </c>
      <c r="D8760" s="1" t="n">
        <v>45156</v>
      </c>
      <c r="E8760" s="1" t="n">
        <v>46326</v>
      </c>
      <c r="F8760" t="inlineStr">
        <is>
          <t>GÄVLEBORGS LÄN</t>
        </is>
      </c>
      <c r="G8760" t="inlineStr">
        <is>
          <t>OCKELBO</t>
        </is>
      </c>
      <c r="H8760" t="inlineStr">
        <is>
          <t>Bergvik skog väst AB</t>
        </is>
      </c>
      <c r="I8760" t="n">
        <v>0.5</v>
      </c>
      <c r="J8760" t="n">
        <v>0</v>
      </c>
      <c r="K8760" t="n">
        <v>0</v>
      </c>
      <c r="L8760" t="n">
        <v>0</v>
      </c>
      <c r="M8760" t="n">
        <v>0</v>
      </c>
      <c r="N8760" t="n">
        <v>0</v>
      </c>
      <c r="O8760" t="n">
        <v>0</v>
      </c>
      <c r="P8760" t="n">
        <v>0</v>
      </c>
      <c r="Q8760" t="n">
        <v>0</v>
      </c>
      <c r="R8760" t="n">
        <v>0</v>
      </c>
      <c r="S8760" t="n">
        <v>0</v>
      </c>
      <c r="T8760" t="n">
        <v>0</v>
      </c>
      <c r="U8760" t="n">
        <v>0</v>
      </c>
      <c r="V8760" s="2" t="inlineStr"/>
    </row>
    <row r="8761" ht="15" customHeight="1">
      <c r="A8761" t="inlineStr">
        <is>
          <t>A 27500-2026</t>
        </is>
      </c>
      <c r="B8761" t="inlineStr">
        <is>
          <t>avverkningsanmälan</t>
        </is>
      </c>
      <c r="C8761" t="inlineStr">
        <is>
          <t>Föryngringsavverkning</t>
        </is>
      </c>
      <c r="D8761" s="1" t="n">
        <v>46189</v>
      </c>
      <c r="E8761" s="1" t="n">
        <v>46326</v>
      </c>
      <c r="F8761" t="inlineStr">
        <is>
          <t>GÄVLEBORGS LÄN</t>
        </is>
      </c>
      <c r="G8761" t="inlineStr">
        <is>
          <t>OVANÅKER</t>
        </is>
      </c>
      <c r="I8761" t="n">
        <v>1.6</v>
      </c>
      <c r="J8761" t="n">
        <v>0</v>
      </c>
      <c r="K8761" t="n">
        <v>0</v>
      </c>
      <c r="L8761" t="n">
        <v>0</v>
      </c>
      <c r="M8761" t="n">
        <v>0</v>
      </c>
      <c r="N8761" t="n">
        <v>0</v>
      </c>
      <c r="O8761" t="n">
        <v>0</v>
      </c>
      <c r="P8761" t="n">
        <v>0</v>
      </c>
      <c r="Q8761" t="n">
        <v>0</v>
      </c>
      <c r="R8761" t="n">
        <v>0</v>
      </c>
      <c r="S8761" t="n">
        <v>0</v>
      </c>
      <c r="T8761" t="n">
        <v>0</v>
      </c>
      <c r="U8761" t="n">
        <v>0</v>
      </c>
      <c r="V8761" s="2" t="inlineStr"/>
    </row>
    <row r="8762" ht="15" customHeight="1">
      <c r="A8762" t="inlineStr">
        <is>
          <t>A 27504-2026</t>
        </is>
      </c>
      <c r="B8762" t="inlineStr">
        <is>
          <t>avverkningsanmälan</t>
        </is>
      </c>
      <c r="C8762" t="inlineStr">
        <is>
          <t>Föryngringsavverkning</t>
        </is>
      </c>
      <c r="D8762" s="1" t="n">
        <v>46189</v>
      </c>
      <c r="E8762" s="1" t="n">
        <v>46326</v>
      </c>
      <c r="F8762" t="inlineStr">
        <is>
          <t>GÄVLEBORGS LÄN</t>
        </is>
      </c>
      <c r="G8762" t="inlineStr">
        <is>
          <t>OVANÅKER</t>
        </is>
      </c>
      <c r="I8762" t="n">
        <v>1.4</v>
      </c>
      <c r="J8762" t="n">
        <v>0</v>
      </c>
      <c r="K8762" t="n">
        <v>0</v>
      </c>
      <c r="L8762" t="n">
        <v>0</v>
      </c>
      <c r="M8762" t="n">
        <v>0</v>
      </c>
      <c r="N8762" t="n">
        <v>0</v>
      </c>
      <c r="O8762" t="n">
        <v>0</v>
      </c>
      <c r="P8762" t="n">
        <v>0</v>
      </c>
      <c r="Q8762" t="n">
        <v>0</v>
      </c>
      <c r="R8762" t="n">
        <v>0</v>
      </c>
      <c r="S8762" t="n">
        <v>0</v>
      </c>
      <c r="T8762" t="n">
        <v>0</v>
      </c>
      <c r="U8762" t="n">
        <v>0</v>
      </c>
      <c r="V8762" s="2" t="inlineStr"/>
    </row>
    <row r="8763" ht="15" customHeight="1">
      <c r="A8763" t="inlineStr">
        <is>
          <t>A 27598-2026</t>
        </is>
      </c>
      <c r="B8763" t="inlineStr">
        <is>
          <t>avverkningsanmälan</t>
        </is>
      </c>
      <c r="C8763" t="inlineStr">
        <is>
          <t>Föryngringsavverkning</t>
        </is>
      </c>
      <c r="D8763" s="1" t="n">
        <v>46190</v>
      </c>
      <c r="E8763" s="1" t="n">
        <v>46326</v>
      </c>
      <c r="F8763" t="inlineStr">
        <is>
          <t>GÄVLEBORGS LÄN</t>
        </is>
      </c>
      <c r="G8763" t="inlineStr">
        <is>
          <t>BOLLNÄS</t>
        </is>
      </c>
      <c r="I8763" t="n">
        <v>1.8</v>
      </c>
      <c r="J8763" t="n">
        <v>0</v>
      </c>
      <c r="K8763" t="n">
        <v>0</v>
      </c>
      <c r="L8763" t="n">
        <v>0</v>
      </c>
      <c r="M8763" t="n">
        <v>0</v>
      </c>
      <c r="N8763" t="n">
        <v>0</v>
      </c>
      <c r="O8763" t="n">
        <v>0</v>
      </c>
      <c r="P8763" t="n">
        <v>0</v>
      </c>
      <c r="Q8763" t="n">
        <v>0</v>
      </c>
      <c r="R8763" t="n">
        <v>0</v>
      </c>
      <c r="S8763" t="n">
        <v>0</v>
      </c>
      <c r="T8763" t="n">
        <v>0</v>
      </c>
      <c r="U8763" t="n">
        <v>0</v>
      </c>
      <c r="V8763" s="2" t="inlineStr"/>
    </row>
    <row r="8764" ht="15" customHeight="1">
      <c r="A8764" t="inlineStr">
        <is>
          <t>A 34873-2024</t>
        </is>
      </c>
      <c r="B8764" t="inlineStr">
        <is>
          <t>avverkningsanmälan</t>
        </is>
      </c>
      <c r="C8764" t="inlineStr">
        <is>
          <t>Föryngringsavverkning</t>
        </is>
      </c>
      <c r="D8764" s="1" t="n">
        <v>45527</v>
      </c>
      <c r="E8764" s="1" t="n">
        <v>46326</v>
      </c>
      <c r="F8764" t="inlineStr">
        <is>
          <t>GÄVLEBORGS LÄN</t>
        </is>
      </c>
      <c r="G8764" t="inlineStr">
        <is>
          <t>HUDIKSVALL</t>
        </is>
      </c>
      <c r="I8764" t="n">
        <v>0.7</v>
      </c>
      <c r="J8764" t="n">
        <v>0</v>
      </c>
      <c r="K8764" t="n">
        <v>0</v>
      </c>
      <c r="L8764" t="n">
        <v>0</v>
      </c>
      <c r="M8764" t="n">
        <v>0</v>
      </c>
      <c r="N8764" t="n">
        <v>0</v>
      </c>
      <c r="O8764" t="n">
        <v>0</v>
      </c>
      <c r="P8764" t="n">
        <v>0</v>
      </c>
      <c r="Q8764" t="n">
        <v>0</v>
      </c>
      <c r="R8764" t="n">
        <v>0</v>
      </c>
      <c r="S8764" t="n">
        <v>0</v>
      </c>
      <c r="T8764" t="n">
        <v>0</v>
      </c>
      <c r="U8764" t="n">
        <v>0</v>
      </c>
      <c r="V8764" s="2" t="inlineStr"/>
    </row>
    <row r="8765" ht="15" customHeight="1">
      <c r="A8765" t="inlineStr">
        <is>
          <t>A 2760-2024</t>
        </is>
      </c>
      <c r="B8765" t="inlineStr">
        <is>
          <t>avverkningsanmälan</t>
        </is>
      </c>
      <c r="C8765" t="inlineStr">
        <is>
          <t>Föryngringsavverkning</t>
        </is>
      </c>
      <c r="D8765" s="1" t="n">
        <v>45314</v>
      </c>
      <c r="E8765" s="1" t="n">
        <v>46326</v>
      </c>
      <c r="F8765" t="inlineStr">
        <is>
          <t>GÄVLEBORGS LÄN</t>
        </is>
      </c>
      <c r="G8765" t="inlineStr">
        <is>
          <t>HUDIKSVALL</t>
        </is>
      </c>
      <c r="I8765" t="n">
        <v>2.4</v>
      </c>
      <c r="J8765" t="n">
        <v>0</v>
      </c>
      <c r="K8765" t="n">
        <v>0</v>
      </c>
      <c r="L8765" t="n">
        <v>0</v>
      </c>
      <c r="M8765" t="n">
        <v>0</v>
      </c>
      <c r="N8765" t="n">
        <v>0</v>
      </c>
      <c r="O8765" t="n">
        <v>0</v>
      </c>
      <c r="P8765" t="n">
        <v>0</v>
      </c>
      <c r="Q8765" t="n">
        <v>0</v>
      </c>
      <c r="R8765" t="n">
        <v>0</v>
      </c>
      <c r="S8765" t="n">
        <v>0</v>
      </c>
      <c r="T8765" t="n">
        <v>0</v>
      </c>
      <c r="U8765" t="n">
        <v>0</v>
      </c>
      <c r="V8765" s="2" t="inlineStr"/>
    </row>
    <row r="8766" ht="15" customHeight="1">
      <c r="A8766" t="inlineStr">
        <is>
          <t>A 27450-2026</t>
        </is>
      </c>
      <c r="B8766" t="inlineStr">
        <is>
          <t>avverkningsanmälan</t>
        </is>
      </c>
      <c r="C8766" t="inlineStr">
        <is>
          <t>Föryngringsavverkning</t>
        </is>
      </c>
      <c r="D8766" s="1" t="n">
        <v>46189</v>
      </c>
      <c r="E8766" s="1" t="n">
        <v>46326</v>
      </c>
      <c r="F8766" t="inlineStr">
        <is>
          <t>GÄVLEBORGS LÄN</t>
        </is>
      </c>
      <c r="G8766" t="inlineStr">
        <is>
          <t>OVANÅKER</t>
        </is>
      </c>
      <c r="I8766" t="n">
        <v>4.1</v>
      </c>
      <c r="J8766" t="n">
        <v>0</v>
      </c>
      <c r="K8766" t="n">
        <v>0</v>
      </c>
      <c r="L8766" t="n">
        <v>0</v>
      </c>
      <c r="M8766" t="n">
        <v>0</v>
      </c>
      <c r="N8766" t="n">
        <v>0</v>
      </c>
      <c r="O8766" t="n">
        <v>0</v>
      </c>
      <c r="P8766" t="n">
        <v>0</v>
      </c>
      <c r="Q8766" t="n">
        <v>0</v>
      </c>
      <c r="R8766" t="n">
        <v>0</v>
      </c>
      <c r="S8766" t="n">
        <v>0</v>
      </c>
      <c r="T8766" t="n">
        <v>0</v>
      </c>
      <c r="U8766" t="n">
        <v>0</v>
      </c>
      <c r="V8766" s="2" t="inlineStr"/>
    </row>
    <row r="8767" ht="15" customHeight="1">
      <c r="A8767" t="inlineStr">
        <is>
          <t>A 27509-2026</t>
        </is>
      </c>
      <c r="B8767" t="inlineStr">
        <is>
          <t>avverkningsanmälan</t>
        </is>
      </c>
      <c r="C8767" t="inlineStr">
        <is>
          <t>Föryngringsavverkning</t>
        </is>
      </c>
      <c r="D8767" s="1" t="n">
        <v>46189</v>
      </c>
      <c r="E8767" s="1" t="n">
        <v>46326</v>
      </c>
      <c r="F8767" t="inlineStr">
        <is>
          <t>GÄVLEBORGS LÄN</t>
        </is>
      </c>
      <c r="G8767" t="inlineStr">
        <is>
          <t>OVANÅKER</t>
        </is>
      </c>
      <c r="I8767" t="n">
        <v>12.6</v>
      </c>
      <c r="J8767" t="n">
        <v>0</v>
      </c>
      <c r="K8767" t="n">
        <v>0</v>
      </c>
      <c r="L8767" t="n">
        <v>0</v>
      </c>
      <c r="M8767" t="n">
        <v>0</v>
      </c>
      <c r="N8767" t="n">
        <v>0</v>
      </c>
      <c r="O8767" t="n">
        <v>0</v>
      </c>
      <c r="P8767" t="n">
        <v>0</v>
      </c>
      <c r="Q8767" t="n">
        <v>0</v>
      </c>
      <c r="R8767" t="n">
        <v>0</v>
      </c>
      <c r="S8767" t="n">
        <v>0</v>
      </c>
      <c r="T8767" t="n">
        <v>0</v>
      </c>
      <c r="U8767" t="n">
        <v>0</v>
      </c>
      <c r="V8767" s="2" t="inlineStr"/>
    </row>
    <row r="8768" ht="15" customHeight="1">
      <c r="A8768" t="inlineStr">
        <is>
          <t>A 57614-2025</t>
        </is>
      </c>
      <c r="B8768" t="inlineStr">
        <is>
          <t>avverkningsanmälan</t>
        </is>
      </c>
      <c r="C8768" t="inlineStr">
        <is>
          <t>Föryngringsavverkning</t>
        </is>
      </c>
      <c r="D8768" s="1" t="n">
        <v>45981</v>
      </c>
      <c r="E8768" s="1" t="n">
        <v>46326</v>
      </c>
      <c r="F8768" t="inlineStr">
        <is>
          <t>GÄVLEBORGS LÄN</t>
        </is>
      </c>
      <c r="G8768" t="inlineStr">
        <is>
          <t>OCKELBO</t>
        </is>
      </c>
      <c r="H8768" t="inlineStr">
        <is>
          <t>Bergvik skog väst AB</t>
        </is>
      </c>
      <c r="I8768" t="n">
        <v>10.4</v>
      </c>
      <c r="J8768" t="n">
        <v>0</v>
      </c>
      <c r="K8768" t="n">
        <v>0</v>
      </c>
      <c r="L8768" t="n">
        <v>0</v>
      </c>
      <c r="M8768" t="n">
        <v>0</v>
      </c>
      <c r="N8768" t="n">
        <v>0</v>
      </c>
      <c r="O8768" t="n">
        <v>0</v>
      </c>
      <c r="P8768" t="n">
        <v>0</v>
      </c>
      <c r="Q8768" t="n">
        <v>0</v>
      </c>
      <c r="R8768" t="n">
        <v>0</v>
      </c>
      <c r="S8768" t="n">
        <v>0</v>
      </c>
      <c r="T8768" t="n">
        <v>0</v>
      </c>
      <c r="U8768" t="n">
        <v>0</v>
      </c>
      <c r="V8768" s="2" t="inlineStr"/>
    </row>
    <row r="8769" ht="15" customHeight="1">
      <c r="A8769" t="inlineStr">
        <is>
          <t>A 20668-2026</t>
        </is>
      </c>
      <c r="B8769" t="inlineStr">
        <is>
          <t>avverkningsanmälan</t>
        </is>
      </c>
      <c r="C8769" t="inlineStr">
        <is>
          <t>Föryngringsavverkning</t>
        </is>
      </c>
      <c r="D8769" s="1" t="n">
        <v>46141</v>
      </c>
      <c r="E8769" s="1" t="n">
        <v>46326</v>
      </c>
      <c r="F8769" t="inlineStr">
        <is>
          <t>GÄVLEBORGS LÄN</t>
        </is>
      </c>
      <c r="G8769" t="inlineStr">
        <is>
          <t>BOLLNÄS</t>
        </is>
      </c>
      <c r="H8769" t="inlineStr">
        <is>
          <t>Bergvik skog väst AB</t>
        </is>
      </c>
      <c r="I8769" t="n">
        <v>3.2</v>
      </c>
      <c r="J8769" t="n">
        <v>0</v>
      </c>
      <c r="K8769" t="n">
        <v>0</v>
      </c>
      <c r="L8769" t="n">
        <v>0</v>
      </c>
      <c r="M8769" t="n">
        <v>0</v>
      </c>
      <c r="N8769" t="n">
        <v>0</v>
      </c>
      <c r="O8769" t="n">
        <v>0</v>
      </c>
      <c r="P8769" t="n">
        <v>0</v>
      </c>
      <c r="Q8769" t="n">
        <v>0</v>
      </c>
      <c r="R8769" t="n">
        <v>0</v>
      </c>
      <c r="S8769" t="n">
        <v>0</v>
      </c>
      <c r="T8769" t="n">
        <v>0</v>
      </c>
      <c r="U8769" t="n">
        <v>0</v>
      </c>
      <c r="V8769" s="2" t="inlineStr"/>
    </row>
    <row r="8770" ht="15" customHeight="1">
      <c r="A8770" t="inlineStr">
        <is>
          <t>A 63984-2025</t>
        </is>
      </c>
      <c r="B8770" t="inlineStr">
        <is>
          <t>avverkningsanmälan</t>
        </is>
      </c>
      <c r="C8770" t="inlineStr">
        <is>
          <t>Föryngringsavverkning</t>
        </is>
      </c>
      <c r="D8770" s="1" t="n">
        <v>46021</v>
      </c>
      <c r="E8770" s="1" t="n">
        <v>46326</v>
      </c>
      <c r="F8770" t="inlineStr">
        <is>
          <t>GÄVLEBORGS LÄN</t>
        </is>
      </c>
      <c r="G8770" t="inlineStr">
        <is>
          <t>BOLLNÄS</t>
        </is>
      </c>
      <c r="I8770" t="n">
        <v>10.6</v>
      </c>
      <c r="J8770" t="n">
        <v>0</v>
      </c>
      <c r="K8770" t="n">
        <v>0</v>
      </c>
      <c r="L8770" t="n">
        <v>0</v>
      </c>
      <c r="M8770" t="n">
        <v>0</v>
      </c>
      <c r="N8770" t="n">
        <v>0</v>
      </c>
      <c r="O8770" t="n">
        <v>0</v>
      </c>
      <c r="P8770" t="n">
        <v>0</v>
      </c>
      <c r="Q8770" t="n">
        <v>0</v>
      </c>
      <c r="R8770" t="n">
        <v>0</v>
      </c>
      <c r="S8770" t="n">
        <v>0</v>
      </c>
      <c r="T8770" t="n">
        <v>0</v>
      </c>
      <c r="U8770" t="n">
        <v>0</v>
      </c>
      <c r="V8770" s="2" t="inlineStr"/>
    </row>
    <row r="8771" ht="15" customHeight="1">
      <c r="A8771" t="inlineStr">
        <is>
          <t>A 27549-2026</t>
        </is>
      </c>
      <c r="B8771" t="inlineStr">
        <is>
          <t>avverkningsanmälan</t>
        </is>
      </c>
      <c r="C8771" t="inlineStr">
        <is>
          <t>Föryngringsavverkning</t>
        </is>
      </c>
      <c r="D8771" s="1" t="n">
        <v>46190</v>
      </c>
      <c r="E8771" s="1" t="n">
        <v>46326</v>
      </c>
      <c r="F8771" t="inlineStr">
        <is>
          <t>GÄVLEBORGS LÄN</t>
        </is>
      </c>
      <c r="G8771" t="inlineStr">
        <is>
          <t>OVANÅKER</t>
        </is>
      </c>
      <c r="I8771" t="n">
        <v>1.2</v>
      </c>
      <c r="J8771" t="n">
        <v>0</v>
      </c>
      <c r="K8771" t="n">
        <v>0</v>
      </c>
      <c r="L8771" t="n">
        <v>0</v>
      </c>
      <c r="M8771" t="n">
        <v>0</v>
      </c>
      <c r="N8771" t="n">
        <v>0</v>
      </c>
      <c r="O8771" t="n">
        <v>0</v>
      </c>
      <c r="P8771" t="n">
        <v>0</v>
      </c>
      <c r="Q8771" t="n">
        <v>0</v>
      </c>
      <c r="R8771" t="n">
        <v>0</v>
      </c>
      <c r="S8771" t="n">
        <v>0</v>
      </c>
      <c r="T8771" t="n">
        <v>0</v>
      </c>
      <c r="U8771" t="n">
        <v>0</v>
      </c>
      <c r="V8771" s="2" t="inlineStr"/>
    </row>
    <row r="8772" ht="15" customHeight="1">
      <c r="A8772" t="inlineStr">
        <is>
          <t>A 12904-2026</t>
        </is>
      </c>
      <c r="B8772" t="inlineStr">
        <is>
          <t>avverkningsanmälan</t>
        </is>
      </c>
      <c r="C8772" t="inlineStr">
        <is>
          <t>Föryngringsavverkning</t>
        </is>
      </c>
      <c r="D8772" s="1" t="n">
        <v>46092</v>
      </c>
      <c r="E8772" s="1" t="n">
        <v>46326</v>
      </c>
      <c r="F8772" t="inlineStr">
        <is>
          <t>GÄVLEBORGS LÄN</t>
        </is>
      </c>
      <c r="G8772" t="inlineStr">
        <is>
          <t>BOLLNÄS</t>
        </is>
      </c>
      <c r="H8772" t="inlineStr">
        <is>
          <t>Bergvik skog väst AB</t>
        </is>
      </c>
      <c r="I8772" t="n">
        <v>3.9</v>
      </c>
      <c r="J8772" t="n">
        <v>0</v>
      </c>
      <c r="K8772" t="n">
        <v>0</v>
      </c>
      <c r="L8772" t="n">
        <v>0</v>
      </c>
      <c r="M8772" t="n">
        <v>0</v>
      </c>
      <c r="N8772" t="n">
        <v>0</v>
      </c>
      <c r="O8772" t="n">
        <v>0</v>
      </c>
      <c r="P8772" t="n">
        <v>0</v>
      </c>
      <c r="Q8772" t="n">
        <v>0</v>
      </c>
      <c r="R8772" t="n">
        <v>0</v>
      </c>
      <c r="S8772" t="n">
        <v>0</v>
      </c>
      <c r="T8772" t="n">
        <v>0</v>
      </c>
      <c r="U8772" t="n">
        <v>0</v>
      </c>
      <c r="V8772" s="2" t="inlineStr"/>
    </row>
    <row r="8773" ht="15" customHeight="1">
      <c r="A8773" t="inlineStr">
        <is>
          <t>A 10184-2026</t>
        </is>
      </c>
      <c r="B8773" t="inlineStr">
        <is>
          <t>avverkningsanmälan</t>
        </is>
      </c>
      <c r="C8773" t="inlineStr">
        <is>
          <t>Föryngringsavverkning</t>
        </is>
      </c>
      <c r="D8773" s="1" t="n">
        <v>46076</v>
      </c>
      <c r="E8773" s="1" t="n">
        <v>46326</v>
      </c>
      <c r="F8773" t="inlineStr">
        <is>
          <t>GÄVLEBORGS LÄN</t>
        </is>
      </c>
      <c r="G8773" t="inlineStr">
        <is>
          <t>OCKELBO</t>
        </is>
      </c>
      <c r="H8773" t="inlineStr">
        <is>
          <t>Bergvik skog väst AB</t>
        </is>
      </c>
      <c r="I8773" t="n">
        <v>2.9</v>
      </c>
      <c r="J8773" t="n">
        <v>0</v>
      </c>
      <c r="K8773" t="n">
        <v>0</v>
      </c>
      <c r="L8773" t="n">
        <v>0</v>
      </c>
      <c r="M8773" t="n">
        <v>0</v>
      </c>
      <c r="N8773" t="n">
        <v>0</v>
      </c>
      <c r="O8773" t="n">
        <v>0</v>
      </c>
      <c r="P8773" t="n">
        <v>0</v>
      </c>
      <c r="Q8773" t="n">
        <v>0</v>
      </c>
      <c r="R8773" t="n">
        <v>0</v>
      </c>
      <c r="S8773" t="n">
        <v>0</v>
      </c>
      <c r="T8773" t="n">
        <v>0</v>
      </c>
      <c r="U8773" t="n">
        <v>0</v>
      </c>
      <c r="V8773" s="2" t="inlineStr"/>
    </row>
    <row r="8774" ht="15" customHeight="1">
      <c r="A8774" t="inlineStr">
        <is>
          <t>A 27502-2026</t>
        </is>
      </c>
      <c r="B8774" t="inlineStr">
        <is>
          <t>avverkningsanmälan</t>
        </is>
      </c>
      <c r="C8774" t="inlineStr">
        <is>
          <t>Föryngringsavverkning</t>
        </is>
      </c>
      <c r="D8774" s="1" t="n">
        <v>46189</v>
      </c>
      <c r="E8774" s="1" t="n">
        <v>46326</v>
      </c>
      <c r="F8774" t="inlineStr">
        <is>
          <t>GÄVLEBORGS LÄN</t>
        </is>
      </c>
      <c r="G8774" t="inlineStr">
        <is>
          <t>OVANÅKER</t>
        </is>
      </c>
      <c r="I8774" t="n">
        <v>1.5</v>
      </c>
      <c r="J8774" t="n">
        <v>0</v>
      </c>
      <c r="K8774" t="n">
        <v>0</v>
      </c>
      <c r="L8774" t="n">
        <v>0</v>
      </c>
      <c r="M8774" t="n">
        <v>0</v>
      </c>
      <c r="N8774" t="n">
        <v>0</v>
      </c>
      <c r="O8774" t="n">
        <v>0</v>
      </c>
      <c r="P8774" t="n">
        <v>0</v>
      </c>
      <c r="Q8774" t="n">
        <v>0</v>
      </c>
      <c r="R8774" t="n">
        <v>0</v>
      </c>
      <c r="S8774" t="n">
        <v>0</v>
      </c>
      <c r="T8774" t="n">
        <v>0</v>
      </c>
      <c r="U8774" t="n">
        <v>0</v>
      </c>
      <c r="V8774" s="2" t="inlineStr"/>
    </row>
    <row r="8775" ht="15" customHeight="1">
      <c r="A8775" t="inlineStr">
        <is>
          <t>A 58983-2023</t>
        </is>
      </c>
      <c r="B8775" t="inlineStr">
        <is>
          <t>avverkningsanmälan</t>
        </is>
      </c>
      <c r="C8775" t="inlineStr">
        <is>
          <t>Föryngringsavverkning</t>
        </is>
      </c>
      <c r="D8775" s="1" t="n">
        <v>45252</v>
      </c>
      <c r="E8775" s="1" t="n">
        <v>46326</v>
      </c>
      <c r="F8775" t="inlineStr">
        <is>
          <t>GÄVLEBORGS LÄN</t>
        </is>
      </c>
      <c r="G8775" t="inlineStr">
        <is>
          <t>SANDVIKEN</t>
        </is>
      </c>
      <c r="H8775" t="inlineStr">
        <is>
          <t>Bergvik skog öst AB</t>
        </is>
      </c>
      <c r="I8775" t="n">
        <v>0.4</v>
      </c>
      <c r="J8775" t="n">
        <v>0</v>
      </c>
      <c r="K8775" t="n">
        <v>0</v>
      </c>
      <c r="L8775" t="n">
        <v>0</v>
      </c>
      <c r="M8775" t="n">
        <v>0</v>
      </c>
      <c r="N8775" t="n">
        <v>0</v>
      </c>
      <c r="O8775" t="n">
        <v>0</v>
      </c>
      <c r="P8775" t="n">
        <v>0</v>
      </c>
      <c r="Q8775" t="n">
        <v>0</v>
      </c>
      <c r="R8775" t="n">
        <v>0</v>
      </c>
      <c r="S8775" t="n">
        <v>0</v>
      </c>
      <c r="T8775" t="n">
        <v>0</v>
      </c>
      <c r="U8775" t="n">
        <v>0</v>
      </c>
      <c r="V8775" s="2" t="inlineStr"/>
    </row>
    <row r="8776" ht="15" customHeight="1">
      <c r="A8776" t="inlineStr">
        <is>
          <t>A 58870-2023</t>
        </is>
      </c>
      <c r="B8776" t="inlineStr">
        <is>
          <t>avverkningsanmälan</t>
        </is>
      </c>
      <c r="C8776" t="inlineStr">
        <is>
          <t>Föryngringsavverkning</t>
        </is>
      </c>
      <c r="D8776" s="1" t="n">
        <v>45252</v>
      </c>
      <c r="E8776" s="1" t="n">
        <v>46326</v>
      </c>
      <c r="F8776" t="inlineStr">
        <is>
          <t>GÄVLEBORGS LÄN</t>
        </is>
      </c>
      <c r="G8776" t="inlineStr">
        <is>
          <t>NORDANSTIG</t>
        </is>
      </c>
      <c r="I8776" t="n">
        <v>1</v>
      </c>
      <c r="J8776" t="n">
        <v>0</v>
      </c>
      <c r="K8776" t="n">
        <v>0</v>
      </c>
      <c r="L8776" t="n">
        <v>0</v>
      </c>
      <c r="M8776" t="n">
        <v>0</v>
      </c>
      <c r="N8776" t="n">
        <v>0</v>
      </c>
      <c r="O8776" t="n">
        <v>0</v>
      </c>
      <c r="P8776" t="n">
        <v>0</v>
      </c>
      <c r="Q8776" t="n">
        <v>0</v>
      </c>
      <c r="R8776" t="n">
        <v>0</v>
      </c>
      <c r="S8776" t="n">
        <v>0</v>
      </c>
      <c r="T8776" t="n">
        <v>0</v>
      </c>
      <c r="U8776" t="n">
        <v>0</v>
      </c>
      <c r="V8776" s="2" t="inlineStr"/>
    </row>
    <row r="8777" ht="15" customHeight="1">
      <c r="A8777" t="inlineStr">
        <is>
          <t>A 27566-2026</t>
        </is>
      </c>
      <c r="B8777" t="inlineStr">
        <is>
          <t>avverkningsanmälan</t>
        </is>
      </c>
      <c r="C8777" t="inlineStr">
        <is>
          <t>Föryngringsavverkning</t>
        </is>
      </c>
      <c r="D8777" s="1" t="n">
        <v>46190</v>
      </c>
      <c r="E8777" s="1" t="n">
        <v>46326</v>
      </c>
      <c r="F8777" t="inlineStr">
        <is>
          <t>GÄVLEBORGS LÄN</t>
        </is>
      </c>
      <c r="G8777" t="inlineStr">
        <is>
          <t>LJUSDAL</t>
        </is>
      </c>
      <c r="H8777" t="inlineStr">
        <is>
          <t>Kommuner</t>
        </is>
      </c>
      <c r="I8777" t="n">
        <v>2.1</v>
      </c>
      <c r="J8777" t="n">
        <v>0</v>
      </c>
      <c r="K8777" t="n">
        <v>0</v>
      </c>
      <c r="L8777" t="n">
        <v>0</v>
      </c>
      <c r="M8777" t="n">
        <v>0</v>
      </c>
      <c r="N8777" t="n">
        <v>0</v>
      </c>
      <c r="O8777" t="n">
        <v>0</v>
      </c>
      <c r="P8777" t="n">
        <v>0</v>
      </c>
      <c r="Q8777" t="n">
        <v>0</v>
      </c>
      <c r="R8777" t="n">
        <v>0</v>
      </c>
      <c r="S8777" t="n">
        <v>0</v>
      </c>
      <c r="T8777" t="n">
        <v>0</v>
      </c>
      <c r="U8777" t="n">
        <v>0</v>
      </c>
      <c r="V8777" s="2" t="inlineStr"/>
    </row>
    <row r="8778" ht="15" customHeight="1">
      <c r="A8778" t="inlineStr">
        <is>
          <t>A 27588-2026</t>
        </is>
      </c>
      <c r="B8778" t="inlineStr">
        <is>
          <t>avverkningsanmälan</t>
        </is>
      </c>
      <c r="C8778" t="inlineStr">
        <is>
          <t>Föryngringsavverkning</t>
        </is>
      </c>
      <c r="D8778" s="1" t="n">
        <v>46190</v>
      </c>
      <c r="E8778" s="1" t="n">
        <v>46326</v>
      </c>
      <c r="F8778" t="inlineStr">
        <is>
          <t>GÄVLEBORGS LÄN</t>
        </is>
      </c>
      <c r="G8778" t="inlineStr">
        <is>
          <t>SANDVIKEN</t>
        </is>
      </c>
      <c r="I8778" t="n">
        <v>1</v>
      </c>
      <c r="J8778" t="n">
        <v>0</v>
      </c>
      <c r="K8778" t="n">
        <v>0</v>
      </c>
      <c r="L8778" t="n">
        <v>0</v>
      </c>
      <c r="M8778" t="n">
        <v>0</v>
      </c>
      <c r="N8778" t="n">
        <v>0</v>
      </c>
      <c r="O8778" t="n">
        <v>0</v>
      </c>
      <c r="P8778" t="n">
        <v>0</v>
      </c>
      <c r="Q8778" t="n">
        <v>0</v>
      </c>
      <c r="R8778" t="n">
        <v>0</v>
      </c>
      <c r="S8778" t="n">
        <v>0</v>
      </c>
      <c r="T8778" t="n">
        <v>0</v>
      </c>
      <c r="U8778" t="n">
        <v>0</v>
      </c>
      <c r="V8778" s="2" t="inlineStr"/>
    </row>
    <row r="8779" ht="15" customHeight="1">
      <c r="A8779" t="inlineStr">
        <is>
          <t>A 27620-2026</t>
        </is>
      </c>
      <c r="B8779" t="inlineStr">
        <is>
          <t>avverkningsanmälan</t>
        </is>
      </c>
      <c r="C8779" t="inlineStr">
        <is>
          <t>Föryngringsavverkning</t>
        </is>
      </c>
      <c r="D8779" s="1" t="n">
        <v>46190</v>
      </c>
      <c r="E8779" s="1" t="n">
        <v>46326</v>
      </c>
      <c r="F8779" t="inlineStr">
        <is>
          <t>GÄVLEBORGS LÄN</t>
        </is>
      </c>
      <c r="G8779" t="inlineStr">
        <is>
          <t>OCKELBO</t>
        </is>
      </c>
      <c r="I8779" t="n">
        <v>2.1</v>
      </c>
      <c r="J8779" t="n">
        <v>0</v>
      </c>
      <c r="K8779" t="n">
        <v>0</v>
      </c>
      <c r="L8779" t="n">
        <v>0</v>
      </c>
      <c r="M8779" t="n">
        <v>0</v>
      </c>
      <c r="N8779" t="n">
        <v>0</v>
      </c>
      <c r="O8779" t="n">
        <v>0</v>
      </c>
      <c r="P8779" t="n">
        <v>0</v>
      </c>
      <c r="Q8779" t="n">
        <v>0</v>
      </c>
      <c r="R8779" t="n">
        <v>0</v>
      </c>
      <c r="S8779" t="n">
        <v>0</v>
      </c>
      <c r="T8779" t="n">
        <v>0</v>
      </c>
      <c r="U8779" t="n">
        <v>0</v>
      </c>
      <c r="V8779" s="2" t="inlineStr"/>
    </row>
    <row r="8780" ht="15" customHeight="1">
      <c r="A8780" t="inlineStr">
        <is>
          <t>A 27623-2026</t>
        </is>
      </c>
      <c r="B8780" t="inlineStr">
        <is>
          <t>avverkningsanmälan</t>
        </is>
      </c>
      <c r="C8780" t="inlineStr">
        <is>
          <t>Föryngringsavverkning</t>
        </is>
      </c>
      <c r="D8780" s="1" t="n">
        <v>46190</v>
      </c>
      <c r="E8780" s="1" t="n">
        <v>46326</v>
      </c>
      <c r="F8780" t="inlineStr">
        <is>
          <t>GÄVLEBORGS LÄN</t>
        </is>
      </c>
      <c r="G8780" t="inlineStr">
        <is>
          <t>OCKELBO</t>
        </is>
      </c>
      <c r="I8780" t="n">
        <v>1</v>
      </c>
      <c r="J8780" t="n">
        <v>0</v>
      </c>
      <c r="K8780" t="n">
        <v>0</v>
      </c>
      <c r="L8780" t="n">
        <v>0</v>
      </c>
      <c r="M8780" t="n">
        <v>0</v>
      </c>
      <c r="N8780" t="n">
        <v>0</v>
      </c>
      <c r="O8780" t="n">
        <v>0</v>
      </c>
      <c r="P8780" t="n">
        <v>0</v>
      </c>
      <c r="Q8780" t="n">
        <v>0</v>
      </c>
      <c r="R8780" t="n">
        <v>0</v>
      </c>
      <c r="S8780" t="n">
        <v>0</v>
      </c>
      <c r="T8780" t="n">
        <v>0</v>
      </c>
      <c r="U8780" t="n">
        <v>0</v>
      </c>
      <c r="V8780" s="2" t="inlineStr"/>
    </row>
    <row r="8781" ht="15" customHeight="1">
      <c r="A8781" t="inlineStr">
        <is>
          <t>A 3327-2026</t>
        </is>
      </c>
      <c r="B8781" t="inlineStr">
        <is>
          <t>avverkningsanmälan</t>
        </is>
      </c>
      <c r="C8781" t="inlineStr">
        <is>
          <t>Föryngringsavverkning</t>
        </is>
      </c>
      <c r="D8781" s="1" t="n">
        <v>46041</v>
      </c>
      <c r="E8781" s="1" t="n">
        <v>46326</v>
      </c>
      <c r="F8781" t="inlineStr">
        <is>
          <t>GÄVLEBORGS LÄN</t>
        </is>
      </c>
      <c r="G8781" t="inlineStr">
        <is>
          <t>BOLLNÄS</t>
        </is>
      </c>
      <c r="I8781" t="n">
        <v>5</v>
      </c>
      <c r="J8781" t="n">
        <v>0</v>
      </c>
      <c r="K8781" t="n">
        <v>0</v>
      </c>
      <c r="L8781" t="n">
        <v>0</v>
      </c>
      <c r="M8781" t="n">
        <v>0</v>
      </c>
      <c r="N8781" t="n">
        <v>0</v>
      </c>
      <c r="O8781" t="n">
        <v>0</v>
      </c>
      <c r="P8781" t="n">
        <v>0</v>
      </c>
      <c r="Q8781" t="n">
        <v>0</v>
      </c>
      <c r="R8781" t="n">
        <v>0</v>
      </c>
      <c r="S8781" t="n">
        <v>0</v>
      </c>
      <c r="T8781" t="n">
        <v>0</v>
      </c>
      <c r="U8781" t="n">
        <v>0</v>
      </c>
      <c r="V8781" s="2" t="inlineStr"/>
    </row>
    <row r="8782" ht="15" customHeight="1">
      <c r="A8782" t="inlineStr">
        <is>
          <t>A 53702-2024</t>
        </is>
      </c>
      <c r="B8782" t="inlineStr">
        <is>
          <t>avverkningsanmälan</t>
        </is>
      </c>
      <c r="C8782" t="inlineStr">
        <is>
          <t>Föryngringsavverkning</t>
        </is>
      </c>
      <c r="D8782" s="1" t="n">
        <v>45615</v>
      </c>
      <c r="E8782" s="1" t="n">
        <v>46326</v>
      </c>
      <c r="F8782" t="inlineStr">
        <is>
          <t>GÄVLEBORGS LÄN</t>
        </is>
      </c>
      <c r="G8782" t="inlineStr">
        <is>
          <t>OCKELBO</t>
        </is>
      </c>
      <c r="I8782" t="n">
        <v>5.8</v>
      </c>
      <c r="J8782" t="n">
        <v>0</v>
      </c>
      <c r="K8782" t="n">
        <v>0</v>
      </c>
      <c r="L8782" t="n">
        <v>0</v>
      </c>
      <c r="M8782" t="n">
        <v>0</v>
      </c>
      <c r="N8782" t="n">
        <v>0</v>
      </c>
      <c r="O8782" t="n">
        <v>0</v>
      </c>
      <c r="P8782" t="n">
        <v>0</v>
      </c>
      <c r="Q8782" t="n">
        <v>0</v>
      </c>
      <c r="R8782" t="n">
        <v>0</v>
      </c>
      <c r="S8782" t="n">
        <v>0</v>
      </c>
      <c r="T8782" t="n">
        <v>0</v>
      </c>
      <c r="U8782" t="n">
        <v>0</v>
      </c>
      <c r="V8782" s="2" t="inlineStr"/>
    </row>
    <row r="8783" ht="15" customHeight="1">
      <c r="A8783" t="inlineStr">
        <is>
          <t>A 14720-2026</t>
        </is>
      </c>
      <c r="B8783" t="inlineStr">
        <is>
          <t>avverkningsanmälan</t>
        </is>
      </c>
      <c r="C8783" t="inlineStr">
        <is>
          <t>Föryngringsavverkning</t>
        </is>
      </c>
      <c r="D8783" s="1" t="n">
        <v>46101</v>
      </c>
      <c r="E8783" s="1" t="n">
        <v>46326</v>
      </c>
      <c r="F8783" t="inlineStr">
        <is>
          <t>GÄVLEBORGS LÄN</t>
        </is>
      </c>
      <c r="G8783" t="inlineStr">
        <is>
          <t>SANDVIKEN</t>
        </is>
      </c>
      <c r="H8783" t="inlineStr">
        <is>
          <t>Kommuner</t>
        </is>
      </c>
      <c r="I8783" t="n">
        <v>2.6</v>
      </c>
      <c r="J8783" t="n">
        <v>0</v>
      </c>
      <c r="K8783" t="n">
        <v>0</v>
      </c>
      <c r="L8783" t="n">
        <v>0</v>
      </c>
      <c r="M8783" t="n">
        <v>0</v>
      </c>
      <c r="N8783" t="n">
        <v>0</v>
      </c>
      <c r="O8783" t="n">
        <v>0</v>
      </c>
      <c r="P8783" t="n">
        <v>0</v>
      </c>
      <c r="Q8783" t="n">
        <v>0</v>
      </c>
      <c r="R8783" t="n">
        <v>0</v>
      </c>
      <c r="S8783" t="n">
        <v>0</v>
      </c>
      <c r="T8783" t="n">
        <v>0</v>
      </c>
      <c r="U8783" t="n">
        <v>0</v>
      </c>
      <c r="V8783" s="2" t="inlineStr"/>
    </row>
    <row r="8784" ht="15" customHeight="1">
      <c r="A8784" t="inlineStr">
        <is>
          <t>A 41773-2025</t>
        </is>
      </c>
      <c r="B8784" t="inlineStr">
        <is>
          <t>avverkningsanmälan</t>
        </is>
      </c>
      <c r="C8784" t="inlineStr">
        <is>
          <t>Föryngringsavverkning</t>
        </is>
      </c>
      <c r="D8784" s="1" t="n">
        <v>45902</v>
      </c>
      <c r="E8784" s="1" t="n">
        <v>46326</v>
      </c>
      <c r="F8784" t="inlineStr">
        <is>
          <t>GÄVLEBORGS LÄN</t>
        </is>
      </c>
      <c r="G8784" t="inlineStr">
        <is>
          <t>NORDANSTIG</t>
        </is>
      </c>
      <c r="I8784" t="n">
        <v>2.1</v>
      </c>
      <c r="J8784" t="n">
        <v>0</v>
      </c>
      <c r="K8784" t="n">
        <v>0</v>
      </c>
      <c r="L8784" t="n">
        <v>0</v>
      </c>
      <c r="M8784" t="n">
        <v>0</v>
      </c>
      <c r="N8784" t="n">
        <v>0</v>
      </c>
      <c r="O8784" t="n">
        <v>0</v>
      </c>
      <c r="P8784" t="n">
        <v>0</v>
      </c>
      <c r="Q8784" t="n">
        <v>0</v>
      </c>
      <c r="R8784" t="n">
        <v>0</v>
      </c>
      <c r="S8784" t="n">
        <v>0</v>
      </c>
      <c r="T8784" t="n">
        <v>0</v>
      </c>
      <c r="U8784" t="n">
        <v>0</v>
      </c>
      <c r="V8784" s="2" t="inlineStr"/>
    </row>
    <row r="8785" ht="15" customHeight="1">
      <c r="A8785" t="inlineStr">
        <is>
          <t>A 27701-2026</t>
        </is>
      </c>
      <c r="B8785" t="inlineStr">
        <is>
          <t>avverkningsanmälan</t>
        </is>
      </c>
      <c r="C8785" t="inlineStr">
        <is>
          <t>Föryngringsavverkning</t>
        </is>
      </c>
      <c r="D8785" s="1" t="n">
        <v>46190</v>
      </c>
      <c r="E8785" s="1" t="n">
        <v>46326</v>
      </c>
      <c r="F8785" t="inlineStr">
        <is>
          <t>GÄVLEBORGS LÄN</t>
        </is>
      </c>
      <c r="G8785" t="inlineStr">
        <is>
          <t>LJUSDAL</t>
        </is>
      </c>
      <c r="H8785" t="inlineStr">
        <is>
          <t>Sveaskog</t>
        </is>
      </c>
      <c r="I8785" t="n">
        <v>8</v>
      </c>
      <c r="J8785" t="n">
        <v>0</v>
      </c>
      <c r="K8785" t="n">
        <v>0</v>
      </c>
      <c r="L8785" t="n">
        <v>0</v>
      </c>
      <c r="M8785" t="n">
        <v>0</v>
      </c>
      <c r="N8785" t="n">
        <v>0</v>
      </c>
      <c r="O8785" t="n">
        <v>0</v>
      </c>
      <c r="P8785" t="n">
        <v>0</v>
      </c>
      <c r="Q8785" t="n">
        <v>0</v>
      </c>
      <c r="R8785" t="n">
        <v>0</v>
      </c>
      <c r="S8785" t="n">
        <v>0</v>
      </c>
      <c r="T8785" t="n">
        <v>0</v>
      </c>
      <c r="U8785" t="n">
        <v>0</v>
      </c>
      <c r="V8785" s="2" t="inlineStr"/>
    </row>
    <row r="8786" ht="15" customHeight="1">
      <c r="A8786" t="inlineStr">
        <is>
          <t>A 25058-2022</t>
        </is>
      </c>
      <c r="B8786" t="inlineStr">
        <is>
          <t>avverkningsanmälan</t>
        </is>
      </c>
      <c r="C8786" t="inlineStr">
        <is>
          <t>Föryngringsavverkning</t>
        </is>
      </c>
      <c r="D8786" s="1" t="n">
        <v>44729</v>
      </c>
      <c r="E8786" s="1" t="n">
        <v>46326</v>
      </c>
      <c r="F8786" t="inlineStr">
        <is>
          <t>GÄVLEBORGS LÄN</t>
        </is>
      </c>
      <c r="G8786" t="inlineStr">
        <is>
          <t>OVANÅKER</t>
        </is>
      </c>
      <c r="I8786" t="n">
        <v>2.5</v>
      </c>
      <c r="J8786" t="n">
        <v>0</v>
      </c>
      <c r="K8786" t="n">
        <v>0</v>
      </c>
      <c r="L8786" t="n">
        <v>0</v>
      </c>
      <c r="M8786" t="n">
        <v>0</v>
      </c>
      <c r="N8786" t="n">
        <v>0</v>
      </c>
      <c r="O8786" t="n">
        <v>0</v>
      </c>
      <c r="P8786" t="n">
        <v>0</v>
      </c>
      <c r="Q8786" t="n">
        <v>0</v>
      </c>
      <c r="R8786" t="n">
        <v>0</v>
      </c>
      <c r="S8786" t="n">
        <v>0</v>
      </c>
      <c r="T8786" t="n">
        <v>0</v>
      </c>
      <c r="U8786" t="n">
        <v>0</v>
      </c>
      <c r="V8786" s="2" t="inlineStr"/>
    </row>
    <row r="8787" ht="15" customHeight="1">
      <c r="A8787" t="inlineStr">
        <is>
          <t>A 35879-2024</t>
        </is>
      </c>
      <c r="B8787" t="inlineStr">
        <is>
          <t>avverkningsanmälan</t>
        </is>
      </c>
      <c r="C8787" t="inlineStr">
        <is>
          <t>Föryngringsavverkning</t>
        </is>
      </c>
      <c r="D8787" s="1" t="n">
        <v>45533</v>
      </c>
      <c r="E8787" s="1" t="n">
        <v>46326</v>
      </c>
      <c r="F8787" t="inlineStr">
        <is>
          <t>GÄVLEBORGS LÄN</t>
        </is>
      </c>
      <c r="G8787" t="inlineStr">
        <is>
          <t>HUDIKSVALL</t>
        </is>
      </c>
      <c r="I8787" t="n">
        <v>3.8</v>
      </c>
      <c r="J8787" t="n">
        <v>0</v>
      </c>
      <c r="K8787" t="n">
        <v>0</v>
      </c>
      <c r="L8787" t="n">
        <v>0</v>
      </c>
      <c r="M8787" t="n">
        <v>0</v>
      </c>
      <c r="N8787" t="n">
        <v>0</v>
      </c>
      <c r="O8787" t="n">
        <v>0</v>
      </c>
      <c r="P8787" t="n">
        <v>0</v>
      </c>
      <c r="Q8787" t="n">
        <v>0</v>
      </c>
      <c r="R8787" t="n">
        <v>0</v>
      </c>
      <c r="S8787" t="n">
        <v>0</v>
      </c>
      <c r="T8787" t="n">
        <v>0</v>
      </c>
      <c r="U8787" t="n">
        <v>0</v>
      </c>
      <c r="V8787" s="2" t="inlineStr"/>
    </row>
    <row r="8788" ht="15" customHeight="1">
      <c r="A8788" t="inlineStr">
        <is>
          <t>A 24465-2023</t>
        </is>
      </c>
      <c r="B8788" t="inlineStr">
        <is>
          <t>avverkningsanmälan</t>
        </is>
      </c>
      <c r="C8788" t="inlineStr">
        <is>
          <t>Föryngringsavverkning</t>
        </is>
      </c>
      <c r="D8788" s="1" t="n">
        <v>45082</v>
      </c>
      <c r="E8788" s="1" t="n">
        <v>46326</v>
      </c>
      <c r="F8788" t="inlineStr">
        <is>
          <t>GÄVLEBORGS LÄN</t>
        </is>
      </c>
      <c r="G8788" t="inlineStr">
        <is>
          <t>SANDVIKEN</t>
        </is>
      </c>
      <c r="I8788" t="n">
        <v>1.1</v>
      </c>
      <c r="J8788" t="n">
        <v>0</v>
      </c>
      <c r="K8788" t="n">
        <v>0</v>
      </c>
      <c r="L8788" t="n">
        <v>0</v>
      </c>
      <c r="M8788" t="n">
        <v>0</v>
      </c>
      <c r="N8788" t="n">
        <v>0</v>
      </c>
      <c r="O8788" t="n">
        <v>0</v>
      </c>
      <c r="P8788" t="n">
        <v>0</v>
      </c>
      <c r="Q8788" t="n">
        <v>0</v>
      </c>
      <c r="R8788" t="n">
        <v>0</v>
      </c>
      <c r="S8788" t="n">
        <v>0</v>
      </c>
      <c r="T8788" t="n">
        <v>0</v>
      </c>
      <c r="U8788" t="n">
        <v>0</v>
      </c>
      <c r="V8788" s="2" t="inlineStr"/>
    </row>
    <row r="8789" ht="15" customHeight="1">
      <c r="A8789" t="inlineStr">
        <is>
          <t>A 24478-2023</t>
        </is>
      </c>
      <c r="B8789" t="inlineStr">
        <is>
          <t>avverkningsanmälan</t>
        </is>
      </c>
      <c r="C8789" t="inlineStr">
        <is>
          <t>Föryngringsavverkning</t>
        </is>
      </c>
      <c r="D8789" s="1" t="n">
        <v>45082</v>
      </c>
      <c r="E8789" s="1" t="n">
        <v>46326</v>
      </c>
      <c r="F8789" t="inlineStr">
        <is>
          <t>GÄVLEBORGS LÄN</t>
        </is>
      </c>
      <c r="G8789" t="inlineStr">
        <is>
          <t>GÄVLE</t>
        </is>
      </c>
      <c r="I8789" t="n">
        <v>0.7</v>
      </c>
      <c r="J8789" t="n">
        <v>0</v>
      </c>
      <c r="K8789" t="n">
        <v>0</v>
      </c>
      <c r="L8789" t="n">
        <v>0</v>
      </c>
      <c r="M8789" t="n">
        <v>0</v>
      </c>
      <c r="N8789" t="n">
        <v>0</v>
      </c>
      <c r="O8789" t="n">
        <v>0</v>
      </c>
      <c r="P8789" t="n">
        <v>0</v>
      </c>
      <c r="Q8789" t="n">
        <v>0</v>
      </c>
      <c r="R8789" t="n">
        <v>0</v>
      </c>
      <c r="S8789" t="n">
        <v>0</v>
      </c>
      <c r="T8789" t="n">
        <v>0</v>
      </c>
      <c r="U8789" t="n">
        <v>0</v>
      </c>
      <c r="V8789" s="2" t="inlineStr"/>
    </row>
    <row r="8790" ht="15" customHeight="1">
      <c r="A8790" t="inlineStr">
        <is>
          <t>A 40260-2023</t>
        </is>
      </c>
      <c r="B8790" t="inlineStr">
        <is>
          <t>avverkningsanmälan</t>
        </is>
      </c>
      <c r="C8790" t="inlineStr">
        <is>
          <t>Föryngringsavverkning</t>
        </is>
      </c>
      <c r="D8790" s="1" t="n">
        <v>45169</v>
      </c>
      <c r="E8790" s="1" t="n">
        <v>46326</v>
      </c>
      <c r="F8790" t="inlineStr">
        <is>
          <t>GÄVLEBORGS LÄN</t>
        </is>
      </c>
      <c r="G8790" t="inlineStr">
        <is>
          <t>LJUSDAL</t>
        </is>
      </c>
      <c r="I8790" t="n">
        <v>2.2</v>
      </c>
      <c r="J8790" t="n">
        <v>0</v>
      </c>
      <c r="K8790" t="n">
        <v>0</v>
      </c>
      <c r="L8790" t="n">
        <v>0</v>
      </c>
      <c r="M8790" t="n">
        <v>0</v>
      </c>
      <c r="N8790" t="n">
        <v>0</v>
      </c>
      <c r="O8790" t="n">
        <v>0</v>
      </c>
      <c r="P8790" t="n">
        <v>0</v>
      </c>
      <c r="Q8790" t="n">
        <v>0</v>
      </c>
      <c r="R8790" t="n">
        <v>0</v>
      </c>
      <c r="S8790" t="n">
        <v>0</v>
      </c>
      <c r="T8790" t="n">
        <v>0</v>
      </c>
      <c r="U8790" t="n">
        <v>0</v>
      </c>
      <c r="V8790" s="2" t="inlineStr"/>
    </row>
    <row r="8791" ht="15" customHeight="1">
      <c r="A8791" t="inlineStr">
        <is>
          <t>A 9669-2026</t>
        </is>
      </c>
      <c r="B8791" t="inlineStr">
        <is>
          <t>avverkningsanmälan</t>
        </is>
      </c>
      <c r="C8791" t="inlineStr">
        <is>
          <t>Föryngringsavverkning</t>
        </is>
      </c>
      <c r="D8791" s="1" t="n">
        <v>46072</v>
      </c>
      <c r="E8791" s="1" t="n">
        <v>46326</v>
      </c>
      <c r="F8791" t="inlineStr">
        <is>
          <t>GÄVLEBORGS LÄN</t>
        </is>
      </c>
      <c r="G8791" t="inlineStr">
        <is>
          <t>OVANÅKER</t>
        </is>
      </c>
      <c r="I8791" t="n">
        <v>3</v>
      </c>
      <c r="J8791" t="n">
        <v>0</v>
      </c>
      <c r="K8791" t="n">
        <v>0</v>
      </c>
      <c r="L8791" t="n">
        <v>0</v>
      </c>
      <c r="M8791" t="n">
        <v>0</v>
      </c>
      <c r="N8791" t="n">
        <v>0</v>
      </c>
      <c r="O8791" t="n">
        <v>0</v>
      </c>
      <c r="P8791" t="n">
        <v>0</v>
      </c>
      <c r="Q8791" t="n">
        <v>0</v>
      </c>
      <c r="R8791" t="n">
        <v>0</v>
      </c>
      <c r="S8791" t="n">
        <v>0</v>
      </c>
      <c r="T8791" t="n">
        <v>0</v>
      </c>
      <c r="U8791" t="n">
        <v>0</v>
      </c>
      <c r="V8791" s="2" t="inlineStr"/>
    </row>
    <row r="8792" ht="15" customHeight="1">
      <c r="A8792" t="inlineStr">
        <is>
          <t>A 27381-2026</t>
        </is>
      </c>
      <c r="B8792" t="inlineStr">
        <is>
          <t>avverkningsanmälan</t>
        </is>
      </c>
      <c r="C8792" t="inlineStr">
        <is>
          <t>Föryngringsavverkning</t>
        </is>
      </c>
      <c r="D8792" s="1" t="n">
        <v>46189</v>
      </c>
      <c r="E8792" s="1" t="n">
        <v>46326</v>
      </c>
      <c r="F8792" t="inlineStr">
        <is>
          <t>GÄVLEBORGS LÄN</t>
        </is>
      </c>
      <c r="G8792" t="inlineStr">
        <is>
          <t>OCKELBO</t>
        </is>
      </c>
      <c r="I8792" t="n">
        <v>1.5</v>
      </c>
      <c r="J8792" t="n">
        <v>0</v>
      </c>
      <c r="K8792" t="n">
        <v>0</v>
      </c>
      <c r="L8792" t="n">
        <v>0</v>
      </c>
      <c r="M8792" t="n">
        <v>0</v>
      </c>
      <c r="N8792" t="n">
        <v>0</v>
      </c>
      <c r="O8792" t="n">
        <v>0</v>
      </c>
      <c r="P8792" t="n">
        <v>0</v>
      </c>
      <c r="Q8792" t="n">
        <v>0</v>
      </c>
      <c r="R8792" t="n">
        <v>0</v>
      </c>
      <c r="S8792" t="n">
        <v>0</v>
      </c>
      <c r="T8792" t="n">
        <v>0</v>
      </c>
      <c r="U8792" t="n">
        <v>0</v>
      </c>
      <c r="V8792" s="2" t="inlineStr"/>
    </row>
    <row r="8793" ht="15" customHeight="1">
      <c r="A8793" t="inlineStr">
        <is>
          <t>A 27383-2026</t>
        </is>
      </c>
      <c r="B8793" t="inlineStr">
        <is>
          <t>avverkningsanmälan</t>
        </is>
      </c>
      <c r="C8793" t="inlineStr">
        <is>
          <t>Föryngringsavverkning</t>
        </is>
      </c>
      <c r="D8793" s="1" t="n">
        <v>46189</v>
      </c>
      <c r="E8793" s="1" t="n">
        <v>46326</v>
      </c>
      <c r="F8793" t="inlineStr">
        <is>
          <t>GÄVLEBORGS LÄN</t>
        </is>
      </c>
      <c r="G8793" t="inlineStr">
        <is>
          <t>OCKELBO</t>
        </is>
      </c>
      <c r="I8793" t="n">
        <v>1.8</v>
      </c>
      <c r="J8793" t="n">
        <v>0</v>
      </c>
      <c r="K8793" t="n">
        <v>0</v>
      </c>
      <c r="L8793" t="n">
        <v>0</v>
      </c>
      <c r="M8793" t="n">
        <v>0</v>
      </c>
      <c r="N8793" t="n">
        <v>0</v>
      </c>
      <c r="O8793" t="n">
        <v>0</v>
      </c>
      <c r="P8793" t="n">
        <v>0</v>
      </c>
      <c r="Q8793" t="n">
        <v>0</v>
      </c>
      <c r="R8793" t="n">
        <v>0</v>
      </c>
      <c r="S8793" t="n">
        <v>0</v>
      </c>
      <c r="T8793" t="n">
        <v>0</v>
      </c>
      <c r="U8793" t="n">
        <v>0</v>
      </c>
      <c r="V8793" s="2" t="inlineStr"/>
    </row>
    <row r="8794" ht="15" customHeight="1">
      <c r="A8794" t="inlineStr">
        <is>
          <t>A 51091-2024</t>
        </is>
      </c>
      <c r="B8794" t="inlineStr">
        <is>
          <t>avverkningsanmälan</t>
        </is>
      </c>
      <c r="C8794" t="inlineStr">
        <is>
          <t>Avverkning för att bevara och utveckla /försöksver</t>
        </is>
      </c>
      <c r="D8794" s="1" t="n">
        <v>45603</v>
      </c>
      <c r="E8794" s="1" t="n">
        <v>46326</v>
      </c>
      <c r="F8794" t="inlineStr">
        <is>
          <t>GÄVLEBORGS LÄN</t>
        </is>
      </c>
      <c r="G8794" t="inlineStr">
        <is>
          <t>NORDANSTIG</t>
        </is>
      </c>
      <c r="H8794" t="inlineStr">
        <is>
          <t>SCA</t>
        </is>
      </c>
      <c r="I8794" t="n">
        <v>1.5</v>
      </c>
      <c r="J8794" t="n">
        <v>0</v>
      </c>
      <c r="K8794" t="n">
        <v>0</v>
      </c>
      <c r="L8794" t="n">
        <v>0</v>
      </c>
      <c r="M8794" t="n">
        <v>0</v>
      </c>
      <c r="N8794" t="n">
        <v>0</v>
      </c>
      <c r="O8794" t="n">
        <v>0</v>
      </c>
      <c r="P8794" t="n">
        <v>0</v>
      </c>
      <c r="Q8794" t="n">
        <v>0</v>
      </c>
      <c r="R8794" t="n">
        <v>0</v>
      </c>
      <c r="S8794" t="n">
        <v>0</v>
      </c>
      <c r="T8794" t="n">
        <v>0</v>
      </c>
      <c r="U8794" t="n">
        <v>0</v>
      </c>
      <c r="V8794" s="2" t="inlineStr"/>
    </row>
    <row r="8795" ht="15" customHeight="1">
      <c r="A8795" t="inlineStr">
        <is>
          <t>A 23095-2026</t>
        </is>
      </c>
      <c r="B8795" t="inlineStr">
        <is>
          <t>avverkningsanmälan</t>
        </is>
      </c>
      <c r="C8795" t="inlineStr">
        <is>
          <t>Föryngringsavverkning</t>
        </is>
      </c>
      <c r="D8795" s="1" t="n">
        <v>46161</v>
      </c>
      <c r="E8795" s="1" t="n">
        <v>46326</v>
      </c>
      <c r="F8795" t="inlineStr">
        <is>
          <t>GÄVLEBORGS LÄN</t>
        </is>
      </c>
      <c r="G8795" t="inlineStr">
        <is>
          <t>BOLLNÄS</t>
        </is>
      </c>
      <c r="I8795" t="n">
        <v>3.3</v>
      </c>
      <c r="J8795" t="n">
        <v>0</v>
      </c>
      <c r="K8795" t="n">
        <v>0</v>
      </c>
      <c r="L8795" t="n">
        <v>0</v>
      </c>
      <c r="M8795" t="n">
        <v>0</v>
      </c>
      <c r="N8795" t="n">
        <v>0</v>
      </c>
      <c r="O8795" t="n">
        <v>0</v>
      </c>
      <c r="P8795" t="n">
        <v>0</v>
      </c>
      <c r="Q8795" t="n">
        <v>0</v>
      </c>
      <c r="R8795" t="n">
        <v>0</v>
      </c>
      <c r="S8795" t="n">
        <v>0</v>
      </c>
      <c r="T8795" t="n">
        <v>0</v>
      </c>
      <c r="U8795" t="n">
        <v>0</v>
      </c>
      <c r="V8795" s="2" t="inlineStr"/>
    </row>
    <row r="8796" ht="15" customHeight="1">
      <c r="A8796" t="inlineStr">
        <is>
          <t>A 27416-2026</t>
        </is>
      </c>
      <c r="B8796" t="inlineStr">
        <is>
          <t>avverkningsanmälan</t>
        </is>
      </c>
      <c r="C8796" t="inlineStr">
        <is>
          <t>Föryngringsavverkning</t>
        </is>
      </c>
      <c r="D8796" s="1" t="n">
        <v>46189</v>
      </c>
      <c r="E8796" s="1" t="n">
        <v>46326</v>
      </c>
      <c r="F8796" t="inlineStr">
        <is>
          <t>GÄVLEBORGS LÄN</t>
        </is>
      </c>
      <c r="G8796" t="inlineStr">
        <is>
          <t>OCKELBO</t>
        </is>
      </c>
      <c r="H8796" t="inlineStr">
        <is>
          <t>Bergvik skog väst AB</t>
        </is>
      </c>
      <c r="I8796" t="n">
        <v>1.2</v>
      </c>
      <c r="J8796" t="n">
        <v>0</v>
      </c>
      <c r="K8796" t="n">
        <v>0</v>
      </c>
      <c r="L8796" t="n">
        <v>0</v>
      </c>
      <c r="M8796" t="n">
        <v>0</v>
      </c>
      <c r="N8796" t="n">
        <v>0</v>
      </c>
      <c r="O8796" t="n">
        <v>0</v>
      </c>
      <c r="P8796" t="n">
        <v>0</v>
      </c>
      <c r="Q8796" t="n">
        <v>0</v>
      </c>
      <c r="R8796" t="n">
        <v>0</v>
      </c>
      <c r="S8796" t="n">
        <v>0</v>
      </c>
      <c r="T8796" t="n">
        <v>0</v>
      </c>
      <c r="U8796" t="n">
        <v>0</v>
      </c>
      <c r="V8796" s="2" t="inlineStr"/>
    </row>
    <row r="8797" ht="15" customHeight="1">
      <c r="A8797" t="inlineStr">
        <is>
          <t>A 27505-2026</t>
        </is>
      </c>
      <c r="B8797" t="inlineStr">
        <is>
          <t>avverkningsanmälan</t>
        </is>
      </c>
      <c r="C8797" t="inlineStr">
        <is>
          <t>Föryngringsavverkning</t>
        </is>
      </c>
      <c r="D8797" s="1" t="n">
        <v>46189</v>
      </c>
      <c r="E8797" s="1" t="n">
        <v>46326</v>
      </c>
      <c r="F8797" t="inlineStr">
        <is>
          <t>GÄVLEBORGS LÄN</t>
        </is>
      </c>
      <c r="G8797" t="inlineStr">
        <is>
          <t>HUDIKSVALL</t>
        </is>
      </c>
      <c r="I8797" t="n">
        <v>1.5</v>
      </c>
      <c r="J8797" t="n">
        <v>0</v>
      </c>
      <c r="K8797" t="n">
        <v>0</v>
      </c>
      <c r="L8797" t="n">
        <v>0</v>
      </c>
      <c r="M8797" t="n">
        <v>0</v>
      </c>
      <c r="N8797" t="n">
        <v>0</v>
      </c>
      <c r="O8797" t="n">
        <v>0</v>
      </c>
      <c r="P8797" t="n">
        <v>0</v>
      </c>
      <c r="Q8797" t="n">
        <v>0</v>
      </c>
      <c r="R8797" t="n">
        <v>0</v>
      </c>
      <c r="S8797" t="n">
        <v>0</v>
      </c>
      <c r="T8797" t="n">
        <v>0</v>
      </c>
      <c r="U8797" t="n">
        <v>0</v>
      </c>
      <c r="V8797" s="2" t="inlineStr"/>
    </row>
    <row r="8798" ht="15" customHeight="1">
      <c r="A8798" t="inlineStr">
        <is>
          <t>A 27507-2026</t>
        </is>
      </c>
      <c r="B8798" t="inlineStr">
        <is>
          <t>avverkningsanmälan</t>
        </is>
      </c>
      <c r="C8798" t="inlineStr">
        <is>
          <t>Föryngringsavverkning</t>
        </is>
      </c>
      <c r="D8798" s="1" t="n">
        <v>46189</v>
      </c>
      <c r="E8798" s="1" t="n">
        <v>46326</v>
      </c>
      <c r="F8798" t="inlineStr">
        <is>
          <t>GÄVLEBORGS LÄN</t>
        </is>
      </c>
      <c r="G8798" t="inlineStr">
        <is>
          <t>OVANÅKER</t>
        </is>
      </c>
      <c r="I8798" t="n">
        <v>3.5</v>
      </c>
      <c r="J8798" t="n">
        <v>0</v>
      </c>
      <c r="K8798" t="n">
        <v>0</v>
      </c>
      <c r="L8798" t="n">
        <v>0</v>
      </c>
      <c r="M8798" t="n">
        <v>0</v>
      </c>
      <c r="N8798" t="n">
        <v>0</v>
      </c>
      <c r="O8798" t="n">
        <v>0</v>
      </c>
      <c r="P8798" t="n">
        <v>0</v>
      </c>
      <c r="Q8798" t="n">
        <v>0</v>
      </c>
      <c r="R8798" t="n">
        <v>0</v>
      </c>
      <c r="S8798" t="n">
        <v>0</v>
      </c>
      <c r="T8798" t="n">
        <v>0</v>
      </c>
      <c r="U8798" t="n">
        <v>0</v>
      </c>
      <c r="V8798" s="2" t="inlineStr"/>
    </row>
    <row r="8799" ht="15" customHeight="1">
      <c r="A8799" t="inlineStr">
        <is>
          <t>A 33634-2024</t>
        </is>
      </c>
      <c r="B8799" t="inlineStr">
        <is>
          <t>avverkningsanmälan</t>
        </is>
      </c>
      <c r="C8799" t="inlineStr">
        <is>
          <t>Föryngringsavverkning</t>
        </is>
      </c>
      <c r="D8799" s="1" t="n">
        <v>45520</v>
      </c>
      <c r="E8799" s="1" t="n">
        <v>46326</v>
      </c>
      <c r="F8799" t="inlineStr">
        <is>
          <t>GÄVLEBORGS LÄN</t>
        </is>
      </c>
      <c r="G8799" t="inlineStr">
        <is>
          <t>OVANÅKER</t>
        </is>
      </c>
      <c r="H8799" t="inlineStr">
        <is>
          <t>Bergvik skog öst AB</t>
        </is>
      </c>
      <c r="I8799" t="n">
        <v>1.1</v>
      </c>
      <c r="J8799" t="n">
        <v>0</v>
      </c>
      <c r="K8799" t="n">
        <v>0</v>
      </c>
      <c r="L8799" t="n">
        <v>0</v>
      </c>
      <c r="M8799" t="n">
        <v>0</v>
      </c>
      <c r="N8799" t="n">
        <v>0</v>
      </c>
      <c r="O8799" t="n">
        <v>0</v>
      </c>
      <c r="P8799" t="n">
        <v>0</v>
      </c>
      <c r="Q8799" t="n">
        <v>0</v>
      </c>
      <c r="R8799" t="n">
        <v>0</v>
      </c>
      <c r="S8799" t="n">
        <v>0</v>
      </c>
      <c r="T8799" t="n">
        <v>0</v>
      </c>
      <c r="U8799" t="n">
        <v>0</v>
      </c>
      <c r="V8799" s="2" t="inlineStr"/>
    </row>
    <row r="8800" ht="15" customHeight="1">
      <c r="A8800" t="inlineStr">
        <is>
          <t>A 17809-2026</t>
        </is>
      </c>
      <c r="B8800" t="inlineStr">
        <is>
          <t>avverkningsanmälan</t>
        </is>
      </c>
      <c r="C8800" t="inlineStr">
        <is>
          <t>Föryngringsavverkning</t>
        </is>
      </c>
      <c r="D8800" s="1" t="n">
        <v>46122</v>
      </c>
      <c r="E8800" s="1" t="n">
        <v>46326</v>
      </c>
      <c r="F8800" t="inlineStr">
        <is>
          <t>GÄVLEBORGS LÄN</t>
        </is>
      </c>
      <c r="G8800" t="inlineStr">
        <is>
          <t>SÖDERHAMN</t>
        </is>
      </c>
      <c r="H8800" t="inlineStr">
        <is>
          <t>Bergvik skog väst AB</t>
        </is>
      </c>
      <c r="I8800" t="n">
        <v>1.4</v>
      </c>
      <c r="J8800" t="n">
        <v>0</v>
      </c>
      <c r="K8800" t="n">
        <v>0</v>
      </c>
      <c r="L8800" t="n">
        <v>0</v>
      </c>
      <c r="M8800" t="n">
        <v>0</v>
      </c>
      <c r="N8800" t="n">
        <v>0</v>
      </c>
      <c r="O8800" t="n">
        <v>0</v>
      </c>
      <c r="P8800" t="n">
        <v>0</v>
      </c>
      <c r="Q8800" t="n">
        <v>0</v>
      </c>
      <c r="R8800" t="n">
        <v>0</v>
      </c>
      <c r="S8800" t="n">
        <v>0</v>
      </c>
      <c r="T8800" t="n">
        <v>0</v>
      </c>
      <c r="U8800" t="n">
        <v>0</v>
      </c>
      <c r="V8800" s="2" t="inlineStr"/>
    </row>
    <row r="8801" ht="15" customHeight="1">
      <c r="A8801" t="inlineStr">
        <is>
          <t>A 27517-2026</t>
        </is>
      </c>
      <c r="B8801" t="inlineStr">
        <is>
          <t>avverkningsanmälan</t>
        </is>
      </c>
      <c r="C8801" t="inlineStr">
        <is>
          <t>Föryngringsavverkning</t>
        </is>
      </c>
      <c r="D8801" s="1" t="n">
        <v>46189</v>
      </c>
      <c r="E8801" s="1" t="n">
        <v>46326</v>
      </c>
      <c r="F8801" t="inlineStr">
        <is>
          <t>GÄVLEBORGS LÄN</t>
        </is>
      </c>
      <c r="G8801" t="inlineStr">
        <is>
          <t>LJUSDAL</t>
        </is>
      </c>
      <c r="H8801" t="inlineStr">
        <is>
          <t>Allmännings- och besparingsskogar</t>
        </is>
      </c>
      <c r="I8801" t="n">
        <v>9.800000000000001</v>
      </c>
      <c r="J8801" t="n">
        <v>0</v>
      </c>
      <c r="K8801" t="n">
        <v>0</v>
      </c>
      <c r="L8801" t="n">
        <v>0</v>
      </c>
      <c r="M8801" t="n">
        <v>0</v>
      </c>
      <c r="N8801" t="n">
        <v>0</v>
      </c>
      <c r="O8801" t="n">
        <v>0</v>
      </c>
      <c r="P8801" t="n">
        <v>0</v>
      </c>
      <c r="Q8801" t="n">
        <v>0</v>
      </c>
      <c r="R8801" t="n">
        <v>0</v>
      </c>
      <c r="S8801" t="n">
        <v>0</v>
      </c>
      <c r="T8801" t="n">
        <v>0</v>
      </c>
      <c r="U8801" t="n">
        <v>0</v>
      </c>
      <c r="V8801" s="2" t="inlineStr"/>
    </row>
    <row r="8802" ht="15" customHeight="1">
      <c r="A8802" t="inlineStr">
        <is>
          <t>A 45912-2024</t>
        </is>
      </c>
      <c r="B8802" t="inlineStr">
        <is>
          <t>avverkningsanmälan</t>
        </is>
      </c>
      <c r="C8802" t="inlineStr">
        <is>
          <t>Föryngringsavverkning</t>
        </is>
      </c>
      <c r="D8802" s="1" t="n">
        <v>45580</v>
      </c>
      <c r="E8802" s="1" t="n">
        <v>46326</v>
      </c>
      <c r="F8802" t="inlineStr">
        <is>
          <t>GÄVLEBORGS LÄN</t>
        </is>
      </c>
      <c r="G8802" t="inlineStr">
        <is>
          <t>LJUSDAL</t>
        </is>
      </c>
      <c r="I8802" t="n">
        <v>2.5</v>
      </c>
      <c r="J8802" t="n">
        <v>0</v>
      </c>
      <c r="K8802" t="n">
        <v>0</v>
      </c>
      <c r="L8802" t="n">
        <v>0</v>
      </c>
      <c r="M8802" t="n">
        <v>0</v>
      </c>
      <c r="N8802" t="n">
        <v>0</v>
      </c>
      <c r="O8802" t="n">
        <v>0</v>
      </c>
      <c r="P8802" t="n">
        <v>0</v>
      </c>
      <c r="Q8802" t="n">
        <v>0</v>
      </c>
      <c r="R8802" t="n">
        <v>0</v>
      </c>
      <c r="S8802" t="n">
        <v>0</v>
      </c>
      <c r="T8802" t="n">
        <v>0</v>
      </c>
      <c r="U8802" t="n">
        <v>0</v>
      </c>
      <c r="V8802" s="2" t="inlineStr"/>
    </row>
    <row r="8803" ht="15" customHeight="1">
      <c r="A8803" t="inlineStr">
        <is>
          <t>A 37744-2022</t>
        </is>
      </c>
      <c r="B8803" t="inlineStr">
        <is>
          <t>avverkningsanmälan</t>
        </is>
      </c>
      <c r="C8803" t="inlineStr">
        <is>
          <t>Föryngringsavverkning</t>
        </is>
      </c>
      <c r="D8803" s="1" t="n">
        <v>44810</v>
      </c>
      <c r="E8803" s="1" t="n">
        <v>46326</v>
      </c>
      <c r="F8803" t="inlineStr">
        <is>
          <t>GÄVLEBORGS LÄN</t>
        </is>
      </c>
      <c r="G8803" t="inlineStr">
        <is>
          <t>HOFORS</t>
        </is>
      </c>
      <c r="I8803" t="n">
        <v>1.1</v>
      </c>
      <c r="J8803" t="n">
        <v>0</v>
      </c>
      <c r="K8803" t="n">
        <v>0</v>
      </c>
      <c r="L8803" t="n">
        <v>0</v>
      </c>
      <c r="M8803" t="n">
        <v>0</v>
      </c>
      <c r="N8803" t="n">
        <v>0</v>
      </c>
      <c r="O8803" t="n">
        <v>0</v>
      </c>
      <c r="P8803" t="n">
        <v>0</v>
      </c>
      <c r="Q8803" t="n">
        <v>0</v>
      </c>
      <c r="R8803" t="n">
        <v>0</v>
      </c>
      <c r="S8803" t="n">
        <v>0</v>
      </c>
      <c r="T8803" t="n">
        <v>0</v>
      </c>
      <c r="U8803" t="n">
        <v>0</v>
      </c>
      <c r="V8803" s="2" t="inlineStr"/>
    </row>
    <row r="8804" ht="15" customHeight="1">
      <c r="A8804" t="inlineStr">
        <is>
          <t>A 27379-2026</t>
        </is>
      </c>
      <c r="B8804" t="inlineStr">
        <is>
          <t>avverkningsanmälan</t>
        </is>
      </c>
      <c r="C8804" t="inlineStr">
        <is>
          <t>Föryngringsavverkning</t>
        </is>
      </c>
      <c r="D8804" s="1" t="n">
        <v>46189</v>
      </c>
      <c r="E8804" s="1" t="n">
        <v>46326</v>
      </c>
      <c r="F8804" t="inlineStr">
        <is>
          <t>GÄVLEBORGS LÄN</t>
        </is>
      </c>
      <c r="G8804" t="inlineStr">
        <is>
          <t>OCKELBO</t>
        </is>
      </c>
      <c r="I8804" t="n">
        <v>1.3</v>
      </c>
      <c r="J8804" t="n">
        <v>0</v>
      </c>
      <c r="K8804" t="n">
        <v>0</v>
      </c>
      <c r="L8804" t="n">
        <v>0</v>
      </c>
      <c r="M8804" t="n">
        <v>0</v>
      </c>
      <c r="N8804" t="n">
        <v>0</v>
      </c>
      <c r="O8804" t="n">
        <v>0</v>
      </c>
      <c r="P8804" t="n">
        <v>0</v>
      </c>
      <c r="Q8804" t="n">
        <v>0</v>
      </c>
      <c r="R8804" t="n">
        <v>0</v>
      </c>
      <c r="S8804" t="n">
        <v>0</v>
      </c>
      <c r="T8804" t="n">
        <v>0</v>
      </c>
      <c r="U8804" t="n">
        <v>0</v>
      </c>
      <c r="V8804" s="2" t="inlineStr"/>
    </row>
    <row r="8805" ht="15" customHeight="1">
      <c r="A8805" t="inlineStr">
        <is>
          <t>A 27382-2026</t>
        </is>
      </c>
      <c r="B8805" t="inlineStr">
        <is>
          <t>avverkningsanmälan</t>
        </is>
      </c>
      <c r="C8805" t="inlineStr">
        <is>
          <t>Föryngringsavverkning</t>
        </is>
      </c>
      <c r="D8805" s="1" t="n">
        <v>46189</v>
      </c>
      <c r="E8805" s="1" t="n">
        <v>46326</v>
      </c>
      <c r="F8805" t="inlineStr">
        <is>
          <t>GÄVLEBORGS LÄN</t>
        </is>
      </c>
      <c r="G8805" t="inlineStr">
        <is>
          <t>OCKELBO</t>
        </is>
      </c>
      <c r="H8805" t="inlineStr">
        <is>
          <t>Bergvik skog väst AB</t>
        </is>
      </c>
      <c r="I8805" t="n">
        <v>1.7</v>
      </c>
      <c r="J8805" t="n">
        <v>0</v>
      </c>
      <c r="K8805" t="n">
        <v>0</v>
      </c>
      <c r="L8805" t="n">
        <v>0</v>
      </c>
      <c r="M8805" t="n">
        <v>0</v>
      </c>
      <c r="N8805" t="n">
        <v>0</v>
      </c>
      <c r="O8805" t="n">
        <v>0</v>
      </c>
      <c r="P8805" t="n">
        <v>0</v>
      </c>
      <c r="Q8805" t="n">
        <v>0</v>
      </c>
      <c r="R8805" t="n">
        <v>0</v>
      </c>
      <c r="S8805" t="n">
        <v>0</v>
      </c>
      <c r="T8805" t="n">
        <v>0</v>
      </c>
      <c r="U8805" t="n">
        <v>0</v>
      </c>
      <c r="V8805" s="2" t="inlineStr"/>
    </row>
    <row r="8806" ht="15" customHeight="1">
      <c r="A8806" t="inlineStr">
        <is>
          <t>A 27410-2026</t>
        </is>
      </c>
      <c r="B8806" t="inlineStr">
        <is>
          <t>avverkningsanmälan</t>
        </is>
      </c>
      <c r="C8806" t="inlineStr">
        <is>
          <t>Föryngringsavverkning</t>
        </is>
      </c>
      <c r="D8806" s="1" t="n">
        <v>46189</v>
      </c>
      <c r="E8806" s="1" t="n">
        <v>46326</v>
      </c>
      <c r="F8806" t="inlineStr">
        <is>
          <t>GÄVLEBORGS LÄN</t>
        </is>
      </c>
      <c r="G8806" t="inlineStr">
        <is>
          <t>HUDIKSVALL</t>
        </is>
      </c>
      <c r="I8806" t="n">
        <v>13.9</v>
      </c>
      <c r="J8806" t="n">
        <v>0</v>
      </c>
      <c r="K8806" t="n">
        <v>0</v>
      </c>
      <c r="L8806" t="n">
        <v>0</v>
      </c>
      <c r="M8806" t="n">
        <v>0</v>
      </c>
      <c r="N8806" t="n">
        <v>0</v>
      </c>
      <c r="O8806" t="n">
        <v>0</v>
      </c>
      <c r="P8806" t="n">
        <v>0</v>
      </c>
      <c r="Q8806" t="n">
        <v>0</v>
      </c>
      <c r="R8806" t="n">
        <v>0</v>
      </c>
      <c r="S8806" t="n">
        <v>0</v>
      </c>
      <c r="T8806" t="n">
        <v>0</v>
      </c>
      <c r="U8806" t="n">
        <v>0</v>
      </c>
      <c r="V8806" s="2" t="inlineStr"/>
    </row>
    <row r="8807" ht="15" customHeight="1">
      <c r="A8807" t="inlineStr">
        <is>
          <t>A 30130-2024</t>
        </is>
      </c>
      <c r="B8807" t="inlineStr">
        <is>
          <t>avverkningsanmälan</t>
        </is>
      </c>
      <c r="C8807" t="inlineStr">
        <is>
          <t>Föryngringsavverkning</t>
        </is>
      </c>
      <c r="D8807" s="1" t="n">
        <v>45489</v>
      </c>
      <c r="E8807" s="1" t="n">
        <v>46326</v>
      </c>
      <c r="F8807" t="inlineStr">
        <is>
          <t>GÄVLEBORGS LÄN</t>
        </is>
      </c>
      <c r="G8807" t="inlineStr">
        <is>
          <t>NORDANSTIG</t>
        </is>
      </c>
      <c r="H8807" t="inlineStr">
        <is>
          <t>Holmen skog AB</t>
        </is>
      </c>
      <c r="I8807" t="n">
        <v>3.9</v>
      </c>
      <c r="J8807" t="n">
        <v>0</v>
      </c>
      <c r="K8807" t="n">
        <v>0</v>
      </c>
      <c r="L8807" t="n">
        <v>0</v>
      </c>
      <c r="M8807" t="n">
        <v>0</v>
      </c>
      <c r="N8807" t="n">
        <v>0</v>
      </c>
      <c r="O8807" t="n">
        <v>0</v>
      </c>
      <c r="P8807" t="n">
        <v>0</v>
      </c>
      <c r="Q8807" t="n">
        <v>0</v>
      </c>
      <c r="R8807" t="n">
        <v>0</v>
      </c>
      <c r="S8807" t="n">
        <v>0</v>
      </c>
      <c r="T8807" t="n">
        <v>0</v>
      </c>
      <c r="U8807" t="n">
        <v>0</v>
      </c>
      <c r="V8807" s="2" t="inlineStr"/>
    </row>
    <row r="8808" ht="15" customHeight="1">
      <c r="A8808" t="inlineStr">
        <is>
          <t>A 27510-2026</t>
        </is>
      </c>
      <c r="B8808" t="inlineStr">
        <is>
          <t>avverkningsanmälan</t>
        </is>
      </c>
      <c r="C8808" t="inlineStr">
        <is>
          <t>Föryngringsavverkning</t>
        </is>
      </c>
      <c r="D8808" s="1" t="n">
        <v>46189</v>
      </c>
      <c r="E8808" s="1" t="n">
        <v>46326</v>
      </c>
      <c r="F8808" t="inlineStr">
        <is>
          <t>GÄVLEBORGS LÄN</t>
        </is>
      </c>
      <c r="G8808" t="inlineStr">
        <is>
          <t>HUDIKSVALL</t>
        </is>
      </c>
      <c r="I8808" t="n">
        <v>4</v>
      </c>
      <c r="J8808" t="n">
        <v>0</v>
      </c>
      <c r="K8808" t="n">
        <v>0</v>
      </c>
      <c r="L8808" t="n">
        <v>0</v>
      </c>
      <c r="M8808" t="n">
        <v>0</v>
      </c>
      <c r="N8808" t="n">
        <v>0</v>
      </c>
      <c r="O8808" t="n">
        <v>0</v>
      </c>
      <c r="P8808" t="n">
        <v>0</v>
      </c>
      <c r="Q8808" t="n">
        <v>0</v>
      </c>
      <c r="R8808" t="n">
        <v>0</v>
      </c>
      <c r="S8808" t="n">
        <v>0</v>
      </c>
      <c r="T8808" t="n">
        <v>0</v>
      </c>
      <c r="U8808" t="n">
        <v>0</v>
      </c>
      <c r="V8808" s="2" t="inlineStr"/>
    </row>
    <row r="8809" ht="15" customHeight="1">
      <c r="A8809" t="inlineStr">
        <is>
          <t>A 2290-2025</t>
        </is>
      </c>
      <c r="B8809" t="inlineStr">
        <is>
          <t>avverkningsanmälan</t>
        </is>
      </c>
      <c r="C8809" t="inlineStr">
        <is>
          <t>Föryngringsavverkning</t>
        </is>
      </c>
      <c r="D8809" s="1" t="n">
        <v>45673</v>
      </c>
      <c r="E8809" s="1" t="n">
        <v>46326</v>
      </c>
      <c r="F8809" t="inlineStr">
        <is>
          <t>GÄVLEBORGS LÄN</t>
        </is>
      </c>
      <c r="G8809" t="inlineStr">
        <is>
          <t>SANDVIKEN</t>
        </is>
      </c>
      <c r="I8809" t="n">
        <v>2.1</v>
      </c>
      <c r="J8809" t="n">
        <v>0</v>
      </c>
      <c r="K8809" t="n">
        <v>0</v>
      </c>
      <c r="L8809" t="n">
        <v>0</v>
      </c>
      <c r="M8809" t="n">
        <v>0</v>
      </c>
      <c r="N8809" t="n">
        <v>0</v>
      </c>
      <c r="O8809" t="n">
        <v>0</v>
      </c>
      <c r="P8809" t="n">
        <v>0</v>
      </c>
      <c r="Q8809" t="n">
        <v>0</v>
      </c>
      <c r="R8809" t="n">
        <v>0</v>
      </c>
      <c r="S8809" t="n">
        <v>0</v>
      </c>
      <c r="T8809" t="n">
        <v>0</v>
      </c>
      <c r="U8809" t="n">
        <v>0</v>
      </c>
      <c r="V8809" s="2" t="inlineStr"/>
    </row>
    <row r="8810" ht="15" customHeight="1">
      <c r="A8810" t="inlineStr">
        <is>
          <t>A 53156-2024</t>
        </is>
      </c>
      <c r="B8810" t="inlineStr">
        <is>
          <t>avverkningsanmälan</t>
        </is>
      </c>
      <c r="C8810" t="inlineStr">
        <is>
          <t>Föryngringsavverkning</t>
        </is>
      </c>
      <c r="D8810" s="1" t="n">
        <v>45611</v>
      </c>
      <c r="E8810" s="1" t="n">
        <v>46326</v>
      </c>
      <c r="F8810" t="inlineStr">
        <is>
          <t>GÄVLEBORGS LÄN</t>
        </is>
      </c>
      <c r="G8810" t="inlineStr">
        <is>
          <t>HUDIKSVALL</t>
        </is>
      </c>
      <c r="I8810" t="n">
        <v>2.6</v>
      </c>
      <c r="J8810" t="n">
        <v>0</v>
      </c>
      <c r="K8810" t="n">
        <v>0</v>
      </c>
      <c r="L8810" t="n">
        <v>0</v>
      </c>
      <c r="M8810" t="n">
        <v>0</v>
      </c>
      <c r="N8810" t="n">
        <v>0</v>
      </c>
      <c r="O8810" t="n">
        <v>0</v>
      </c>
      <c r="P8810" t="n">
        <v>0</v>
      </c>
      <c r="Q8810" t="n">
        <v>0</v>
      </c>
      <c r="R8810" t="n">
        <v>0</v>
      </c>
      <c r="S8810" t="n">
        <v>0</v>
      </c>
      <c r="T8810" t="n">
        <v>0</v>
      </c>
      <c r="U8810" t="n">
        <v>0</v>
      </c>
      <c r="V8810" s="2" t="inlineStr"/>
    </row>
    <row r="8811" ht="15" customHeight="1">
      <c r="A8811" t="inlineStr">
        <is>
          <t>A 30336-2022</t>
        </is>
      </c>
      <c r="B8811" t="inlineStr">
        <is>
          <t>avverkningsanmälan</t>
        </is>
      </c>
      <c r="C8811" t="inlineStr">
        <is>
          <t>Föryngringsavverkning</t>
        </is>
      </c>
      <c r="D8811" s="1" t="n">
        <v>44760</v>
      </c>
      <c r="E8811" s="1" t="n">
        <v>46326</v>
      </c>
      <c r="F8811" t="inlineStr">
        <is>
          <t>GÄVLEBORGS LÄN</t>
        </is>
      </c>
      <c r="G8811" t="inlineStr">
        <is>
          <t>SÖDERHAMN</t>
        </is>
      </c>
      <c r="I8811" t="n">
        <v>1.9</v>
      </c>
      <c r="J8811" t="n">
        <v>0</v>
      </c>
      <c r="K8811" t="n">
        <v>0</v>
      </c>
      <c r="L8811" t="n">
        <v>0</v>
      </c>
      <c r="M8811" t="n">
        <v>0</v>
      </c>
      <c r="N8811" t="n">
        <v>0</v>
      </c>
      <c r="O8811" t="n">
        <v>0</v>
      </c>
      <c r="P8811" t="n">
        <v>0</v>
      </c>
      <c r="Q8811" t="n">
        <v>0</v>
      </c>
      <c r="R8811" t="n">
        <v>0</v>
      </c>
      <c r="S8811" t="n">
        <v>0</v>
      </c>
      <c r="T8811" t="n">
        <v>0</v>
      </c>
      <c r="U8811" t="n">
        <v>0</v>
      </c>
      <c r="V8811" s="2" t="inlineStr"/>
    </row>
    <row r="8812" ht="15" customHeight="1">
      <c r="A8812" t="inlineStr">
        <is>
          <t>A 4153-2026</t>
        </is>
      </c>
      <c r="B8812" t="inlineStr">
        <is>
          <t>avverkningsanmälan</t>
        </is>
      </c>
      <c r="C8812" t="inlineStr">
        <is>
          <t>Föryngringsavverkning</t>
        </is>
      </c>
      <c r="D8812" s="1" t="n">
        <v>46044</v>
      </c>
      <c r="E8812" s="1" t="n">
        <v>46326</v>
      </c>
      <c r="F8812" t="inlineStr">
        <is>
          <t>GÄVLEBORGS LÄN</t>
        </is>
      </c>
      <c r="G8812" t="inlineStr">
        <is>
          <t>OVANÅKER</t>
        </is>
      </c>
      <c r="I8812" t="n">
        <v>1.9</v>
      </c>
      <c r="J8812" t="n">
        <v>0</v>
      </c>
      <c r="K8812" t="n">
        <v>0</v>
      </c>
      <c r="L8812" t="n">
        <v>0</v>
      </c>
      <c r="M8812" t="n">
        <v>0</v>
      </c>
      <c r="N8812" t="n">
        <v>0</v>
      </c>
      <c r="O8812" t="n">
        <v>0</v>
      </c>
      <c r="P8812" t="n">
        <v>0</v>
      </c>
      <c r="Q8812" t="n">
        <v>0</v>
      </c>
      <c r="R8812" t="n">
        <v>0</v>
      </c>
      <c r="S8812" t="n">
        <v>0</v>
      </c>
      <c r="T8812" t="n">
        <v>0</v>
      </c>
      <c r="U8812" t="n">
        <v>0</v>
      </c>
      <c r="V8812" s="2" t="inlineStr"/>
    </row>
    <row r="8813" ht="15" customHeight="1">
      <c r="A8813" t="inlineStr">
        <is>
          <t>A 33987-2023</t>
        </is>
      </c>
      <c r="B8813" t="inlineStr">
        <is>
          <t>avverkningsanmälan</t>
        </is>
      </c>
      <c r="C8813" t="inlineStr">
        <is>
          <t>Föryngringsavverkning</t>
        </is>
      </c>
      <c r="D8813" s="1" t="n">
        <v>45134</v>
      </c>
      <c r="E8813" s="1" t="n">
        <v>46326</v>
      </c>
      <c r="F8813" t="inlineStr">
        <is>
          <t>GÄVLEBORGS LÄN</t>
        </is>
      </c>
      <c r="G8813" t="inlineStr">
        <is>
          <t>OCKELBO</t>
        </is>
      </c>
      <c r="H8813" t="inlineStr">
        <is>
          <t>Bergvik skog väst AB</t>
        </is>
      </c>
      <c r="I8813" t="n">
        <v>1.2</v>
      </c>
      <c r="J8813" t="n">
        <v>0</v>
      </c>
      <c r="K8813" t="n">
        <v>0</v>
      </c>
      <c r="L8813" t="n">
        <v>0</v>
      </c>
      <c r="M8813" t="n">
        <v>0</v>
      </c>
      <c r="N8813" t="n">
        <v>0</v>
      </c>
      <c r="O8813" t="n">
        <v>0</v>
      </c>
      <c r="P8813" t="n">
        <v>0</v>
      </c>
      <c r="Q8813" t="n">
        <v>0</v>
      </c>
      <c r="R8813" t="n">
        <v>0</v>
      </c>
      <c r="S8813" t="n">
        <v>0</v>
      </c>
      <c r="T8813" t="n">
        <v>0</v>
      </c>
      <c r="U8813" t="n">
        <v>0</v>
      </c>
      <c r="V8813" s="2" t="inlineStr"/>
    </row>
    <row r="8814" ht="15" customHeight="1">
      <c r="A8814" t="inlineStr">
        <is>
          <t>A 17088-2023</t>
        </is>
      </c>
      <c r="B8814" t="inlineStr">
        <is>
          <t>avverkningsanmälan</t>
        </is>
      </c>
      <c r="C8814" t="inlineStr">
        <is>
          <t>Föryngringsavverkning</t>
        </is>
      </c>
      <c r="D8814" s="1" t="n">
        <v>45034</v>
      </c>
      <c r="E8814" s="1" t="n">
        <v>46326</v>
      </c>
      <c r="F8814" t="inlineStr">
        <is>
          <t>GÄVLEBORGS LÄN</t>
        </is>
      </c>
      <c r="G8814" t="inlineStr">
        <is>
          <t>GÄVLE</t>
        </is>
      </c>
      <c r="H8814" t="inlineStr">
        <is>
          <t>Bergvik skog öst AB</t>
        </is>
      </c>
      <c r="I8814" t="n">
        <v>1.6</v>
      </c>
      <c r="J8814" t="n">
        <v>0</v>
      </c>
      <c r="K8814" t="n">
        <v>0</v>
      </c>
      <c r="L8814" t="n">
        <v>0</v>
      </c>
      <c r="M8814" t="n">
        <v>0</v>
      </c>
      <c r="N8814" t="n">
        <v>0</v>
      </c>
      <c r="O8814" t="n">
        <v>0</v>
      </c>
      <c r="P8814" t="n">
        <v>0</v>
      </c>
      <c r="Q8814" t="n">
        <v>0</v>
      </c>
      <c r="R8814" t="n">
        <v>0</v>
      </c>
      <c r="S8814" t="n">
        <v>0</v>
      </c>
      <c r="T8814" t="n">
        <v>0</v>
      </c>
      <c r="U8814" t="n">
        <v>0</v>
      </c>
      <c r="V8814" s="2" t="inlineStr"/>
    </row>
    <row r="8815" ht="15" customHeight="1">
      <c r="A8815" t="inlineStr">
        <is>
          <t>A 1676-2026</t>
        </is>
      </c>
      <c r="B8815" t="inlineStr">
        <is>
          <t>avverkningsanmälan</t>
        </is>
      </c>
      <c r="C8815" t="inlineStr">
        <is>
          <t>Föryngringsavverkning</t>
        </is>
      </c>
      <c r="D8815" s="1" t="n">
        <v>46034</v>
      </c>
      <c r="E8815" s="1" t="n">
        <v>46326</v>
      </c>
      <c r="F8815" t="inlineStr">
        <is>
          <t>GÄVLEBORGS LÄN</t>
        </is>
      </c>
      <c r="G8815" t="inlineStr">
        <is>
          <t>SANDVIKEN</t>
        </is>
      </c>
      <c r="I8815" t="n">
        <v>2.2</v>
      </c>
      <c r="J8815" t="n">
        <v>0</v>
      </c>
      <c r="K8815" t="n">
        <v>0</v>
      </c>
      <c r="L8815" t="n">
        <v>0</v>
      </c>
      <c r="M8815" t="n">
        <v>0</v>
      </c>
      <c r="N8815" t="n">
        <v>0</v>
      </c>
      <c r="O8815" t="n">
        <v>0</v>
      </c>
      <c r="P8815" t="n">
        <v>0</v>
      </c>
      <c r="Q8815" t="n">
        <v>0</v>
      </c>
      <c r="R8815" t="n">
        <v>0</v>
      </c>
      <c r="S8815" t="n">
        <v>0</v>
      </c>
      <c r="T8815" t="n">
        <v>0</v>
      </c>
      <c r="U8815" t="n">
        <v>0</v>
      </c>
      <c r="V8815" s="2" t="inlineStr"/>
    </row>
    <row r="8816" ht="15" customHeight="1">
      <c r="A8816" t="inlineStr">
        <is>
          <t>A 27891-2026</t>
        </is>
      </c>
      <c r="B8816" t="inlineStr">
        <is>
          <t>avverkningsanmälan</t>
        </is>
      </c>
      <c r="C8816" t="inlineStr">
        <is>
          <t>Föryngringsavverkning</t>
        </is>
      </c>
      <c r="D8816" s="1" t="n">
        <v>46191</v>
      </c>
      <c r="E8816" s="1" t="n">
        <v>46326</v>
      </c>
      <c r="F8816" t="inlineStr">
        <is>
          <t>GÄVLEBORGS LÄN</t>
        </is>
      </c>
      <c r="G8816" t="inlineStr">
        <is>
          <t>HUDIKSVALL</t>
        </is>
      </c>
      <c r="I8816" t="n">
        <v>1.1</v>
      </c>
      <c r="J8816" t="n">
        <v>0</v>
      </c>
      <c r="K8816" t="n">
        <v>0</v>
      </c>
      <c r="L8816" t="n">
        <v>0</v>
      </c>
      <c r="M8816" t="n">
        <v>0</v>
      </c>
      <c r="N8816" t="n">
        <v>0</v>
      </c>
      <c r="O8816" t="n">
        <v>0</v>
      </c>
      <c r="P8816" t="n">
        <v>0</v>
      </c>
      <c r="Q8816" t="n">
        <v>0</v>
      </c>
      <c r="R8816" t="n">
        <v>0</v>
      </c>
      <c r="S8816" t="n">
        <v>0</v>
      </c>
      <c r="T8816" t="n">
        <v>0</v>
      </c>
      <c r="U8816" t="n">
        <v>0</v>
      </c>
      <c r="V8816" s="2" t="inlineStr"/>
    </row>
    <row r="8817" ht="15" customHeight="1">
      <c r="A8817" t="inlineStr">
        <is>
          <t>A 20253-2026</t>
        </is>
      </c>
      <c r="B8817" t="inlineStr">
        <is>
          <t>avverkningsanmälan</t>
        </is>
      </c>
      <c r="C8817" t="inlineStr">
        <is>
          <t>Föryngringsavverkning</t>
        </is>
      </c>
      <c r="D8817" s="1" t="n">
        <v>46139</v>
      </c>
      <c r="E8817" s="1" t="n">
        <v>46326</v>
      </c>
      <c r="F8817" t="inlineStr">
        <is>
          <t>GÄVLEBORGS LÄN</t>
        </is>
      </c>
      <c r="G8817" t="inlineStr">
        <is>
          <t>HUDIKSVALL</t>
        </is>
      </c>
      <c r="H8817" t="inlineStr">
        <is>
          <t>Holmen skog AB</t>
        </is>
      </c>
      <c r="I8817" t="n">
        <v>3.4</v>
      </c>
      <c r="J8817" t="n">
        <v>0</v>
      </c>
      <c r="K8817" t="n">
        <v>0</v>
      </c>
      <c r="L8817" t="n">
        <v>0</v>
      </c>
      <c r="M8817" t="n">
        <v>0</v>
      </c>
      <c r="N8817" t="n">
        <v>0</v>
      </c>
      <c r="O8817" t="n">
        <v>0</v>
      </c>
      <c r="P8817" t="n">
        <v>0</v>
      </c>
      <c r="Q8817" t="n">
        <v>0</v>
      </c>
      <c r="R8817" t="n">
        <v>0</v>
      </c>
      <c r="S8817" t="n">
        <v>0</v>
      </c>
      <c r="T8817" t="n">
        <v>0</v>
      </c>
      <c r="U8817" t="n">
        <v>0</v>
      </c>
      <c r="V8817" s="2" t="inlineStr"/>
    </row>
    <row r="8818" ht="15" customHeight="1">
      <c r="A8818" t="inlineStr">
        <is>
          <t>A 27743-2026</t>
        </is>
      </c>
      <c r="B8818" t="inlineStr">
        <is>
          <t>avverkningsanmälan</t>
        </is>
      </c>
      <c r="C8818" t="inlineStr">
        <is>
          <t>Föryngringsavverkning</t>
        </is>
      </c>
      <c r="D8818" s="1" t="n">
        <v>46191</v>
      </c>
      <c r="E8818" s="1" t="n">
        <v>46326</v>
      </c>
      <c r="F8818" t="inlineStr">
        <is>
          <t>GÄVLEBORGS LÄN</t>
        </is>
      </c>
      <c r="G8818" t="inlineStr">
        <is>
          <t>SANDVIKEN</t>
        </is>
      </c>
      <c r="I8818" t="n">
        <v>1.6</v>
      </c>
      <c r="J8818" t="n">
        <v>0</v>
      </c>
      <c r="K8818" t="n">
        <v>0</v>
      </c>
      <c r="L8818" t="n">
        <v>0</v>
      </c>
      <c r="M8818" t="n">
        <v>0</v>
      </c>
      <c r="N8818" t="n">
        <v>0</v>
      </c>
      <c r="O8818" t="n">
        <v>0</v>
      </c>
      <c r="P8818" t="n">
        <v>0</v>
      </c>
      <c r="Q8818" t="n">
        <v>0</v>
      </c>
      <c r="R8818" t="n">
        <v>0</v>
      </c>
      <c r="S8818" t="n">
        <v>0</v>
      </c>
      <c r="T8818" t="n">
        <v>0</v>
      </c>
      <c r="U8818" t="n">
        <v>0</v>
      </c>
      <c r="V8818" s="2" t="inlineStr"/>
    </row>
    <row r="8819" ht="15" customHeight="1">
      <c r="A8819" t="inlineStr">
        <is>
          <t>A 27748-2026</t>
        </is>
      </c>
      <c r="B8819" t="inlineStr">
        <is>
          <t>avverkningsanmälan</t>
        </is>
      </c>
      <c r="C8819" t="inlineStr">
        <is>
          <t>Föryngringsavverkning</t>
        </is>
      </c>
      <c r="D8819" s="1" t="n">
        <v>46191</v>
      </c>
      <c r="E8819" s="1" t="n">
        <v>46326</v>
      </c>
      <c r="F8819" t="inlineStr">
        <is>
          <t>GÄVLEBORGS LÄN</t>
        </is>
      </c>
      <c r="G8819" t="inlineStr">
        <is>
          <t>BOLLNÄS</t>
        </is>
      </c>
      <c r="I8819" t="n">
        <v>10.8</v>
      </c>
      <c r="J8819" t="n">
        <v>0</v>
      </c>
      <c r="K8819" t="n">
        <v>0</v>
      </c>
      <c r="L8819" t="n">
        <v>0</v>
      </c>
      <c r="M8819" t="n">
        <v>0</v>
      </c>
      <c r="N8819" t="n">
        <v>0</v>
      </c>
      <c r="O8819" t="n">
        <v>0</v>
      </c>
      <c r="P8819" t="n">
        <v>0</v>
      </c>
      <c r="Q8819" t="n">
        <v>0</v>
      </c>
      <c r="R8819" t="n">
        <v>0</v>
      </c>
      <c r="S8819" t="n">
        <v>0</v>
      </c>
      <c r="T8819" t="n">
        <v>0</v>
      </c>
      <c r="U8819" t="n">
        <v>0</v>
      </c>
      <c r="V8819" s="2" t="inlineStr"/>
    </row>
    <row r="8820" ht="15" customHeight="1">
      <c r="A8820" t="inlineStr">
        <is>
          <t>A 27753-2026</t>
        </is>
      </c>
      <c r="B8820" t="inlineStr">
        <is>
          <t>avverkningsanmälan</t>
        </is>
      </c>
      <c r="C8820" t="inlineStr">
        <is>
          <t>Föryngringsavverkning</t>
        </is>
      </c>
      <c r="D8820" s="1" t="n">
        <v>46191</v>
      </c>
      <c r="E8820" s="1" t="n">
        <v>46326</v>
      </c>
      <c r="F8820" t="inlineStr">
        <is>
          <t>GÄVLEBORGS LÄN</t>
        </is>
      </c>
      <c r="G8820" t="inlineStr">
        <is>
          <t>BOLLNÄS</t>
        </is>
      </c>
      <c r="I8820" t="n">
        <v>0.9</v>
      </c>
      <c r="J8820" t="n">
        <v>0</v>
      </c>
      <c r="K8820" t="n">
        <v>0</v>
      </c>
      <c r="L8820" t="n">
        <v>0</v>
      </c>
      <c r="M8820" t="n">
        <v>0</v>
      </c>
      <c r="N8820" t="n">
        <v>0</v>
      </c>
      <c r="O8820" t="n">
        <v>0</v>
      </c>
      <c r="P8820" t="n">
        <v>0</v>
      </c>
      <c r="Q8820" t="n">
        <v>0</v>
      </c>
      <c r="R8820" t="n">
        <v>0</v>
      </c>
      <c r="S8820" t="n">
        <v>0</v>
      </c>
      <c r="T8820" t="n">
        <v>0</v>
      </c>
      <c r="U8820" t="n">
        <v>0</v>
      </c>
      <c r="V8820" s="2" t="inlineStr"/>
    </row>
    <row r="8821" ht="15" customHeight="1">
      <c r="A8821" t="inlineStr">
        <is>
          <t>A 43673-2023</t>
        </is>
      </c>
      <c r="B8821" t="inlineStr">
        <is>
          <t>avverkningsanmälan</t>
        </is>
      </c>
      <c r="C8821" t="inlineStr">
        <is>
          <t>Föryngringsavverkning</t>
        </is>
      </c>
      <c r="D8821" s="1" t="n">
        <v>45187</v>
      </c>
      <c r="E8821" s="1" t="n">
        <v>46326</v>
      </c>
      <c r="F8821" t="inlineStr">
        <is>
          <t>GÄVLEBORGS LÄN</t>
        </is>
      </c>
      <c r="G8821" t="inlineStr">
        <is>
          <t>LJUSDAL</t>
        </is>
      </c>
      <c r="H8821" t="inlineStr">
        <is>
          <t>Bergvik skog väst AB</t>
        </is>
      </c>
      <c r="I8821" t="n">
        <v>2.1</v>
      </c>
      <c r="J8821" t="n">
        <v>0</v>
      </c>
      <c r="K8821" t="n">
        <v>0</v>
      </c>
      <c r="L8821" t="n">
        <v>0</v>
      </c>
      <c r="M8821" t="n">
        <v>0</v>
      </c>
      <c r="N8821" t="n">
        <v>0</v>
      </c>
      <c r="O8821" t="n">
        <v>0</v>
      </c>
      <c r="P8821" t="n">
        <v>0</v>
      </c>
      <c r="Q8821" t="n">
        <v>0</v>
      </c>
      <c r="R8821" t="n">
        <v>0</v>
      </c>
      <c r="S8821" t="n">
        <v>0</v>
      </c>
      <c r="T8821" t="n">
        <v>0</v>
      </c>
      <c r="U8821" t="n">
        <v>0</v>
      </c>
      <c r="V8821" s="2" t="inlineStr"/>
    </row>
    <row r="8822" ht="15" customHeight="1">
      <c r="A8822" t="inlineStr">
        <is>
          <t>A 8235-2026</t>
        </is>
      </c>
      <c r="B8822" t="inlineStr">
        <is>
          <t>avverkningsanmälan</t>
        </is>
      </c>
      <c r="C8822" t="inlineStr">
        <is>
          <t>Föryngringsavverkning</t>
        </is>
      </c>
      <c r="D8822" s="1" t="n">
        <v>46064</v>
      </c>
      <c r="E8822" s="1" t="n">
        <v>46326</v>
      </c>
      <c r="F8822" t="inlineStr">
        <is>
          <t>GÄVLEBORGS LÄN</t>
        </is>
      </c>
      <c r="G8822" t="inlineStr">
        <is>
          <t>BOLLNÄS</t>
        </is>
      </c>
      <c r="H8822" t="inlineStr">
        <is>
          <t>Bergvik skog väst AB</t>
        </is>
      </c>
      <c r="I8822" t="n">
        <v>1.1</v>
      </c>
      <c r="J8822" t="n">
        <v>0</v>
      </c>
      <c r="K8822" t="n">
        <v>0</v>
      </c>
      <c r="L8822" t="n">
        <v>0</v>
      </c>
      <c r="M8822" t="n">
        <v>0</v>
      </c>
      <c r="N8822" t="n">
        <v>0</v>
      </c>
      <c r="O8822" t="n">
        <v>0</v>
      </c>
      <c r="P8822" t="n">
        <v>0</v>
      </c>
      <c r="Q8822" t="n">
        <v>0</v>
      </c>
      <c r="R8822" t="n">
        <v>0</v>
      </c>
      <c r="S8822" t="n">
        <v>0</v>
      </c>
      <c r="T8822" t="n">
        <v>0</v>
      </c>
      <c r="U8822" t="n">
        <v>0</v>
      </c>
      <c r="V8822" s="2" t="inlineStr"/>
    </row>
    <row r="8823" ht="15" customHeight="1">
      <c r="A8823" t="inlineStr">
        <is>
          <t>A 27889-2026</t>
        </is>
      </c>
      <c r="B8823" t="inlineStr">
        <is>
          <t>avverkningsanmälan</t>
        </is>
      </c>
      <c r="C8823" t="inlineStr">
        <is>
          <t>Föryngringsavverkning</t>
        </is>
      </c>
      <c r="D8823" s="1" t="n">
        <v>46191</v>
      </c>
      <c r="E8823" s="1" t="n">
        <v>46326</v>
      </c>
      <c r="F8823" t="inlineStr">
        <is>
          <t>GÄVLEBORGS LÄN</t>
        </is>
      </c>
      <c r="G8823" t="inlineStr">
        <is>
          <t>OCKELBO</t>
        </is>
      </c>
      <c r="H8823" t="inlineStr">
        <is>
          <t>Bergvik skog väst AB</t>
        </is>
      </c>
      <c r="I8823" t="n">
        <v>0.9</v>
      </c>
      <c r="J8823" t="n">
        <v>0</v>
      </c>
      <c r="K8823" t="n">
        <v>0</v>
      </c>
      <c r="L8823" t="n">
        <v>0</v>
      </c>
      <c r="M8823" t="n">
        <v>0</v>
      </c>
      <c r="N8823" t="n">
        <v>0</v>
      </c>
      <c r="O8823" t="n">
        <v>0</v>
      </c>
      <c r="P8823" t="n">
        <v>0</v>
      </c>
      <c r="Q8823" t="n">
        <v>0</v>
      </c>
      <c r="R8823" t="n">
        <v>0</v>
      </c>
      <c r="S8823" t="n">
        <v>0</v>
      </c>
      <c r="T8823" t="n">
        <v>0</v>
      </c>
      <c r="U8823" t="n">
        <v>0</v>
      </c>
      <c r="V8823" s="2" t="inlineStr"/>
    </row>
    <row r="8824" ht="15" customHeight="1">
      <c r="A8824" t="inlineStr">
        <is>
          <t>A 33879-2023</t>
        </is>
      </c>
      <c r="B8824" t="inlineStr">
        <is>
          <t>avverkningsanmälan</t>
        </is>
      </c>
      <c r="C8824" t="inlineStr">
        <is>
          <t>Föryngringsavverkning</t>
        </is>
      </c>
      <c r="D8824" s="1" t="n">
        <v>45134</v>
      </c>
      <c r="E8824" s="1" t="n">
        <v>46326</v>
      </c>
      <c r="F8824" t="inlineStr">
        <is>
          <t>GÄVLEBORGS LÄN</t>
        </is>
      </c>
      <c r="G8824" t="inlineStr">
        <is>
          <t>OCKELBO</t>
        </is>
      </c>
      <c r="H8824" t="inlineStr">
        <is>
          <t>Bergvik skog väst AB</t>
        </is>
      </c>
      <c r="I8824" t="n">
        <v>4</v>
      </c>
      <c r="J8824" t="n">
        <v>0</v>
      </c>
      <c r="K8824" t="n">
        <v>0</v>
      </c>
      <c r="L8824" t="n">
        <v>0</v>
      </c>
      <c r="M8824" t="n">
        <v>0</v>
      </c>
      <c r="N8824" t="n">
        <v>0</v>
      </c>
      <c r="O8824" t="n">
        <v>0</v>
      </c>
      <c r="P8824" t="n">
        <v>0</v>
      </c>
      <c r="Q8824" t="n">
        <v>0</v>
      </c>
      <c r="R8824" t="n">
        <v>0</v>
      </c>
      <c r="S8824" t="n">
        <v>0</v>
      </c>
      <c r="T8824" t="n">
        <v>0</v>
      </c>
      <c r="U8824" t="n">
        <v>0</v>
      </c>
      <c r="V8824" s="2" t="inlineStr"/>
    </row>
    <row r="8825" ht="15" customHeight="1">
      <c r="A8825" t="inlineStr">
        <is>
          <t>A 7792-2023</t>
        </is>
      </c>
      <c r="B8825" t="inlineStr">
        <is>
          <t>avverkningsanmälan</t>
        </is>
      </c>
      <c r="C8825" t="inlineStr">
        <is>
          <t>Föryngringsavverkning</t>
        </is>
      </c>
      <c r="D8825" s="1" t="n">
        <v>44973</v>
      </c>
      <c r="E8825" s="1" t="n">
        <v>46326</v>
      </c>
      <c r="F8825" t="inlineStr">
        <is>
          <t>GÄVLEBORGS LÄN</t>
        </is>
      </c>
      <c r="G8825" t="inlineStr">
        <is>
          <t>GÄVLE</t>
        </is>
      </c>
      <c r="I8825" t="n">
        <v>1.3</v>
      </c>
      <c r="J8825" t="n">
        <v>0</v>
      </c>
      <c r="K8825" t="n">
        <v>0</v>
      </c>
      <c r="L8825" t="n">
        <v>0</v>
      </c>
      <c r="M8825" t="n">
        <v>0</v>
      </c>
      <c r="N8825" t="n">
        <v>0</v>
      </c>
      <c r="O8825" t="n">
        <v>0</v>
      </c>
      <c r="P8825" t="n">
        <v>0</v>
      </c>
      <c r="Q8825" t="n">
        <v>0</v>
      </c>
      <c r="R8825" t="n">
        <v>0</v>
      </c>
      <c r="S8825" t="n">
        <v>0</v>
      </c>
      <c r="T8825" t="n">
        <v>0</v>
      </c>
      <c r="U8825" t="n">
        <v>0</v>
      </c>
      <c r="V8825" s="2" t="inlineStr"/>
    </row>
    <row r="8826" ht="15" customHeight="1">
      <c r="A8826" t="inlineStr">
        <is>
          <t>A 19164-2026</t>
        </is>
      </c>
      <c r="B8826" t="inlineStr">
        <is>
          <t>avverkningsanmälan</t>
        </is>
      </c>
      <c r="C8826" t="inlineStr">
        <is>
          <t>Föryngringsavverkning</t>
        </is>
      </c>
      <c r="D8826" s="1" t="n">
        <v>46132</v>
      </c>
      <c r="E8826" s="1" t="n">
        <v>46326</v>
      </c>
      <c r="F8826" t="inlineStr">
        <is>
          <t>GÄVLEBORGS LÄN</t>
        </is>
      </c>
      <c r="G8826" t="inlineStr">
        <is>
          <t>GÄVLE</t>
        </is>
      </c>
      <c r="I8826" t="n">
        <v>2.5</v>
      </c>
      <c r="J8826" t="n">
        <v>0</v>
      </c>
      <c r="K8826" t="n">
        <v>0</v>
      </c>
      <c r="L8826" t="n">
        <v>0</v>
      </c>
      <c r="M8826" t="n">
        <v>0</v>
      </c>
      <c r="N8826" t="n">
        <v>0</v>
      </c>
      <c r="O8826" t="n">
        <v>0</v>
      </c>
      <c r="P8826" t="n">
        <v>0</v>
      </c>
      <c r="Q8826" t="n">
        <v>0</v>
      </c>
      <c r="R8826" t="n">
        <v>0</v>
      </c>
      <c r="S8826" t="n">
        <v>0</v>
      </c>
      <c r="T8826" t="n">
        <v>0</v>
      </c>
      <c r="U8826" t="n">
        <v>0</v>
      </c>
      <c r="V8826" s="2" t="inlineStr"/>
    </row>
    <row r="8827" ht="15" customHeight="1">
      <c r="A8827" t="inlineStr">
        <is>
          <t>A 8378-2026</t>
        </is>
      </c>
      <c r="B8827" t="inlineStr">
        <is>
          <t>avverkningsanmälan</t>
        </is>
      </c>
      <c r="C8827" t="inlineStr">
        <is>
          <t>Föryngringsavverkning</t>
        </is>
      </c>
      <c r="D8827" s="1" t="n">
        <v>46064</v>
      </c>
      <c r="E8827" s="1" t="n">
        <v>46326</v>
      </c>
      <c r="F8827" t="inlineStr">
        <is>
          <t>GÄVLEBORGS LÄN</t>
        </is>
      </c>
      <c r="G8827" t="inlineStr">
        <is>
          <t>OVANÅKER</t>
        </is>
      </c>
      <c r="I8827" t="n">
        <v>7.3</v>
      </c>
      <c r="J8827" t="n">
        <v>0</v>
      </c>
      <c r="K8827" t="n">
        <v>0</v>
      </c>
      <c r="L8827" t="n">
        <v>0</v>
      </c>
      <c r="M8827" t="n">
        <v>0</v>
      </c>
      <c r="N8827" t="n">
        <v>0</v>
      </c>
      <c r="O8827" t="n">
        <v>0</v>
      </c>
      <c r="P8827" t="n">
        <v>0</v>
      </c>
      <c r="Q8827" t="n">
        <v>0</v>
      </c>
      <c r="R8827" t="n">
        <v>0</v>
      </c>
      <c r="S8827" t="n">
        <v>0</v>
      </c>
      <c r="T8827" t="n">
        <v>0</v>
      </c>
      <c r="U8827" t="n">
        <v>0</v>
      </c>
      <c r="V8827" s="2" t="inlineStr"/>
    </row>
    <row r="8828" ht="15" customHeight="1">
      <c r="A8828" t="inlineStr">
        <is>
          <t>A 28845-2026</t>
        </is>
      </c>
      <c r="B8828" t="inlineStr">
        <is>
          <t>avverkningsanmälan</t>
        </is>
      </c>
      <c r="C8828" t="inlineStr">
        <is>
          <t>Föryngringsavverkning</t>
        </is>
      </c>
      <c r="D8828" s="1" t="n">
        <v>46195</v>
      </c>
      <c r="E8828" s="1" t="n">
        <v>46326</v>
      </c>
      <c r="F8828" t="inlineStr">
        <is>
          <t>GÄVLEBORGS LÄN</t>
        </is>
      </c>
      <c r="G8828" t="inlineStr">
        <is>
          <t>SANDVIKEN</t>
        </is>
      </c>
      <c r="H8828" t="inlineStr">
        <is>
          <t>Sveaskog</t>
        </is>
      </c>
      <c r="I8828" t="n">
        <v>2.2</v>
      </c>
      <c r="J8828" t="n">
        <v>0</v>
      </c>
      <c r="K8828" t="n">
        <v>0</v>
      </c>
      <c r="L8828" t="n">
        <v>0</v>
      </c>
      <c r="M8828" t="n">
        <v>0</v>
      </c>
      <c r="N8828" t="n">
        <v>0</v>
      </c>
      <c r="O8828" t="n">
        <v>0</v>
      </c>
      <c r="P8828" t="n">
        <v>0</v>
      </c>
      <c r="Q8828" t="n">
        <v>0</v>
      </c>
      <c r="R8828" t="n">
        <v>0</v>
      </c>
      <c r="S8828" t="n">
        <v>0</v>
      </c>
      <c r="T8828" t="n">
        <v>0</v>
      </c>
      <c r="U8828" t="n">
        <v>0</v>
      </c>
      <c r="V8828" s="2" t="inlineStr"/>
    </row>
    <row r="8829" ht="15" customHeight="1">
      <c r="A8829" t="inlineStr">
        <is>
          <t>A 27827-2026</t>
        </is>
      </c>
      <c r="B8829" t="inlineStr">
        <is>
          <t>avverkningsanmälan</t>
        </is>
      </c>
      <c r="C8829" t="inlineStr">
        <is>
          <t>Föryngringsavverkning</t>
        </is>
      </c>
      <c r="D8829" s="1" t="n">
        <v>46191</v>
      </c>
      <c r="E8829" s="1" t="n">
        <v>46326</v>
      </c>
      <c r="F8829" t="inlineStr">
        <is>
          <t>GÄVLEBORGS LÄN</t>
        </is>
      </c>
      <c r="G8829" t="inlineStr">
        <is>
          <t>HUDIKSVALL</t>
        </is>
      </c>
      <c r="H8829" t="inlineStr">
        <is>
          <t>Holmen skog AB</t>
        </is>
      </c>
      <c r="I8829" t="n">
        <v>6.9</v>
      </c>
      <c r="J8829" t="n">
        <v>0</v>
      </c>
      <c r="K8829" t="n">
        <v>0</v>
      </c>
      <c r="L8829" t="n">
        <v>0</v>
      </c>
      <c r="M8829" t="n">
        <v>0</v>
      </c>
      <c r="N8829" t="n">
        <v>0</v>
      </c>
      <c r="O8829" t="n">
        <v>0</v>
      </c>
      <c r="P8829" t="n">
        <v>0</v>
      </c>
      <c r="Q8829" t="n">
        <v>0</v>
      </c>
      <c r="R8829" t="n">
        <v>0</v>
      </c>
      <c r="S8829" t="n">
        <v>0</v>
      </c>
      <c r="T8829" t="n">
        <v>0</v>
      </c>
      <c r="U8829" t="n">
        <v>0</v>
      </c>
      <c r="V8829" s="2" t="inlineStr"/>
    </row>
    <row r="8830" ht="15" customHeight="1">
      <c r="A8830" t="inlineStr">
        <is>
          <t>A 25402-2024</t>
        </is>
      </c>
      <c r="B8830" t="inlineStr">
        <is>
          <t>avverkningsanmälan</t>
        </is>
      </c>
      <c r="C8830" t="inlineStr">
        <is>
          <t>Föryngringsavverkning</t>
        </is>
      </c>
      <c r="D8830" s="1" t="n">
        <v>45463</v>
      </c>
      <c r="E8830" s="1" t="n">
        <v>46326</v>
      </c>
      <c r="F8830" t="inlineStr">
        <is>
          <t>GÄVLEBORGS LÄN</t>
        </is>
      </c>
      <c r="G8830" t="inlineStr">
        <is>
          <t>NORDANSTIG</t>
        </is>
      </c>
      <c r="H8830" t="inlineStr">
        <is>
          <t>Holmen skog AB</t>
        </is>
      </c>
      <c r="I8830" t="n">
        <v>1.6</v>
      </c>
      <c r="J8830" t="n">
        <v>0</v>
      </c>
      <c r="K8830" t="n">
        <v>0</v>
      </c>
      <c r="L8830" t="n">
        <v>0</v>
      </c>
      <c r="M8830" t="n">
        <v>0</v>
      </c>
      <c r="N8830" t="n">
        <v>0</v>
      </c>
      <c r="O8830" t="n">
        <v>0</v>
      </c>
      <c r="P8830" t="n">
        <v>0</v>
      </c>
      <c r="Q8830" t="n">
        <v>0</v>
      </c>
      <c r="R8830" t="n">
        <v>0</v>
      </c>
      <c r="S8830" t="n">
        <v>0</v>
      </c>
      <c r="T8830" t="n">
        <v>0</v>
      </c>
      <c r="U8830" t="n">
        <v>0</v>
      </c>
      <c r="V8830" s="2" t="inlineStr"/>
    </row>
    <row r="8831" ht="15" customHeight="1">
      <c r="A8831" t="inlineStr">
        <is>
          <t>A 27880-2026</t>
        </is>
      </c>
      <c r="B8831" t="inlineStr">
        <is>
          <t>avverkningsanmälan</t>
        </is>
      </c>
      <c r="C8831" t="inlineStr">
        <is>
          <t>Föryngringsavverkning</t>
        </is>
      </c>
      <c r="D8831" s="1" t="n">
        <v>46191</v>
      </c>
      <c r="E8831" s="1" t="n">
        <v>46326</v>
      </c>
      <c r="F8831" t="inlineStr">
        <is>
          <t>GÄVLEBORGS LÄN</t>
        </is>
      </c>
      <c r="G8831" t="inlineStr">
        <is>
          <t>HUDIKSVALL</t>
        </is>
      </c>
      <c r="I8831" t="n">
        <v>1.2</v>
      </c>
      <c r="J8831" t="n">
        <v>0</v>
      </c>
      <c r="K8831" t="n">
        <v>0</v>
      </c>
      <c r="L8831" t="n">
        <v>0</v>
      </c>
      <c r="M8831" t="n">
        <v>0</v>
      </c>
      <c r="N8831" t="n">
        <v>0</v>
      </c>
      <c r="O8831" t="n">
        <v>0</v>
      </c>
      <c r="P8831" t="n">
        <v>0</v>
      </c>
      <c r="Q8831" t="n">
        <v>0</v>
      </c>
      <c r="R8831" t="n">
        <v>0</v>
      </c>
      <c r="S8831" t="n">
        <v>0</v>
      </c>
      <c r="T8831" t="n">
        <v>0</v>
      </c>
      <c r="U8831" t="n">
        <v>0</v>
      </c>
      <c r="V8831" s="2" t="inlineStr"/>
    </row>
    <row r="8832" ht="15" customHeight="1">
      <c r="A8832" t="inlineStr">
        <is>
          <t>A 54385-2024</t>
        </is>
      </c>
      <c r="B8832" t="inlineStr">
        <is>
          <t>avverkningsanmälan</t>
        </is>
      </c>
      <c r="C8832" t="inlineStr">
        <is>
          <t>Föryngringsavverkning</t>
        </is>
      </c>
      <c r="D8832" s="1" t="n">
        <v>45617</v>
      </c>
      <c r="E8832" s="1" t="n">
        <v>46326</v>
      </c>
      <c r="F8832" t="inlineStr">
        <is>
          <t>GÄVLEBORGS LÄN</t>
        </is>
      </c>
      <c r="G8832" t="inlineStr">
        <is>
          <t>NORDANSTIG</t>
        </is>
      </c>
      <c r="H8832" t="inlineStr">
        <is>
          <t>Holmen skog AB</t>
        </is>
      </c>
      <c r="I8832" t="n">
        <v>2.9</v>
      </c>
      <c r="J8832" t="n">
        <v>0</v>
      </c>
      <c r="K8832" t="n">
        <v>0</v>
      </c>
      <c r="L8832" t="n">
        <v>0</v>
      </c>
      <c r="M8832" t="n">
        <v>0</v>
      </c>
      <c r="N8832" t="n">
        <v>0</v>
      </c>
      <c r="O8832" t="n">
        <v>0</v>
      </c>
      <c r="P8832" t="n">
        <v>0</v>
      </c>
      <c r="Q8832" t="n">
        <v>0</v>
      </c>
      <c r="R8832" t="n">
        <v>0</v>
      </c>
      <c r="S8832" t="n">
        <v>0</v>
      </c>
      <c r="T8832" t="n">
        <v>0</v>
      </c>
      <c r="U8832" t="n">
        <v>0</v>
      </c>
      <c r="V8832" s="2" t="inlineStr"/>
    </row>
    <row r="8833" ht="15" customHeight="1">
      <c r="A8833" t="inlineStr">
        <is>
          <t>A 49529-2024</t>
        </is>
      </c>
      <c r="B8833" t="inlineStr">
        <is>
          <t>avverkningsanmälan</t>
        </is>
      </c>
      <c r="C8833" t="inlineStr">
        <is>
          <t>Föryngringsavverkning</t>
        </is>
      </c>
      <c r="D8833" s="1" t="n">
        <v>45596</v>
      </c>
      <c r="E8833" s="1" t="n">
        <v>46326</v>
      </c>
      <c r="F8833" t="inlineStr">
        <is>
          <t>GÄVLEBORGS LÄN</t>
        </is>
      </c>
      <c r="G8833" t="inlineStr">
        <is>
          <t>OCKELBO</t>
        </is>
      </c>
      <c r="I8833" t="n">
        <v>2.4</v>
      </c>
      <c r="J8833" t="n">
        <v>0</v>
      </c>
      <c r="K8833" t="n">
        <v>0</v>
      </c>
      <c r="L8833" t="n">
        <v>0</v>
      </c>
      <c r="M8833" t="n">
        <v>0</v>
      </c>
      <c r="N8833" t="n">
        <v>0</v>
      </c>
      <c r="O8833" t="n">
        <v>0</v>
      </c>
      <c r="P8833" t="n">
        <v>0</v>
      </c>
      <c r="Q8833" t="n">
        <v>0</v>
      </c>
      <c r="R8833" t="n">
        <v>0</v>
      </c>
      <c r="S8833" t="n">
        <v>0</v>
      </c>
      <c r="T8833" t="n">
        <v>0</v>
      </c>
      <c r="U8833" t="n">
        <v>0</v>
      </c>
      <c r="V8833" s="2" t="inlineStr"/>
    </row>
    <row r="8834" ht="15" customHeight="1">
      <c r="A8834" t="inlineStr">
        <is>
          <t>A 7608-2026</t>
        </is>
      </c>
      <c r="B8834" t="inlineStr">
        <is>
          <t>avverkningsanmälan</t>
        </is>
      </c>
      <c r="C8834" t="inlineStr">
        <is>
          <t>Föryngringsavverkning</t>
        </is>
      </c>
      <c r="D8834" s="1" t="n">
        <v>46062</v>
      </c>
      <c r="E8834" s="1" t="n">
        <v>46326</v>
      </c>
      <c r="F8834" t="inlineStr">
        <is>
          <t>GÄVLEBORGS LÄN</t>
        </is>
      </c>
      <c r="G8834" t="inlineStr">
        <is>
          <t>SÖDERHAMN</t>
        </is>
      </c>
      <c r="I8834" t="n">
        <v>11.8</v>
      </c>
      <c r="J8834" t="n">
        <v>0</v>
      </c>
      <c r="K8834" t="n">
        <v>0</v>
      </c>
      <c r="L8834" t="n">
        <v>0</v>
      </c>
      <c r="M8834" t="n">
        <v>0</v>
      </c>
      <c r="N8834" t="n">
        <v>0</v>
      </c>
      <c r="O8834" t="n">
        <v>0</v>
      </c>
      <c r="P8834" t="n">
        <v>0</v>
      </c>
      <c r="Q8834" t="n">
        <v>0</v>
      </c>
      <c r="R8834" t="n">
        <v>0</v>
      </c>
      <c r="S8834" t="n">
        <v>0</v>
      </c>
      <c r="T8834" t="n">
        <v>0</v>
      </c>
      <c r="U8834" t="n">
        <v>0</v>
      </c>
      <c r="V8834" s="2" t="inlineStr"/>
    </row>
    <row r="8835" ht="15" customHeight="1">
      <c r="A8835" t="inlineStr">
        <is>
          <t>A 13593-2026</t>
        </is>
      </c>
      <c r="B8835" t="inlineStr">
        <is>
          <t>avverkningsanmälan</t>
        </is>
      </c>
      <c r="C8835" t="inlineStr">
        <is>
          <t>Föryngringsavverkning</t>
        </is>
      </c>
      <c r="D8835" s="1" t="n">
        <v>46096</v>
      </c>
      <c r="E8835" s="1" t="n">
        <v>46326</v>
      </c>
      <c r="F8835" t="inlineStr">
        <is>
          <t>GÄVLEBORGS LÄN</t>
        </is>
      </c>
      <c r="G8835" t="inlineStr">
        <is>
          <t>HUDIKSVALL</t>
        </is>
      </c>
      <c r="I8835" t="n">
        <v>3.7</v>
      </c>
      <c r="J8835" t="n">
        <v>0</v>
      </c>
      <c r="K8835" t="n">
        <v>0</v>
      </c>
      <c r="L8835" t="n">
        <v>0</v>
      </c>
      <c r="M8835" t="n">
        <v>0</v>
      </c>
      <c r="N8835" t="n">
        <v>0</v>
      </c>
      <c r="O8835" t="n">
        <v>0</v>
      </c>
      <c r="P8835" t="n">
        <v>0</v>
      </c>
      <c r="Q8835" t="n">
        <v>0</v>
      </c>
      <c r="R8835" t="n">
        <v>0</v>
      </c>
      <c r="S8835" t="n">
        <v>0</v>
      </c>
      <c r="T8835" t="n">
        <v>0</v>
      </c>
      <c r="U8835" t="n">
        <v>0</v>
      </c>
      <c r="V8835" s="2" t="inlineStr"/>
    </row>
    <row r="8836" ht="15" customHeight="1">
      <c r="A8836" t="inlineStr">
        <is>
          <t>A 14735-2024</t>
        </is>
      </c>
      <c r="B8836" t="inlineStr">
        <is>
          <t>avverkningsanmälan</t>
        </is>
      </c>
      <c r="C8836" t="inlineStr">
        <is>
          <t>Föryngringsavverkning</t>
        </is>
      </c>
      <c r="D8836" s="1" t="n">
        <v>45397</v>
      </c>
      <c r="E8836" s="1" t="n">
        <v>46326</v>
      </c>
      <c r="F8836" t="inlineStr">
        <is>
          <t>GÄVLEBORGS LÄN</t>
        </is>
      </c>
      <c r="G8836" t="inlineStr">
        <is>
          <t>GÄVLE</t>
        </is>
      </c>
      <c r="H8836" t="inlineStr">
        <is>
          <t>Bergvik skog öst AB</t>
        </is>
      </c>
      <c r="I8836" t="n">
        <v>1.8</v>
      </c>
      <c r="J8836" t="n">
        <v>0</v>
      </c>
      <c r="K8836" t="n">
        <v>0</v>
      </c>
      <c r="L8836" t="n">
        <v>0</v>
      </c>
      <c r="M8836" t="n">
        <v>0</v>
      </c>
      <c r="N8836" t="n">
        <v>0</v>
      </c>
      <c r="O8836" t="n">
        <v>0</v>
      </c>
      <c r="P8836" t="n">
        <v>0</v>
      </c>
      <c r="Q8836" t="n">
        <v>0</v>
      </c>
      <c r="R8836" t="n">
        <v>0</v>
      </c>
      <c r="S8836" t="n">
        <v>0</v>
      </c>
      <c r="T8836" t="n">
        <v>0</v>
      </c>
      <c r="U8836" t="n">
        <v>0</v>
      </c>
      <c r="V8836" s="2" t="inlineStr"/>
    </row>
    <row r="8837" ht="15" customHeight="1">
      <c r="A8837" t="inlineStr">
        <is>
          <t>A 9814-2026</t>
        </is>
      </c>
      <c r="B8837" t="inlineStr">
        <is>
          <t>avverkningsanmälan</t>
        </is>
      </c>
      <c r="C8837" t="inlineStr">
        <is>
          <t>Föryngringsavverkning</t>
        </is>
      </c>
      <c r="D8837" s="1" t="n">
        <v>46072</v>
      </c>
      <c r="E8837" s="1" t="n">
        <v>46326</v>
      </c>
      <c r="F8837" t="inlineStr">
        <is>
          <t>GÄVLEBORGS LÄN</t>
        </is>
      </c>
      <c r="G8837" t="inlineStr">
        <is>
          <t>BOLLNÄS</t>
        </is>
      </c>
      <c r="I8837" t="n">
        <v>4</v>
      </c>
      <c r="J8837" t="n">
        <v>0</v>
      </c>
      <c r="K8837" t="n">
        <v>0</v>
      </c>
      <c r="L8837" t="n">
        <v>0</v>
      </c>
      <c r="M8837" t="n">
        <v>0</v>
      </c>
      <c r="N8837" t="n">
        <v>0</v>
      </c>
      <c r="O8837" t="n">
        <v>0</v>
      </c>
      <c r="P8837" t="n">
        <v>0</v>
      </c>
      <c r="Q8837" t="n">
        <v>0</v>
      </c>
      <c r="R8837" t="n">
        <v>0</v>
      </c>
      <c r="S8837" t="n">
        <v>0</v>
      </c>
      <c r="T8837" t="n">
        <v>0</v>
      </c>
      <c r="U8837" t="n">
        <v>0</v>
      </c>
      <c r="V8837" s="2" t="inlineStr"/>
    </row>
    <row r="8838" ht="15" customHeight="1">
      <c r="A8838" t="inlineStr">
        <is>
          <t>A 22892-2023</t>
        </is>
      </c>
      <c r="B8838" t="inlineStr">
        <is>
          <t>avverkningsanmälan</t>
        </is>
      </c>
      <c r="C8838" t="inlineStr">
        <is>
          <t>Föryngringsavverkning</t>
        </is>
      </c>
      <c r="D8838" s="1" t="n">
        <v>45072</v>
      </c>
      <c r="E8838" s="1" t="n">
        <v>46326</v>
      </c>
      <c r="F8838" t="inlineStr">
        <is>
          <t>GÄVLEBORGS LÄN</t>
        </is>
      </c>
      <c r="G8838" t="inlineStr">
        <is>
          <t>HUDIKSVALL</t>
        </is>
      </c>
      <c r="I8838" t="n">
        <v>1.4</v>
      </c>
      <c r="J8838" t="n">
        <v>0</v>
      </c>
      <c r="K8838" t="n">
        <v>0</v>
      </c>
      <c r="L8838" t="n">
        <v>0</v>
      </c>
      <c r="M8838" t="n">
        <v>0</v>
      </c>
      <c r="N8838" t="n">
        <v>0</v>
      </c>
      <c r="O8838" t="n">
        <v>0</v>
      </c>
      <c r="P8838" t="n">
        <v>0</v>
      </c>
      <c r="Q8838" t="n">
        <v>0</v>
      </c>
      <c r="R8838" t="n">
        <v>0</v>
      </c>
      <c r="S8838" t="n">
        <v>0</v>
      </c>
      <c r="T8838" t="n">
        <v>0</v>
      </c>
      <c r="U8838" t="n">
        <v>0</v>
      </c>
      <c r="V8838" s="2" t="inlineStr"/>
    </row>
    <row r="8839" ht="15" customHeight="1">
      <c r="A8839" t="inlineStr">
        <is>
          <t>A 52206-2022</t>
        </is>
      </c>
      <c r="B8839" t="inlineStr">
        <is>
          <t>avverkningsanmälan</t>
        </is>
      </c>
      <c r="C8839" t="inlineStr">
        <is>
          <t>Föryngringsavverkning</t>
        </is>
      </c>
      <c r="D8839" s="1" t="n">
        <v>44869</v>
      </c>
      <c r="E8839" s="1" t="n">
        <v>46326</v>
      </c>
      <c r="F8839" t="inlineStr">
        <is>
          <t>GÄVLEBORGS LÄN</t>
        </is>
      </c>
      <c r="G8839" t="inlineStr">
        <is>
          <t>NORDANSTIG</t>
        </is>
      </c>
      <c r="I8839" t="n">
        <v>1.9</v>
      </c>
      <c r="J8839" t="n">
        <v>0</v>
      </c>
      <c r="K8839" t="n">
        <v>0</v>
      </c>
      <c r="L8839" t="n">
        <v>0</v>
      </c>
      <c r="M8839" t="n">
        <v>0</v>
      </c>
      <c r="N8839" t="n">
        <v>0</v>
      </c>
      <c r="O8839" t="n">
        <v>0</v>
      </c>
      <c r="P8839" t="n">
        <v>0</v>
      </c>
      <c r="Q8839" t="n">
        <v>0</v>
      </c>
      <c r="R8839" t="n">
        <v>0</v>
      </c>
      <c r="S8839" t="n">
        <v>0</v>
      </c>
      <c r="T8839" t="n">
        <v>0</v>
      </c>
      <c r="U8839" t="n">
        <v>0</v>
      </c>
      <c r="V8839" s="2" t="inlineStr"/>
    </row>
    <row r="8840" ht="15" customHeight="1">
      <c r="A8840" t="inlineStr">
        <is>
          <t>A 27819-2026</t>
        </is>
      </c>
      <c r="B8840" t="inlineStr">
        <is>
          <t>avverkningsanmälan</t>
        </is>
      </c>
      <c r="C8840" t="inlineStr">
        <is>
          <t>Föryngringsavverkning</t>
        </is>
      </c>
      <c r="D8840" s="1" t="n">
        <v>46191</v>
      </c>
      <c r="E8840" s="1" t="n">
        <v>46326</v>
      </c>
      <c r="F8840" t="inlineStr">
        <is>
          <t>GÄVLEBORGS LÄN</t>
        </is>
      </c>
      <c r="G8840" t="inlineStr">
        <is>
          <t>HUDIKSVALL</t>
        </is>
      </c>
      <c r="H8840" t="inlineStr">
        <is>
          <t>Holmen skog AB</t>
        </is>
      </c>
      <c r="I8840" t="n">
        <v>29.5</v>
      </c>
      <c r="J8840" t="n">
        <v>0</v>
      </c>
      <c r="K8840" t="n">
        <v>0</v>
      </c>
      <c r="L8840" t="n">
        <v>0</v>
      </c>
      <c r="M8840" t="n">
        <v>0</v>
      </c>
      <c r="N8840" t="n">
        <v>0</v>
      </c>
      <c r="O8840" t="n">
        <v>0</v>
      </c>
      <c r="P8840" t="n">
        <v>0</v>
      </c>
      <c r="Q8840" t="n">
        <v>0</v>
      </c>
      <c r="R8840" t="n">
        <v>0</v>
      </c>
      <c r="S8840" t="n">
        <v>0</v>
      </c>
      <c r="T8840" t="n">
        <v>0</v>
      </c>
      <c r="U8840" t="n">
        <v>0</v>
      </c>
      <c r="V8840" s="2" t="inlineStr"/>
    </row>
    <row r="8841" ht="15" customHeight="1">
      <c r="A8841" t="inlineStr">
        <is>
          <t>A 3989-2025</t>
        </is>
      </c>
      <c r="B8841" t="inlineStr">
        <is>
          <t>avverkningsanmälan</t>
        </is>
      </c>
      <c r="C8841" t="inlineStr">
        <is>
          <t>Föryngringsavverkning</t>
        </is>
      </c>
      <c r="D8841" s="1" t="n">
        <v>45684</v>
      </c>
      <c r="E8841" s="1" t="n">
        <v>46326</v>
      </c>
      <c r="F8841" t="inlineStr">
        <is>
          <t>GÄVLEBORGS LÄN</t>
        </is>
      </c>
      <c r="G8841" t="inlineStr">
        <is>
          <t>OVANÅKER</t>
        </is>
      </c>
      <c r="I8841" t="n">
        <v>2.3</v>
      </c>
      <c r="J8841" t="n">
        <v>0</v>
      </c>
      <c r="K8841" t="n">
        <v>0</v>
      </c>
      <c r="L8841" t="n">
        <v>0</v>
      </c>
      <c r="M8841" t="n">
        <v>0</v>
      </c>
      <c r="N8841" t="n">
        <v>0</v>
      </c>
      <c r="O8841" t="n">
        <v>0</v>
      </c>
      <c r="P8841" t="n">
        <v>0</v>
      </c>
      <c r="Q8841" t="n">
        <v>0</v>
      </c>
      <c r="R8841" t="n">
        <v>0</v>
      </c>
      <c r="S8841" t="n">
        <v>0</v>
      </c>
      <c r="T8841" t="n">
        <v>0</v>
      </c>
      <c r="U8841" t="n">
        <v>0</v>
      </c>
      <c r="V8841" s="2" t="inlineStr"/>
    </row>
    <row r="8842" ht="15" customHeight="1">
      <c r="A8842" t="inlineStr">
        <is>
          <t>A 4556-2025</t>
        </is>
      </c>
      <c r="B8842" t="inlineStr">
        <is>
          <t>avverkningsanmälan</t>
        </is>
      </c>
      <c r="C8842" t="inlineStr">
        <is>
          <t>Föryngringsavverkning</t>
        </is>
      </c>
      <c r="D8842" s="1" t="n">
        <v>45687</v>
      </c>
      <c r="E8842" s="1" t="n">
        <v>46326</v>
      </c>
      <c r="F8842" t="inlineStr">
        <is>
          <t>GÄVLEBORGS LÄN</t>
        </is>
      </c>
      <c r="G8842" t="inlineStr">
        <is>
          <t>NORDANSTIG</t>
        </is>
      </c>
      <c r="I8842" t="n">
        <v>1.5</v>
      </c>
      <c r="J8842" t="n">
        <v>0</v>
      </c>
      <c r="K8842" t="n">
        <v>0</v>
      </c>
      <c r="L8842" t="n">
        <v>0</v>
      </c>
      <c r="M8842" t="n">
        <v>0</v>
      </c>
      <c r="N8842" t="n">
        <v>0</v>
      </c>
      <c r="O8842" t="n">
        <v>0</v>
      </c>
      <c r="P8842" t="n">
        <v>0</v>
      </c>
      <c r="Q8842" t="n">
        <v>0</v>
      </c>
      <c r="R8842" t="n">
        <v>0</v>
      </c>
      <c r="S8842" t="n">
        <v>0</v>
      </c>
      <c r="T8842" t="n">
        <v>0</v>
      </c>
      <c r="U8842" t="n">
        <v>0</v>
      </c>
      <c r="V8842" s="2" t="inlineStr"/>
    </row>
    <row r="8843" ht="15" customHeight="1">
      <c r="A8843" t="inlineStr">
        <is>
          <t>A 27846-2026</t>
        </is>
      </c>
      <c r="B8843" t="inlineStr">
        <is>
          <t>avverkningsanmälan</t>
        </is>
      </c>
      <c r="C8843" t="inlineStr">
        <is>
          <t>Föryngringsavverkning</t>
        </is>
      </c>
      <c r="D8843" s="1" t="n">
        <v>46191</v>
      </c>
      <c r="E8843" s="1" t="n">
        <v>46326</v>
      </c>
      <c r="F8843" t="inlineStr">
        <is>
          <t>GÄVLEBORGS LÄN</t>
        </is>
      </c>
      <c r="G8843" t="inlineStr">
        <is>
          <t>HUDIKSVALL</t>
        </is>
      </c>
      <c r="H8843" t="inlineStr">
        <is>
          <t>Holmen skog AB</t>
        </is>
      </c>
      <c r="I8843" t="n">
        <v>3.6</v>
      </c>
      <c r="J8843" t="n">
        <v>0</v>
      </c>
      <c r="K8843" t="n">
        <v>0</v>
      </c>
      <c r="L8843" t="n">
        <v>0</v>
      </c>
      <c r="M8843" t="n">
        <v>0</v>
      </c>
      <c r="N8843" t="n">
        <v>0</v>
      </c>
      <c r="O8843" t="n">
        <v>0</v>
      </c>
      <c r="P8843" t="n">
        <v>0</v>
      </c>
      <c r="Q8843" t="n">
        <v>0</v>
      </c>
      <c r="R8843" t="n">
        <v>0</v>
      </c>
      <c r="S8843" t="n">
        <v>0</v>
      </c>
      <c r="T8843" t="n">
        <v>0</v>
      </c>
      <c r="U8843" t="n">
        <v>0</v>
      </c>
      <c r="V8843" s="2" t="inlineStr"/>
    </row>
    <row r="8844" ht="15" customHeight="1">
      <c r="A8844" t="inlineStr">
        <is>
          <t>A 35761-2022</t>
        </is>
      </c>
      <c r="B8844" t="inlineStr">
        <is>
          <t>avverkningsanmälan</t>
        </is>
      </c>
      <c r="C8844" t="inlineStr">
        <is>
          <t>Föryngringsavverkning</t>
        </is>
      </c>
      <c r="D8844" s="1" t="n">
        <v>44800</v>
      </c>
      <c r="E8844" s="1" t="n">
        <v>46326</v>
      </c>
      <c r="F8844" t="inlineStr">
        <is>
          <t>GÄVLEBORGS LÄN</t>
        </is>
      </c>
      <c r="G8844" t="inlineStr">
        <is>
          <t>GÄVLE</t>
        </is>
      </c>
      <c r="I8844" t="n">
        <v>8.199999999999999</v>
      </c>
      <c r="J8844" t="n">
        <v>0</v>
      </c>
      <c r="K8844" t="n">
        <v>0</v>
      </c>
      <c r="L8844" t="n">
        <v>0</v>
      </c>
      <c r="M8844" t="n">
        <v>0</v>
      </c>
      <c r="N8844" t="n">
        <v>0</v>
      </c>
      <c r="O8844" t="n">
        <v>0</v>
      </c>
      <c r="P8844" t="n">
        <v>0</v>
      </c>
      <c r="Q8844" t="n">
        <v>0</v>
      </c>
      <c r="R8844" t="n">
        <v>0</v>
      </c>
      <c r="S8844" t="n">
        <v>0</v>
      </c>
      <c r="T8844" t="n">
        <v>0</v>
      </c>
      <c r="U8844" t="n">
        <v>0</v>
      </c>
      <c r="V8844" s="2" t="inlineStr"/>
    </row>
    <row r="8845" ht="15" customHeight="1">
      <c r="A8845" t="inlineStr">
        <is>
          <t>A 28174-2023</t>
        </is>
      </c>
      <c r="B8845" t="inlineStr">
        <is>
          <t>avverkningsanmälan</t>
        </is>
      </c>
      <c r="C8845" t="inlineStr">
        <is>
          <t>Föryngringsavverkning</t>
        </is>
      </c>
      <c r="D8845" s="1" t="n">
        <v>45099</v>
      </c>
      <c r="E8845" s="1" t="n">
        <v>46326</v>
      </c>
      <c r="F8845" t="inlineStr">
        <is>
          <t>GÄVLEBORGS LÄN</t>
        </is>
      </c>
      <c r="G8845" t="inlineStr">
        <is>
          <t>HUDIKSVALL</t>
        </is>
      </c>
      <c r="I8845" t="n">
        <v>3.3</v>
      </c>
      <c r="J8845" t="n">
        <v>0</v>
      </c>
      <c r="K8845" t="n">
        <v>0</v>
      </c>
      <c r="L8845" t="n">
        <v>0</v>
      </c>
      <c r="M8845" t="n">
        <v>0</v>
      </c>
      <c r="N8845" t="n">
        <v>0</v>
      </c>
      <c r="O8845" t="n">
        <v>0</v>
      </c>
      <c r="P8845" t="n">
        <v>0</v>
      </c>
      <c r="Q8845" t="n">
        <v>0</v>
      </c>
      <c r="R8845" t="n">
        <v>0</v>
      </c>
      <c r="S8845" t="n">
        <v>0</v>
      </c>
      <c r="T8845" t="n">
        <v>0</v>
      </c>
      <c r="U8845" t="n">
        <v>0</v>
      </c>
      <c r="V8845" s="2" t="inlineStr"/>
    </row>
    <row r="8846" ht="15" customHeight="1">
      <c r="A8846" t="inlineStr">
        <is>
          <t>A 10602-2022</t>
        </is>
      </c>
      <c r="B8846" t="inlineStr">
        <is>
          <t>avverkningsanmälan</t>
        </is>
      </c>
      <c r="C8846" t="inlineStr">
        <is>
          <t>Föryngringsavverkning</t>
        </is>
      </c>
      <c r="D8846" s="1" t="n">
        <v>44624</v>
      </c>
      <c r="E8846" s="1" t="n">
        <v>46326</v>
      </c>
      <c r="F8846" t="inlineStr">
        <is>
          <t>GÄVLEBORGS LÄN</t>
        </is>
      </c>
      <c r="G8846" t="inlineStr">
        <is>
          <t>HOFORS</t>
        </is>
      </c>
      <c r="I8846" t="n">
        <v>7</v>
      </c>
      <c r="J8846" t="n">
        <v>0</v>
      </c>
      <c r="K8846" t="n">
        <v>0</v>
      </c>
      <c r="L8846" t="n">
        <v>0</v>
      </c>
      <c r="M8846" t="n">
        <v>0</v>
      </c>
      <c r="N8846" t="n">
        <v>0</v>
      </c>
      <c r="O8846" t="n">
        <v>0</v>
      </c>
      <c r="P8846" t="n">
        <v>0</v>
      </c>
      <c r="Q8846" t="n">
        <v>0</v>
      </c>
      <c r="R8846" t="n">
        <v>0</v>
      </c>
      <c r="S8846" t="n">
        <v>0</v>
      </c>
      <c r="T8846" t="n">
        <v>0</v>
      </c>
      <c r="U8846" t="n">
        <v>0</v>
      </c>
      <c r="V8846" s="2" t="inlineStr"/>
    </row>
    <row r="8847" ht="15" customHeight="1">
      <c r="A8847" t="inlineStr">
        <is>
          <t>A 41249-2024</t>
        </is>
      </c>
      <c r="B8847" t="inlineStr">
        <is>
          <t>avverkningsanmälan</t>
        </is>
      </c>
      <c r="C8847" t="inlineStr">
        <is>
          <t>Föryngringsavverkning</t>
        </is>
      </c>
      <c r="D8847" s="1" t="n">
        <v>45559</v>
      </c>
      <c r="E8847" s="1" t="n">
        <v>46326</v>
      </c>
      <c r="F8847" t="inlineStr">
        <is>
          <t>GÄVLEBORGS LÄN</t>
        </is>
      </c>
      <c r="G8847" t="inlineStr">
        <is>
          <t>HUDIKSVALL</t>
        </is>
      </c>
      <c r="H8847" t="inlineStr">
        <is>
          <t>Holmen skog AB</t>
        </is>
      </c>
      <c r="I8847" t="n">
        <v>16.3</v>
      </c>
      <c r="J8847" t="n">
        <v>0</v>
      </c>
      <c r="K8847" t="n">
        <v>0</v>
      </c>
      <c r="L8847" t="n">
        <v>0</v>
      </c>
      <c r="M8847" t="n">
        <v>0</v>
      </c>
      <c r="N8847" t="n">
        <v>0</v>
      </c>
      <c r="O8847" t="n">
        <v>0</v>
      </c>
      <c r="P8847" t="n">
        <v>0</v>
      </c>
      <c r="Q8847" t="n">
        <v>0</v>
      </c>
      <c r="R8847" t="n">
        <v>0</v>
      </c>
      <c r="S8847" t="n">
        <v>0</v>
      </c>
      <c r="T8847" t="n">
        <v>0</v>
      </c>
      <c r="U8847" t="n">
        <v>0</v>
      </c>
      <c r="V8847" s="2" t="inlineStr"/>
    </row>
    <row r="8848" ht="15" customHeight="1">
      <c r="A8848" t="inlineStr">
        <is>
          <t>A 3994-2026</t>
        </is>
      </c>
      <c r="B8848" t="inlineStr">
        <is>
          <t>avverkningsanmälan</t>
        </is>
      </c>
      <c r="C8848" t="inlineStr">
        <is>
          <t>Föryngringsavverkning</t>
        </is>
      </c>
      <c r="D8848" s="1" t="n">
        <v>46044</v>
      </c>
      <c r="E8848" s="1" t="n">
        <v>46326</v>
      </c>
      <c r="F8848" t="inlineStr">
        <is>
          <t>GÄVLEBORGS LÄN</t>
        </is>
      </c>
      <c r="G8848" t="inlineStr">
        <is>
          <t>OVANÅKER</t>
        </is>
      </c>
      <c r="I8848" t="n">
        <v>5.4</v>
      </c>
      <c r="J8848" t="n">
        <v>0</v>
      </c>
      <c r="K8848" t="n">
        <v>0</v>
      </c>
      <c r="L8848" t="n">
        <v>0</v>
      </c>
      <c r="M8848" t="n">
        <v>0</v>
      </c>
      <c r="N8848" t="n">
        <v>0</v>
      </c>
      <c r="O8848" t="n">
        <v>0</v>
      </c>
      <c r="P8848" t="n">
        <v>0</v>
      </c>
      <c r="Q8848" t="n">
        <v>0</v>
      </c>
      <c r="R8848" t="n">
        <v>0</v>
      </c>
      <c r="S8848" t="n">
        <v>0</v>
      </c>
      <c r="T8848" t="n">
        <v>0</v>
      </c>
      <c r="U8848" t="n">
        <v>0</v>
      </c>
      <c r="V8848" s="2" t="inlineStr"/>
    </row>
    <row r="8849" ht="15" customHeight="1">
      <c r="A8849" t="inlineStr">
        <is>
          <t>A 756-2026</t>
        </is>
      </c>
      <c r="B8849" t="inlineStr">
        <is>
          <t>avverkningsanmälan</t>
        </is>
      </c>
      <c r="C8849" t="inlineStr">
        <is>
          <t>Föryngringsavverkning</t>
        </is>
      </c>
      <c r="D8849" s="1" t="n">
        <v>46029</v>
      </c>
      <c r="E8849" s="1" t="n">
        <v>46326</v>
      </c>
      <c r="F8849" t="inlineStr">
        <is>
          <t>GÄVLEBORGS LÄN</t>
        </is>
      </c>
      <c r="G8849" t="inlineStr">
        <is>
          <t>HUDIKSVALL</t>
        </is>
      </c>
      <c r="I8849" t="n">
        <v>3.2</v>
      </c>
      <c r="J8849" t="n">
        <v>0</v>
      </c>
      <c r="K8849" t="n">
        <v>0</v>
      </c>
      <c r="L8849" t="n">
        <v>0</v>
      </c>
      <c r="M8849" t="n">
        <v>0</v>
      </c>
      <c r="N8849" t="n">
        <v>0</v>
      </c>
      <c r="O8849" t="n">
        <v>0</v>
      </c>
      <c r="P8849" t="n">
        <v>0</v>
      </c>
      <c r="Q8849" t="n">
        <v>0</v>
      </c>
      <c r="R8849" t="n">
        <v>0</v>
      </c>
      <c r="S8849" t="n">
        <v>0</v>
      </c>
      <c r="T8849" t="n">
        <v>0</v>
      </c>
      <c r="U8849" t="n">
        <v>0</v>
      </c>
      <c r="V8849" s="2" t="inlineStr"/>
    </row>
    <row r="8850" ht="15" customHeight="1">
      <c r="A8850" t="inlineStr">
        <is>
          <t>A 22440-2023</t>
        </is>
      </c>
      <c r="B8850" t="inlineStr">
        <is>
          <t>avverkningsanmälan</t>
        </is>
      </c>
      <c r="C8850" t="inlineStr">
        <is>
          <t>Föryngringsavverkning</t>
        </is>
      </c>
      <c r="D8850" s="1" t="n">
        <v>45070</v>
      </c>
      <c r="E8850" s="1" t="n">
        <v>46326</v>
      </c>
      <c r="F8850" t="inlineStr">
        <is>
          <t>GÄVLEBORGS LÄN</t>
        </is>
      </c>
      <c r="G8850" t="inlineStr">
        <is>
          <t>LJUSDAL</t>
        </is>
      </c>
      <c r="H8850" t="inlineStr">
        <is>
          <t>Holmen skog AB</t>
        </is>
      </c>
      <c r="I8850" t="n">
        <v>1.5</v>
      </c>
      <c r="J8850" t="n">
        <v>0</v>
      </c>
      <c r="K8850" t="n">
        <v>0</v>
      </c>
      <c r="L8850" t="n">
        <v>0</v>
      </c>
      <c r="M8850" t="n">
        <v>0</v>
      </c>
      <c r="N8850" t="n">
        <v>0</v>
      </c>
      <c r="O8850" t="n">
        <v>0</v>
      </c>
      <c r="P8850" t="n">
        <v>0</v>
      </c>
      <c r="Q8850" t="n">
        <v>0</v>
      </c>
      <c r="R8850" t="n">
        <v>0</v>
      </c>
      <c r="S8850" t="n">
        <v>0</v>
      </c>
      <c r="T8850" t="n">
        <v>0</v>
      </c>
      <c r="U8850" t="n">
        <v>0</v>
      </c>
      <c r="V8850" s="2" t="inlineStr"/>
    </row>
    <row r="8851" ht="15" customHeight="1">
      <c r="A8851" t="inlineStr">
        <is>
          <t>A 6377-2026</t>
        </is>
      </c>
      <c r="B8851" t="inlineStr">
        <is>
          <t>avverkningsanmälan</t>
        </is>
      </c>
      <c r="C8851" t="inlineStr">
        <is>
          <t>Föryngringsavverkning</t>
        </is>
      </c>
      <c r="D8851" s="1" t="n">
        <v>46055</v>
      </c>
      <c r="E8851" s="1" t="n">
        <v>46326</v>
      </c>
      <c r="F8851" t="inlineStr">
        <is>
          <t>GÄVLEBORGS LÄN</t>
        </is>
      </c>
      <c r="G8851" t="inlineStr">
        <is>
          <t>OCKELBO</t>
        </is>
      </c>
      <c r="H8851" t="inlineStr">
        <is>
          <t>Bergvik skog väst AB</t>
        </is>
      </c>
      <c r="I8851" t="n">
        <v>5.6</v>
      </c>
      <c r="J8851" t="n">
        <v>0</v>
      </c>
      <c r="K8851" t="n">
        <v>0</v>
      </c>
      <c r="L8851" t="n">
        <v>0</v>
      </c>
      <c r="M8851" t="n">
        <v>0</v>
      </c>
      <c r="N8851" t="n">
        <v>0</v>
      </c>
      <c r="O8851" t="n">
        <v>0</v>
      </c>
      <c r="P8851" t="n">
        <v>0</v>
      </c>
      <c r="Q8851" t="n">
        <v>0</v>
      </c>
      <c r="R8851" t="n">
        <v>0</v>
      </c>
      <c r="S8851" t="n">
        <v>0</v>
      </c>
      <c r="T8851" t="n">
        <v>0</v>
      </c>
      <c r="U8851" t="n">
        <v>0</v>
      </c>
      <c r="V8851" s="2" t="inlineStr"/>
    </row>
    <row r="8852" ht="15" customHeight="1">
      <c r="A8852" t="inlineStr">
        <is>
          <t>A 28318-2026</t>
        </is>
      </c>
      <c r="B8852" t="inlineStr">
        <is>
          <t>avverkningsanmälan</t>
        </is>
      </c>
      <c r="C8852" t="inlineStr">
        <is>
          <t>Föryngringsavverkning</t>
        </is>
      </c>
      <c r="D8852" s="1" t="n">
        <v>46196</v>
      </c>
      <c r="E8852" s="1" t="n">
        <v>46326</v>
      </c>
      <c r="F8852" t="inlineStr">
        <is>
          <t>GÄVLEBORGS LÄN</t>
        </is>
      </c>
      <c r="G8852" t="inlineStr">
        <is>
          <t>OCKELBO</t>
        </is>
      </c>
      <c r="H8852" t="inlineStr">
        <is>
          <t>Bergvik skog väst AB</t>
        </is>
      </c>
      <c r="I8852" t="n">
        <v>1</v>
      </c>
      <c r="J8852" t="n">
        <v>0</v>
      </c>
      <c r="K8852" t="n">
        <v>0</v>
      </c>
      <c r="L8852" t="n">
        <v>0</v>
      </c>
      <c r="M8852" t="n">
        <v>0</v>
      </c>
      <c r="N8852" t="n">
        <v>0</v>
      </c>
      <c r="O8852" t="n">
        <v>0</v>
      </c>
      <c r="P8852" t="n">
        <v>0</v>
      </c>
      <c r="Q8852" t="n">
        <v>0</v>
      </c>
      <c r="R8852" t="n">
        <v>0</v>
      </c>
      <c r="S8852" t="n">
        <v>0</v>
      </c>
      <c r="T8852" t="n">
        <v>0</v>
      </c>
      <c r="U8852" t="n">
        <v>0</v>
      </c>
      <c r="V8852" s="2" t="inlineStr"/>
    </row>
    <row r="8853" ht="15" customHeight="1">
      <c r="A8853" t="inlineStr">
        <is>
          <t>A 28325-2026</t>
        </is>
      </c>
      <c r="B8853" t="inlineStr">
        <is>
          <t>avverkningsanmälan</t>
        </is>
      </c>
      <c r="C8853" t="inlineStr">
        <is>
          <t>Föryngringsavverkning</t>
        </is>
      </c>
      <c r="D8853" s="1" t="n">
        <v>46196</v>
      </c>
      <c r="E8853" s="1" t="n">
        <v>46326</v>
      </c>
      <c r="F8853" t="inlineStr">
        <is>
          <t>GÄVLEBORGS LÄN</t>
        </is>
      </c>
      <c r="G8853" t="inlineStr">
        <is>
          <t>LJUSDAL</t>
        </is>
      </c>
      <c r="H8853" t="inlineStr">
        <is>
          <t>Allmännings- och besparingsskogar</t>
        </is>
      </c>
      <c r="I8853" t="n">
        <v>3.9</v>
      </c>
      <c r="J8853" t="n">
        <v>0</v>
      </c>
      <c r="K8853" t="n">
        <v>0</v>
      </c>
      <c r="L8853" t="n">
        <v>0</v>
      </c>
      <c r="M8853" t="n">
        <v>0</v>
      </c>
      <c r="N8853" t="n">
        <v>0</v>
      </c>
      <c r="O8853" t="n">
        <v>0</v>
      </c>
      <c r="P8853" t="n">
        <v>0</v>
      </c>
      <c r="Q8853" t="n">
        <v>0</v>
      </c>
      <c r="R8853" t="n">
        <v>0</v>
      </c>
      <c r="S8853" t="n">
        <v>0</v>
      </c>
      <c r="T8853" t="n">
        <v>0</v>
      </c>
      <c r="U8853" t="n">
        <v>0</v>
      </c>
      <c r="V8853" s="2" t="inlineStr"/>
    </row>
    <row r="8854" ht="15" customHeight="1">
      <c r="A8854" t="inlineStr">
        <is>
          <t>A 28330-2026</t>
        </is>
      </c>
      <c r="B8854" t="inlineStr">
        <is>
          <t>avverkningsanmälan</t>
        </is>
      </c>
      <c r="C8854" t="inlineStr">
        <is>
          <t>Föryngringsavverkning</t>
        </is>
      </c>
      <c r="D8854" s="1" t="n">
        <v>46196</v>
      </c>
      <c r="E8854" s="1" t="n">
        <v>46326</v>
      </c>
      <c r="F8854" t="inlineStr">
        <is>
          <t>GÄVLEBORGS LÄN</t>
        </is>
      </c>
      <c r="G8854" t="inlineStr">
        <is>
          <t>HOFORS</t>
        </is>
      </c>
      <c r="H8854" t="inlineStr">
        <is>
          <t>Sveaskog</t>
        </is>
      </c>
      <c r="I8854" t="n">
        <v>1.1</v>
      </c>
      <c r="J8854" t="n">
        <v>0</v>
      </c>
      <c r="K8854" t="n">
        <v>0</v>
      </c>
      <c r="L8854" t="n">
        <v>0</v>
      </c>
      <c r="M8854" t="n">
        <v>0</v>
      </c>
      <c r="N8854" t="n">
        <v>0</v>
      </c>
      <c r="O8854" t="n">
        <v>0</v>
      </c>
      <c r="P8854" t="n">
        <v>0</v>
      </c>
      <c r="Q8854" t="n">
        <v>0</v>
      </c>
      <c r="R8854" t="n">
        <v>0</v>
      </c>
      <c r="S8854" t="n">
        <v>0</v>
      </c>
      <c r="T8854" t="n">
        <v>0</v>
      </c>
      <c r="U8854" t="n">
        <v>0</v>
      </c>
      <c r="V8854" s="2" t="inlineStr"/>
    </row>
    <row r="8855" ht="15" customHeight="1">
      <c r="A8855" t="inlineStr">
        <is>
          <t>A 28332-2026</t>
        </is>
      </c>
      <c r="B8855" t="inlineStr">
        <is>
          <t>avverkningsanmälan</t>
        </is>
      </c>
      <c r="C8855" t="inlineStr">
        <is>
          <t>Föryngringsavverkning</t>
        </is>
      </c>
      <c r="D8855" s="1" t="n">
        <v>46196</v>
      </c>
      <c r="E8855" s="1" t="n">
        <v>46326</v>
      </c>
      <c r="F8855" t="inlineStr">
        <is>
          <t>GÄVLEBORGS LÄN</t>
        </is>
      </c>
      <c r="G8855" t="inlineStr">
        <is>
          <t>GÄVLE</t>
        </is>
      </c>
      <c r="H8855" t="inlineStr">
        <is>
          <t>Bergvik skog öst AB</t>
        </is>
      </c>
      <c r="I8855" t="n">
        <v>0.9</v>
      </c>
      <c r="J8855" t="n">
        <v>0</v>
      </c>
      <c r="K8855" t="n">
        <v>0</v>
      </c>
      <c r="L8855" t="n">
        <v>0</v>
      </c>
      <c r="M8855" t="n">
        <v>0</v>
      </c>
      <c r="N8855" t="n">
        <v>0</v>
      </c>
      <c r="O8855" t="n">
        <v>0</v>
      </c>
      <c r="P8855" t="n">
        <v>0</v>
      </c>
      <c r="Q8855" t="n">
        <v>0</v>
      </c>
      <c r="R8855" t="n">
        <v>0</v>
      </c>
      <c r="S8855" t="n">
        <v>0</v>
      </c>
      <c r="T8855" t="n">
        <v>0</v>
      </c>
      <c r="U8855" t="n">
        <v>0</v>
      </c>
      <c r="V8855" s="2" t="inlineStr"/>
    </row>
    <row r="8856" ht="15" customHeight="1">
      <c r="A8856" t="inlineStr">
        <is>
          <t>A 28333-2026</t>
        </is>
      </c>
      <c r="B8856" t="inlineStr">
        <is>
          <t>avverkningsanmälan</t>
        </is>
      </c>
      <c r="C8856" t="inlineStr">
        <is>
          <t>Föryngringsavverkning</t>
        </is>
      </c>
      <c r="D8856" s="1" t="n">
        <v>46196</v>
      </c>
      <c r="E8856" s="1" t="n">
        <v>46326</v>
      </c>
      <c r="F8856" t="inlineStr">
        <is>
          <t>GÄVLEBORGS LÄN</t>
        </is>
      </c>
      <c r="G8856" t="inlineStr">
        <is>
          <t>HUDIKSVALL</t>
        </is>
      </c>
      <c r="I8856" t="n">
        <v>0.7</v>
      </c>
      <c r="J8856" t="n">
        <v>0</v>
      </c>
      <c r="K8856" t="n">
        <v>0</v>
      </c>
      <c r="L8856" t="n">
        <v>0</v>
      </c>
      <c r="M8856" t="n">
        <v>0</v>
      </c>
      <c r="N8856" t="n">
        <v>0</v>
      </c>
      <c r="O8856" t="n">
        <v>0</v>
      </c>
      <c r="P8856" t="n">
        <v>0</v>
      </c>
      <c r="Q8856" t="n">
        <v>0</v>
      </c>
      <c r="R8856" t="n">
        <v>0</v>
      </c>
      <c r="S8856" t="n">
        <v>0</v>
      </c>
      <c r="T8856" t="n">
        <v>0</v>
      </c>
      <c r="U8856" t="n">
        <v>0</v>
      </c>
      <c r="V8856" s="2" t="inlineStr"/>
    </row>
    <row r="8857" ht="15" customHeight="1">
      <c r="A8857" t="inlineStr">
        <is>
          <t>A 28334-2026</t>
        </is>
      </c>
      <c r="B8857" t="inlineStr">
        <is>
          <t>avverkningsanmälan</t>
        </is>
      </c>
      <c r="C8857" t="inlineStr">
        <is>
          <t>Föryngringsavverkning</t>
        </is>
      </c>
      <c r="D8857" s="1" t="n">
        <v>46196</v>
      </c>
      <c r="E8857" s="1" t="n">
        <v>46326</v>
      </c>
      <c r="F8857" t="inlineStr">
        <is>
          <t>GÄVLEBORGS LÄN</t>
        </is>
      </c>
      <c r="G8857" t="inlineStr">
        <is>
          <t>GÄVLE</t>
        </is>
      </c>
      <c r="H8857" t="inlineStr">
        <is>
          <t>Bergvik skog öst AB</t>
        </is>
      </c>
      <c r="I8857" t="n">
        <v>2.4</v>
      </c>
      <c r="J8857" t="n">
        <v>0</v>
      </c>
      <c r="K8857" t="n">
        <v>0</v>
      </c>
      <c r="L8857" t="n">
        <v>0</v>
      </c>
      <c r="M8857" t="n">
        <v>0</v>
      </c>
      <c r="N8857" t="n">
        <v>0</v>
      </c>
      <c r="O8857" t="n">
        <v>0</v>
      </c>
      <c r="P8857" t="n">
        <v>0</v>
      </c>
      <c r="Q8857" t="n">
        <v>0</v>
      </c>
      <c r="R8857" t="n">
        <v>0</v>
      </c>
      <c r="S8857" t="n">
        <v>0</v>
      </c>
      <c r="T8857" t="n">
        <v>0</v>
      </c>
      <c r="U8857" t="n">
        <v>0</v>
      </c>
      <c r="V8857" s="2" t="inlineStr"/>
    </row>
    <row r="8858" ht="15" customHeight="1">
      <c r="A8858" t="inlineStr">
        <is>
          <t>A 12398-2023</t>
        </is>
      </c>
      <c r="B8858" t="inlineStr">
        <is>
          <t>avverkningsanmälan</t>
        </is>
      </c>
      <c r="C8858" t="inlineStr">
        <is>
          <t>Föryngringsavverkning</t>
        </is>
      </c>
      <c r="D8858" s="1" t="n">
        <v>44999</v>
      </c>
      <c r="E8858" s="1" t="n">
        <v>46326</v>
      </c>
      <c r="F8858" t="inlineStr">
        <is>
          <t>GÄVLEBORGS LÄN</t>
        </is>
      </c>
      <c r="G8858" t="inlineStr">
        <is>
          <t>NORDANSTIG</t>
        </is>
      </c>
      <c r="I8858" t="n">
        <v>1.6</v>
      </c>
      <c r="J8858" t="n">
        <v>0</v>
      </c>
      <c r="K8858" t="n">
        <v>0</v>
      </c>
      <c r="L8858" t="n">
        <v>0</v>
      </c>
      <c r="M8858" t="n">
        <v>0</v>
      </c>
      <c r="N8858" t="n">
        <v>0</v>
      </c>
      <c r="O8858" t="n">
        <v>0</v>
      </c>
      <c r="P8858" t="n">
        <v>0</v>
      </c>
      <c r="Q8858" t="n">
        <v>0</v>
      </c>
      <c r="R8858" t="n">
        <v>0</v>
      </c>
      <c r="S8858" t="n">
        <v>0</v>
      </c>
      <c r="T8858" t="n">
        <v>0</v>
      </c>
      <c r="U8858" t="n">
        <v>0</v>
      </c>
      <c r="V8858" s="2" t="inlineStr"/>
    </row>
    <row r="8859" ht="15" customHeight="1">
      <c r="A8859" t="inlineStr">
        <is>
          <t>A 27975-2026</t>
        </is>
      </c>
      <c r="B8859" t="inlineStr">
        <is>
          <t>avverkningsanmälan</t>
        </is>
      </c>
      <c r="C8859" t="inlineStr">
        <is>
          <t>Föryngringsavverkning</t>
        </is>
      </c>
      <c r="D8859" s="1" t="n">
        <v>46195</v>
      </c>
      <c r="E8859" s="1" t="n">
        <v>46326</v>
      </c>
      <c r="F8859" t="inlineStr">
        <is>
          <t>GÄVLEBORGS LÄN</t>
        </is>
      </c>
      <c r="G8859" t="inlineStr">
        <is>
          <t>NORDANSTIG</t>
        </is>
      </c>
      <c r="I8859" t="n">
        <v>5.6</v>
      </c>
      <c r="J8859" t="n">
        <v>0</v>
      </c>
      <c r="K8859" t="n">
        <v>0</v>
      </c>
      <c r="L8859" t="n">
        <v>0</v>
      </c>
      <c r="M8859" t="n">
        <v>0</v>
      </c>
      <c r="N8859" t="n">
        <v>0</v>
      </c>
      <c r="O8859" t="n">
        <v>0</v>
      </c>
      <c r="P8859" t="n">
        <v>0</v>
      </c>
      <c r="Q8859" t="n">
        <v>0</v>
      </c>
      <c r="R8859" t="n">
        <v>0</v>
      </c>
      <c r="S8859" t="n">
        <v>0</v>
      </c>
      <c r="T8859" t="n">
        <v>0</v>
      </c>
      <c r="U8859" t="n">
        <v>0</v>
      </c>
      <c r="V8859" s="2" t="inlineStr"/>
    </row>
    <row r="8860" ht="15" customHeight="1">
      <c r="A8860" t="inlineStr">
        <is>
          <t>A 12451-2023</t>
        </is>
      </c>
      <c r="B8860" t="inlineStr">
        <is>
          <t>avverkningsanmälan</t>
        </is>
      </c>
      <c r="C8860" t="inlineStr">
        <is>
          <t>Föryngringsavverkning</t>
        </is>
      </c>
      <c r="D8860" s="1" t="n">
        <v>44999</v>
      </c>
      <c r="E8860" s="1" t="n">
        <v>46326</v>
      </c>
      <c r="F8860" t="inlineStr">
        <is>
          <t>GÄVLEBORGS LÄN</t>
        </is>
      </c>
      <c r="G8860" t="inlineStr">
        <is>
          <t>BOLLNÄS</t>
        </is>
      </c>
      <c r="I8860" t="n">
        <v>0.2</v>
      </c>
      <c r="J8860" t="n">
        <v>0</v>
      </c>
      <c r="K8860" t="n">
        <v>0</v>
      </c>
      <c r="L8860" t="n">
        <v>0</v>
      </c>
      <c r="M8860" t="n">
        <v>0</v>
      </c>
      <c r="N8860" t="n">
        <v>0</v>
      </c>
      <c r="O8860" t="n">
        <v>0</v>
      </c>
      <c r="P8860" t="n">
        <v>0</v>
      </c>
      <c r="Q8860" t="n">
        <v>0</v>
      </c>
      <c r="R8860" t="n">
        <v>0</v>
      </c>
      <c r="S8860" t="n">
        <v>0</v>
      </c>
      <c r="T8860" t="n">
        <v>0</v>
      </c>
      <c r="U8860" t="n">
        <v>0</v>
      </c>
      <c r="V8860" s="2" t="inlineStr"/>
    </row>
    <row r="8861" ht="15" customHeight="1">
      <c r="A8861" t="inlineStr">
        <is>
          <t>A 42306-2023</t>
        </is>
      </c>
      <c r="B8861" t="inlineStr">
        <is>
          <t>avverkningsanmälan</t>
        </is>
      </c>
      <c r="C8861" t="inlineStr">
        <is>
          <t>Föryngringsavverkning</t>
        </is>
      </c>
      <c r="D8861" s="1" t="n">
        <v>45180</v>
      </c>
      <c r="E8861" s="1" t="n">
        <v>46326</v>
      </c>
      <c r="F8861" t="inlineStr">
        <is>
          <t>GÄVLEBORGS LÄN</t>
        </is>
      </c>
      <c r="G8861" t="inlineStr">
        <is>
          <t>BOLLNÄS</t>
        </is>
      </c>
      <c r="I8861" t="n">
        <v>4.8</v>
      </c>
      <c r="J8861" t="n">
        <v>0</v>
      </c>
      <c r="K8861" t="n">
        <v>0</v>
      </c>
      <c r="L8861" t="n">
        <v>0</v>
      </c>
      <c r="M8861" t="n">
        <v>0</v>
      </c>
      <c r="N8861" t="n">
        <v>0</v>
      </c>
      <c r="O8861" t="n">
        <v>0</v>
      </c>
      <c r="P8861" t="n">
        <v>0</v>
      </c>
      <c r="Q8861" t="n">
        <v>0</v>
      </c>
      <c r="R8861" t="n">
        <v>0</v>
      </c>
      <c r="S8861" t="n">
        <v>0</v>
      </c>
      <c r="T8861" t="n">
        <v>0</v>
      </c>
      <c r="U8861" t="n">
        <v>0</v>
      </c>
      <c r="V8861" s="2" t="inlineStr"/>
    </row>
    <row r="8862" ht="15" customHeight="1">
      <c r="A8862" t="inlineStr">
        <is>
          <t>A 28369-2026</t>
        </is>
      </c>
      <c r="B8862" t="inlineStr">
        <is>
          <t>avverkningsanmälan</t>
        </is>
      </c>
      <c r="C8862" t="inlineStr">
        <is>
          <t>Föryngringsavverkning</t>
        </is>
      </c>
      <c r="D8862" s="1" t="n">
        <v>46196</v>
      </c>
      <c r="E8862" s="1" t="n">
        <v>46326</v>
      </c>
      <c r="F8862" t="inlineStr">
        <is>
          <t>GÄVLEBORGS LÄN</t>
        </is>
      </c>
      <c r="G8862" t="inlineStr">
        <is>
          <t>SANDVIKEN</t>
        </is>
      </c>
      <c r="I8862" t="n">
        <v>1.1</v>
      </c>
      <c r="J8862" t="n">
        <v>0</v>
      </c>
      <c r="K8862" t="n">
        <v>0</v>
      </c>
      <c r="L8862" t="n">
        <v>0</v>
      </c>
      <c r="M8862" t="n">
        <v>0</v>
      </c>
      <c r="N8862" t="n">
        <v>0</v>
      </c>
      <c r="O8862" t="n">
        <v>0</v>
      </c>
      <c r="P8862" t="n">
        <v>0</v>
      </c>
      <c r="Q8862" t="n">
        <v>0</v>
      </c>
      <c r="R8862" t="n">
        <v>0</v>
      </c>
      <c r="S8862" t="n">
        <v>0</v>
      </c>
      <c r="T8862" t="n">
        <v>0</v>
      </c>
      <c r="U8862" t="n">
        <v>0</v>
      </c>
      <c r="V8862" s="2" t="inlineStr"/>
    </row>
    <row r="8863" ht="15" customHeight="1">
      <c r="A8863" t="inlineStr">
        <is>
          <t>A 28379-2026</t>
        </is>
      </c>
      <c r="B8863" t="inlineStr">
        <is>
          <t>avverkningsanmälan</t>
        </is>
      </c>
      <c r="C8863" t="inlineStr">
        <is>
          <t>Föryngringsavverkning</t>
        </is>
      </c>
      <c r="D8863" s="1" t="n">
        <v>46196</v>
      </c>
      <c r="E8863" s="1" t="n">
        <v>46326</v>
      </c>
      <c r="F8863" t="inlineStr">
        <is>
          <t>GÄVLEBORGS LÄN</t>
        </is>
      </c>
      <c r="G8863" t="inlineStr">
        <is>
          <t>GÄVLE</t>
        </is>
      </c>
      <c r="H8863" t="inlineStr">
        <is>
          <t>Bergvik skog öst AB</t>
        </is>
      </c>
      <c r="I8863" t="n">
        <v>1.6</v>
      </c>
      <c r="J8863" t="n">
        <v>0</v>
      </c>
      <c r="K8863" t="n">
        <v>0</v>
      </c>
      <c r="L8863" t="n">
        <v>0</v>
      </c>
      <c r="M8863" t="n">
        <v>0</v>
      </c>
      <c r="N8863" t="n">
        <v>0</v>
      </c>
      <c r="O8863" t="n">
        <v>0</v>
      </c>
      <c r="P8863" t="n">
        <v>0</v>
      </c>
      <c r="Q8863" t="n">
        <v>0</v>
      </c>
      <c r="R8863" t="n">
        <v>0</v>
      </c>
      <c r="S8863" t="n">
        <v>0</v>
      </c>
      <c r="T8863" t="n">
        <v>0</v>
      </c>
      <c r="U8863" t="n">
        <v>0</v>
      </c>
      <c r="V8863" s="2" t="inlineStr"/>
    </row>
    <row r="8864" ht="15" customHeight="1">
      <c r="A8864" t="inlineStr">
        <is>
          <t>A 28289-2026</t>
        </is>
      </c>
      <c r="B8864" t="inlineStr">
        <is>
          <t>avverkningsanmälan</t>
        </is>
      </c>
      <c r="C8864" t="inlineStr">
        <is>
          <t>Föryngringsavverkning</t>
        </is>
      </c>
      <c r="D8864" s="1" t="n">
        <v>46196</v>
      </c>
      <c r="E8864" s="1" t="n">
        <v>46326</v>
      </c>
      <c r="F8864" t="inlineStr">
        <is>
          <t>GÄVLEBORGS LÄN</t>
        </is>
      </c>
      <c r="G8864" t="inlineStr">
        <is>
          <t>OCKELBO</t>
        </is>
      </c>
      <c r="H8864" t="inlineStr">
        <is>
          <t>Bergvik skog väst AB</t>
        </is>
      </c>
      <c r="I8864" t="n">
        <v>2</v>
      </c>
      <c r="J8864" t="n">
        <v>0</v>
      </c>
      <c r="K8864" t="n">
        <v>0</v>
      </c>
      <c r="L8864" t="n">
        <v>0</v>
      </c>
      <c r="M8864" t="n">
        <v>0</v>
      </c>
      <c r="N8864" t="n">
        <v>0</v>
      </c>
      <c r="O8864" t="n">
        <v>0</v>
      </c>
      <c r="P8864" t="n">
        <v>0</v>
      </c>
      <c r="Q8864" t="n">
        <v>0</v>
      </c>
      <c r="R8864" t="n">
        <v>0</v>
      </c>
      <c r="S8864" t="n">
        <v>0</v>
      </c>
      <c r="T8864" t="n">
        <v>0</v>
      </c>
      <c r="U8864" t="n">
        <v>0</v>
      </c>
      <c r="V8864" s="2" t="inlineStr"/>
    </row>
    <row r="8865" ht="15" customHeight="1">
      <c r="A8865" t="inlineStr">
        <is>
          <t>A 10486-2024</t>
        </is>
      </c>
      <c r="B8865" t="inlineStr">
        <is>
          <t>avverkningsanmälan</t>
        </is>
      </c>
      <c r="C8865" t="inlineStr">
        <is>
          <t>Föryngringsavverkning</t>
        </is>
      </c>
      <c r="D8865" s="1" t="n">
        <v>45366</v>
      </c>
      <c r="E8865" s="1" t="n">
        <v>46326</v>
      </c>
      <c r="F8865" t="inlineStr">
        <is>
          <t>GÄVLEBORGS LÄN</t>
        </is>
      </c>
      <c r="G8865" t="inlineStr">
        <is>
          <t>BOLLNÄS</t>
        </is>
      </c>
      <c r="I8865" t="n">
        <v>1.3</v>
      </c>
      <c r="J8865" t="n">
        <v>0</v>
      </c>
      <c r="K8865" t="n">
        <v>0</v>
      </c>
      <c r="L8865" t="n">
        <v>0</v>
      </c>
      <c r="M8865" t="n">
        <v>0</v>
      </c>
      <c r="N8865" t="n">
        <v>0</v>
      </c>
      <c r="O8865" t="n">
        <v>0</v>
      </c>
      <c r="P8865" t="n">
        <v>0</v>
      </c>
      <c r="Q8865" t="n">
        <v>0</v>
      </c>
      <c r="R8865" t="n">
        <v>0</v>
      </c>
      <c r="S8865" t="n">
        <v>0</v>
      </c>
      <c r="T8865" t="n">
        <v>0</v>
      </c>
      <c r="U8865" t="n">
        <v>0</v>
      </c>
      <c r="V8865" s="2" t="inlineStr"/>
    </row>
    <row r="8866" ht="15" customHeight="1">
      <c r="A8866" t="inlineStr">
        <is>
          <t>A 28340-2026</t>
        </is>
      </c>
      <c r="B8866" t="inlineStr">
        <is>
          <t>avverkningsanmälan</t>
        </is>
      </c>
      <c r="C8866" t="inlineStr">
        <is>
          <t>Föryngringsavverkning</t>
        </is>
      </c>
      <c r="D8866" s="1" t="n">
        <v>46196</v>
      </c>
      <c r="E8866" s="1" t="n">
        <v>46326</v>
      </c>
      <c r="F8866" t="inlineStr">
        <is>
          <t>GÄVLEBORGS LÄN</t>
        </is>
      </c>
      <c r="G8866" t="inlineStr">
        <is>
          <t>SANDVIKEN</t>
        </is>
      </c>
      <c r="H8866" t="inlineStr">
        <is>
          <t>Bergvik skog öst AB</t>
        </is>
      </c>
      <c r="I8866" t="n">
        <v>26</v>
      </c>
      <c r="J8866" t="n">
        <v>0</v>
      </c>
      <c r="K8866" t="n">
        <v>0</v>
      </c>
      <c r="L8866" t="n">
        <v>0</v>
      </c>
      <c r="M8866" t="n">
        <v>0</v>
      </c>
      <c r="N8866" t="n">
        <v>0</v>
      </c>
      <c r="O8866" t="n">
        <v>0</v>
      </c>
      <c r="P8866" t="n">
        <v>0</v>
      </c>
      <c r="Q8866" t="n">
        <v>0</v>
      </c>
      <c r="R8866" t="n">
        <v>0</v>
      </c>
      <c r="S8866" t="n">
        <v>0</v>
      </c>
      <c r="T8866" t="n">
        <v>0</v>
      </c>
      <c r="U8866" t="n">
        <v>0</v>
      </c>
      <c r="V8866" s="2" t="inlineStr"/>
    </row>
    <row r="8867" ht="15" customHeight="1">
      <c r="A8867" t="inlineStr">
        <is>
          <t>A 28344-2026</t>
        </is>
      </c>
      <c r="B8867" t="inlineStr">
        <is>
          <t>avverkningsanmälan</t>
        </is>
      </c>
      <c r="C8867" t="inlineStr">
        <is>
          <t>Föryngringsavverkning</t>
        </is>
      </c>
      <c r="D8867" s="1" t="n">
        <v>46196</v>
      </c>
      <c r="E8867" s="1" t="n">
        <v>46326</v>
      </c>
      <c r="F8867" t="inlineStr">
        <is>
          <t>GÄVLEBORGS LÄN</t>
        </is>
      </c>
      <c r="G8867" t="inlineStr">
        <is>
          <t>SANDVIKEN</t>
        </is>
      </c>
      <c r="H8867" t="inlineStr">
        <is>
          <t>Sveaskog</t>
        </is>
      </c>
      <c r="I8867" t="n">
        <v>1.3</v>
      </c>
      <c r="J8867" t="n">
        <v>0</v>
      </c>
      <c r="K8867" t="n">
        <v>0</v>
      </c>
      <c r="L8867" t="n">
        <v>0</v>
      </c>
      <c r="M8867" t="n">
        <v>0</v>
      </c>
      <c r="N8867" t="n">
        <v>0</v>
      </c>
      <c r="O8867" t="n">
        <v>0</v>
      </c>
      <c r="P8867" t="n">
        <v>0</v>
      </c>
      <c r="Q8867" t="n">
        <v>0</v>
      </c>
      <c r="R8867" t="n">
        <v>0</v>
      </c>
      <c r="S8867" t="n">
        <v>0</v>
      </c>
      <c r="T8867" t="n">
        <v>0</v>
      </c>
      <c r="U8867" t="n">
        <v>0</v>
      </c>
      <c r="V8867" s="2" t="inlineStr"/>
    </row>
    <row r="8868" ht="15" customHeight="1">
      <c r="A8868" t="inlineStr">
        <is>
          <t>A 28365-2026</t>
        </is>
      </c>
      <c r="B8868" t="inlineStr">
        <is>
          <t>avverkningsanmälan</t>
        </is>
      </c>
      <c r="C8868" t="inlineStr">
        <is>
          <t>Föryngringsavverkning</t>
        </is>
      </c>
      <c r="D8868" s="1" t="n">
        <v>46196</v>
      </c>
      <c r="E8868" s="1" t="n">
        <v>46326</v>
      </c>
      <c r="F8868" t="inlineStr">
        <is>
          <t>GÄVLEBORGS LÄN</t>
        </is>
      </c>
      <c r="G8868" t="inlineStr">
        <is>
          <t>OVANÅKER</t>
        </is>
      </c>
      <c r="I8868" t="n">
        <v>1.5</v>
      </c>
      <c r="J8868" t="n">
        <v>0</v>
      </c>
      <c r="K8868" t="n">
        <v>0</v>
      </c>
      <c r="L8868" t="n">
        <v>0</v>
      </c>
      <c r="M8868" t="n">
        <v>0</v>
      </c>
      <c r="N8868" t="n">
        <v>0</v>
      </c>
      <c r="O8868" t="n">
        <v>0</v>
      </c>
      <c r="P8868" t="n">
        <v>0</v>
      </c>
      <c r="Q8868" t="n">
        <v>0</v>
      </c>
      <c r="R8868" t="n">
        <v>0</v>
      </c>
      <c r="S8868" t="n">
        <v>0</v>
      </c>
      <c r="T8868" t="n">
        <v>0</v>
      </c>
      <c r="U8868" t="n">
        <v>0</v>
      </c>
      <c r="V8868" s="2" t="inlineStr"/>
    </row>
    <row r="8869" ht="15" customHeight="1">
      <c r="A8869" t="inlineStr">
        <is>
          <t>A 28391-2026</t>
        </is>
      </c>
      <c r="B8869" t="inlineStr">
        <is>
          <t>avverkningsanmälan</t>
        </is>
      </c>
      <c r="C8869" t="inlineStr">
        <is>
          <t>Föryngringsavverkning</t>
        </is>
      </c>
      <c r="D8869" s="1" t="n">
        <v>46196</v>
      </c>
      <c r="E8869" s="1" t="n">
        <v>46326</v>
      </c>
      <c r="F8869" t="inlineStr">
        <is>
          <t>GÄVLEBORGS LÄN</t>
        </is>
      </c>
      <c r="G8869" t="inlineStr">
        <is>
          <t>NORDANSTIG</t>
        </is>
      </c>
      <c r="I8869" t="n">
        <v>4.1</v>
      </c>
      <c r="J8869" t="n">
        <v>0</v>
      </c>
      <c r="K8869" t="n">
        <v>0</v>
      </c>
      <c r="L8869" t="n">
        <v>0</v>
      </c>
      <c r="M8869" t="n">
        <v>0</v>
      </c>
      <c r="N8869" t="n">
        <v>0</v>
      </c>
      <c r="O8869" t="n">
        <v>0</v>
      </c>
      <c r="P8869" t="n">
        <v>0</v>
      </c>
      <c r="Q8869" t="n">
        <v>0</v>
      </c>
      <c r="R8869" t="n">
        <v>0</v>
      </c>
      <c r="S8869" t="n">
        <v>0</v>
      </c>
      <c r="T8869" t="n">
        <v>0</v>
      </c>
      <c r="U8869" t="n">
        <v>0</v>
      </c>
      <c r="V8869" s="2" t="inlineStr"/>
    </row>
    <row r="8870" ht="15" customHeight="1">
      <c r="A8870" t="inlineStr">
        <is>
          <t>A 28317-2026</t>
        </is>
      </c>
      <c r="B8870" t="inlineStr">
        <is>
          <t>avverkningsanmälan</t>
        </is>
      </c>
      <c r="C8870" t="inlineStr">
        <is>
          <t>Föryngringsavverkning</t>
        </is>
      </c>
      <c r="D8870" s="1" t="n">
        <v>46196</v>
      </c>
      <c r="E8870" s="1" t="n">
        <v>46326</v>
      </c>
      <c r="F8870" t="inlineStr">
        <is>
          <t>GÄVLEBORGS LÄN</t>
        </is>
      </c>
      <c r="G8870" t="inlineStr">
        <is>
          <t>OCKELBO</t>
        </is>
      </c>
      <c r="H8870" t="inlineStr">
        <is>
          <t>Bergvik skog väst AB</t>
        </is>
      </c>
      <c r="I8870" t="n">
        <v>7</v>
      </c>
      <c r="J8870" t="n">
        <v>0</v>
      </c>
      <c r="K8870" t="n">
        <v>0</v>
      </c>
      <c r="L8870" t="n">
        <v>0</v>
      </c>
      <c r="M8870" t="n">
        <v>0</v>
      </c>
      <c r="N8870" t="n">
        <v>0</v>
      </c>
      <c r="O8870" t="n">
        <v>0</v>
      </c>
      <c r="P8870" t="n">
        <v>0</v>
      </c>
      <c r="Q8870" t="n">
        <v>0</v>
      </c>
      <c r="R8870" t="n">
        <v>0</v>
      </c>
      <c r="S8870" t="n">
        <v>0</v>
      </c>
      <c r="T8870" t="n">
        <v>0</v>
      </c>
      <c r="U8870" t="n">
        <v>0</v>
      </c>
      <c r="V8870" s="2" t="inlineStr"/>
    </row>
    <row r="8871" ht="15" customHeight="1">
      <c r="A8871" t="inlineStr">
        <is>
          <t>A 28324-2026</t>
        </is>
      </c>
      <c r="B8871" t="inlineStr">
        <is>
          <t>avverkningsanmälan</t>
        </is>
      </c>
      <c r="C8871" t="inlineStr">
        <is>
          <t>Föryngringsavverkning</t>
        </is>
      </c>
      <c r="D8871" s="1" t="n">
        <v>46196</v>
      </c>
      <c r="E8871" s="1" t="n">
        <v>46326</v>
      </c>
      <c r="F8871" t="inlineStr">
        <is>
          <t>GÄVLEBORGS LÄN</t>
        </is>
      </c>
      <c r="G8871" t="inlineStr">
        <is>
          <t>LJUSDAL</t>
        </is>
      </c>
      <c r="H8871" t="inlineStr">
        <is>
          <t>Allmännings- och besparingsskogar</t>
        </is>
      </c>
      <c r="I8871" t="n">
        <v>3.2</v>
      </c>
      <c r="J8871" t="n">
        <v>0</v>
      </c>
      <c r="K8871" t="n">
        <v>0</v>
      </c>
      <c r="L8871" t="n">
        <v>0</v>
      </c>
      <c r="M8871" t="n">
        <v>0</v>
      </c>
      <c r="N8871" t="n">
        <v>0</v>
      </c>
      <c r="O8871" t="n">
        <v>0</v>
      </c>
      <c r="P8871" t="n">
        <v>0</v>
      </c>
      <c r="Q8871" t="n">
        <v>0</v>
      </c>
      <c r="R8871" t="n">
        <v>0</v>
      </c>
      <c r="S8871" t="n">
        <v>0</v>
      </c>
      <c r="T8871" t="n">
        <v>0</v>
      </c>
      <c r="U8871" t="n">
        <v>0</v>
      </c>
      <c r="V8871" s="2" t="inlineStr"/>
    </row>
    <row r="8872" ht="15" customHeight="1">
      <c r="A8872" t="inlineStr">
        <is>
          <t>A 28329-2026</t>
        </is>
      </c>
      <c r="B8872" t="inlineStr">
        <is>
          <t>avverkningsanmälan</t>
        </is>
      </c>
      <c r="C8872" t="inlineStr">
        <is>
          <t>Föryngringsavverkning</t>
        </is>
      </c>
      <c r="D8872" s="1" t="n">
        <v>46196</v>
      </c>
      <c r="E8872" s="1" t="n">
        <v>46326</v>
      </c>
      <c r="F8872" t="inlineStr">
        <is>
          <t>GÄVLEBORGS LÄN</t>
        </is>
      </c>
      <c r="G8872" t="inlineStr">
        <is>
          <t>HOFORS</t>
        </is>
      </c>
      <c r="H8872" t="inlineStr">
        <is>
          <t>Sveaskog</t>
        </is>
      </c>
      <c r="I8872" t="n">
        <v>3.1</v>
      </c>
      <c r="J8872" t="n">
        <v>0</v>
      </c>
      <c r="K8872" t="n">
        <v>0</v>
      </c>
      <c r="L8872" t="n">
        <v>0</v>
      </c>
      <c r="M8872" t="n">
        <v>0</v>
      </c>
      <c r="N8872" t="n">
        <v>0</v>
      </c>
      <c r="O8872" t="n">
        <v>0</v>
      </c>
      <c r="P8872" t="n">
        <v>0</v>
      </c>
      <c r="Q8872" t="n">
        <v>0</v>
      </c>
      <c r="R8872" t="n">
        <v>0</v>
      </c>
      <c r="S8872" t="n">
        <v>0</v>
      </c>
      <c r="T8872" t="n">
        <v>0</v>
      </c>
      <c r="U8872" t="n">
        <v>0</v>
      </c>
      <c r="V8872" s="2" t="inlineStr"/>
    </row>
    <row r="8873" ht="15" customHeight="1">
      <c r="A8873" t="inlineStr">
        <is>
          <t>A 28331-2026</t>
        </is>
      </c>
      <c r="B8873" t="inlineStr">
        <is>
          <t>avverkningsanmälan</t>
        </is>
      </c>
      <c r="C8873" t="inlineStr">
        <is>
          <t>Föryngringsavverkning</t>
        </is>
      </c>
      <c r="D8873" s="1" t="n">
        <v>46196</v>
      </c>
      <c r="E8873" s="1" t="n">
        <v>46326</v>
      </c>
      <c r="F8873" t="inlineStr">
        <is>
          <t>GÄVLEBORGS LÄN</t>
        </is>
      </c>
      <c r="G8873" t="inlineStr">
        <is>
          <t>GÄVLE</t>
        </is>
      </c>
      <c r="H8873" t="inlineStr">
        <is>
          <t>Bergvik skog öst AB</t>
        </is>
      </c>
      <c r="I8873" t="n">
        <v>1.4</v>
      </c>
      <c r="J8873" t="n">
        <v>0</v>
      </c>
      <c r="K8873" t="n">
        <v>0</v>
      </c>
      <c r="L8873" t="n">
        <v>0</v>
      </c>
      <c r="M8873" t="n">
        <v>0</v>
      </c>
      <c r="N8873" t="n">
        <v>0</v>
      </c>
      <c r="O8873" t="n">
        <v>0</v>
      </c>
      <c r="P8873" t="n">
        <v>0</v>
      </c>
      <c r="Q8873" t="n">
        <v>0</v>
      </c>
      <c r="R8873" t="n">
        <v>0</v>
      </c>
      <c r="S8873" t="n">
        <v>0</v>
      </c>
      <c r="T8873" t="n">
        <v>0</v>
      </c>
      <c r="U8873" t="n">
        <v>0</v>
      </c>
      <c r="V8873" s="2" t="inlineStr"/>
    </row>
    <row r="8874" ht="15" customHeight="1">
      <c r="A8874" t="inlineStr">
        <is>
          <t>A 18913-2025</t>
        </is>
      </c>
      <c r="B8874" t="inlineStr">
        <is>
          <t>avverkningsanmälan</t>
        </is>
      </c>
      <c r="C8874" t="inlineStr">
        <is>
          <t>Föryngringsavverkning</t>
        </is>
      </c>
      <c r="D8874" s="1" t="n">
        <v>45764</v>
      </c>
      <c r="E8874" s="1" t="n">
        <v>46326</v>
      </c>
      <c r="F8874" t="inlineStr">
        <is>
          <t>GÄVLEBORGS LÄN</t>
        </is>
      </c>
      <c r="G8874" t="inlineStr">
        <is>
          <t>SÖDERHAMN</t>
        </is>
      </c>
      <c r="H8874" t="inlineStr">
        <is>
          <t>Kommuner</t>
        </is>
      </c>
      <c r="I8874" t="n">
        <v>0.9</v>
      </c>
      <c r="J8874" t="n">
        <v>0</v>
      </c>
      <c r="K8874" t="n">
        <v>0</v>
      </c>
      <c r="L8874" t="n">
        <v>0</v>
      </c>
      <c r="M8874" t="n">
        <v>0</v>
      </c>
      <c r="N8874" t="n">
        <v>0</v>
      </c>
      <c r="O8874" t="n">
        <v>0</v>
      </c>
      <c r="P8874" t="n">
        <v>0</v>
      </c>
      <c r="Q8874" t="n">
        <v>0</v>
      </c>
      <c r="R8874" t="n">
        <v>0</v>
      </c>
      <c r="S8874" t="n">
        <v>0</v>
      </c>
      <c r="T8874" t="n">
        <v>0</v>
      </c>
      <c r="U8874" t="n">
        <v>0</v>
      </c>
      <c r="V8874" s="2" t="inlineStr"/>
    </row>
    <row r="8875" ht="15" customHeight="1">
      <c r="A8875" t="inlineStr">
        <is>
          <t>A 28346-2026</t>
        </is>
      </c>
      <c r="B8875" t="inlineStr">
        <is>
          <t>avverkningsanmälan</t>
        </is>
      </c>
      <c r="C8875" t="inlineStr">
        <is>
          <t>Föryngringsavverkning</t>
        </is>
      </c>
      <c r="D8875" s="1" t="n">
        <v>46196</v>
      </c>
      <c r="E8875" s="1" t="n">
        <v>46326</v>
      </c>
      <c r="F8875" t="inlineStr">
        <is>
          <t>GÄVLEBORGS LÄN</t>
        </is>
      </c>
      <c r="G8875" t="inlineStr">
        <is>
          <t>SANDVIKEN</t>
        </is>
      </c>
      <c r="H8875" t="inlineStr">
        <is>
          <t>Sveaskog</t>
        </is>
      </c>
      <c r="I8875" t="n">
        <v>11.9</v>
      </c>
      <c r="J8875" t="n">
        <v>0</v>
      </c>
      <c r="K8875" t="n">
        <v>0</v>
      </c>
      <c r="L8875" t="n">
        <v>0</v>
      </c>
      <c r="M8875" t="n">
        <v>0</v>
      </c>
      <c r="N8875" t="n">
        <v>0</v>
      </c>
      <c r="O8875" t="n">
        <v>0</v>
      </c>
      <c r="P8875" t="n">
        <v>0</v>
      </c>
      <c r="Q8875" t="n">
        <v>0</v>
      </c>
      <c r="R8875" t="n">
        <v>0</v>
      </c>
      <c r="S8875" t="n">
        <v>0</v>
      </c>
      <c r="T8875" t="n">
        <v>0</v>
      </c>
      <c r="U8875" t="n">
        <v>0</v>
      </c>
      <c r="V8875" s="2" t="inlineStr"/>
    </row>
    <row r="8876" ht="15" customHeight="1">
      <c r="A8876" t="inlineStr">
        <is>
          <t>A 6324-2023</t>
        </is>
      </c>
      <c r="B8876" t="inlineStr">
        <is>
          <t>avverkningsanmälan</t>
        </is>
      </c>
      <c r="C8876" t="inlineStr">
        <is>
          <t>Föryngringsavverkning</t>
        </is>
      </c>
      <c r="D8876" s="1" t="n">
        <v>44965</v>
      </c>
      <c r="E8876" s="1" t="n">
        <v>46326</v>
      </c>
      <c r="F8876" t="inlineStr">
        <is>
          <t>GÄVLEBORGS LÄN</t>
        </is>
      </c>
      <c r="G8876" t="inlineStr">
        <is>
          <t>NORDANSTIG</t>
        </is>
      </c>
      <c r="I8876" t="n">
        <v>0.8</v>
      </c>
      <c r="J8876" t="n">
        <v>0</v>
      </c>
      <c r="K8876" t="n">
        <v>0</v>
      </c>
      <c r="L8876" t="n">
        <v>0</v>
      </c>
      <c r="M8876" t="n">
        <v>0</v>
      </c>
      <c r="N8876" t="n">
        <v>0</v>
      </c>
      <c r="O8876" t="n">
        <v>0</v>
      </c>
      <c r="P8876" t="n">
        <v>0</v>
      </c>
      <c r="Q8876" t="n">
        <v>0</v>
      </c>
      <c r="R8876" t="n">
        <v>0</v>
      </c>
      <c r="S8876" t="n">
        <v>0</v>
      </c>
      <c r="T8876" t="n">
        <v>0</v>
      </c>
      <c r="U8876" t="n">
        <v>0</v>
      </c>
      <c r="V8876" s="2" t="inlineStr"/>
    </row>
    <row r="8877" ht="15" customHeight="1">
      <c r="A8877" t="inlineStr">
        <is>
          <t>A 28075-2026</t>
        </is>
      </c>
      <c r="B8877" t="inlineStr">
        <is>
          <t>avverkningsanmälan</t>
        </is>
      </c>
      <c r="C8877" t="inlineStr">
        <is>
          <t>Föryngringsavverkning</t>
        </is>
      </c>
      <c r="D8877" s="1" t="n">
        <v>46195</v>
      </c>
      <c r="E8877" s="1" t="n">
        <v>46326</v>
      </c>
      <c r="F8877" t="inlineStr">
        <is>
          <t>GÄVLEBORGS LÄN</t>
        </is>
      </c>
      <c r="G8877" t="inlineStr">
        <is>
          <t>HUDIKSVALL</t>
        </is>
      </c>
      <c r="H8877" t="inlineStr">
        <is>
          <t>Kommuner</t>
        </is>
      </c>
      <c r="I8877" t="n">
        <v>1.1</v>
      </c>
      <c r="J8877" t="n">
        <v>0</v>
      </c>
      <c r="K8877" t="n">
        <v>0</v>
      </c>
      <c r="L8877" t="n">
        <v>0</v>
      </c>
      <c r="M8877" t="n">
        <v>0</v>
      </c>
      <c r="N8877" t="n">
        <v>0</v>
      </c>
      <c r="O8877" t="n">
        <v>0</v>
      </c>
      <c r="P8877" t="n">
        <v>0</v>
      </c>
      <c r="Q8877" t="n">
        <v>0</v>
      </c>
      <c r="R8877" t="n">
        <v>0</v>
      </c>
      <c r="S8877" t="n">
        <v>0</v>
      </c>
      <c r="T8877" t="n">
        <v>0</v>
      </c>
      <c r="U8877" t="n">
        <v>0</v>
      </c>
      <c r="V8877" s="2" t="inlineStr"/>
    </row>
    <row r="8878" ht="15" customHeight="1">
      <c r="A8878" t="inlineStr">
        <is>
          <t>A 56034-2023</t>
        </is>
      </c>
      <c r="B8878" t="inlineStr">
        <is>
          <t>avverkningsanmälan</t>
        </is>
      </c>
      <c r="C8878" t="inlineStr">
        <is>
          <t>Föryngringsavverkning</t>
        </is>
      </c>
      <c r="D8878" s="1" t="n">
        <v>45240</v>
      </c>
      <c r="E8878" s="1" t="n">
        <v>46326</v>
      </c>
      <c r="F8878" t="inlineStr">
        <is>
          <t>GÄVLEBORGS LÄN</t>
        </is>
      </c>
      <c r="G8878" t="inlineStr">
        <is>
          <t>OCKELBO</t>
        </is>
      </c>
      <c r="H8878" t="inlineStr">
        <is>
          <t>Bergvik skog väst AB</t>
        </is>
      </c>
      <c r="I8878" t="n">
        <v>4</v>
      </c>
      <c r="J8878" t="n">
        <v>0</v>
      </c>
      <c r="K8878" t="n">
        <v>0</v>
      </c>
      <c r="L8878" t="n">
        <v>0</v>
      </c>
      <c r="M8878" t="n">
        <v>0</v>
      </c>
      <c r="N8878" t="n">
        <v>0</v>
      </c>
      <c r="O8878" t="n">
        <v>0</v>
      </c>
      <c r="P8878" t="n">
        <v>0</v>
      </c>
      <c r="Q8878" t="n">
        <v>0</v>
      </c>
      <c r="R8878" t="n">
        <v>0</v>
      </c>
      <c r="S8878" t="n">
        <v>0</v>
      </c>
      <c r="T8878" t="n">
        <v>0</v>
      </c>
      <c r="U8878" t="n">
        <v>0</v>
      </c>
      <c r="V8878" s="2" t="inlineStr"/>
    </row>
    <row r="8879" ht="15" customHeight="1">
      <c r="A8879" t="inlineStr">
        <is>
          <t>A 25208-2024</t>
        </is>
      </c>
      <c r="B8879" t="inlineStr">
        <is>
          <t>avverkningsanmälan</t>
        </is>
      </c>
      <c r="C8879" t="inlineStr">
        <is>
          <t>Föryngringsavverkning</t>
        </is>
      </c>
      <c r="D8879" s="1" t="n">
        <v>45462</v>
      </c>
      <c r="E8879" s="1" t="n">
        <v>46326</v>
      </c>
      <c r="F8879" t="inlineStr">
        <is>
          <t>GÄVLEBORGS LÄN</t>
        </is>
      </c>
      <c r="G8879" t="inlineStr">
        <is>
          <t>LJUSDAL</t>
        </is>
      </c>
      <c r="I8879" t="n">
        <v>0.6</v>
      </c>
      <c r="J8879" t="n">
        <v>0</v>
      </c>
      <c r="K8879" t="n">
        <v>0</v>
      </c>
      <c r="L8879" t="n">
        <v>0</v>
      </c>
      <c r="M8879" t="n">
        <v>0</v>
      </c>
      <c r="N8879" t="n">
        <v>0</v>
      </c>
      <c r="O8879" t="n">
        <v>0</v>
      </c>
      <c r="P8879" t="n">
        <v>0</v>
      </c>
      <c r="Q8879" t="n">
        <v>0</v>
      </c>
      <c r="R8879" t="n">
        <v>0</v>
      </c>
      <c r="S8879" t="n">
        <v>0</v>
      </c>
      <c r="T8879" t="n">
        <v>0</v>
      </c>
      <c r="U8879" t="n">
        <v>0</v>
      </c>
      <c r="V8879" s="2" t="inlineStr"/>
    </row>
    <row r="8880" ht="15" customHeight="1">
      <c r="A8880" t="inlineStr">
        <is>
          <t>A 27202-2024</t>
        </is>
      </c>
      <c r="B8880" t="inlineStr">
        <is>
          <t>avverkningsanmälan</t>
        </is>
      </c>
      <c r="C8880" t="inlineStr">
        <is>
          <t>Föryngringsavverkning</t>
        </is>
      </c>
      <c r="D8880" s="1" t="n">
        <v>45471</v>
      </c>
      <c r="E8880" s="1" t="n">
        <v>46326</v>
      </c>
      <c r="F8880" t="inlineStr">
        <is>
          <t>GÄVLEBORGS LÄN</t>
        </is>
      </c>
      <c r="G8880" t="inlineStr">
        <is>
          <t>BOLLNÄS</t>
        </is>
      </c>
      <c r="I8880" t="n">
        <v>1.9</v>
      </c>
      <c r="J8880" t="n">
        <v>0</v>
      </c>
      <c r="K8880" t="n">
        <v>0</v>
      </c>
      <c r="L8880" t="n">
        <v>0</v>
      </c>
      <c r="M8880" t="n">
        <v>0</v>
      </c>
      <c r="N8880" t="n">
        <v>0</v>
      </c>
      <c r="O8880" t="n">
        <v>0</v>
      </c>
      <c r="P8880" t="n">
        <v>0</v>
      </c>
      <c r="Q8880" t="n">
        <v>0</v>
      </c>
      <c r="R8880" t="n">
        <v>0</v>
      </c>
      <c r="S8880" t="n">
        <v>0</v>
      </c>
      <c r="T8880" t="n">
        <v>0</v>
      </c>
      <c r="U8880" t="n">
        <v>0</v>
      </c>
      <c r="V8880" s="2" t="inlineStr"/>
    </row>
    <row r="8881" ht="15" customHeight="1">
      <c r="A8881" t="inlineStr">
        <is>
          <t>A 28035-2026</t>
        </is>
      </c>
      <c r="B8881" t="inlineStr">
        <is>
          <t>avverkningsanmälan</t>
        </is>
      </c>
      <c r="C8881" t="inlineStr">
        <is>
          <t>Föryngringsavverkning</t>
        </is>
      </c>
      <c r="D8881" s="1" t="n">
        <v>46195</v>
      </c>
      <c r="E8881" s="1" t="n">
        <v>46326</v>
      </c>
      <c r="F8881" t="inlineStr">
        <is>
          <t>GÄVLEBORGS LÄN</t>
        </is>
      </c>
      <c r="G8881" t="inlineStr">
        <is>
          <t>OVANÅKER</t>
        </is>
      </c>
      <c r="H8881" t="inlineStr">
        <is>
          <t>Bergvik skog väst AB</t>
        </is>
      </c>
      <c r="I8881" t="n">
        <v>0.9</v>
      </c>
      <c r="J8881" t="n">
        <v>0</v>
      </c>
      <c r="K8881" t="n">
        <v>0</v>
      </c>
      <c r="L8881" t="n">
        <v>0</v>
      </c>
      <c r="M8881" t="n">
        <v>0</v>
      </c>
      <c r="N8881" t="n">
        <v>0</v>
      </c>
      <c r="O8881" t="n">
        <v>0</v>
      </c>
      <c r="P8881" t="n">
        <v>0</v>
      </c>
      <c r="Q8881" t="n">
        <v>0</v>
      </c>
      <c r="R8881" t="n">
        <v>0</v>
      </c>
      <c r="S8881" t="n">
        <v>0</v>
      </c>
      <c r="T8881" t="n">
        <v>0</v>
      </c>
      <c r="U8881" t="n">
        <v>0</v>
      </c>
      <c r="V8881" s="2" t="inlineStr"/>
    </row>
    <row r="8882" ht="15" customHeight="1">
      <c r="A8882" t="inlineStr">
        <is>
          <t>A 28315-2026</t>
        </is>
      </c>
      <c r="B8882" t="inlineStr">
        <is>
          <t>avverkningsanmälan</t>
        </is>
      </c>
      <c r="C8882" t="inlineStr">
        <is>
          <t>Föryngringsavverkning</t>
        </is>
      </c>
      <c r="D8882" s="1" t="n">
        <v>46196</v>
      </c>
      <c r="E8882" s="1" t="n">
        <v>46326</v>
      </c>
      <c r="F8882" t="inlineStr">
        <is>
          <t>GÄVLEBORGS LÄN</t>
        </is>
      </c>
      <c r="G8882" t="inlineStr">
        <is>
          <t>HUDIKSVALL</t>
        </is>
      </c>
      <c r="H8882" t="inlineStr">
        <is>
          <t>Holmen skog AB</t>
        </is>
      </c>
      <c r="I8882" t="n">
        <v>1.7</v>
      </c>
      <c r="J8882" t="n">
        <v>0</v>
      </c>
      <c r="K8882" t="n">
        <v>0</v>
      </c>
      <c r="L8882" t="n">
        <v>0</v>
      </c>
      <c r="M8882" t="n">
        <v>0</v>
      </c>
      <c r="N8882" t="n">
        <v>0</v>
      </c>
      <c r="O8882" t="n">
        <v>0</v>
      </c>
      <c r="P8882" t="n">
        <v>0</v>
      </c>
      <c r="Q8882" t="n">
        <v>0</v>
      </c>
      <c r="R8882" t="n">
        <v>0</v>
      </c>
      <c r="S8882" t="n">
        <v>0</v>
      </c>
      <c r="T8882" t="n">
        <v>0</v>
      </c>
      <c r="U8882" t="n">
        <v>0</v>
      </c>
      <c r="V8882" s="2" t="inlineStr"/>
    </row>
    <row r="8883" ht="15" customHeight="1">
      <c r="A8883" t="inlineStr">
        <is>
          <t>A 27995-2026</t>
        </is>
      </c>
      <c r="B8883" t="inlineStr">
        <is>
          <t>avverkningsanmälan</t>
        </is>
      </c>
      <c r="C8883" t="inlineStr">
        <is>
          <t>Föryngringsavverkning</t>
        </is>
      </c>
      <c r="D8883" s="1" t="n">
        <v>46195</v>
      </c>
      <c r="E8883" s="1" t="n">
        <v>46326</v>
      </c>
      <c r="F8883" t="inlineStr">
        <is>
          <t>GÄVLEBORGS LÄN</t>
        </is>
      </c>
      <c r="G8883" t="inlineStr">
        <is>
          <t>OCKELBO</t>
        </is>
      </c>
      <c r="H8883" t="inlineStr">
        <is>
          <t>Bergvik skog väst AB</t>
        </is>
      </c>
      <c r="I8883" t="n">
        <v>1.2</v>
      </c>
      <c r="J8883" t="n">
        <v>0</v>
      </c>
      <c r="K8883" t="n">
        <v>0</v>
      </c>
      <c r="L8883" t="n">
        <v>0</v>
      </c>
      <c r="M8883" t="n">
        <v>0</v>
      </c>
      <c r="N8883" t="n">
        <v>0</v>
      </c>
      <c r="O8883" t="n">
        <v>0</v>
      </c>
      <c r="P8883" t="n">
        <v>0</v>
      </c>
      <c r="Q8883" t="n">
        <v>0</v>
      </c>
      <c r="R8883" t="n">
        <v>0</v>
      </c>
      <c r="S8883" t="n">
        <v>0</v>
      </c>
      <c r="T8883" t="n">
        <v>0</v>
      </c>
      <c r="U8883" t="n">
        <v>0</v>
      </c>
      <c r="V8883" s="2" t="inlineStr"/>
    </row>
    <row r="8884" ht="15" customHeight="1">
      <c r="A8884" t="inlineStr">
        <is>
          <t>A 1418-2025</t>
        </is>
      </c>
      <c r="B8884" t="inlineStr">
        <is>
          <t>avverkningsanmälan</t>
        </is>
      </c>
      <c r="C8884" t="inlineStr">
        <is>
          <t>Föryngringsavverkning</t>
        </is>
      </c>
      <c r="D8884" s="1" t="n">
        <v>45668</v>
      </c>
      <c r="E8884" s="1" t="n">
        <v>46326</v>
      </c>
      <c r="F8884" t="inlineStr">
        <is>
          <t>GÄVLEBORGS LÄN</t>
        </is>
      </c>
      <c r="G8884" t="inlineStr">
        <is>
          <t>SANDVIKEN</t>
        </is>
      </c>
      <c r="I8884" t="n">
        <v>1.4</v>
      </c>
      <c r="J8884" t="n">
        <v>0</v>
      </c>
      <c r="K8884" t="n">
        <v>0</v>
      </c>
      <c r="L8884" t="n">
        <v>0</v>
      </c>
      <c r="M8884" t="n">
        <v>0</v>
      </c>
      <c r="N8884" t="n">
        <v>0</v>
      </c>
      <c r="O8884" t="n">
        <v>0</v>
      </c>
      <c r="P8884" t="n">
        <v>0</v>
      </c>
      <c r="Q8884" t="n">
        <v>0</v>
      </c>
      <c r="R8884" t="n">
        <v>0</v>
      </c>
      <c r="S8884" t="n">
        <v>0</v>
      </c>
      <c r="T8884" t="n">
        <v>0</v>
      </c>
      <c r="U8884" t="n">
        <v>0</v>
      </c>
      <c r="V8884" s="2" t="inlineStr"/>
    </row>
    <row r="8885" ht="15" customHeight="1">
      <c r="A8885" t="inlineStr">
        <is>
          <t>A 63932-2023</t>
        </is>
      </c>
      <c r="B8885" t="inlineStr">
        <is>
          <t>avverkningsanmälan</t>
        </is>
      </c>
      <c r="C8885" t="inlineStr">
        <is>
          <t>Föryngringsavverkning</t>
        </is>
      </c>
      <c r="D8885" s="1" t="n">
        <v>45278</v>
      </c>
      <c r="E8885" s="1" t="n">
        <v>46326</v>
      </c>
      <c r="F8885" t="inlineStr">
        <is>
          <t>GÄVLEBORGS LÄN</t>
        </is>
      </c>
      <c r="G8885" t="inlineStr">
        <is>
          <t>SÖDERHAMN</t>
        </is>
      </c>
      <c r="I8885" t="n">
        <v>0.4</v>
      </c>
      <c r="J8885" t="n">
        <v>0</v>
      </c>
      <c r="K8885" t="n">
        <v>0</v>
      </c>
      <c r="L8885" t="n">
        <v>0</v>
      </c>
      <c r="M8885" t="n">
        <v>0</v>
      </c>
      <c r="N8885" t="n">
        <v>0</v>
      </c>
      <c r="O8885" t="n">
        <v>0</v>
      </c>
      <c r="P8885" t="n">
        <v>0</v>
      </c>
      <c r="Q8885" t="n">
        <v>0</v>
      </c>
      <c r="R8885" t="n">
        <v>0</v>
      </c>
      <c r="S8885" t="n">
        <v>0</v>
      </c>
      <c r="T8885" t="n">
        <v>0</v>
      </c>
      <c r="U8885" t="n">
        <v>0</v>
      </c>
      <c r="V8885" s="2" t="inlineStr"/>
    </row>
    <row r="8886" ht="15" customHeight="1">
      <c r="A8886" t="inlineStr">
        <is>
          <t>A 28064-2026</t>
        </is>
      </c>
      <c r="B8886" t="inlineStr">
        <is>
          <t>avverkningsanmälan</t>
        </is>
      </c>
      <c r="C8886" t="inlineStr">
        <is>
          <t>Föryngringsavverkning</t>
        </is>
      </c>
      <c r="D8886" s="1" t="n">
        <v>46195</v>
      </c>
      <c r="E8886" s="1" t="n">
        <v>46326</v>
      </c>
      <c r="F8886" t="inlineStr">
        <is>
          <t>GÄVLEBORGS LÄN</t>
        </is>
      </c>
      <c r="G8886" t="inlineStr">
        <is>
          <t>OVANÅKER</t>
        </is>
      </c>
      <c r="I8886" t="n">
        <v>2.9</v>
      </c>
      <c r="J8886" t="n">
        <v>0</v>
      </c>
      <c r="K8886" t="n">
        <v>0</v>
      </c>
      <c r="L8886" t="n">
        <v>0</v>
      </c>
      <c r="M8886" t="n">
        <v>0</v>
      </c>
      <c r="N8886" t="n">
        <v>0</v>
      </c>
      <c r="O8886" t="n">
        <v>0</v>
      </c>
      <c r="P8886" t="n">
        <v>0</v>
      </c>
      <c r="Q8886" t="n">
        <v>0</v>
      </c>
      <c r="R8886" t="n">
        <v>0</v>
      </c>
      <c r="S8886" t="n">
        <v>0</v>
      </c>
      <c r="T8886" t="n">
        <v>0</v>
      </c>
      <c r="U8886" t="n">
        <v>0</v>
      </c>
      <c r="V8886" s="2" t="inlineStr"/>
    </row>
    <row r="8887" ht="15" customHeight="1">
      <c r="A8887" t="inlineStr">
        <is>
          <t>A 52330-2024</t>
        </is>
      </c>
      <c r="B8887" t="inlineStr">
        <is>
          <t>avverkningsanmälan</t>
        </is>
      </c>
      <c r="C8887" t="inlineStr">
        <is>
          <t>Föryngringsavverkning</t>
        </is>
      </c>
      <c r="D8887" s="1" t="n">
        <v>45609</v>
      </c>
      <c r="E8887" s="1" t="n">
        <v>46326</v>
      </c>
      <c r="F8887" t="inlineStr">
        <is>
          <t>GÄVLEBORGS LÄN</t>
        </is>
      </c>
      <c r="G8887" t="inlineStr">
        <is>
          <t>OCKELBO</t>
        </is>
      </c>
      <c r="H8887" t="inlineStr">
        <is>
          <t>Bergvik skog väst AB</t>
        </is>
      </c>
      <c r="I8887" t="n">
        <v>5.6</v>
      </c>
      <c r="J8887" t="n">
        <v>0</v>
      </c>
      <c r="K8887" t="n">
        <v>0</v>
      </c>
      <c r="L8887" t="n">
        <v>0</v>
      </c>
      <c r="M8887" t="n">
        <v>0</v>
      </c>
      <c r="N8887" t="n">
        <v>0</v>
      </c>
      <c r="O8887" t="n">
        <v>0</v>
      </c>
      <c r="P8887" t="n">
        <v>0</v>
      </c>
      <c r="Q8887" t="n">
        <v>0</v>
      </c>
      <c r="R8887" t="n">
        <v>0</v>
      </c>
      <c r="S8887" t="n">
        <v>0</v>
      </c>
      <c r="T8887" t="n">
        <v>0</v>
      </c>
      <c r="U8887" t="n">
        <v>0</v>
      </c>
      <c r="V8887" s="2" t="inlineStr"/>
    </row>
    <row r="8888" ht="15" customHeight="1">
      <c r="A8888" t="inlineStr">
        <is>
          <t>A 2105-2023</t>
        </is>
      </c>
      <c r="B8888" t="inlineStr">
        <is>
          <t>avverkningsanmälan</t>
        </is>
      </c>
      <c r="C8888" t="inlineStr">
        <is>
          <t>Föryngringsavverkning</t>
        </is>
      </c>
      <c r="D8888" s="1" t="n">
        <v>44939</v>
      </c>
      <c r="E8888" s="1" t="n">
        <v>46326</v>
      </c>
      <c r="F8888" t="inlineStr">
        <is>
          <t>GÄVLEBORGS LÄN</t>
        </is>
      </c>
      <c r="G8888" t="inlineStr">
        <is>
          <t>NORDANSTIG</t>
        </is>
      </c>
      <c r="I8888" t="n">
        <v>3.6</v>
      </c>
      <c r="J8888" t="n">
        <v>0</v>
      </c>
      <c r="K8888" t="n">
        <v>0</v>
      </c>
      <c r="L8888" t="n">
        <v>0</v>
      </c>
      <c r="M8888" t="n">
        <v>0</v>
      </c>
      <c r="N8888" t="n">
        <v>0</v>
      </c>
      <c r="O8888" t="n">
        <v>0</v>
      </c>
      <c r="P8888" t="n">
        <v>0</v>
      </c>
      <c r="Q8888" t="n">
        <v>0</v>
      </c>
      <c r="R8888" t="n">
        <v>0</v>
      </c>
      <c r="S8888" t="n">
        <v>0</v>
      </c>
      <c r="T8888" t="n">
        <v>0</v>
      </c>
      <c r="U8888" t="n">
        <v>0</v>
      </c>
      <c r="V8888" s="2" t="inlineStr"/>
    </row>
    <row r="8889" ht="15" customHeight="1">
      <c r="A8889" t="inlineStr">
        <is>
          <t>A 34449-2023</t>
        </is>
      </c>
      <c r="B8889" t="inlineStr">
        <is>
          <t>avverkningsanmälan</t>
        </is>
      </c>
      <c r="C8889" t="inlineStr">
        <is>
          <t>Föryngringsavverkning</t>
        </is>
      </c>
      <c r="D8889" s="1" t="n">
        <v>45139</v>
      </c>
      <c r="E8889" s="1" t="n">
        <v>46326</v>
      </c>
      <c r="F8889" t="inlineStr">
        <is>
          <t>GÄVLEBORGS LÄN</t>
        </is>
      </c>
      <c r="G8889" t="inlineStr">
        <is>
          <t>OCKELBO</t>
        </is>
      </c>
      <c r="I8889" t="n">
        <v>3.4</v>
      </c>
      <c r="J8889" t="n">
        <v>0</v>
      </c>
      <c r="K8889" t="n">
        <v>0</v>
      </c>
      <c r="L8889" t="n">
        <v>0</v>
      </c>
      <c r="M8889" t="n">
        <v>0</v>
      </c>
      <c r="N8889" t="n">
        <v>0</v>
      </c>
      <c r="O8889" t="n">
        <v>0</v>
      </c>
      <c r="P8889" t="n">
        <v>0</v>
      </c>
      <c r="Q8889" t="n">
        <v>0</v>
      </c>
      <c r="R8889" t="n">
        <v>0</v>
      </c>
      <c r="S8889" t="n">
        <v>0</v>
      </c>
      <c r="T8889" t="n">
        <v>0</v>
      </c>
      <c r="U8889" t="n">
        <v>0</v>
      </c>
      <c r="V8889" s="2" t="inlineStr"/>
    </row>
    <row r="8890" ht="15" customHeight="1">
      <c r="A8890" t="inlineStr">
        <is>
          <t>A 28322-2026</t>
        </is>
      </c>
      <c r="B8890" t="inlineStr">
        <is>
          <t>avverkningsanmälan</t>
        </is>
      </c>
      <c r="C8890" t="inlineStr">
        <is>
          <t>Föryngringsavverkning</t>
        </is>
      </c>
      <c r="D8890" s="1" t="n">
        <v>46196</v>
      </c>
      <c r="E8890" s="1" t="n">
        <v>46326</v>
      </c>
      <c r="F8890" t="inlineStr">
        <is>
          <t>GÄVLEBORGS LÄN</t>
        </is>
      </c>
      <c r="G8890" t="inlineStr">
        <is>
          <t>LJUSDAL</t>
        </is>
      </c>
      <c r="H8890" t="inlineStr">
        <is>
          <t>Allmännings- och besparingsskogar</t>
        </is>
      </c>
      <c r="I8890" t="n">
        <v>4.4</v>
      </c>
      <c r="J8890" t="n">
        <v>0</v>
      </c>
      <c r="K8890" t="n">
        <v>0</v>
      </c>
      <c r="L8890" t="n">
        <v>0</v>
      </c>
      <c r="M8890" t="n">
        <v>0</v>
      </c>
      <c r="N8890" t="n">
        <v>0</v>
      </c>
      <c r="O8890" t="n">
        <v>0</v>
      </c>
      <c r="P8890" t="n">
        <v>0</v>
      </c>
      <c r="Q8890" t="n">
        <v>0</v>
      </c>
      <c r="R8890" t="n">
        <v>0</v>
      </c>
      <c r="S8890" t="n">
        <v>0</v>
      </c>
      <c r="T8890" t="n">
        <v>0</v>
      </c>
      <c r="U8890" t="n">
        <v>0</v>
      </c>
      <c r="V8890" s="2" t="inlineStr"/>
    </row>
    <row r="8891" ht="15" customHeight="1">
      <c r="A8891" t="inlineStr">
        <is>
          <t>A 27976-2026</t>
        </is>
      </c>
      <c r="B8891" t="inlineStr">
        <is>
          <t>avverkningsanmälan</t>
        </is>
      </c>
      <c r="C8891" t="inlineStr">
        <is>
          <t>Föryngringsavverkning</t>
        </is>
      </c>
      <c r="D8891" s="1" t="n">
        <v>46195</v>
      </c>
      <c r="E8891" s="1" t="n">
        <v>46326</v>
      </c>
      <c r="F8891" t="inlineStr">
        <is>
          <t>GÄVLEBORGS LÄN</t>
        </is>
      </c>
      <c r="G8891" t="inlineStr">
        <is>
          <t>NORDANSTIG</t>
        </is>
      </c>
      <c r="I8891" t="n">
        <v>2.2</v>
      </c>
      <c r="J8891" t="n">
        <v>0</v>
      </c>
      <c r="K8891" t="n">
        <v>0</v>
      </c>
      <c r="L8891" t="n">
        <v>0</v>
      </c>
      <c r="M8891" t="n">
        <v>0</v>
      </c>
      <c r="N8891" t="n">
        <v>0</v>
      </c>
      <c r="O8891" t="n">
        <v>0</v>
      </c>
      <c r="P8891" t="n">
        <v>0</v>
      </c>
      <c r="Q8891" t="n">
        <v>0</v>
      </c>
      <c r="R8891" t="n">
        <v>0</v>
      </c>
      <c r="S8891" t="n">
        <v>0</v>
      </c>
      <c r="T8891" t="n">
        <v>0</v>
      </c>
      <c r="U8891" t="n">
        <v>0</v>
      </c>
      <c r="V8891" s="2" t="inlineStr"/>
    </row>
    <row r="8892" ht="15" customHeight="1">
      <c r="A8892" t="inlineStr">
        <is>
          <t>A 27981-2026</t>
        </is>
      </c>
      <c r="B8892" t="inlineStr">
        <is>
          <t>avverkningsanmälan</t>
        </is>
      </c>
      <c r="C8892" t="inlineStr">
        <is>
          <t>Föryngringsavverkning</t>
        </is>
      </c>
      <c r="D8892" s="1" t="n">
        <v>46195</v>
      </c>
      <c r="E8892" s="1" t="n">
        <v>46326</v>
      </c>
      <c r="F8892" t="inlineStr">
        <is>
          <t>GÄVLEBORGS LÄN</t>
        </is>
      </c>
      <c r="G8892" t="inlineStr">
        <is>
          <t>NORDANSTIG</t>
        </is>
      </c>
      <c r="I8892" t="n">
        <v>3.9</v>
      </c>
      <c r="J8892" t="n">
        <v>0</v>
      </c>
      <c r="K8892" t="n">
        <v>0</v>
      </c>
      <c r="L8892" t="n">
        <v>0</v>
      </c>
      <c r="M8892" t="n">
        <v>0</v>
      </c>
      <c r="N8892" t="n">
        <v>0</v>
      </c>
      <c r="O8892" t="n">
        <v>0</v>
      </c>
      <c r="P8892" t="n">
        <v>0</v>
      </c>
      <c r="Q8892" t="n">
        <v>0</v>
      </c>
      <c r="R8892" t="n">
        <v>0</v>
      </c>
      <c r="S8892" t="n">
        <v>0</v>
      </c>
      <c r="T8892" t="n">
        <v>0</v>
      </c>
      <c r="U8892" t="n">
        <v>0</v>
      </c>
      <c r="V8892" s="2" t="inlineStr"/>
    </row>
    <row r="8893" ht="15" customHeight="1">
      <c r="A8893" t="inlineStr">
        <is>
          <t>A 28027-2026</t>
        </is>
      </c>
      <c r="B8893" t="inlineStr">
        <is>
          <t>avverkningsanmälan</t>
        </is>
      </c>
      <c r="C8893" t="inlineStr">
        <is>
          <t>Föryngringsavverkning</t>
        </is>
      </c>
      <c r="D8893" s="1" t="n">
        <v>46195</v>
      </c>
      <c r="E8893" s="1" t="n">
        <v>46326</v>
      </c>
      <c r="F8893" t="inlineStr">
        <is>
          <t>GÄVLEBORGS LÄN</t>
        </is>
      </c>
      <c r="G8893" t="inlineStr">
        <is>
          <t>OVANÅKER</t>
        </is>
      </c>
      <c r="H8893" t="inlineStr">
        <is>
          <t>Bergvik skog väst AB</t>
        </is>
      </c>
      <c r="I8893" t="n">
        <v>1</v>
      </c>
      <c r="J8893" t="n">
        <v>0</v>
      </c>
      <c r="K8893" t="n">
        <v>0</v>
      </c>
      <c r="L8893" t="n">
        <v>0</v>
      </c>
      <c r="M8893" t="n">
        <v>0</v>
      </c>
      <c r="N8893" t="n">
        <v>0</v>
      </c>
      <c r="O8893" t="n">
        <v>0</v>
      </c>
      <c r="P8893" t="n">
        <v>0</v>
      </c>
      <c r="Q8893" t="n">
        <v>0</v>
      </c>
      <c r="R8893" t="n">
        <v>0</v>
      </c>
      <c r="S8893" t="n">
        <v>0</v>
      </c>
      <c r="T8893" t="n">
        <v>0</v>
      </c>
      <c r="U8893" t="n">
        <v>0</v>
      </c>
      <c r="V8893" s="2" t="inlineStr"/>
    </row>
    <row r="8894" ht="15" customHeight="1">
      <c r="A8894" t="inlineStr">
        <is>
          <t>A 59851-2024</t>
        </is>
      </c>
      <c r="B8894" t="inlineStr">
        <is>
          <t>avverkningsanmälan</t>
        </is>
      </c>
      <c r="C8894" t="inlineStr">
        <is>
          <t>Föryngringsavverkning</t>
        </is>
      </c>
      <c r="D8894" s="1" t="n">
        <v>45639</v>
      </c>
      <c r="E8894" s="1" t="n">
        <v>46326</v>
      </c>
      <c r="F8894" t="inlineStr">
        <is>
          <t>GÄVLEBORGS LÄN</t>
        </is>
      </c>
      <c r="G8894" t="inlineStr">
        <is>
          <t>NORDANSTIG</t>
        </is>
      </c>
      <c r="I8894" t="n">
        <v>0.6</v>
      </c>
      <c r="J8894" t="n">
        <v>0</v>
      </c>
      <c r="K8894" t="n">
        <v>0</v>
      </c>
      <c r="L8894" t="n">
        <v>0</v>
      </c>
      <c r="M8894" t="n">
        <v>0</v>
      </c>
      <c r="N8894" t="n">
        <v>0</v>
      </c>
      <c r="O8894" t="n">
        <v>0</v>
      </c>
      <c r="P8894" t="n">
        <v>0</v>
      </c>
      <c r="Q8894" t="n">
        <v>0</v>
      </c>
      <c r="R8894" t="n">
        <v>0</v>
      </c>
      <c r="S8894" t="n">
        <v>0</v>
      </c>
      <c r="T8894" t="n">
        <v>0</v>
      </c>
      <c r="U8894" t="n">
        <v>0</v>
      </c>
      <c r="V8894" s="2" t="inlineStr"/>
    </row>
    <row r="8895" ht="15" customHeight="1">
      <c r="A8895" t="inlineStr">
        <is>
          <t>A 23230-2024</t>
        </is>
      </c>
      <c r="B8895" t="inlineStr">
        <is>
          <t>avverkningsanmälan</t>
        </is>
      </c>
      <c r="C8895" t="inlineStr">
        <is>
          <t>Föryngringsavverkning</t>
        </is>
      </c>
      <c r="D8895" s="1" t="n">
        <v>45453</v>
      </c>
      <c r="E8895" s="1" t="n">
        <v>46326</v>
      </c>
      <c r="F8895" t="inlineStr">
        <is>
          <t>GÄVLEBORGS LÄN</t>
        </is>
      </c>
      <c r="G8895" t="inlineStr">
        <is>
          <t>SÖDERHAMN</t>
        </is>
      </c>
      <c r="I8895" t="n">
        <v>0.6</v>
      </c>
      <c r="J8895" t="n">
        <v>0</v>
      </c>
      <c r="K8895" t="n">
        <v>0</v>
      </c>
      <c r="L8895" t="n">
        <v>0</v>
      </c>
      <c r="M8895" t="n">
        <v>0</v>
      </c>
      <c r="N8895" t="n">
        <v>0</v>
      </c>
      <c r="O8895" t="n">
        <v>0</v>
      </c>
      <c r="P8895" t="n">
        <v>0</v>
      </c>
      <c r="Q8895" t="n">
        <v>0</v>
      </c>
      <c r="R8895" t="n">
        <v>0</v>
      </c>
      <c r="S8895" t="n">
        <v>0</v>
      </c>
      <c r="T8895" t="n">
        <v>0</v>
      </c>
      <c r="U8895" t="n">
        <v>0</v>
      </c>
      <c r="V8895" s="2" t="inlineStr"/>
    </row>
    <row r="8896" ht="15" customHeight="1">
      <c r="A8896" t="inlineStr">
        <is>
          <t>A 15464-2023</t>
        </is>
      </c>
      <c r="B8896" t="inlineStr">
        <is>
          <t>avverkningsanmälan</t>
        </is>
      </c>
      <c r="C8896" t="inlineStr">
        <is>
          <t>Föryngringsavverkning</t>
        </is>
      </c>
      <c r="D8896" s="1" t="n">
        <v>45020</v>
      </c>
      <c r="E8896" s="1" t="n">
        <v>46326</v>
      </c>
      <c r="F8896" t="inlineStr">
        <is>
          <t>GÄVLEBORGS LÄN</t>
        </is>
      </c>
      <c r="G8896" t="inlineStr">
        <is>
          <t>NORDANSTIG</t>
        </is>
      </c>
      <c r="H8896" t="inlineStr">
        <is>
          <t>Holmen skog AB</t>
        </is>
      </c>
      <c r="I8896" t="n">
        <v>17</v>
      </c>
      <c r="J8896" t="n">
        <v>0</v>
      </c>
      <c r="K8896" t="n">
        <v>0</v>
      </c>
      <c r="L8896" t="n">
        <v>0</v>
      </c>
      <c r="M8896" t="n">
        <v>0</v>
      </c>
      <c r="N8896" t="n">
        <v>0</v>
      </c>
      <c r="O8896" t="n">
        <v>0</v>
      </c>
      <c r="P8896" t="n">
        <v>0</v>
      </c>
      <c r="Q8896" t="n">
        <v>0</v>
      </c>
      <c r="R8896" t="n">
        <v>0</v>
      </c>
      <c r="S8896" t="n">
        <v>0</v>
      </c>
      <c r="T8896" t="n">
        <v>0</v>
      </c>
      <c r="U8896" t="n">
        <v>0</v>
      </c>
      <c r="V8896" s="2" t="inlineStr"/>
    </row>
    <row r="8897" ht="15" customHeight="1">
      <c r="A8897" t="inlineStr">
        <is>
          <t>A 24210-2023</t>
        </is>
      </c>
      <c r="B8897" t="inlineStr">
        <is>
          <t>avverkningsanmälan</t>
        </is>
      </c>
      <c r="C8897" t="inlineStr">
        <is>
          <t>Föryngringsavverkning</t>
        </is>
      </c>
      <c r="D8897" s="1" t="n">
        <v>45079</v>
      </c>
      <c r="E8897" s="1" t="n">
        <v>46326</v>
      </c>
      <c r="F8897" t="inlineStr">
        <is>
          <t>GÄVLEBORGS LÄN</t>
        </is>
      </c>
      <c r="G8897" t="inlineStr">
        <is>
          <t>HUDIKSVALL</t>
        </is>
      </c>
      <c r="I8897" t="n">
        <v>1.2</v>
      </c>
      <c r="J8897" t="n">
        <v>0</v>
      </c>
      <c r="K8897" t="n">
        <v>0</v>
      </c>
      <c r="L8897" t="n">
        <v>0</v>
      </c>
      <c r="M8897" t="n">
        <v>0</v>
      </c>
      <c r="N8897" t="n">
        <v>0</v>
      </c>
      <c r="O8897" t="n">
        <v>0</v>
      </c>
      <c r="P8897" t="n">
        <v>0</v>
      </c>
      <c r="Q8897" t="n">
        <v>0</v>
      </c>
      <c r="R8897" t="n">
        <v>0</v>
      </c>
      <c r="S8897" t="n">
        <v>0</v>
      </c>
      <c r="T8897" t="n">
        <v>0</v>
      </c>
      <c r="U8897" t="n">
        <v>0</v>
      </c>
      <c r="V8897" s="2" t="inlineStr"/>
    </row>
    <row r="8898" ht="15" customHeight="1">
      <c r="A8898" t="inlineStr">
        <is>
          <t>A 28196-2026</t>
        </is>
      </c>
      <c r="B8898" t="inlineStr">
        <is>
          <t>avverkningsanmälan</t>
        </is>
      </c>
      <c r="C8898" t="inlineStr">
        <is>
          <t>Föryngringsavverkning</t>
        </is>
      </c>
      <c r="D8898" s="1" t="n">
        <v>46196</v>
      </c>
      <c r="E8898" s="1" t="n">
        <v>46326</v>
      </c>
      <c r="F8898" t="inlineStr">
        <is>
          <t>GÄVLEBORGS LÄN</t>
        </is>
      </c>
      <c r="G8898" t="inlineStr">
        <is>
          <t>BOLLNÄS</t>
        </is>
      </c>
      <c r="I8898" t="n">
        <v>1.9</v>
      </c>
      <c r="J8898" t="n">
        <v>0</v>
      </c>
      <c r="K8898" t="n">
        <v>0</v>
      </c>
      <c r="L8898" t="n">
        <v>0</v>
      </c>
      <c r="M8898" t="n">
        <v>0</v>
      </c>
      <c r="N8898" t="n">
        <v>0</v>
      </c>
      <c r="O8898" t="n">
        <v>0</v>
      </c>
      <c r="P8898" t="n">
        <v>0</v>
      </c>
      <c r="Q8898" t="n">
        <v>0</v>
      </c>
      <c r="R8898" t="n">
        <v>0</v>
      </c>
      <c r="S8898" t="n">
        <v>0</v>
      </c>
      <c r="T8898" t="n">
        <v>0</v>
      </c>
      <c r="U8898" t="n">
        <v>0</v>
      </c>
      <c r="V8898" s="2" t="inlineStr"/>
    </row>
    <row r="8899" ht="15" customHeight="1">
      <c r="A8899" t="inlineStr">
        <is>
          <t>A 26554-2022</t>
        </is>
      </c>
      <c r="B8899" t="inlineStr">
        <is>
          <t>avverkningsanmälan</t>
        </is>
      </c>
      <c r="C8899" t="inlineStr">
        <is>
          <t>Föryngringsavverkning</t>
        </is>
      </c>
      <c r="D8899" s="1" t="n">
        <v>44739</v>
      </c>
      <c r="E8899" s="1" t="n">
        <v>46326</v>
      </c>
      <c r="F8899" t="inlineStr">
        <is>
          <t>GÄVLEBORGS LÄN</t>
        </is>
      </c>
      <c r="G8899" t="inlineStr">
        <is>
          <t>SÖDERHAMN</t>
        </is>
      </c>
      <c r="I8899" t="n">
        <v>1.5</v>
      </c>
      <c r="J8899" t="n">
        <v>0</v>
      </c>
      <c r="K8899" t="n">
        <v>0</v>
      </c>
      <c r="L8899" t="n">
        <v>0</v>
      </c>
      <c r="M8899" t="n">
        <v>0</v>
      </c>
      <c r="N8899" t="n">
        <v>0</v>
      </c>
      <c r="O8899" t="n">
        <v>0</v>
      </c>
      <c r="P8899" t="n">
        <v>0</v>
      </c>
      <c r="Q8899" t="n">
        <v>0</v>
      </c>
      <c r="R8899" t="n">
        <v>0</v>
      </c>
      <c r="S8899" t="n">
        <v>0</v>
      </c>
      <c r="T8899" t="n">
        <v>0</v>
      </c>
      <c r="U8899" t="n">
        <v>0</v>
      </c>
      <c r="V8899" s="2" t="inlineStr"/>
    </row>
    <row r="8900" ht="15" customHeight="1">
      <c r="A8900" t="inlineStr">
        <is>
          <t>A 22294-2024</t>
        </is>
      </c>
      <c r="B8900" t="inlineStr">
        <is>
          <t>avverkningsanmälan</t>
        </is>
      </c>
      <c r="C8900" t="inlineStr">
        <is>
          <t>Föryngringsavverkning</t>
        </is>
      </c>
      <c r="D8900" s="1" t="n">
        <v>45446</v>
      </c>
      <c r="E8900" s="1" t="n">
        <v>46326</v>
      </c>
      <c r="F8900" t="inlineStr">
        <is>
          <t>GÄVLEBORGS LÄN</t>
        </is>
      </c>
      <c r="G8900" t="inlineStr">
        <is>
          <t>LJUSDAL</t>
        </is>
      </c>
      <c r="H8900" t="inlineStr">
        <is>
          <t>Bergvik skog väst AB</t>
        </is>
      </c>
      <c r="I8900" t="n">
        <v>1.1</v>
      </c>
      <c r="J8900" t="n">
        <v>0</v>
      </c>
      <c r="K8900" t="n">
        <v>0</v>
      </c>
      <c r="L8900" t="n">
        <v>0</v>
      </c>
      <c r="M8900" t="n">
        <v>0</v>
      </c>
      <c r="N8900" t="n">
        <v>0</v>
      </c>
      <c r="O8900" t="n">
        <v>0</v>
      </c>
      <c r="P8900" t="n">
        <v>0</v>
      </c>
      <c r="Q8900" t="n">
        <v>0</v>
      </c>
      <c r="R8900" t="n">
        <v>0</v>
      </c>
      <c r="S8900" t="n">
        <v>0</v>
      </c>
      <c r="T8900" t="n">
        <v>0</v>
      </c>
      <c r="U8900" t="n">
        <v>0</v>
      </c>
      <c r="V8900" s="2" t="inlineStr"/>
    </row>
    <row r="8901" ht="15" customHeight="1">
      <c r="A8901" t="inlineStr">
        <is>
          <t>A 22347-2024</t>
        </is>
      </c>
      <c r="B8901" t="inlineStr">
        <is>
          <t>avverkningsanmälan</t>
        </is>
      </c>
      <c r="C8901" t="inlineStr">
        <is>
          <t>Föryngringsavverkning</t>
        </is>
      </c>
      <c r="D8901" s="1" t="n">
        <v>45446</v>
      </c>
      <c r="E8901" s="1" t="n">
        <v>46326</v>
      </c>
      <c r="F8901" t="inlineStr">
        <is>
          <t>GÄVLEBORGS LÄN</t>
        </is>
      </c>
      <c r="G8901" t="inlineStr">
        <is>
          <t>OVANÅKER</t>
        </is>
      </c>
      <c r="I8901" t="n">
        <v>0.6</v>
      </c>
      <c r="J8901" t="n">
        <v>0</v>
      </c>
      <c r="K8901" t="n">
        <v>0</v>
      </c>
      <c r="L8901" t="n">
        <v>0</v>
      </c>
      <c r="M8901" t="n">
        <v>0</v>
      </c>
      <c r="N8901" t="n">
        <v>0</v>
      </c>
      <c r="O8901" t="n">
        <v>0</v>
      </c>
      <c r="P8901" t="n">
        <v>0</v>
      </c>
      <c r="Q8901" t="n">
        <v>0</v>
      </c>
      <c r="R8901" t="n">
        <v>0</v>
      </c>
      <c r="S8901" t="n">
        <v>0</v>
      </c>
      <c r="T8901" t="n">
        <v>0</v>
      </c>
      <c r="U8901" t="n">
        <v>0</v>
      </c>
      <c r="V8901" s="2" t="inlineStr"/>
    </row>
    <row r="8902" ht="15" customHeight="1">
      <c r="A8902" t="inlineStr">
        <is>
          <t>A 28226-2026</t>
        </is>
      </c>
      <c r="B8902" t="inlineStr">
        <is>
          <t>avverkningsanmälan</t>
        </is>
      </c>
      <c r="C8902" t="inlineStr">
        <is>
          <t>Föryngringsavverkning</t>
        </is>
      </c>
      <c r="D8902" s="1" t="n">
        <v>46196</v>
      </c>
      <c r="E8902" s="1" t="n">
        <v>46326</v>
      </c>
      <c r="F8902" t="inlineStr">
        <is>
          <t>GÄVLEBORGS LÄN</t>
        </is>
      </c>
      <c r="G8902" t="inlineStr">
        <is>
          <t>NORDANSTIG</t>
        </is>
      </c>
      <c r="H8902" t="inlineStr">
        <is>
          <t>Holmen skog AB</t>
        </is>
      </c>
      <c r="I8902" t="n">
        <v>1.3</v>
      </c>
      <c r="J8902" t="n">
        <v>0</v>
      </c>
      <c r="K8902" t="n">
        <v>0</v>
      </c>
      <c r="L8902" t="n">
        <v>0</v>
      </c>
      <c r="M8902" t="n">
        <v>0</v>
      </c>
      <c r="N8902" t="n">
        <v>0</v>
      </c>
      <c r="O8902" t="n">
        <v>0</v>
      </c>
      <c r="P8902" t="n">
        <v>0</v>
      </c>
      <c r="Q8902" t="n">
        <v>0</v>
      </c>
      <c r="R8902" t="n">
        <v>0</v>
      </c>
      <c r="S8902" t="n">
        <v>0</v>
      </c>
      <c r="T8902" t="n">
        <v>0</v>
      </c>
      <c r="U8902" t="n">
        <v>0</v>
      </c>
      <c r="V8902" s="2" t="inlineStr"/>
    </row>
    <row r="8903" ht="15" customHeight="1">
      <c r="A8903" t="inlineStr">
        <is>
          <t>A 28140-2026</t>
        </is>
      </c>
      <c r="B8903" t="inlineStr">
        <is>
          <t>avverkningsanmälan</t>
        </is>
      </c>
      <c r="C8903" t="inlineStr">
        <is>
          <t>Föryngringsavverkning</t>
        </is>
      </c>
      <c r="D8903" s="1" t="n">
        <v>46195</v>
      </c>
      <c r="E8903" s="1" t="n">
        <v>46326</v>
      </c>
      <c r="F8903" t="inlineStr">
        <is>
          <t>GÄVLEBORGS LÄN</t>
        </is>
      </c>
      <c r="G8903" t="inlineStr">
        <is>
          <t>GÄVLE</t>
        </is>
      </c>
      <c r="I8903" t="n">
        <v>1.4</v>
      </c>
      <c r="J8903" t="n">
        <v>0</v>
      </c>
      <c r="K8903" t="n">
        <v>0</v>
      </c>
      <c r="L8903" t="n">
        <v>0</v>
      </c>
      <c r="M8903" t="n">
        <v>0</v>
      </c>
      <c r="N8903" t="n">
        <v>0</v>
      </c>
      <c r="O8903" t="n">
        <v>0</v>
      </c>
      <c r="P8903" t="n">
        <v>0</v>
      </c>
      <c r="Q8903" t="n">
        <v>0</v>
      </c>
      <c r="R8903" t="n">
        <v>0</v>
      </c>
      <c r="S8903" t="n">
        <v>0</v>
      </c>
      <c r="T8903" t="n">
        <v>0</v>
      </c>
      <c r="U8903" t="n">
        <v>0</v>
      </c>
      <c r="V8903" s="2" t="inlineStr"/>
    </row>
    <row r="8904" ht="15" customHeight="1">
      <c r="A8904" t="inlineStr">
        <is>
          <t>A 43665-2024</t>
        </is>
      </c>
      <c r="B8904" t="inlineStr">
        <is>
          <t>avverkningsanmälan</t>
        </is>
      </c>
      <c r="C8904" t="inlineStr">
        <is>
          <t>Föryngringsavverkning</t>
        </is>
      </c>
      <c r="D8904" s="1" t="n">
        <v>45569</v>
      </c>
      <c r="E8904" s="1" t="n">
        <v>46326</v>
      </c>
      <c r="F8904" t="inlineStr">
        <is>
          <t>GÄVLEBORGS LÄN</t>
        </is>
      </c>
      <c r="G8904" t="inlineStr">
        <is>
          <t>HUDIKSVALL</t>
        </is>
      </c>
      <c r="H8904" t="inlineStr">
        <is>
          <t>Kommuner</t>
        </is>
      </c>
      <c r="I8904" t="n">
        <v>0.6</v>
      </c>
      <c r="J8904" t="n">
        <v>0</v>
      </c>
      <c r="K8904" t="n">
        <v>0</v>
      </c>
      <c r="L8904" t="n">
        <v>0</v>
      </c>
      <c r="M8904" t="n">
        <v>0</v>
      </c>
      <c r="N8904" t="n">
        <v>0</v>
      </c>
      <c r="O8904" t="n">
        <v>0</v>
      </c>
      <c r="P8904" t="n">
        <v>0</v>
      </c>
      <c r="Q8904" t="n">
        <v>0</v>
      </c>
      <c r="R8904" t="n">
        <v>0</v>
      </c>
      <c r="S8904" t="n">
        <v>0</v>
      </c>
      <c r="T8904" t="n">
        <v>0</v>
      </c>
      <c r="U8904" t="n">
        <v>0</v>
      </c>
      <c r="V8904" s="2" t="inlineStr"/>
    </row>
    <row r="8905" ht="15" customHeight="1">
      <c r="A8905" t="inlineStr">
        <is>
          <t>A 28124-2026</t>
        </is>
      </c>
      <c r="B8905" t="inlineStr">
        <is>
          <t>avverkningsanmälan</t>
        </is>
      </c>
      <c r="C8905" t="inlineStr">
        <is>
          <t>Föryngringsavverkning</t>
        </is>
      </c>
      <c r="D8905" s="1" t="n">
        <v>46195</v>
      </c>
      <c r="E8905" s="1" t="n">
        <v>46326</v>
      </c>
      <c r="F8905" t="inlineStr">
        <is>
          <t>GÄVLEBORGS LÄN</t>
        </is>
      </c>
      <c r="G8905" t="inlineStr">
        <is>
          <t>BOLLNÄS</t>
        </is>
      </c>
      <c r="I8905" t="n">
        <v>3.3</v>
      </c>
      <c r="J8905" t="n">
        <v>0</v>
      </c>
      <c r="K8905" t="n">
        <v>0</v>
      </c>
      <c r="L8905" t="n">
        <v>0</v>
      </c>
      <c r="M8905" t="n">
        <v>0</v>
      </c>
      <c r="N8905" t="n">
        <v>0</v>
      </c>
      <c r="O8905" t="n">
        <v>0</v>
      </c>
      <c r="P8905" t="n">
        <v>0</v>
      </c>
      <c r="Q8905" t="n">
        <v>0</v>
      </c>
      <c r="R8905" t="n">
        <v>0</v>
      </c>
      <c r="S8905" t="n">
        <v>0</v>
      </c>
      <c r="T8905" t="n">
        <v>0</v>
      </c>
      <c r="U8905" t="n">
        <v>0</v>
      </c>
      <c r="V8905" s="2" t="inlineStr"/>
    </row>
    <row r="8906" ht="15" customHeight="1">
      <c r="A8906" t="inlineStr">
        <is>
          <t>A 21009-2022</t>
        </is>
      </c>
      <c r="B8906" t="inlineStr">
        <is>
          <t>avverkningsanmälan</t>
        </is>
      </c>
      <c r="C8906" t="inlineStr">
        <is>
          <t>Föryngringsavverkning</t>
        </is>
      </c>
      <c r="D8906" s="1" t="n">
        <v>44704</v>
      </c>
      <c r="E8906" s="1" t="n">
        <v>46326</v>
      </c>
      <c r="F8906" t="inlineStr">
        <is>
          <t>GÄVLEBORGS LÄN</t>
        </is>
      </c>
      <c r="G8906" t="inlineStr">
        <is>
          <t>BOLLNÄS</t>
        </is>
      </c>
      <c r="I8906" t="n">
        <v>1.9</v>
      </c>
      <c r="J8906" t="n">
        <v>0</v>
      </c>
      <c r="K8906" t="n">
        <v>0</v>
      </c>
      <c r="L8906" t="n">
        <v>0</v>
      </c>
      <c r="M8906" t="n">
        <v>0</v>
      </c>
      <c r="N8906" t="n">
        <v>0</v>
      </c>
      <c r="O8906" t="n">
        <v>0</v>
      </c>
      <c r="P8906" t="n">
        <v>0</v>
      </c>
      <c r="Q8906" t="n">
        <v>0</v>
      </c>
      <c r="R8906" t="n">
        <v>0</v>
      </c>
      <c r="S8906" t="n">
        <v>0</v>
      </c>
      <c r="T8906" t="n">
        <v>0</v>
      </c>
      <c r="U8906" t="n">
        <v>0</v>
      </c>
      <c r="V8906" s="2" t="inlineStr"/>
    </row>
    <row r="8907" ht="15" customHeight="1">
      <c r="A8907" t="inlineStr">
        <is>
          <t>A 60908-2022</t>
        </is>
      </c>
      <c r="B8907" t="inlineStr">
        <is>
          <t>avverkningsanmälan</t>
        </is>
      </c>
      <c r="C8907" t="inlineStr">
        <is>
          <t>Avverkning för annat ändamål</t>
        </is>
      </c>
      <c r="D8907" s="1" t="n">
        <v>44914</v>
      </c>
      <c r="E8907" s="1" t="n">
        <v>46326</v>
      </c>
      <c r="F8907" t="inlineStr">
        <is>
          <t>GÄVLEBORGS LÄN</t>
        </is>
      </c>
      <c r="G8907" t="inlineStr">
        <is>
          <t>SANDVIKEN</t>
        </is>
      </c>
      <c r="I8907" t="n">
        <v>1</v>
      </c>
      <c r="J8907" t="n">
        <v>0</v>
      </c>
      <c r="K8907" t="n">
        <v>0</v>
      </c>
      <c r="L8907" t="n">
        <v>0</v>
      </c>
      <c r="M8907" t="n">
        <v>0</v>
      </c>
      <c r="N8907" t="n">
        <v>0</v>
      </c>
      <c r="O8907" t="n">
        <v>0</v>
      </c>
      <c r="P8907" t="n">
        <v>0</v>
      </c>
      <c r="Q8907" t="n">
        <v>0</v>
      </c>
      <c r="R8907" t="n">
        <v>0</v>
      </c>
      <c r="S8907" t="n">
        <v>0</v>
      </c>
      <c r="T8907" t="n">
        <v>0</v>
      </c>
      <c r="U8907" t="n">
        <v>0</v>
      </c>
      <c r="V8907" s="2" t="inlineStr"/>
    </row>
    <row r="8908" ht="15" customHeight="1">
      <c r="A8908" t="inlineStr">
        <is>
          <t>A 28370-2026</t>
        </is>
      </c>
      <c r="B8908" t="inlineStr">
        <is>
          <t>avverkningsanmälan</t>
        </is>
      </c>
      <c r="C8908" t="inlineStr">
        <is>
          <t>Föryngringsavverkning</t>
        </is>
      </c>
      <c r="D8908" s="1" t="n">
        <v>46196</v>
      </c>
      <c r="E8908" s="1" t="n">
        <v>46326</v>
      </c>
      <c r="F8908" t="inlineStr">
        <is>
          <t>GÄVLEBORGS LÄN</t>
        </is>
      </c>
      <c r="G8908" t="inlineStr">
        <is>
          <t>NORDANSTIG</t>
        </is>
      </c>
      <c r="H8908" t="inlineStr">
        <is>
          <t>Holmen skog AB</t>
        </is>
      </c>
      <c r="I8908" t="n">
        <v>2.4</v>
      </c>
      <c r="J8908" t="n">
        <v>0</v>
      </c>
      <c r="K8908" t="n">
        <v>0</v>
      </c>
      <c r="L8908" t="n">
        <v>0</v>
      </c>
      <c r="M8908" t="n">
        <v>0</v>
      </c>
      <c r="N8908" t="n">
        <v>0</v>
      </c>
      <c r="O8908" t="n">
        <v>0</v>
      </c>
      <c r="P8908" t="n">
        <v>0</v>
      </c>
      <c r="Q8908" t="n">
        <v>0</v>
      </c>
      <c r="R8908" t="n">
        <v>0</v>
      </c>
      <c r="S8908" t="n">
        <v>0</v>
      </c>
      <c r="T8908" t="n">
        <v>0</v>
      </c>
      <c r="U8908" t="n">
        <v>0</v>
      </c>
      <c r="V8908" s="2" t="inlineStr"/>
    </row>
    <row r="8909" ht="15" customHeight="1">
      <c r="A8909" t="inlineStr">
        <is>
          <t>A 28071-2026</t>
        </is>
      </c>
      <c r="B8909" t="inlineStr">
        <is>
          <t>avverkningsanmälan</t>
        </is>
      </c>
      <c r="C8909" t="inlineStr">
        <is>
          <t>Föryngringsavverkning</t>
        </is>
      </c>
      <c r="D8909" s="1" t="n">
        <v>46195</v>
      </c>
      <c r="E8909" s="1" t="n">
        <v>46326</v>
      </c>
      <c r="F8909" t="inlineStr">
        <is>
          <t>GÄVLEBORGS LÄN</t>
        </is>
      </c>
      <c r="G8909" t="inlineStr">
        <is>
          <t>HUDIKSVALL</t>
        </is>
      </c>
      <c r="H8909" t="inlineStr">
        <is>
          <t>Kommuner</t>
        </is>
      </c>
      <c r="I8909" t="n">
        <v>0.7</v>
      </c>
      <c r="J8909" t="n">
        <v>0</v>
      </c>
      <c r="K8909" t="n">
        <v>0</v>
      </c>
      <c r="L8909" t="n">
        <v>0</v>
      </c>
      <c r="M8909" t="n">
        <v>0</v>
      </c>
      <c r="N8909" t="n">
        <v>0</v>
      </c>
      <c r="O8909" t="n">
        <v>0</v>
      </c>
      <c r="P8909" t="n">
        <v>0</v>
      </c>
      <c r="Q8909" t="n">
        <v>0</v>
      </c>
      <c r="R8909" t="n">
        <v>0</v>
      </c>
      <c r="S8909" t="n">
        <v>0</v>
      </c>
      <c r="T8909" t="n">
        <v>0</v>
      </c>
      <c r="U8909" t="n">
        <v>0</v>
      </c>
      <c r="V8909" s="2" t="inlineStr"/>
    </row>
    <row r="8910" ht="15" customHeight="1">
      <c r="A8910" t="inlineStr">
        <is>
          <t>A 28072-2026</t>
        </is>
      </c>
      <c r="B8910" t="inlineStr">
        <is>
          <t>avverkningsanmälan</t>
        </is>
      </c>
      <c r="C8910" t="inlineStr">
        <is>
          <t>Föryngringsavverkning</t>
        </is>
      </c>
      <c r="D8910" s="1" t="n">
        <v>46195</v>
      </c>
      <c r="E8910" s="1" t="n">
        <v>46326</v>
      </c>
      <c r="F8910" t="inlineStr">
        <is>
          <t>GÄVLEBORGS LÄN</t>
        </is>
      </c>
      <c r="G8910" t="inlineStr">
        <is>
          <t>OVANÅKER</t>
        </is>
      </c>
      <c r="I8910" t="n">
        <v>1.1</v>
      </c>
      <c r="J8910" t="n">
        <v>0</v>
      </c>
      <c r="K8910" t="n">
        <v>0</v>
      </c>
      <c r="L8910" t="n">
        <v>0</v>
      </c>
      <c r="M8910" t="n">
        <v>0</v>
      </c>
      <c r="N8910" t="n">
        <v>0</v>
      </c>
      <c r="O8910" t="n">
        <v>0</v>
      </c>
      <c r="P8910" t="n">
        <v>0</v>
      </c>
      <c r="Q8910" t="n">
        <v>0</v>
      </c>
      <c r="R8910" t="n">
        <v>0</v>
      </c>
      <c r="S8910" t="n">
        <v>0</v>
      </c>
      <c r="T8910" t="n">
        <v>0</v>
      </c>
      <c r="U8910" t="n">
        <v>0</v>
      </c>
      <c r="V8910" s="2" t="inlineStr"/>
    </row>
    <row r="8911" ht="15" customHeight="1">
      <c r="A8911" t="inlineStr">
        <is>
          <t>A 55741-2023</t>
        </is>
      </c>
      <c r="B8911" t="inlineStr">
        <is>
          <t>avverkningsanmälan</t>
        </is>
      </c>
      <c r="C8911" t="inlineStr">
        <is>
          <t>Föryngringsavverkning</t>
        </is>
      </c>
      <c r="D8911" s="1" t="n">
        <v>45239</v>
      </c>
      <c r="E8911" s="1" t="n">
        <v>46326</v>
      </c>
      <c r="F8911" t="inlineStr">
        <is>
          <t>GÄVLEBORGS LÄN</t>
        </is>
      </c>
      <c r="G8911" t="inlineStr">
        <is>
          <t>HUDIKSVALL</t>
        </is>
      </c>
      <c r="H8911" t="inlineStr">
        <is>
          <t>Holmen skog AB</t>
        </is>
      </c>
      <c r="I8911" t="n">
        <v>7.1</v>
      </c>
      <c r="J8911" t="n">
        <v>0</v>
      </c>
      <c r="K8911" t="n">
        <v>0</v>
      </c>
      <c r="L8911" t="n">
        <v>0</v>
      </c>
      <c r="M8911" t="n">
        <v>0</v>
      </c>
      <c r="N8911" t="n">
        <v>0</v>
      </c>
      <c r="O8911" t="n">
        <v>0</v>
      </c>
      <c r="P8911" t="n">
        <v>0</v>
      </c>
      <c r="Q8911" t="n">
        <v>0</v>
      </c>
      <c r="R8911" t="n">
        <v>0</v>
      </c>
      <c r="S8911" t="n">
        <v>0</v>
      </c>
      <c r="T8911" t="n">
        <v>0</v>
      </c>
      <c r="U8911" t="n">
        <v>0</v>
      </c>
      <c r="V8911" s="2" t="inlineStr"/>
    </row>
    <row r="8912" ht="15" customHeight="1">
      <c r="A8912" t="inlineStr">
        <is>
          <t>A 1409-2024</t>
        </is>
      </c>
      <c r="B8912" t="inlineStr">
        <is>
          <t>avverkningsanmälan</t>
        </is>
      </c>
      <c r="C8912" t="inlineStr">
        <is>
          <t>Föryngringsavverkning</t>
        </is>
      </c>
      <c r="D8912" s="1" t="n">
        <v>45303</v>
      </c>
      <c r="E8912" s="1" t="n">
        <v>46326</v>
      </c>
      <c r="F8912" t="inlineStr">
        <is>
          <t>GÄVLEBORGS LÄN</t>
        </is>
      </c>
      <c r="G8912" t="inlineStr">
        <is>
          <t>HUDIKSVALL</t>
        </is>
      </c>
      <c r="I8912" t="n">
        <v>0.5</v>
      </c>
      <c r="J8912" t="n">
        <v>0</v>
      </c>
      <c r="K8912" t="n">
        <v>0</v>
      </c>
      <c r="L8912" t="n">
        <v>0</v>
      </c>
      <c r="M8912" t="n">
        <v>0</v>
      </c>
      <c r="N8912" t="n">
        <v>0</v>
      </c>
      <c r="O8912" t="n">
        <v>0</v>
      </c>
      <c r="P8912" t="n">
        <v>0</v>
      </c>
      <c r="Q8912" t="n">
        <v>0</v>
      </c>
      <c r="R8912" t="n">
        <v>0</v>
      </c>
      <c r="S8912" t="n">
        <v>0</v>
      </c>
      <c r="T8912" t="n">
        <v>0</v>
      </c>
      <c r="U8912" t="n">
        <v>0</v>
      </c>
      <c r="V8912" s="2" t="inlineStr"/>
    </row>
    <row r="8913" ht="15" customHeight="1">
      <c r="A8913" t="inlineStr">
        <is>
          <t>A 40965-2023</t>
        </is>
      </c>
      <c r="B8913" t="inlineStr">
        <is>
          <t>avverkningsanmälan</t>
        </is>
      </c>
      <c r="C8913" t="inlineStr">
        <is>
          <t>Föryngringsavverkning</t>
        </is>
      </c>
      <c r="D8913" s="1" t="n">
        <v>45173</v>
      </c>
      <c r="E8913" s="1" t="n">
        <v>46326</v>
      </c>
      <c r="F8913" t="inlineStr">
        <is>
          <t>GÄVLEBORGS LÄN</t>
        </is>
      </c>
      <c r="G8913" t="inlineStr">
        <is>
          <t>HUDIKSVALL</t>
        </is>
      </c>
      <c r="H8913" t="inlineStr">
        <is>
          <t>Holmen skog AB</t>
        </is>
      </c>
      <c r="I8913" t="n">
        <v>1.3</v>
      </c>
      <c r="J8913" t="n">
        <v>0</v>
      </c>
      <c r="K8913" t="n">
        <v>0</v>
      </c>
      <c r="L8913" t="n">
        <v>0</v>
      </c>
      <c r="M8913" t="n">
        <v>0</v>
      </c>
      <c r="N8913" t="n">
        <v>0</v>
      </c>
      <c r="O8913" t="n">
        <v>0</v>
      </c>
      <c r="P8913" t="n">
        <v>0</v>
      </c>
      <c r="Q8913" t="n">
        <v>0</v>
      </c>
      <c r="R8913" t="n">
        <v>0</v>
      </c>
      <c r="S8913" t="n">
        <v>0</v>
      </c>
      <c r="T8913" t="n">
        <v>0</v>
      </c>
      <c r="U8913" t="n">
        <v>0</v>
      </c>
      <c r="V8913" s="2" t="inlineStr"/>
    </row>
    <row r="8914" ht="15" customHeight="1">
      <c r="A8914" t="inlineStr">
        <is>
          <t>A 22977-2024</t>
        </is>
      </c>
      <c r="B8914" t="inlineStr">
        <is>
          <t>avverkningsanmälan</t>
        </is>
      </c>
      <c r="C8914" t="inlineStr">
        <is>
          <t>Föryngringsavverkning</t>
        </is>
      </c>
      <c r="D8914" s="1" t="n">
        <v>45449</v>
      </c>
      <c r="E8914" s="1" t="n">
        <v>46326</v>
      </c>
      <c r="F8914" t="inlineStr">
        <is>
          <t>GÄVLEBORGS LÄN</t>
        </is>
      </c>
      <c r="G8914" t="inlineStr">
        <is>
          <t>HUDIKSVALL</t>
        </is>
      </c>
      <c r="H8914" t="inlineStr">
        <is>
          <t>Holmen skog AB</t>
        </is>
      </c>
      <c r="I8914" t="n">
        <v>2</v>
      </c>
      <c r="J8914" t="n">
        <v>0</v>
      </c>
      <c r="K8914" t="n">
        <v>0</v>
      </c>
      <c r="L8914" t="n">
        <v>0</v>
      </c>
      <c r="M8914" t="n">
        <v>0</v>
      </c>
      <c r="N8914" t="n">
        <v>0</v>
      </c>
      <c r="O8914" t="n">
        <v>0</v>
      </c>
      <c r="P8914" t="n">
        <v>0</v>
      </c>
      <c r="Q8914" t="n">
        <v>0</v>
      </c>
      <c r="R8914" t="n">
        <v>0</v>
      </c>
      <c r="S8914" t="n">
        <v>0</v>
      </c>
      <c r="T8914" t="n">
        <v>0</v>
      </c>
      <c r="U8914" t="n">
        <v>0</v>
      </c>
      <c r="V8914" s="2" t="inlineStr"/>
    </row>
    <row r="8915" ht="15" customHeight="1">
      <c r="A8915" t="inlineStr">
        <is>
          <t>A 29837-2023</t>
        </is>
      </c>
      <c r="B8915" t="inlineStr">
        <is>
          <t>avverkningsanmälan</t>
        </is>
      </c>
      <c r="C8915" t="inlineStr">
        <is>
          <t>Föryngringsavverkning</t>
        </is>
      </c>
      <c r="D8915" s="1" t="n">
        <v>45107</v>
      </c>
      <c r="E8915" s="1" t="n">
        <v>46326</v>
      </c>
      <c r="F8915" t="inlineStr">
        <is>
          <t>GÄVLEBORGS LÄN</t>
        </is>
      </c>
      <c r="G8915" t="inlineStr">
        <is>
          <t>LJUSDAL</t>
        </is>
      </c>
      <c r="I8915" t="n">
        <v>1.7</v>
      </c>
      <c r="J8915" t="n">
        <v>0</v>
      </c>
      <c r="K8915" t="n">
        <v>0</v>
      </c>
      <c r="L8915" t="n">
        <v>0</v>
      </c>
      <c r="M8915" t="n">
        <v>0</v>
      </c>
      <c r="N8915" t="n">
        <v>0</v>
      </c>
      <c r="O8915" t="n">
        <v>0</v>
      </c>
      <c r="P8915" t="n">
        <v>0</v>
      </c>
      <c r="Q8915" t="n">
        <v>0</v>
      </c>
      <c r="R8915" t="n">
        <v>0</v>
      </c>
      <c r="S8915" t="n">
        <v>0</v>
      </c>
      <c r="T8915" t="n">
        <v>0</v>
      </c>
      <c r="U8915" t="n">
        <v>0</v>
      </c>
      <c r="V8915" s="2" t="inlineStr"/>
    </row>
    <row r="8916" ht="15" customHeight="1">
      <c r="A8916" t="inlineStr">
        <is>
          <t>A 28270-2026</t>
        </is>
      </c>
      <c r="B8916" t="inlineStr">
        <is>
          <t>avverkningsanmälan</t>
        </is>
      </c>
      <c r="C8916" t="inlineStr">
        <is>
          <t>Föryngringsavverkning</t>
        </is>
      </c>
      <c r="D8916" s="1" t="n">
        <v>46196</v>
      </c>
      <c r="E8916" s="1" t="n">
        <v>46326</v>
      </c>
      <c r="F8916" t="inlineStr">
        <is>
          <t>GÄVLEBORGS LÄN</t>
        </is>
      </c>
      <c r="G8916" t="inlineStr">
        <is>
          <t>BOLLNÄS</t>
        </is>
      </c>
      <c r="I8916" t="n">
        <v>2.4</v>
      </c>
      <c r="J8916" t="n">
        <v>0</v>
      </c>
      <c r="K8916" t="n">
        <v>0</v>
      </c>
      <c r="L8916" t="n">
        <v>0</v>
      </c>
      <c r="M8916" t="n">
        <v>0</v>
      </c>
      <c r="N8916" t="n">
        <v>0</v>
      </c>
      <c r="O8916" t="n">
        <v>0</v>
      </c>
      <c r="P8916" t="n">
        <v>0</v>
      </c>
      <c r="Q8916" t="n">
        <v>0</v>
      </c>
      <c r="R8916" t="n">
        <v>0</v>
      </c>
      <c r="S8916" t="n">
        <v>0</v>
      </c>
      <c r="T8916" t="n">
        <v>0</v>
      </c>
      <c r="U8916" t="n">
        <v>0</v>
      </c>
      <c r="V8916" s="2" t="inlineStr"/>
    </row>
    <row r="8917" ht="15" customHeight="1">
      <c r="A8917" t="inlineStr">
        <is>
          <t>A 943-2024</t>
        </is>
      </c>
      <c r="B8917" t="inlineStr">
        <is>
          <t>avverkningsanmälan</t>
        </is>
      </c>
      <c r="C8917" t="inlineStr">
        <is>
          <t>Föryngringsavverkning</t>
        </is>
      </c>
      <c r="D8917" s="1" t="n">
        <v>45301</v>
      </c>
      <c r="E8917" s="1" t="n">
        <v>46326</v>
      </c>
      <c r="F8917" t="inlineStr">
        <is>
          <t>GÄVLEBORGS LÄN</t>
        </is>
      </c>
      <c r="G8917" t="inlineStr">
        <is>
          <t>OVANÅKER</t>
        </is>
      </c>
      <c r="I8917" t="n">
        <v>2.9</v>
      </c>
      <c r="J8917" t="n">
        <v>0</v>
      </c>
      <c r="K8917" t="n">
        <v>0</v>
      </c>
      <c r="L8917" t="n">
        <v>0</v>
      </c>
      <c r="M8917" t="n">
        <v>0</v>
      </c>
      <c r="N8917" t="n">
        <v>0</v>
      </c>
      <c r="O8917" t="n">
        <v>0</v>
      </c>
      <c r="P8917" t="n">
        <v>0</v>
      </c>
      <c r="Q8917" t="n">
        <v>0</v>
      </c>
      <c r="R8917" t="n">
        <v>0</v>
      </c>
      <c r="S8917" t="n">
        <v>0</v>
      </c>
      <c r="T8917" t="n">
        <v>0</v>
      </c>
      <c r="U8917" t="n">
        <v>0</v>
      </c>
      <c r="V8917" s="2" t="inlineStr"/>
    </row>
    <row r="8918" ht="15" customHeight="1">
      <c r="A8918" t="inlineStr">
        <is>
          <t>A 58168-2024</t>
        </is>
      </c>
      <c r="B8918" t="inlineStr">
        <is>
          <t>avverkningsanmälan</t>
        </is>
      </c>
      <c r="C8918" t="inlineStr">
        <is>
          <t>Föryngringsavverkning</t>
        </is>
      </c>
      <c r="D8918" s="1" t="n">
        <v>45632</v>
      </c>
      <c r="E8918" s="1" t="n">
        <v>46326</v>
      </c>
      <c r="F8918" t="inlineStr">
        <is>
          <t>GÄVLEBORGS LÄN</t>
        </is>
      </c>
      <c r="G8918" t="inlineStr">
        <is>
          <t>LJUSDAL</t>
        </is>
      </c>
      <c r="I8918" t="n">
        <v>1.4</v>
      </c>
      <c r="J8918" t="n">
        <v>0</v>
      </c>
      <c r="K8918" t="n">
        <v>0</v>
      </c>
      <c r="L8918" t="n">
        <v>0</v>
      </c>
      <c r="M8918" t="n">
        <v>0</v>
      </c>
      <c r="N8918" t="n">
        <v>0</v>
      </c>
      <c r="O8918" t="n">
        <v>0</v>
      </c>
      <c r="P8918" t="n">
        <v>0</v>
      </c>
      <c r="Q8918" t="n">
        <v>0</v>
      </c>
      <c r="R8918" t="n">
        <v>0</v>
      </c>
      <c r="S8918" t="n">
        <v>0</v>
      </c>
      <c r="T8918" t="n">
        <v>0</v>
      </c>
      <c r="U8918" t="n">
        <v>0</v>
      </c>
      <c r="V8918" s="2" t="inlineStr"/>
    </row>
    <row r="8919" ht="15" customHeight="1">
      <c r="A8919" t="inlineStr">
        <is>
          <t>A 22968-2026</t>
        </is>
      </c>
      <c r="B8919" t="inlineStr">
        <is>
          <t>avverkningsanmälan</t>
        </is>
      </c>
      <c r="C8919" t="inlineStr">
        <is>
          <t>Föryngringsavverkning</t>
        </is>
      </c>
      <c r="D8919" s="1" t="n">
        <v>46160</v>
      </c>
      <c r="E8919" s="1" t="n">
        <v>46326</v>
      </c>
      <c r="F8919" t="inlineStr">
        <is>
          <t>GÄVLEBORGS LÄN</t>
        </is>
      </c>
      <c r="G8919" t="inlineStr">
        <is>
          <t>GÄVLE</t>
        </is>
      </c>
      <c r="H8919" t="inlineStr">
        <is>
          <t>Bergvik skog väst AB</t>
        </is>
      </c>
      <c r="I8919" t="n">
        <v>3.1</v>
      </c>
      <c r="J8919" t="n">
        <v>0</v>
      </c>
      <c r="K8919" t="n">
        <v>0</v>
      </c>
      <c r="L8919" t="n">
        <v>0</v>
      </c>
      <c r="M8919" t="n">
        <v>0</v>
      </c>
      <c r="N8919" t="n">
        <v>0</v>
      </c>
      <c r="O8919" t="n">
        <v>0</v>
      </c>
      <c r="P8919" t="n">
        <v>0</v>
      </c>
      <c r="Q8919" t="n">
        <v>0</v>
      </c>
      <c r="R8919" t="n">
        <v>0</v>
      </c>
      <c r="S8919" t="n">
        <v>0</v>
      </c>
      <c r="T8919" t="n">
        <v>0</v>
      </c>
      <c r="U8919" t="n">
        <v>0</v>
      </c>
      <c r="V8919" s="2" t="inlineStr"/>
    </row>
    <row r="8920" ht="15" customHeight="1">
      <c r="A8920" t="inlineStr">
        <is>
          <t>A 62619-2023</t>
        </is>
      </c>
      <c r="B8920" t="inlineStr">
        <is>
          <t>avverkningsanmälan</t>
        </is>
      </c>
      <c r="C8920" t="inlineStr">
        <is>
          <t>Föryngringsavverkning</t>
        </is>
      </c>
      <c r="D8920" s="1" t="n">
        <v>45271</v>
      </c>
      <c r="E8920" s="1" t="n">
        <v>46326</v>
      </c>
      <c r="F8920" t="inlineStr">
        <is>
          <t>GÄVLEBORGS LÄN</t>
        </is>
      </c>
      <c r="G8920" t="inlineStr">
        <is>
          <t>NORDANSTIG</t>
        </is>
      </c>
      <c r="H8920" t="inlineStr">
        <is>
          <t>Holmen skog AB</t>
        </is>
      </c>
      <c r="I8920" t="n">
        <v>2.7</v>
      </c>
      <c r="J8920" t="n">
        <v>0</v>
      </c>
      <c r="K8920" t="n">
        <v>0</v>
      </c>
      <c r="L8920" t="n">
        <v>0</v>
      </c>
      <c r="M8920" t="n">
        <v>0</v>
      </c>
      <c r="N8920" t="n">
        <v>0</v>
      </c>
      <c r="O8920" t="n">
        <v>0</v>
      </c>
      <c r="P8920" t="n">
        <v>0</v>
      </c>
      <c r="Q8920" t="n">
        <v>0</v>
      </c>
      <c r="R8920" t="n">
        <v>0</v>
      </c>
      <c r="S8920" t="n">
        <v>0</v>
      </c>
      <c r="T8920" t="n">
        <v>0</v>
      </c>
      <c r="U8920" t="n">
        <v>0</v>
      </c>
      <c r="V8920" s="2" t="inlineStr"/>
    </row>
    <row r="8921" ht="15" customHeight="1">
      <c r="A8921" t="inlineStr">
        <is>
          <t>A 29494-2026</t>
        </is>
      </c>
      <c r="B8921" t="inlineStr">
        <is>
          <t>avverkningsanmälan</t>
        </is>
      </c>
      <c r="C8921" t="inlineStr">
        <is>
          <t>Föryngringsavverkning</t>
        </is>
      </c>
      <c r="D8921" s="1" t="n">
        <v>46198</v>
      </c>
      <c r="E8921" s="1" t="n">
        <v>46326</v>
      </c>
      <c r="F8921" t="inlineStr">
        <is>
          <t>GÄVLEBORGS LÄN</t>
        </is>
      </c>
      <c r="G8921" t="inlineStr">
        <is>
          <t>GÄVLE</t>
        </is>
      </c>
      <c r="H8921" t="inlineStr">
        <is>
          <t>Bergvik skog väst AB</t>
        </is>
      </c>
      <c r="I8921" t="n">
        <v>3.4</v>
      </c>
      <c r="J8921" t="n">
        <v>0</v>
      </c>
      <c r="K8921" t="n">
        <v>0</v>
      </c>
      <c r="L8921" t="n">
        <v>0</v>
      </c>
      <c r="M8921" t="n">
        <v>0</v>
      </c>
      <c r="N8921" t="n">
        <v>0</v>
      </c>
      <c r="O8921" t="n">
        <v>0</v>
      </c>
      <c r="P8921" t="n">
        <v>0</v>
      </c>
      <c r="Q8921" t="n">
        <v>0</v>
      </c>
      <c r="R8921" t="n">
        <v>0</v>
      </c>
      <c r="S8921" t="n">
        <v>0</v>
      </c>
      <c r="T8921" t="n">
        <v>0</v>
      </c>
      <c r="U8921" t="n">
        <v>0</v>
      </c>
      <c r="V8921" s="2" t="inlineStr"/>
    </row>
    <row r="8922" ht="15" customHeight="1">
      <c r="A8922" t="inlineStr">
        <is>
          <t>A 60282-2024</t>
        </is>
      </c>
      <c r="B8922" t="inlineStr">
        <is>
          <t>avverkningsanmälan</t>
        </is>
      </c>
      <c r="C8922" t="inlineStr">
        <is>
          <t>Föryngringsavverkning</t>
        </is>
      </c>
      <c r="D8922" s="1" t="n">
        <v>45642</v>
      </c>
      <c r="E8922" s="1" t="n">
        <v>46326</v>
      </c>
      <c r="F8922" t="inlineStr">
        <is>
          <t>GÄVLEBORGS LÄN</t>
        </is>
      </c>
      <c r="G8922" t="inlineStr">
        <is>
          <t>LJUSDAL</t>
        </is>
      </c>
      <c r="I8922" t="n">
        <v>0.6</v>
      </c>
      <c r="J8922" t="n">
        <v>0</v>
      </c>
      <c r="K8922" t="n">
        <v>0</v>
      </c>
      <c r="L8922" t="n">
        <v>0</v>
      </c>
      <c r="M8922" t="n">
        <v>0</v>
      </c>
      <c r="N8922" t="n">
        <v>0</v>
      </c>
      <c r="O8922" t="n">
        <v>0</v>
      </c>
      <c r="P8922" t="n">
        <v>0</v>
      </c>
      <c r="Q8922" t="n">
        <v>0</v>
      </c>
      <c r="R8922" t="n">
        <v>0</v>
      </c>
      <c r="S8922" t="n">
        <v>0</v>
      </c>
      <c r="T8922" t="n">
        <v>0</v>
      </c>
      <c r="U8922" t="n">
        <v>0</v>
      </c>
      <c r="V8922" s="2" t="inlineStr"/>
    </row>
    <row r="8923" ht="15" customHeight="1">
      <c r="A8923" t="inlineStr">
        <is>
          <t>A 60285-2024</t>
        </is>
      </c>
      <c r="B8923" t="inlineStr">
        <is>
          <t>avverkningsanmälan</t>
        </is>
      </c>
      <c r="C8923" t="inlineStr">
        <is>
          <t>Föryngringsavverkning</t>
        </is>
      </c>
      <c r="D8923" s="1" t="n">
        <v>45642</v>
      </c>
      <c r="E8923" s="1" t="n">
        <v>46326</v>
      </c>
      <c r="F8923" t="inlineStr">
        <is>
          <t>GÄVLEBORGS LÄN</t>
        </is>
      </c>
      <c r="G8923" t="inlineStr">
        <is>
          <t>NORDANSTIG</t>
        </is>
      </c>
      <c r="I8923" t="n">
        <v>1.3</v>
      </c>
      <c r="J8923" t="n">
        <v>0</v>
      </c>
      <c r="K8923" t="n">
        <v>0</v>
      </c>
      <c r="L8923" t="n">
        <v>0</v>
      </c>
      <c r="M8923" t="n">
        <v>0</v>
      </c>
      <c r="N8923" t="n">
        <v>0</v>
      </c>
      <c r="O8923" t="n">
        <v>0</v>
      </c>
      <c r="P8923" t="n">
        <v>0</v>
      </c>
      <c r="Q8923" t="n">
        <v>0</v>
      </c>
      <c r="R8923" t="n">
        <v>0</v>
      </c>
      <c r="S8923" t="n">
        <v>0</v>
      </c>
      <c r="T8923" t="n">
        <v>0</v>
      </c>
      <c r="U8923" t="n">
        <v>0</v>
      </c>
      <c r="V8923" s="2" t="inlineStr"/>
    </row>
    <row r="8924" ht="15" customHeight="1">
      <c r="A8924" t="inlineStr">
        <is>
          <t>A 51952-2023</t>
        </is>
      </c>
      <c r="B8924" t="inlineStr">
        <is>
          <t>avverkningsanmälan</t>
        </is>
      </c>
      <c r="C8924" t="inlineStr">
        <is>
          <t>Föryngringsavverkning</t>
        </is>
      </c>
      <c r="D8924" s="1" t="n">
        <v>45223</v>
      </c>
      <c r="E8924" s="1" t="n">
        <v>46326</v>
      </c>
      <c r="F8924" t="inlineStr">
        <is>
          <t>GÄVLEBORGS LÄN</t>
        </is>
      </c>
      <c r="G8924" t="inlineStr">
        <is>
          <t>BOLLNÄS</t>
        </is>
      </c>
      <c r="I8924" t="n">
        <v>0.4</v>
      </c>
      <c r="J8924" t="n">
        <v>0</v>
      </c>
      <c r="K8924" t="n">
        <v>0</v>
      </c>
      <c r="L8924" t="n">
        <v>0</v>
      </c>
      <c r="M8924" t="n">
        <v>0</v>
      </c>
      <c r="N8924" t="n">
        <v>0</v>
      </c>
      <c r="O8924" t="n">
        <v>0</v>
      </c>
      <c r="P8924" t="n">
        <v>0</v>
      </c>
      <c r="Q8924" t="n">
        <v>0</v>
      </c>
      <c r="R8924" t="n">
        <v>0</v>
      </c>
      <c r="S8924" t="n">
        <v>0</v>
      </c>
      <c r="T8924" t="n">
        <v>0</v>
      </c>
      <c r="U8924" t="n">
        <v>0</v>
      </c>
      <c r="V8924" s="2" t="inlineStr"/>
    </row>
    <row r="8925" ht="15" customHeight="1">
      <c r="A8925" t="inlineStr">
        <is>
          <t>A 9918-2025</t>
        </is>
      </c>
      <c r="B8925" t="inlineStr">
        <is>
          <t>avverkningsanmälan</t>
        </is>
      </c>
      <c r="C8925" t="inlineStr">
        <is>
          <t>Föryngringsavverkning</t>
        </is>
      </c>
      <c r="D8925" s="1" t="n">
        <v>45717</v>
      </c>
      <c r="E8925" s="1" t="n">
        <v>46326</v>
      </c>
      <c r="F8925" t="inlineStr">
        <is>
          <t>GÄVLEBORGS LÄN</t>
        </is>
      </c>
      <c r="G8925" t="inlineStr">
        <is>
          <t>HUDIKSVALL</t>
        </is>
      </c>
      <c r="I8925" t="n">
        <v>2.4</v>
      </c>
      <c r="J8925" t="n">
        <v>0</v>
      </c>
      <c r="K8925" t="n">
        <v>0</v>
      </c>
      <c r="L8925" t="n">
        <v>0</v>
      </c>
      <c r="M8925" t="n">
        <v>0</v>
      </c>
      <c r="N8925" t="n">
        <v>0</v>
      </c>
      <c r="O8925" t="n">
        <v>0</v>
      </c>
      <c r="P8925" t="n">
        <v>0</v>
      </c>
      <c r="Q8925" t="n">
        <v>0</v>
      </c>
      <c r="R8925" t="n">
        <v>0</v>
      </c>
      <c r="S8925" t="n">
        <v>0</v>
      </c>
      <c r="T8925" t="n">
        <v>0</v>
      </c>
      <c r="U8925" t="n">
        <v>0</v>
      </c>
      <c r="V8925" s="2" t="inlineStr"/>
    </row>
    <row r="8926" ht="15" customHeight="1">
      <c r="A8926" t="inlineStr">
        <is>
          <t>A 1377-2022</t>
        </is>
      </c>
      <c r="B8926" t="inlineStr">
        <is>
          <t>avverkningsanmälan</t>
        </is>
      </c>
      <c r="C8926" t="inlineStr">
        <is>
          <t>Föryngringsavverkning</t>
        </is>
      </c>
      <c r="D8926" s="1" t="n">
        <v>44573</v>
      </c>
      <c r="E8926" s="1" t="n">
        <v>46326</v>
      </c>
      <c r="F8926" t="inlineStr">
        <is>
          <t>GÄVLEBORGS LÄN</t>
        </is>
      </c>
      <c r="G8926" t="inlineStr">
        <is>
          <t>HUDIKSVALL</t>
        </is>
      </c>
      <c r="I8926" t="n">
        <v>0.7</v>
      </c>
      <c r="J8926" t="n">
        <v>0</v>
      </c>
      <c r="K8926" t="n">
        <v>0</v>
      </c>
      <c r="L8926" t="n">
        <v>0</v>
      </c>
      <c r="M8926" t="n">
        <v>0</v>
      </c>
      <c r="N8926" t="n">
        <v>0</v>
      </c>
      <c r="O8926" t="n">
        <v>0</v>
      </c>
      <c r="P8926" t="n">
        <v>0</v>
      </c>
      <c r="Q8926" t="n">
        <v>0</v>
      </c>
      <c r="R8926" t="n">
        <v>0</v>
      </c>
      <c r="S8926" t="n">
        <v>0</v>
      </c>
      <c r="T8926" t="n">
        <v>0</v>
      </c>
      <c r="U8926" t="n">
        <v>0</v>
      </c>
      <c r="V8926" s="2" t="inlineStr"/>
    </row>
    <row r="8927" ht="15" customHeight="1">
      <c r="A8927" t="inlineStr">
        <is>
          <t>A 27956-2024</t>
        </is>
      </c>
      <c r="B8927" t="inlineStr">
        <is>
          <t>avverkningsanmälan</t>
        </is>
      </c>
      <c r="C8927" t="inlineStr">
        <is>
          <t>Föryngringsavverkning</t>
        </is>
      </c>
      <c r="D8927" s="1" t="n">
        <v>45476</v>
      </c>
      <c r="E8927" s="1" t="n">
        <v>46326</v>
      </c>
      <c r="F8927" t="inlineStr">
        <is>
          <t>GÄVLEBORGS LÄN</t>
        </is>
      </c>
      <c r="G8927" t="inlineStr">
        <is>
          <t>HUDIKSVALL</t>
        </is>
      </c>
      <c r="H8927" t="inlineStr">
        <is>
          <t>Holmen skog AB</t>
        </is>
      </c>
      <c r="I8927" t="n">
        <v>1.7</v>
      </c>
      <c r="J8927" t="n">
        <v>0</v>
      </c>
      <c r="K8927" t="n">
        <v>0</v>
      </c>
      <c r="L8927" t="n">
        <v>0</v>
      </c>
      <c r="M8927" t="n">
        <v>0</v>
      </c>
      <c r="N8927" t="n">
        <v>0</v>
      </c>
      <c r="O8927" t="n">
        <v>0</v>
      </c>
      <c r="P8927" t="n">
        <v>0</v>
      </c>
      <c r="Q8927" t="n">
        <v>0</v>
      </c>
      <c r="R8927" t="n">
        <v>0</v>
      </c>
      <c r="S8927" t="n">
        <v>0</v>
      </c>
      <c r="T8927" t="n">
        <v>0</v>
      </c>
      <c r="U8927" t="n">
        <v>0</v>
      </c>
      <c r="V8927" s="2" t="inlineStr"/>
    </row>
    <row r="8928" ht="15" customHeight="1">
      <c r="A8928" t="inlineStr">
        <is>
          <t>A 28540-2026</t>
        </is>
      </c>
      <c r="B8928" t="inlineStr">
        <is>
          <t>avverkningsanmälan</t>
        </is>
      </c>
      <c r="C8928" t="inlineStr">
        <is>
          <t>Föryngringsavverkning</t>
        </is>
      </c>
      <c r="D8928" s="1" t="n">
        <v>46197</v>
      </c>
      <c r="E8928" s="1" t="n">
        <v>46326</v>
      </c>
      <c r="F8928" t="inlineStr">
        <is>
          <t>GÄVLEBORGS LÄN</t>
        </is>
      </c>
      <c r="G8928" t="inlineStr">
        <is>
          <t>HUDIKSVALL</t>
        </is>
      </c>
      <c r="I8928" t="n">
        <v>1.5</v>
      </c>
      <c r="J8928" t="n">
        <v>0</v>
      </c>
      <c r="K8928" t="n">
        <v>0</v>
      </c>
      <c r="L8928" t="n">
        <v>0</v>
      </c>
      <c r="M8928" t="n">
        <v>0</v>
      </c>
      <c r="N8928" t="n">
        <v>0</v>
      </c>
      <c r="O8928" t="n">
        <v>0</v>
      </c>
      <c r="P8928" t="n">
        <v>0</v>
      </c>
      <c r="Q8928" t="n">
        <v>0</v>
      </c>
      <c r="R8928" t="n">
        <v>0</v>
      </c>
      <c r="S8928" t="n">
        <v>0</v>
      </c>
      <c r="T8928" t="n">
        <v>0</v>
      </c>
      <c r="U8928" t="n">
        <v>0</v>
      </c>
      <c r="V8928" s="2" t="inlineStr"/>
    </row>
    <row r="8929" ht="15" customHeight="1">
      <c r="A8929" t="inlineStr">
        <is>
          <t>A 28536-2026</t>
        </is>
      </c>
      <c r="B8929" t="inlineStr">
        <is>
          <t>avverkningsanmälan</t>
        </is>
      </c>
      <c r="C8929" t="inlineStr">
        <is>
          <t>Föryngringsavverkning</t>
        </is>
      </c>
      <c r="D8929" s="1" t="n">
        <v>46197</v>
      </c>
      <c r="E8929" s="1" t="n">
        <v>46326</v>
      </c>
      <c r="F8929" t="inlineStr">
        <is>
          <t>GÄVLEBORGS LÄN</t>
        </is>
      </c>
      <c r="G8929" t="inlineStr">
        <is>
          <t>OVANÅKER</t>
        </is>
      </c>
      <c r="I8929" t="n">
        <v>1</v>
      </c>
      <c r="J8929" t="n">
        <v>0</v>
      </c>
      <c r="K8929" t="n">
        <v>0</v>
      </c>
      <c r="L8929" t="n">
        <v>0</v>
      </c>
      <c r="M8929" t="n">
        <v>0</v>
      </c>
      <c r="N8929" t="n">
        <v>0</v>
      </c>
      <c r="O8929" t="n">
        <v>0</v>
      </c>
      <c r="P8929" t="n">
        <v>0</v>
      </c>
      <c r="Q8929" t="n">
        <v>0</v>
      </c>
      <c r="R8929" t="n">
        <v>0</v>
      </c>
      <c r="S8929" t="n">
        <v>0</v>
      </c>
      <c r="T8929" t="n">
        <v>0</v>
      </c>
      <c r="U8929" t="n">
        <v>0</v>
      </c>
      <c r="V8929" s="2" t="inlineStr"/>
    </row>
    <row r="8930" ht="15" customHeight="1">
      <c r="A8930" t="inlineStr">
        <is>
          <t>A 28547-2026</t>
        </is>
      </c>
      <c r="B8930" t="inlineStr">
        <is>
          <t>avverkningsanmälan</t>
        </is>
      </c>
      <c r="C8930" t="inlineStr">
        <is>
          <t>Föryngringsavverkning</t>
        </is>
      </c>
      <c r="D8930" s="1" t="n">
        <v>46197</v>
      </c>
      <c r="E8930" s="1" t="n">
        <v>46326</v>
      </c>
      <c r="F8930" t="inlineStr">
        <is>
          <t>GÄVLEBORGS LÄN</t>
        </is>
      </c>
      <c r="G8930" t="inlineStr">
        <is>
          <t>OVANÅKER</t>
        </is>
      </c>
      <c r="I8930" t="n">
        <v>4</v>
      </c>
      <c r="J8930" t="n">
        <v>0</v>
      </c>
      <c r="K8930" t="n">
        <v>0</v>
      </c>
      <c r="L8930" t="n">
        <v>0</v>
      </c>
      <c r="M8930" t="n">
        <v>0</v>
      </c>
      <c r="N8930" t="n">
        <v>0</v>
      </c>
      <c r="O8930" t="n">
        <v>0</v>
      </c>
      <c r="P8930" t="n">
        <v>0</v>
      </c>
      <c r="Q8930" t="n">
        <v>0</v>
      </c>
      <c r="R8930" t="n">
        <v>0</v>
      </c>
      <c r="S8930" t="n">
        <v>0</v>
      </c>
      <c r="T8930" t="n">
        <v>0</v>
      </c>
      <c r="U8930" t="n">
        <v>0</v>
      </c>
      <c r="V8930" s="2" t="inlineStr"/>
    </row>
    <row r="8931" ht="15" customHeight="1">
      <c r="A8931" t="inlineStr">
        <is>
          <t>A 28633-2026</t>
        </is>
      </c>
      <c r="B8931" t="inlineStr">
        <is>
          <t>avverkningsanmälan</t>
        </is>
      </c>
      <c r="C8931" t="inlineStr">
        <is>
          <t>Föryngringsavverkning</t>
        </is>
      </c>
      <c r="D8931" s="1" t="n">
        <v>46198</v>
      </c>
      <c r="E8931" s="1" t="n">
        <v>46326</v>
      </c>
      <c r="F8931" t="inlineStr">
        <is>
          <t>GÄVLEBORGS LÄN</t>
        </is>
      </c>
      <c r="G8931" t="inlineStr">
        <is>
          <t>LJUSDAL</t>
        </is>
      </c>
      <c r="H8931" t="inlineStr">
        <is>
          <t>Sveaskog</t>
        </is>
      </c>
      <c r="I8931" t="n">
        <v>7.2</v>
      </c>
      <c r="J8931" t="n">
        <v>0</v>
      </c>
      <c r="K8931" t="n">
        <v>0</v>
      </c>
      <c r="L8931" t="n">
        <v>0</v>
      </c>
      <c r="M8931" t="n">
        <v>0</v>
      </c>
      <c r="N8931" t="n">
        <v>0</v>
      </c>
      <c r="O8931" t="n">
        <v>0</v>
      </c>
      <c r="P8931" t="n">
        <v>0</v>
      </c>
      <c r="Q8931" t="n">
        <v>0</v>
      </c>
      <c r="R8931" t="n">
        <v>0</v>
      </c>
      <c r="S8931" t="n">
        <v>0</v>
      </c>
      <c r="T8931" t="n">
        <v>0</v>
      </c>
      <c r="U8931" t="n">
        <v>0</v>
      </c>
      <c r="V8931" s="2" t="inlineStr"/>
    </row>
    <row r="8932" ht="15" customHeight="1">
      <c r="A8932" t="inlineStr">
        <is>
          <t>A 28654-2026</t>
        </is>
      </c>
      <c r="B8932" t="inlineStr">
        <is>
          <t>avverkningsanmälan</t>
        </is>
      </c>
      <c r="C8932" t="inlineStr">
        <is>
          <t>Föryngringsavverkning</t>
        </is>
      </c>
      <c r="D8932" s="1" t="n">
        <v>46198</v>
      </c>
      <c r="E8932" s="1" t="n">
        <v>46326</v>
      </c>
      <c r="F8932" t="inlineStr">
        <is>
          <t>GÄVLEBORGS LÄN</t>
        </is>
      </c>
      <c r="G8932" t="inlineStr">
        <is>
          <t>GÄVLE</t>
        </is>
      </c>
      <c r="H8932" t="inlineStr">
        <is>
          <t>Bergvik skog öst AB</t>
        </is>
      </c>
      <c r="I8932" t="n">
        <v>2</v>
      </c>
      <c r="J8932" t="n">
        <v>0</v>
      </c>
      <c r="K8932" t="n">
        <v>0</v>
      </c>
      <c r="L8932" t="n">
        <v>0</v>
      </c>
      <c r="M8932" t="n">
        <v>0</v>
      </c>
      <c r="N8932" t="n">
        <v>0</v>
      </c>
      <c r="O8932" t="n">
        <v>0</v>
      </c>
      <c r="P8932" t="n">
        <v>0</v>
      </c>
      <c r="Q8932" t="n">
        <v>0</v>
      </c>
      <c r="R8932" t="n">
        <v>0</v>
      </c>
      <c r="S8932" t="n">
        <v>0</v>
      </c>
      <c r="T8932" t="n">
        <v>0</v>
      </c>
      <c r="U8932" t="n">
        <v>0</v>
      </c>
      <c r="V8932" s="2" t="inlineStr"/>
    </row>
    <row r="8933" ht="15" customHeight="1">
      <c r="A8933" t="inlineStr">
        <is>
          <t>A 28672-2026</t>
        </is>
      </c>
      <c r="B8933" t="inlineStr">
        <is>
          <t>avverkningsanmälan</t>
        </is>
      </c>
      <c r="C8933" t="inlineStr">
        <is>
          <t>Föryngringsavverkning</t>
        </is>
      </c>
      <c r="D8933" s="1" t="n">
        <v>46198</v>
      </c>
      <c r="E8933" s="1" t="n">
        <v>46326</v>
      </c>
      <c r="F8933" t="inlineStr">
        <is>
          <t>GÄVLEBORGS LÄN</t>
        </is>
      </c>
      <c r="G8933" t="inlineStr">
        <is>
          <t>OCKELBO</t>
        </is>
      </c>
      <c r="I8933" t="n">
        <v>2</v>
      </c>
      <c r="J8933" t="n">
        <v>0</v>
      </c>
      <c r="K8933" t="n">
        <v>0</v>
      </c>
      <c r="L8933" t="n">
        <v>0</v>
      </c>
      <c r="M8933" t="n">
        <v>0</v>
      </c>
      <c r="N8933" t="n">
        <v>0</v>
      </c>
      <c r="O8933" t="n">
        <v>0</v>
      </c>
      <c r="P8933" t="n">
        <v>0</v>
      </c>
      <c r="Q8933" t="n">
        <v>0</v>
      </c>
      <c r="R8933" t="n">
        <v>0</v>
      </c>
      <c r="S8933" t="n">
        <v>0</v>
      </c>
      <c r="T8933" t="n">
        <v>0</v>
      </c>
      <c r="U8933" t="n">
        <v>0</v>
      </c>
      <c r="V8933" s="2" t="inlineStr"/>
    </row>
    <row r="8934" ht="15" customHeight="1">
      <c r="A8934" t="inlineStr">
        <is>
          <t>A 58162-2024</t>
        </is>
      </c>
      <c r="B8934" t="inlineStr">
        <is>
          <t>avverkningsanmälan</t>
        </is>
      </c>
      <c r="C8934" t="inlineStr">
        <is>
          <t>Avverkning för annat ändamål</t>
        </is>
      </c>
      <c r="D8934" s="1" t="n">
        <v>45632</v>
      </c>
      <c r="E8934" s="1" t="n">
        <v>46326</v>
      </c>
      <c r="F8934" t="inlineStr">
        <is>
          <t>GÄVLEBORGS LÄN</t>
        </is>
      </c>
      <c r="G8934" t="inlineStr">
        <is>
          <t>NORDANSTIG</t>
        </is>
      </c>
      <c r="H8934" t="inlineStr">
        <is>
          <t>Kyrkan</t>
        </is>
      </c>
      <c r="I8934" t="n">
        <v>0.5</v>
      </c>
      <c r="J8934" t="n">
        <v>0</v>
      </c>
      <c r="K8934" t="n">
        <v>0</v>
      </c>
      <c r="L8934" t="n">
        <v>0</v>
      </c>
      <c r="M8934" t="n">
        <v>0</v>
      </c>
      <c r="N8934" t="n">
        <v>0</v>
      </c>
      <c r="O8934" t="n">
        <v>0</v>
      </c>
      <c r="P8934" t="n">
        <v>0</v>
      </c>
      <c r="Q8934" t="n">
        <v>0</v>
      </c>
      <c r="R8934" t="n">
        <v>0</v>
      </c>
      <c r="S8934" t="n">
        <v>0</v>
      </c>
      <c r="T8934" t="n">
        <v>0</v>
      </c>
      <c r="U8934" t="n">
        <v>0</v>
      </c>
      <c r="V8934" s="2" t="inlineStr"/>
    </row>
    <row r="8935" ht="15" customHeight="1">
      <c r="A8935" t="inlineStr">
        <is>
          <t>A 28725-2026</t>
        </is>
      </c>
      <c r="B8935" t="inlineStr">
        <is>
          <t>avverkningsanmälan</t>
        </is>
      </c>
      <c r="C8935" t="inlineStr">
        <is>
          <t>Föryngringsavverkning</t>
        </is>
      </c>
      <c r="D8935" s="1" t="n">
        <v>46198</v>
      </c>
      <c r="E8935" s="1" t="n">
        <v>46326</v>
      </c>
      <c r="F8935" t="inlineStr">
        <is>
          <t>GÄVLEBORGS LÄN</t>
        </is>
      </c>
      <c r="G8935" t="inlineStr">
        <is>
          <t>OCKELBO</t>
        </is>
      </c>
      <c r="H8935" t="inlineStr">
        <is>
          <t>Bergvik skog väst AB</t>
        </is>
      </c>
      <c r="I8935" t="n">
        <v>0.6</v>
      </c>
      <c r="J8935" t="n">
        <v>0</v>
      </c>
      <c r="K8935" t="n">
        <v>0</v>
      </c>
      <c r="L8935" t="n">
        <v>0</v>
      </c>
      <c r="M8935" t="n">
        <v>0</v>
      </c>
      <c r="N8935" t="n">
        <v>0</v>
      </c>
      <c r="O8935" t="n">
        <v>0</v>
      </c>
      <c r="P8935" t="n">
        <v>0</v>
      </c>
      <c r="Q8935" t="n">
        <v>0</v>
      </c>
      <c r="R8935" t="n">
        <v>0</v>
      </c>
      <c r="S8935" t="n">
        <v>0</v>
      </c>
      <c r="T8935" t="n">
        <v>0</v>
      </c>
      <c r="U8935" t="n">
        <v>0</v>
      </c>
      <c r="V8935" s="2" t="inlineStr"/>
    </row>
    <row r="8936" ht="15" customHeight="1">
      <c r="A8936" t="inlineStr">
        <is>
          <t>A 28728-2026</t>
        </is>
      </c>
      <c r="B8936" t="inlineStr">
        <is>
          <t>avverkningsanmälan</t>
        </is>
      </c>
      <c r="C8936" t="inlineStr">
        <is>
          <t>Föryngringsavverkning</t>
        </is>
      </c>
      <c r="D8936" s="1" t="n">
        <v>46198</v>
      </c>
      <c r="E8936" s="1" t="n">
        <v>46326</v>
      </c>
      <c r="F8936" t="inlineStr">
        <is>
          <t>GÄVLEBORGS LÄN</t>
        </is>
      </c>
      <c r="G8936" t="inlineStr">
        <is>
          <t>SANDVIKEN</t>
        </is>
      </c>
      <c r="I8936" t="n">
        <v>0.8</v>
      </c>
      <c r="J8936" t="n">
        <v>0</v>
      </c>
      <c r="K8936" t="n">
        <v>0</v>
      </c>
      <c r="L8936" t="n">
        <v>0</v>
      </c>
      <c r="M8936" t="n">
        <v>0</v>
      </c>
      <c r="N8936" t="n">
        <v>0</v>
      </c>
      <c r="O8936" t="n">
        <v>0</v>
      </c>
      <c r="P8936" t="n">
        <v>0</v>
      </c>
      <c r="Q8936" t="n">
        <v>0</v>
      </c>
      <c r="R8936" t="n">
        <v>0</v>
      </c>
      <c r="S8936" t="n">
        <v>0</v>
      </c>
      <c r="T8936" t="n">
        <v>0</v>
      </c>
      <c r="U8936" t="n">
        <v>0</v>
      </c>
      <c r="V8936" s="2" t="inlineStr"/>
    </row>
    <row r="8937" ht="15" customHeight="1">
      <c r="A8937" t="inlineStr">
        <is>
          <t>A 28485-2026</t>
        </is>
      </c>
      <c r="B8937" t="inlineStr">
        <is>
          <t>avverkningsanmälan</t>
        </is>
      </c>
      <c r="C8937" t="inlineStr">
        <is>
          <t>Föryngringsavverkning</t>
        </is>
      </c>
      <c r="D8937" s="1" t="n">
        <v>46197</v>
      </c>
      <c r="E8937" s="1" t="n">
        <v>46326</v>
      </c>
      <c r="F8937" t="inlineStr">
        <is>
          <t>GÄVLEBORGS LÄN</t>
        </is>
      </c>
      <c r="G8937" t="inlineStr">
        <is>
          <t>GÄVLE</t>
        </is>
      </c>
      <c r="H8937" t="inlineStr">
        <is>
          <t>BillerudKorsnäs AB</t>
        </is>
      </c>
      <c r="I8937" t="n">
        <v>0.2</v>
      </c>
      <c r="J8937" t="n">
        <v>0</v>
      </c>
      <c r="K8937" t="n">
        <v>0</v>
      </c>
      <c r="L8937" t="n">
        <v>0</v>
      </c>
      <c r="M8937" t="n">
        <v>0</v>
      </c>
      <c r="N8937" t="n">
        <v>0</v>
      </c>
      <c r="O8937" t="n">
        <v>0</v>
      </c>
      <c r="P8937" t="n">
        <v>0</v>
      </c>
      <c r="Q8937" t="n">
        <v>0</v>
      </c>
      <c r="R8937" t="n">
        <v>0</v>
      </c>
      <c r="S8937" t="n">
        <v>0</v>
      </c>
      <c r="T8937" t="n">
        <v>0</v>
      </c>
      <c r="U8937" t="n">
        <v>0</v>
      </c>
      <c r="V8937" s="2" t="inlineStr"/>
    </row>
    <row r="8938" ht="15" customHeight="1">
      <c r="A8938" t="inlineStr">
        <is>
          <t>A 28494-2026</t>
        </is>
      </c>
      <c r="B8938" t="inlineStr">
        <is>
          <t>avverkningsanmälan</t>
        </is>
      </c>
      <c r="C8938" t="inlineStr">
        <is>
          <t>Föryngringsavverkning</t>
        </is>
      </c>
      <c r="D8938" s="1" t="n">
        <v>46197</v>
      </c>
      <c r="E8938" s="1" t="n">
        <v>46326</v>
      </c>
      <c r="F8938" t="inlineStr">
        <is>
          <t>GÄVLEBORGS LÄN</t>
        </is>
      </c>
      <c r="G8938" t="inlineStr">
        <is>
          <t>BOLLNÄS</t>
        </is>
      </c>
      <c r="I8938" t="n">
        <v>1.5</v>
      </c>
      <c r="J8938" t="n">
        <v>0</v>
      </c>
      <c r="K8938" t="n">
        <v>0</v>
      </c>
      <c r="L8938" t="n">
        <v>0</v>
      </c>
      <c r="M8938" t="n">
        <v>0</v>
      </c>
      <c r="N8938" t="n">
        <v>0</v>
      </c>
      <c r="O8938" t="n">
        <v>0</v>
      </c>
      <c r="P8938" t="n">
        <v>0</v>
      </c>
      <c r="Q8938" t="n">
        <v>0</v>
      </c>
      <c r="R8938" t="n">
        <v>0</v>
      </c>
      <c r="S8938" t="n">
        <v>0</v>
      </c>
      <c r="T8938" t="n">
        <v>0</v>
      </c>
      <c r="U8938" t="n">
        <v>0</v>
      </c>
      <c r="V8938" s="2" t="inlineStr"/>
    </row>
    <row r="8939" ht="15" customHeight="1">
      <c r="A8939" t="inlineStr">
        <is>
          <t>A 47875-2023</t>
        </is>
      </c>
      <c r="B8939" t="inlineStr">
        <is>
          <t>avverkningsanmälan</t>
        </is>
      </c>
      <c r="C8939" t="inlineStr">
        <is>
          <t>Föryngringsavverkning</t>
        </is>
      </c>
      <c r="D8939" s="1" t="n">
        <v>45204</v>
      </c>
      <c r="E8939" s="1" t="n">
        <v>46326</v>
      </c>
      <c r="F8939" t="inlineStr">
        <is>
          <t>GÄVLEBORGS LÄN</t>
        </is>
      </c>
      <c r="G8939" t="inlineStr">
        <is>
          <t>LJUSDAL</t>
        </is>
      </c>
      <c r="I8939" t="n">
        <v>0.5</v>
      </c>
      <c r="J8939" t="n">
        <v>0</v>
      </c>
      <c r="K8939" t="n">
        <v>0</v>
      </c>
      <c r="L8939" t="n">
        <v>0</v>
      </c>
      <c r="M8939" t="n">
        <v>0</v>
      </c>
      <c r="N8939" t="n">
        <v>0</v>
      </c>
      <c r="O8939" t="n">
        <v>0</v>
      </c>
      <c r="P8939" t="n">
        <v>0</v>
      </c>
      <c r="Q8939" t="n">
        <v>0</v>
      </c>
      <c r="R8939" t="n">
        <v>0</v>
      </c>
      <c r="S8939" t="n">
        <v>0</v>
      </c>
      <c r="T8939" t="n">
        <v>0</v>
      </c>
      <c r="U8939" t="n">
        <v>0</v>
      </c>
      <c r="V8939" s="2" t="inlineStr"/>
    </row>
    <row r="8940" ht="15" customHeight="1">
      <c r="A8940" t="inlineStr">
        <is>
          <t>A 59841-2023</t>
        </is>
      </c>
      <c r="B8940" t="inlineStr">
        <is>
          <t>avverkningsanmälan</t>
        </is>
      </c>
      <c r="C8940" t="inlineStr">
        <is>
          <t>Föryngringsavverkning</t>
        </is>
      </c>
      <c r="D8940" s="1" t="n">
        <v>45257</v>
      </c>
      <c r="E8940" s="1" t="n">
        <v>46326</v>
      </c>
      <c r="F8940" t="inlineStr">
        <is>
          <t>GÄVLEBORGS LÄN</t>
        </is>
      </c>
      <c r="G8940" t="inlineStr">
        <is>
          <t>SANDVIKEN</t>
        </is>
      </c>
      <c r="H8940" t="inlineStr">
        <is>
          <t>Bergvik skog öst AB</t>
        </is>
      </c>
      <c r="I8940" t="n">
        <v>3.9</v>
      </c>
      <c r="J8940" t="n">
        <v>0</v>
      </c>
      <c r="K8940" t="n">
        <v>0</v>
      </c>
      <c r="L8940" t="n">
        <v>0</v>
      </c>
      <c r="M8940" t="n">
        <v>0</v>
      </c>
      <c r="N8940" t="n">
        <v>0</v>
      </c>
      <c r="O8940" t="n">
        <v>0</v>
      </c>
      <c r="P8940" t="n">
        <v>0</v>
      </c>
      <c r="Q8940" t="n">
        <v>0</v>
      </c>
      <c r="R8940" t="n">
        <v>0</v>
      </c>
      <c r="S8940" t="n">
        <v>0</v>
      </c>
      <c r="T8940" t="n">
        <v>0</v>
      </c>
      <c r="U8940" t="n">
        <v>0</v>
      </c>
      <c r="V8940" s="2" t="inlineStr"/>
    </row>
    <row r="8941" ht="15" customHeight="1">
      <c r="A8941" t="inlineStr">
        <is>
          <t>A 28656-2026</t>
        </is>
      </c>
      <c r="B8941" t="inlineStr">
        <is>
          <t>avverkningsanmälan</t>
        </is>
      </c>
      <c r="C8941" t="inlineStr">
        <is>
          <t>Föryngringsavverkning</t>
        </is>
      </c>
      <c r="D8941" s="1" t="n">
        <v>46198</v>
      </c>
      <c r="E8941" s="1" t="n">
        <v>46326</v>
      </c>
      <c r="F8941" t="inlineStr">
        <is>
          <t>GÄVLEBORGS LÄN</t>
        </is>
      </c>
      <c r="G8941" t="inlineStr">
        <is>
          <t>GÄVLE</t>
        </is>
      </c>
      <c r="H8941" t="inlineStr">
        <is>
          <t>Bergvik skog öst AB</t>
        </is>
      </c>
      <c r="I8941" t="n">
        <v>3.8</v>
      </c>
      <c r="J8941" t="n">
        <v>0</v>
      </c>
      <c r="K8941" t="n">
        <v>0</v>
      </c>
      <c r="L8941" t="n">
        <v>0</v>
      </c>
      <c r="M8941" t="n">
        <v>0</v>
      </c>
      <c r="N8941" t="n">
        <v>0</v>
      </c>
      <c r="O8941" t="n">
        <v>0</v>
      </c>
      <c r="P8941" t="n">
        <v>0</v>
      </c>
      <c r="Q8941" t="n">
        <v>0</v>
      </c>
      <c r="R8941" t="n">
        <v>0</v>
      </c>
      <c r="S8941" t="n">
        <v>0</v>
      </c>
      <c r="T8941" t="n">
        <v>0</v>
      </c>
      <c r="U8941" t="n">
        <v>0</v>
      </c>
      <c r="V8941" s="2" t="inlineStr"/>
    </row>
    <row r="8942" ht="15" customHeight="1">
      <c r="A8942" t="inlineStr">
        <is>
          <t>A 28659-2026</t>
        </is>
      </c>
      <c r="B8942" t="inlineStr">
        <is>
          <t>avverkningsanmälan</t>
        </is>
      </c>
      <c r="C8942" t="inlineStr">
        <is>
          <t>Föryngringsavverkning</t>
        </is>
      </c>
      <c r="D8942" s="1" t="n">
        <v>46198</v>
      </c>
      <c r="E8942" s="1" t="n">
        <v>46326</v>
      </c>
      <c r="F8942" t="inlineStr">
        <is>
          <t>GÄVLEBORGS LÄN</t>
        </is>
      </c>
      <c r="G8942" t="inlineStr">
        <is>
          <t>GÄVLE</t>
        </is>
      </c>
      <c r="H8942" t="inlineStr">
        <is>
          <t>Bergvik skog öst AB</t>
        </is>
      </c>
      <c r="I8942" t="n">
        <v>2.9</v>
      </c>
      <c r="J8942" t="n">
        <v>0</v>
      </c>
      <c r="K8942" t="n">
        <v>0</v>
      </c>
      <c r="L8942" t="n">
        <v>0</v>
      </c>
      <c r="M8942" t="n">
        <v>0</v>
      </c>
      <c r="N8942" t="n">
        <v>0</v>
      </c>
      <c r="O8942" t="n">
        <v>0</v>
      </c>
      <c r="P8942" t="n">
        <v>0</v>
      </c>
      <c r="Q8942" t="n">
        <v>0</v>
      </c>
      <c r="R8942" t="n">
        <v>0</v>
      </c>
      <c r="S8942" t="n">
        <v>0</v>
      </c>
      <c r="T8942" t="n">
        <v>0</v>
      </c>
      <c r="U8942" t="n">
        <v>0</v>
      </c>
      <c r="V8942" s="2" t="inlineStr"/>
    </row>
    <row r="8943" ht="15" customHeight="1">
      <c r="A8943" t="inlineStr">
        <is>
          <t>A 28680-2026</t>
        </is>
      </c>
      <c r="B8943" t="inlineStr">
        <is>
          <t>avverkningsanmälan</t>
        </is>
      </c>
      <c r="C8943" t="inlineStr">
        <is>
          <t>Avverkning för annat ändamål</t>
        </is>
      </c>
      <c r="D8943" s="1" t="n">
        <v>46198</v>
      </c>
      <c r="E8943" s="1" t="n">
        <v>46326</v>
      </c>
      <c r="F8943" t="inlineStr">
        <is>
          <t>GÄVLEBORGS LÄN</t>
        </is>
      </c>
      <c r="G8943" t="inlineStr">
        <is>
          <t>HUDIKSVALL</t>
        </is>
      </c>
      <c r="I8943" t="n">
        <v>0.9</v>
      </c>
      <c r="J8943" t="n">
        <v>0</v>
      </c>
      <c r="K8943" t="n">
        <v>0</v>
      </c>
      <c r="L8943" t="n">
        <v>0</v>
      </c>
      <c r="M8943" t="n">
        <v>0</v>
      </c>
      <c r="N8943" t="n">
        <v>0</v>
      </c>
      <c r="O8943" t="n">
        <v>0</v>
      </c>
      <c r="P8943" t="n">
        <v>0</v>
      </c>
      <c r="Q8943" t="n">
        <v>0</v>
      </c>
      <c r="R8943" t="n">
        <v>0</v>
      </c>
      <c r="S8943" t="n">
        <v>0</v>
      </c>
      <c r="T8943" t="n">
        <v>0</v>
      </c>
      <c r="U8943" t="n">
        <v>0</v>
      </c>
      <c r="V8943" s="2" t="inlineStr"/>
    </row>
    <row r="8944" ht="15" customHeight="1">
      <c r="A8944" t="inlineStr">
        <is>
          <t>A 28681-2026</t>
        </is>
      </c>
      <c r="B8944" t="inlineStr">
        <is>
          <t>avverkningsanmälan</t>
        </is>
      </c>
      <c r="C8944" t="inlineStr">
        <is>
          <t>Föryngringsavverkning</t>
        </is>
      </c>
      <c r="D8944" s="1" t="n">
        <v>46198</v>
      </c>
      <c r="E8944" s="1" t="n">
        <v>46326</v>
      </c>
      <c r="F8944" t="inlineStr">
        <is>
          <t>GÄVLEBORGS LÄN</t>
        </is>
      </c>
      <c r="G8944" t="inlineStr">
        <is>
          <t>OCKELBO</t>
        </is>
      </c>
      <c r="I8944" t="n">
        <v>1.4</v>
      </c>
      <c r="J8944" t="n">
        <v>0</v>
      </c>
      <c r="K8944" t="n">
        <v>0</v>
      </c>
      <c r="L8944" t="n">
        <v>0</v>
      </c>
      <c r="M8944" t="n">
        <v>0</v>
      </c>
      <c r="N8944" t="n">
        <v>0</v>
      </c>
      <c r="O8944" t="n">
        <v>0</v>
      </c>
      <c r="P8944" t="n">
        <v>0</v>
      </c>
      <c r="Q8944" t="n">
        <v>0</v>
      </c>
      <c r="R8944" t="n">
        <v>0</v>
      </c>
      <c r="S8944" t="n">
        <v>0</v>
      </c>
      <c r="T8944" t="n">
        <v>0</v>
      </c>
      <c r="U8944" t="n">
        <v>0</v>
      </c>
      <c r="V8944" s="2" t="inlineStr"/>
    </row>
    <row r="8945" ht="15" customHeight="1">
      <c r="A8945" t="inlineStr">
        <is>
          <t>A 28542-2026</t>
        </is>
      </c>
      <c r="B8945" t="inlineStr">
        <is>
          <t>avverkningsanmälan</t>
        </is>
      </c>
      <c r="C8945" t="inlineStr">
        <is>
          <t>Föryngringsavverkning</t>
        </is>
      </c>
      <c r="D8945" s="1" t="n">
        <v>46197</v>
      </c>
      <c r="E8945" s="1" t="n">
        <v>46326</v>
      </c>
      <c r="F8945" t="inlineStr">
        <is>
          <t>GÄVLEBORGS LÄN</t>
        </is>
      </c>
      <c r="G8945" t="inlineStr">
        <is>
          <t>OVANÅKER</t>
        </is>
      </c>
      <c r="I8945" t="n">
        <v>2.3</v>
      </c>
      <c r="J8945" t="n">
        <v>0</v>
      </c>
      <c r="K8945" t="n">
        <v>0</v>
      </c>
      <c r="L8945" t="n">
        <v>0</v>
      </c>
      <c r="M8945" t="n">
        <v>0</v>
      </c>
      <c r="N8945" t="n">
        <v>0</v>
      </c>
      <c r="O8945" t="n">
        <v>0</v>
      </c>
      <c r="P8945" t="n">
        <v>0</v>
      </c>
      <c r="Q8945" t="n">
        <v>0</v>
      </c>
      <c r="R8945" t="n">
        <v>0</v>
      </c>
      <c r="S8945" t="n">
        <v>0</v>
      </c>
      <c r="T8945" t="n">
        <v>0</v>
      </c>
      <c r="U8945" t="n">
        <v>0</v>
      </c>
      <c r="V8945" s="2" t="inlineStr"/>
    </row>
    <row r="8946" ht="15" customHeight="1">
      <c r="A8946" t="inlineStr">
        <is>
          <t>A 29037-2026</t>
        </is>
      </c>
      <c r="B8946" t="inlineStr">
        <is>
          <t>avverkningsanmälan</t>
        </is>
      </c>
      <c r="C8946" t="inlineStr">
        <is>
          <t>Avverkning för att bevara och utveckla /försöksver</t>
        </is>
      </c>
      <c r="D8946" s="1" t="n">
        <v>46199</v>
      </c>
      <c r="E8946" s="1" t="n">
        <v>46326</v>
      </c>
      <c r="F8946" t="inlineStr">
        <is>
          <t>GÄVLEBORGS LÄN</t>
        </is>
      </c>
      <c r="G8946" t="inlineStr">
        <is>
          <t>BOLLNÄS</t>
        </is>
      </c>
      <c r="I8946" t="n">
        <v>0.4</v>
      </c>
      <c r="J8946" t="n">
        <v>0</v>
      </c>
      <c r="K8946" t="n">
        <v>0</v>
      </c>
      <c r="L8946" t="n">
        <v>0</v>
      </c>
      <c r="M8946" t="n">
        <v>0</v>
      </c>
      <c r="N8946" t="n">
        <v>0</v>
      </c>
      <c r="O8946" t="n">
        <v>0</v>
      </c>
      <c r="P8946" t="n">
        <v>0</v>
      </c>
      <c r="Q8946" t="n">
        <v>0</v>
      </c>
      <c r="R8946" t="n">
        <v>0</v>
      </c>
      <c r="S8946" t="n">
        <v>0</v>
      </c>
      <c r="T8946" t="n">
        <v>0</v>
      </c>
      <c r="U8946" t="n">
        <v>0</v>
      </c>
      <c r="V8946" s="2" t="inlineStr"/>
    </row>
    <row r="8947" ht="15" customHeight="1">
      <c r="A8947" t="inlineStr">
        <is>
          <t>A 28518-2026</t>
        </is>
      </c>
      <c r="B8947" t="inlineStr">
        <is>
          <t>avverkningsanmälan</t>
        </is>
      </c>
      <c r="C8947" t="inlineStr">
        <is>
          <t>Föryngringsavverkning</t>
        </is>
      </c>
      <c r="D8947" s="1" t="n">
        <v>46197</v>
      </c>
      <c r="E8947" s="1" t="n">
        <v>46326</v>
      </c>
      <c r="F8947" t="inlineStr">
        <is>
          <t>GÄVLEBORGS LÄN</t>
        </is>
      </c>
      <c r="G8947" t="inlineStr">
        <is>
          <t>OVANÅKER</t>
        </is>
      </c>
      <c r="I8947" t="n">
        <v>2.3</v>
      </c>
      <c r="J8947" t="n">
        <v>0</v>
      </c>
      <c r="K8947" t="n">
        <v>0</v>
      </c>
      <c r="L8947" t="n">
        <v>0</v>
      </c>
      <c r="M8947" t="n">
        <v>0</v>
      </c>
      <c r="N8947" t="n">
        <v>0</v>
      </c>
      <c r="O8947" t="n">
        <v>0</v>
      </c>
      <c r="P8947" t="n">
        <v>0</v>
      </c>
      <c r="Q8947" t="n">
        <v>0</v>
      </c>
      <c r="R8947" t="n">
        <v>0</v>
      </c>
      <c r="S8947" t="n">
        <v>0</v>
      </c>
      <c r="T8947" t="n">
        <v>0</v>
      </c>
      <c r="U8947" t="n">
        <v>0</v>
      </c>
      <c r="V8947" s="2" t="inlineStr"/>
    </row>
    <row r="8948" ht="15" customHeight="1">
      <c r="A8948" t="inlineStr">
        <is>
          <t>A 9930-2026</t>
        </is>
      </c>
      <c r="B8948" t="inlineStr">
        <is>
          <t>avverkningsanmälan</t>
        </is>
      </c>
      <c r="C8948" t="inlineStr">
        <is>
          <t>Föryngringsavverkning</t>
        </is>
      </c>
      <c r="D8948" s="1" t="n">
        <v>46073</v>
      </c>
      <c r="E8948" s="1" t="n">
        <v>46326</v>
      </c>
      <c r="F8948" t="inlineStr">
        <is>
          <t>GÄVLEBORGS LÄN</t>
        </is>
      </c>
      <c r="G8948" t="inlineStr">
        <is>
          <t>OVANÅKER</t>
        </is>
      </c>
      <c r="I8948" t="n">
        <v>9.9</v>
      </c>
      <c r="J8948" t="n">
        <v>0</v>
      </c>
      <c r="K8948" t="n">
        <v>0</v>
      </c>
      <c r="L8948" t="n">
        <v>0</v>
      </c>
      <c r="M8948" t="n">
        <v>0</v>
      </c>
      <c r="N8948" t="n">
        <v>0</v>
      </c>
      <c r="O8948" t="n">
        <v>0</v>
      </c>
      <c r="P8948" t="n">
        <v>0</v>
      </c>
      <c r="Q8948" t="n">
        <v>0</v>
      </c>
      <c r="R8948" t="n">
        <v>0</v>
      </c>
      <c r="S8948" t="n">
        <v>0</v>
      </c>
      <c r="T8948" t="n">
        <v>0</v>
      </c>
      <c r="U8948" t="n">
        <v>0</v>
      </c>
      <c r="V8948" s="2" t="inlineStr"/>
    </row>
    <row r="8949" ht="15" customHeight="1">
      <c r="A8949" t="inlineStr">
        <is>
          <t>A 28398-2026</t>
        </is>
      </c>
      <c r="B8949" t="inlineStr">
        <is>
          <t>avverkningsanmälan</t>
        </is>
      </c>
      <c r="C8949" t="inlineStr">
        <is>
          <t>Föryngringsavverkning</t>
        </is>
      </c>
      <c r="D8949" s="1" t="n">
        <v>46197</v>
      </c>
      <c r="E8949" s="1" t="n">
        <v>46326</v>
      </c>
      <c r="F8949" t="inlineStr">
        <is>
          <t>GÄVLEBORGS LÄN</t>
        </is>
      </c>
      <c r="G8949" t="inlineStr">
        <is>
          <t>BOLLNÄS</t>
        </is>
      </c>
      <c r="H8949" t="inlineStr">
        <is>
          <t>Bergvik skog väst AB</t>
        </is>
      </c>
      <c r="I8949" t="n">
        <v>2.2</v>
      </c>
      <c r="J8949" t="n">
        <v>0</v>
      </c>
      <c r="K8949" t="n">
        <v>0</v>
      </c>
      <c r="L8949" t="n">
        <v>0</v>
      </c>
      <c r="M8949" t="n">
        <v>0</v>
      </c>
      <c r="N8949" t="n">
        <v>0</v>
      </c>
      <c r="O8949" t="n">
        <v>0</v>
      </c>
      <c r="P8949" t="n">
        <v>0</v>
      </c>
      <c r="Q8949" t="n">
        <v>0</v>
      </c>
      <c r="R8949" t="n">
        <v>0</v>
      </c>
      <c r="S8949" t="n">
        <v>0</v>
      </c>
      <c r="T8949" t="n">
        <v>0</v>
      </c>
      <c r="U8949" t="n">
        <v>0</v>
      </c>
      <c r="V8949" s="2" t="inlineStr"/>
    </row>
    <row r="8950" ht="15" customHeight="1">
      <c r="A8950" t="inlineStr">
        <is>
          <t>A 28439-2026</t>
        </is>
      </c>
      <c r="B8950" t="inlineStr">
        <is>
          <t>avverkningsanmälan</t>
        </is>
      </c>
      <c r="C8950" t="inlineStr">
        <is>
          <t>Föryngringsavverkning</t>
        </is>
      </c>
      <c r="D8950" s="1" t="n">
        <v>46197</v>
      </c>
      <c r="E8950" s="1" t="n">
        <v>46326</v>
      </c>
      <c r="F8950" t="inlineStr">
        <is>
          <t>GÄVLEBORGS LÄN</t>
        </is>
      </c>
      <c r="G8950" t="inlineStr">
        <is>
          <t>BOLLNÄS</t>
        </is>
      </c>
      <c r="I8950" t="n">
        <v>2.2</v>
      </c>
      <c r="J8950" t="n">
        <v>0</v>
      </c>
      <c r="K8950" t="n">
        <v>0</v>
      </c>
      <c r="L8950" t="n">
        <v>0</v>
      </c>
      <c r="M8950" t="n">
        <v>0</v>
      </c>
      <c r="N8950" t="n">
        <v>0</v>
      </c>
      <c r="O8950" t="n">
        <v>0</v>
      </c>
      <c r="P8950" t="n">
        <v>0</v>
      </c>
      <c r="Q8950" t="n">
        <v>0</v>
      </c>
      <c r="R8950" t="n">
        <v>0</v>
      </c>
      <c r="S8950" t="n">
        <v>0</v>
      </c>
      <c r="T8950" t="n">
        <v>0</v>
      </c>
      <c r="U8950" t="n">
        <v>0</v>
      </c>
      <c r="V8950" s="2" t="inlineStr"/>
    </row>
    <row r="8951" ht="15" customHeight="1">
      <c r="A8951" t="inlineStr">
        <is>
          <t>A 28399-2026</t>
        </is>
      </c>
      <c r="B8951" t="inlineStr">
        <is>
          <t>avverkningsanmälan</t>
        </is>
      </c>
      <c r="C8951" t="inlineStr">
        <is>
          <t>Föryngringsavverkning</t>
        </is>
      </c>
      <c r="D8951" s="1" t="n">
        <v>46197</v>
      </c>
      <c r="E8951" s="1" t="n">
        <v>46326</v>
      </c>
      <c r="F8951" t="inlineStr">
        <is>
          <t>GÄVLEBORGS LÄN</t>
        </is>
      </c>
      <c r="G8951" t="inlineStr">
        <is>
          <t>LJUSDAL</t>
        </is>
      </c>
      <c r="I8951" t="n">
        <v>3</v>
      </c>
      <c r="J8951" t="n">
        <v>0</v>
      </c>
      <c r="K8951" t="n">
        <v>0</v>
      </c>
      <c r="L8951" t="n">
        <v>0</v>
      </c>
      <c r="M8951" t="n">
        <v>0</v>
      </c>
      <c r="N8951" t="n">
        <v>0</v>
      </c>
      <c r="O8951" t="n">
        <v>0</v>
      </c>
      <c r="P8951" t="n">
        <v>0</v>
      </c>
      <c r="Q8951" t="n">
        <v>0</v>
      </c>
      <c r="R8951" t="n">
        <v>0</v>
      </c>
      <c r="S8951" t="n">
        <v>0</v>
      </c>
      <c r="T8951" t="n">
        <v>0</v>
      </c>
      <c r="U8951" t="n">
        <v>0</v>
      </c>
      <c r="V8951" s="2" t="inlineStr"/>
    </row>
    <row r="8952" ht="15" customHeight="1">
      <c r="A8952" t="inlineStr">
        <is>
          <t>A 28409-2026</t>
        </is>
      </c>
      <c r="B8952" t="inlineStr">
        <is>
          <t>avverkningsanmälan</t>
        </is>
      </c>
      <c r="C8952" t="inlineStr">
        <is>
          <t>Föryngringsavverkning</t>
        </is>
      </c>
      <c r="D8952" s="1" t="n">
        <v>46197</v>
      </c>
      <c r="E8952" s="1" t="n">
        <v>46326</v>
      </c>
      <c r="F8952" t="inlineStr">
        <is>
          <t>GÄVLEBORGS LÄN</t>
        </is>
      </c>
      <c r="G8952" t="inlineStr">
        <is>
          <t>HUDIKSVALL</t>
        </is>
      </c>
      <c r="H8952" t="inlineStr">
        <is>
          <t>Holmen skog AB</t>
        </is>
      </c>
      <c r="I8952" t="n">
        <v>3.1</v>
      </c>
      <c r="J8952" t="n">
        <v>0</v>
      </c>
      <c r="K8952" t="n">
        <v>0</v>
      </c>
      <c r="L8952" t="n">
        <v>0</v>
      </c>
      <c r="M8952" t="n">
        <v>0</v>
      </c>
      <c r="N8952" t="n">
        <v>0</v>
      </c>
      <c r="O8952" t="n">
        <v>0</v>
      </c>
      <c r="P8952" t="n">
        <v>0</v>
      </c>
      <c r="Q8952" t="n">
        <v>0</v>
      </c>
      <c r="R8952" t="n">
        <v>0</v>
      </c>
      <c r="S8952" t="n">
        <v>0</v>
      </c>
      <c r="T8952" t="n">
        <v>0</v>
      </c>
      <c r="U8952" t="n">
        <v>0</v>
      </c>
      <c r="V8952" s="2" t="inlineStr"/>
    </row>
    <row r="8953" ht="15" customHeight="1">
      <c r="A8953" t="inlineStr">
        <is>
          <t>A 28434-2026</t>
        </is>
      </c>
      <c r="B8953" t="inlineStr">
        <is>
          <t>avverkningsanmälan</t>
        </is>
      </c>
      <c r="C8953" t="inlineStr">
        <is>
          <t>Föryngringsavverkning</t>
        </is>
      </c>
      <c r="D8953" s="1" t="n">
        <v>46197</v>
      </c>
      <c r="E8953" s="1" t="n">
        <v>46326</v>
      </c>
      <c r="F8953" t="inlineStr">
        <is>
          <t>GÄVLEBORGS LÄN</t>
        </is>
      </c>
      <c r="G8953" t="inlineStr">
        <is>
          <t>SÖDERHAMN</t>
        </is>
      </c>
      <c r="I8953" t="n">
        <v>2.8</v>
      </c>
      <c r="J8953" t="n">
        <v>0</v>
      </c>
      <c r="K8953" t="n">
        <v>0</v>
      </c>
      <c r="L8953" t="n">
        <v>0</v>
      </c>
      <c r="M8953" t="n">
        <v>0</v>
      </c>
      <c r="N8953" t="n">
        <v>0</v>
      </c>
      <c r="O8953" t="n">
        <v>0</v>
      </c>
      <c r="P8953" t="n">
        <v>0</v>
      </c>
      <c r="Q8953" t="n">
        <v>0</v>
      </c>
      <c r="R8953" t="n">
        <v>0</v>
      </c>
      <c r="S8953" t="n">
        <v>0</v>
      </c>
      <c r="T8953" t="n">
        <v>0</v>
      </c>
      <c r="U8953" t="n">
        <v>0</v>
      </c>
      <c r="V8953" s="2" t="inlineStr"/>
    </row>
    <row r="8954" ht="15" customHeight="1">
      <c r="A8954" t="inlineStr">
        <is>
          <t>A 28450-2026</t>
        </is>
      </c>
      <c r="B8954" t="inlineStr">
        <is>
          <t>avverkningsanmälan</t>
        </is>
      </c>
      <c r="C8954" t="inlineStr">
        <is>
          <t>Föryngringsavverkning</t>
        </is>
      </c>
      <c r="D8954" s="1" t="n">
        <v>46197</v>
      </c>
      <c r="E8954" s="1" t="n">
        <v>46326</v>
      </c>
      <c r="F8954" t="inlineStr">
        <is>
          <t>GÄVLEBORGS LÄN</t>
        </is>
      </c>
      <c r="G8954" t="inlineStr">
        <is>
          <t>LJUSDAL</t>
        </is>
      </c>
      <c r="H8954" t="inlineStr">
        <is>
          <t>Allmännings- och besparingsskogar</t>
        </is>
      </c>
      <c r="I8954" t="n">
        <v>1.6</v>
      </c>
      <c r="J8954" t="n">
        <v>0</v>
      </c>
      <c r="K8954" t="n">
        <v>0</v>
      </c>
      <c r="L8954" t="n">
        <v>0</v>
      </c>
      <c r="M8954" t="n">
        <v>0</v>
      </c>
      <c r="N8954" t="n">
        <v>0</v>
      </c>
      <c r="O8954" t="n">
        <v>0</v>
      </c>
      <c r="P8954" t="n">
        <v>0</v>
      </c>
      <c r="Q8954" t="n">
        <v>0</v>
      </c>
      <c r="R8954" t="n">
        <v>0</v>
      </c>
      <c r="S8954" t="n">
        <v>0</v>
      </c>
      <c r="T8954" t="n">
        <v>0</v>
      </c>
      <c r="U8954" t="n">
        <v>0</v>
      </c>
      <c r="V8954" s="2" t="inlineStr"/>
    </row>
    <row r="8955" ht="15" customHeight="1">
      <c r="A8955" t="inlineStr">
        <is>
          <t>A 28080-2024</t>
        </is>
      </c>
      <c r="B8955" t="inlineStr">
        <is>
          <t>avverkningsanmälan</t>
        </is>
      </c>
      <c r="C8955" t="inlineStr">
        <is>
          <t>Föryngringsavverkning</t>
        </is>
      </c>
      <c r="D8955" s="1" t="n">
        <v>45476</v>
      </c>
      <c r="E8955" s="1" t="n">
        <v>46326</v>
      </c>
      <c r="F8955" t="inlineStr">
        <is>
          <t>GÄVLEBORGS LÄN</t>
        </is>
      </c>
      <c r="G8955" t="inlineStr">
        <is>
          <t>BOLLNÄS</t>
        </is>
      </c>
      <c r="I8955" t="n">
        <v>1.9</v>
      </c>
      <c r="J8955" t="n">
        <v>0</v>
      </c>
      <c r="K8955" t="n">
        <v>0</v>
      </c>
      <c r="L8955" t="n">
        <v>0</v>
      </c>
      <c r="M8955" t="n">
        <v>0</v>
      </c>
      <c r="N8955" t="n">
        <v>0</v>
      </c>
      <c r="O8955" t="n">
        <v>0</v>
      </c>
      <c r="P8955" t="n">
        <v>0</v>
      </c>
      <c r="Q8955" t="n">
        <v>0</v>
      </c>
      <c r="R8955" t="n">
        <v>0</v>
      </c>
      <c r="S8955" t="n">
        <v>0</v>
      </c>
      <c r="T8955" t="n">
        <v>0</v>
      </c>
      <c r="U8955" t="n">
        <v>0</v>
      </c>
      <c r="V8955" s="2" t="inlineStr"/>
    </row>
    <row r="8956" ht="15" customHeight="1">
      <c r="A8956" t="inlineStr">
        <is>
          <t>A 28484-2026</t>
        </is>
      </c>
      <c r="B8956" t="inlineStr">
        <is>
          <t>avverkningsanmälan</t>
        </is>
      </c>
      <c r="C8956" t="inlineStr">
        <is>
          <t>Föryngringsavverkning</t>
        </is>
      </c>
      <c r="D8956" s="1" t="n">
        <v>46197</v>
      </c>
      <c r="E8956" s="1" t="n">
        <v>46326</v>
      </c>
      <c r="F8956" t="inlineStr">
        <is>
          <t>GÄVLEBORGS LÄN</t>
        </is>
      </c>
      <c r="G8956" t="inlineStr">
        <is>
          <t>OVANÅKER</t>
        </is>
      </c>
      <c r="I8956" t="n">
        <v>1.7</v>
      </c>
      <c r="J8956" t="n">
        <v>0</v>
      </c>
      <c r="K8956" t="n">
        <v>0</v>
      </c>
      <c r="L8956" t="n">
        <v>0</v>
      </c>
      <c r="M8956" t="n">
        <v>0</v>
      </c>
      <c r="N8956" t="n">
        <v>0</v>
      </c>
      <c r="O8956" t="n">
        <v>0</v>
      </c>
      <c r="P8956" t="n">
        <v>0</v>
      </c>
      <c r="Q8956" t="n">
        <v>0</v>
      </c>
      <c r="R8956" t="n">
        <v>0</v>
      </c>
      <c r="S8956" t="n">
        <v>0</v>
      </c>
      <c r="T8956" t="n">
        <v>0</v>
      </c>
      <c r="U8956" t="n">
        <v>0</v>
      </c>
      <c r="V8956" s="2" t="inlineStr"/>
    </row>
    <row r="8957" ht="15" customHeight="1">
      <c r="A8957" t="inlineStr">
        <is>
          <t>A 28426-2026</t>
        </is>
      </c>
      <c r="B8957" t="inlineStr">
        <is>
          <t>avverkningsanmälan</t>
        </is>
      </c>
      <c r="C8957" t="inlineStr">
        <is>
          <t>Föryngringsavverkning</t>
        </is>
      </c>
      <c r="D8957" s="1" t="n">
        <v>46197</v>
      </c>
      <c r="E8957" s="1" t="n">
        <v>46326</v>
      </c>
      <c r="F8957" t="inlineStr">
        <is>
          <t>GÄVLEBORGS LÄN</t>
        </is>
      </c>
      <c r="G8957" t="inlineStr">
        <is>
          <t>SÖDERHAMN</t>
        </is>
      </c>
      <c r="I8957" t="n">
        <v>1.4</v>
      </c>
      <c r="J8957" t="n">
        <v>0</v>
      </c>
      <c r="K8957" t="n">
        <v>0</v>
      </c>
      <c r="L8957" t="n">
        <v>0</v>
      </c>
      <c r="M8957" t="n">
        <v>0</v>
      </c>
      <c r="N8957" t="n">
        <v>0</v>
      </c>
      <c r="O8957" t="n">
        <v>0</v>
      </c>
      <c r="P8957" t="n">
        <v>0</v>
      </c>
      <c r="Q8957" t="n">
        <v>0</v>
      </c>
      <c r="R8957" t="n">
        <v>0</v>
      </c>
      <c r="S8957" t="n">
        <v>0</v>
      </c>
      <c r="T8957" t="n">
        <v>0</v>
      </c>
      <c r="U8957" t="n">
        <v>0</v>
      </c>
      <c r="V8957" s="2" t="inlineStr"/>
    </row>
    <row r="8958" ht="15" customHeight="1">
      <c r="A8958" t="inlineStr">
        <is>
          <t>A 28429-2026</t>
        </is>
      </c>
      <c r="B8958" t="inlineStr">
        <is>
          <t>avverkningsanmälan</t>
        </is>
      </c>
      <c r="C8958" t="inlineStr">
        <is>
          <t>Föryngringsavverkning</t>
        </is>
      </c>
      <c r="D8958" s="1" t="n">
        <v>46197</v>
      </c>
      <c r="E8958" s="1" t="n">
        <v>46326</v>
      </c>
      <c r="F8958" t="inlineStr">
        <is>
          <t>GÄVLEBORGS LÄN</t>
        </is>
      </c>
      <c r="G8958" t="inlineStr">
        <is>
          <t>BOLLNÄS</t>
        </is>
      </c>
      <c r="I8958" t="n">
        <v>2.3</v>
      </c>
      <c r="J8958" t="n">
        <v>0</v>
      </c>
      <c r="K8958" t="n">
        <v>0</v>
      </c>
      <c r="L8958" t="n">
        <v>0</v>
      </c>
      <c r="M8958" t="n">
        <v>0</v>
      </c>
      <c r="N8958" t="n">
        <v>0</v>
      </c>
      <c r="O8958" t="n">
        <v>0</v>
      </c>
      <c r="P8958" t="n">
        <v>0</v>
      </c>
      <c r="Q8958" t="n">
        <v>0</v>
      </c>
      <c r="R8958" t="n">
        <v>0</v>
      </c>
      <c r="S8958" t="n">
        <v>0</v>
      </c>
      <c r="T8958" t="n">
        <v>0</v>
      </c>
      <c r="U8958" t="n">
        <v>0</v>
      </c>
      <c r="V8958" s="2" t="inlineStr"/>
    </row>
    <row r="8959" ht="15" customHeight="1">
      <c r="A8959" t="inlineStr">
        <is>
          <t>A 28828-2026</t>
        </is>
      </c>
      <c r="B8959" t="inlineStr">
        <is>
          <t>avverkningsanmälan</t>
        </is>
      </c>
      <c r="C8959" t="inlineStr">
        <is>
          <t>Föryngringsavverkning</t>
        </is>
      </c>
      <c r="D8959" s="1" t="n">
        <v>46198</v>
      </c>
      <c r="E8959" s="1" t="n">
        <v>46326</v>
      </c>
      <c r="F8959" t="inlineStr">
        <is>
          <t>GÄVLEBORGS LÄN</t>
        </is>
      </c>
      <c r="G8959" t="inlineStr">
        <is>
          <t>BOLLNÄS</t>
        </is>
      </c>
      <c r="I8959" t="n">
        <v>1.7</v>
      </c>
      <c r="J8959" t="n">
        <v>0</v>
      </c>
      <c r="K8959" t="n">
        <v>0</v>
      </c>
      <c r="L8959" t="n">
        <v>0</v>
      </c>
      <c r="M8959" t="n">
        <v>0</v>
      </c>
      <c r="N8959" t="n">
        <v>0</v>
      </c>
      <c r="O8959" t="n">
        <v>0</v>
      </c>
      <c r="P8959" t="n">
        <v>0</v>
      </c>
      <c r="Q8959" t="n">
        <v>0</v>
      </c>
      <c r="R8959" t="n">
        <v>0</v>
      </c>
      <c r="S8959" t="n">
        <v>0</v>
      </c>
      <c r="T8959" t="n">
        <v>0</v>
      </c>
      <c r="U8959" t="n">
        <v>0</v>
      </c>
      <c r="V8959" s="2" t="inlineStr"/>
    </row>
    <row r="8960" ht="15" customHeight="1">
      <c r="A8960" t="inlineStr">
        <is>
          <t>A 28832-2026</t>
        </is>
      </c>
      <c r="B8960" t="inlineStr">
        <is>
          <t>avverkningsanmälan</t>
        </is>
      </c>
      <c r="C8960" t="inlineStr">
        <is>
          <t>Föryngringsavverkning</t>
        </is>
      </c>
      <c r="D8960" s="1" t="n">
        <v>46198</v>
      </c>
      <c r="E8960" s="1" t="n">
        <v>46326</v>
      </c>
      <c r="F8960" t="inlineStr">
        <is>
          <t>GÄVLEBORGS LÄN</t>
        </is>
      </c>
      <c r="G8960" t="inlineStr">
        <is>
          <t>OVANÅKER</t>
        </is>
      </c>
      <c r="I8960" t="n">
        <v>6.9</v>
      </c>
      <c r="J8960" t="n">
        <v>0</v>
      </c>
      <c r="K8960" t="n">
        <v>0</v>
      </c>
      <c r="L8960" t="n">
        <v>0</v>
      </c>
      <c r="M8960" t="n">
        <v>0</v>
      </c>
      <c r="N8960" t="n">
        <v>0</v>
      </c>
      <c r="O8960" t="n">
        <v>0</v>
      </c>
      <c r="P8960" t="n">
        <v>0</v>
      </c>
      <c r="Q8960" t="n">
        <v>0</v>
      </c>
      <c r="R8960" t="n">
        <v>0</v>
      </c>
      <c r="S8960" t="n">
        <v>0</v>
      </c>
      <c r="T8960" t="n">
        <v>0</v>
      </c>
      <c r="U8960" t="n">
        <v>0</v>
      </c>
      <c r="V8960" s="2" t="inlineStr"/>
    </row>
    <row r="8961" ht="15" customHeight="1">
      <c r="A8961" t="inlineStr">
        <is>
          <t>A 3031-2022</t>
        </is>
      </c>
      <c r="B8961" t="inlineStr">
        <is>
          <t>avverkningsanmälan</t>
        </is>
      </c>
      <c r="C8961" t="inlineStr">
        <is>
          <t>Föryngringsavverkning</t>
        </is>
      </c>
      <c r="D8961" s="1" t="n">
        <v>44582</v>
      </c>
      <c r="E8961" s="1" t="n">
        <v>46326</v>
      </c>
      <c r="F8961" t="inlineStr">
        <is>
          <t>GÄVLEBORGS LÄN</t>
        </is>
      </c>
      <c r="G8961" t="inlineStr">
        <is>
          <t>SÖDERHAMN</t>
        </is>
      </c>
      <c r="I8961" t="n">
        <v>1.5</v>
      </c>
      <c r="J8961" t="n">
        <v>0</v>
      </c>
      <c r="K8961" t="n">
        <v>0</v>
      </c>
      <c r="L8961" t="n">
        <v>0</v>
      </c>
      <c r="M8961" t="n">
        <v>0</v>
      </c>
      <c r="N8961" t="n">
        <v>0</v>
      </c>
      <c r="O8961" t="n">
        <v>0</v>
      </c>
      <c r="P8961" t="n">
        <v>0</v>
      </c>
      <c r="Q8961" t="n">
        <v>0</v>
      </c>
      <c r="R8961" t="n">
        <v>0</v>
      </c>
      <c r="S8961" t="n">
        <v>0</v>
      </c>
      <c r="T8961" t="n">
        <v>0</v>
      </c>
      <c r="U8961" t="n">
        <v>0</v>
      </c>
      <c r="V8961" s="2" t="inlineStr"/>
    </row>
    <row r="8962" ht="15" customHeight="1">
      <c r="A8962" t="inlineStr">
        <is>
          <t>A 61918-2023</t>
        </is>
      </c>
      <c r="B8962" t="inlineStr">
        <is>
          <t>avverkningsanmälan</t>
        </is>
      </c>
      <c r="C8962" t="inlineStr">
        <is>
          <t>Föryngringsavverkning</t>
        </is>
      </c>
      <c r="D8962" s="1" t="n">
        <v>45266</v>
      </c>
      <c r="E8962" s="1" t="n">
        <v>46326</v>
      </c>
      <c r="F8962" t="inlineStr">
        <is>
          <t>GÄVLEBORGS LÄN</t>
        </is>
      </c>
      <c r="G8962" t="inlineStr">
        <is>
          <t>GÄVLE</t>
        </is>
      </c>
      <c r="I8962" t="n">
        <v>5.3</v>
      </c>
      <c r="J8962" t="n">
        <v>0</v>
      </c>
      <c r="K8962" t="n">
        <v>0</v>
      </c>
      <c r="L8962" t="n">
        <v>0</v>
      </c>
      <c r="M8962" t="n">
        <v>0</v>
      </c>
      <c r="N8962" t="n">
        <v>0</v>
      </c>
      <c r="O8962" t="n">
        <v>0</v>
      </c>
      <c r="P8962" t="n">
        <v>0</v>
      </c>
      <c r="Q8962" t="n">
        <v>0</v>
      </c>
      <c r="R8962" t="n">
        <v>0</v>
      </c>
      <c r="S8962" t="n">
        <v>0</v>
      </c>
      <c r="T8962" t="n">
        <v>0</v>
      </c>
      <c r="U8962" t="n">
        <v>0</v>
      </c>
      <c r="V8962" s="2" t="inlineStr"/>
    </row>
    <row r="8963" ht="15" customHeight="1">
      <c r="A8963" t="inlineStr">
        <is>
          <t>A 28497-2026</t>
        </is>
      </c>
      <c r="B8963" t="inlineStr">
        <is>
          <t>avverkningsanmälan</t>
        </is>
      </c>
      <c r="C8963" t="inlineStr">
        <is>
          <t>Föryngringsavverkning</t>
        </is>
      </c>
      <c r="D8963" s="1" t="n">
        <v>46197</v>
      </c>
      <c r="E8963" s="1" t="n">
        <v>46326</v>
      </c>
      <c r="F8963" t="inlineStr">
        <is>
          <t>GÄVLEBORGS LÄN</t>
        </is>
      </c>
      <c r="G8963" t="inlineStr">
        <is>
          <t>BOLLNÄS</t>
        </is>
      </c>
      <c r="I8963" t="n">
        <v>1.1</v>
      </c>
      <c r="J8963" t="n">
        <v>0</v>
      </c>
      <c r="K8963" t="n">
        <v>0</v>
      </c>
      <c r="L8963" t="n">
        <v>0</v>
      </c>
      <c r="M8963" t="n">
        <v>0</v>
      </c>
      <c r="N8963" t="n">
        <v>0</v>
      </c>
      <c r="O8963" t="n">
        <v>0</v>
      </c>
      <c r="P8963" t="n">
        <v>0</v>
      </c>
      <c r="Q8963" t="n">
        <v>0</v>
      </c>
      <c r="R8963" t="n">
        <v>0</v>
      </c>
      <c r="S8963" t="n">
        <v>0</v>
      </c>
      <c r="T8963" t="n">
        <v>0</v>
      </c>
      <c r="U8963" t="n">
        <v>0</v>
      </c>
      <c r="V8963" s="2" t="inlineStr"/>
    </row>
    <row r="8964" ht="15" customHeight="1">
      <c r="A8964" t="inlineStr">
        <is>
          <t>A 13822-2024</t>
        </is>
      </c>
      <c r="B8964" t="inlineStr">
        <is>
          <t>avverkningsanmälan</t>
        </is>
      </c>
      <c r="C8964" t="inlineStr">
        <is>
          <t>Föryngringsavverkning</t>
        </is>
      </c>
      <c r="D8964" s="1" t="n">
        <v>45391</v>
      </c>
      <c r="E8964" s="1" t="n">
        <v>46326</v>
      </c>
      <c r="F8964" t="inlineStr">
        <is>
          <t>GÄVLEBORGS LÄN</t>
        </is>
      </c>
      <c r="G8964" t="inlineStr">
        <is>
          <t>LJUSDAL</t>
        </is>
      </c>
      <c r="H8964" t="inlineStr">
        <is>
          <t>Kommuner</t>
        </is>
      </c>
      <c r="I8964" t="n">
        <v>3.8</v>
      </c>
      <c r="J8964" t="n">
        <v>0</v>
      </c>
      <c r="K8964" t="n">
        <v>0</v>
      </c>
      <c r="L8964" t="n">
        <v>0</v>
      </c>
      <c r="M8964" t="n">
        <v>0</v>
      </c>
      <c r="N8964" t="n">
        <v>0</v>
      </c>
      <c r="O8964" t="n">
        <v>0</v>
      </c>
      <c r="P8964" t="n">
        <v>0</v>
      </c>
      <c r="Q8964" t="n">
        <v>0</v>
      </c>
      <c r="R8964" t="n">
        <v>0</v>
      </c>
      <c r="S8964" t="n">
        <v>0</v>
      </c>
      <c r="T8964" t="n">
        <v>0</v>
      </c>
      <c r="U8964" t="n">
        <v>0</v>
      </c>
      <c r="V8964" s="2" t="inlineStr"/>
    </row>
    <row r="8965" ht="15" customHeight="1">
      <c r="A8965" t="inlineStr">
        <is>
          <t>A 31117-2024</t>
        </is>
      </c>
      <c r="B8965" t="inlineStr">
        <is>
          <t>avverkningsanmälan</t>
        </is>
      </c>
      <c r="C8965" t="inlineStr">
        <is>
          <t>Föryngringsavverkning</t>
        </is>
      </c>
      <c r="D8965" s="1" t="n">
        <v>45502</v>
      </c>
      <c r="E8965" s="1" t="n">
        <v>46326</v>
      </c>
      <c r="F8965" t="inlineStr">
        <is>
          <t>GÄVLEBORGS LÄN</t>
        </is>
      </c>
      <c r="G8965" t="inlineStr">
        <is>
          <t>HUDIKSVALL</t>
        </is>
      </c>
      <c r="H8965" t="inlineStr">
        <is>
          <t>Holmen skog AB</t>
        </is>
      </c>
      <c r="I8965" t="n">
        <v>10.9</v>
      </c>
      <c r="J8965" t="n">
        <v>0</v>
      </c>
      <c r="K8965" t="n">
        <v>0</v>
      </c>
      <c r="L8965" t="n">
        <v>0</v>
      </c>
      <c r="M8965" t="n">
        <v>0</v>
      </c>
      <c r="N8965" t="n">
        <v>0</v>
      </c>
      <c r="O8965" t="n">
        <v>0</v>
      </c>
      <c r="P8965" t="n">
        <v>0</v>
      </c>
      <c r="Q8965" t="n">
        <v>0</v>
      </c>
      <c r="R8965" t="n">
        <v>0</v>
      </c>
      <c r="S8965" t="n">
        <v>0</v>
      </c>
      <c r="T8965" t="n">
        <v>0</v>
      </c>
      <c r="U8965" t="n">
        <v>0</v>
      </c>
      <c r="V8965" s="2" t="inlineStr"/>
    </row>
    <row r="8966" ht="15" customHeight="1">
      <c r="A8966" t="inlineStr">
        <is>
          <t>A 28724-2026</t>
        </is>
      </c>
      <c r="B8966" t="inlineStr">
        <is>
          <t>avverkningsanmälan</t>
        </is>
      </c>
      <c r="C8966" t="inlineStr">
        <is>
          <t>Föryngringsavverkning</t>
        </is>
      </c>
      <c r="D8966" s="1" t="n">
        <v>46198</v>
      </c>
      <c r="E8966" s="1" t="n">
        <v>46326</v>
      </c>
      <c r="F8966" t="inlineStr">
        <is>
          <t>GÄVLEBORGS LÄN</t>
        </is>
      </c>
      <c r="G8966" t="inlineStr">
        <is>
          <t>NORDANSTIG</t>
        </is>
      </c>
      <c r="H8966" t="inlineStr">
        <is>
          <t>Holmen skog AB</t>
        </is>
      </c>
      <c r="I8966" t="n">
        <v>6</v>
      </c>
      <c r="J8966" t="n">
        <v>0</v>
      </c>
      <c r="K8966" t="n">
        <v>0</v>
      </c>
      <c r="L8966" t="n">
        <v>0</v>
      </c>
      <c r="M8966" t="n">
        <v>0</v>
      </c>
      <c r="N8966" t="n">
        <v>0</v>
      </c>
      <c r="O8966" t="n">
        <v>0</v>
      </c>
      <c r="P8966" t="n">
        <v>0</v>
      </c>
      <c r="Q8966" t="n">
        <v>0</v>
      </c>
      <c r="R8966" t="n">
        <v>0</v>
      </c>
      <c r="S8966" t="n">
        <v>0</v>
      </c>
      <c r="T8966" t="n">
        <v>0</v>
      </c>
      <c r="U8966" t="n">
        <v>0</v>
      </c>
      <c r="V8966" s="2" t="inlineStr"/>
    </row>
    <row r="8967" ht="15" customHeight="1">
      <c r="A8967" t="inlineStr">
        <is>
          <t>A 28744-2026</t>
        </is>
      </c>
      <c r="B8967" t="inlineStr">
        <is>
          <t>avverkningsanmälan</t>
        </is>
      </c>
      <c r="C8967" t="inlineStr">
        <is>
          <t>Föryngringsavverkning</t>
        </is>
      </c>
      <c r="D8967" s="1" t="n">
        <v>46198</v>
      </c>
      <c r="E8967" s="1" t="n">
        <v>46326</v>
      </c>
      <c r="F8967" t="inlineStr">
        <is>
          <t>GÄVLEBORGS LÄN</t>
        </is>
      </c>
      <c r="G8967" t="inlineStr">
        <is>
          <t>LJUSDAL</t>
        </is>
      </c>
      <c r="I8967" t="n">
        <v>2.8</v>
      </c>
      <c r="J8967" t="n">
        <v>0</v>
      </c>
      <c r="K8967" t="n">
        <v>0</v>
      </c>
      <c r="L8967" t="n">
        <v>0</v>
      </c>
      <c r="M8967" t="n">
        <v>0</v>
      </c>
      <c r="N8967" t="n">
        <v>0</v>
      </c>
      <c r="O8967" t="n">
        <v>0</v>
      </c>
      <c r="P8967" t="n">
        <v>0</v>
      </c>
      <c r="Q8967" t="n">
        <v>0</v>
      </c>
      <c r="R8967" t="n">
        <v>0</v>
      </c>
      <c r="S8967" t="n">
        <v>0</v>
      </c>
      <c r="T8967" t="n">
        <v>0</v>
      </c>
      <c r="U8967" t="n">
        <v>0</v>
      </c>
      <c r="V8967" s="2" t="inlineStr"/>
    </row>
    <row r="8968" ht="15" customHeight="1">
      <c r="A8968" t="inlineStr">
        <is>
          <t>A 31119-2024</t>
        </is>
      </c>
      <c r="B8968" t="inlineStr">
        <is>
          <t>avverkningsanmälan</t>
        </is>
      </c>
      <c r="C8968" t="inlineStr">
        <is>
          <t>Föryngringsavverkning</t>
        </is>
      </c>
      <c r="D8968" s="1" t="n">
        <v>45502</v>
      </c>
      <c r="E8968" s="1" t="n">
        <v>46326</v>
      </c>
      <c r="F8968" t="inlineStr">
        <is>
          <t>GÄVLEBORGS LÄN</t>
        </is>
      </c>
      <c r="G8968" t="inlineStr">
        <is>
          <t>HUDIKSVALL</t>
        </is>
      </c>
      <c r="H8968" t="inlineStr">
        <is>
          <t>Holmen skog AB</t>
        </is>
      </c>
      <c r="I8968" t="n">
        <v>3.1</v>
      </c>
      <c r="J8968" t="n">
        <v>0</v>
      </c>
      <c r="K8968" t="n">
        <v>0</v>
      </c>
      <c r="L8968" t="n">
        <v>0</v>
      </c>
      <c r="M8968" t="n">
        <v>0</v>
      </c>
      <c r="N8968" t="n">
        <v>0</v>
      </c>
      <c r="O8968" t="n">
        <v>0</v>
      </c>
      <c r="P8968" t="n">
        <v>0</v>
      </c>
      <c r="Q8968" t="n">
        <v>0</v>
      </c>
      <c r="R8968" t="n">
        <v>0</v>
      </c>
      <c r="S8968" t="n">
        <v>0</v>
      </c>
      <c r="T8968" t="n">
        <v>0</v>
      </c>
      <c r="U8968" t="n">
        <v>0</v>
      </c>
      <c r="V8968" s="2" t="inlineStr"/>
    </row>
    <row r="8969" ht="15" customHeight="1">
      <c r="A8969" t="inlineStr">
        <is>
          <t>A 13829-2024</t>
        </is>
      </c>
      <c r="B8969" t="inlineStr">
        <is>
          <t>avverkningsanmälan</t>
        </is>
      </c>
      <c r="C8969" t="inlineStr">
        <is>
          <t>Föryngringsavverkning</t>
        </is>
      </c>
      <c r="D8969" s="1" t="n">
        <v>45391</v>
      </c>
      <c r="E8969" s="1" t="n">
        <v>46326</v>
      </c>
      <c r="F8969" t="inlineStr">
        <is>
          <t>GÄVLEBORGS LÄN</t>
        </is>
      </c>
      <c r="G8969" t="inlineStr">
        <is>
          <t>LJUSDAL</t>
        </is>
      </c>
      <c r="H8969" t="inlineStr">
        <is>
          <t>Kommuner</t>
        </is>
      </c>
      <c r="I8969" t="n">
        <v>0.7</v>
      </c>
      <c r="J8969" t="n">
        <v>0</v>
      </c>
      <c r="K8969" t="n">
        <v>0</v>
      </c>
      <c r="L8969" t="n">
        <v>0</v>
      </c>
      <c r="M8969" t="n">
        <v>0</v>
      </c>
      <c r="N8969" t="n">
        <v>0</v>
      </c>
      <c r="O8969" t="n">
        <v>0</v>
      </c>
      <c r="P8969" t="n">
        <v>0</v>
      </c>
      <c r="Q8969" t="n">
        <v>0</v>
      </c>
      <c r="R8969" t="n">
        <v>0</v>
      </c>
      <c r="S8969" t="n">
        <v>0</v>
      </c>
      <c r="T8969" t="n">
        <v>0</v>
      </c>
      <c r="U8969" t="n">
        <v>0</v>
      </c>
      <c r="V8969" s="2" t="inlineStr"/>
    </row>
    <row r="8970" ht="15" customHeight="1">
      <c r="A8970" t="inlineStr">
        <is>
          <t>A 28655-2026</t>
        </is>
      </c>
      <c r="B8970" t="inlineStr">
        <is>
          <t>avverkningsanmälan</t>
        </is>
      </c>
      <c r="C8970" t="inlineStr">
        <is>
          <t>Föryngringsavverkning</t>
        </is>
      </c>
      <c r="D8970" s="1" t="n">
        <v>46198</v>
      </c>
      <c r="E8970" s="1" t="n">
        <v>46326</v>
      </c>
      <c r="F8970" t="inlineStr">
        <is>
          <t>GÄVLEBORGS LÄN</t>
        </is>
      </c>
      <c r="G8970" t="inlineStr">
        <is>
          <t>GÄVLE</t>
        </is>
      </c>
      <c r="H8970" t="inlineStr">
        <is>
          <t>Bergvik skog öst AB</t>
        </is>
      </c>
      <c r="I8970" t="n">
        <v>1.6</v>
      </c>
      <c r="J8970" t="n">
        <v>0</v>
      </c>
      <c r="K8970" t="n">
        <v>0</v>
      </c>
      <c r="L8970" t="n">
        <v>0</v>
      </c>
      <c r="M8970" t="n">
        <v>0</v>
      </c>
      <c r="N8970" t="n">
        <v>0</v>
      </c>
      <c r="O8970" t="n">
        <v>0</v>
      </c>
      <c r="P8970" t="n">
        <v>0</v>
      </c>
      <c r="Q8970" t="n">
        <v>0</v>
      </c>
      <c r="R8970" t="n">
        <v>0</v>
      </c>
      <c r="S8970" t="n">
        <v>0</v>
      </c>
      <c r="T8970" t="n">
        <v>0</v>
      </c>
      <c r="U8970" t="n">
        <v>0</v>
      </c>
      <c r="V8970" s="2" t="inlineStr"/>
    </row>
    <row r="8971" ht="15" customHeight="1">
      <c r="A8971" t="inlineStr">
        <is>
          <t>A 28657-2026</t>
        </is>
      </c>
      <c r="B8971" t="inlineStr">
        <is>
          <t>avverkningsanmälan</t>
        </is>
      </c>
      <c r="C8971" t="inlineStr">
        <is>
          <t>Föryngringsavverkning</t>
        </is>
      </c>
      <c r="D8971" s="1" t="n">
        <v>46198</v>
      </c>
      <c r="E8971" s="1" t="n">
        <v>46326</v>
      </c>
      <c r="F8971" t="inlineStr">
        <is>
          <t>GÄVLEBORGS LÄN</t>
        </is>
      </c>
      <c r="G8971" t="inlineStr">
        <is>
          <t>GÄVLE</t>
        </is>
      </c>
      <c r="H8971" t="inlineStr">
        <is>
          <t>Bergvik skog öst AB</t>
        </is>
      </c>
      <c r="I8971" t="n">
        <v>0.7</v>
      </c>
      <c r="J8971" t="n">
        <v>0</v>
      </c>
      <c r="K8971" t="n">
        <v>0</v>
      </c>
      <c r="L8971" t="n">
        <v>0</v>
      </c>
      <c r="M8971" t="n">
        <v>0</v>
      </c>
      <c r="N8971" t="n">
        <v>0</v>
      </c>
      <c r="O8971" t="n">
        <v>0</v>
      </c>
      <c r="P8971" t="n">
        <v>0</v>
      </c>
      <c r="Q8971" t="n">
        <v>0</v>
      </c>
      <c r="R8971" t="n">
        <v>0</v>
      </c>
      <c r="S8971" t="n">
        <v>0</v>
      </c>
      <c r="T8971" t="n">
        <v>0</v>
      </c>
      <c r="U8971" t="n">
        <v>0</v>
      </c>
      <c r="V8971" s="2" t="inlineStr"/>
    </row>
    <row r="8972" ht="15" customHeight="1">
      <c r="A8972" t="inlineStr">
        <is>
          <t>A 28658-2026</t>
        </is>
      </c>
      <c r="B8972" t="inlineStr">
        <is>
          <t>avverkningsanmälan</t>
        </is>
      </c>
      <c r="C8972" t="inlineStr">
        <is>
          <t>Föryngringsavverkning</t>
        </is>
      </c>
      <c r="D8972" s="1" t="n">
        <v>46198</v>
      </c>
      <c r="E8972" s="1" t="n">
        <v>46326</v>
      </c>
      <c r="F8972" t="inlineStr">
        <is>
          <t>GÄVLEBORGS LÄN</t>
        </is>
      </c>
      <c r="G8972" t="inlineStr">
        <is>
          <t>GÄVLE</t>
        </is>
      </c>
      <c r="H8972" t="inlineStr">
        <is>
          <t>Bergvik skog öst AB</t>
        </is>
      </c>
      <c r="I8972" t="n">
        <v>2.2</v>
      </c>
      <c r="J8972" t="n">
        <v>0</v>
      </c>
      <c r="K8972" t="n">
        <v>0</v>
      </c>
      <c r="L8972" t="n">
        <v>0</v>
      </c>
      <c r="M8972" t="n">
        <v>0</v>
      </c>
      <c r="N8972" t="n">
        <v>0</v>
      </c>
      <c r="O8972" t="n">
        <v>0</v>
      </c>
      <c r="P8972" t="n">
        <v>0</v>
      </c>
      <c r="Q8972" t="n">
        <v>0</v>
      </c>
      <c r="R8972" t="n">
        <v>0</v>
      </c>
      <c r="S8972" t="n">
        <v>0</v>
      </c>
      <c r="T8972" t="n">
        <v>0</v>
      </c>
      <c r="U8972" t="n">
        <v>0</v>
      </c>
      <c r="V8972" s="2" t="inlineStr"/>
    </row>
    <row r="8973" ht="15" customHeight="1">
      <c r="A8973" t="inlineStr">
        <is>
          <t>A 28739-2026</t>
        </is>
      </c>
      <c r="B8973" t="inlineStr">
        <is>
          <t>avverkningsanmälan</t>
        </is>
      </c>
      <c r="C8973" t="inlineStr">
        <is>
          <t>Avverkning för annat ändamål</t>
        </is>
      </c>
      <c r="D8973" s="1" t="n">
        <v>46198</v>
      </c>
      <c r="E8973" s="1" t="n">
        <v>46326</v>
      </c>
      <c r="F8973" t="inlineStr">
        <is>
          <t>GÄVLEBORGS LÄN</t>
        </is>
      </c>
      <c r="G8973" t="inlineStr">
        <is>
          <t>NORDANSTIG</t>
        </is>
      </c>
      <c r="I8973" t="n">
        <v>1.7</v>
      </c>
      <c r="J8973" t="n">
        <v>0</v>
      </c>
      <c r="K8973" t="n">
        <v>0</v>
      </c>
      <c r="L8973" t="n">
        <v>0</v>
      </c>
      <c r="M8973" t="n">
        <v>0</v>
      </c>
      <c r="N8973" t="n">
        <v>0</v>
      </c>
      <c r="O8973" t="n">
        <v>0</v>
      </c>
      <c r="P8973" t="n">
        <v>0</v>
      </c>
      <c r="Q8973" t="n">
        <v>0</v>
      </c>
      <c r="R8973" t="n">
        <v>0</v>
      </c>
      <c r="S8973" t="n">
        <v>0</v>
      </c>
      <c r="T8973" t="n">
        <v>0</v>
      </c>
      <c r="U8973" t="n">
        <v>0</v>
      </c>
      <c r="V8973" s="2" t="inlineStr"/>
    </row>
    <row r="8974" ht="15" customHeight="1">
      <c r="A8974" t="inlineStr">
        <is>
          <t>A 4783-2025</t>
        </is>
      </c>
      <c r="B8974" t="inlineStr">
        <is>
          <t>avverkningsanmälan</t>
        </is>
      </c>
      <c r="C8974" t="inlineStr">
        <is>
          <t>Föryngringsavverkning</t>
        </is>
      </c>
      <c r="D8974" s="1" t="n">
        <v>45688</v>
      </c>
      <c r="E8974" s="1" t="n">
        <v>46326</v>
      </c>
      <c r="F8974" t="inlineStr">
        <is>
          <t>GÄVLEBORGS LÄN</t>
        </is>
      </c>
      <c r="G8974" t="inlineStr">
        <is>
          <t>SANDVIKEN</t>
        </is>
      </c>
      <c r="I8974" t="n">
        <v>0.7</v>
      </c>
      <c r="J8974" t="n">
        <v>0</v>
      </c>
      <c r="K8974" t="n">
        <v>0</v>
      </c>
      <c r="L8974" t="n">
        <v>0</v>
      </c>
      <c r="M8974" t="n">
        <v>0</v>
      </c>
      <c r="N8974" t="n">
        <v>0</v>
      </c>
      <c r="O8974" t="n">
        <v>0</v>
      </c>
      <c r="P8974" t="n">
        <v>0</v>
      </c>
      <c r="Q8974" t="n">
        <v>0</v>
      </c>
      <c r="R8974" t="n">
        <v>0</v>
      </c>
      <c r="S8974" t="n">
        <v>0</v>
      </c>
      <c r="T8974" t="n">
        <v>0</v>
      </c>
      <c r="U8974" t="n">
        <v>0</v>
      </c>
      <c r="V8974" s="2" t="inlineStr"/>
    </row>
    <row r="8975" ht="15" customHeight="1">
      <c r="A8975" t="inlineStr">
        <is>
          <t>A 25821-2026</t>
        </is>
      </c>
      <c r="B8975" t="inlineStr">
        <is>
          <t>avverkningsanmälan</t>
        </is>
      </c>
      <c r="C8975" t="inlineStr">
        <is>
          <t>Föryngringsavverkning</t>
        </is>
      </c>
      <c r="D8975" s="1" t="n">
        <v>46178</v>
      </c>
      <c r="E8975" s="1" t="n">
        <v>46326</v>
      </c>
      <c r="F8975" t="inlineStr">
        <is>
          <t>GÄVLEBORGS LÄN</t>
        </is>
      </c>
      <c r="G8975" t="inlineStr">
        <is>
          <t>NORDANSTIG</t>
        </is>
      </c>
      <c r="I8975" t="n">
        <v>11.2</v>
      </c>
      <c r="J8975" t="n">
        <v>0</v>
      </c>
      <c r="K8975" t="n">
        <v>0</v>
      </c>
      <c r="L8975" t="n">
        <v>0</v>
      </c>
      <c r="M8975" t="n">
        <v>0</v>
      </c>
      <c r="N8975" t="n">
        <v>0</v>
      </c>
      <c r="O8975" t="n">
        <v>0</v>
      </c>
      <c r="P8975" t="n">
        <v>0</v>
      </c>
      <c r="Q8975" t="n">
        <v>0</v>
      </c>
      <c r="R8975" t="n">
        <v>0</v>
      </c>
      <c r="S8975" t="n">
        <v>0</v>
      </c>
      <c r="T8975" t="n">
        <v>0</v>
      </c>
      <c r="U8975" t="n">
        <v>0</v>
      </c>
      <c r="V8975" s="2" t="inlineStr"/>
    </row>
    <row r="8976" ht="15" customHeight="1">
      <c r="A8976" t="inlineStr">
        <is>
          <t>A 17245-2024</t>
        </is>
      </c>
      <c r="B8976" t="inlineStr">
        <is>
          <t>avverkningsanmälan</t>
        </is>
      </c>
      <c r="C8976" t="inlineStr">
        <is>
          <t>Avverkning för annat ändamål</t>
        </is>
      </c>
      <c r="D8976" s="1" t="n">
        <v>45414</v>
      </c>
      <c r="E8976" s="1" t="n">
        <v>46326</v>
      </c>
      <c r="F8976" t="inlineStr">
        <is>
          <t>GÄVLEBORGS LÄN</t>
        </is>
      </c>
      <c r="G8976" t="inlineStr">
        <is>
          <t>GÄVLE</t>
        </is>
      </c>
      <c r="I8976" t="n">
        <v>0.6</v>
      </c>
      <c r="J8976" t="n">
        <v>0</v>
      </c>
      <c r="K8976" t="n">
        <v>0</v>
      </c>
      <c r="L8976" t="n">
        <v>0</v>
      </c>
      <c r="M8976" t="n">
        <v>0</v>
      </c>
      <c r="N8976" t="n">
        <v>0</v>
      </c>
      <c r="O8976" t="n">
        <v>0</v>
      </c>
      <c r="P8976" t="n">
        <v>0</v>
      </c>
      <c r="Q8976" t="n">
        <v>0</v>
      </c>
      <c r="R8976" t="n">
        <v>0</v>
      </c>
      <c r="S8976" t="n">
        <v>0</v>
      </c>
      <c r="T8976" t="n">
        <v>0</v>
      </c>
      <c r="U8976" t="n">
        <v>0</v>
      </c>
      <c r="V8976" s="2" t="inlineStr"/>
    </row>
    <row r="8977" ht="15" customHeight="1">
      <c r="A8977" t="inlineStr">
        <is>
          <t>A 28798-2026</t>
        </is>
      </c>
      <c r="B8977" t="inlineStr">
        <is>
          <t>avverkningsanmälan</t>
        </is>
      </c>
      <c r="C8977" t="inlineStr">
        <is>
          <t>Föryngringsavverkning</t>
        </is>
      </c>
      <c r="D8977" s="1" t="n">
        <v>46198</v>
      </c>
      <c r="E8977" s="1" t="n">
        <v>46326</v>
      </c>
      <c r="F8977" t="inlineStr">
        <is>
          <t>GÄVLEBORGS LÄN</t>
        </is>
      </c>
      <c r="G8977" t="inlineStr">
        <is>
          <t>HUDIKSVALL</t>
        </is>
      </c>
      <c r="I8977" t="n">
        <v>0.9</v>
      </c>
      <c r="J8977" t="n">
        <v>0</v>
      </c>
      <c r="K8977" t="n">
        <v>0</v>
      </c>
      <c r="L8977" t="n">
        <v>0</v>
      </c>
      <c r="M8977" t="n">
        <v>0</v>
      </c>
      <c r="N8977" t="n">
        <v>0</v>
      </c>
      <c r="O8977" t="n">
        <v>0</v>
      </c>
      <c r="P8977" t="n">
        <v>0</v>
      </c>
      <c r="Q8977" t="n">
        <v>0</v>
      </c>
      <c r="R8977" t="n">
        <v>0</v>
      </c>
      <c r="S8977" t="n">
        <v>0</v>
      </c>
      <c r="T8977" t="n">
        <v>0</v>
      </c>
      <c r="U8977" t="n">
        <v>0</v>
      </c>
      <c r="V8977" s="2" t="inlineStr"/>
    </row>
    <row r="8978" ht="15" customHeight="1">
      <c r="A8978" t="inlineStr">
        <is>
          <t>A 28529-2026</t>
        </is>
      </c>
      <c r="B8978" t="inlineStr">
        <is>
          <t>avverkningsanmälan</t>
        </is>
      </c>
      <c r="C8978" t="inlineStr">
        <is>
          <t>Föryngringsavverkning</t>
        </is>
      </c>
      <c r="D8978" s="1" t="n">
        <v>46197</v>
      </c>
      <c r="E8978" s="1" t="n">
        <v>46326</v>
      </c>
      <c r="F8978" t="inlineStr">
        <is>
          <t>GÄVLEBORGS LÄN</t>
        </is>
      </c>
      <c r="G8978" t="inlineStr">
        <is>
          <t>NORDANSTIG</t>
        </is>
      </c>
      <c r="I8978" t="n">
        <v>1.4</v>
      </c>
      <c r="J8978" t="n">
        <v>0</v>
      </c>
      <c r="K8978" t="n">
        <v>0</v>
      </c>
      <c r="L8978" t="n">
        <v>0</v>
      </c>
      <c r="M8978" t="n">
        <v>0</v>
      </c>
      <c r="N8978" t="n">
        <v>0</v>
      </c>
      <c r="O8978" t="n">
        <v>0</v>
      </c>
      <c r="P8978" t="n">
        <v>0</v>
      </c>
      <c r="Q8978" t="n">
        <v>0</v>
      </c>
      <c r="R8978" t="n">
        <v>0</v>
      </c>
      <c r="S8978" t="n">
        <v>0</v>
      </c>
      <c r="T8978" t="n">
        <v>0</v>
      </c>
      <c r="U8978" t="n">
        <v>0</v>
      </c>
      <c r="V8978" s="2" t="inlineStr"/>
    </row>
    <row r="8979" ht="15" customHeight="1">
      <c r="A8979" t="inlineStr">
        <is>
          <t>A 28535-2026</t>
        </is>
      </c>
      <c r="B8979" t="inlineStr">
        <is>
          <t>avverkningsanmälan</t>
        </is>
      </c>
      <c r="C8979" t="inlineStr">
        <is>
          <t>Föryngringsavverkning</t>
        </is>
      </c>
      <c r="D8979" s="1" t="n">
        <v>46197</v>
      </c>
      <c r="E8979" s="1" t="n">
        <v>46326</v>
      </c>
      <c r="F8979" t="inlineStr">
        <is>
          <t>GÄVLEBORGS LÄN</t>
        </is>
      </c>
      <c r="G8979" t="inlineStr">
        <is>
          <t>OVANÅKER</t>
        </is>
      </c>
      <c r="I8979" t="n">
        <v>4.4</v>
      </c>
      <c r="J8979" t="n">
        <v>0</v>
      </c>
      <c r="K8979" t="n">
        <v>0</v>
      </c>
      <c r="L8979" t="n">
        <v>0</v>
      </c>
      <c r="M8979" t="n">
        <v>0</v>
      </c>
      <c r="N8979" t="n">
        <v>0</v>
      </c>
      <c r="O8979" t="n">
        <v>0</v>
      </c>
      <c r="P8979" t="n">
        <v>0</v>
      </c>
      <c r="Q8979" t="n">
        <v>0</v>
      </c>
      <c r="R8979" t="n">
        <v>0</v>
      </c>
      <c r="S8979" t="n">
        <v>0</v>
      </c>
      <c r="T8979" t="n">
        <v>0</v>
      </c>
      <c r="U8979" t="n">
        <v>0</v>
      </c>
      <c r="V8979" s="2" t="inlineStr"/>
    </row>
    <row r="8980" ht="15" customHeight="1">
      <c r="A8980" t="inlineStr">
        <is>
          <t>A 28539-2026</t>
        </is>
      </c>
      <c r="B8980" t="inlineStr">
        <is>
          <t>avverkningsanmälan</t>
        </is>
      </c>
      <c r="C8980" t="inlineStr">
        <is>
          <t>Föryngringsavverkning</t>
        </is>
      </c>
      <c r="D8980" s="1" t="n">
        <v>46197</v>
      </c>
      <c r="E8980" s="1" t="n">
        <v>46326</v>
      </c>
      <c r="F8980" t="inlineStr">
        <is>
          <t>GÄVLEBORGS LÄN</t>
        </is>
      </c>
      <c r="G8980" t="inlineStr">
        <is>
          <t>HUDIKSVALL</t>
        </is>
      </c>
      <c r="I8980" t="n">
        <v>4.3</v>
      </c>
      <c r="J8980" t="n">
        <v>0</v>
      </c>
      <c r="K8980" t="n">
        <v>0</v>
      </c>
      <c r="L8980" t="n">
        <v>0</v>
      </c>
      <c r="M8980" t="n">
        <v>0</v>
      </c>
      <c r="N8980" t="n">
        <v>0</v>
      </c>
      <c r="O8980" t="n">
        <v>0</v>
      </c>
      <c r="P8980" t="n">
        <v>0</v>
      </c>
      <c r="Q8980" t="n">
        <v>0</v>
      </c>
      <c r="R8980" t="n">
        <v>0</v>
      </c>
      <c r="S8980" t="n">
        <v>0</v>
      </c>
      <c r="T8980" t="n">
        <v>0</v>
      </c>
      <c r="U8980" t="n">
        <v>0</v>
      </c>
      <c r="V8980" s="2" t="inlineStr"/>
    </row>
    <row r="8981" ht="15" customHeight="1">
      <c r="A8981" t="inlineStr">
        <is>
          <t>A 18576-2024</t>
        </is>
      </c>
      <c r="B8981" t="inlineStr">
        <is>
          <t>avverkningsanmälan</t>
        </is>
      </c>
      <c r="C8981" t="inlineStr">
        <is>
          <t>Föryngringsavverkning</t>
        </is>
      </c>
      <c r="D8981" s="1" t="n">
        <v>45425</v>
      </c>
      <c r="E8981" s="1" t="n">
        <v>46326</v>
      </c>
      <c r="F8981" t="inlineStr">
        <is>
          <t>GÄVLEBORGS LÄN</t>
        </is>
      </c>
      <c r="G8981" t="inlineStr">
        <is>
          <t>LJUSDAL</t>
        </is>
      </c>
      <c r="I8981" t="n">
        <v>0.7</v>
      </c>
      <c r="J8981" t="n">
        <v>0</v>
      </c>
      <c r="K8981" t="n">
        <v>0</v>
      </c>
      <c r="L8981" t="n">
        <v>0</v>
      </c>
      <c r="M8981" t="n">
        <v>0</v>
      </c>
      <c r="N8981" t="n">
        <v>0</v>
      </c>
      <c r="O8981" t="n">
        <v>0</v>
      </c>
      <c r="P8981" t="n">
        <v>0</v>
      </c>
      <c r="Q8981" t="n">
        <v>0</v>
      </c>
      <c r="R8981" t="n">
        <v>0</v>
      </c>
      <c r="S8981" t="n">
        <v>0</v>
      </c>
      <c r="T8981" t="n">
        <v>0</v>
      </c>
      <c r="U8981" t="n">
        <v>0</v>
      </c>
      <c r="V8981" s="2" t="inlineStr"/>
    </row>
    <row r="8982" ht="15" customHeight="1">
      <c r="A8982" t="inlineStr">
        <is>
          <t>A 15454-2025</t>
        </is>
      </c>
      <c r="B8982" t="inlineStr">
        <is>
          <t>avverkningsanmälan</t>
        </is>
      </c>
      <c r="C8982" t="inlineStr">
        <is>
          <t>Föryngringsavverkning</t>
        </is>
      </c>
      <c r="D8982" s="1" t="n">
        <v>45747</v>
      </c>
      <c r="E8982" s="1" t="n">
        <v>46326</v>
      </c>
      <c r="F8982" t="inlineStr">
        <is>
          <t>GÄVLEBORGS LÄN</t>
        </is>
      </c>
      <c r="G8982" t="inlineStr">
        <is>
          <t>SÖDERHAMN</t>
        </is>
      </c>
      <c r="I8982" t="n">
        <v>6.2</v>
      </c>
      <c r="J8982" t="n">
        <v>0</v>
      </c>
      <c r="K8982" t="n">
        <v>0</v>
      </c>
      <c r="L8982" t="n">
        <v>0</v>
      </c>
      <c r="M8982" t="n">
        <v>0</v>
      </c>
      <c r="N8982" t="n">
        <v>0</v>
      </c>
      <c r="O8982" t="n">
        <v>0</v>
      </c>
      <c r="P8982" t="n">
        <v>0</v>
      </c>
      <c r="Q8982" t="n">
        <v>0</v>
      </c>
      <c r="R8982" t="n">
        <v>0</v>
      </c>
      <c r="S8982" t="n">
        <v>0</v>
      </c>
      <c r="T8982" t="n">
        <v>0</v>
      </c>
      <c r="U8982" t="n">
        <v>0</v>
      </c>
      <c r="V8982" s="2" t="inlineStr"/>
    </row>
    <row r="8983" ht="15" customHeight="1">
      <c r="A8983" t="inlineStr">
        <is>
          <t>A 28400-2026</t>
        </is>
      </c>
      <c r="B8983" t="inlineStr">
        <is>
          <t>avverkningsanmälan</t>
        </is>
      </c>
      <c r="C8983" t="inlineStr">
        <is>
          <t>Föryngringsavverkning</t>
        </is>
      </c>
      <c r="D8983" s="1" t="n">
        <v>46197</v>
      </c>
      <c r="E8983" s="1" t="n">
        <v>46326</v>
      </c>
      <c r="F8983" t="inlineStr">
        <is>
          <t>GÄVLEBORGS LÄN</t>
        </is>
      </c>
      <c r="G8983" t="inlineStr">
        <is>
          <t>LJUSDAL</t>
        </is>
      </c>
      <c r="I8983" t="n">
        <v>1.4</v>
      </c>
      <c r="J8983" t="n">
        <v>0</v>
      </c>
      <c r="K8983" t="n">
        <v>0</v>
      </c>
      <c r="L8983" t="n">
        <v>0</v>
      </c>
      <c r="M8983" t="n">
        <v>0</v>
      </c>
      <c r="N8983" t="n">
        <v>0</v>
      </c>
      <c r="O8983" t="n">
        <v>0</v>
      </c>
      <c r="P8983" t="n">
        <v>0</v>
      </c>
      <c r="Q8983" t="n">
        <v>0</v>
      </c>
      <c r="R8983" t="n">
        <v>0</v>
      </c>
      <c r="S8983" t="n">
        <v>0</v>
      </c>
      <c r="T8983" t="n">
        <v>0</v>
      </c>
      <c r="U8983" t="n">
        <v>0</v>
      </c>
      <c r="V8983" s="2" t="inlineStr"/>
    </row>
    <row r="8984" ht="15" customHeight="1">
      <c r="A8984" t="inlineStr">
        <is>
          <t>A 61431-2023</t>
        </is>
      </c>
      <c r="B8984" t="inlineStr">
        <is>
          <t>avverkningsanmälan</t>
        </is>
      </c>
      <c r="C8984" t="inlineStr">
        <is>
          <t>Föryngringsavverkning</t>
        </is>
      </c>
      <c r="D8984" s="1" t="n">
        <v>45264</v>
      </c>
      <c r="E8984" s="1" t="n">
        <v>46326</v>
      </c>
      <c r="F8984" t="inlineStr">
        <is>
          <t>GÄVLEBORGS LÄN</t>
        </is>
      </c>
      <c r="G8984" t="inlineStr">
        <is>
          <t>LJUSDAL</t>
        </is>
      </c>
      <c r="I8984" t="n">
        <v>5.9</v>
      </c>
      <c r="J8984" t="n">
        <v>0</v>
      </c>
      <c r="K8984" t="n">
        <v>0</v>
      </c>
      <c r="L8984" t="n">
        <v>0</v>
      </c>
      <c r="M8984" t="n">
        <v>0</v>
      </c>
      <c r="N8984" t="n">
        <v>0</v>
      </c>
      <c r="O8984" t="n">
        <v>0</v>
      </c>
      <c r="P8984" t="n">
        <v>0</v>
      </c>
      <c r="Q8984" t="n">
        <v>0</v>
      </c>
      <c r="R8984" t="n">
        <v>0</v>
      </c>
      <c r="S8984" t="n">
        <v>0</v>
      </c>
      <c r="T8984" t="n">
        <v>0</v>
      </c>
      <c r="U8984" t="n">
        <v>0</v>
      </c>
      <c r="V8984" s="2" t="inlineStr"/>
    </row>
    <row r="8985" ht="15" customHeight="1">
      <c r="A8985" t="inlineStr">
        <is>
          <t>A 37837-2024</t>
        </is>
      </c>
      <c r="B8985" t="inlineStr">
        <is>
          <t>avverkningsanmälan</t>
        </is>
      </c>
      <c r="C8985" t="inlineStr">
        <is>
          <t>Föryngringsavverkning</t>
        </is>
      </c>
      <c r="D8985" s="1" t="n">
        <v>45544</v>
      </c>
      <c r="E8985" s="1" t="n">
        <v>46326</v>
      </c>
      <c r="F8985" t="inlineStr">
        <is>
          <t>GÄVLEBORGS LÄN</t>
        </is>
      </c>
      <c r="G8985" t="inlineStr">
        <is>
          <t>SÖDERHAMN</t>
        </is>
      </c>
      <c r="I8985" t="n">
        <v>2.1</v>
      </c>
      <c r="J8985" t="n">
        <v>0</v>
      </c>
      <c r="K8985" t="n">
        <v>0</v>
      </c>
      <c r="L8985" t="n">
        <v>0</v>
      </c>
      <c r="M8985" t="n">
        <v>0</v>
      </c>
      <c r="N8985" t="n">
        <v>0</v>
      </c>
      <c r="O8985" t="n">
        <v>0</v>
      </c>
      <c r="P8985" t="n">
        <v>0</v>
      </c>
      <c r="Q8985" t="n">
        <v>0</v>
      </c>
      <c r="R8985" t="n">
        <v>0</v>
      </c>
      <c r="S8985" t="n">
        <v>0</v>
      </c>
      <c r="T8985" t="n">
        <v>0</v>
      </c>
      <c r="U8985" t="n">
        <v>0</v>
      </c>
      <c r="V8985" s="2" t="inlineStr"/>
    </row>
    <row r="8986" ht="15" customHeight="1">
      <c r="A8986" t="inlineStr">
        <is>
          <t>A 37845-2024</t>
        </is>
      </c>
      <c r="B8986" t="inlineStr">
        <is>
          <t>avverkningsanmälan</t>
        </is>
      </c>
      <c r="C8986" t="inlineStr">
        <is>
          <t>Föryngringsavverkning</t>
        </is>
      </c>
      <c r="D8986" s="1" t="n">
        <v>45544</v>
      </c>
      <c r="E8986" s="1" t="n">
        <v>46326</v>
      </c>
      <c r="F8986" t="inlineStr">
        <is>
          <t>GÄVLEBORGS LÄN</t>
        </is>
      </c>
      <c r="G8986" t="inlineStr">
        <is>
          <t>OCKELBO</t>
        </is>
      </c>
      <c r="I8986" t="n">
        <v>5.1</v>
      </c>
      <c r="J8986" t="n">
        <v>0</v>
      </c>
      <c r="K8986" t="n">
        <v>0</v>
      </c>
      <c r="L8986" t="n">
        <v>0</v>
      </c>
      <c r="M8986" t="n">
        <v>0</v>
      </c>
      <c r="N8986" t="n">
        <v>0</v>
      </c>
      <c r="O8986" t="n">
        <v>0</v>
      </c>
      <c r="P8986" t="n">
        <v>0</v>
      </c>
      <c r="Q8986" t="n">
        <v>0</v>
      </c>
      <c r="R8986" t="n">
        <v>0</v>
      </c>
      <c r="S8986" t="n">
        <v>0</v>
      </c>
      <c r="T8986" t="n">
        <v>0</v>
      </c>
      <c r="U8986" t="n">
        <v>0</v>
      </c>
      <c r="V8986" s="2" t="inlineStr"/>
    </row>
    <row r="8987" ht="15" customHeight="1">
      <c r="A8987" t="inlineStr">
        <is>
          <t>A 23361-2026</t>
        </is>
      </c>
      <c r="B8987" t="inlineStr">
        <is>
          <t>avverkningsanmälan</t>
        </is>
      </c>
      <c r="C8987" t="inlineStr">
        <is>
          <t>Föryngringsavverkning</t>
        </is>
      </c>
      <c r="D8987" s="1" t="n">
        <v>46162</v>
      </c>
      <c r="E8987" s="1" t="n">
        <v>46326</v>
      </c>
      <c r="F8987" t="inlineStr">
        <is>
          <t>GÄVLEBORGS LÄN</t>
        </is>
      </c>
      <c r="G8987" t="inlineStr">
        <is>
          <t>OVANÅKER</t>
        </is>
      </c>
      <c r="H8987" t="inlineStr">
        <is>
          <t>Bergvik skog väst AB</t>
        </is>
      </c>
      <c r="I8987" t="n">
        <v>1.9</v>
      </c>
      <c r="J8987" t="n">
        <v>0</v>
      </c>
      <c r="K8987" t="n">
        <v>0</v>
      </c>
      <c r="L8987" t="n">
        <v>0</v>
      </c>
      <c r="M8987" t="n">
        <v>0</v>
      </c>
      <c r="N8987" t="n">
        <v>0</v>
      </c>
      <c r="O8987" t="n">
        <v>0</v>
      </c>
      <c r="P8987" t="n">
        <v>0</v>
      </c>
      <c r="Q8987" t="n">
        <v>0</v>
      </c>
      <c r="R8987" t="n">
        <v>0</v>
      </c>
      <c r="S8987" t="n">
        <v>0</v>
      </c>
      <c r="T8987" t="n">
        <v>0</v>
      </c>
      <c r="U8987" t="n">
        <v>0</v>
      </c>
      <c r="V8987" s="2" t="inlineStr"/>
    </row>
    <row r="8988" ht="15" customHeight="1">
      <c r="A8988" t="inlineStr">
        <is>
          <t>A 28734-2026</t>
        </is>
      </c>
      <c r="B8988" t="inlineStr">
        <is>
          <t>avverkningsanmälan</t>
        </is>
      </c>
      <c r="C8988" t="inlineStr">
        <is>
          <t>Föryngringsavverkning</t>
        </is>
      </c>
      <c r="D8988" s="1" t="n">
        <v>46198</v>
      </c>
      <c r="E8988" s="1" t="n">
        <v>46326</v>
      </c>
      <c r="F8988" t="inlineStr">
        <is>
          <t>GÄVLEBORGS LÄN</t>
        </is>
      </c>
      <c r="G8988" t="inlineStr">
        <is>
          <t>NORDANSTIG</t>
        </is>
      </c>
      <c r="I8988" t="n">
        <v>1.7</v>
      </c>
      <c r="J8988" t="n">
        <v>0</v>
      </c>
      <c r="K8988" t="n">
        <v>0</v>
      </c>
      <c r="L8988" t="n">
        <v>0</v>
      </c>
      <c r="M8988" t="n">
        <v>0</v>
      </c>
      <c r="N8988" t="n">
        <v>0</v>
      </c>
      <c r="O8988" t="n">
        <v>0</v>
      </c>
      <c r="P8988" t="n">
        <v>0</v>
      </c>
      <c r="Q8988" t="n">
        <v>0</v>
      </c>
      <c r="R8988" t="n">
        <v>0</v>
      </c>
      <c r="S8988" t="n">
        <v>0</v>
      </c>
      <c r="T8988" t="n">
        <v>0</v>
      </c>
      <c r="U8988" t="n">
        <v>0</v>
      </c>
      <c r="V8988" s="2" t="inlineStr"/>
    </row>
    <row r="8989" ht="15" customHeight="1">
      <c r="A8989" t="inlineStr">
        <is>
          <t>A 29078-2026</t>
        </is>
      </c>
      <c r="B8989" t="inlineStr">
        <is>
          <t>avverkningsanmälan</t>
        </is>
      </c>
      <c r="C8989" t="inlineStr">
        <is>
          <t>Föryngringsavverkning</t>
        </is>
      </c>
      <c r="D8989" s="1" t="n">
        <v>46199</v>
      </c>
      <c r="E8989" s="1" t="n">
        <v>46326</v>
      </c>
      <c r="F8989" t="inlineStr">
        <is>
          <t>GÄVLEBORGS LÄN</t>
        </is>
      </c>
      <c r="G8989" t="inlineStr">
        <is>
          <t>OCKELBO</t>
        </is>
      </c>
      <c r="H8989" t="inlineStr">
        <is>
          <t>Bergvik skog väst AB</t>
        </is>
      </c>
      <c r="I8989" t="n">
        <v>47</v>
      </c>
      <c r="J8989" t="n">
        <v>0</v>
      </c>
      <c r="K8989" t="n">
        <v>0</v>
      </c>
      <c r="L8989" t="n">
        <v>0</v>
      </c>
      <c r="M8989" t="n">
        <v>0</v>
      </c>
      <c r="N8989" t="n">
        <v>0</v>
      </c>
      <c r="O8989" t="n">
        <v>0</v>
      </c>
      <c r="P8989" t="n">
        <v>0</v>
      </c>
      <c r="Q8989" t="n">
        <v>0</v>
      </c>
      <c r="R8989" t="n">
        <v>0</v>
      </c>
      <c r="S8989" t="n">
        <v>0</v>
      </c>
      <c r="T8989" t="n">
        <v>0</v>
      </c>
      <c r="U8989" t="n">
        <v>0</v>
      </c>
      <c r="V8989" s="2" t="inlineStr"/>
    </row>
    <row r="8990" ht="15" customHeight="1">
      <c r="A8990" t="inlineStr">
        <is>
          <t>A 31691-2024</t>
        </is>
      </c>
      <c r="B8990" t="inlineStr">
        <is>
          <t>avverkningsanmälan</t>
        </is>
      </c>
      <c r="C8990" t="inlineStr">
        <is>
          <t>Föryngringsavverkning</t>
        </is>
      </c>
      <c r="D8990" s="1" t="n">
        <v>45507</v>
      </c>
      <c r="E8990" s="1" t="n">
        <v>46326</v>
      </c>
      <c r="F8990" t="inlineStr">
        <is>
          <t>GÄVLEBORGS LÄN</t>
        </is>
      </c>
      <c r="G8990" t="inlineStr">
        <is>
          <t>HUDIKSVALL</t>
        </is>
      </c>
      <c r="H8990" t="inlineStr">
        <is>
          <t>Holmen skog AB</t>
        </is>
      </c>
      <c r="I8990" t="n">
        <v>2.6</v>
      </c>
      <c r="J8990" t="n">
        <v>0</v>
      </c>
      <c r="K8990" t="n">
        <v>0</v>
      </c>
      <c r="L8990" t="n">
        <v>0</v>
      </c>
      <c r="M8990" t="n">
        <v>0</v>
      </c>
      <c r="N8990" t="n">
        <v>0</v>
      </c>
      <c r="O8990" t="n">
        <v>0</v>
      </c>
      <c r="P8990" t="n">
        <v>0</v>
      </c>
      <c r="Q8990" t="n">
        <v>0</v>
      </c>
      <c r="R8990" t="n">
        <v>0</v>
      </c>
      <c r="S8990" t="n">
        <v>0</v>
      </c>
      <c r="T8990" t="n">
        <v>0</v>
      </c>
      <c r="U8990" t="n">
        <v>0</v>
      </c>
      <c r="V8990" s="2" t="inlineStr"/>
    </row>
    <row r="8991" ht="15" customHeight="1">
      <c r="A8991" t="inlineStr">
        <is>
          <t>A 72820-2021</t>
        </is>
      </c>
      <c r="B8991" t="inlineStr">
        <is>
          <t>avverkningsanmälan</t>
        </is>
      </c>
      <c r="C8991" t="inlineStr">
        <is>
          <t>Föryngringsavverkning</t>
        </is>
      </c>
      <c r="D8991" s="1" t="n">
        <v>44547</v>
      </c>
      <c r="E8991" s="1" t="n">
        <v>46326</v>
      </c>
      <c r="F8991" t="inlineStr">
        <is>
          <t>GÄVLEBORGS LÄN</t>
        </is>
      </c>
      <c r="G8991" t="inlineStr">
        <is>
          <t>NORDANSTIG</t>
        </is>
      </c>
      <c r="I8991" t="n">
        <v>1</v>
      </c>
      <c r="J8991" t="n">
        <v>0</v>
      </c>
      <c r="K8991" t="n">
        <v>0</v>
      </c>
      <c r="L8991" t="n">
        <v>0</v>
      </c>
      <c r="M8991" t="n">
        <v>0</v>
      </c>
      <c r="N8991" t="n">
        <v>0</v>
      </c>
      <c r="O8991" t="n">
        <v>0</v>
      </c>
      <c r="P8991" t="n">
        <v>0</v>
      </c>
      <c r="Q8991" t="n">
        <v>0</v>
      </c>
      <c r="R8991" t="n">
        <v>0</v>
      </c>
      <c r="S8991" t="n">
        <v>0</v>
      </c>
      <c r="T8991" t="n">
        <v>0</v>
      </c>
      <c r="U8991" t="n">
        <v>0</v>
      </c>
      <c r="V8991" s="2" t="inlineStr"/>
    </row>
    <row r="8992" ht="15" customHeight="1">
      <c r="A8992" t="inlineStr">
        <is>
          <t>A 26930-2023</t>
        </is>
      </c>
      <c r="B8992" t="inlineStr">
        <is>
          <t>avverkningsanmälan</t>
        </is>
      </c>
      <c r="C8992" t="inlineStr">
        <is>
          <t>Föryngringsavverkning</t>
        </is>
      </c>
      <c r="D8992" s="1" t="n">
        <v>45093</v>
      </c>
      <c r="E8992" s="1" t="n">
        <v>46326</v>
      </c>
      <c r="F8992" t="inlineStr">
        <is>
          <t>GÄVLEBORGS LÄN</t>
        </is>
      </c>
      <c r="G8992" t="inlineStr">
        <is>
          <t>SÖDERHAMN</t>
        </is>
      </c>
      <c r="I8992" t="n">
        <v>1.1</v>
      </c>
      <c r="J8992" t="n">
        <v>0</v>
      </c>
      <c r="K8992" t="n">
        <v>0</v>
      </c>
      <c r="L8992" t="n">
        <v>0</v>
      </c>
      <c r="M8992" t="n">
        <v>0</v>
      </c>
      <c r="N8992" t="n">
        <v>0</v>
      </c>
      <c r="O8992" t="n">
        <v>0</v>
      </c>
      <c r="P8992" t="n">
        <v>0</v>
      </c>
      <c r="Q8992" t="n">
        <v>0</v>
      </c>
      <c r="R8992" t="n">
        <v>0</v>
      </c>
      <c r="S8992" t="n">
        <v>0</v>
      </c>
      <c r="T8992" t="n">
        <v>0</v>
      </c>
      <c r="U8992" t="n">
        <v>0</v>
      </c>
      <c r="V8992" s="2" t="inlineStr"/>
    </row>
    <row r="8993" ht="15" customHeight="1">
      <c r="A8993" t="inlineStr">
        <is>
          <t>A 27006-2023</t>
        </is>
      </c>
      <c r="B8993" t="inlineStr">
        <is>
          <t>avverkningsanmälan</t>
        </is>
      </c>
      <c r="C8993" t="inlineStr">
        <is>
          <t>Föryngringsavverkning</t>
        </is>
      </c>
      <c r="D8993" s="1" t="n">
        <v>45094</v>
      </c>
      <c r="E8993" s="1" t="n">
        <v>46326</v>
      </c>
      <c r="F8993" t="inlineStr">
        <is>
          <t>GÄVLEBORGS LÄN</t>
        </is>
      </c>
      <c r="G8993" t="inlineStr">
        <is>
          <t>SANDVIKEN</t>
        </is>
      </c>
      <c r="H8993" t="inlineStr">
        <is>
          <t>Bergvik skog öst AB</t>
        </is>
      </c>
      <c r="I8993" t="n">
        <v>9.5</v>
      </c>
      <c r="J8993" t="n">
        <v>0</v>
      </c>
      <c r="K8993" t="n">
        <v>0</v>
      </c>
      <c r="L8993" t="n">
        <v>0</v>
      </c>
      <c r="M8993" t="n">
        <v>0</v>
      </c>
      <c r="N8993" t="n">
        <v>0</v>
      </c>
      <c r="O8993" t="n">
        <v>0</v>
      </c>
      <c r="P8993" t="n">
        <v>0</v>
      </c>
      <c r="Q8993" t="n">
        <v>0</v>
      </c>
      <c r="R8993" t="n">
        <v>0</v>
      </c>
      <c r="S8993" t="n">
        <v>0</v>
      </c>
      <c r="T8993" t="n">
        <v>0</v>
      </c>
      <c r="U8993" t="n">
        <v>0</v>
      </c>
      <c r="V8993" s="2" t="inlineStr"/>
    </row>
    <row r="8994" ht="15" customHeight="1">
      <c r="A8994" t="inlineStr">
        <is>
          <t>A 5331-2025</t>
        </is>
      </c>
      <c r="B8994" t="inlineStr">
        <is>
          <t>avverkningsanmälan</t>
        </is>
      </c>
      <c r="C8994" t="inlineStr">
        <is>
          <t>Föryngringsavverkning</t>
        </is>
      </c>
      <c r="D8994" s="1" t="n">
        <v>45692</v>
      </c>
      <c r="E8994" s="1" t="n">
        <v>46326</v>
      </c>
      <c r="F8994" t="inlineStr">
        <is>
          <t>GÄVLEBORGS LÄN</t>
        </is>
      </c>
      <c r="G8994" t="inlineStr">
        <is>
          <t>OVANÅKER</t>
        </is>
      </c>
      <c r="I8994" t="n">
        <v>1.8</v>
      </c>
      <c r="J8994" t="n">
        <v>0</v>
      </c>
      <c r="K8994" t="n">
        <v>0</v>
      </c>
      <c r="L8994" t="n">
        <v>0</v>
      </c>
      <c r="M8994" t="n">
        <v>0</v>
      </c>
      <c r="N8994" t="n">
        <v>0</v>
      </c>
      <c r="O8994" t="n">
        <v>0</v>
      </c>
      <c r="P8994" t="n">
        <v>0</v>
      </c>
      <c r="Q8994" t="n">
        <v>0</v>
      </c>
      <c r="R8994" t="n">
        <v>0</v>
      </c>
      <c r="S8994" t="n">
        <v>0</v>
      </c>
      <c r="T8994" t="n">
        <v>0</v>
      </c>
      <c r="U8994" t="n">
        <v>0</v>
      </c>
      <c r="V8994" s="2" t="inlineStr"/>
    </row>
    <row r="8995" ht="15" customHeight="1">
      <c r="A8995" t="inlineStr">
        <is>
          <t>A 19418-2026</t>
        </is>
      </c>
      <c r="B8995" t="inlineStr">
        <is>
          <t>avverkningsanmälan</t>
        </is>
      </c>
      <c r="C8995" t="inlineStr">
        <is>
          <t>Föryngringsavverkning</t>
        </is>
      </c>
      <c r="D8995" s="1" t="n">
        <v>46133</v>
      </c>
      <c r="E8995" s="1" t="n">
        <v>46326</v>
      </c>
      <c r="F8995" t="inlineStr">
        <is>
          <t>GÄVLEBORGS LÄN</t>
        </is>
      </c>
      <c r="G8995" t="inlineStr">
        <is>
          <t>BOLLNÄS</t>
        </is>
      </c>
      <c r="I8995" t="n">
        <v>2.5</v>
      </c>
      <c r="J8995" t="n">
        <v>0</v>
      </c>
      <c r="K8995" t="n">
        <v>0</v>
      </c>
      <c r="L8995" t="n">
        <v>0</v>
      </c>
      <c r="M8995" t="n">
        <v>0</v>
      </c>
      <c r="N8995" t="n">
        <v>0</v>
      </c>
      <c r="O8995" t="n">
        <v>0</v>
      </c>
      <c r="P8995" t="n">
        <v>0</v>
      </c>
      <c r="Q8995" t="n">
        <v>0</v>
      </c>
      <c r="R8995" t="n">
        <v>0</v>
      </c>
      <c r="S8995" t="n">
        <v>0</v>
      </c>
      <c r="T8995" t="n">
        <v>0</v>
      </c>
      <c r="U8995" t="n">
        <v>0</v>
      </c>
      <c r="V8995" s="2" t="inlineStr"/>
    </row>
    <row r="8996" ht="15" customHeight="1">
      <c r="A8996" t="inlineStr">
        <is>
          <t>A 54961-2025</t>
        </is>
      </c>
      <c r="B8996" t="inlineStr">
        <is>
          <t>avverkningsanmälan</t>
        </is>
      </c>
      <c r="C8996" t="inlineStr">
        <is>
          <t>Föryngringsavverkning</t>
        </is>
      </c>
      <c r="D8996" s="1" t="n">
        <v>45967</v>
      </c>
      <c r="E8996" s="1" t="n">
        <v>46326</v>
      </c>
      <c r="F8996" t="inlineStr">
        <is>
          <t>GÄVLEBORGS LÄN</t>
        </is>
      </c>
      <c r="G8996" t="inlineStr">
        <is>
          <t>BOLLNÄS</t>
        </is>
      </c>
      <c r="I8996" t="n">
        <v>9.1</v>
      </c>
      <c r="J8996" t="n">
        <v>0</v>
      </c>
      <c r="K8996" t="n">
        <v>0</v>
      </c>
      <c r="L8996" t="n">
        <v>0</v>
      </c>
      <c r="M8996" t="n">
        <v>0</v>
      </c>
      <c r="N8996" t="n">
        <v>0</v>
      </c>
      <c r="O8996" t="n">
        <v>0</v>
      </c>
      <c r="P8996" t="n">
        <v>0</v>
      </c>
      <c r="Q8996" t="n">
        <v>0</v>
      </c>
      <c r="R8996" t="n">
        <v>0</v>
      </c>
      <c r="S8996" t="n">
        <v>0</v>
      </c>
      <c r="T8996" t="n">
        <v>0</v>
      </c>
      <c r="U8996" t="n">
        <v>0</v>
      </c>
      <c r="V8996" s="2" t="inlineStr"/>
    </row>
    <row r="8997" ht="15" customHeight="1">
      <c r="A8997" t="inlineStr">
        <is>
          <t>A 29115-2026</t>
        </is>
      </c>
      <c r="B8997" t="inlineStr">
        <is>
          <t>avverkningsanmälan</t>
        </is>
      </c>
      <c r="C8997" t="inlineStr">
        <is>
          <t>Föryngringsavverkning</t>
        </is>
      </c>
      <c r="D8997" s="1" t="n">
        <v>46201</v>
      </c>
      <c r="E8997" s="1" t="n">
        <v>46326</v>
      </c>
      <c r="F8997" t="inlineStr">
        <is>
          <t>GÄVLEBORGS LÄN</t>
        </is>
      </c>
      <c r="G8997" t="inlineStr">
        <is>
          <t>SANDVIKEN</t>
        </is>
      </c>
      <c r="H8997" t="inlineStr">
        <is>
          <t>Kommuner</t>
        </is>
      </c>
      <c r="I8997" t="n">
        <v>1.4</v>
      </c>
      <c r="J8997" t="n">
        <v>0</v>
      </c>
      <c r="K8997" t="n">
        <v>0</v>
      </c>
      <c r="L8997" t="n">
        <v>0</v>
      </c>
      <c r="M8997" t="n">
        <v>0</v>
      </c>
      <c r="N8997" t="n">
        <v>0</v>
      </c>
      <c r="O8997" t="n">
        <v>0</v>
      </c>
      <c r="P8997" t="n">
        <v>0</v>
      </c>
      <c r="Q8997" t="n">
        <v>0</v>
      </c>
      <c r="R8997" t="n">
        <v>0</v>
      </c>
      <c r="S8997" t="n">
        <v>0</v>
      </c>
      <c r="T8997" t="n">
        <v>0</v>
      </c>
      <c r="U8997" t="n">
        <v>0</v>
      </c>
      <c r="V8997" s="2" t="inlineStr"/>
    </row>
    <row r="8998" ht="15" customHeight="1">
      <c r="A8998" t="inlineStr">
        <is>
          <t>A 29142-2026</t>
        </is>
      </c>
      <c r="B8998" t="inlineStr">
        <is>
          <t>avverkningsanmälan</t>
        </is>
      </c>
      <c r="C8998" t="inlineStr">
        <is>
          <t>Föryngringsavverkning</t>
        </is>
      </c>
      <c r="D8998" s="1" t="n">
        <v>46202</v>
      </c>
      <c r="E8998" s="1" t="n">
        <v>46326</v>
      </c>
      <c r="F8998" t="inlineStr">
        <is>
          <t>GÄVLEBORGS LÄN</t>
        </is>
      </c>
      <c r="G8998" t="inlineStr">
        <is>
          <t>GÄVLE</t>
        </is>
      </c>
      <c r="H8998" t="inlineStr">
        <is>
          <t>Bergvik skog öst AB</t>
        </is>
      </c>
      <c r="I8998" t="n">
        <v>0.7</v>
      </c>
      <c r="J8998" t="n">
        <v>0</v>
      </c>
      <c r="K8998" t="n">
        <v>0</v>
      </c>
      <c r="L8998" t="n">
        <v>0</v>
      </c>
      <c r="M8998" t="n">
        <v>0</v>
      </c>
      <c r="N8998" t="n">
        <v>0</v>
      </c>
      <c r="O8998" t="n">
        <v>0</v>
      </c>
      <c r="P8998" t="n">
        <v>0</v>
      </c>
      <c r="Q8998" t="n">
        <v>0</v>
      </c>
      <c r="R8998" t="n">
        <v>0</v>
      </c>
      <c r="S8998" t="n">
        <v>0</v>
      </c>
      <c r="T8998" t="n">
        <v>0</v>
      </c>
      <c r="U8998" t="n">
        <v>0</v>
      </c>
      <c r="V8998" s="2" t="inlineStr"/>
    </row>
    <row r="8999" ht="15" customHeight="1">
      <c r="A8999" t="inlineStr">
        <is>
          <t>A 46210-2023</t>
        </is>
      </c>
      <c r="B8999" t="inlineStr">
        <is>
          <t>avverkningsanmälan</t>
        </is>
      </c>
      <c r="C8999" t="inlineStr">
        <is>
          <t>Föryngringsavverkning</t>
        </is>
      </c>
      <c r="D8999" s="1" t="n">
        <v>45196</v>
      </c>
      <c r="E8999" s="1" t="n">
        <v>46326</v>
      </c>
      <c r="F8999" t="inlineStr">
        <is>
          <t>GÄVLEBORGS LÄN</t>
        </is>
      </c>
      <c r="G8999" t="inlineStr">
        <is>
          <t>OVANÅKER</t>
        </is>
      </c>
      <c r="I8999" t="n">
        <v>5.9</v>
      </c>
      <c r="J8999" t="n">
        <v>0</v>
      </c>
      <c r="K8999" t="n">
        <v>0</v>
      </c>
      <c r="L8999" t="n">
        <v>0</v>
      </c>
      <c r="M8999" t="n">
        <v>0</v>
      </c>
      <c r="N8999" t="n">
        <v>0</v>
      </c>
      <c r="O8999" t="n">
        <v>0</v>
      </c>
      <c r="P8999" t="n">
        <v>0</v>
      </c>
      <c r="Q8999" t="n">
        <v>0</v>
      </c>
      <c r="R8999" t="n">
        <v>0</v>
      </c>
      <c r="S8999" t="n">
        <v>0</v>
      </c>
      <c r="T8999" t="n">
        <v>0</v>
      </c>
      <c r="U8999" t="n">
        <v>0</v>
      </c>
      <c r="V8999" s="2" t="inlineStr"/>
    </row>
    <row r="9000" ht="15" customHeight="1">
      <c r="A9000" t="inlineStr">
        <is>
          <t>A 29187-2026</t>
        </is>
      </c>
      <c r="B9000" t="inlineStr">
        <is>
          <t>avverkningsanmälan</t>
        </is>
      </c>
      <c r="C9000" t="inlineStr">
        <is>
          <t>Föryngringsavverkning</t>
        </is>
      </c>
      <c r="D9000" s="1" t="n">
        <v>46202</v>
      </c>
      <c r="E9000" s="1" t="n">
        <v>46326</v>
      </c>
      <c r="F9000" t="inlineStr">
        <is>
          <t>GÄVLEBORGS LÄN</t>
        </is>
      </c>
      <c r="G9000" t="inlineStr">
        <is>
          <t>BOLLNÄS</t>
        </is>
      </c>
      <c r="H9000" t="inlineStr">
        <is>
          <t>Bergvik skog väst AB</t>
        </is>
      </c>
      <c r="I9000" t="n">
        <v>2.3</v>
      </c>
      <c r="J9000" t="n">
        <v>0</v>
      </c>
      <c r="K9000" t="n">
        <v>0</v>
      </c>
      <c r="L9000" t="n">
        <v>0</v>
      </c>
      <c r="M9000" t="n">
        <v>0</v>
      </c>
      <c r="N9000" t="n">
        <v>0</v>
      </c>
      <c r="O9000" t="n">
        <v>0</v>
      </c>
      <c r="P9000" t="n">
        <v>0</v>
      </c>
      <c r="Q9000" t="n">
        <v>0</v>
      </c>
      <c r="R9000" t="n">
        <v>0</v>
      </c>
      <c r="S9000" t="n">
        <v>0</v>
      </c>
      <c r="T9000" t="n">
        <v>0</v>
      </c>
      <c r="U9000" t="n">
        <v>0</v>
      </c>
      <c r="V9000" s="2" t="inlineStr"/>
    </row>
    <row r="9001" ht="15" customHeight="1">
      <c r="A9001" t="inlineStr">
        <is>
          <t>A 51930-2023</t>
        </is>
      </c>
      <c r="B9001" t="inlineStr">
        <is>
          <t>avverkningsanmälan</t>
        </is>
      </c>
      <c r="C9001" t="inlineStr">
        <is>
          <t>Föryngringsavverkning</t>
        </is>
      </c>
      <c r="D9001" s="1" t="n">
        <v>45223</v>
      </c>
      <c r="E9001" s="1" t="n">
        <v>46326</v>
      </c>
      <c r="F9001" t="inlineStr">
        <is>
          <t>GÄVLEBORGS LÄN</t>
        </is>
      </c>
      <c r="G9001" t="inlineStr">
        <is>
          <t>NORDANSTIG</t>
        </is>
      </c>
      <c r="H9001" t="inlineStr">
        <is>
          <t>Holmen skog AB</t>
        </is>
      </c>
      <c r="I9001" t="n">
        <v>1.2</v>
      </c>
      <c r="J9001" t="n">
        <v>0</v>
      </c>
      <c r="K9001" t="n">
        <v>0</v>
      </c>
      <c r="L9001" t="n">
        <v>0</v>
      </c>
      <c r="M9001" t="n">
        <v>0</v>
      </c>
      <c r="N9001" t="n">
        <v>0</v>
      </c>
      <c r="O9001" t="n">
        <v>0</v>
      </c>
      <c r="P9001" t="n">
        <v>0</v>
      </c>
      <c r="Q9001" t="n">
        <v>0</v>
      </c>
      <c r="R9001" t="n">
        <v>0</v>
      </c>
      <c r="S9001" t="n">
        <v>0</v>
      </c>
      <c r="T9001" t="n">
        <v>0</v>
      </c>
      <c r="U9001" t="n">
        <v>0</v>
      </c>
      <c r="V9001" s="2" t="inlineStr"/>
    </row>
    <row r="9002" ht="15" customHeight="1">
      <c r="A9002" t="inlineStr">
        <is>
          <t>A 46177-2022</t>
        </is>
      </c>
      <c r="B9002" t="inlineStr">
        <is>
          <t>avverkningsanmälan</t>
        </is>
      </c>
      <c r="C9002" t="inlineStr">
        <is>
          <t>Föryngringsavverkning</t>
        </is>
      </c>
      <c r="D9002" s="1" t="n">
        <v>44847</v>
      </c>
      <c r="E9002" s="1" t="n">
        <v>46326</v>
      </c>
      <c r="F9002" t="inlineStr">
        <is>
          <t>GÄVLEBORGS LÄN</t>
        </is>
      </c>
      <c r="G9002" t="inlineStr">
        <is>
          <t>SANDVIKEN</t>
        </is>
      </c>
      <c r="I9002" t="n">
        <v>1.2</v>
      </c>
      <c r="J9002" t="n">
        <v>0</v>
      </c>
      <c r="K9002" t="n">
        <v>0</v>
      </c>
      <c r="L9002" t="n">
        <v>0</v>
      </c>
      <c r="M9002" t="n">
        <v>0</v>
      </c>
      <c r="N9002" t="n">
        <v>0</v>
      </c>
      <c r="O9002" t="n">
        <v>0</v>
      </c>
      <c r="P9002" t="n">
        <v>0</v>
      </c>
      <c r="Q9002" t="n">
        <v>0</v>
      </c>
      <c r="R9002" t="n">
        <v>0</v>
      </c>
      <c r="S9002" t="n">
        <v>0</v>
      </c>
      <c r="T9002" t="n">
        <v>0</v>
      </c>
      <c r="U9002" t="n">
        <v>0</v>
      </c>
      <c r="V9002" s="2" t="inlineStr"/>
    </row>
    <row r="9003" ht="15" customHeight="1">
      <c r="A9003" t="inlineStr">
        <is>
          <t>A 29321-2026</t>
        </is>
      </c>
      <c r="B9003" t="inlineStr">
        <is>
          <t>avverkningsanmälan</t>
        </is>
      </c>
      <c r="C9003" t="inlineStr">
        <is>
          <t>Föryngringsavverkning</t>
        </is>
      </c>
      <c r="D9003" s="1" t="n">
        <v>46202</v>
      </c>
      <c r="E9003" s="1" t="n">
        <v>46326</v>
      </c>
      <c r="F9003" t="inlineStr">
        <is>
          <t>GÄVLEBORGS LÄN</t>
        </is>
      </c>
      <c r="G9003" t="inlineStr">
        <is>
          <t>SANDVIKEN</t>
        </is>
      </c>
      <c r="I9003" t="n">
        <v>0.9</v>
      </c>
      <c r="J9003" t="n">
        <v>0</v>
      </c>
      <c r="K9003" t="n">
        <v>0</v>
      </c>
      <c r="L9003" t="n">
        <v>0</v>
      </c>
      <c r="M9003" t="n">
        <v>0</v>
      </c>
      <c r="N9003" t="n">
        <v>0</v>
      </c>
      <c r="O9003" t="n">
        <v>0</v>
      </c>
      <c r="P9003" t="n">
        <v>0</v>
      </c>
      <c r="Q9003" t="n">
        <v>0</v>
      </c>
      <c r="R9003" t="n">
        <v>0</v>
      </c>
      <c r="S9003" t="n">
        <v>0</v>
      </c>
      <c r="T9003" t="n">
        <v>0</v>
      </c>
      <c r="U9003" t="n">
        <v>0</v>
      </c>
      <c r="V9003" s="2" t="inlineStr"/>
    </row>
    <row r="9004" ht="15" customHeight="1">
      <c r="A9004" t="inlineStr">
        <is>
          <t>A 29333-2026</t>
        </is>
      </c>
      <c r="B9004" t="inlineStr">
        <is>
          <t>avverkningsanmälan</t>
        </is>
      </c>
      <c r="C9004" t="inlineStr">
        <is>
          <t>Föryngringsavverkning</t>
        </is>
      </c>
      <c r="D9004" s="1" t="n">
        <v>46202</v>
      </c>
      <c r="E9004" s="1" t="n">
        <v>46326</v>
      </c>
      <c r="F9004" t="inlineStr">
        <is>
          <t>GÄVLEBORGS LÄN</t>
        </is>
      </c>
      <c r="G9004" t="inlineStr">
        <is>
          <t>GÄVLE</t>
        </is>
      </c>
      <c r="H9004" t="inlineStr">
        <is>
          <t>Bergvik skog öst AB</t>
        </is>
      </c>
      <c r="I9004" t="n">
        <v>3.3</v>
      </c>
      <c r="J9004" t="n">
        <v>0</v>
      </c>
      <c r="K9004" t="n">
        <v>0</v>
      </c>
      <c r="L9004" t="n">
        <v>0</v>
      </c>
      <c r="M9004" t="n">
        <v>0</v>
      </c>
      <c r="N9004" t="n">
        <v>0</v>
      </c>
      <c r="O9004" t="n">
        <v>0</v>
      </c>
      <c r="P9004" t="n">
        <v>0</v>
      </c>
      <c r="Q9004" t="n">
        <v>0</v>
      </c>
      <c r="R9004" t="n">
        <v>0</v>
      </c>
      <c r="S9004" t="n">
        <v>0</v>
      </c>
      <c r="T9004" t="n">
        <v>0</v>
      </c>
      <c r="U9004" t="n">
        <v>0</v>
      </c>
      <c r="V9004" s="2" t="inlineStr"/>
    </row>
    <row r="9005" ht="15" customHeight="1">
      <c r="A9005" t="inlineStr">
        <is>
          <t>A 29341-2026</t>
        </is>
      </c>
      <c r="B9005" t="inlineStr">
        <is>
          <t>avverkningsanmälan</t>
        </is>
      </c>
      <c r="C9005" t="inlineStr">
        <is>
          <t>Föryngringsavverkning</t>
        </is>
      </c>
      <c r="D9005" s="1" t="n">
        <v>46202</v>
      </c>
      <c r="E9005" s="1" t="n">
        <v>46326</v>
      </c>
      <c r="F9005" t="inlineStr">
        <is>
          <t>GÄVLEBORGS LÄN</t>
        </is>
      </c>
      <c r="G9005" t="inlineStr">
        <is>
          <t>HUDIKSVALL</t>
        </is>
      </c>
      <c r="H9005" t="inlineStr">
        <is>
          <t>Holmen skog AB</t>
        </is>
      </c>
      <c r="I9005" t="n">
        <v>6.1</v>
      </c>
      <c r="J9005" t="n">
        <v>0</v>
      </c>
      <c r="K9005" t="n">
        <v>0</v>
      </c>
      <c r="L9005" t="n">
        <v>0</v>
      </c>
      <c r="M9005" t="n">
        <v>0</v>
      </c>
      <c r="N9005" t="n">
        <v>0</v>
      </c>
      <c r="O9005" t="n">
        <v>0</v>
      </c>
      <c r="P9005" t="n">
        <v>0</v>
      </c>
      <c r="Q9005" t="n">
        <v>0</v>
      </c>
      <c r="R9005" t="n">
        <v>0</v>
      </c>
      <c r="S9005" t="n">
        <v>0</v>
      </c>
      <c r="T9005" t="n">
        <v>0</v>
      </c>
      <c r="U9005" t="n">
        <v>0</v>
      </c>
      <c r="V9005" s="2" t="inlineStr"/>
    </row>
    <row r="9006" ht="15" customHeight="1">
      <c r="A9006" t="inlineStr">
        <is>
          <t>A 34250-2024</t>
        </is>
      </c>
      <c r="B9006" t="inlineStr">
        <is>
          <t>avverkningsanmälan</t>
        </is>
      </c>
      <c r="C9006" t="inlineStr">
        <is>
          <t>Föryngringsavverkning</t>
        </is>
      </c>
      <c r="D9006" s="1" t="n">
        <v>45524</v>
      </c>
      <c r="E9006" s="1" t="n">
        <v>46326</v>
      </c>
      <c r="F9006" t="inlineStr">
        <is>
          <t>GÄVLEBORGS LÄN</t>
        </is>
      </c>
      <c r="G9006" t="inlineStr">
        <is>
          <t>BOLLNÄS</t>
        </is>
      </c>
      <c r="I9006" t="n">
        <v>1</v>
      </c>
      <c r="J9006" t="n">
        <v>0</v>
      </c>
      <c r="K9006" t="n">
        <v>0</v>
      </c>
      <c r="L9006" t="n">
        <v>0</v>
      </c>
      <c r="M9006" t="n">
        <v>0</v>
      </c>
      <c r="N9006" t="n">
        <v>0</v>
      </c>
      <c r="O9006" t="n">
        <v>0</v>
      </c>
      <c r="P9006" t="n">
        <v>0</v>
      </c>
      <c r="Q9006" t="n">
        <v>0</v>
      </c>
      <c r="R9006" t="n">
        <v>0</v>
      </c>
      <c r="S9006" t="n">
        <v>0</v>
      </c>
      <c r="T9006" t="n">
        <v>0</v>
      </c>
      <c r="U9006" t="n">
        <v>0</v>
      </c>
      <c r="V9006" s="2" t="inlineStr"/>
    </row>
    <row r="9007" ht="15" customHeight="1">
      <c r="A9007" t="inlineStr">
        <is>
          <t>A 56805-2022</t>
        </is>
      </c>
      <c r="B9007" t="inlineStr">
        <is>
          <t>avverkningsanmälan</t>
        </is>
      </c>
      <c r="C9007" t="inlineStr">
        <is>
          <t>Föryngringsavverkning</t>
        </is>
      </c>
      <c r="D9007" s="1" t="n">
        <v>44894</v>
      </c>
      <c r="E9007" s="1" t="n">
        <v>46326</v>
      </c>
      <c r="F9007" t="inlineStr">
        <is>
          <t>GÄVLEBORGS LÄN</t>
        </is>
      </c>
      <c r="G9007" t="inlineStr">
        <is>
          <t>HUDIKSVALL</t>
        </is>
      </c>
      <c r="H9007" t="inlineStr">
        <is>
          <t>Holmen skog AB</t>
        </is>
      </c>
      <c r="I9007" t="n">
        <v>2.8</v>
      </c>
      <c r="J9007" t="n">
        <v>0</v>
      </c>
      <c r="K9007" t="n">
        <v>0</v>
      </c>
      <c r="L9007" t="n">
        <v>0</v>
      </c>
      <c r="M9007" t="n">
        <v>0</v>
      </c>
      <c r="N9007" t="n">
        <v>0</v>
      </c>
      <c r="O9007" t="n">
        <v>0</v>
      </c>
      <c r="P9007" t="n">
        <v>0</v>
      </c>
      <c r="Q9007" t="n">
        <v>0</v>
      </c>
      <c r="R9007" t="n">
        <v>0</v>
      </c>
      <c r="S9007" t="n">
        <v>0</v>
      </c>
      <c r="T9007" t="n">
        <v>0</v>
      </c>
      <c r="U9007" t="n">
        <v>0</v>
      </c>
      <c r="V9007" s="2" t="inlineStr"/>
    </row>
    <row r="9008" ht="15" customHeight="1">
      <c r="A9008" t="inlineStr">
        <is>
          <t>A 4414-2022</t>
        </is>
      </c>
      <c r="B9008" t="inlineStr">
        <is>
          <t>avverkningsanmälan</t>
        </is>
      </c>
      <c r="C9008" t="inlineStr">
        <is>
          <t>Avverkning för annat ändamål</t>
        </is>
      </c>
      <c r="D9008" s="1" t="n">
        <v>44589</v>
      </c>
      <c r="E9008" s="1" t="n">
        <v>46326</v>
      </c>
      <c r="F9008" t="inlineStr">
        <is>
          <t>GÄVLEBORGS LÄN</t>
        </is>
      </c>
      <c r="G9008" t="inlineStr">
        <is>
          <t>NORDANSTIG</t>
        </is>
      </c>
      <c r="I9008" t="n">
        <v>12.6</v>
      </c>
      <c r="J9008" t="n">
        <v>0</v>
      </c>
      <c r="K9008" t="n">
        <v>0</v>
      </c>
      <c r="L9008" t="n">
        <v>0</v>
      </c>
      <c r="M9008" t="n">
        <v>0</v>
      </c>
      <c r="N9008" t="n">
        <v>0</v>
      </c>
      <c r="O9008" t="n">
        <v>0</v>
      </c>
      <c r="P9008" t="n">
        <v>0</v>
      </c>
      <c r="Q9008" t="n">
        <v>0</v>
      </c>
      <c r="R9008" t="n">
        <v>0</v>
      </c>
      <c r="S9008" t="n">
        <v>0</v>
      </c>
      <c r="T9008" t="n">
        <v>0</v>
      </c>
      <c r="U9008" t="n">
        <v>0</v>
      </c>
      <c r="V9008" s="2" t="inlineStr"/>
    </row>
    <row r="9009" ht="15" customHeight="1">
      <c r="A9009" t="inlineStr">
        <is>
          <t>A 29150-2026</t>
        </is>
      </c>
      <c r="B9009" t="inlineStr">
        <is>
          <t>avverkningsanmälan</t>
        </is>
      </c>
      <c r="C9009" t="inlineStr">
        <is>
          <t>Föryngringsavverkning</t>
        </is>
      </c>
      <c r="D9009" s="1" t="n">
        <v>46202</v>
      </c>
      <c r="E9009" s="1" t="n">
        <v>46326</v>
      </c>
      <c r="F9009" t="inlineStr">
        <is>
          <t>GÄVLEBORGS LÄN</t>
        </is>
      </c>
      <c r="G9009" t="inlineStr">
        <is>
          <t>BOLLNÄS</t>
        </is>
      </c>
      <c r="I9009" t="n">
        <v>3.9</v>
      </c>
      <c r="J9009" t="n">
        <v>0</v>
      </c>
      <c r="K9009" t="n">
        <v>0</v>
      </c>
      <c r="L9009" t="n">
        <v>0</v>
      </c>
      <c r="M9009" t="n">
        <v>0</v>
      </c>
      <c r="N9009" t="n">
        <v>0</v>
      </c>
      <c r="O9009" t="n">
        <v>0</v>
      </c>
      <c r="P9009" t="n">
        <v>0</v>
      </c>
      <c r="Q9009" t="n">
        <v>0</v>
      </c>
      <c r="R9009" t="n">
        <v>0</v>
      </c>
      <c r="S9009" t="n">
        <v>0</v>
      </c>
      <c r="T9009" t="n">
        <v>0</v>
      </c>
      <c r="U9009" t="n">
        <v>0</v>
      </c>
      <c r="V9009" s="2" t="inlineStr"/>
    </row>
    <row r="9010" ht="15" customHeight="1">
      <c r="A9010" t="inlineStr">
        <is>
          <t>A 29254-2026</t>
        </is>
      </c>
      <c r="B9010" t="inlineStr">
        <is>
          <t>avverkningsanmälan</t>
        </is>
      </c>
      <c r="C9010" t="inlineStr">
        <is>
          <t>Föryngringsavverkning</t>
        </is>
      </c>
      <c r="D9010" s="1" t="n">
        <v>46202</v>
      </c>
      <c r="E9010" s="1" t="n">
        <v>46326</v>
      </c>
      <c r="F9010" t="inlineStr">
        <is>
          <t>GÄVLEBORGS LÄN</t>
        </is>
      </c>
      <c r="G9010" t="inlineStr">
        <is>
          <t>LJUSDAL</t>
        </is>
      </c>
      <c r="H9010" t="inlineStr">
        <is>
          <t>Allmännings- och besparingsskogar</t>
        </is>
      </c>
      <c r="I9010" t="n">
        <v>1.4</v>
      </c>
      <c r="J9010" t="n">
        <v>0</v>
      </c>
      <c r="K9010" t="n">
        <v>0</v>
      </c>
      <c r="L9010" t="n">
        <v>0</v>
      </c>
      <c r="M9010" t="n">
        <v>0</v>
      </c>
      <c r="N9010" t="n">
        <v>0</v>
      </c>
      <c r="O9010" t="n">
        <v>0</v>
      </c>
      <c r="P9010" t="n">
        <v>0</v>
      </c>
      <c r="Q9010" t="n">
        <v>0</v>
      </c>
      <c r="R9010" t="n">
        <v>0</v>
      </c>
      <c r="S9010" t="n">
        <v>0</v>
      </c>
      <c r="T9010" t="n">
        <v>0</v>
      </c>
      <c r="U9010" t="n">
        <v>0</v>
      </c>
      <c r="V9010" s="2" t="inlineStr"/>
    </row>
    <row r="9011" ht="15" customHeight="1">
      <c r="A9011" t="inlineStr">
        <is>
          <t>A 28943-2026</t>
        </is>
      </c>
      <c r="B9011" t="inlineStr">
        <is>
          <t>avverkningsanmälan</t>
        </is>
      </c>
      <c r="C9011" t="inlineStr">
        <is>
          <t>Föryngringsavverkning</t>
        </is>
      </c>
      <c r="D9011" s="1" t="n">
        <v>46199</v>
      </c>
      <c r="E9011" s="1" t="n">
        <v>46326</v>
      </c>
      <c r="F9011" t="inlineStr">
        <is>
          <t>GÄVLEBORGS LÄN</t>
        </is>
      </c>
      <c r="G9011" t="inlineStr">
        <is>
          <t>BOLLNÄS</t>
        </is>
      </c>
      <c r="I9011" t="n">
        <v>2.2</v>
      </c>
      <c r="J9011" t="n">
        <v>0</v>
      </c>
      <c r="K9011" t="n">
        <v>0</v>
      </c>
      <c r="L9011" t="n">
        <v>0</v>
      </c>
      <c r="M9011" t="n">
        <v>0</v>
      </c>
      <c r="N9011" t="n">
        <v>0</v>
      </c>
      <c r="O9011" t="n">
        <v>0</v>
      </c>
      <c r="P9011" t="n">
        <v>0</v>
      </c>
      <c r="Q9011" t="n">
        <v>0</v>
      </c>
      <c r="R9011" t="n">
        <v>0</v>
      </c>
      <c r="S9011" t="n">
        <v>0</v>
      </c>
      <c r="T9011" t="n">
        <v>0</v>
      </c>
      <c r="U9011" t="n">
        <v>0</v>
      </c>
      <c r="V9011" s="2" t="inlineStr"/>
    </row>
    <row r="9012" ht="15" customHeight="1">
      <c r="A9012" t="inlineStr">
        <is>
          <t>A 19346-2023</t>
        </is>
      </c>
      <c r="B9012" t="inlineStr">
        <is>
          <t>avverkningsanmälan</t>
        </is>
      </c>
      <c r="C9012" t="inlineStr">
        <is>
          <t>Föryngringsavverkning</t>
        </is>
      </c>
      <c r="D9012" s="1" t="n">
        <v>45049</v>
      </c>
      <c r="E9012" s="1" t="n">
        <v>46326</v>
      </c>
      <c r="F9012" t="inlineStr">
        <is>
          <t>GÄVLEBORGS LÄN</t>
        </is>
      </c>
      <c r="G9012" t="inlineStr">
        <is>
          <t>SANDVIKEN</t>
        </is>
      </c>
      <c r="I9012" t="n">
        <v>1.5</v>
      </c>
      <c r="J9012" t="n">
        <v>0</v>
      </c>
      <c r="K9012" t="n">
        <v>0</v>
      </c>
      <c r="L9012" t="n">
        <v>0</v>
      </c>
      <c r="M9012" t="n">
        <v>0</v>
      </c>
      <c r="N9012" t="n">
        <v>0</v>
      </c>
      <c r="O9012" t="n">
        <v>0</v>
      </c>
      <c r="P9012" t="n">
        <v>0</v>
      </c>
      <c r="Q9012" t="n">
        <v>0</v>
      </c>
      <c r="R9012" t="n">
        <v>0</v>
      </c>
      <c r="S9012" t="n">
        <v>0</v>
      </c>
      <c r="T9012" t="n">
        <v>0</v>
      </c>
      <c r="U9012" t="n">
        <v>0</v>
      </c>
      <c r="V9012" s="2" t="inlineStr"/>
    </row>
    <row r="9013" ht="15" customHeight="1">
      <c r="A9013" t="inlineStr">
        <is>
          <t>A 11759-2022</t>
        </is>
      </c>
      <c r="B9013" t="inlineStr">
        <is>
          <t>avverkningsanmälan</t>
        </is>
      </c>
      <c r="C9013" t="inlineStr">
        <is>
          <t>Föryngringsavverkning</t>
        </is>
      </c>
      <c r="D9013" s="1" t="n">
        <v>44634</v>
      </c>
      <c r="E9013" s="1" t="n">
        <v>46326</v>
      </c>
      <c r="F9013" t="inlineStr">
        <is>
          <t>GÄVLEBORGS LÄN</t>
        </is>
      </c>
      <c r="G9013" t="inlineStr">
        <is>
          <t>HUDIKSVALL</t>
        </is>
      </c>
      <c r="I9013" t="n">
        <v>1.5</v>
      </c>
      <c r="J9013" t="n">
        <v>0</v>
      </c>
      <c r="K9013" t="n">
        <v>0</v>
      </c>
      <c r="L9013" t="n">
        <v>0</v>
      </c>
      <c r="M9013" t="n">
        <v>0</v>
      </c>
      <c r="N9013" t="n">
        <v>0</v>
      </c>
      <c r="O9013" t="n">
        <v>0</v>
      </c>
      <c r="P9013" t="n">
        <v>0</v>
      </c>
      <c r="Q9013" t="n">
        <v>0</v>
      </c>
      <c r="R9013" t="n">
        <v>0</v>
      </c>
      <c r="S9013" t="n">
        <v>0</v>
      </c>
      <c r="T9013" t="n">
        <v>0</v>
      </c>
      <c r="U9013" t="n">
        <v>0</v>
      </c>
      <c r="V9013" s="2" t="inlineStr"/>
    </row>
    <row r="9014" ht="15" customHeight="1">
      <c r="A9014" t="inlineStr">
        <is>
          <t>A 8967-2022</t>
        </is>
      </c>
      <c r="B9014" t="inlineStr">
        <is>
          <t>avverkningsanmälan</t>
        </is>
      </c>
      <c r="C9014" t="inlineStr">
        <is>
          <t>Föryngringsavverkning</t>
        </is>
      </c>
      <c r="D9014" s="1" t="n">
        <v>44614</v>
      </c>
      <c r="E9014" s="1" t="n">
        <v>46326</v>
      </c>
      <c r="F9014" t="inlineStr">
        <is>
          <t>GÄVLEBORGS LÄN</t>
        </is>
      </c>
      <c r="G9014" t="inlineStr">
        <is>
          <t>OVANÅKER</t>
        </is>
      </c>
      <c r="I9014" t="n">
        <v>0.4</v>
      </c>
      <c r="J9014" t="n">
        <v>0</v>
      </c>
      <c r="K9014" t="n">
        <v>0</v>
      </c>
      <c r="L9014" t="n">
        <v>0</v>
      </c>
      <c r="M9014" t="n">
        <v>0</v>
      </c>
      <c r="N9014" t="n">
        <v>0</v>
      </c>
      <c r="O9014" t="n">
        <v>0</v>
      </c>
      <c r="P9014" t="n">
        <v>0</v>
      </c>
      <c r="Q9014" t="n">
        <v>0</v>
      </c>
      <c r="R9014" t="n">
        <v>0</v>
      </c>
      <c r="S9014" t="n">
        <v>0</v>
      </c>
      <c r="T9014" t="n">
        <v>0</v>
      </c>
      <c r="U9014" t="n">
        <v>0</v>
      </c>
      <c r="V9014" s="2" t="inlineStr"/>
    </row>
    <row r="9015" ht="15" customHeight="1">
      <c r="A9015" t="inlineStr">
        <is>
          <t>A 54511-2024</t>
        </is>
      </c>
      <c r="B9015" t="inlineStr">
        <is>
          <t>avverkningsanmälan</t>
        </is>
      </c>
      <c r="C9015" t="inlineStr">
        <is>
          <t>Föryngringsavverkning</t>
        </is>
      </c>
      <c r="D9015" s="1" t="n">
        <v>45617</v>
      </c>
      <c r="E9015" s="1" t="n">
        <v>46326</v>
      </c>
      <c r="F9015" t="inlineStr">
        <is>
          <t>GÄVLEBORGS LÄN</t>
        </is>
      </c>
      <c r="G9015" t="inlineStr">
        <is>
          <t>BOLLNÄS</t>
        </is>
      </c>
      <c r="I9015" t="n">
        <v>1.1</v>
      </c>
      <c r="J9015" t="n">
        <v>0</v>
      </c>
      <c r="K9015" t="n">
        <v>0</v>
      </c>
      <c r="L9015" t="n">
        <v>0</v>
      </c>
      <c r="M9015" t="n">
        <v>0</v>
      </c>
      <c r="N9015" t="n">
        <v>0</v>
      </c>
      <c r="O9015" t="n">
        <v>0</v>
      </c>
      <c r="P9015" t="n">
        <v>0</v>
      </c>
      <c r="Q9015" t="n">
        <v>0</v>
      </c>
      <c r="R9015" t="n">
        <v>0</v>
      </c>
      <c r="S9015" t="n">
        <v>0</v>
      </c>
      <c r="T9015" t="n">
        <v>0</v>
      </c>
      <c r="U9015" t="n">
        <v>0</v>
      </c>
      <c r="V9015" s="2" t="inlineStr"/>
    </row>
    <row r="9016" ht="15" customHeight="1">
      <c r="A9016" t="inlineStr">
        <is>
          <t>A 10108-2024</t>
        </is>
      </c>
      <c r="B9016" t="inlineStr">
        <is>
          <t>avverkningsanmälan</t>
        </is>
      </c>
      <c r="C9016" t="inlineStr">
        <is>
          <t>Föryngringsavverkning</t>
        </is>
      </c>
      <c r="D9016" s="1" t="n">
        <v>45364</v>
      </c>
      <c r="E9016" s="1" t="n">
        <v>46326</v>
      </c>
      <c r="F9016" t="inlineStr">
        <is>
          <t>GÄVLEBORGS LÄN</t>
        </is>
      </c>
      <c r="G9016" t="inlineStr">
        <is>
          <t>HUDIKSVALL</t>
        </is>
      </c>
      <c r="H9016" t="inlineStr">
        <is>
          <t>Holmen skog AB</t>
        </is>
      </c>
      <c r="I9016" t="n">
        <v>23.1</v>
      </c>
      <c r="J9016" t="n">
        <v>0</v>
      </c>
      <c r="K9016" t="n">
        <v>0</v>
      </c>
      <c r="L9016" t="n">
        <v>0</v>
      </c>
      <c r="M9016" t="n">
        <v>0</v>
      </c>
      <c r="N9016" t="n">
        <v>0</v>
      </c>
      <c r="O9016" t="n">
        <v>0</v>
      </c>
      <c r="P9016" t="n">
        <v>0</v>
      </c>
      <c r="Q9016" t="n">
        <v>0</v>
      </c>
      <c r="R9016" t="n">
        <v>0</v>
      </c>
      <c r="S9016" t="n">
        <v>0</v>
      </c>
      <c r="T9016" t="n">
        <v>0</v>
      </c>
      <c r="U9016" t="n">
        <v>0</v>
      </c>
      <c r="V9016" s="2" t="inlineStr"/>
    </row>
    <row r="9017" ht="15" customHeight="1">
      <c r="A9017" t="inlineStr">
        <is>
          <t>A 62255-2022</t>
        </is>
      </c>
      <c r="B9017" t="inlineStr">
        <is>
          <t>avverkningsanmälan</t>
        </is>
      </c>
      <c r="C9017" t="inlineStr">
        <is>
          <t>Föryngringsavverkning</t>
        </is>
      </c>
      <c r="D9017" s="1" t="n">
        <v>44922</v>
      </c>
      <c r="E9017" s="1" t="n">
        <v>46326</v>
      </c>
      <c r="F9017" t="inlineStr">
        <is>
          <t>GÄVLEBORGS LÄN</t>
        </is>
      </c>
      <c r="G9017" t="inlineStr">
        <is>
          <t>GÄVLE</t>
        </is>
      </c>
      <c r="I9017" t="n">
        <v>0.4</v>
      </c>
      <c r="J9017" t="n">
        <v>0</v>
      </c>
      <c r="K9017" t="n">
        <v>0</v>
      </c>
      <c r="L9017" t="n">
        <v>0</v>
      </c>
      <c r="M9017" t="n">
        <v>0</v>
      </c>
      <c r="N9017" t="n">
        <v>0</v>
      </c>
      <c r="O9017" t="n">
        <v>0</v>
      </c>
      <c r="P9017" t="n">
        <v>0</v>
      </c>
      <c r="Q9017" t="n">
        <v>0</v>
      </c>
      <c r="R9017" t="n">
        <v>0</v>
      </c>
      <c r="S9017" t="n">
        <v>0</v>
      </c>
      <c r="T9017" t="n">
        <v>0</v>
      </c>
      <c r="U9017" t="n">
        <v>0</v>
      </c>
      <c r="V9017" s="2" t="inlineStr"/>
    </row>
    <row r="9018" ht="15" customHeight="1">
      <c r="A9018" t="inlineStr">
        <is>
          <t>A 61363-2023</t>
        </is>
      </c>
      <c r="B9018" t="inlineStr">
        <is>
          <t>avverkningsanmälan</t>
        </is>
      </c>
      <c r="C9018" t="inlineStr">
        <is>
          <t>Föryngringsavverkning</t>
        </is>
      </c>
      <c r="D9018" s="1" t="n">
        <v>45264</v>
      </c>
      <c r="E9018" s="1" t="n">
        <v>46326</v>
      </c>
      <c r="F9018" t="inlineStr">
        <is>
          <t>GÄVLEBORGS LÄN</t>
        </is>
      </c>
      <c r="G9018" t="inlineStr">
        <is>
          <t>SANDVIKEN</t>
        </is>
      </c>
      <c r="I9018" t="n">
        <v>2.4</v>
      </c>
      <c r="J9018" t="n">
        <v>0</v>
      </c>
      <c r="K9018" t="n">
        <v>0</v>
      </c>
      <c r="L9018" t="n">
        <v>0</v>
      </c>
      <c r="M9018" t="n">
        <v>0</v>
      </c>
      <c r="N9018" t="n">
        <v>0</v>
      </c>
      <c r="O9018" t="n">
        <v>0</v>
      </c>
      <c r="P9018" t="n">
        <v>0</v>
      </c>
      <c r="Q9018" t="n">
        <v>0</v>
      </c>
      <c r="R9018" t="n">
        <v>0</v>
      </c>
      <c r="S9018" t="n">
        <v>0</v>
      </c>
      <c r="T9018" t="n">
        <v>0</v>
      </c>
      <c r="U9018" t="n">
        <v>0</v>
      </c>
      <c r="V9018" s="2" t="inlineStr"/>
    </row>
    <row r="9019" ht="15" customHeight="1">
      <c r="A9019" t="inlineStr">
        <is>
          <t>A 19408-2026</t>
        </is>
      </c>
      <c r="B9019" t="inlineStr">
        <is>
          <t>avverkningsanmälan</t>
        </is>
      </c>
      <c r="C9019" t="inlineStr">
        <is>
          <t>Föryngringsavverkning</t>
        </is>
      </c>
      <c r="D9019" s="1" t="n">
        <v>46133</v>
      </c>
      <c r="E9019" s="1" t="n">
        <v>46326</v>
      </c>
      <c r="F9019" t="inlineStr">
        <is>
          <t>GÄVLEBORGS LÄN</t>
        </is>
      </c>
      <c r="G9019" t="inlineStr">
        <is>
          <t>BOLLNÄS</t>
        </is>
      </c>
      <c r="I9019" t="n">
        <v>0.9</v>
      </c>
      <c r="J9019" t="n">
        <v>0</v>
      </c>
      <c r="K9019" t="n">
        <v>0</v>
      </c>
      <c r="L9019" t="n">
        <v>0</v>
      </c>
      <c r="M9019" t="n">
        <v>0</v>
      </c>
      <c r="N9019" t="n">
        <v>0</v>
      </c>
      <c r="O9019" t="n">
        <v>0</v>
      </c>
      <c r="P9019" t="n">
        <v>0</v>
      </c>
      <c r="Q9019" t="n">
        <v>0</v>
      </c>
      <c r="R9019" t="n">
        <v>0</v>
      </c>
      <c r="S9019" t="n">
        <v>0</v>
      </c>
      <c r="T9019" t="n">
        <v>0</v>
      </c>
      <c r="U9019" t="n">
        <v>0</v>
      </c>
      <c r="V9019" s="2" t="inlineStr"/>
    </row>
    <row r="9020" ht="15" customHeight="1">
      <c r="A9020" t="inlineStr">
        <is>
          <t>A 29060-2026</t>
        </is>
      </c>
      <c r="B9020" t="inlineStr">
        <is>
          <t>avverkningsanmälan</t>
        </is>
      </c>
      <c r="C9020" t="inlineStr">
        <is>
          <t>Föryngringsavverkning</t>
        </is>
      </c>
      <c r="D9020" s="1" t="n">
        <v>46199</v>
      </c>
      <c r="E9020" s="1" t="n">
        <v>46326</v>
      </c>
      <c r="F9020" t="inlineStr">
        <is>
          <t>GÄVLEBORGS LÄN</t>
        </is>
      </c>
      <c r="G9020" t="inlineStr">
        <is>
          <t>HOFORS</t>
        </is>
      </c>
      <c r="H9020" t="inlineStr">
        <is>
          <t>Sveaskog</t>
        </is>
      </c>
      <c r="I9020" t="n">
        <v>3.1</v>
      </c>
      <c r="J9020" t="n">
        <v>0</v>
      </c>
      <c r="K9020" t="n">
        <v>0</v>
      </c>
      <c r="L9020" t="n">
        <v>0</v>
      </c>
      <c r="M9020" t="n">
        <v>0</v>
      </c>
      <c r="N9020" t="n">
        <v>0</v>
      </c>
      <c r="O9020" t="n">
        <v>0</v>
      </c>
      <c r="P9020" t="n">
        <v>0</v>
      </c>
      <c r="Q9020" t="n">
        <v>0</v>
      </c>
      <c r="R9020" t="n">
        <v>0</v>
      </c>
      <c r="S9020" t="n">
        <v>0</v>
      </c>
      <c r="T9020" t="n">
        <v>0</v>
      </c>
      <c r="U9020" t="n">
        <v>0</v>
      </c>
      <c r="V9020" s="2" t="inlineStr"/>
    </row>
    <row r="9021" ht="15" customHeight="1">
      <c r="A9021" t="inlineStr">
        <is>
          <t>A 10763-2025</t>
        </is>
      </c>
      <c r="B9021" t="inlineStr">
        <is>
          <t>avverkningsanmälan</t>
        </is>
      </c>
      <c r="C9021" t="inlineStr">
        <is>
          <t>Föryngringsavverkning</t>
        </is>
      </c>
      <c r="D9021" s="1" t="n">
        <v>45722</v>
      </c>
      <c r="E9021" s="1" t="n">
        <v>46326</v>
      </c>
      <c r="F9021" t="inlineStr">
        <is>
          <t>GÄVLEBORGS LÄN</t>
        </is>
      </c>
      <c r="G9021" t="inlineStr">
        <is>
          <t>SÖDERHAMN</t>
        </is>
      </c>
      <c r="I9021" t="n">
        <v>2.5</v>
      </c>
      <c r="J9021" t="n">
        <v>0</v>
      </c>
      <c r="K9021" t="n">
        <v>0</v>
      </c>
      <c r="L9021" t="n">
        <v>0</v>
      </c>
      <c r="M9021" t="n">
        <v>0</v>
      </c>
      <c r="N9021" t="n">
        <v>0</v>
      </c>
      <c r="O9021" t="n">
        <v>0</v>
      </c>
      <c r="P9021" t="n">
        <v>0</v>
      </c>
      <c r="Q9021" t="n">
        <v>0</v>
      </c>
      <c r="R9021" t="n">
        <v>0</v>
      </c>
      <c r="S9021" t="n">
        <v>0</v>
      </c>
      <c r="T9021" t="n">
        <v>0</v>
      </c>
      <c r="U9021" t="n">
        <v>0</v>
      </c>
      <c r="V9021" s="2" t="inlineStr"/>
    </row>
    <row r="9022" ht="15" customHeight="1">
      <c r="A9022" t="inlineStr">
        <is>
          <t>A 71070-2021</t>
        </is>
      </c>
      <c r="B9022" t="inlineStr">
        <is>
          <t>avverkningsanmälan</t>
        </is>
      </c>
      <c r="C9022" t="inlineStr">
        <is>
          <t>Föryngringsavverkning</t>
        </is>
      </c>
      <c r="D9022" s="1" t="n">
        <v>44538</v>
      </c>
      <c r="E9022" s="1" t="n">
        <v>46326</v>
      </c>
      <c r="F9022" t="inlineStr">
        <is>
          <t>GÄVLEBORGS LÄN</t>
        </is>
      </c>
      <c r="G9022" t="inlineStr">
        <is>
          <t>LJUSDAL</t>
        </is>
      </c>
      <c r="I9022" t="n">
        <v>1.6</v>
      </c>
      <c r="J9022" t="n">
        <v>0</v>
      </c>
      <c r="K9022" t="n">
        <v>0</v>
      </c>
      <c r="L9022" t="n">
        <v>0</v>
      </c>
      <c r="M9022" t="n">
        <v>0</v>
      </c>
      <c r="N9022" t="n">
        <v>0</v>
      </c>
      <c r="O9022" t="n">
        <v>0</v>
      </c>
      <c r="P9022" t="n">
        <v>0</v>
      </c>
      <c r="Q9022" t="n">
        <v>0</v>
      </c>
      <c r="R9022" t="n">
        <v>0</v>
      </c>
      <c r="S9022" t="n">
        <v>0</v>
      </c>
      <c r="T9022" t="n">
        <v>0</v>
      </c>
      <c r="U9022" t="n">
        <v>0</v>
      </c>
      <c r="V9022" s="2" t="inlineStr"/>
    </row>
    <row r="9023" ht="15" customHeight="1">
      <c r="A9023" t="inlineStr">
        <is>
          <t>A 4563-2023</t>
        </is>
      </c>
      <c r="B9023" t="inlineStr">
        <is>
          <t>avverkningsanmälan</t>
        </is>
      </c>
      <c r="C9023" t="inlineStr">
        <is>
          <t>Avverkning för annat ändamål</t>
        </is>
      </c>
      <c r="D9023" s="1" t="n">
        <v>44956</v>
      </c>
      <c r="E9023" s="1" t="n">
        <v>46326</v>
      </c>
      <c r="F9023" t="inlineStr">
        <is>
          <t>GÄVLEBORGS LÄN</t>
        </is>
      </c>
      <c r="G9023" t="inlineStr">
        <is>
          <t>SÖDERHAMN</t>
        </is>
      </c>
      <c r="I9023" t="n">
        <v>2.9</v>
      </c>
      <c r="J9023" t="n">
        <v>0</v>
      </c>
      <c r="K9023" t="n">
        <v>0</v>
      </c>
      <c r="L9023" t="n">
        <v>0</v>
      </c>
      <c r="M9023" t="n">
        <v>0</v>
      </c>
      <c r="N9023" t="n">
        <v>0</v>
      </c>
      <c r="O9023" t="n">
        <v>0</v>
      </c>
      <c r="P9023" t="n">
        <v>0</v>
      </c>
      <c r="Q9023" t="n">
        <v>0</v>
      </c>
      <c r="R9023" t="n">
        <v>0</v>
      </c>
      <c r="S9023" t="n">
        <v>0</v>
      </c>
      <c r="T9023" t="n">
        <v>0</v>
      </c>
      <c r="U9023" t="n">
        <v>0</v>
      </c>
      <c r="V9023" s="2" t="inlineStr"/>
    </row>
    <row r="9024" ht="15" customHeight="1">
      <c r="A9024" t="inlineStr">
        <is>
          <t>A 29154-2026</t>
        </is>
      </c>
      <c r="B9024" t="inlineStr">
        <is>
          <t>avverkningsanmälan</t>
        </is>
      </c>
      <c r="C9024" t="inlineStr">
        <is>
          <t>Föryngringsavverkning</t>
        </is>
      </c>
      <c r="D9024" s="1" t="n">
        <v>46202</v>
      </c>
      <c r="E9024" s="1" t="n">
        <v>46326</v>
      </c>
      <c r="F9024" t="inlineStr">
        <is>
          <t>GÄVLEBORGS LÄN</t>
        </is>
      </c>
      <c r="G9024" t="inlineStr">
        <is>
          <t>BOLLNÄS</t>
        </is>
      </c>
      <c r="I9024" t="n">
        <v>1</v>
      </c>
      <c r="J9024" t="n">
        <v>0</v>
      </c>
      <c r="K9024" t="n">
        <v>0</v>
      </c>
      <c r="L9024" t="n">
        <v>0</v>
      </c>
      <c r="M9024" t="n">
        <v>0</v>
      </c>
      <c r="N9024" t="n">
        <v>0</v>
      </c>
      <c r="O9024" t="n">
        <v>0</v>
      </c>
      <c r="P9024" t="n">
        <v>0</v>
      </c>
      <c r="Q9024" t="n">
        <v>0</v>
      </c>
      <c r="R9024" t="n">
        <v>0</v>
      </c>
      <c r="S9024" t="n">
        <v>0</v>
      </c>
      <c r="T9024" t="n">
        <v>0</v>
      </c>
      <c r="U9024" t="n">
        <v>0</v>
      </c>
      <c r="V9024" s="2" t="inlineStr"/>
    </row>
    <row r="9025" ht="15" customHeight="1">
      <c r="A9025" t="inlineStr">
        <is>
          <t>A 22969-2026</t>
        </is>
      </c>
      <c r="B9025" t="inlineStr">
        <is>
          <t>avverkningsanmälan</t>
        </is>
      </c>
      <c r="C9025" t="inlineStr">
        <is>
          <t>Föryngringsavverkning</t>
        </is>
      </c>
      <c r="D9025" s="1" t="n">
        <v>46160</v>
      </c>
      <c r="E9025" s="1" t="n">
        <v>46326</v>
      </c>
      <c r="F9025" t="inlineStr">
        <is>
          <t>GÄVLEBORGS LÄN</t>
        </is>
      </c>
      <c r="G9025" t="inlineStr">
        <is>
          <t>OVANÅKER</t>
        </is>
      </c>
      <c r="I9025" t="n">
        <v>0.9</v>
      </c>
      <c r="J9025" t="n">
        <v>0</v>
      </c>
      <c r="K9025" t="n">
        <v>0</v>
      </c>
      <c r="L9025" t="n">
        <v>0</v>
      </c>
      <c r="M9025" t="n">
        <v>0</v>
      </c>
      <c r="N9025" t="n">
        <v>0</v>
      </c>
      <c r="O9025" t="n">
        <v>0</v>
      </c>
      <c r="P9025" t="n">
        <v>0</v>
      </c>
      <c r="Q9025" t="n">
        <v>0</v>
      </c>
      <c r="R9025" t="n">
        <v>0</v>
      </c>
      <c r="S9025" t="n">
        <v>0</v>
      </c>
      <c r="T9025" t="n">
        <v>0</v>
      </c>
      <c r="U9025" t="n">
        <v>0</v>
      </c>
      <c r="V9025" s="2" t="inlineStr"/>
    </row>
    <row r="9026" ht="15" customHeight="1">
      <c r="A9026" t="inlineStr">
        <is>
          <t>A 29001-2026</t>
        </is>
      </c>
      <c r="B9026" t="inlineStr">
        <is>
          <t>avverkningsanmälan</t>
        </is>
      </c>
      <c r="C9026" t="inlineStr">
        <is>
          <t>Föryngringsavverkning</t>
        </is>
      </c>
      <c r="D9026" s="1" t="n">
        <v>46199</v>
      </c>
      <c r="E9026" s="1" t="n">
        <v>46326</v>
      </c>
      <c r="F9026" t="inlineStr">
        <is>
          <t>GÄVLEBORGS LÄN</t>
        </is>
      </c>
      <c r="G9026" t="inlineStr">
        <is>
          <t>OCKELBO</t>
        </is>
      </c>
      <c r="H9026" t="inlineStr">
        <is>
          <t>Bergvik skog väst AB</t>
        </is>
      </c>
      <c r="I9026" t="n">
        <v>10.2</v>
      </c>
      <c r="J9026" t="n">
        <v>0</v>
      </c>
      <c r="K9026" t="n">
        <v>0</v>
      </c>
      <c r="L9026" t="n">
        <v>0</v>
      </c>
      <c r="M9026" t="n">
        <v>0</v>
      </c>
      <c r="N9026" t="n">
        <v>0</v>
      </c>
      <c r="O9026" t="n">
        <v>0</v>
      </c>
      <c r="P9026" t="n">
        <v>0</v>
      </c>
      <c r="Q9026" t="n">
        <v>0</v>
      </c>
      <c r="R9026" t="n">
        <v>0</v>
      </c>
      <c r="S9026" t="n">
        <v>0</v>
      </c>
      <c r="T9026" t="n">
        <v>0</v>
      </c>
      <c r="U9026" t="n">
        <v>0</v>
      </c>
      <c r="V9026" s="2" t="inlineStr"/>
    </row>
    <row r="9027" ht="15" customHeight="1">
      <c r="A9027" t="inlineStr">
        <is>
          <t>A 5861-2025</t>
        </is>
      </c>
      <c r="B9027" t="inlineStr">
        <is>
          <t>avverkningsanmälan</t>
        </is>
      </c>
      <c r="C9027" t="inlineStr">
        <is>
          <t>Föryngringsavverkning</t>
        </is>
      </c>
      <c r="D9027" s="1" t="n">
        <v>45695</v>
      </c>
      <c r="E9027" s="1" t="n">
        <v>46326</v>
      </c>
      <c r="F9027" t="inlineStr">
        <is>
          <t>GÄVLEBORGS LÄN</t>
        </is>
      </c>
      <c r="G9027" t="inlineStr">
        <is>
          <t>HUDIKSVALL</t>
        </is>
      </c>
      <c r="H9027" t="inlineStr">
        <is>
          <t>Holmen skog AB</t>
        </is>
      </c>
      <c r="I9027" t="n">
        <v>3.2</v>
      </c>
      <c r="J9027" t="n">
        <v>0</v>
      </c>
      <c r="K9027" t="n">
        <v>0</v>
      </c>
      <c r="L9027" t="n">
        <v>0</v>
      </c>
      <c r="M9027" t="n">
        <v>0</v>
      </c>
      <c r="N9027" t="n">
        <v>0</v>
      </c>
      <c r="O9027" t="n">
        <v>0</v>
      </c>
      <c r="P9027" t="n">
        <v>0</v>
      </c>
      <c r="Q9027" t="n">
        <v>0</v>
      </c>
      <c r="R9027" t="n">
        <v>0</v>
      </c>
      <c r="S9027" t="n">
        <v>0</v>
      </c>
      <c r="T9027" t="n">
        <v>0</v>
      </c>
      <c r="U9027" t="n">
        <v>0</v>
      </c>
      <c r="V9027" s="2" t="inlineStr"/>
    </row>
    <row r="9028" ht="15" customHeight="1">
      <c r="A9028" t="inlineStr">
        <is>
          <t>A 5942-2025</t>
        </is>
      </c>
      <c r="B9028" t="inlineStr">
        <is>
          <t>avverkningsanmälan</t>
        </is>
      </c>
      <c r="C9028" t="inlineStr">
        <is>
          <t>Föryngringsavverkning</t>
        </is>
      </c>
      <c r="D9028" s="1" t="n">
        <v>45695</v>
      </c>
      <c r="E9028" s="1" t="n">
        <v>46326</v>
      </c>
      <c r="F9028" t="inlineStr">
        <is>
          <t>GÄVLEBORGS LÄN</t>
        </is>
      </c>
      <c r="G9028" t="inlineStr">
        <is>
          <t>HUDIKSVALL</t>
        </is>
      </c>
      <c r="I9028" t="n">
        <v>1.1</v>
      </c>
      <c r="J9028" t="n">
        <v>0</v>
      </c>
      <c r="K9028" t="n">
        <v>0</v>
      </c>
      <c r="L9028" t="n">
        <v>0</v>
      </c>
      <c r="M9028" t="n">
        <v>0</v>
      </c>
      <c r="N9028" t="n">
        <v>0</v>
      </c>
      <c r="O9028" t="n">
        <v>0</v>
      </c>
      <c r="P9028" t="n">
        <v>0</v>
      </c>
      <c r="Q9028" t="n">
        <v>0</v>
      </c>
      <c r="R9028" t="n">
        <v>0</v>
      </c>
      <c r="S9028" t="n">
        <v>0</v>
      </c>
      <c r="T9028" t="n">
        <v>0</v>
      </c>
      <c r="U9028" t="n">
        <v>0</v>
      </c>
      <c r="V9028" s="2" t="inlineStr"/>
    </row>
    <row r="9029" ht="15" customHeight="1">
      <c r="A9029" t="inlineStr">
        <is>
          <t>A 29344-2026</t>
        </is>
      </c>
      <c r="B9029" t="inlineStr">
        <is>
          <t>avverkningsanmälan</t>
        </is>
      </c>
      <c r="C9029" t="inlineStr">
        <is>
          <t>Föryngringsavverkning</t>
        </is>
      </c>
      <c r="D9029" s="1" t="n">
        <v>46202</v>
      </c>
      <c r="E9029" s="1" t="n">
        <v>46326</v>
      </c>
      <c r="F9029" t="inlineStr">
        <is>
          <t>GÄVLEBORGS LÄN</t>
        </is>
      </c>
      <c r="G9029" t="inlineStr">
        <is>
          <t>HUDIKSVALL</t>
        </is>
      </c>
      <c r="I9029" t="n">
        <v>3.2</v>
      </c>
      <c r="J9029" t="n">
        <v>0</v>
      </c>
      <c r="K9029" t="n">
        <v>0</v>
      </c>
      <c r="L9029" t="n">
        <v>0</v>
      </c>
      <c r="M9029" t="n">
        <v>0</v>
      </c>
      <c r="N9029" t="n">
        <v>0</v>
      </c>
      <c r="O9029" t="n">
        <v>0</v>
      </c>
      <c r="P9029" t="n">
        <v>0</v>
      </c>
      <c r="Q9029" t="n">
        <v>0</v>
      </c>
      <c r="R9029" t="n">
        <v>0</v>
      </c>
      <c r="S9029" t="n">
        <v>0</v>
      </c>
      <c r="T9029" t="n">
        <v>0</v>
      </c>
      <c r="U9029" t="n">
        <v>0</v>
      </c>
      <c r="V9029" s="2" t="inlineStr"/>
    </row>
    <row r="9030" ht="15" customHeight="1">
      <c r="A9030" t="inlineStr">
        <is>
          <t>A 9422-2025</t>
        </is>
      </c>
      <c r="B9030" t="inlineStr">
        <is>
          <t>avverkningsanmälan</t>
        </is>
      </c>
      <c r="C9030" t="inlineStr">
        <is>
          <t>Föryngringsavverkning</t>
        </is>
      </c>
      <c r="D9030" s="1" t="n">
        <v>45715</v>
      </c>
      <c r="E9030" s="1" t="n">
        <v>46326</v>
      </c>
      <c r="F9030" t="inlineStr">
        <is>
          <t>GÄVLEBORGS LÄN</t>
        </is>
      </c>
      <c r="G9030" t="inlineStr">
        <is>
          <t>GÄVLE</t>
        </is>
      </c>
      <c r="I9030" t="n">
        <v>2.2</v>
      </c>
      <c r="J9030" t="n">
        <v>0</v>
      </c>
      <c r="K9030" t="n">
        <v>0</v>
      </c>
      <c r="L9030" t="n">
        <v>0</v>
      </c>
      <c r="M9030" t="n">
        <v>0</v>
      </c>
      <c r="N9030" t="n">
        <v>0</v>
      </c>
      <c r="O9030" t="n">
        <v>0</v>
      </c>
      <c r="P9030" t="n">
        <v>0</v>
      </c>
      <c r="Q9030" t="n">
        <v>0</v>
      </c>
      <c r="R9030" t="n">
        <v>0</v>
      </c>
      <c r="S9030" t="n">
        <v>0</v>
      </c>
      <c r="T9030" t="n">
        <v>0</v>
      </c>
      <c r="U9030" t="n">
        <v>0</v>
      </c>
      <c r="V9030" s="2" t="inlineStr"/>
    </row>
    <row r="9031" ht="15" customHeight="1">
      <c r="A9031" t="inlineStr">
        <is>
          <t>A 4043-2024</t>
        </is>
      </c>
      <c r="B9031" t="inlineStr">
        <is>
          <t>avverkningsanmälan</t>
        </is>
      </c>
      <c r="C9031" t="inlineStr">
        <is>
          <t>Föryngringsavverkning</t>
        </is>
      </c>
      <c r="D9031" s="1" t="n">
        <v>45323</v>
      </c>
      <c r="E9031" s="1" t="n">
        <v>46326</v>
      </c>
      <c r="F9031" t="inlineStr">
        <is>
          <t>GÄVLEBORGS LÄN</t>
        </is>
      </c>
      <c r="G9031" t="inlineStr">
        <is>
          <t>LJUSDAL</t>
        </is>
      </c>
      <c r="I9031" t="n">
        <v>9.9</v>
      </c>
      <c r="J9031" t="n">
        <v>0</v>
      </c>
      <c r="K9031" t="n">
        <v>0</v>
      </c>
      <c r="L9031" t="n">
        <v>0</v>
      </c>
      <c r="M9031" t="n">
        <v>0</v>
      </c>
      <c r="N9031" t="n">
        <v>0</v>
      </c>
      <c r="O9031" t="n">
        <v>0</v>
      </c>
      <c r="P9031" t="n">
        <v>0</v>
      </c>
      <c r="Q9031" t="n">
        <v>0</v>
      </c>
      <c r="R9031" t="n">
        <v>0</v>
      </c>
      <c r="S9031" t="n">
        <v>0</v>
      </c>
      <c r="T9031" t="n">
        <v>0</v>
      </c>
      <c r="U9031" t="n">
        <v>0</v>
      </c>
      <c r="V9031" s="2" t="inlineStr"/>
    </row>
    <row r="9032" ht="15" customHeight="1">
      <c r="A9032" t="inlineStr">
        <is>
          <t>A 30701-2024</t>
        </is>
      </c>
      <c r="B9032" t="inlineStr">
        <is>
          <t>avverkningsanmälan</t>
        </is>
      </c>
      <c r="C9032" t="inlineStr">
        <is>
          <t>Föryngringsavverkning</t>
        </is>
      </c>
      <c r="D9032" s="1" t="n">
        <v>45496</v>
      </c>
      <c r="E9032" s="1" t="n">
        <v>46326</v>
      </c>
      <c r="F9032" t="inlineStr">
        <is>
          <t>GÄVLEBORGS LÄN</t>
        </is>
      </c>
      <c r="G9032" t="inlineStr">
        <is>
          <t>HUDIKSVALL</t>
        </is>
      </c>
      <c r="I9032" t="n">
        <v>1.6</v>
      </c>
      <c r="J9032" t="n">
        <v>0</v>
      </c>
      <c r="K9032" t="n">
        <v>0</v>
      </c>
      <c r="L9032" t="n">
        <v>0</v>
      </c>
      <c r="M9032" t="n">
        <v>0</v>
      </c>
      <c r="N9032" t="n">
        <v>0</v>
      </c>
      <c r="O9032" t="n">
        <v>0</v>
      </c>
      <c r="P9032" t="n">
        <v>0</v>
      </c>
      <c r="Q9032" t="n">
        <v>0</v>
      </c>
      <c r="R9032" t="n">
        <v>0</v>
      </c>
      <c r="S9032" t="n">
        <v>0</v>
      </c>
      <c r="T9032" t="n">
        <v>0</v>
      </c>
      <c r="U9032" t="n">
        <v>0</v>
      </c>
      <c r="V9032" s="2" t="inlineStr"/>
    </row>
    <row r="9033" ht="15" customHeight="1">
      <c r="A9033" t="inlineStr">
        <is>
          <t>A 29036-2026</t>
        </is>
      </c>
      <c r="B9033" t="inlineStr">
        <is>
          <t>avverkningsanmälan</t>
        </is>
      </c>
      <c r="C9033" t="inlineStr">
        <is>
          <t>Föryngringsavverkning</t>
        </is>
      </c>
      <c r="D9033" s="1" t="n">
        <v>46199</v>
      </c>
      <c r="E9033" s="1" t="n">
        <v>46326</v>
      </c>
      <c r="F9033" t="inlineStr">
        <is>
          <t>GÄVLEBORGS LÄN</t>
        </is>
      </c>
      <c r="G9033" t="inlineStr">
        <is>
          <t>LJUSDAL</t>
        </is>
      </c>
      <c r="H9033" t="inlineStr">
        <is>
          <t>Sveaskog</t>
        </is>
      </c>
      <c r="I9033" t="n">
        <v>4.5</v>
      </c>
      <c r="J9033" t="n">
        <v>0</v>
      </c>
      <c r="K9033" t="n">
        <v>0</v>
      </c>
      <c r="L9033" t="n">
        <v>0</v>
      </c>
      <c r="M9033" t="n">
        <v>0</v>
      </c>
      <c r="N9033" t="n">
        <v>0</v>
      </c>
      <c r="O9033" t="n">
        <v>0</v>
      </c>
      <c r="P9033" t="n">
        <v>0</v>
      </c>
      <c r="Q9033" t="n">
        <v>0</v>
      </c>
      <c r="R9033" t="n">
        <v>0</v>
      </c>
      <c r="S9033" t="n">
        <v>0</v>
      </c>
      <c r="T9033" t="n">
        <v>0</v>
      </c>
      <c r="U9033" t="n">
        <v>0</v>
      </c>
      <c r="V9033" s="2" t="inlineStr"/>
    </row>
    <row r="9034" ht="15" customHeight="1">
      <c r="A9034" t="inlineStr">
        <is>
          <t>A 29271-2026</t>
        </is>
      </c>
      <c r="B9034" t="inlineStr">
        <is>
          <t>avverkningsanmälan</t>
        </is>
      </c>
      <c r="C9034" t="inlineStr">
        <is>
          <t>Föryngringsavverkning</t>
        </is>
      </c>
      <c r="D9034" s="1" t="n">
        <v>46202</v>
      </c>
      <c r="E9034" s="1" t="n">
        <v>46326</v>
      </c>
      <c r="F9034" t="inlineStr">
        <is>
          <t>GÄVLEBORGS LÄN</t>
        </is>
      </c>
      <c r="G9034" t="inlineStr">
        <is>
          <t>LJUSDAL</t>
        </is>
      </c>
      <c r="H9034" t="inlineStr">
        <is>
          <t>Allmännings- och besparingsskogar</t>
        </is>
      </c>
      <c r="I9034" t="n">
        <v>1.4</v>
      </c>
      <c r="J9034" t="n">
        <v>0</v>
      </c>
      <c r="K9034" t="n">
        <v>0</v>
      </c>
      <c r="L9034" t="n">
        <v>0</v>
      </c>
      <c r="M9034" t="n">
        <v>0</v>
      </c>
      <c r="N9034" t="n">
        <v>0</v>
      </c>
      <c r="O9034" t="n">
        <v>0</v>
      </c>
      <c r="P9034" t="n">
        <v>0</v>
      </c>
      <c r="Q9034" t="n">
        <v>0</v>
      </c>
      <c r="R9034" t="n">
        <v>0</v>
      </c>
      <c r="S9034" t="n">
        <v>0</v>
      </c>
      <c r="T9034" t="n">
        <v>0</v>
      </c>
      <c r="U9034" t="n">
        <v>0</v>
      </c>
      <c r="V9034" s="2" t="inlineStr"/>
    </row>
    <row r="9035" ht="15" customHeight="1">
      <c r="A9035" t="inlineStr">
        <is>
          <t>A 46482-2023</t>
        </is>
      </c>
      <c r="B9035" t="inlineStr">
        <is>
          <t>avverkningsanmälan</t>
        </is>
      </c>
      <c r="C9035" t="inlineStr">
        <is>
          <t>Föryngringsavverkning</t>
        </is>
      </c>
      <c r="D9035" s="1" t="n">
        <v>45197</v>
      </c>
      <c r="E9035" s="1" t="n">
        <v>46326</v>
      </c>
      <c r="F9035" t="inlineStr">
        <is>
          <t>GÄVLEBORGS LÄN</t>
        </is>
      </c>
      <c r="G9035" t="inlineStr">
        <is>
          <t>SANDVIKEN</t>
        </is>
      </c>
      <c r="I9035" t="n">
        <v>4</v>
      </c>
      <c r="J9035" t="n">
        <v>0</v>
      </c>
      <c r="K9035" t="n">
        <v>0</v>
      </c>
      <c r="L9035" t="n">
        <v>0</v>
      </c>
      <c r="M9035" t="n">
        <v>0</v>
      </c>
      <c r="N9035" t="n">
        <v>0</v>
      </c>
      <c r="O9035" t="n">
        <v>0</v>
      </c>
      <c r="P9035" t="n">
        <v>0</v>
      </c>
      <c r="Q9035" t="n">
        <v>0</v>
      </c>
      <c r="R9035" t="n">
        <v>0</v>
      </c>
      <c r="S9035" t="n">
        <v>0</v>
      </c>
      <c r="T9035" t="n">
        <v>0</v>
      </c>
      <c r="U9035" t="n">
        <v>0</v>
      </c>
      <c r="V9035" s="2" t="inlineStr"/>
    </row>
    <row r="9036" ht="15" customHeight="1">
      <c r="A9036" t="inlineStr">
        <is>
          <t>A 48636-2024</t>
        </is>
      </c>
      <c r="B9036" t="inlineStr">
        <is>
          <t>avverkningsanmälan</t>
        </is>
      </c>
      <c r="C9036" t="inlineStr">
        <is>
          <t>Föryngringsavverkning</t>
        </is>
      </c>
      <c r="D9036" s="1" t="n">
        <v>45593</v>
      </c>
      <c r="E9036" s="1" t="n">
        <v>46326</v>
      </c>
      <c r="F9036" t="inlineStr">
        <is>
          <t>GÄVLEBORGS LÄN</t>
        </is>
      </c>
      <c r="G9036" t="inlineStr">
        <is>
          <t>NORDANSTIG</t>
        </is>
      </c>
      <c r="I9036" t="n">
        <v>3.5</v>
      </c>
      <c r="J9036" t="n">
        <v>0</v>
      </c>
      <c r="K9036" t="n">
        <v>0</v>
      </c>
      <c r="L9036" t="n">
        <v>0</v>
      </c>
      <c r="M9036" t="n">
        <v>0</v>
      </c>
      <c r="N9036" t="n">
        <v>0</v>
      </c>
      <c r="O9036" t="n">
        <v>0</v>
      </c>
      <c r="P9036" t="n">
        <v>0</v>
      </c>
      <c r="Q9036" t="n">
        <v>0</v>
      </c>
      <c r="R9036" t="n">
        <v>0</v>
      </c>
      <c r="S9036" t="n">
        <v>0</v>
      </c>
      <c r="T9036" t="n">
        <v>0</v>
      </c>
      <c r="U9036" t="n">
        <v>0</v>
      </c>
      <c r="V9036" s="2" t="inlineStr"/>
    </row>
    <row r="9037" ht="15" customHeight="1">
      <c r="A9037" t="inlineStr">
        <is>
          <t>A 61843-2023</t>
        </is>
      </c>
      <c r="B9037" t="inlineStr">
        <is>
          <t>avverkningsanmälan</t>
        </is>
      </c>
      <c r="C9037" t="inlineStr">
        <is>
          <t>Föryngringsavverkning</t>
        </is>
      </c>
      <c r="D9037" s="1" t="n">
        <v>45266</v>
      </c>
      <c r="E9037" s="1" t="n">
        <v>46326</v>
      </c>
      <c r="F9037" t="inlineStr">
        <is>
          <t>GÄVLEBORGS LÄN</t>
        </is>
      </c>
      <c r="G9037" t="inlineStr">
        <is>
          <t>GÄVLE</t>
        </is>
      </c>
      <c r="I9037" t="n">
        <v>0.7</v>
      </c>
      <c r="J9037" t="n">
        <v>0</v>
      </c>
      <c r="K9037" t="n">
        <v>0</v>
      </c>
      <c r="L9037" t="n">
        <v>0</v>
      </c>
      <c r="M9037" t="n">
        <v>0</v>
      </c>
      <c r="N9037" t="n">
        <v>0</v>
      </c>
      <c r="O9037" t="n">
        <v>0</v>
      </c>
      <c r="P9037" t="n">
        <v>0</v>
      </c>
      <c r="Q9037" t="n">
        <v>0</v>
      </c>
      <c r="R9037" t="n">
        <v>0</v>
      </c>
      <c r="S9037" t="n">
        <v>0</v>
      </c>
      <c r="T9037" t="n">
        <v>0</v>
      </c>
      <c r="U9037" t="n">
        <v>0</v>
      </c>
      <c r="V9037" s="2" t="inlineStr"/>
    </row>
    <row r="9038" ht="15" customHeight="1">
      <c r="A9038" t="inlineStr">
        <is>
          <t>A 204-2025</t>
        </is>
      </c>
      <c r="B9038" t="inlineStr">
        <is>
          <t>avverkningsanmälan</t>
        </is>
      </c>
      <c r="C9038" t="inlineStr">
        <is>
          <t>Föryngringsavverkning</t>
        </is>
      </c>
      <c r="D9038" s="1" t="n">
        <v>45660</v>
      </c>
      <c r="E9038" s="1" t="n">
        <v>46326</v>
      </c>
      <c r="F9038" t="inlineStr">
        <is>
          <t>GÄVLEBORGS LÄN</t>
        </is>
      </c>
      <c r="G9038" t="inlineStr">
        <is>
          <t>LJUSDAL</t>
        </is>
      </c>
      <c r="I9038" t="n">
        <v>2.3</v>
      </c>
      <c r="J9038" t="n">
        <v>0</v>
      </c>
      <c r="K9038" t="n">
        <v>0</v>
      </c>
      <c r="L9038" t="n">
        <v>0</v>
      </c>
      <c r="M9038" t="n">
        <v>0</v>
      </c>
      <c r="N9038" t="n">
        <v>0</v>
      </c>
      <c r="O9038" t="n">
        <v>0</v>
      </c>
      <c r="P9038" t="n">
        <v>0</v>
      </c>
      <c r="Q9038" t="n">
        <v>0</v>
      </c>
      <c r="R9038" t="n">
        <v>0</v>
      </c>
      <c r="S9038" t="n">
        <v>0</v>
      </c>
      <c r="T9038" t="n">
        <v>0</v>
      </c>
      <c r="U9038" t="n">
        <v>0</v>
      </c>
      <c r="V9038" s="2" t="inlineStr"/>
    </row>
    <row r="9039" ht="15" customHeight="1">
      <c r="A9039" t="inlineStr">
        <is>
          <t>A 214-2025</t>
        </is>
      </c>
      <c r="B9039" t="inlineStr">
        <is>
          <t>avverkningsanmälan</t>
        </is>
      </c>
      <c r="C9039" t="inlineStr">
        <is>
          <t>Föryngringsavverkning</t>
        </is>
      </c>
      <c r="D9039" s="1" t="n">
        <v>45660</v>
      </c>
      <c r="E9039" s="1" t="n">
        <v>46326</v>
      </c>
      <c r="F9039" t="inlineStr">
        <is>
          <t>GÄVLEBORGS LÄN</t>
        </is>
      </c>
      <c r="G9039" t="inlineStr">
        <is>
          <t>GÄVLE</t>
        </is>
      </c>
      <c r="I9039" t="n">
        <v>2.4</v>
      </c>
      <c r="J9039" t="n">
        <v>0</v>
      </c>
      <c r="K9039" t="n">
        <v>0</v>
      </c>
      <c r="L9039" t="n">
        <v>0</v>
      </c>
      <c r="M9039" t="n">
        <v>0</v>
      </c>
      <c r="N9039" t="n">
        <v>0</v>
      </c>
      <c r="O9039" t="n">
        <v>0</v>
      </c>
      <c r="P9039" t="n">
        <v>0</v>
      </c>
      <c r="Q9039" t="n">
        <v>0</v>
      </c>
      <c r="R9039" t="n">
        <v>0</v>
      </c>
      <c r="S9039" t="n">
        <v>0</v>
      </c>
      <c r="T9039" t="n">
        <v>0</v>
      </c>
      <c r="U9039" t="n">
        <v>0</v>
      </c>
      <c r="V9039" s="2" t="inlineStr"/>
    </row>
    <row r="9040" ht="15" customHeight="1">
      <c r="A9040" t="inlineStr">
        <is>
          <t>A 62774-2021</t>
        </is>
      </c>
      <c r="B9040" t="inlineStr">
        <is>
          <t>avverkningsanmälan</t>
        </is>
      </c>
      <c r="C9040" t="inlineStr">
        <is>
          <t>Avverkning för annat ändamål</t>
        </is>
      </c>
      <c r="D9040" s="1" t="n">
        <v>44503</v>
      </c>
      <c r="E9040" s="1" t="n">
        <v>46326</v>
      </c>
      <c r="F9040" t="inlineStr">
        <is>
          <t>GÄVLEBORGS LÄN</t>
        </is>
      </c>
      <c r="G9040" t="inlineStr">
        <is>
          <t>OVANÅKER</t>
        </is>
      </c>
      <c r="I9040" t="n">
        <v>0.8</v>
      </c>
      <c r="J9040" t="n">
        <v>0</v>
      </c>
      <c r="K9040" t="n">
        <v>0</v>
      </c>
      <c r="L9040" t="n">
        <v>0</v>
      </c>
      <c r="M9040" t="n">
        <v>0</v>
      </c>
      <c r="N9040" t="n">
        <v>0</v>
      </c>
      <c r="O9040" t="n">
        <v>0</v>
      </c>
      <c r="P9040" t="n">
        <v>0</v>
      </c>
      <c r="Q9040" t="n">
        <v>0</v>
      </c>
      <c r="R9040" t="n">
        <v>0</v>
      </c>
      <c r="S9040" t="n">
        <v>0</v>
      </c>
      <c r="T9040" t="n">
        <v>0</v>
      </c>
      <c r="U9040" t="n">
        <v>0</v>
      </c>
      <c r="V9040" s="2" t="inlineStr"/>
    </row>
    <row r="9041" ht="15" customHeight="1">
      <c r="A9041" t="inlineStr">
        <is>
          <t>A 3464-2023</t>
        </is>
      </c>
      <c r="B9041" t="inlineStr">
        <is>
          <t>avverkningsanmälan</t>
        </is>
      </c>
      <c r="C9041" t="inlineStr">
        <is>
          <t>Föryngringsavverkning</t>
        </is>
      </c>
      <c r="D9041" s="1" t="n">
        <v>44949</v>
      </c>
      <c r="E9041" s="1" t="n">
        <v>46326</v>
      </c>
      <c r="F9041" t="inlineStr">
        <is>
          <t>GÄVLEBORGS LÄN</t>
        </is>
      </c>
      <c r="G9041" t="inlineStr">
        <is>
          <t>LJUSDAL</t>
        </is>
      </c>
      <c r="I9041" t="n">
        <v>18.6</v>
      </c>
      <c r="J9041" t="n">
        <v>0</v>
      </c>
      <c r="K9041" t="n">
        <v>0</v>
      </c>
      <c r="L9041" t="n">
        <v>0</v>
      </c>
      <c r="M9041" t="n">
        <v>0</v>
      </c>
      <c r="N9041" t="n">
        <v>0</v>
      </c>
      <c r="O9041" t="n">
        <v>0</v>
      </c>
      <c r="P9041" t="n">
        <v>0</v>
      </c>
      <c r="Q9041" t="n">
        <v>0</v>
      </c>
      <c r="R9041" t="n">
        <v>0</v>
      </c>
      <c r="S9041" t="n">
        <v>0</v>
      </c>
      <c r="T9041" t="n">
        <v>0</v>
      </c>
      <c r="U9041" t="n">
        <v>0</v>
      </c>
      <c r="V9041" s="2" t="inlineStr"/>
    </row>
    <row r="9042" ht="15" customHeight="1">
      <c r="A9042" t="inlineStr">
        <is>
          <t>A 22678-2023</t>
        </is>
      </c>
      <c r="B9042" t="inlineStr">
        <is>
          <t>avverkningsanmälan</t>
        </is>
      </c>
      <c r="C9042" t="inlineStr">
        <is>
          <t>Avverkning för annat ändamål</t>
        </is>
      </c>
      <c r="D9042" s="1" t="n">
        <v>45071</v>
      </c>
      <c r="E9042" s="1" t="n">
        <v>46326</v>
      </c>
      <c r="F9042" t="inlineStr">
        <is>
          <t>GÄVLEBORGS LÄN</t>
        </is>
      </c>
      <c r="G9042" t="inlineStr">
        <is>
          <t>LJUSDAL</t>
        </is>
      </c>
      <c r="I9042" t="n">
        <v>0.1</v>
      </c>
      <c r="J9042" t="n">
        <v>0</v>
      </c>
      <c r="K9042" t="n">
        <v>0</v>
      </c>
      <c r="L9042" t="n">
        <v>0</v>
      </c>
      <c r="M9042" t="n">
        <v>0</v>
      </c>
      <c r="N9042" t="n">
        <v>0</v>
      </c>
      <c r="O9042" t="n">
        <v>0</v>
      </c>
      <c r="P9042" t="n">
        <v>0</v>
      </c>
      <c r="Q9042" t="n">
        <v>0</v>
      </c>
      <c r="R9042" t="n">
        <v>0</v>
      </c>
      <c r="S9042" t="n">
        <v>0</v>
      </c>
      <c r="T9042" t="n">
        <v>0</v>
      </c>
      <c r="U9042" t="n">
        <v>0</v>
      </c>
      <c r="V9042" s="2" t="inlineStr"/>
    </row>
    <row r="9043" ht="15" customHeight="1">
      <c r="A9043" t="inlineStr">
        <is>
          <t>A 26481-2026</t>
        </is>
      </c>
      <c r="B9043" t="inlineStr">
        <is>
          <t>avverkningsanmälan</t>
        </is>
      </c>
      <c r="C9043" t="inlineStr">
        <is>
          <t>Föryngringsavverkning</t>
        </is>
      </c>
      <c r="D9043" s="1" t="n">
        <v>46183</v>
      </c>
      <c r="E9043" s="1" t="n">
        <v>46326</v>
      </c>
      <c r="F9043" t="inlineStr">
        <is>
          <t>GÄVLEBORGS LÄN</t>
        </is>
      </c>
      <c r="G9043" t="inlineStr">
        <is>
          <t>OCKELBO</t>
        </is>
      </c>
      <c r="H9043" t="inlineStr">
        <is>
          <t>Bergvik skog väst AB</t>
        </is>
      </c>
      <c r="I9043" t="n">
        <v>3.2</v>
      </c>
      <c r="J9043" t="n">
        <v>0</v>
      </c>
      <c r="K9043" t="n">
        <v>0</v>
      </c>
      <c r="L9043" t="n">
        <v>0</v>
      </c>
      <c r="M9043" t="n">
        <v>0</v>
      </c>
      <c r="N9043" t="n">
        <v>0</v>
      </c>
      <c r="O9043" t="n">
        <v>0</v>
      </c>
      <c r="P9043" t="n">
        <v>0</v>
      </c>
      <c r="Q9043" t="n">
        <v>0</v>
      </c>
      <c r="R9043" t="n">
        <v>0</v>
      </c>
      <c r="S9043" t="n">
        <v>0</v>
      </c>
      <c r="T9043" t="n">
        <v>0</v>
      </c>
      <c r="U9043" t="n">
        <v>0</v>
      </c>
      <c r="V9043" s="2" t="inlineStr"/>
    </row>
    <row r="9044" ht="15" customHeight="1">
      <c r="A9044" t="inlineStr">
        <is>
          <t>A 29273-2026</t>
        </is>
      </c>
      <c r="B9044" t="inlineStr">
        <is>
          <t>avverkningsanmälan</t>
        </is>
      </c>
      <c r="C9044" t="inlineStr">
        <is>
          <t>Föryngringsavverkning</t>
        </is>
      </c>
      <c r="D9044" s="1" t="n">
        <v>46202</v>
      </c>
      <c r="E9044" s="1" t="n">
        <v>46326</v>
      </c>
      <c r="F9044" t="inlineStr">
        <is>
          <t>GÄVLEBORGS LÄN</t>
        </is>
      </c>
      <c r="G9044" t="inlineStr">
        <is>
          <t>OVANÅKER</t>
        </is>
      </c>
      <c r="H9044" t="inlineStr">
        <is>
          <t>Sveaskog</t>
        </is>
      </c>
      <c r="I9044" t="n">
        <v>7.4</v>
      </c>
      <c r="J9044" t="n">
        <v>0</v>
      </c>
      <c r="K9044" t="n">
        <v>0</v>
      </c>
      <c r="L9044" t="n">
        <v>0</v>
      </c>
      <c r="M9044" t="n">
        <v>0</v>
      </c>
      <c r="N9044" t="n">
        <v>0</v>
      </c>
      <c r="O9044" t="n">
        <v>0</v>
      </c>
      <c r="P9044" t="n">
        <v>0</v>
      </c>
      <c r="Q9044" t="n">
        <v>0</v>
      </c>
      <c r="R9044" t="n">
        <v>0</v>
      </c>
      <c r="S9044" t="n">
        <v>0</v>
      </c>
      <c r="T9044" t="n">
        <v>0</v>
      </c>
      <c r="U9044" t="n">
        <v>0</v>
      </c>
      <c r="V9044" s="2" t="inlineStr"/>
    </row>
    <row r="9045" ht="15" customHeight="1">
      <c r="A9045" t="inlineStr">
        <is>
          <t>A 9884-2023</t>
        </is>
      </c>
      <c r="B9045" t="inlineStr">
        <is>
          <t>avverkningsanmälan</t>
        </is>
      </c>
      <c r="C9045" t="inlineStr">
        <is>
          <t>Föryngringsavverkning</t>
        </is>
      </c>
      <c r="D9045" s="1" t="n">
        <v>44985</v>
      </c>
      <c r="E9045" s="1" t="n">
        <v>46326</v>
      </c>
      <c r="F9045" t="inlineStr">
        <is>
          <t>GÄVLEBORGS LÄN</t>
        </is>
      </c>
      <c r="G9045" t="inlineStr">
        <is>
          <t>NORDANSTIG</t>
        </is>
      </c>
      <c r="H9045" t="inlineStr">
        <is>
          <t>Holmen skog AB</t>
        </is>
      </c>
      <c r="I9045" t="n">
        <v>2.6</v>
      </c>
      <c r="J9045" t="n">
        <v>0</v>
      </c>
      <c r="K9045" t="n">
        <v>0</v>
      </c>
      <c r="L9045" t="n">
        <v>0</v>
      </c>
      <c r="M9045" t="n">
        <v>0</v>
      </c>
      <c r="N9045" t="n">
        <v>0</v>
      </c>
      <c r="O9045" t="n">
        <v>0</v>
      </c>
      <c r="P9045" t="n">
        <v>0</v>
      </c>
      <c r="Q9045" t="n">
        <v>0</v>
      </c>
      <c r="R9045" t="n">
        <v>0</v>
      </c>
      <c r="S9045" t="n">
        <v>0</v>
      </c>
      <c r="T9045" t="n">
        <v>0</v>
      </c>
      <c r="U9045" t="n">
        <v>0</v>
      </c>
      <c r="V9045" s="2" t="inlineStr"/>
    </row>
    <row r="9046" ht="15" customHeight="1">
      <c r="A9046" t="inlineStr">
        <is>
          <t>A 14827-2026</t>
        </is>
      </c>
      <c r="B9046" t="inlineStr">
        <is>
          <t>avverkningsanmälan</t>
        </is>
      </c>
      <c r="C9046" t="inlineStr">
        <is>
          <t>Föryngringsavverkning</t>
        </is>
      </c>
      <c r="D9046" s="1" t="n">
        <v>46104</v>
      </c>
      <c r="E9046" s="1" t="n">
        <v>46326</v>
      </c>
      <c r="F9046" t="inlineStr">
        <is>
          <t>GÄVLEBORGS LÄN</t>
        </is>
      </c>
      <c r="G9046" t="inlineStr">
        <is>
          <t>OCKELBO</t>
        </is>
      </c>
      <c r="I9046" t="n">
        <v>4.6</v>
      </c>
      <c r="J9046" t="n">
        <v>0</v>
      </c>
      <c r="K9046" t="n">
        <v>0</v>
      </c>
      <c r="L9046" t="n">
        <v>0</v>
      </c>
      <c r="M9046" t="n">
        <v>0</v>
      </c>
      <c r="N9046" t="n">
        <v>0</v>
      </c>
      <c r="O9046" t="n">
        <v>0</v>
      </c>
      <c r="P9046" t="n">
        <v>0</v>
      </c>
      <c r="Q9046" t="n">
        <v>0</v>
      </c>
      <c r="R9046" t="n">
        <v>0</v>
      </c>
      <c r="S9046" t="n">
        <v>0</v>
      </c>
      <c r="T9046" t="n">
        <v>0</v>
      </c>
      <c r="U9046" t="n">
        <v>0</v>
      </c>
      <c r="V9046" s="2" t="inlineStr"/>
    </row>
    <row r="9047" ht="15" customHeight="1">
      <c r="A9047" t="inlineStr">
        <is>
          <t>A 41648-2024</t>
        </is>
      </c>
      <c r="B9047" t="inlineStr">
        <is>
          <t>avverkningsanmälan</t>
        </is>
      </c>
      <c r="C9047" t="inlineStr">
        <is>
          <t>Föryngringsavverkning</t>
        </is>
      </c>
      <c r="D9047" s="1" t="n">
        <v>45560</v>
      </c>
      <c r="E9047" s="1" t="n">
        <v>46326</v>
      </c>
      <c r="F9047" t="inlineStr">
        <is>
          <t>GÄVLEBORGS LÄN</t>
        </is>
      </c>
      <c r="G9047" t="inlineStr">
        <is>
          <t>SÖDERHAMN</t>
        </is>
      </c>
      <c r="I9047" t="n">
        <v>0.5</v>
      </c>
      <c r="J9047" t="n">
        <v>0</v>
      </c>
      <c r="K9047" t="n">
        <v>0</v>
      </c>
      <c r="L9047" t="n">
        <v>0</v>
      </c>
      <c r="M9047" t="n">
        <v>0</v>
      </c>
      <c r="N9047" t="n">
        <v>0</v>
      </c>
      <c r="O9047" t="n">
        <v>0</v>
      </c>
      <c r="P9047" t="n">
        <v>0</v>
      </c>
      <c r="Q9047" t="n">
        <v>0</v>
      </c>
      <c r="R9047" t="n">
        <v>0</v>
      </c>
      <c r="S9047" t="n">
        <v>0</v>
      </c>
      <c r="T9047" t="n">
        <v>0</v>
      </c>
      <c r="U9047" t="n">
        <v>0</v>
      </c>
      <c r="V9047" s="2" t="inlineStr"/>
    </row>
    <row r="9048" ht="15" customHeight="1">
      <c r="A9048" t="inlineStr">
        <is>
          <t>A 29611-2026</t>
        </is>
      </c>
      <c r="B9048" t="inlineStr">
        <is>
          <t>avverkningsanmälan</t>
        </is>
      </c>
      <c r="C9048" t="inlineStr">
        <is>
          <t>Föryngringsavverkning</t>
        </is>
      </c>
      <c r="D9048" s="1" t="n">
        <v>46204</v>
      </c>
      <c r="E9048" s="1" t="n">
        <v>46326</v>
      </c>
      <c r="F9048" t="inlineStr">
        <is>
          <t>GÄVLEBORGS LÄN</t>
        </is>
      </c>
      <c r="G9048" t="inlineStr">
        <is>
          <t>OCKELBO</t>
        </is>
      </c>
      <c r="H9048" t="inlineStr">
        <is>
          <t>Bergvik skog väst AB</t>
        </is>
      </c>
      <c r="I9048" t="n">
        <v>3.1</v>
      </c>
      <c r="J9048" t="n">
        <v>0</v>
      </c>
      <c r="K9048" t="n">
        <v>0</v>
      </c>
      <c r="L9048" t="n">
        <v>0</v>
      </c>
      <c r="M9048" t="n">
        <v>0</v>
      </c>
      <c r="N9048" t="n">
        <v>0</v>
      </c>
      <c r="O9048" t="n">
        <v>0</v>
      </c>
      <c r="P9048" t="n">
        <v>0</v>
      </c>
      <c r="Q9048" t="n">
        <v>0</v>
      </c>
      <c r="R9048" t="n">
        <v>0</v>
      </c>
      <c r="S9048" t="n">
        <v>0</v>
      </c>
      <c r="T9048" t="n">
        <v>0</v>
      </c>
      <c r="U9048" t="n">
        <v>0</v>
      </c>
      <c r="V9048" s="2" t="inlineStr"/>
    </row>
    <row r="9049" ht="15" customHeight="1">
      <c r="A9049" t="inlineStr">
        <is>
          <t>A 29632-2026</t>
        </is>
      </c>
      <c r="B9049" t="inlineStr">
        <is>
          <t>avverkningsanmälan</t>
        </is>
      </c>
      <c r="C9049" t="inlineStr">
        <is>
          <t>Föryngringsavverkning</t>
        </is>
      </c>
      <c r="D9049" s="1" t="n">
        <v>46204</v>
      </c>
      <c r="E9049" s="1" t="n">
        <v>46326</v>
      </c>
      <c r="F9049" t="inlineStr">
        <is>
          <t>GÄVLEBORGS LÄN</t>
        </is>
      </c>
      <c r="G9049" t="inlineStr">
        <is>
          <t>BOLLNÄS</t>
        </is>
      </c>
      <c r="I9049" t="n">
        <v>0.8</v>
      </c>
      <c r="J9049" t="n">
        <v>0</v>
      </c>
      <c r="K9049" t="n">
        <v>0</v>
      </c>
      <c r="L9049" t="n">
        <v>0</v>
      </c>
      <c r="M9049" t="n">
        <v>0</v>
      </c>
      <c r="N9049" t="n">
        <v>0</v>
      </c>
      <c r="O9049" t="n">
        <v>0</v>
      </c>
      <c r="P9049" t="n">
        <v>0</v>
      </c>
      <c r="Q9049" t="n">
        <v>0</v>
      </c>
      <c r="R9049" t="n">
        <v>0</v>
      </c>
      <c r="S9049" t="n">
        <v>0</v>
      </c>
      <c r="T9049" t="n">
        <v>0</v>
      </c>
      <c r="U9049" t="n">
        <v>0</v>
      </c>
      <c r="V9049" s="2" t="inlineStr"/>
    </row>
    <row r="9050" ht="15" customHeight="1">
      <c r="A9050" t="inlineStr">
        <is>
          <t>A 29633-2026</t>
        </is>
      </c>
      <c r="B9050" t="inlineStr">
        <is>
          <t>avverkningsanmälan</t>
        </is>
      </c>
      <c r="C9050" t="inlineStr">
        <is>
          <t>Föryngringsavverkning</t>
        </is>
      </c>
      <c r="D9050" s="1" t="n">
        <v>46204</v>
      </c>
      <c r="E9050" s="1" t="n">
        <v>46326</v>
      </c>
      <c r="F9050" t="inlineStr">
        <is>
          <t>GÄVLEBORGS LÄN</t>
        </is>
      </c>
      <c r="G9050" t="inlineStr">
        <is>
          <t>BOLLNÄS</t>
        </is>
      </c>
      <c r="I9050" t="n">
        <v>2.1</v>
      </c>
      <c r="J9050" t="n">
        <v>0</v>
      </c>
      <c r="K9050" t="n">
        <v>0</v>
      </c>
      <c r="L9050" t="n">
        <v>0</v>
      </c>
      <c r="M9050" t="n">
        <v>0</v>
      </c>
      <c r="N9050" t="n">
        <v>0</v>
      </c>
      <c r="O9050" t="n">
        <v>0</v>
      </c>
      <c r="P9050" t="n">
        <v>0</v>
      </c>
      <c r="Q9050" t="n">
        <v>0</v>
      </c>
      <c r="R9050" t="n">
        <v>0</v>
      </c>
      <c r="S9050" t="n">
        <v>0</v>
      </c>
      <c r="T9050" t="n">
        <v>0</v>
      </c>
      <c r="U9050" t="n">
        <v>0</v>
      </c>
      <c r="V9050" s="2" t="inlineStr"/>
    </row>
    <row r="9051" ht="15" customHeight="1">
      <c r="A9051" t="inlineStr">
        <is>
          <t>A 29682-2026</t>
        </is>
      </c>
      <c r="B9051" t="inlineStr">
        <is>
          <t>avverkningsanmälan</t>
        </is>
      </c>
      <c r="C9051" t="inlineStr">
        <is>
          <t>Föryngringsavverkning</t>
        </is>
      </c>
      <c r="D9051" s="1" t="n">
        <v>46204</v>
      </c>
      <c r="E9051" s="1" t="n">
        <v>46326</v>
      </c>
      <c r="F9051" t="inlineStr">
        <is>
          <t>GÄVLEBORGS LÄN</t>
        </is>
      </c>
      <c r="G9051" t="inlineStr">
        <is>
          <t>SANDVIKEN</t>
        </is>
      </c>
      <c r="H9051" t="inlineStr">
        <is>
          <t>Bergvik skog öst AB</t>
        </is>
      </c>
      <c r="I9051" t="n">
        <v>0.6</v>
      </c>
      <c r="J9051" t="n">
        <v>0</v>
      </c>
      <c r="K9051" t="n">
        <v>0</v>
      </c>
      <c r="L9051" t="n">
        <v>0</v>
      </c>
      <c r="M9051" t="n">
        <v>0</v>
      </c>
      <c r="N9051" t="n">
        <v>0</v>
      </c>
      <c r="O9051" t="n">
        <v>0</v>
      </c>
      <c r="P9051" t="n">
        <v>0</v>
      </c>
      <c r="Q9051" t="n">
        <v>0</v>
      </c>
      <c r="R9051" t="n">
        <v>0</v>
      </c>
      <c r="S9051" t="n">
        <v>0</v>
      </c>
      <c r="T9051" t="n">
        <v>0</v>
      </c>
      <c r="U9051" t="n">
        <v>0</v>
      </c>
      <c r="V9051" s="2" t="inlineStr"/>
    </row>
    <row r="9052" ht="15" customHeight="1">
      <c r="A9052" t="inlineStr">
        <is>
          <t>A 29726-2026</t>
        </is>
      </c>
      <c r="B9052" t="inlineStr">
        <is>
          <t>avverkningsanmälan</t>
        </is>
      </c>
      <c r="C9052" t="inlineStr">
        <is>
          <t>Föryngringsavverkning</t>
        </is>
      </c>
      <c r="D9052" s="1" t="n">
        <v>46204</v>
      </c>
      <c r="E9052" s="1" t="n">
        <v>46326</v>
      </c>
      <c r="F9052" t="inlineStr">
        <is>
          <t>GÄVLEBORGS LÄN</t>
        </is>
      </c>
      <c r="G9052" t="inlineStr">
        <is>
          <t>SANDVIKEN</t>
        </is>
      </c>
      <c r="H9052" t="inlineStr">
        <is>
          <t>Naturvårdsverket</t>
        </is>
      </c>
      <c r="I9052" t="n">
        <v>1.8</v>
      </c>
      <c r="J9052" t="n">
        <v>0</v>
      </c>
      <c r="K9052" t="n">
        <v>0</v>
      </c>
      <c r="L9052" t="n">
        <v>0</v>
      </c>
      <c r="M9052" t="n">
        <v>0</v>
      </c>
      <c r="N9052" t="n">
        <v>0</v>
      </c>
      <c r="O9052" t="n">
        <v>0</v>
      </c>
      <c r="P9052" t="n">
        <v>0</v>
      </c>
      <c r="Q9052" t="n">
        <v>0</v>
      </c>
      <c r="R9052" t="n">
        <v>0</v>
      </c>
      <c r="S9052" t="n">
        <v>0</v>
      </c>
      <c r="T9052" t="n">
        <v>0</v>
      </c>
      <c r="U9052" t="n">
        <v>0</v>
      </c>
      <c r="V9052" s="2" t="inlineStr"/>
    </row>
    <row r="9053" ht="15" customHeight="1">
      <c r="A9053" t="inlineStr">
        <is>
          <t>A 29617-2026</t>
        </is>
      </c>
      <c r="B9053" t="inlineStr">
        <is>
          <t>avverkningsanmälan</t>
        </is>
      </c>
      <c r="C9053" t="inlineStr">
        <is>
          <t>Föryngringsavverkning</t>
        </is>
      </c>
      <c r="D9053" s="1" t="n">
        <v>46204</v>
      </c>
      <c r="E9053" s="1" t="n">
        <v>46326</v>
      </c>
      <c r="F9053" t="inlineStr">
        <is>
          <t>GÄVLEBORGS LÄN</t>
        </is>
      </c>
      <c r="G9053" t="inlineStr">
        <is>
          <t>BOLLNÄS</t>
        </is>
      </c>
      <c r="I9053" t="n">
        <v>0.8</v>
      </c>
      <c r="J9053" t="n">
        <v>0</v>
      </c>
      <c r="K9053" t="n">
        <v>0</v>
      </c>
      <c r="L9053" t="n">
        <v>0</v>
      </c>
      <c r="M9053" t="n">
        <v>0</v>
      </c>
      <c r="N9053" t="n">
        <v>0</v>
      </c>
      <c r="O9053" t="n">
        <v>0</v>
      </c>
      <c r="P9053" t="n">
        <v>0</v>
      </c>
      <c r="Q9053" t="n">
        <v>0</v>
      </c>
      <c r="R9053" t="n">
        <v>0</v>
      </c>
      <c r="S9053" t="n">
        <v>0</v>
      </c>
      <c r="T9053" t="n">
        <v>0</v>
      </c>
      <c r="U9053" t="n">
        <v>0</v>
      </c>
      <c r="V9053" s="2" t="inlineStr"/>
    </row>
    <row r="9054" ht="15" customHeight="1">
      <c r="A9054" t="inlineStr">
        <is>
          <t>A 29737-2026</t>
        </is>
      </c>
      <c r="B9054" t="inlineStr">
        <is>
          <t>avverkningsanmälan</t>
        </is>
      </c>
      <c r="C9054" t="inlineStr">
        <is>
          <t>Föryngringsavverkning</t>
        </is>
      </c>
      <c r="D9054" s="1" t="n">
        <v>46204</v>
      </c>
      <c r="E9054" s="1" t="n">
        <v>46326</v>
      </c>
      <c r="F9054" t="inlineStr">
        <is>
          <t>GÄVLEBORGS LÄN</t>
        </is>
      </c>
      <c r="G9054" t="inlineStr">
        <is>
          <t>LJUSDAL</t>
        </is>
      </c>
      <c r="I9054" t="n">
        <v>0.9</v>
      </c>
      <c r="J9054" t="n">
        <v>0</v>
      </c>
      <c r="K9054" t="n">
        <v>0</v>
      </c>
      <c r="L9054" t="n">
        <v>0</v>
      </c>
      <c r="M9054" t="n">
        <v>0</v>
      </c>
      <c r="N9054" t="n">
        <v>0</v>
      </c>
      <c r="O9054" t="n">
        <v>0</v>
      </c>
      <c r="P9054" t="n">
        <v>0</v>
      </c>
      <c r="Q9054" t="n">
        <v>0</v>
      </c>
      <c r="R9054" t="n">
        <v>0</v>
      </c>
      <c r="S9054" t="n">
        <v>0</v>
      </c>
      <c r="T9054" t="n">
        <v>0</v>
      </c>
      <c r="U9054" t="n">
        <v>0</v>
      </c>
      <c r="V9054" s="2" t="inlineStr"/>
    </row>
    <row r="9055" ht="15" customHeight="1">
      <c r="A9055" t="inlineStr">
        <is>
          <t>A 29446-2026</t>
        </is>
      </c>
      <c r="B9055" t="inlineStr">
        <is>
          <t>avverkningsanmälan</t>
        </is>
      </c>
      <c r="C9055" t="inlineStr">
        <is>
          <t>Föryngringsavverkning</t>
        </is>
      </c>
      <c r="D9055" s="1" t="n">
        <v>46203</v>
      </c>
      <c r="E9055" s="1" t="n">
        <v>46326</v>
      </c>
      <c r="F9055" t="inlineStr">
        <is>
          <t>GÄVLEBORGS LÄN</t>
        </is>
      </c>
      <c r="G9055" t="inlineStr">
        <is>
          <t>OVANÅKER</t>
        </is>
      </c>
      <c r="H9055" t="inlineStr">
        <is>
          <t>Bergvik skog väst AB</t>
        </is>
      </c>
      <c r="I9055" t="n">
        <v>2</v>
      </c>
      <c r="J9055" t="n">
        <v>0</v>
      </c>
      <c r="K9055" t="n">
        <v>0</v>
      </c>
      <c r="L9055" t="n">
        <v>0</v>
      </c>
      <c r="M9055" t="n">
        <v>0</v>
      </c>
      <c r="N9055" t="n">
        <v>0</v>
      </c>
      <c r="O9055" t="n">
        <v>0</v>
      </c>
      <c r="P9055" t="n">
        <v>0</v>
      </c>
      <c r="Q9055" t="n">
        <v>0</v>
      </c>
      <c r="R9055" t="n">
        <v>0</v>
      </c>
      <c r="S9055" t="n">
        <v>0</v>
      </c>
      <c r="T9055" t="n">
        <v>0</v>
      </c>
      <c r="U9055" t="n">
        <v>0</v>
      </c>
      <c r="V9055" s="2" t="inlineStr"/>
    </row>
    <row r="9056" ht="15" customHeight="1">
      <c r="A9056" t="inlineStr">
        <is>
          <t>A 29458-2026</t>
        </is>
      </c>
      <c r="B9056" t="inlineStr">
        <is>
          <t>avverkningsanmälan</t>
        </is>
      </c>
      <c r="C9056" t="inlineStr">
        <is>
          <t>Föryngringsavverkning</t>
        </is>
      </c>
      <c r="D9056" s="1" t="n">
        <v>46203</v>
      </c>
      <c r="E9056" s="1" t="n">
        <v>46326</v>
      </c>
      <c r="F9056" t="inlineStr">
        <is>
          <t>GÄVLEBORGS LÄN</t>
        </is>
      </c>
      <c r="G9056" t="inlineStr">
        <is>
          <t>OVANÅKER</t>
        </is>
      </c>
      <c r="I9056" t="n">
        <v>1.9</v>
      </c>
      <c r="J9056" t="n">
        <v>0</v>
      </c>
      <c r="K9056" t="n">
        <v>0</v>
      </c>
      <c r="L9056" t="n">
        <v>0</v>
      </c>
      <c r="M9056" t="n">
        <v>0</v>
      </c>
      <c r="N9056" t="n">
        <v>0</v>
      </c>
      <c r="O9056" t="n">
        <v>0</v>
      </c>
      <c r="P9056" t="n">
        <v>0</v>
      </c>
      <c r="Q9056" t="n">
        <v>0</v>
      </c>
      <c r="R9056" t="n">
        <v>0</v>
      </c>
      <c r="S9056" t="n">
        <v>0</v>
      </c>
      <c r="T9056" t="n">
        <v>0</v>
      </c>
      <c r="U9056" t="n">
        <v>0</v>
      </c>
      <c r="V9056" s="2" t="inlineStr"/>
    </row>
    <row r="9057" ht="15" customHeight="1">
      <c r="A9057" t="inlineStr">
        <is>
          <t>A 15306-2023</t>
        </is>
      </c>
      <c r="B9057" t="inlineStr">
        <is>
          <t>avverkningsanmälan</t>
        </is>
      </c>
      <c r="C9057" t="inlineStr">
        <is>
          <t>Föryngringsavverkning</t>
        </is>
      </c>
      <c r="D9057" s="1" t="n">
        <v>45019</v>
      </c>
      <c r="E9057" s="1" t="n">
        <v>46326</v>
      </c>
      <c r="F9057" t="inlineStr">
        <is>
          <t>GÄVLEBORGS LÄN</t>
        </is>
      </c>
      <c r="G9057" t="inlineStr">
        <is>
          <t>HUDIKSVALL</t>
        </is>
      </c>
      <c r="I9057" t="n">
        <v>0.8</v>
      </c>
      <c r="J9057" t="n">
        <v>0</v>
      </c>
      <c r="K9057" t="n">
        <v>0</v>
      </c>
      <c r="L9057" t="n">
        <v>0</v>
      </c>
      <c r="M9057" t="n">
        <v>0</v>
      </c>
      <c r="N9057" t="n">
        <v>0</v>
      </c>
      <c r="O9057" t="n">
        <v>0</v>
      </c>
      <c r="P9057" t="n">
        <v>0</v>
      </c>
      <c r="Q9057" t="n">
        <v>0</v>
      </c>
      <c r="R9057" t="n">
        <v>0</v>
      </c>
      <c r="S9057" t="n">
        <v>0</v>
      </c>
      <c r="T9057" t="n">
        <v>0</v>
      </c>
      <c r="U9057" t="n">
        <v>0</v>
      </c>
      <c r="V9057" s="2" t="inlineStr"/>
    </row>
    <row r="9058" ht="15" customHeight="1">
      <c r="A9058" t="inlineStr">
        <is>
          <t>A 11607-2023</t>
        </is>
      </c>
      <c r="B9058" t="inlineStr">
        <is>
          <t>avverkningsanmälan</t>
        </is>
      </c>
      <c r="C9058" t="inlineStr">
        <is>
          <t>Föryngringsavverkning</t>
        </is>
      </c>
      <c r="D9058" s="1" t="n">
        <v>44994</v>
      </c>
      <c r="E9058" s="1" t="n">
        <v>46326</v>
      </c>
      <c r="F9058" t="inlineStr">
        <is>
          <t>GÄVLEBORGS LÄN</t>
        </is>
      </c>
      <c r="G9058" t="inlineStr">
        <is>
          <t>HOFORS</t>
        </is>
      </c>
      <c r="H9058" t="inlineStr">
        <is>
          <t>Övriga statliga verk och myndigheter</t>
        </is>
      </c>
      <c r="I9058" t="n">
        <v>1.1</v>
      </c>
      <c r="J9058" t="n">
        <v>0</v>
      </c>
      <c r="K9058" t="n">
        <v>0</v>
      </c>
      <c r="L9058" t="n">
        <v>0</v>
      </c>
      <c r="M9058" t="n">
        <v>0</v>
      </c>
      <c r="N9058" t="n">
        <v>0</v>
      </c>
      <c r="O9058" t="n">
        <v>0</v>
      </c>
      <c r="P9058" t="n">
        <v>0</v>
      </c>
      <c r="Q9058" t="n">
        <v>0</v>
      </c>
      <c r="R9058" t="n">
        <v>0</v>
      </c>
      <c r="S9058" t="n">
        <v>0</v>
      </c>
      <c r="T9058" t="n">
        <v>0</v>
      </c>
      <c r="U9058" t="n">
        <v>0</v>
      </c>
      <c r="V9058" s="2" t="inlineStr"/>
    </row>
    <row r="9059" ht="15" customHeight="1">
      <c r="A9059" t="inlineStr">
        <is>
          <t>A 29697-2026</t>
        </is>
      </c>
      <c r="B9059" t="inlineStr">
        <is>
          <t>avverkningsanmälan</t>
        </is>
      </c>
      <c r="C9059" t="inlineStr">
        <is>
          <t>Föryngringsavverkning</t>
        </is>
      </c>
      <c r="D9059" s="1" t="n">
        <v>46204</v>
      </c>
      <c r="E9059" s="1" t="n">
        <v>46326</v>
      </c>
      <c r="F9059" t="inlineStr">
        <is>
          <t>GÄVLEBORGS LÄN</t>
        </is>
      </c>
      <c r="G9059" t="inlineStr">
        <is>
          <t>BOLLNÄS</t>
        </is>
      </c>
      <c r="I9059" t="n">
        <v>0.8</v>
      </c>
      <c r="J9059" t="n">
        <v>0</v>
      </c>
      <c r="K9059" t="n">
        <v>0</v>
      </c>
      <c r="L9059" t="n">
        <v>0</v>
      </c>
      <c r="M9059" t="n">
        <v>0</v>
      </c>
      <c r="N9059" t="n">
        <v>0</v>
      </c>
      <c r="O9059" t="n">
        <v>0</v>
      </c>
      <c r="P9059" t="n">
        <v>0</v>
      </c>
      <c r="Q9059" t="n">
        <v>0</v>
      </c>
      <c r="R9059" t="n">
        <v>0</v>
      </c>
      <c r="S9059" t="n">
        <v>0</v>
      </c>
      <c r="T9059" t="n">
        <v>0</v>
      </c>
      <c r="U9059" t="n">
        <v>0</v>
      </c>
      <c r="V9059" s="2" t="inlineStr"/>
    </row>
    <row r="9060" ht="15" customHeight="1">
      <c r="A9060" t="inlineStr">
        <is>
          <t>A 55694-2024</t>
        </is>
      </c>
      <c r="B9060" t="inlineStr">
        <is>
          <t>avverkningsanmälan</t>
        </is>
      </c>
      <c r="C9060" t="inlineStr">
        <is>
          <t>Föryngringsavverkning</t>
        </is>
      </c>
      <c r="D9060" s="1" t="n">
        <v>45622</v>
      </c>
      <c r="E9060" s="1" t="n">
        <v>46326</v>
      </c>
      <c r="F9060" t="inlineStr">
        <is>
          <t>GÄVLEBORGS LÄN</t>
        </is>
      </c>
      <c r="G9060" t="inlineStr">
        <is>
          <t>NORDANSTIG</t>
        </is>
      </c>
      <c r="H9060" t="inlineStr">
        <is>
          <t>Holmen skog AB</t>
        </is>
      </c>
      <c r="I9060" t="n">
        <v>1.1</v>
      </c>
      <c r="J9060" t="n">
        <v>0</v>
      </c>
      <c r="K9060" t="n">
        <v>0</v>
      </c>
      <c r="L9060" t="n">
        <v>0</v>
      </c>
      <c r="M9060" t="n">
        <v>0</v>
      </c>
      <c r="N9060" t="n">
        <v>0</v>
      </c>
      <c r="O9060" t="n">
        <v>0</v>
      </c>
      <c r="P9060" t="n">
        <v>0</v>
      </c>
      <c r="Q9060" t="n">
        <v>0</v>
      </c>
      <c r="R9060" t="n">
        <v>0</v>
      </c>
      <c r="S9060" t="n">
        <v>0</v>
      </c>
      <c r="T9060" t="n">
        <v>0</v>
      </c>
      <c r="U9060" t="n">
        <v>0</v>
      </c>
      <c r="V9060" s="2" t="inlineStr"/>
    </row>
    <row r="9061" ht="15" customHeight="1">
      <c r="A9061" t="inlineStr">
        <is>
          <t>A 19767-2026</t>
        </is>
      </c>
      <c r="B9061" t="inlineStr">
        <is>
          <t>avverkningsanmälan</t>
        </is>
      </c>
      <c r="C9061" t="inlineStr">
        <is>
          <t>Föryngringsavverkning</t>
        </is>
      </c>
      <c r="D9061" s="1" t="n">
        <v>46135</v>
      </c>
      <c r="E9061" s="1" t="n">
        <v>46326</v>
      </c>
      <c r="F9061" t="inlineStr">
        <is>
          <t>GÄVLEBORGS LÄN</t>
        </is>
      </c>
      <c r="G9061" t="inlineStr">
        <is>
          <t>BOLLNÄS</t>
        </is>
      </c>
      <c r="H9061" t="inlineStr">
        <is>
          <t>Bergvik skog väst AB</t>
        </is>
      </c>
      <c r="I9061" t="n">
        <v>4.4</v>
      </c>
      <c r="J9061" t="n">
        <v>0</v>
      </c>
      <c r="K9061" t="n">
        <v>0</v>
      </c>
      <c r="L9061" t="n">
        <v>0</v>
      </c>
      <c r="M9061" t="n">
        <v>0</v>
      </c>
      <c r="N9061" t="n">
        <v>0</v>
      </c>
      <c r="O9061" t="n">
        <v>0</v>
      </c>
      <c r="P9061" t="n">
        <v>0</v>
      </c>
      <c r="Q9061" t="n">
        <v>0</v>
      </c>
      <c r="R9061" t="n">
        <v>0</v>
      </c>
      <c r="S9061" t="n">
        <v>0</v>
      </c>
      <c r="T9061" t="n">
        <v>0</v>
      </c>
      <c r="U9061" t="n">
        <v>0</v>
      </c>
      <c r="V9061" s="2" t="inlineStr"/>
    </row>
    <row r="9062" ht="15" customHeight="1">
      <c r="A9062" t="inlineStr">
        <is>
          <t>A 29437-2026</t>
        </is>
      </c>
      <c r="B9062" t="inlineStr">
        <is>
          <t>avverkningsanmälan</t>
        </is>
      </c>
      <c r="C9062" t="inlineStr">
        <is>
          <t>Föryngringsavverkning</t>
        </is>
      </c>
      <c r="D9062" s="1" t="n">
        <v>46203</v>
      </c>
      <c r="E9062" s="1" t="n">
        <v>46326</v>
      </c>
      <c r="F9062" t="inlineStr">
        <is>
          <t>GÄVLEBORGS LÄN</t>
        </is>
      </c>
      <c r="G9062" t="inlineStr">
        <is>
          <t>OCKELBO</t>
        </is>
      </c>
      <c r="H9062" t="inlineStr">
        <is>
          <t>Bergvik skog väst AB</t>
        </is>
      </c>
      <c r="I9062" t="n">
        <v>1.2</v>
      </c>
      <c r="J9062" t="n">
        <v>0</v>
      </c>
      <c r="K9062" t="n">
        <v>0</v>
      </c>
      <c r="L9062" t="n">
        <v>0</v>
      </c>
      <c r="M9062" t="n">
        <v>0</v>
      </c>
      <c r="N9062" t="n">
        <v>0</v>
      </c>
      <c r="O9062" t="n">
        <v>0</v>
      </c>
      <c r="P9062" t="n">
        <v>0</v>
      </c>
      <c r="Q9062" t="n">
        <v>0</v>
      </c>
      <c r="R9062" t="n">
        <v>0</v>
      </c>
      <c r="S9062" t="n">
        <v>0</v>
      </c>
      <c r="T9062" t="n">
        <v>0</v>
      </c>
      <c r="U9062" t="n">
        <v>0</v>
      </c>
      <c r="V9062" s="2" t="inlineStr"/>
    </row>
    <row r="9063" ht="15" customHeight="1">
      <c r="A9063" t="inlineStr">
        <is>
          <t>A 29457-2026</t>
        </is>
      </c>
      <c r="B9063" t="inlineStr">
        <is>
          <t>avverkningsanmälan</t>
        </is>
      </c>
      <c r="C9063" t="inlineStr">
        <is>
          <t>Föryngringsavverkning</t>
        </is>
      </c>
      <c r="D9063" s="1" t="n">
        <v>46203</v>
      </c>
      <c r="E9063" s="1" t="n">
        <v>46326</v>
      </c>
      <c r="F9063" t="inlineStr">
        <is>
          <t>GÄVLEBORGS LÄN</t>
        </is>
      </c>
      <c r="G9063" t="inlineStr">
        <is>
          <t>BOLLNÄS</t>
        </is>
      </c>
      <c r="I9063" t="n">
        <v>1.4</v>
      </c>
      <c r="J9063" t="n">
        <v>0</v>
      </c>
      <c r="K9063" t="n">
        <v>0</v>
      </c>
      <c r="L9063" t="n">
        <v>0</v>
      </c>
      <c r="M9063" t="n">
        <v>0</v>
      </c>
      <c r="N9063" t="n">
        <v>0</v>
      </c>
      <c r="O9063" t="n">
        <v>0</v>
      </c>
      <c r="P9063" t="n">
        <v>0</v>
      </c>
      <c r="Q9063" t="n">
        <v>0</v>
      </c>
      <c r="R9063" t="n">
        <v>0</v>
      </c>
      <c r="S9063" t="n">
        <v>0</v>
      </c>
      <c r="T9063" t="n">
        <v>0</v>
      </c>
      <c r="U9063" t="n">
        <v>0</v>
      </c>
      <c r="V9063" s="2" t="inlineStr"/>
    </row>
    <row r="9064" ht="15" customHeight="1">
      <c r="A9064" t="inlineStr">
        <is>
          <t>A 29471-2026</t>
        </is>
      </c>
      <c r="B9064" t="inlineStr">
        <is>
          <t>avverkningsanmälan</t>
        </is>
      </c>
      <c r="C9064" t="inlineStr">
        <is>
          <t>Föryngringsavverkning</t>
        </is>
      </c>
      <c r="D9064" s="1" t="n">
        <v>46203</v>
      </c>
      <c r="E9064" s="1" t="n">
        <v>46326</v>
      </c>
      <c r="F9064" t="inlineStr">
        <is>
          <t>GÄVLEBORGS LÄN</t>
        </is>
      </c>
      <c r="G9064" t="inlineStr">
        <is>
          <t>SANDVIKEN</t>
        </is>
      </c>
      <c r="I9064" t="n">
        <v>1.9</v>
      </c>
      <c r="J9064" t="n">
        <v>0</v>
      </c>
      <c r="K9064" t="n">
        <v>0</v>
      </c>
      <c r="L9064" t="n">
        <v>0</v>
      </c>
      <c r="M9064" t="n">
        <v>0</v>
      </c>
      <c r="N9064" t="n">
        <v>0</v>
      </c>
      <c r="O9064" t="n">
        <v>0</v>
      </c>
      <c r="P9064" t="n">
        <v>0</v>
      </c>
      <c r="Q9064" t="n">
        <v>0</v>
      </c>
      <c r="R9064" t="n">
        <v>0</v>
      </c>
      <c r="S9064" t="n">
        <v>0</v>
      </c>
      <c r="T9064" t="n">
        <v>0</v>
      </c>
      <c r="U9064" t="n">
        <v>0</v>
      </c>
      <c r="V9064" s="2" t="inlineStr"/>
    </row>
    <row r="9065" ht="15" customHeight="1">
      <c r="A9065" t="inlineStr">
        <is>
          <t>A 40332-2024</t>
        </is>
      </c>
      <c r="B9065" t="inlineStr">
        <is>
          <t>avverkningsanmälan</t>
        </is>
      </c>
      <c r="C9065" t="inlineStr">
        <is>
          <t>Föryngringsavverkning</t>
        </is>
      </c>
      <c r="D9065" s="1" t="n">
        <v>45555</v>
      </c>
      <c r="E9065" s="1" t="n">
        <v>46326</v>
      </c>
      <c r="F9065" t="inlineStr">
        <is>
          <t>GÄVLEBORGS LÄN</t>
        </is>
      </c>
      <c r="G9065" t="inlineStr">
        <is>
          <t>HUDIKSVALL</t>
        </is>
      </c>
      <c r="H9065" t="inlineStr">
        <is>
          <t>Naturvårdsverket</t>
        </is>
      </c>
      <c r="I9065" t="n">
        <v>0.9</v>
      </c>
      <c r="J9065" t="n">
        <v>0</v>
      </c>
      <c r="K9065" t="n">
        <v>0</v>
      </c>
      <c r="L9065" t="n">
        <v>0</v>
      </c>
      <c r="M9065" t="n">
        <v>0</v>
      </c>
      <c r="N9065" t="n">
        <v>0</v>
      </c>
      <c r="O9065" t="n">
        <v>0</v>
      </c>
      <c r="P9065" t="n">
        <v>0</v>
      </c>
      <c r="Q9065" t="n">
        <v>0</v>
      </c>
      <c r="R9065" t="n">
        <v>0</v>
      </c>
      <c r="S9065" t="n">
        <v>0</v>
      </c>
      <c r="T9065" t="n">
        <v>0</v>
      </c>
      <c r="U9065" t="n">
        <v>0</v>
      </c>
      <c r="V9065" s="2" t="inlineStr"/>
    </row>
    <row r="9066" ht="15" customHeight="1">
      <c r="A9066" t="inlineStr">
        <is>
          <t>A 29447-2026</t>
        </is>
      </c>
      <c r="B9066" t="inlineStr">
        <is>
          <t>avverkningsanmälan</t>
        </is>
      </c>
      <c r="C9066" t="inlineStr">
        <is>
          <t>Föryngringsavverkning</t>
        </is>
      </c>
      <c r="D9066" s="1" t="n">
        <v>46203</v>
      </c>
      <c r="E9066" s="1" t="n">
        <v>46326</v>
      </c>
      <c r="F9066" t="inlineStr">
        <is>
          <t>GÄVLEBORGS LÄN</t>
        </is>
      </c>
      <c r="G9066" t="inlineStr">
        <is>
          <t>BOLLNÄS</t>
        </is>
      </c>
      <c r="I9066" t="n">
        <v>2.1</v>
      </c>
      <c r="J9066" t="n">
        <v>0</v>
      </c>
      <c r="K9066" t="n">
        <v>0</v>
      </c>
      <c r="L9066" t="n">
        <v>0</v>
      </c>
      <c r="M9066" t="n">
        <v>0</v>
      </c>
      <c r="N9066" t="n">
        <v>0</v>
      </c>
      <c r="O9066" t="n">
        <v>0</v>
      </c>
      <c r="P9066" t="n">
        <v>0</v>
      </c>
      <c r="Q9066" t="n">
        <v>0</v>
      </c>
      <c r="R9066" t="n">
        <v>0</v>
      </c>
      <c r="S9066" t="n">
        <v>0</v>
      </c>
      <c r="T9066" t="n">
        <v>0</v>
      </c>
      <c r="U9066" t="n">
        <v>0</v>
      </c>
      <c r="V9066" s="2" t="inlineStr"/>
    </row>
    <row r="9067" ht="15" customHeight="1">
      <c r="A9067" t="inlineStr">
        <is>
          <t>A 29554-2026</t>
        </is>
      </c>
      <c r="B9067" t="inlineStr">
        <is>
          <t>avverkningsanmälan</t>
        </is>
      </c>
      <c r="C9067" t="inlineStr">
        <is>
          <t>Föryngringsavverkning</t>
        </is>
      </c>
      <c r="D9067" s="1" t="n">
        <v>46204</v>
      </c>
      <c r="E9067" s="1" t="n">
        <v>46326</v>
      </c>
      <c r="F9067" t="inlineStr">
        <is>
          <t>GÄVLEBORGS LÄN</t>
        </is>
      </c>
      <c r="G9067" t="inlineStr">
        <is>
          <t>HUDIKSVALL</t>
        </is>
      </c>
      <c r="H9067" t="inlineStr">
        <is>
          <t>Holmen skog AB</t>
        </is>
      </c>
      <c r="I9067" t="n">
        <v>9.800000000000001</v>
      </c>
      <c r="J9067" t="n">
        <v>0</v>
      </c>
      <c r="K9067" t="n">
        <v>0</v>
      </c>
      <c r="L9067" t="n">
        <v>0</v>
      </c>
      <c r="M9067" t="n">
        <v>0</v>
      </c>
      <c r="N9067" t="n">
        <v>0</v>
      </c>
      <c r="O9067" t="n">
        <v>0</v>
      </c>
      <c r="P9067" t="n">
        <v>0</v>
      </c>
      <c r="Q9067" t="n">
        <v>0</v>
      </c>
      <c r="R9067" t="n">
        <v>0</v>
      </c>
      <c r="S9067" t="n">
        <v>0</v>
      </c>
      <c r="T9067" t="n">
        <v>0</v>
      </c>
      <c r="U9067" t="n">
        <v>0</v>
      </c>
      <c r="V9067" s="2" t="inlineStr"/>
    </row>
    <row r="9068" ht="15" customHeight="1">
      <c r="A9068" t="inlineStr">
        <is>
          <t>A 44168-2022</t>
        </is>
      </c>
      <c r="B9068" t="inlineStr">
        <is>
          <t>avverkningsanmälan</t>
        </is>
      </c>
      <c r="C9068" t="inlineStr">
        <is>
          <t>Föryngringsavverkning</t>
        </is>
      </c>
      <c r="D9068" s="1" t="n">
        <v>44839</v>
      </c>
      <c r="E9068" s="1" t="n">
        <v>46326</v>
      </c>
      <c r="F9068" t="inlineStr">
        <is>
          <t>GÄVLEBORGS LÄN</t>
        </is>
      </c>
      <c r="G9068" t="inlineStr">
        <is>
          <t>HUDIKSVALL</t>
        </is>
      </c>
      <c r="I9068" t="n">
        <v>3.2</v>
      </c>
      <c r="J9068" t="n">
        <v>0</v>
      </c>
      <c r="K9068" t="n">
        <v>0</v>
      </c>
      <c r="L9068" t="n">
        <v>0</v>
      </c>
      <c r="M9068" t="n">
        <v>0</v>
      </c>
      <c r="N9068" t="n">
        <v>0</v>
      </c>
      <c r="O9068" t="n">
        <v>0</v>
      </c>
      <c r="P9068" t="n">
        <v>0</v>
      </c>
      <c r="Q9068" t="n">
        <v>0</v>
      </c>
      <c r="R9068" t="n">
        <v>0</v>
      </c>
      <c r="S9068" t="n">
        <v>0</v>
      </c>
      <c r="T9068" t="n">
        <v>0</v>
      </c>
      <c r="U9068" t="n">
        <v>0</v>
      </c>
      <c r="V9068" s="2" t="inlineStr"/>
    </row>
    <row r="9069" ht="15" customHeight="1">
      <c r="A9069" t="inlineStr">
        <is>
          <t>A 29572-2026</t>
        </is>
      </c>
      <c r="B9069" t="inlineStr">
        <is>
          <t>avverkningsanmälan</t>
        </is>
      </c>
      <c r="C9069" t="inlineStr">
        <is>
          <t>Föryngringsavverkning</t>
        </is>
      </c>
      <c r="D9069" s="1" t="n">
        <v>46204</v>
      </c>
      <c r="E9069" s="1" t="n">
        <v>46326</v>
      </c>
      <c r="F9069" t="inlineStr">
        <is>
          <t>GÄVLEBORGS LÄN</t>
        </is>
      </c>
      <c r="G9069" t="inlineStr">
        <is>
          <t>SANDVIKEN</t>
        </is>
      </c>
      <c r="I9069" t="n">
        <v>4.4</v>
      </c>
      <c r="J9069" t="n">
        <v>0</v>
      </c>
      <c r="K9069" t="n">
        <v>0</v>
      </c>
      <c r="L9069" t="n">
        <v>0</v>
      </c>
      <c r="M9069" t="n">
        <v>0</v>
      </c>
      <c r="N9069" t="n">
        <v>0</v>
      </c>
      <c r="O9069" t="n">
        <v>0</v>
      </c>
      <c r="P9069" t="n">
        <v>0</v>
      </c>
      <c r="Q9069" t="n">
        <v>0</v>
      </c>
      <c r="R9069" t="n">
        <v>0</v>
      </c>
      <c r="S9069" t="n">
        <v>0</v>
      </c>
      <c r="T9069" t="n">
        <v>0</v>
      </c>
      <c r="U9069" t="n">
        <v>0</v>
      </c>
      <c r="V9069" s="2" t="inlineStr"/>
    </row>
    <row r="9070" ht="15" customHeight="1">
      <c r="A9070" t="inlineStr">
        <is>
          <t>A 29445-2026</t>
        </is>
      </c>
      <c r="B9070" t="inlineStr">
        <is>
          <t>avverkningsanmälan</t>
        </is>
      </c>
      <c r="C9070" t="inlineStr">
        <is>
          <t>Föryngringsavverkning</t>
        </is>
      </c>
      <c r="D9070" s="1" t="n">
        <v>46203</v>
      </c>
      <c r="E9070" s="1" t="n">
        <v>46326</v>
      </c>
      <c r="F9070" t="inlineStr">
        <is>
          <t>GÄVLEBORGS LÄN</t>
        </is>
      </c>
      <c r="G9070" t="inlineStr">
        <is>
          <t>BOLLNÄS</t>
        </is>
      </c>
      <c r="I9070" t="n">
        <v>1.2</v>
      </c>
      <c r="J9070" t="n">
        <v>0</v>
      </c>
      <c r="K9070" t="n">
        <v>0</v>
      </c>
      <c r="L9070" t="n">
        <v>0</v>
      </c>
      <c r="M9070" t="n">
        <v>0</v>
      </c>
      <c r="N9070" t="n">
        <v>0</v>
      </c>
      <c r="O9070" t="n">
        <v>0</v>
      </c>
      <c r="P9070" t="n">
        <v>0</v>
      </c>
      <c r="Q9070" t="n">
        <v>0</v>
      </c>
      <c r="R9070" t="n">
        <v>0</v>
      </c>
      <c r="S9070" t="n">
        <v>0</v>
      </c>
      <c r="T9070" t="n">
        <v>0</v>
      </c>
      <c r="U9070" t="n">
        <v>0</v>
      </c>
      <c r="V9070" s="2" t="inlineStr"/>
    </row>
    <row r="9071" ht="15" customHeight="1">
      <c r="A9071" t="inlineStr">
        <is>
          <t>A 29386-2026</t>
        </is>
      </c>
      <c r="B9071" t="inlineStr">
        <is>
          <t>avverkningsanmälan</t>
        </is>
      </c>
      <c r="C9071" t="inlineStr">
        <is>
          <t>Föryngringsavverkning</t>
        </is>
      </c>
      <c r="D9071" s="1" t="n">
        <v>46203</v>
      </c>
      <c r="E9071" s="1" t="n">
        <v>46326</v>
      </c>
      <c r="F9071" t="inlineStr">
        <is>
          <t>GÄVLEBORGS LÄN</t>
        </is>
      </c>
      <c r="G9071" t="inlineStr">
        <is>
          <t>OCKELBO</t>
        </is>
      </c>
      <c r="H9071" t="inlineStr">
        <is>
          <t>Bergvik skog väst AB</t>
        </is>
      </c>
      <c r="I9071" t="n">
        <v>4</v>
      </c>
      <c r="J9071" t="n">
        <v>0</v>
      </c>
      <c r="K9071" t="n">
        <v>0</v>
      </c>
      <c r="L9071" t="n">
        <v>0</v>
      </c>
      <c r="M9071" t="n">
        <v>0</v>
      </c>
      <c r="N9071" t="n">
        <v>0</v>
      </c>
      <c r="O9071" t="n">
        <v>0</v>
      </c>
      <c r="P9071" t="n">
        <v>0</v>
      </c>
      <c r="Q9071" t="n">
        <v>0</v>
      </c>
      <c r="R9071" t="n">
        <v>0</v>
      </c>
      <c r="S9071" t="n">
        <v>0</v>
      </c>
      <c r="T9071" t="n">
        <v>0</v>
      </c>
      <c r="U9071" t="n">
        <v>0</v>
      </c>
      <c r="V9071" s="2" t="inlineStr"/>
    </row>
    <row r="9072" ht="15" customHeight="1">
      <c r="A9072" t="inlineStr">
        <is>
          <t>A 29356-2026</t>
        </is>
      </c>
      <c r="B9072" t="inlineStr">
        <is>
          <t>avverkningsanmälan</t>
        </is>
      </c>
      <c r="C9072" t="inlineStr">
        <is>
          <t>Föryngringsavverkning</t>
        </is>
      </c>
      <c r="D9072" s="1" t="n">
        <v>46203</v>
      </c>
      <c r="E9072" s="1" t="n">
        <v>46326</v>
      </c>
      <c r="F9072" t="inlineStr">
        <is>
          <t>GÄVLEBORGS LÄN</t>
        </is>
      </c>
      <c r="G9072" t="inlineStr">
        <is>
          <t>LJUSDAL</t>
        </is>
      </c>
      <c r="I9072" t="n">
        <v>11.4</v>
      </c>
      <c r="J9072" t="n">
        <v>0</v>
      </c>
      <c r="K9072" t="n">
        <v>0</v>
      </c>
      <c r="L9072" t="n">
        <v>0</v>
      </c>
      <c r="M9072" t="n">
        <v>0</v>
      </c>
      <c r="N9072" t="n">
        <v>0</v>
      </c>
      <c r="O9072" t="n">
        <v>0</v>
      </c>
      <c r="P9072" t="n">
        <v>0</v>
      </c>
      <c r="Q9072" t="n">
        <v>0</v>
      </c>
      <c r="R9072" t="n">
        <v>0</v>
      </c>
      <c r="S9072" t="n">
        <v>0</v>
      </c>
      <c r="T9072" t="n">
        <v>0</v>
      </c>
      <c r="U9072" t="n">
        <v>0</v>
      </c>
      <c r="V9072" s="2" t="inlineStr"/>
    </row>
    <row r="9073" ht="15" customHeight="1">
      <c r="A9073" t="inlineStr">
        <is>
          <t>A 29358-2026</t>
        </is>
      </c>
      <c r="B9073" t="inlineStr">
        <is>
          <t>avverkningsanmälan</t>
        </is>
      </c>
      <c r="C9073" t="inlineStr">
        <is>
          <t>Föryngringsavverkning</t>
        </is>
      </c>
      <c r="D9073" s="1" t="n">
        <v>46203</v>
      </c>
      <c r="E9073" s="1" t="n">
        <v>46326</v>
      </c>
      <c r="F9073" t="inlineStr">
        <is>
          <t>GÄVLEBORGS LÄN</t>
        </is>
      </c>
      <c r="G9073" t="inlineStr">
        <is>
          <t>LJUSDAL</t>
        </is>
      </c>
      <c r="I9073" t="n">
        <v>12</v>
      </c>
      <c r="J9073" t="n">
        <v>0</v>
      </c>
      <c r="K9073" t="n">
        <v>0</v>
      </c>
      <c r="L9073" t="n">
        <v>0</v>
      </c>
      <c r="M9073" t="n">
        <v>0</v>
      </c>
      <c r="N9073" t="n">
        <v>0</v>
      </c>
      <c r="O9073" t="n">
        <v>0</v>
      </c>
      <c r="P9073" t="n">
        <v>0</v>
      </c>
      <c r="Q9073" t="n">
        <v>0</v>
      </c>
      <c r="R9073" t="n">
        <v>0</v>
      </c>
      <c r="S9073" t="n">
        <v>0</v>
      </c>
      <c r="T9073" t="n">
        <v>0</v>
      </c>
      <c r="U9073" t="n">
        <v>0</v>
      </c>
      <c r="V9073" s="2" t="inlineStr"/>
    </row>
    <row r="9074" ht="15" customHeight="1">
      <c r="A9074" t="inlineStr">
        <is>
          <t>A 29364-2026</t>
        </is>
      </c>
      <c r="B9074" t="inlineStr">
        <is>
          <t>avverkningsanmälan</t>
        </is>
      </c>
      <c r="C9074" t="inlineStr">
        <is>
          <t>Föryngringsavverkning</t>
        </is>
      </c>
      <c r="D9074" s="1" t="n">
        <v>46203</v>
      </c>
      <c r="E9074" s="1" t="n">
        <v>46326</v>
      </c>
      <c r="F9074" t="inlineStr">
        <is>
          <t>GÄVLEBORGS LÄN</t>
        </is>
      </c>
      <c r="G9074" t="inlineStr">
        <is>
          <t>GÄVLE</t>
        </is>
      </c>
      <c r="H9074" t="inlineStr">
        <is>
          <t>Bergvik skog öst AB</t>
        </is>
      </c>
      <c r="I9074" t="n">
        <v>5.6</v>
      </c>
      <c r="J9074" t="n">
        <v>0</v>
      </c>
      <c r="K9074" t="n">
        <v>0</v>
      </c>
      <c r="L9074" t="n">
        <v>0</v>
      </c>
      <c r="M9074" t="n">
        <v>0</v>
      </c>
      <c r="N9074" t="n">
        <v>0</v>
      </c>
      <c r="O9074" t="n">
        <v>0</v>
      </c>
      <c r="P9074" t="n">
        <v>0</v>
      </c>
      <c r="Q9074" t="n">
        <v>0</v>
      </c>
      <c r="R9074" t="n">
        <v>0</v>
      </c>
      <c r="S9074" t="n">
        <v>0</v>
      </c>
      <c r="T9074" t="n">
        <v>0</v>
      </c>
      <c r="U9074" t="n">
        <v>0</v>
      </c>
      <c r="V9074" s="2" t="inlineStr"/>
    </row>
    <row r="9075" ht="15" customHeight="1">
      <c r="A9075" t="inlineStr">
        <is>
          <t>A 27152-2024</t>
        </is>
      </c>
      <c r="B9075" t="inlineStr">
        <is>
          <t>avverkningsanmälan</t>
        </is>
      </c>
      <c r="C9075" t="inlineStr">
        <is>
          <t>Föryngringsavverkning</t>
        </is>
      </c>
      <c r="D9075" s="1" t="n">
        <v>45471</v>
      </c>
      <c r="E9075" s="1" t="n">
        <v>46326</v>
      </c>
      <c r="F9075" t="inlineStr">
        <is>
          <t>GÄVLEBORGS LÄN</t>
        </is>
      </c>
      <c r="G9075" t="inlineStr">
        <is>
          <t>BOLLNÄS</t>
        </is>
      </c>
      <c r="I9075" t="n">
        <v>0.7</v>
      </c>
      <c r="J9075" t="n">
        <v>0</v>
      </c>
      <c r="K9075" t="n">
        <v>0</v>
      </c>
      <c r="L9075" t="n">
        <v>0</v>
      </c>
      <c r="M9075" t="n">
        <v>0</v>
      </c>
      <c r="N9075" t="n">
        <v>0</v>
      </c>
      <c r="O9075" t="n">
        <v>0</v>
      </c>
      <c r="P9075" t="n">
        <v>0</v>
      </c>
      <c r="Q9075" t="n">
        <v>0</v>
      </c>
      <c r="R9075" t="n">
        <v>0</v>
      </c>
      <c r="S9075" t="n">
        <v>0</v>
      </c>
      <c r="T9075" t="n">
        <v>0</v>
      </c>
      <c r="U9075" t="n">
        <v>0</v>
      </c>
      <c r="V9075" s="2" t="inlineStr"/>
    </row>
    <row r="9076" ht="15" customHeight="1">
      <c r="A9076" t="inlineStr">
        <is>
          <t>A 29241-2022</t>
        </is>
      </c>
      <c r="B9076" t="inlineStr">
        <is>
          <t>avverkningsanmälan</t>
        </is>
      </c>
      <c r="C9076" t="inlineStr">
        <is>
          <t>Föryngringsavverkning</t>
        </is>
      </c>
      <c r="D9076" s="1" t="n">
        <v>44750</v>
      </c>
      <c r="E9076" s="1" t="n">
        <v>46326</v>
      </c>
      <c r="F9076" t="inlineStr">
        <is>
          <t>GÄVLEBORGS LÄN</t>
        </is>
      </c>
      <c r="G9076" t="inlineStr">
        <is>
          <t>BOLLNÄS</t>
        </is>
      </c>
      <c r="H9076" t="inlineStr">
        <is>
          <t>Sveaskog</t>
        </is>
      </c>
      <c r="I9076" t="n">
        <v>1.2</v>
      </c>
      <c r="J9076" t="n">
        <v>0</v>
      </c>
      <c r="K9076" t="n">
        <v>0</v>
      </c>
      <c r="L9076" t="n">
        <v>0</v>
      </c>
      <c r="M9076" t="n">
        <v>0</v>
      </c>
      <c r="N9076" t="n">
        <v>0</v>
      </c>
      <c r="O9076" t="n">
        <v>0</v>
      </c>
      <c r="P9076" t="n">
        <v>0</v>
      </c>
      <c r="Q9076" t="n">
        <v>0</v>
      </c>
      <c r="R9076" t="n">
        <v>0</v>
      </c>
      <c r="S9076" t="n">
        <v>0</v>
      </c>
      <c r="T9076" t="n">
        <v>0</v>
      </c>
      <c r="U9076" t="n">
        <v>0</v>
      </c>
      <c r="V9076" s="2" t="inlineStr"/>
    </row>
    <row r="9077" ht="15" customHeight="1">
      <c r="A9077" t="inlineStr">
        <is>
          <t>A 33449-2024</t>
        </is>
      </c>
      <c r="B9077" t="inlineStr">
        <is>
          <t>avverkningsanmälan</t>
        </is>
      </c>
      <c r="C9077" t="inlineStr">
        <is>
          <t>Föryngringsavverkning</t>
        </is>
      </c>
      <c r="D9077" s="1" t="n">
        <v>45519</v>
      </c>
      <c r="E9077" s="1" t="n">
        <v>46326</v>
      </c>
      <c r="F9077" t="inlineStr">
        <is>
          <t>GÄVLEBORGS LÄN</t>
        </is>
      </c>
      <c r="G9077" t="inlineStr">
        <is>
          <t>GÄVLE</t>
        </is>
      </c>
      <c r="I9077" t="n">
        <v>1</v>
      </c>
      <c r="J9077" t="n">
        <v>0</v>
      </c>
      <c r="K9077" t="n">
        <v>0</v>
      </c>
      <c r="L9077" t="n">
        <v>0</v>
      </c>
      <c r="M9077" t="n">
        <v>0</v>
      </c>
      <c r="N9077" t="n">
        <v>0</v>
      </c>
      <c r="O9077" t="n">
        <v>0</v>
      </c>
      <c r="P9077" t="n">
        <v>0</v>
      </c>
      <c r="Q9077" t="n">
        <v>0</v>
      </c>
      <c r="R9077" t="n">
        <v>0</v>
      </c>
      <c r="S9077" t="n">
        <v>0</v>
      </c>
      <c r="T9077" t="n">
        <v>0</v>
      </c>
      <c r="U9077" t="n">
        <v>0</v>
      </c>
      <c r="V9077" s="2" t="inlineStr"/>
    </row>
    <row r="9078" ht="15" customHeight="1">
      <c r="A9078" t="inlineStr">
        <is>
          <t>A 11434-2024</t>
        </is>
      </c>
      <c r="B9078" t="inlineStr">
        <is>
          <t>avverkningsanmälan</t>
        </is>
      </c>
      <c r="C9078" t="inlineStr">
        <is>
          <t>Föryngringsavverkning</t>
        </is>
      </c>
      <c r="D9078" s="1" t="n">
        <v>45372</v>
      </c>
      <c r="E9078" s="1" t="n">
        <v>46326</v>
      </c>
      <c r="F9078" t="inlineStr">
        <is>
          <t>GÄVLEBORGS LÄN</t>
        </is>
      </c>
      <c r="G9078" t="inlineStr">
        <is>
          <t>NORDANSTIG</t>
        </is>
      </c>
      <c r="H9078" t="inlineStr">
        <is>
          <t>Holmen skog AB</t>
        </is>
      </c>
      <c r="I9078" t="n">
        <v>1.1</v>
      </c>
      <c r="J9078" t="n">
        <v>0</v>
      </c>
      <c r="K9078" t="n">
        <v>0</v>
      </c>
      <c r="L9078" t="n">
        <v>0</v>
      </c>
      <c r="M9078" t="n">
        <v>0</v>
      </c>
      <c r="N9078" t="n">
        <v>0</v>
      </c>
      <c r="O9078" t="n">
        <v>0</v>
      </c>
      <c r="P9078" t="n">
        <v>0</v>
      </c>
      <c r="Q9078" t="n">
        <v>0</v>
      </c>
      <c r="R9078" t="n">
        <v>0</v>
      </c>
      <c r="S9078" t="n">
        <v>0</v>
      </c>
      <c r="T9078" t="n">
        <v>0</v>
      </c>
      <c r="U9078" t="n">
        <v>0</v>
      </c>
      <c r="V9078" s="2" t="inlineStr"/>
    </row>
    <row r="9079" ht="15" customHeight="1">
      <c r="A9079" t="inlineStr">
        <is>
          <t>A 15226-2023</t>
        </is>
      </c>
      <c r="B9079" t="inlineStr">
        <is>
          <t>avverkningsanmälan</t>
        </is>
      </c>
      <c r="C9079" t="inlineStr">
        <is>
          <t>Föryngringsavverkning</t>
        </is>
      </c>
      <c r="D9079" s="1" t="n">
        <v>45019</v>
      </c>
      <c r="E9079" s="1" t="n">
        <v>46326</v>
      </c>
      <c r="F9079" t="inlineStr">
        <is>
          <t>GÄVLEBORGS LÄN</t>
        </is>
      </c>
      <c r="G9079" t="inlineStr">
        <is>
          <t>NORDANSTIG</t>
        </is>
      </c>
      <c r="I9079" t="n">
        <v>0.6</v>
      </c>
      <c r="J9079" t="n">
        <v>0</v>
      </c>
      <c r="K9079" t="n">
        <v>0</v>
      </c>
      <c r="L9079" t="n">
        <v>0</v>
      </c>
      <c r="M9079" t="n">
        <v>0</v>
      </c>
      <c r="N9079" t="n">
        <v>0</v>
      </c>
      <c r="O9079" t="n">
        <v>0</v>
      </c>
      <c r="P9079" t="n">
        <v>0</v>
      </c>
      <c r="Q9079" t="n">
        <v>0</v>
      </c>
      <c r="R9079" t="n">
        <v>0</v>
      </c>
      <c r="S9079" t="n">
        <v>0</v>
      </c>
      <c r="T9079" t="n">
        <v>0</v>
      </c>
      <c r="U9079" t="n">
        <v>0</v>
      </c>
      <c r="V9079" s="2" t="inlineStr"/>
    </row>
    <row r="9080" ht="15" customHeight="1">
      <c r="A9080" t="inlineStr">
        <is>
          <t>A 6153-2023</t>
        </is>
      </c>
      <c r="B9080" t="inlineStr">
        <is>
          <t>avverkningsanmälan</t>
        </is>
      </c>
      <c r="C9080" t="inlineStr">
        <is>
          <t>Föryngringsavverkning</t>
        </is>
      </c>
      <c r="D9080" s="1" t="n">
        <v>44964</v>
      </c>
      <c r="E9080" s="1" t="n">
        <v>46326</v>
      </c>
      <c r="F9080" t="inlineStr">
        <is>
          <t>GÄVLEBORGS LÄN</t>
        </is>
      </c>
      <c r="G9080" t="inlineStr">
        <is>
          <t>LJUSDAL</t>
        </is>
      </c>
      <c r="H9080" t="inlineStr">
        <is>
          <t>Holmen skog AB</t>
        </is>
      </c>
      <c r="I9080" t="n">
        <v>3.2</v>
      </c>
      <c r="J9080" t="n">
        <v>0</v>
      </c>
      <c r="K9080" t="n">
        <v>0</v>
      </c>
      <c r="L9080" t="n">
        <v>0</v>
      </c>
      <c r="M9080" t="n">
        <v>0</v>
      </c>
      <c r="N9080" t="n">
        <v>0</v>
      </c>
      <c r="O9080" t="n">
        <v>0</v>
      </c>
      <c r="P9080" t="n">
        <v>0</v>
      </c>
      <c r="Q9080" t="n">
        <v>0</v>
      </c>
      <c r="R9080" t="n">
        <v>0</v>
      </c>
      <c r="S9080" t="n">
        <v>0</v>
      </c>
      <c r="T9080" t="n">
        <v>0</v>
      </c>
      <c r="U9080" t="n">
        <v>0</v>
      </c>
      <c r="V9080" s="2" t="inlineStr"/>
    </row>
    <row r="9081" ht="15" customHeight="1">
      <c r="A9081" t="inlineStr">
        <is>
          <t>A 51364-2024</t>
        </is>
      </c>
      <c r="B9081" t="inlineStr">
        <is>
          <t>avverkningsanmälan</t>
        </is>
      </c>
      <c r="C9081" t="inlineStr">
        <is>
          <t>Föryngringsavverkning</t>
        </is>
      </c>
      <c r="D9081" s="1" t="n">
        <v>45604</v>
      </c>
      <c r="E9081" s="1" t="n">
        <v>46326</v>
      </c>
      <c r="F9081" t="inlineStr">
        <is>
          <t>GÄVLEBORGS LÄN</t>
        </is>
      </c>
      <c r="G9081" t="inlineStr">
        <is>
          <t>LJUSDAL</t>
        </is>
      </c>
      <c r="I9081" t="n">
        <v>10.7</v>
      </c>
      <c r="J9081" t="n">
        <v>0</v>
      </c>
      <c r="K9081" t="n">
        <v>0</v>
      </c>
      <c r="L9081" t="n">
        <v>0</v>
      </c>
      <c r="M9081" t="n">
        <v>0</v>
      </c>
      <c r="N9081" t="n">
        <v>0</v>
      </c>
      <c r="O9081" t="n">
        <v>0</v>
      </c>
      <c r="P9081" t="n">
        <v>0</v>
      </c>
      <c r="Q9081" t="n">
        <v>0</v>
      </c>
      <c r="R9081" t="n">
        <v>0</v>
      </c>
      <c r="S9081" t="n">
        <v>0</v>
      </c>
      <c r="T9081" t="n">
        <v>0</v>
      </c>
      <c r="U9081" t="n">
        <v>0</v>
      </c>
      <c r="V9081" s="2" t="inlineStr"/>
    </row>
    <row r="9082" ht="15" customHeight="1">
      <c r="A9082" t="inlineStr">
        <is>
          <t>A 35440-2023</t>
        </is>
      </c>
      <c r="B9082" t="inlineStr">
        <is>
          <t>avverkningsanmälan</t>
        </is>
      </c>
      <c r="C9082" t="inlineStr">
        <is>
          <t>Föryngringsavverkning</t>
        </is>
      </c>
      <c r="D9082" s="1" t="n">
        <v>45146</v>
      </c>
      <c r="E9082" s="1" t="n">
        <v>46326</v>
      </c>
      <c r="F9082" t="inlineStr">
        <is>
          <t>GÄVLEBORGS LÄN</t>
        </is>
      </c>
      <c r="G9082" t="inlineStr">
        <is>
          <t>GÄVLE</t>
        </is>
      </c>
      <c r="I9082" t="n">
        <v>3.3</v>
      </c>
      <c r="J9082" t="n">
        <v>0</v>
      </c>
      <c r="K9082" t="n">
        <v>0</v>
      </c>
      <c r="L9082" t="n">
        <v>0</v>
      </c>
      <c r="M9082" t="n">
        <v>0</v>
      </c>
      <c r="N9082" t="n">
        <v>0</v>
      </c>
      <c r="O9082" t="n">
        <v>0</v>
      </c>
      <c r="P9082" t="n">
        <v>0</v>
      </c>
      <c r="Q9082" t="n">
        <v>0</v>
      </c>
      <c r="R9082" t="n">
        <v>0</v>
      </c>
      <c r="S9082" t="n">
        <v>0</v>
      </c>
      <c r="T9082" t="n">
        <v>0</v>
      </c>
      <c r="U9082" t="n">
        <v>0</v>
      </c>
      <c r="V9082" s="2" t="inlineStr"/>
    </row>
    <row r="9083" ht="15" customHeight="1">
      <c r="A9083" t="inlineStr">
        <is>
          <t>A 28965-2024</t>
        </is>
      </c>
      <c r="B9083" t="inlineStr">
        <is>
          <t>avverkningsanmälan</t>
        </is>
      </c>
      <c r="C9083" t="inlineStr">
        <is>
          <t>Föryngringsavverkning</t>
        </is>
      </c>
      <c r="D9083" s="1" t="n">
        <v>45481</v>
      </c>
      <c r="E9083" s="1" t="n">
        <v>46326</v>
      </c>
      <c r="F9083" t="inlineStr">
        <is>
          <t>GÄVLEBORGS LÄN</t>
        </is>
      </c>
      <c r="G9083" t="inlineStr">
        <is>
          <t>OCKELBO</t>
        </is>
      </c>
      <c r="I9083" t="n">
        <v>3</v>
      </c>
      <c r="J9083" t="n">
        <v>0</v>
      </c>
      <c r="K9083" t="n">
        <v>0</v>
      </c>
      <c r="L9083" t="n">
        <v>0</v>
      </c>
      <c r="M9083" t="n">
        <v>0</v>
      </c>
      <c r="N9083" t="n">
        <v>0</v>
      </c>
      <c r="O9083" t="n">
        <v>0</v>
      </c>
      <c r="P9083" t="n">
        <v>0</v>
      </c>
      <c r="Q9083" t="n">
        <v>0</v>
      </c>
      <c r="R9083" t="n">
        <v>0</v>
      </c>
      <c r="S9083" t="n">
        <v>0</v>
      </c>
      <c r="T9083" t="n">
        <v>0</v>
      </c>
      <c r="U9083" t="n">
        <v>0</v>
      </c>
      <c r="V9083" s="2" t="inlineStr"/>
    </row>
    <row r="9084" ht="15" customHeight="1">
      <c r="A9084" t="inlineStr">
        <is>
          <t>A 55906-2024</t>
        </is>
      </c>
      <c r="B9084" t="inlineStr">
        <is>
          <t>avverkningsanmälan</t>
        </is>
      </c>
      <c r="C9084" t="inlineStr">
        <is>
          <t>Föryngringsavverkning</t>
        </is>
      </c>
      <c r="D9084" s="1" t="n">
        <v>45623</v>
      </c>
      <c r="E9084" s="1" t="n">
        <v>46326</v>
      </c>
      <c r="F9084" t="inlineStr">
        <is>
          <t>GÄVLEBORGS LÄN</t>
        </is>
      </c>
      <c r="G9084" t="inlineStr">
        <is>
          <t>OCKELBO</t>
        </is>
      </c>
      <c r="H9084" t="inlineStr">
        <is>
          <t>Bergvik skog väst AB</t>
        </is>
      </c>
      <c r="I9084" t="n">
        <v>1.7</v>
      </c>
      <c r="J9084" t="n">
        <v>0</v>
      </c>
      <c r="K9084" t="n">
        <v>0</v>
      </c>
      <c r="L9084" t="n">
        <v>0</v>
      </c>
      <c r="M9084" t="n">
        <v>0</v>
      </c>
      <c r="N9084" t="n">
        <v>0</v>
      </c>
      <c r="O9084" t="n">
        <v>0</v>
      </c>
      <c r="P9084" t="n">
        <v>0</v>
      </c>
      <c r="Q9084" t="n">
        <v>0</v>
      </c>
      <c r="R9084" t="n">
        <v>0</v>
      </c>
      <c r="S9084" t="n">
        <v>0</v>
      </c>
      <c r="T9084" t="n">
        <v>0</v>
      </c>
      <c r="U9084" t="n">
        <v>0</v>
      </c>
      <c r="V9084" s="2" t="inlineStr"/>
    </row>
    <row r="9085" ht="15" customHeight="1">
      <c r="A9085" t="inlineStr">
        <is>
          <t>A 19566-2025</t>
        </is>
      </c>
      <c r="B9085" t="inlineStr">
        <is>
          <t>avverkningsanmälan</t>
        </is>
      </c>
      <c r="C9085" t="inlineStr">
        <is>
          <t>Föryngringsavverkning</t>
        </is>
      </c>
      <c r="D9085" s="1" t="n">
        <v>45770</v>
      </c>
      <c r="E9085" s="1" t="n">
        <v>46326</v>
      </c>
      <c r="F9085" t="inlineStr">
        <is>
          <t>GÄVLEBORGS LÄN</t>
        </is>
      </c>
      <c r="G9085" t="inlineStr">
        <is>
          <t>NORDANSTIG</t>
        </is>
      </c>
      <c r="I9085" t="n">
        <v>2.2</v>
      </c>
      <c r="J9085" t="n">
        <v>0</v>
      </c>
      <c r="K9085" t="n">
        <v>0</v>
      </c>
      <c r="L9085" t="n">
        <v>0</v>
      </c>
      <c r="M9085" t="n">
        <v>0</v>
      </c>
      <c r="N9085" t="n">
        <v>0</v>
      </c>
      <c r="O9085" t="n">
        <v>0</v>
      </c>
      <c r="P9085" t="n">
        <v>0</v>
      </c>
      <c r="Q9085" t="n">
        <v>0</v>
      </c>
      <c r="R9085" t="n">
        <v>0</v>
      </c>
      <c r="S9085" t="n">
        <v>0</v>
      </c>
      <c r="T9085" t="n">
        <v>0</v>
      </c>
      <c r="U9085" t="n">
        <v>0</v>
      </c>
      <c r="V9085" s="2" t="inlineStr"/>
    </row>
    <row r="9086" ht="15" customHeight="1">
      <c r="A9086" t="inlineStr">
        <is>
          <t>A 29635-2026</t>
        </is>
      </c>
      <c r="B9086" t="inlineStr">
        <is>
          <t>avverkningsanmälan</t>
        </is>
      </c>
      <c r="C9086" t="inlineStr">
        <is>
          <t>Föryngringsavverkning</t>
        </is>
      </c>
      <c r="D9086" s="1" t="n">
        <v>46204</v>
      </c>
      <c r="E9086" s="1" t="n">
        <v>46326</v>
      </c>
      <c r="F9086" t="inlineStr">
        <is>
          <t>GÄVLEBORGS LÄN</t>
        </is>
      </c>
      <c r="G9086" t="inlineStr">
        <is>
          <t>BOLLNÄS</t>
        </is>
      </c>
      <c r="H9086" t="inlineStr">
        <is>
          <t>Bergvik skog väst AB</t>
        </is>
      </c>
      <c r="I9086" t="n">
        <v>2.6</v>
      </c>
      <c r="J9086" t="n">
        <v>0</v>
      </c>
      <c r="K9086" t="n">
        <v>0</v>
      </c>
      <c r="L9086" t="n">
        <v>0</v>
      </c>
      <c r="M9086" t="n">
        <v>0</v>
      </c>
      <c r="N9086" t="n">
        <v>0</v>
      </c>
      <c r="O9086" t="n">
        <v>0</v>
      </c>
      <c r="P9086" t="n">
        <v>0</v>
      </c>
      <c r="Q9086" t="n">
        <v>0</v>
      </c>
      <c r="R9086" t="n">
        <v>0</v>
      </c>
      <c r="S9086" t="n">
        <v>0</v>
      </c>
      <c r="T9086" t="n">
        <v>0</v>
      </c>
      <c r="U9086" t="n">
        <v>0</v>
      </c>
      <c r="V9086" s="2" t="inlineStr"/>
    </row>
    <row r="9087" ht="15" customHeight="1">
      <c r="A9087" t="inlineStr">
        <is>
          <t>A 3047-2022</t>
        </is>
      </c>
      <c r="B9087" t="inlineStr">
        <is>
          <t>avverkningsanmälan</t>
        </is>
      </c>
      <c r="C9087" t="inlineStr">
        <is>
          <t>Avverkning för annat ändamål</t>
        </is>
      </c>
      <c r="D9087" s="1" t="n">
        <v>44581</v>
      </c>
      <c r="E9087" s="1" t="n">
        <v>46326</v>
      </c>
      <c r="F9087" t="inlineStr">
        <is>
          <t>GÄVLEBORGS LÄN</t>
        </is>
      </c>
      <c r="G9087" t="inlineStr">
        <is>
          <t>OVANÅKER</t>
        </is>
      </c>
      <c r="I9087" t="n">
        <v>1.7</v>
      </c>
      <c r="J9087" t="n">
        <v>0</v>
      </c>
      <c r="K9087" t="n">
        <v>0</v>
      </c>
      <c r="L9087" t="n">
        <v>0</v>
      </c>
      <c r="M9087" t="n">
        <v>0</v>
      </c>
      <c r="N9087" t="n">
        <v>0</v>
      </c>
      <c r="O9087" t="n">
        <v>0</v>
      </c>
      <c r="P9087" t="n">
        <v>0</v>
      </c>
      <c r="Q9087" t="n">
        <v>0</v>
      </c>
      <c r="R9087" t="n">
        <v>0</v>
      </c>
      <c r="S9087" t="n">
        <v>0</v>
      </c>
      <c r="T9087" t="n">
        <v>0</v>
      </c>
      <c r="U9087" t="n">
        <v>0</v>
      </c>
      <c r="V9087" s="2" t="inlineStr"/>
    </row>
    <row r="9088" ht="15" customHeight="1">
      <c r="A9088" t="inlineStr">
        <is>
          <t>A 22558-2023</t>
        </is>
      </c>
      <c r="B9088" t="inlineStr">
        <is>
          <t>avverkningsanmälan</t>
        </is>
      </c>
      <c r="C9088" t="inlineStr">
        <is>
          <t>Föryngringsavverkning</t>
        </is>
      </c>
      <c r="D9088" s="1" t="n">
        <v>45071</v>
      </c>
      <c r="E9088" s="1" t="n">
        <v>46326</v>
      </c>
      <c r="F9088" t="inlineStr">
        <is>
          <t>GÄVLEBORGS LÄN</t>
        </is>
      </c>
      <c r="G9088" t="inlineStr">
        <is>
          <t>LJUSDAL</t>
        </is>
      </c>
      <c r="I9088" t="n">
        <v>0.5</v>
      </c>
      <c r="J9088" t="n">
        <v>0</v>
      </c>
      <c r="K9088" t="n">
        <v>0</v>
      </c>
      <c r="L9088" t="n">
        <v>0</v>
      </c>
      <c r="M9088" t="n">
        <v>0</v>
      </c>
      <c r="N9088" t="n">
        <v>0</v>
      </c>
      <c r="O9088" t="n">
        <v>0</v>
      </c>
      <c r="P9088" t="n">
        <v>0</v>
      </c>
      <c r="Q9088" t="n">
        <v>0</v>
      </c>
      <c r="R9088" t="n">
        <v>0</v>
      </c>
      <c r="S9088" t="n">
        <v>0</v>
      </c>
      <c r="T9088" t="n">
        <v>0</v>
      </c>
      <c r="U9088" t="n">
        <v>0</v>
      </c>
      <c r="V9088" s="2" t="inlineStr"/>
    </row>
    <row r="9089" ht="15" customHeight="1">
      <c r="A9089" t="inlineStr">
        <is>
          <t>A 29567-2026</t>
        </is>
      </c>
      <c r="B9089" t="inlineStr">
        <is>
          <t>avverkningsanmälan</t>
        </is>
      </c>
      <c r="C9089" t="inlineStr">
        <is>
          <t>Föryngringsavverkning</t>
        </is>
      </c>
      <c r="D9089" s="1" t="n">
        <v>46204</v>
      </c>
      <c r="E9089" s="1" t="n">
        <v>46326</v>
      </c>
      <c r="F9089" t="inlineStr">
        <is>
          <t>GÄVLEBORGS LÄN</t>
        </is>
      </c>
      <c r="G9089" t="inlineStr">
        <is>
          <t>BOLLNÄS</t>
        </is>
      </c>
      <c r="I9089" t="n">
        <v>1.1</v>
      </c>
      <c r="J9089" t="n">
        <v>0</v>
      </c>
      <c r="K9089" t="n">
        <v>0</v>
      </c>
      <c r="L9089" t="n">
        <v>0</v>
      </c>
      <c r="M9089" t="n">
        <v>0</v>
      </c>
      <c r="N9089" t="n">
        <v>0</v>
      </c>
      <c r="O9089" t="n">
        <v>0</v>
      </c>
      <c r="P9089" t="n">
        <v>0</v>
      </c>
      <c r="Q9089" t="n">
        <v>0</v>
      </c>
      <c r="R9089" t="n">
        <v>0</v>
      </c>
      <c r="S9089" t="n">
        <v>0</v>
      </c>
      <c r="T9089" t="n">
        <v>0</v>
      </c>
      <c r="U9089" t="n">
        <v>0</v>
      </c>
      <c r="V9089" s="2" t="inlineStr"/>
    </row>
    <row r="9090" ht="15" customHeight="1">
      <c r="A9090" t="inlineStr">
        <is>
          <t>A 29696-2026</t>
        </is>
      </c>
      <c r="B9090" t="inlineStr">
        <is>
          <t>avverkningsanmälan</t>
        </is>
      </c>
      <c r="C9090" t="inlineStr">
        <is>
          <t>Föryngringsavverkning</t>
        </is>
      </c>
      <c r="D9090" s="1" t="n">
        <v>46204</v>
      </c>
      <c r="E9090" s="1" t="n">
        <v>46326</v>
      </c>
      <c r="F9090" t="inlineStr">
        <is>
          <t>GÄVLEBORGS LÄN</t>
        </is>
      </c>
      <c r="G9090" t="inlineStr">
        <is>
          <t>BOLLNÄS</t>
        </is>
      </c>
      <c r="I9090" t="n">
        <v>5.3</v>
      </c>
      <c r="J9090" t="n">
        <v>0</v>
      </c>
      <c r="K9090" t="n">
        <v>0</v>
      </c>
      <c r="L9090" t="n">
        <v>0</v>
      </c>
      <c r="M9090" t="n">
        <v>0</v>
      </c>
      <c r="N9090" t="n">
        <v>0</v>
      </c>
      <c r="O9090" t="n">
        <v>0</v>
      </c>
      <c r="P9090" t="n">
        <v>0</v>
      </c>
      <c r="Q9090" t="n">
        <v>0</v>
      </c>
      <c r="R9090" t="n">
        <v>0</v>
      </c>
      <c r="S9090" t="n">
        <v>0</v>
      </c>
      <c r="T9090" t="n">
        <v>0</v>
      </c>
      <c r="U9090" t="n">
        <v>0</v>
      </c>
      <c r="V9090" s="2" t="inlineStr"/>
    </row>
    <row r="9091" ht="15" customHeight="1">
      <c r="A9091" t="inlineStr">
        <is>
          <t>A 29715-2026</t>
        </is>
      </c>
      <c r="B9091" t="inlineStr">
        <is>
          <t>avverkningsanmälan</t>
        </is>
      </c>
      <c r="C9091" t="inlineStr">
        <is>
          <t>Föryngringsavverkning</t>
        </is>
      </c>
      <c r="D9091" s="1" t="n">
        <v>46204</v>
      </c>
      <c r="E9091" s="1" t="n">
        <v>46326</v>
      </c>
      <c r="F9091" t="inlineStr">
        <is>
          <t>GÄVLEBORGS LÄN</t>
        </is>
      </c>
      <c r="G9091" t="inlineStr">
        <is>
          <t>SANDVIKEN</t>
        </is>
      </c>
      <c r="H9091" t="inlineStr">
        <is>
          <t>Naturvårdsverket</t>
        </is>
      </c>
      <c r="I9091" t="n">
        <v>2.3</v>
      </c>
      <c r="J9091" t="n">
        <v>0</v>
      </c>
      <c r="K9091" t="n">
        <v>0</v>
      </c>
      <c r="L9091" t="n">
        <v>0</v>
      </c>
      <c r="M9091" t="n">
        <v>0</v>
      </c>
      <c r="N9091" t="n">
        <v>0</v>
      </c>
      <c r="O9091" t="n">
        <v>0</v>
      </c>
      <c r="P9091" t="n">
        <v>0</v>
      </c>
      <c r="Q9091" t="n">
        <v>0</v>
      </c>
      <c r="R9091" t="n">
        <v>0</v>
      </c>
      <c r="S9091" t="n">
        <v>0</v>
      </c>
      <c r="T9091" t="n">
        <v>0</v>
      </c>
      <c r="U9091" t="n">
        <v>0</v>
      </c>
      <c r="V9091" s="2" t="inlineStr"/>
    </row>
    <row r="9092" ht="15" customHeight="1">
      <c r="A9092" t="inlineStr">
        <is>
          <t>A 42659-2024</t>
        </is>
      </c>
      <c r="B9092" t="inlineStr">
        <is>
          <t>avverkningsanmälan</t>
        </is>
      </c>
      <c r="C9092" t="inlineStr">
        <is>
          <t>Föryngringsavverkning</t>
        </is>
      </c>
      <c r="D9092" s="1" t="n">
        <v>45566</v>
      </c>
      <c r="E9092" s="1" t="n">
        <v>46326</v>
      </c>
      <c r="F9092" t="inlineStr">
        <is>
          <t>GÄVLEBORGS LÄN</t>
        </is>
      </c>
      <c r="G9092" t="inlineStr">
        <is>
          <t>HUDIKSVALL</t>
        </is>
      </c>
      <c r="H9092" t="inlineStr">
        <is>
          <t>Holmen skog AB</t>
        </is>
      </c>
      <c r="I9092" t="n">
        <v>10</v>
      </c>
      <c r="J9092" t="n">
        <v>0</v>
      </c>
      <c r="K9092" t="n">
        <v>0</v>
      </c>
      <c r="L9092" t="n">
        <v>0</v>
      </c>
      <c r="M9092" t="n">
        <v>0</v>
      </c>
      <c r="N9092" t="n">
        <v>0</v>
      </c>
      <c r="O9092" t="n">
        <v>0</v>
      </c>
      <c r="P9092" t="n">
        <v>0</v>
      </c>
      <c r="Q9092" t="n">
        <v>0</v>
      </c>
      <c r="R9092" t="n">
        <v>0</v>
      </c>
      <c r="S9092" t="n">
        <v>0</v>
      </c>
      <c r="T9092" t="n">
        <v>0</v>
      </c>
      <c r="U9092" t="n">
        <v>0</v>
      </c>
      <c r="V9092" s="2" t="inlineStr"/>
    </row>
    <row r="9093" ht="15" customHeight="1">
      <c r="A9093" t="inlineStr">
        <is>
          <t>A 29653-2026</t>
        </is>
      </c>
      <c r="B9093" t="inlineStr">
        <is>
          <t>avverkningsanmälan</t>
        </is>
      </c>
      <c r="C9093" t="inlineStr">
        <is>
          <t>Föryngringsavverkning</t>
        </is>
      </c>
      <c r="D9093" s="1" t="n">
        <v>46204</v>
      </c>
      <c r="E9093" s="1" t="n">
        <v>46326</v>
      </c>
      <c r="F9093" t="inlineStr">
        <is>
          <t>GÄVLEBORGS LÄN</t>
        </is>
      </c>
      <c r="G9093" t="inlineStr">
        <is>
          <t>BOLLNÄS</t>
        </is>
      </c>
      <c r="I9093" t="n">
        <v>2.7</v>
      </c>
      <c r="J9093" t="n">
        <v>0</v>
      </c>
      <c r="K9093" t="n">
        <v>0</v>
      </c>
      <c r="L9093" t="n">
        <v>0</v>
      </c>
      <c r="M9093" t="n">
        <v>0</v>
      </c>
      <c r="N9093" t="n">
        <v>0</v>
      </c>
      <c r="O9093" t="n">
        <v>0</v>
      </c>
      <c r="P9093" t="n">
        <v>0</v>
      </c>
      <c r="Q9093" t="n">
        <v>0</v>
      </c>
      <c r="R9093" t="n">
        <v>0</v>
      </c>
      <c r="S9093" t="n">
        <v>0</v>
      </c>
      <c r="T9093" t="n">
        <v>0</v>
      </c>
      <c r="U9093" t="n">
        <v>0</v>
      </c>
      <c r="V9093" s="2" t="inlineStr"/>
    </row>
    <row r="9094" ht="15" customHeight="1">
      <c r="A9094" t="inlineStr">
        <is>
          <t>A 3662-2022</t>
        </is>
      </c>
      <c r="B9094" t="inlineStr">
        <is>
          <t>avverkningsanmälan</t>
        </is>
      </c>
      <c r="C9094" t="inlineStr">
        <is>
          <t>Föryngringsavverkning</t>
        </is>
      </c>
      <c r="D9094" s="1" t="n">
        <v>44586</v>
      </c>
      <c r="E9094" s="1" t="n">
        <v>46326</v>
      </c>
      <c r="F9094" t="inlineStr">
        <is>
          <t>GÄVLEBORGS LÄN</t>
        </is>
      </c>
      <c r="G9094" t="inlineStr">
        <is>
          <t>GÄVLE</t>
        </is>
      </c>
      <c r="H9094" t="inlineStr">
        <is>
          <t>Bergvik skog öst AB</t>
        </is>
      </c>
      <c r="I9094" t="n">
        <v>1.6</v>
      </c>
      <c r="J9094" t="n">
        <v>0</v>
      </c>
      <c r="K9094" t="n">
        <v>0</v>
      </c>
      <c r="L9094" t="n">
        <v>0</v>
      </c>
      <c r="M9094" t="n">
        <v>0</v>
      </c>
      <c r="N9094" t="n">
        <v>0</v>
      </c>
      <c r="O9094" t="n">
        <v>0</v>
      </c>
      <c r="P9094" t="n">
        <v>0</v>
      </c>
      <c r="Q9094" t="n">
        <v>0</v>
      </c>
      <c r="R9094" t="n">
        <v>0</v>
      </c>
      <c r="S9094" t="n">
        <v>0</v>
      </c>
      <c r="T9094" t="n">
        <v>0</v>
      </c>
      <c r="U9094" t="n">
        <v>0</v>
      </c>
      <c r="V9094" s="2" t="inlineStr"/>
    </row>
    <row r="9095" ht="15" customHeight="1">
      <c r="A9095" t="inlineStr">
        <is>
          <t>A 7410-2025</t>
        </is>
      </c>
      <c r="B9095" t="inlineStr">
        <is>
          <t>avverkningsanmälan</t>
        </is>
      </c>
      <c r="C9095" t="inlineStr">
        <is>
          <t>Föryngringsavverkning</t>
        </is>
      </c>
      <c r="D9095" s="1" t="n">
        <v>45705</v>
      </c>
      <c r="E9095" s="1" t="n">
        <v>46326</v>
      </c>
      <c r="F9095" t="inlineStr">
        <is>
          <t>GÄVLEBORGS LÄN</t>
        </is>
      </c>
      <c r="G9095" t="inlineStr">
        <is>
          <t>GÄVLE</t>
        </is>
      </c>
      <c r="I9095" t="n">
        <v>4.7</v>
      </c>
      <c r="J9095" t="n">
        <v>0</v>
      </c>
      <c r="K9095" t="n">
        <v>0</v>
      </c>
      <c r="L9095" t="n">
        <v>0</v>
      </c>
      <c r="M9095" t="n">
        <v>0</v>
      </c>
      <c r="N9095" t="n">
        <v>0</v>
      </c>
      <c r="O9095" t="n">
        <v>0</v>
      </c>
      <c r="P9095" t="n">
        <v>0</v>
      </c>
      <c r="Q9095" t="n">
        <v>0</v>
      </c>
      <c r="R9095" t="n">
        <v>0</v>
      </c>
      <c r="S9095" t="n">
        <v>0</v>
      </c>
      <c r="T9095" t="n">
        <v>0</v>
      </c>
      <c r="U9095" t="n">
        <v>0</v>
      </c>
      <c r="V9095" s="2" t="inlineStr"/>
    </row>
    <row r="9096" ht="15" customHeight="1">
      <c r="A9096" t="inlineStr">
        <is>
          <t>A 13557-2025</t>
        </is>
      </c>
      <c r="B9096" t="inlineStr">
        <is>
          <t>avverkningsanmälan</t>
        </is>
      </c>
      <c r="C9096" t="inlineStr">
        <is>
          <t>Föryngringsavverkning</t>
        </is>
      </c>
      <c r="D9096" s="1" t="n">
        <v>45736</v>
      </c>
      <c r="E9096" s="1" t="n">
        <v>46326</v>
      </c>
      <c r="F9096" t="inlineStr">
        <is>
          <t>GÄVLEBORGS LÄN</t>
        </is>
      </c>
      <c r="G9096" t="inlineStr">
        <is>
          <t>LJUSDAL</t>
        </is>
      </c>
      <c r="I9096" t="n">
        <v>2.4</v>
      </c>
      <c r="J9096" t="n">
        <v>0</v>
      </c>
      <c r="K9096" t="n">
        <v>0</v>
      </c>
      <c r="L9096" t="n">
        <v>0</v>
      </c>
      <c r="M9096" t="n">
        <v>0</v>
      </c>
      <c r="N9096" t="n">
        <v>0</v>
      </c>
      <c r="O9096" t="n">
        <v>0</v>
      </c>
      <c r="P9096" t="n">
        <v>0</v>
      </c>
      <c r="Q9096" t="n">
        <v>0</v>
      </c>
      <c r="R9096" t="n">
        <v>0</v>
      </c>
      <c r="S9096" t="n">
        <v>0</v>
      </c>
      <c r="T9096" t="n">
        <v>0</v>
      </c>
      <c r="U9096" t="n">
        <v>0</v>
      </c>
      <c r="V9096" s="2" t="inlineStr"/>
    </row>
    <row r="9097" ht="15" customHeight="1">
      <c r="A9097" t="inlineStr">
        <is>
          <t>A 10986-2026</t>
        </is>
      </c>
      <c r="B9097" t="inlineStr">
        <is>
          <t>avverkningsanmälan</t>
        </is>
      </c>
      <c r="C9097" t="inlineStr">
        <is>
          <t>Föryngringsavverkning</t>
        </is>
      </c>
      <c r="D9097" s="1" t="n">
        <v>46079</v>
      </c>
      <c r="E9097" s="1" t="n">
        <v>46326</v>
      </c>
      <c r="F9097" t="inlineStr">
        <is>
          <t>GÄVLEBORGS LÄN</t>
        </is>
      </c>
      <c r="G9097" t="inlineStr">
        <is>
          <t>OVANÅKER</t>
        </is>
      </c>
      <c r="H9097" t="inlineStr">
        <is>
          <t>Bergvik skog öst AB</t>
        </is>
      </c>
      <c r="I9097" t="n">
        <v>1.2</v>
      </c>
      <c r="J9097" t="n">
        <v>0</v>
      </c>
      <c r="K9097" t="n">
        <v>0</v>
      </c>
      <c r="L9097" t="n">
        <v>0</v>
      </c>
      <c r="M9097" t="n">
        <v>0</v>
      </c>
      <c r="N9097" t="n">
        <v>0</v>
      </c>
      <c r="O9097" t="n">
        <v>0</v>
      </c>
      <c r="P9097" t="n">
        <v>0</v>
      </c>
      <c r="Q9097" t="n">
        <v>0</v>
      </c>
      <c r="R9097" t="n">
        <v>0</v>
      </c>
      <c r="S9097" t="n">
        <v>0</v>
      </c>
      <c r="T9097" t="n">
        <v>0</v>
      </c>
      <c r="U9097" t="n">
        <v>0</v>
      </c>
      <c r="V9097" s="2" t="inlineStr"/>
    </row>
    <row r="9098" ht="15" customHeight="1">
      <c r="A9098" t="inlineStr">
        <is>
          <t>A 29733-2026</t>
        </is>
      </c>
      <c r="B9098" t="inlineStr">
        <is>
          <t>avverkningsanmälan</t>
        </is>
      </c>
      <c r="C9098" t="inlineStr">
        <is>
          <t>Föryngringsavverkning</t>
        </is>
      </c>
      <c r="D9098" s="1" t="n">
        <v>46204</v>
      </c>
      <c r="E9098" s="1" t="n">
        <v>46326</v>
      </c>
      <c r="F9098" t="inlineStr">
        <is>
          <t>GÄVLEBORGS LÄN</t>
        </is>
      </c>
      <c r="G9098" t="inlineStr">
        <is>
          <t>NORDANSTIG</t>
        </is>
      </c>
      <c r="H9098" t="inlineStr">
        <is>
          <t>Holmen skog AB</t>
        </is>
      </c>
      <c r="I9098" t="n">
        <v>8.800000000000001</v>
      </c>
      <c r="J9098" t="n">
        <v>0</v>
      </c>
      <c r="K9098" t="n">
        <v>0</v>
      </c>
      <c r="L9098" t="n">
        <v>0</v>
      </c>
      <c r="M9098" t="n">
        <v>0</v>
      </c>
      <c r="N9098" t="n">
        <v>0</v>
      </c>
      <c r="O9098" t="n">
        <v>0</v>
      </c>
      <c r="P9098" t="n">
        <v>0</v>
      </c>
      <c r="Q9098" t="n">
        <v>0</v>
      </c>
      <c r="R9098" t="n">
        <v>0</v>
      </c>
      <c r="S9098" t="n">
        <v>0</v>
      </c>
      <c r="T9098" t="n">
        <v>0</v>
      </c>
      <c r="U9098" t="n">
        <v>0</v>
      </c>
      <c r="V9098" s="2" t="inlineStr"/>
    </row>
    <row r="9099" ht="15" customHeight="1">
      <c r="A9099" t="inlineStr">
        <is>
          <t>A 59773-2024</t>
        </is>
      </c>
      <c r="B9099" t="inlineStr">
        <is>
          <t>avverkningsanmälan</t>
        </is>
      </c>
      <c r="C9099" t="inlineStr">
        <is>
          <t>Föryngringsavverkning</t>
        </is>
      </c>
      <c r="D9099" s="1" t="n">
        <v>45639</v>
      </c>
      <c r="E9099" s="1" t="n">
        <v>46326</v>
      </c>
      <c r="F9099" t="inlineStr">
        <is>
          <t>GÄVLEBORGS LÄN</t>
        </is>
      </c>
      <c r="G9099" t="inlineStr">
        <is>
          <t>SÖDERHAMN</t>
        </is>
      </c>
      <c r="I9099" t="n">
        <v>1</v>
      </c>
      <c r="J9099" t="n">
        <v>0</v>
      </c>
      <c r="K9099" t="n">
        <v>0</v>
      </c>
      <c r="L9099" t="n">
        <v>0</v>
      </c>
      <c r="M9099" t="n">
        <v>0</v>
      </c>
      <c r="N9099" t="n">
        <v>0</v>
      </c>
      <c r="O9099" t="n">
        <v>0</v>
      </c>
      <c r="P9099" t="n">
        <v>0</v>
      </c>
      <c r="Q9099" t="n">
        <v>0</v>
      </c>
      <c r="R9099" t="n">
        <v>0</v>
      </c>
      <c r="S9099" t="n">
        <v>0</v>
      </c>
      <c r="T9099" t="n">
        <v>0</v>
      </c>
      <c r="U9099" t="n">
        <v>0</v>
      </c>
      <c r="V9099" s="2" t="inlineStr"/>
    </row>
    <row r="9100" ht="15" customHeight="1">
      <c r="A9100" t="inlineStr">
        <is>
          <t>A 35331-2024</t>
        </is>
      </c>
      <c r="B9100" t="inlineStr">
        <is>
          <t>avverkningsanmälan</t>
        </is>
      </c>
      <c r="C9100" t="inlineStr">
        <is>
          <t>Föryngringsavverkning</t>
        </is>
      </c>
      <c r="D9100" s="1" t="n">
        <v>45530</v>
      </c>
      <c r="E9100" s="1" t="n">
        <v>46326</v>
      </c>
      <c r="F9100" t="inlineStr">
        <is>
          <t>GÄVLEBORGS LÄN</t>
        </is>
      </c>
      <c r="G9100" t="inlineStr">
        <is>
          <t>GÄVLE</t>
        </is>
      </c>
      <c r="I9100" t="n">
        <v>0.6</v>
      </c>
      <c r="J9100" t="n">
        <v>0</v>
      </c>
      <c r="K9100" t="n">
        <v>0</v>
      </c>
      <c r="L9100" t="n">
        <v>0</v>
      </c>
      <c r="M9100" t="n">
        <v>0</v>
      </c>
      <c r="N9100" t="n">
        <v>0</v>
      </c>
      <c r="O9100" t="n">
        <v>0</v>
      </c>
      <c r="P9100" t="n">
        <v>0</v>
      </c>
      <c r="Q9100" t="n">
        <v>0</v>
      </c>
      <c r="R9100" t="n">
        <v>0</v>
      </c>
      <c r="S9100" t="n">
        <v>0</v>
      </c>
      <c r="T9100" t="n">
        <v>0</v>
      </c>
      <c r="U9100" t="n">
        <v>0</v>
      </c>
      <c r="V9100" s="2" t="inlineStr"/>
    </row>
    <row r="9101" ht="15" customHeight="1">
      <c r="A9101" t="inlineStr">
        <is>
          <t>A 29415-2026</t>
        </is>
      </c>
      <c r="B9101" t="inlineStr">
        <is>
          <t>avverkningsanmälan</t>
        </is>
      </c>
      <c r="C9101" t="inlineStr">
        <is>
          <t>Föryngringsavverkning</t>
        </is>
      </c>
      <c r="D9101" s="1" t="n">
        <v>46203</v>
      </c>
      <c r="E9101" s="1" t="n">
        <v>46326</v>
      </c>
      <c r="F9101" t="inlineStr">
        <is>
          <t>GÄVLEBORGS LÄN</t>
        </is>
      </c>
      <c r="G9101" t="inlineStr">
        <is>
          <t>OCKELBO</t>
        </is>
      </c>
      <c r="I9101" t="n">
        <v>2.7</v>
      </c>
      <c r="J9101" t="n">
        <v>0</v>
      </c>
      <c r="K9101" t="n">
        <v>0</v>
      </c>
      <c r="L9101" t="n">
        <v>0</v>
      </c>
      <c r="M9101" t="n">
        <v>0</v>
      </c>
      <c r="N9101" t="n">
        <v>0</v>
      </c>
      <c r="O9101" t="n">
        <v>0</v>
      </c>
      <c r="P9101" t="n">
        <v>0</v>
      </c>
      <c r="Q9101" t="n">
        <v>0</v>
      </c>
      <c r="R9101" t="n">
        <v>0</v>
      </c>
      <c r="S9101" t="n">
        <v>0</v>
      </c>
      <c r="T9101" t="n">
        <v>0</v>
      </c>
      <c r="U9101" t="n">
        <v>0</v>
      </c>
      <c r="V9101" s="2" t="inlineStr"/>
    </row>
    <row r="9102" ht="15" customHeight="1">
      <c r="A9102" t="inlineStr">
        <is>
          <t>A 25512-2026</t>
        </is>
      </c>
      <c r="B9102" t="inlineStr">
        <is>
          <t>avverkningsanmälan</t>
        </is>
      </c>
      <c r="C9102" t="inlineStr">
        <is>
          <t>Föryngringsavverkning</t>
        </is>
      </c>
      <c r="D9102" s="1" t="n">
        <v>46177</v>
      </c>
      <c r="E9102" s="1" t="n">
        <v>46326</v>
      </c>
      <c r="F9102" t="inlineStr">
        <is>
          <t>GÄVLEBORGS LÄN</t>
        </is>
      </c>
      <c r="G9102" t="inlineStr">
        <is>
          <t>LJUSDAL</t>
        </is>
      </c>
      <c r="H9102" t="inlineStr">
        <is>
          <t>Holmen skog AB</t>
        </is>
      </c>
      <c r="I9102" t="n">
        <v>3.3</v>
      </c>
      <c r="J9102" t="n">
        <v>0</v>
      </c>
      <c r="K9102" t="n">
        <v>0</v>
      </c>
      <c r="L9102" t="n">
        <v>0</v>
      </c>
      <c r="M9102" t="n">
        <v>0</v>
      </c>
      <c r="N9102" t="n">
        <v>0</v>
      </c>
      <c r="O9102" t="n">
        <v>0</v>
      </c>
      <c r="P9102" t="n">
        <v>0</v>
      </c>
      <c r="Q9102" t="n">
        <v>0</v>
      </c>
      <c r="R9102" t="n">
        <v>0</v>
      </c>
      <c r="S9102" t="n">
        <v>0</v>
      </c>
      <c r="T9102" t="n">
        <v>0</v>
      </c>
      <c r="U9102" t="n">
        <v>0</v>
      </c>
      <c r="V9102" s="2" t="inlineStr"/>
    </row>
    <row r="9103" ht="15" customHeight="1">
      <c r="A9103" t="inlineStr">
        <is>
          <t>A 26334-2026</t>
        </is>
      </c>
      <c r="B9103" t="inlineStr">
        <is>
          <t>avverkningsanmälan</t>
        </is>
      </c>
      <c r="C9103" t="inlineStr">
        <is>
          <t>Föryngringsavverkning</t>
        </is>
      </c>
      <c r="D9103" s="1" t="n">
        <v>46182</v>
      </c>
      <c r="E9103" s="1" t="n">
        <v>46326</v>
      </c>
      <c r="F9103" t="inlineStr">
        <is>
          <t>GÄVLEBORGS LÄN</t>
        </is>
      </c>
      <c r="G9103" t="inlineStr">
        <is>
          <t>LJUSDAL</t>
        </is>
      </c>
      <c r="H9103" t="inlineStr">
        <is>
          <t>Holmen skog AB</t>
        </is>
      </c>
      <c r="I9103" t="n">
        <v>1.5</v>
      </c>
      <c r="J9103" t="n">
        <v>0</v>
      </c>
      <c r="K9103" t="n">
        <v>0</v>
      </c>
      <c r="L9103" t="n">
        <v>0</v>
      </c>
      <c r="M9103" t="n">
        <v>0</v>
      </c>
      <c r="N9103" t="n">
        <v>0</v>
      </c>
      <c r="O9103" t="n">
        <v>0</v>
      </c>
      <c r="P9103" t="n">
        <v>0</v>
      </c>
      <c r="Q9103" t="n">
        <v>0</v>
      </c>
      <c r="R9103" t="n">
        <v>0</v>
      </c>
      <c r="S9103" t="n">
        <v>0</v>
      </c>
      <c r="T9103" t="n">
        <v>0</v>
      </c>
      <c r="U9103" t="n">
        <v>0</v>
      </c>
      <c r="V9103" s="2" t="inlineStr"/>
    </row>
    <row r="9104" ht="15" customHeight="1">
      <c r="A9104" t="inlineStr">
        <is>
          <t>A 11206-2023</t>
        </is>
      </c>
      <c r="B9104" t="inlineStr">
        <is>
          <t>avverkningsanmälan</t>
        </is>
      </c>
      <c r="C9104" t="inlineStr">
        <is>
          <t>Föryngringsavverkning</t>
        </is>
      </c>
      <c r="D9104" s="1" t="n">
        <v>44992</v>
      </c>
      <c r="E9104" s="1" t="n">
        <v>46326</v>
      </c>
      <c r="F9104" t="inlineStr">
        <is>
          <t>GÄVLEBORGS LÄN</t>
        </is>
      </c>
      <c r="G9104" t="inlineStr">
        <is>
          <t>SÖDERHAMN</t>
        </is>
      </c>
      <c r="I9104" t="n">
        <v>2.6</v>
      </c>
      <c r="J9104" t="n">
        <v>0</v>
      </c>
      <c r="K9104" t="n">
        <v>0</v>
      </c>
      <c r="L9104" t="n">
        <v>0</v>
      </c>
      <c r="M9104" t="n">
        <v>0</v>
      </c>
      <c r="N9104" t="n">
        <v>0</v>
      </c>
      <c r="O9104" t="n">
        <v>0</v>
      </c>
      <c r="P9104" t="n">
        <v>0</v>
      </c>
      <c r="Q9104" t="n">
        <v>0</v>
      </c>
      <c r="R9104" t="n">
        <v>0</v>
      </c>
      <c r="S9104" t="n">
        <v>0</v>
      </c>
      <c r="T9104" t="n">
        <v>0</v>
      </c>
      <c r="U9104" t="n">
        <v>0</v>
      </c>
      <c r="V9104" s="2" t="inlineStr"/>
    </row>
    <row r="9105" ht="15" customHeight="1">
      <c r="A9105" t="inlineStr">
        <is>
          <t>A 29607-2026</t>
        </is>
      </c>
      <c r="B9105" t="inlineStr">
        <is>
          <t>avverkningsanmälan</t>
        </is>
      </c>
      <c r="C9105" t="inlineStr">
        <is>
          <t>Föryngringsavverkning</t>
        </is>
      </c>
      <c r="D9105" s="1" t="n">
        <v>46204</v>
      </c>
      <c r="E9105" s="1" t="n">
        <v>46326</v>
      </c>
      <c r="F9105" t="inlineStr">
        <is>
          <t>GÄVLEBORGS LÄN</t>
        </is>
      </c>
      <c r="G9105" t="inlineStr">
        <is>
          <t>BOLLNÄS</t>
        </is>
      </c>
      <c r="I9105" t="n">
        <v>7.6</v>
      </c>
      <c r="J9105" t="n">
        <v>0</v>
      </c>
      <c r="K9105" t="n">
        <v>0</v>
      </c>
      <c r="L9105" t="n">
        <v>0</v>
      </c>
      <c r="M9105" t="n">
        <v>0</v>
      </c>
      <c r="N9105" t="n">
        <v>0</v>
      </c>
      <c r="O9105" t="n">
        <v>0</v>
      </c>
      <c r="P9105" t="n">
        <v>0</v>
      </c>
      <c r="Q9105" t="n">
        <v>0</v>
      </c>
      <c r="R9105" t="n">
        <v>0</v>
      </c>
      <c r="S9105" t="n">
        <v>0</v>
      </c>
      <c r="T9105" t="n">
        <v>0</v>
      </c>
      <c r="U9105" t="n">
        <v>0</v>
      </c>
      <c r="V9105" s="2" t="inlineStr"/>
    </row>
    <row r="9106" ht="15" customHeight="1">
      <c r="A9106" t="inlineStr">
        <is>
          <t>A 29620-2026</t>
        </is>
      </c>
      <c r="B9106" t="inlineStr">
        <is>
          <t>avverkningsanmälan</t>
        </is>
      </c>
      <c r="C9106" t="inlineStr">
        <is>
          <t>Föryngringsavverkning</t>
        </is>
      </c>
      <c r="D9106" s="1" t="n">
        <v>46204</v>
      </c>
      <c r="E9106" s="1" t="n">
        <v>46326</v>
      </c>
      <c r="F9106" t="inlineStr">
        <is>
          <t>GÄVLEBORGS LÄN</t>
        </is>
      </c>
      <c r="G9106" t="inlineStr">
        <is>
          <t>SANDVIKEN</t>
        </is>
      </c>
      <c r="I9106" t="n">
        <v>3.2</v>
      </c>
      <c r="J9106" t="n">
        <v>0</v>
      </c>
      <c r="K9106" t="n">
        <v>0</v>
      </c>
      <c r="L9106" t="n">
        <v>0</v>
      </c>
      <c r="M9106" t="n">
        <v>0</v>
      </c>
      <c r="N9106" t="n">
        <v>0</v>
      </c>
      <c r="O9106" t="n">
        <v>0</v>
      </c>
      <c r="P9106" t="n">
        <v>0</v>
      </c>
      <c r="Q9106" t="n">
        <v>0</v>
      </c>
      <c r="R9106" t="n">
        <v>0</v>
      </c>
      <c r="S9106" t="n">
        <v>0</v>
      </c>
      <c r="T9106" t="n">
        <v>0</v>
      </c>
      <c r="U9106" t="n">
        <v>0</v>
      </c>
      <c r="V9106" s="2" t="inlineStr"/>
    </row>
    <row r="9107" ht="15" customHeight="1">
      <c r="A9107" t="inlineStr">
        <is>
          <t>A 11267-2023</t>
        </is>
      </c>
      <c r="B9107" t="inlineStr">
        <is>
          <t>avverkningsanmälan</t>
        </is>
      </c>
      <c r="C9107" t="inlineStr">
        <is>
          <t>Avverkning för annat ändamål</t>
        </is>
      </c>
      <c r="D9107" s="1" t="n">
        <v>44992</v>
      </c>
      <c r="E9107" s="1" t="n">
        <v>46326</v>
      </c>
      <c r="F9107" t="inlineStr">
        <is>
          <t>GÄVLEBORGS LÄN</t>
        </is>
      </c>
      <c r="G9107" t="inlineStr">
        <is>
          <t>HUDIKSVALL</t>
        </is>
      </c>
      <c r="I9107" t="n">
        <v>0.9</v>
      </c>
      <c r="J9107" t="n">
        <v>0</v>
      </c>
      <c r="K9107" t="n">
        <v>0</v>
      </c>
      <c r="L9107" t="n">
        <v>0</v>
      </c>
      <c r="M9107" t="n">
        <v>0</v>
      </c>
      <c r="N9107" t="n">
        <v>0</v>
      </c>
      <c r="O9107" t="n">
        <v>0</v>
      </c>
      <c r="P9107" t="n">
        <v>0</v>
      </c>
      <c r="Q9107" t="n">
        <v>0</v>
      </c>
      <c r="R9107" t="n">
        <v>0</v>
      </c>
      <c r="S9107" t="n">
        <v>0</v>
      </c>
      <c r="T9107" t="n">
        <v>0</v>
      </c>
      <c r="U9107" t="n">
        <v>0</v>
      </c>
      <c r="V9107" s="2" t="inlineStr"/>
    </row>
    <row r="9108" ht="15" customHeight="1">
      <c r="A9108" t="inlineStr">
        <is>
          <t>A 14693-2025</t>
        </is>
      </c>
      <c r="B9108" t="inlineStr">
        <is>
          <t>avverkningsanmälan</t>
        </is>
      </c>
      <c r="C9108" t="inlineStr">
        <is>
          <t>Föryngringsavverkning</t>
        </is>
      </c>
      <c r="D9108" s="1" t="n">
        <v>45742</v>
      </c>
      <c r="E9108" s="1" t="n">
        <v>46326</v>
      </c>
      <c r="F9108" t="inlineStr">
        <is>
          <t>GÄVLEBORGS LÄN</t>
        </is>
      </c>
      <c r="G9108" t="inlineStr">
        <is>
          <t>OVANÅKER</t>
        </is>
      </c>
      <c r="I9108" t="n">
        <v>3.5</v>
      </c>
      <c r="J9108" t="n">
        <v>0</v>
      </c>
      <c r="K9108" t="n">
        <v>0</v>
      </c>
      <c r="L9108" t="n">
        <v>0</v>
      </c>
      <c r="M9108" t="n">
        <v>0</v>
      </c>
      <c r="N9108" t="n">
        <v>0</v>
      </c>
      <c r="O9108" t="n">
        <v>0</v>
      </c>
      <c r="P9108" t="n">
        <v>0</v>
      </c>
      <c r="Q9108" t="n">
        <v>0</v>
      </c>
      <c r="R9108" t="n">
        <v>0</v>
      </c>
      <c r="S9108" t="n">
        <v>0</v>
      </c>
      <c r="T9108" t="n">
        <v>0</v>
      </c>
      <c r="U9108" t="n">
        <v>0</v>
      </c>
      <c r="V9108" s="2" t="inlineStr"/>
    </row>
    <row r="9109" ht="15" customHeight="1">
      <c r="A9109" t="inlineStr">
        <is>
          <t>A 29652-2026</t>
        </is>
      </c>
      <c r="B9109" t="inlineStr">
        <is>
          <t>avverkningsanmälan</t>
        </is>
      </c>
      <c r="C9109" t="inlineStr">
        <is>
          <t>Föryngringsavverkning</t>
        </is>
      </c>
      <c r="D9109" s="1" t="n">
        <v>46204</v>
      </c>
      <c r="E9109" s="1" t="n">
        <v>46326</v>
      </c>
      <c r="F9109" t="inlineStr">
        <is>
          <t>GÄVLEBORGS LÄN</t>
        </is>
      </c>
      <c r="G9109" t="inlineStr">
        <is>
          <t>BOLLNÄS</t>
        </is>
      </c>
      <c r="I9109" t="n">
        <v>10</v>
      </c>
      <c r="J9109" t="n">
        <v>0</v>
      </c>
      <c r="K9109" t="n">
        <v>0</v>
      </c>
      <c r="L9109" t="n">
        <v>0</v>
      </c>
      <c r="M9109" t="n">
        <v>0</v>
      </c>
      <c r="N9109" t="n">
        <v>0</v>
      </c>
      <c r="O9109" t="n">
        <v>0</v>
      </c>
      <c r="P9109" t="n">
        <v>0</v>
      </c>
      <c r="Q9109" t="n">
        <v>0</v>
      </c>
      <c r="R9109" t="n">
        <v>0</v>
      </c>
      <c r="S9109" t="n">
        <v>0</v>
      </c>
      <c r="T9109" t="n">
        <v>0</v>
      </c>
      <c r="U9109" t="n">
        <v>0</v>
      </c>
      <c r="V9109" s="2" t="inlineStr"/>
    </row>
    <row r="9110" ht="15" customHeight="1">
      <c r="A9110" t="inlineStr">
        <is>
          <t>A 11-2023</t>
        </is>
      </c>
      <c r="B9110" t="inlineStr">
        <is>
          <t>avverkningsanmälan</t>
        </is>
      </c>
      <c r="C9110" t="inlineStr">
        <is>
          <t>Föryngringsavverkning</t>
        </is>
      </c>
      <c r="D9110" s="1" t="n">
        <v>44927</v>
      </c>
      <c r="E9110" s="1" t="n">
        <v>46326</v>
      </c>
      <c r="F9110" t="inlineStr">
        <is>
          <t>GÄVLEBORGS LÄN</t>
        </is>
      </c>
      <c r="G9110" t="inlineStr">
        <is>
          <t>GÄVLE</t>
        </is>
      </c>
      <c r="I9110" t="n">
        <v>4.4</v>
      </c>
      <c r="J9110" t="n">
        <v>0</v>
      </c>
      <c r="K9110" t="n">
        <v>0</v>
      </c>
      <c r="L9110" t="n">
        <v>0</v>
      </c>
      <c r="M9110" t="n">
        <v>0</v>
      </c>
      <c r="N9110" t="n">
        <v>0</v>
      </c>
      <c r="O9110" t="n">
        <v>0</v>
      </c>
      <c r="P9110" t="n">
        <v>0</v>
      </c>
      <c r="Q9110" t="n">
        <v>0</v>
      </c>
      <c r="R9110" t="n">
        <v>0</v>
      </c>
      <c r="S9110" t="n">
        <v>0</v>
      </c>
      <c r="T9110" t="n">
        <v>0</v>
      </c>
      <c r="U9110" t="n">
        <v>0</v>
      </c>
      <c r="V9110" s="2" t="inlineStr"/>
    </row>
    <row r="9111" ht="15" customHeight="1">
      <c r="A9111" t="inlineStr">
        <is>
          <t>A 44720-2024</t>
        </is>
      </c>
      <c r="B9111" t="inlineStr">
        <is>
          <t>avverkningsanmälan</t>
        </is>
      </c>
      <c r="C9111" t="inlineStr">
        <is>
          <t>Föryngringsavverkning</t>
        </is>
      </c>
      <c r="D9111" s="1" t="n">
        <v>45574</v>
      </c>
      <c r="E9111" s="1" t="n">
        <v>46326</v>
      </c>
      <c r="F9111" t="inlineStr">
        <is>
          <t>GÄVLEBORGS LÄN</t>
        </is>
      </c>
      <c r="G9111" t="inlineStr">
        <is>
          <t>HUDIKSVALL</t>
        </is>
      </c>
      <c r="H9111" t="inlineStr">
        <is>
          <t>Holmen skog AB</t>
        </is>
      </c>
      <c r="I9111" t="n">
        <v>9.1</v>
      </c>
      <c r="J9111" t="n">
        <v>0</v>
      </c>
      <c r="K9111" t="n">
        <v>0</v>
      </c>
      <c r="L9111" t="n">
        <v>0</v>
      </c>
      <c r="M9111" t="n">
        <v>0</v>
      </c>
      <c r="N9111" t="n">
        <v>0</v>
      </c>
      <c r="O9111" t="n">
        <v>0</v>
      </c>
      <c r="P9111" t="n">
        <v>0</v>
      </c>
      <c r="Q9111" t="n">
        <v>0</v>
      </c>
      <c r="R9111" t="n">
        <v>0</v>
      </c>
      <c r="S9111" t="n">
        <v>0</v>
      </c>
      <c r="T9111" t="n">
        <v>0</v>
      </c>
      <c r="U9111" t="n">
        <v>0</v>
      </c>
      <c r="V9111" s="2" t="inlineStr"/>
    </row>
    <row r="9112" ht="15" customHeight="1">
      <c r="A9112" t="inlineStr">
        <is>
          <t>A 29574-2026</t>
        </is>
      </c>
      <c r="B9112" t="inlineStr">
        <is>
          <t>avverkningsanmälan</t>
        </is>
      </c>
      <c r="C9112" t="inlineStr">
        <is>
          <t>Föryngringsavverkning</t>
        </is>
      </c>
      <c r="D9112" s="1" t="n">
        <v>46204</v>
      </c>
      <c r="E9112" s="1" t="n">
        <v>46326</v>
      </c>
      <c r="F9112" t="inlineStr">
        <is>
          <t>GÄVLEBORGS LÄN</t>
        </is>
      </c>
      <c r="G9112" t="inlineStr">
        <is>
          <t>HUDIKSVALL</t>
        </is>
      </c>
      <c r="H9112" t="inlineStr">
        <is>
          <t>Holmen skog AB</t>
        </is>
      </c>
      <c r="I9112" t="n">
        <v>6.5</v>
      </c>
      <c r="J9112" t="n">
        <v>0</v>
      </c>
      <c r="K9112" t="n">
        <v>0</v>
      </c>
      <c r="L9112" t="n">
        <v>0</v>
      </c>
      <c r="M9112" t="n">
        <v>0</v>
      </c>
      <c r="N9112" t="n">
        <v>0</v>
      </c>
      <c r="O9112" t="n">
        <v>0</v>
      </c>
      <c r="P9112" t="n">
        <v>0</v>
      </c>
      <c r="Q9112" t="n">
        <v>0</v>
      </c>
      <c r="R9112" t="n">
        <v>0</v>
      </c>
      <c r="S9112" t="n">
        <v>0</v>
      </c>
      <c r="T9112" t="n">
        <v>0</v>
      </c>
      <c r="U9112" t="n">
        <v>0</v>
      </c>
      <c r="V9112" s="2" t="inlineStr"/>
    </row>
    <row r="9113" ht="15" customHeight="1">
      <c r="A9113" t="inlineStr">
        <is>
          <t>A 5629-2025</t>
        </is>
      </c>
      <c r="B9113" t="inlineStr">
        <is>
          <t>avverkningsanmälan</t>
        </is>
      </c>
      <c r="C9113" t="inlineStr">
        <is>
          <t>Föryngringsavverkning</t>
        </is>
      </c>
      <c r="D9113" s="1" t="n">
        <v>45693</v>
      </c>
      <c r="E9113" s="1" t="n">
        <v>46326</v>
      </c>
      <c r="F9113" t="inlineStr">
        <is>
          <t>GÄVLEBORGS LÄN</t>
        </is>
      </c>
      <c r="G9113" t="inlineStr">
        <is>
          <t>OVANÅKER</t>
        </is>
      </c>
      <c r="I9113" t="n">
        <v>2.6</v>
      </c>
      <c r="J9113" t="n">
        <v>0</v>
      </c>
      <c r="K9113" t="n">
        <v>0</v>
      </c>
      <c r="L9113" t="n">
        <v>0</v>
      </c>
      <c r="M9113" t="n">
        <v>0</v>
      </c>
      <c r="N9113" t="n">
        <v>0</v>
      </c>
      <c r="O9113" t="n">
        <v>0</v>
      </c>
      <c r="P9113" t="n">
        <v>0</v>
      </c>
      <c r="Q9113" t="n">
        <v>0</v>
      </c>
      <c r="R9113" t="n">
        <v>0</v>
      </c>
      <c r="S9113" t="n">
        <v>0</v>
      </c>
      <c r="T9113" t="n">
        <v>0</v>
      </c>
      <c r="U9113" t="n">
        <v>0</v>
      </c>
      <c r="V9113" s="2" t="inlineStr"/>
    </row>
    <row r="9114" ht="15" customHeight="1">
      <c r="A9114" t="inlineStr">
        <is>
          <t>A 29629-2026</t>
        </is>
      </c>
      <c r="B9114" t="inlineStr">
        <is>
          <t>avverkningsanmälan</t>
        </is>
      </c>
      <c r="C9114" t="inlineStr">
        <is>
          <t>Föryngringsavverkning</t>
        </is>
      </c>
      <c r="D9114" s="1" t="n">
        <v>46204</v>
      </c>
      <c r="E9114" s="1" t="n">
        <v>46326</v>
      </c>
      <c r="F9114" t="inlineStr">
        <is>
          <t>GÄVLEBORGS LÄN</t>
        </is>
      </c>
      <c r="G9114" t="inlineStr">
        <is>
          <t>BOLLNÄS</t>
        </is>
      </c>
      <c r="I9114" t="n">
        <v>1.3</v>
      </c>
      <c r="J9114" t="n">
        <v>0</v>
      </c>
      <c r="K9114" t="n">
        <v>0</v>
      </c>
      <c r="L9114" t="n">
        <v>0</v>
      </c>
      <c r="M9114" t="n">
        <v>0</v>
      </c>
      <c r="N9114" t="n">
        <v>0</v>
      </c>
      <c r="O9114" t="n">
        <v>0</v>
      </c>
      <c r="P9114" t="n">
        <v>0</v>
      </c>
      <c r="Q9114" t="n">
        <v>0</v>
      </c>
      <c r="R9114" t="n">
        <v>0</v>
      </c>
      <c r="S9114" t="n">
        <v>0</v>
      </c>
      <c r="T9114" t="n">
        <v>0</v>
      </c>
      <c r="U9114" t="n">
        <v>0</v>
      </c>
      <c r="V9114" s="2" t="inlineStr"/>
    </row>
    <row r="9115" ht="15" customHeight="1">
      <c r="A9115" t="inlineStr">
        <is>
          <t>A 29700-2026</t>
        </is>
      </c>
      <c r="B9115" t="inlineStr">
        <is>
          <t>avverkningsanmälan</t>
        </is>
      </c>
      <c r="C9115" t="inlineStr">
        <is>
          <t>Föryngringsavverkning</t>
        </is>
      </c>
      <c r="D9115" s="1" t="n">
        <v>46204</v>
      </c>
      <c r="E9115" s="1" t="n">
        <v>46326</v>
      </c>
      <c r="F9115" t="inlineStr">
        <is>
          <t>GÄVLEBORGS LÄN</t>
        </is>
      </c>
      <c r="G9115" t="inlineStr">
        <is>
          <t>BOLLNÄS</t>
        </is>
      </c>
      <c r="I9115" t="n">
        <v>5.9</v>
      </c>
      <c r="J9115" t="n">
        <v>0</v>
      </c>
      <c r="K9115" t="n">
        <v>0</v>
      </c>
      <c r="L9115" t="n">
        <v>0</v>
      </c>
      <c r="M9115" t="n">
        <v>0</v>
      </c>
      <c r="N9115" t="n">
        <v>0</v>
      </c>
      <c r="O9115" t="n">
        <v>0</v>
      </c>
      <c r="P9115" t="n">
        <v>0</v>
      </c>
      <c r="Q9115" t="n">
        <v>0</v>
      </c>
      <c r="R9115" t="n">
        <v>0</v>
      </c>
      <c r="S9115" t="n">
        <v>0</v>
      </c>
      <c r="T9115" t="n">
        <v>0</v>
      </c>
      <c r="U9115" t="n">
        <v>0</v>
      </c>
      <c r="V9115" s="2" t="inlineStr"/>
    </row>
    <row r="9116" ht="15" customHeight="1">
      <c r="A9116" t="inlineStr">
        <is>
          <t>A 27612-2024</t>
        </is>
      </c>
      <c r="B9116" t="inlineStr">
        <is>
          <t>avverkningsanmälan</t>
        </is>
      </c>
      <c r="C9116" t="inlineStr">
        <is>
          <t>Föryngringsavverkning</t>
        </is>
      </c>
      <c r="D9116" s="1" t="n">
        <v>45474</v>
      </c>
      <c r="E9116" s="1" t="n">
        <v>46326</v>
      </c>
      <c r="F9116" t="inlineStr">
        <is>
          <t>GÄVLEBORGS LÄN</t>
        </is>
      </c>
      <c r="G9116" t="inlineStr">
        <is>
          <t>BOLLNÄS</t>
        </is>
      </c>
      <c r="I9116" t="n">
        <v>1.1</v>
      </c>
      <c r="J9116" t="n">
        <v>0</v>
      </c>
      <c r="K9116" t="n">
        <v>0</v>
      </c>
      <c r="L9116" t="n">
        <v>0</v>
      </c>
      <c r="M9116" t="n">
        <v>0</v>
      </c>
      <c r="N9116" t="n">
        <v>0</v>
      </c>
      <c r="O9116" t="n">
        <v>0</v>
      </c>
      <c r="P9116" t="n">
        <v>0</v>
      </c>
      <c r="Q9116" t="n">
        <v>0</v>
      </c>
      <c r="R9116" t="n">
        <v>0</v>
      </c>
      <c r="S9116" t="n">
        <v>0</v>
      </c>
      <c r="T9116" t="n">
        <v>0</v>
      </c>
      <c r="U9116" t="n">
        <v>0</v>
      </c>
      <c r="V9116" s="2" t="inlineStr"/>
    </row>
    <row r="9117" ht="15" customHeight="1">
      <c r="A9117" t="inlineStr">
        <is>
          <t>A 43562-2024</t>
        </is>
      </c>
      <c r="B9117" t="inlineStr">
        <is>
          <t>avverkningsanmälan</t>
        </is>
      </c>
      <c r="C9117" t="inlineStr">
        <is>
          <t>Föryngringsavverkning</t>
        </is>
      </c>
      <c r="D9117" s="1" t="n">
        <v>45569</v>
      </c>
      <c r="E9117" s="1" t="n">
        <v>46326</v>
      </c>
      <c r="F9117" t="inlineStr">
        <is>
          <t>GÄVLEBORGS LÄN</t>
        </is>
      </c>
      <c r="G9117" t="inlineStr">
        <is>
          <t>LJUSDAL</t>
        </is>
      </c>
      <c r="I9117" t="n">
        <v>0.9</v>
      </c>
      <c r="J9117" t="n">
        <v>0</v>
      </c>
      <c r="K9117" t="n">
        <v>0</v>
      </c>
      <c r="L9117" t="n">
        <v>0</v>
      </c>
      <c r="M9117" t="n">
        <v>0</v>
      </c>
      <c r="N9117" t="n">
        <v>0</v>
      </c>
      <c r="O9117" t="n">
        <v>0</v>
      </c>
      <c r="P9117" t="n">
        <v>0</v>
      </c>
      <c r="Q9117" t="n">
        <v>0</v>
      </c>
      <c r="R9117" t="n">
        <v>0</v>
      </c>
      <c r="S9117" t="n">
        <v>0</v>
      </c>
      <c r="T9117" t="n">
        <v>0</v>
      </c>
      <c r="U9117" t="n">
        <v>0</v>
      </c>
      <c r="V9117" s="2" t="inlineStr"/>
    </row>
    <row r="9118" ht="15" customHeight="1">
      <c r="A9118" t="inlineStr">
        <is>
          <t>A 30043-2026</t>
        </is>
      </c>
      <c r="B9118" t="inlineStr">
        <is>
          <t>avverkningsanmälan</t>
        </is>
      </c>
      <c r="C9118" t="inlineStr">
        <is>
          <t>Föryngringsavverkning</t>
        </is>
      </c>
      <c r="D9118" s="1" t="n">
        <v>46206</v>
      </c>
      <c r="E9118" s="1" t="n">
        <v>46326</v>
      </c>
      <c r="F9118" t="inlineStr">
        <is>
          <t>GÄVLEBORGS LÄN</t>
        </is>
      </c>
      <c r="G9118" t="inlineStr">
        <is>
          <t>BOLLNÄS</t>
        </is>
      </c>
      <c r="I9118" t="n">
        <v>6.3</v>
      </c>
      <c r="J9118" t="n">
        <v>0</v>
      </c>
      <c r="K9118" t="n">
        <v>0</v>
      </c>
      <c r="L9118" t="n">
        <v>0</v>
      </c>
      <c r="M9118" t="n">
        <v>0</v>
      </c>
      <c r="N9118" t="n">
        <v>0</v>
      </c>
      <c r="O9118" t="n">
        <v>0</v>
      </c>
      <c r="P9118" t="n">
        <v>0</v>
      </c>
      <c r="Q9118" t="n">
        <v>0</v>
      </c>
      <c r="R9118" t="n">
        <v>0</v>
      </c>
      <c r="S9118" t="n">
        <v>0</v>
      </c>
      <c r="T9118" t="n">
        <v>0</v>
      </c>
      <c r="U9118" t="n">
        <v>0</v>
      </c>
      <c r="V9118" s="2" t="inlineStr"/>
    </row>
    <row r="9119" ht="15" customHeight="1">
      <c r="A9119" t="inlineStr">
        <is>
          <t>A 30050-2026</t>
        </is>
      </c>
      <c r="B9119" t="inlineStr">
        <is>
          <t>avverkningsanmälan</t>
        </is>
      </c>
      <c r="C9119" t="inlineStr">
        <is>
          <t>Föryngringsavverkning</t>
        </is>
      </c>
      <c r="D9119" s="1" t="n">
        <v>46206</v>
      </c>
      <c r="E9119" s="1" t="n">
        <v>46326</v>
      </c>
      <c r="F9119" t="inlineStr">
        <is>
          <t>GÄVLEBORGS LÄN</t>
        </is>
      </c>
      <c r="G9119" t="inlineStr">
        <is>
          <t>BOLLNÄS</t>
        </is>
      </c>
      <c r="I9119" t="n">
        <v>1.2</v>
      </c>
      <c r="J9119" t="n">
        <v>0</v>
      </c>
      <c r="K9119" t="n">
        <v>0</v>
      </c>
      <c r="L9119" t="n">
        <v>0</v>
      </c>
      <c r="M9119" t="n">
        <v>0</v>
      </c>
      <c r="N9119" t="n">
        <v>0</v>
      </c>
      <c r="O9119" t="n">
        <v>0</v>
      </c>
      <c r="P9119" t="n">
        <v>0</v>
      </c>
      <c r="Q9119" t="n">
        <v>0</v>
      </c>
      <c r="R9119" t="n">
        <v>0</v>
      </c>
      <c r="S9119" t="n">
        <v>0</v>
      </c>
      <c r="T9119" t="n">
        <v>0</v>
      </c>
      <c r="U9119" t="n">
        <v>0</v>
      </c>
      <c r="V9119" s="2" t="inlineStr"/>
    </row>
    <row r="9120" ht="15" customHeight="1">
      <c r="A9120" t="inlineStr">
        <is>
          <t>A 30052-2026</t>
        </is>
      </c>
      <c r="B9120" t="inlineStr">
        <is>
          <t>avverkningsanmälan</t>
        </is>
      </c>
      <c r="C9120" t="inlineStr">
        <is>
          <t>Föryngringsavverkning</t>
        </is>
      </c>
      <c r="D9120" s="1" t="n">
        <v>46206</v>
      </c>
      <c r="E9120" s="1" t="n">
        <v>46326</v>
      </c>
      <c r="F9120" t="inlineStr">
        <is>
          <t>GÄVLEBORGS LÄN</t>
        </is>
      </c>
      <c r="G9120" t="inlineStr">
        <is>
          <t>BOLLNÄS</t>
        </is>
      </c>
      <c r="I9120" t="n">
        <v>2</v>
      </c>
      <c r="J9120" t="n">
        <v>0</v>
      </c>
      <c r="K9120" t="n">
        <v>0</v>
      </c>
      <c r="L9120" t="n">
        <v>0</v>
      </c>
      <c r="M9120" t="n">
        <v>0</v>
      </c>
      <c r="N9120" t="n">
        <v>0</v>
      </c>
      <c r="O9120" t="n">
        <v>0</v>
      </c>
      <c r="P9120" t="n">
        <v>0</v>
      </c>
      <c r="Q9120" t="n">
        <v>0</v>
      </c>
      <c r="R9120" t="n">
        <v>0</v>
      </c>
      <c r="S9120" t="n">
        <v>0</v>
      </c>
      <c r="T9120" t="n">
        <v>0</v>
      </c>
      <c r="U9120" t="n">
        <v>0</v>
      </c>
      <c r="V9120" s="2" t="inlineStr"/>
    </row>
    <row r="9121" ht="15" customHeight="1">
      <c r="A9121" t="inlineStr">
        <is>
          <t>A 29790-2026</t>
        </is>
      </c>
      <c r="B9121" t="inlineStr">
        <is>
          <t>avverkningsanmälan</t>
        </is>
      </c>
      <c r="C9121" t="inlineStr">
        <is>
          <t>Föryngringsavverkning</t>
        </is>
      </c>
      <c r="D9121" s="1" t="n">
        <v>46205</v>
      </c>
      <c r="E9121" s="1" t="n">
        <v>46326</v>
      </c>
      <c r="F9121" t="inlineStr">
        <is>
          <t>GÄVLEBORGS LÄN</t>
        </is>
      </c>
      <c r="G9121" t="inlineStr">
        <is>
          <t>HUDIKSVALL</t>
        </is>
      </c>
      <c r="I9121" t="n">
        <v>6.2</v>
      </c>
      <c r="J9121" t="n">
        <v>0</v>
      </c>
      <c r="K9121" t="n">
        <v>0</v>
      </c>
      <c r="L9121" t="n">
        <v>0</v>
      </c>
      <c r="M9121" t="n">
        <v>0</v>
      </c>
      <c r="N9121" t="n">
        <v>0</v>
      </c>
      <c r="O9121" t="n">
        <v>0</v>
      </c>
      <c r="P9121" t="n">
        <v>0</v>
      </c>
      <c r="Q9121" t="n">
        <v>0</v>
      </c>
      <c r="R9121" t="n">
        <v>0</v>
      </c>
      <c r="S9121" t="n">
        <v>0</v>
      </c>
      <c r="T9121" t="n">
        <v>0</v>
      </c>
      <c r="U9121" t="n">
        <v>0</v>
      </c>
      <c r="V9121" s="2" t="inlineStr"/>
    </row>
    <row r="9122" ht="15" customHeight="1">
      <c r="A9122" t="inlineStr">
        <is>
          <t>A 29849-2026</t>
        </is>
      </c>
      <c r="B9122" t="inlineStr">
        <is>
          <t>avverkningsanmälan</t>
        </is>
      </c>
      <c r="C9122" t="inlineStr">
        <is>
          <t>Föryngringsavverkning</t>
        </is>
      </c>
      <c r="D9122" s="1" t="n">
        <v>46205</v>
      </c>
      <c r="E9122" s="1" t="n">
        <v>46326</v>
      </c>
      <c r="F9122" t="inlineStr">
        <is>
          <t>GÄVLEBORGS LÄN</t>
        </is>
      </c>
      <c r="G9122" t="inlineStr">
        <is>
          <t>OCKELBO</t>
        </is>
      </c>
      <c r="I9122" t="n">
        <v>0.5</v>
      </c>
      <c r="J9122" t="n">
        <v>0</v>
      </c>
      <c r="K9122" t="n">
        <v>0</v>
      </c>
      <c r="L9122" t="n">
        <v>0</v>
      </c>
      <c r="M9122" t="n">
        <v>0</v>
      </c>
      <c r="N9122" t="n">
        <v>0</v>
      </c>
      <c r="O9122" t="n">
        <v>0</v>
      </c>
      <c r="P9122" t="n">
        <v>0</v>
      </c>
      <c r="Q9122" t="n">
        <v>0</v>
      </c>
      <c r="R9122" t="n">
        <v>0</v>
      </c>
      <c r="S9122" t="n">
        <v>0</v>
      </c>
      <c r="T9122" t="n">
        <v>0</v>
      </c>
      <c r="U9122" t="n">
        <v>0</v>
      </c>
      <c r="V9122" s="2" t="inlineStr"/>
    </row>
    <row r="9123" ht="15" customHeight="1">
      <c r="A9123" t="inlineStr">
        <is>
          <t>A 15456-2026</t>
        </is>
      </c>
      <c r="B9123" t="inlineStr">
        <is>
          <t>avverkningsanmälan</t>
        </is>
      </c>
      <c r="C9123" t="inlineStr">
        <is>
          <t>Föryngringsavverkning</t>
        </is>
      </c>
      <c r="D9123" s="1" t="n">
        <v>46106</v>
      </c>
      <c r="E9123" s="1" t="n">
        <v>46326</v>
      </c>
      <c r="F9123" t="inlineStr">
        <is>
          <t>GÄVLEBORGS LÄN</t>
        </is>
      </c>
      <c r="G9123" t="inlineStr">
        <is>
          <t>GÄVLE</t>
        </is>
      </c>
      <c r="H9123" t="inlineStr">
        <is>
          <t>Bergvik skog öst AB</t>
        </is>
      </c>
      <c r="I9123" t="n">
        <v>2</v>
      </c>
      <c r="J9123" t="n">
        <v>0</v>
      </c>
      <c r="K9123" t="n">
        <v>0</v>
      </c>
      <c r="L9123" t="n">
        <v>0</v>
      </c>
      <c r="M9123" t="n">
        <v>0</v>
      </c>
      <c r="N9123" t="n">
        <v>0</v>
      </c>
      <c r="O9123" t="n">
        <v>0</v>
      </c>
      <c r="P9123" t="n">
        <v>0</v>
      </c>
      <c r="Q9123" t="n">
        <v>0</v>
      </c>
      <c r="R9123" t="n">
        <v>0</v>
      </c>
      <c r="S9123" t="n">
        <v>0</v>
      </c>
      <c r="T9123" t="n">
        <v>0</v>
      </c>
      <c r="U9123" t="n">
        <v>0</v>
      </c>
      <c r="V9123" s="2" t="inlineStr"/>
    </row>
    <row r="9124" ht="15" customHeight="1">
      <c r="A9124" t="inlineStr">
        <is>
          <t>A 44806-2024</t>
        </is>
      </c>
      <c r="B9124" t="inlineStr">
        <is>
          <t>avverkningsanmälan</t>
        </is>
      </c>
      <c r="C9124" t="inlineStr">
        <is>
          <t>Föryngringsavverkning</t>
        </is>
      </c>
      <c r="D9124" s="1" t="n">
        <v>45574</v>
      </c>
      <c r="E9124" s="1" t="n">
        <v>46326</v>
      </c>
      <c r="F9124" t="inlineStr">
        <is>
          <t>GÄVLEBORGS LÄN</t>
        </is>
      </c>
      <c r="G9124" t="inlineStr">
        <is>
          <t>GÄVLE</t>
        </is>
      </c>
      <c r="H9124" t="inlineStr">
        <is>
          <t>Bergvik skog öst AB</t>
        </is>
      </c>
      <c r="I9124" t="n">
        <v>0.6</v>
      </c>
      <c r="J9124" t="n">
        <v>0</v>
      </c>
      <c r="K9124" t="n">
        <v>0</v>
      </c>
      <c r="L9124" t="n">
        <v>0</v>
      </c>
      <c r="M9124" t="n">
        <v>0</v>
      </c>
      <c r="N9124" t="n">
        <v>0</v>
      </c>
      <c r="O9124" t="n">
        <v>0</v>
      </c>
      <c r="P9124" t="n">
        <v>0</v>
      </c>
      <c r="Q9124" t="n">
        <v>0</v>
      </c>
      <c r="R9124" t="n">
        <v>0</v>
      </c>
      <c r="S9124" t="n">
        <v>0</v>
      </c>
      <c r="T9124" t="n">
        <v>0</v>
      </c>
      <c r="U9124" t="n">
        <v>0</v>
      </c>
      <c r="V9124" s="2" t="inlineStr"/>
    </row>
    <row r="9125" ht="15" customHeight="1">
      <c r="A9125" t="inlineStr">
        <is>
          <t>A 51758-2025</t>
        </is>
      </c>
      <c r="B9125" t="inlineStr">
        <is>
          <t>avverkningsanmälan</t>
        </is>
      </c>
      <c r="C9125" t="inlineStr">
        <is>
          <t>Föryngringsavverkning</t>
        </is>
      </c>
      <c r="D9125" s="1" t="n">
        <v>45950</v>
      </c>
      <c r="E9125" s="1" t="n">
        <v>46326</v>
      </c>
      <c r="F9125" t="inlineStr">
        <is>
          <t>GÄVLEBORGS LÄN</t>
        </is>
      </c>
      <c r="G9125" t="inlineStr">
        <is>
          <t>GÄVLE</t>
        </is>
      </c>
      <c r="I9125" t="n">
        <v>3.2</v>
      </c>
      <c r="J9125" t="n">
        <v>0</v>
      </c>
      <c r="K9125" t="n">
        <v>0</v>
      </c>
      <c r="L9125" t="n">
        <v>0</v>
      </c>
      <c r="M9125" t="n">
        <v>0</v>
      </c>
      <c r="N9125" t="n">
        <v>0</v>
      </c>
      <c r="O9125" t="n">
        <v>0</v>
      </c>
      <c r="P9125" t="n">
        <v>0</v>
      </c>
      <c r="Q9125" t="n">
        <v>0</v>
      </c>
      <c r="R9125" t="n">
        <v>0</v>
      </c>
      <c r="S9125" t="n">
        <v>0</v>
      </c>
      <c r="T9125" t="n">
        <v>0</v>
      </c>
      <c r="U9125" t="n">
        <v>0</v>
      </c>
      <c r="V9125" s="2" t="inlineStr"/>
    </row>
    <row r="9126" ht="15" customHeight="1">
      <c r="A9126" t="inlineStr">
        <is>
          <t>A 44813-2024</t>
        </is>
      </c>
      <c r="B9126" t="inlineStr">
        <is>
          <t>avverkningsanmälan</t>
        </is>
      </c>
      <c r="C9126" t="inlineStr">
        <is>
          <t>Föryngringsavverkning</t>
        </is>
      </c>
      <c r="D9126" s="1" t="n">
        <v>45574</v>
      </c>
      <c r="E9126" s="1" t="n">
        <v>46326</v>
      </c>
      <c r="F9126" t="inlineStr">
        <is>
          <t>GÄVLEBORGS LÄN</t>
        </is>
      </c>
      <c r="G9126" t="inlineStr">
        <is>
          <t>HUDIKSVALL</t>
        </is>
      </c>
      <c r="I9126" t="n">
        <v>2</v>
      </c>
      <c r="J9126" t="n">
        <v>0</v>
      </c>
      <c r="K9126" t="n">
        <v>0</v>
      </c>
      <c r="L9126" t="n">
        <v>0</v>
      </c>
      <c r="M9126" t="n">
        <v>0</v>
      </c>
      <c r="N9126" t="n">
        <v>0</v>
      </c>
      <c r="O9126" t="n">
        <v>0</v>
      </c>
      <c r="P9126" t="n">
        <v>0</v>
      </c>
      <c r="Q9126" t="n">
        <v>0</v>
      </c>
      <c r="R9126" t="n">
        <v>0</v>
      </c>
      <c r="S9126" t="n">
        <v>0</v>
      </c>
      <c r="T9126" t="n">
        <v>0</v>
      </c>
      <c r="U9126" t="n">
        <v>0</v>
      </c>
      <c r="V9126" s="2" t="inlineStr"/>
    </row>
    <row r="9127" ht="15" customHeight="1">
      <c r="A9127" t="inlineStr">
        <is>
          <t>A 30041-2026</t>
        </is>
      </c>
      <c r="B9127" t="inlineStr">
        <is>
          <t>avverkningsanmälan</t>
        </is>
      </c>
      <c r="C9127" t="inlineStr">
        <is>
          <t>Föryngringsavverkning</t>
        </is>
      </c>
      <c r="D9127" s="1" t="n">
        <v>46206</v>
      </c>
      <c r="E9127" s="1" t="n">
        <v>46326</v>
      </c>
      <c r="F9127" t="inlineStr">
        <is>
          <t>GÄVLEBORGS LÄN</t>
        </is>
      </c>
      <c r="G9127" t="inlineStr">
        <is>
          <t>BOLLNÄS</t>
        </is>
      </c>
      <c r="I9127" t="n">
        <v>6</v>
      </c>
      <c r="J9127" t="n">
        <v>0</v>
      </c>
      <c r="K9127" t="n">
        <v>0</v>
      </c>
      <c r="L9127" t="n">
        <v>0</v>
      </c>
      <c r="M9127" t="n">
        <v>0</v>
      </c>
      <c r="N9127" t="n">
        <v>0</v>
      </c>
      <c r="O9127" t="n">
        <v>0</v>
      </c>
      <c r="P9127" t="n">
        <v>0</v>
      </c>
      <c r="Q9127" t="n">
        <v>0</v>
      </c>
      <c r="R9127" t="n">
        <v>0</v>
      </c>
      <c r="S9127" t="n">
        <v>0</v>
      </c>
      <c r="T9127" t="n">
        <v>0</v>
      </c>
      <c r="U9127" t="n">
        <v>0</v>
      </c>
      <c r="V9127" s="2" t="inlineStr"/>
    </row>
    <row r="9128" ht="15" customHeight="1">
      <c r="A9128" t="inlineStr">
        <is>
          <t>A 10606-2024</t>
        </is>
      </c>
      <c r="B9128" t="inlineStr">
        <is>
          <t>avverkningsanmälan</t>
        </is>
      </c>
      <c r="C9128" t="inlineStr">
        <is>
          <t>Föryngringsavverkning</t>
        </is>
      </c>
      <c r="D9128" s="1" t="n">
        <v>45366</v>
      </c>
      <c r="E9128" s="1" t="n">
        <v>46326</v>
      </c>
      <c r="F9128" t="inlineStr">
        <is>
          <t>GÄVLEBORGS LÄN</t>
        </is>
      </c>
      <c r="G9128" t="inlineStr">
        <is>
          <t>BOLLNÄS</t>
        </is>
      </c>
      <c r="I9128" t="n">
        <v>2.6</v>
      </c>
      <c r="J9128" t="n">
        <v>0</v>
      </c>
      <c r="K9128" t="n">
        <v>0</v>
      </c>
      <c r="L9128" t="n">
        <v>0</v>
      </c>
      <c r="M9128" t="n">
        <v>0</v>
      </c>
      <c r="N9128" t="n">
        <v>0</v>
      </c>
      <c r="O9128" t="n">
        <v>0</v>
      </c>
      <c r="P9128" t="n">
        <v>0</v>
      </c>
      <c r="Q9128" t="n">
        <v>0</v>
      </c>
      <c r="R9128" t="n">
        <v>0</v>
      </c>
      <c r="S9128" t="n">
        <v>0</v>
      </c>
      <c r="T9128" t="n">
        <v>0</v>
      </c>
      <c r="U9128" t="n">
        <v>0</v>
      </c>
      <c r="V9128" s="2" t="inlineStr"/>
    </row>
    <row r="9129" ht="15" customHeight="1">
      <c r="A9129" t="inlineStr">
        <is>
          <t>A 23369-2022</t>
        </is>
      </c>
      <c r="B9129" t="inlineStr">
        <is>
          <t>avverkningsanmälan</t>
        </is>
      </c>
      <c r="C9129" t="inlineStr">
        <is>
          <t>Föryngringsavverkning</t>
        </is>
      </c>
      <c r="D9129" s="1" t="n">
        <v>44720</v>
      </c>
      <c r="E9129" s="1" t="n">
        <v>46326</v>
      </c>
      <c r="F9129" t="inlineStr">
        <is>
          <t>GÄVLEBORGS LÄN</t>
        </is>
      </c>
      <c r="G9129" t="inlineStr">
        <is>
          <t>NORDANSTIG</t>
        </is>
      </c>
      <c r="I9129" t="n">
        <v>5.3</v>
      </c>
      <c r="J9129" t="n">
        <v>0</v>
      </c>
      <c r="K9129" t="n">
        <v>0</v>
      </c>
      <c r="L9129" t="n">
        <v>0</v>
      </c>
      <c r="M9129" t="n">
        <v>0</v>
      </c>
      <c r="N9129" t="n">
        <v>0</v>
      </c>
      <c r="O9129" t="n">
        <v>0</v>
      </c>
      <c r="P9129" t="n">
        <v>0</v>
      </c>
      <c r="Q9129" t="n">
        <v>0</v>
      </c>
      <c r="R9129" t="n">
        <v>0</v>
      </c>
      <c r="S9129" t="n">
        <v>0</v>
      </c>
      <c r="T9129" t="n">
        <v>0</v>
      </c>
      <c r="U9129" t="n">
        <v>0</v>
      </c>
      <c r="V9129" s="2" t="inlineStr"/>
    </row>
    <row r="9130" ht="15" customHeight="1">
      <c r="A9130" t="inlineStr">
        <is>
          <t>A 30131-2026</t>
        </is>
      </c>
      <c r="B9130" t="inlineStr">
        <is>
          <t>avverkningsanmälan</t>
        </is>
      </c>
      <c r="C9130" t="inlineStr">
        <is>
          <t>Föryngringsavverkning</t>
        </is>
      </c>
      <c r="D9130" s="1" t="n">
        <v>46206</v>
      </c>
      <c r="E9130" s="1" t="n">
        <v>46326</v>
      </c>
      <c r="F9130" t="inlineStr">
        <is>
          <t>GÄVLEBORGS LÄN</t>
        </is>
      </c>
      <c r="G9130" t="inlineStr">
        <is>
          <t>BOLLNÄS</t>
        </is>
      </c>
      <c r="I9130" t="n">
        <v>3.5</v>
      </c>
      <c r="J9130" t="n">
        <v>0</v>
      </c>
      <c r="K9130" t="n">
        <v>0</v>
      </c>
      <c r="L9130" t="n">
        <v>0</v>
      </c>
      <c r="M9130" t="n">
        <v>0</v>
      </c>
      <c r="N9130" t="n">
        <v>0</v>
      </c>
      <c r="O9130" t="n">
        <v>0</v>
      </c>
      <c r="P9130" t="n">
        <v>0</v>
      </c>
      <c r="Q9130" t="n">
        <v>0</v>
      </c>
      <c r="R9130" t="n">
        <v>0</v>
      </c>
      <c r="S9130" t="n">
        <v>0</v>
      </c>
      <c r="T9130" t="n">
        <v>0</v>
      </c>
      <c r="U9130" t="n">
        <v>0</v>
      </c>
      <c r="V9130" s="2" t="inlineStr"/>
    </row>
    <row r="9131" ht="15" customHeight="1">
      <c r="A9131" t="inlineStr">
        <is>
          <t>A 30136-2026</t>
        </is>
      </c>
      <c r="B9131" t="inlineStr">
        <is>
          <t>avverkningsanmälan</t>
        </is>
      </c>
      <c r="C9131" t="inlineStr">
        <is>
          <t>Föryngringsavverkning</t>
        </is>
      </c>
      <c r="D9131" s="1" t="n">
        <v>46206</v>
      </c>
      <c r="E9131" s="1" t="n">
        <v>46326</v>
      </c>
      <c r="F9131" t="inlineStr">
        <is>
          <t>GÄVLEBORGS LÄN</t>
        </is>
      </c>
      <c r="G9131" t="inlineStr">
        <is>
          <t>BOLLNÄS</t>
        </is>
      </c>
      <c r="I9131" t="n">
        <v>0.8</v>
      </c>
      <c r="J9131" t="n">
        <v>0</v>
      </c>
      <c r="K9131" t="n">
        <v>0</v>
      </c>
      <c r="L9131" t="n">
        <v>0</v>
      </c>
      <c r="M9131" t="n">
        <v>0</v>
      </c>
      <c r="N9131" t="n">
        <v>0</v>
      </c>
      <c r="O9131" t="n">
        <v>0</v>
      </c>
      <c r="P9131" t="n">
        <v>0</v>
      </c>
      <c r="Q9131" t="n">
        <v>0</v>
      </c>
      <c r="R9131" t="n">
        <v>0</v>
      </c>
      <c r="S9131" t="n">
        <v>0</v>
      </c>
      <c r="T9131" t="n">
        <v>0</v>
      </c>
      <c r="U9131" t="n">
        <v>0</v>
      </c>
      <c r="V9131" s="2" t="inlineStr"/>
    </row>
    <row r="9132" ht="15" customHeight="1">
      <c r="A9132" t="inlineStr">
        <is>
          <t>A 11629-2024</t>
        </is>
      </c>
      <c r="B9132" t="inlineStr">
        <is>
          <t>avverkningsanmälan</t>
        </is>
      </c>
      <c r="C9132" t="inlineStr">
        <is>
          <t>Föryngringsavverkning</t>
        </is>
      </c>
      <c r="D9132" s="1" t="n">
        <v>45373</v>
      </c>
      <c r="E9132" s="1" t="n">
        <v>46326</v>
      </c>
      <c r="F9132" t="inlineStr">
        <is>
          <t>GÄVLEBORGS LÄN</t>
        </is>
      </c>
      <c r="G9132" t="inlineStr">
        <is>
          <t>HUDIKSVALL</t>
        </is>
      </c>
      <c r="H9132" t="inlineStr">
        <is>
          <t>Holmen skog AB</t>
        </is>
      </c>
      <c r="I9132" t="n">
        <v>11</v>
      </c>
      <c r="J9132" t="n">
        <v>0</v>
      </c>
      <c r="K9132" t="n">
        <v>0</v>
      </c>
      <c r="L9132" t="n">
        <v>0</v>
      </c>
      <c r="M9132" t="n">
        <v>0</v>
      </c>
      <c r="N9132" t="n">
        <v>0</v>
      </c>
      <c r="O9132" t="n">
        <v>0</v>
      </c>
      <c r="P9132" t="n">
        <v>0</v>
      </c>
      <c r="Q9132" t="n">
        <v>0</v>
      </c>
      <c r="R9132" t="n">
        <v>0</v>
      </c>
      <c r="S9132" t="n">
        <v>0</v>
      </c>
      <c r="T9132" t="n">
        <v>0</v>
      </c>
      <c r="U9132" t="n">
        <v>0</v>
      </c>
      <c r="V9132" s="2" t="inlineStr"/>
    </row>
    <row r="9133" ht="15" customHeight="1">
      <c r="A9133" t="inlineStr">
        <is>
          <t>A 10843-2022</t>
        </is>
      </c>
      <c r="B9133" t="inlineStr">
        <is>
          <t>avverkningsanmälan</t>
        </is>
      </c>
      <c r="C9133" t="inlineStr">
        <is>
          <t>Föryngringsavverkning</t>
        </is>
      </c>
      <c r="D9133" s="1" t="n">
        <v>44627</v>
      </c>
      <c r="E9133" s="1" t="n">
        <v>46326</v>
      </c>
      <c r="F9133" t="inlineStr">
        <is>
          <t>GÄVLEBORGS LÄN</t>
        </is>
      </c>
      <c r="G9133" t="inlineStr">
        <is>
          <t>HUDIKSVALL</t>
        </is>
      </c>
      <c r="I9133" t="n">
        <v>15.4</v>
      </c>
      <c r="J9133" t="n">
        <v>0</v>
      </c>
      <c r="K9133" t="n">
        <v>0</v>
      </c>
      <c r="L9133" t="n">
        <v>0</v>
      </c>
      <c r="M9133" t="n">
        <v>0</v>
      </c>
      <c r="N9133" t="n">
        <v>0</v>
      </c>
      <c r="O9133" t="n">
        <v>0</v>
      </c>
      <c r="P9133" t="n">
        <v>0</v>
      </c>
      <c r="Q9133" t="n">
        <v>0</v>
      </c>
      <c r="R9133" t="n">
        <v>0</v>
      </c>
      <c r="S9133" t="n">
        <v>0</v>
      </c>
      <c r="T9133" t="n">
        <v>0</v>
      </c>
      <c r="U9133" t="n">
        <v>0</v>
      </c>
      <c r="V9133" s="2" t="inlineStr"/>
    </row>
    <row r="9134" ht="15" customHeight="1">
      <c r="A9134" t="inlineStr">
        <is>
          <t>A 13806-2024</t>
        </is>
      </c>
      <c r="B9134" t="inlineStr">
        <is>
          <t>avverkningsanmälan</t>
        </is>
      </c>
      <c r="C9134" t="inlineStr">
        <is>
          <t>Föryngringsavverkning</t>
        </is>
      </c>
      <c r="D9134" s="1" t="n">
        <v>45391</v>
      </c>
      <c r="E9134" s="1" t="n">
        <v>46326</v>
      </c>
      <c r="F9134" t="inlineStr">
        <is>
          <t>GÄVLEBORGS LÄN</t>
        </is>
      </c>
      <c r="G9134" t="inlineStr">
        <is>
          <t>HUDIKSVALL</t>
        </is>
      </c>
      <c r="I9134" t="n">
        <v>0.5</v>
      </c>
      <c r="J9134" t="n">
        <v>0</v>
      </c>
      <c r="K9134" t="n">
        <v>0</v>
      </c>
      <c r="L9134" t="n">
        <v>0</v>
      </c>
      <c r="M9134" t="n">
        <v>0</v>
      </c>
      <c r="N9134" t="n">
        <v>0</v>
      </c>
      <c r="O9134" t="n">
        <v>0</v>
      </c>
      <c r="P9134" t="n">
        <v>0</v>
      </c>
      <c r="Q9134" t="n">
        <v>0</v>
      </c>
      <c r="R9134" t="n">
        <v>0</v>
      </c>
      <c r="S9134" t="n">
        <v>0</v>
      </c>
      <c r="T9134" t="n">
        <v>0</v>
      </c>
      <c r="U9134" t="n">
        <v>0</v>
      </c>
      <c r="V9134" s="2" t="inlineStr"/>
    </row>
    <row r="9135" ht="15" customHeight="1">
      <c r="A9135" t="inlineStr">
        <is>
          <t>A 29967-2026</t>
        </is>
      </c>
      <c r="B9135" t="inlineStr">
        <is>
          <t>avverkningsanmälan</t>
        </is>
      </c>
      <c r="C9135" t="inlineStr">
        <is>
          <t>Föryngringsavverkning</t>
        </is>
      </c>
      <c r="D9135" s="1" t="n">
        <v>46205</v>
      </c>
      <c r="E9135" s="1" t="n">
        <v>46326</v>
      </c>
      <c r="F9135" t="inlineStr">
        <is>
          <t>GÄVLEBORGS LÄN</t>
        </is>
      </c>
      <c r="G9135" t="inlineStr">
        <is>
          <t>OVANÅKER</t>
        </is>
      </c>
      <c r="I9135" t="n">
        <v>0.5</v>
      </c>
      <c r="J9135" t="n">
        <v>0</v>
      </c>
      <c r="K9135" t="n">
        <v>0</v>
      </c>
      <c r="L9135" t="n">
        <v>0</v>
      </c>
      <c r="M9135" t="n">
        <v>0</v>
      </c>
      <c r="N9135" t="n">
        <v>0</v>
      </c>
      <c r="O9135" t="n">
        <v>0</v>
      </c>
      <c r="P9135" t="n">
        <v>0</v>
      </c>
      <c r="Q9135" t="n">
        <v>0</v>
      </c>
      <c r="R9135" t="n">
        <v>0</v>
      </c>
      <c r="S9135" t="n">
        <v>0</v>
      </c>
      <c r="T9135" t="n">
        <v>0</v>
      </c>
      <c r="U9135" t="n">
        <v>0</v>
      </c>
      <c r="V9135" s="2" t="inlineStr"/>
    </row>
    <row r="9136" ht="15" customHeight="1">
      <c r="A9136" t="inlineStr">
        <is>
          <t>A 30263-2026</t>
        </is>
      </c>
      <c r="B9136" t="inlineStr">
        <is>
          <t>avverkningsanmälan</t>
        </is>
      </c>
      <c r="C9136" t="inlineStr">
        <is>
          <t>Föryngringsavverkning</t>
        </is>
      </c>
      <c r="D9136" s="1" t="n">
        <v>46206</v>
      </c>
      <c r="E9136" s="1" t="n">
        <v>46326</v>
      </c>
      <c r="F9136" t="inlineStr">
        <is>
          <t>GÄVLEBORGS LÄN</t>
        </is>
      </c>
      <c r="G9136" t="inlineStr">
        <is>
          <t>NORDANSTIG</t>
        </is>
      </c>
      <c r="I9136" t="n">
        <v>0.9</v>
      </c>
      <c r="J9136" t="n">
        <v>0</v>
      </c>
      <c r="K9136" t="n">
        <v>0</v>
      </c>
      <c r="L9136" t="n">
        <v>0</v>
      </c>
      <c r="M9136" t="n">
        <v>0</v>
      </c>
      <c r="N9136" t="n">
        <v>0</v>
      </c>
      <c r="O9136" t="n">
        <v>0</v>
      </c>
      <c r="P9136" t="n">
        <v>0</v>
      </c>
      <c r="Q9136" t="n">
        <v>0</v>
      </c>
      <c r="R9136" t="n">
        <v>0</v>
      </c>
      <c r="S9136" t="n">
        <v>0</v>
      </c>
      <c r="T9136" t="n">
        <v>0</v>
      </c>
      <c r="U9136" t="n">
        <v>0</v>
      </c>
      <c r="V9136" s="2" t="inlineStr"/>
    </row>
    <row r="9137" ht="15" customHeight="1">
      <c r="A9137" t="inlineStr">
        <is>
          <t>A 30282-2026</t>
        </is>
      </c>
      <c r="B9137" t="inlineStr">
        <is>
          <t>avverkningsanmälan</t>
        </is>
      </c>
      <c r="C9137" t="inlineStr">
        <is>
          <t>Föryngringsavverkning</t>
        </is>
      </c>
      <c r="D9137" s="1" t="n">
        <v>46206</v>
      </c>
      <c r="E9137" s="1" t="n">
        <v>46326</v>
      </c>
      <c r="F9137" t="inlineStr">
        <is>
          <t>GÄVLEBORGS LÄN</t>
        </is>
      </c>
      <c r="G9137" t="inlineStr">
        <is>
          <t>BOLLNÄS</t>
        </is>
      </c>
      <c r="I9137" t="n">
        <v>4.8</v>
      </c>
      <c r="J9137" t="n">
        <v>0</v>
      </c>
      <c r="K9137" t="n">
        <v>0</v>
      </c>
      <c r="L9137" t="n">
        <v>0</v>
      </c>
      <c r="M9137" t="n">
        <v>0</v>
      </c>
      <c r="N9137" t="n">
        <v>0</v>
      </c>
      <c r="O9137" t="n">
        <v>0</v>
      </c>
      <c r="P9137" t="n">
        <v>0</v>
      </c>
      <c r="Q9137" t="n">
        <v>0</v>
      </c>
      <c r="R9137" t="n">
        <v>0</v>
      </c>
      <c r="S9137" t="n">
        <v>0</v>
      </c>
      <c r="T9137" t="n">
        <v>0</v>
      </c>
      <c r="U9137" t="n">
        <v>0</v>
      </c>
      <c r="V9137" s="2" t="inlineStr"/>
    </row>
    <row r="9138" ht="15" customHeight="1">
      <c r="A9138" t="inlineStr">
        <is>
          <t>A 14913-2025</t>
        </is>
      </c>
      <c r="B9138" t="inlineStr">
        <is>
          <t>avverkningsanmälan</t>
        </is>
      </c>
      <c r="C9138" t="inlineStr">
        <is>
          <t>Föryngringsavverkning</t>
        </is>
      </c>
      <c r="D9138" s="1" t="n">
        <v>45743</v>
      </c>
      <c r="E9138" s="1" t="n">
        <v>46326</v>
      </c>
      <c r="F9138" t="inlineStr">
        <is>
          <t>GÄVLEBORGS LÄN</t>
        </is>
      </c>
      <c r="G9138" t="inlineStr">
        <is>
          <t>BOLLNÄS</t>
        </is>
      </c>
      <c r="H9138" t="inlineStr">
        <is>
          <t>Bergvik skog väst AB</t>
        </is>
      </c>
      <c r="I9138" t="n">
        <v>9.199999999999999</v>
      </c>
      <c r="J9138" t="n">
        <v>0</v>
      </c>
      <c r="K9138" t="n">
        <v>0</v>
      </c>
      <c r="L9138" t="n">
        <v>0</v>
      </c>
      <c r="M9138" t="n">
        <v>0</v>
      </c>
      <c r="N9138" t="n">
        <v>0</v>
      </c>
      <c r="O9138" t="n">
        <v>0</v>
      </c>
      <c r="P9138" t="n">
        <v>0</v>
      </c>
      <c r="Q9138" t="n">
        <v>0</v>
      </c>
      <c r="R9138" t="n">
        <v>0</v>
      </c>
      <c r="S9138" t="n">
        <v>0</v>
      </c>
      <c r="T9138" t="n">
        <v>0</v>
      </c>
      <c r="U9138" t="n">
        <v>0</v>
      </c>
      <c r="V9138" s="2" t="inlineStr"/>
    </row>
    <row r="9139" ht="15" customHeight="1">
      <c r="A9139" t="inlineStr">
        <is>
          <t>A 30300-2026</t>
        </is>
      </c>
      <c r="B9139" t="inlineStr">
        <is>
          <t>avverkningsanmälan</t>
        </is>
      </c>
      <c r="C9139" t="inlineStr">
        <is>
          <t>Föryngringsavverkning</t>
        </is>
      </c>
      <c r="D9139" s="1" t="n">
        <v>46206</v>
      </c>
      <c r="E9139" s="1" t="n">
        <v>46326</v>
      </c>
      <c r="F9139" t="inlineStr">
        <is>
          <t>GÄVLEBORGS LÄN</t>
        </is>
      </c>
      <c r="G9139" t="inlineStr">
        <is>
          <t>BOLLNÄS</t>
        </is>
      </c>
      <c r="I9139" t="n">
        <v>1.4</v>
      </c>
      <c r="J9139" t="n">
        <v>0</v>
      </c>
      <c r="K9139" t="n">
        <v>0</v>
      </c>
      <c r="L9139" t="n">
        <v>0</v>
      </c>
      <c r="M9139" t="n">
        <v>0</v>
      </c>
      <c r="N9139" t="n">
        <v>0</v>
      </c>
      <c r="O9139" t="n">
        <v>0</v>
      </c>
      <c r="P9139" t="n">
        <v>0</v>
      </c>
      <c r="Q9139" t="n">
        <v>0</v>
      </c>
      <c r="R9139" t="n">
        <v>0</v>
      </c>
      <c r="S9139" t="n">
        <v>0</v>
      </c>
      <c r="T9139" t="n">
        <v>0</v>
      </c>
      <c r="U9139" t="n">
        <v>0</v>
      </c>
      <c r="V9139" s="2" t="inlineStr"/>
    </row>
    <row r="9140" ht="15" customHeight="1">
      <c r="A9140" t="inlineStr">
        <is>
          <t>A 30305-2026</t>
        </is>
      </c>
      <c r="B9140" t="inlineStr">
        <is>
          <t>avverkningsanmälan</t>
        </is>
      </c>
      <c r="C9140" t="inlineStr">
        <is>
          <t>Föryngringsavverkning</t>
        </is>
      </c>
      <c r="D9140" s="1" t="n">
        <v>46206</v>
      </c>
      <c r="E9140" s="1" t="n">
        <v>46326</v>
      </c>
      <c r="F9140" t="inlineStr">
        <is>
          <t>GÄVLEBORGS LÄN</t>
        </is>
      </c>
      <c r="G9140" t="inlineStr">
        <is>
          <t>BOLLNÄS</t>
        </is>
      </c>
      <c r="I9140" t="n">
        <v>1.3</v>
      </c>
      <c r="J9140" t="n">
        <v>0</v>
      </c>
      <c r="K9140" t="n">
        <v>0</v>
      </c>
      <c r="L9140" t="n">
        <v>0</v>
      </c>
      <c r="M9140" t="n">
        <v>0</v>
      </c>
      <c r="N9140" t="n">
        <v>0</v>
      </c>
      <c r="O9140" t="n">
        <v>0</v>
      </c>
      <c r="P9140" t="n">
        <v>0</v>
      </c>
      <c r="Q9140" t="n">
        <v>0</v>
      </c>
      <c r="R9140" t="n">
        <v>0</v>
      </c>
      <c r="S9140" t="n">
        <v>0</v>
      </c>
      <c r="T9140" t="n">
        <v>0</v>
      </c>
      <c r="U9140" t="n">
        <v>0</v>
      </c>
      <c r="V9140" s="2" t="inlineStr"/>
    </row>
    <row r="9141" ht="15" customHeight="1">
      <c r="A9141" t="inlineStr">
        <is>
          <t>A 29801-2026</t>
        </is>
      </c>
      <c r="B9141" t="inlineStr">
        <is>
          <t>avverkningsanmälan</t>
        </is>
      </c>
      <c r="C9141" t="inlineStr">
        <is>
          <t>Föryngringsavverkning</t>
        </is>
      </c>
      <c r="D9141" s="1" t="n">
        <v>46205</v>
      </c>
      <c r="E9141" s="1" t="n">
        <v>46326</v>
      </c>
      <c r="F9141" t="inlineStr">
        <is>
          <t>GÄVLEBORGS LÄN</t>
        </is>
      </c>
      <c r="G9141" t="inlineStr">
        <is>
          <t>HUDIKSVALL</t>
        </is>
      </c>
      <c r="I9141" t="n">
        <v>1.7</v>
      </c>
      <c r="J9141" t="n">
        <v>0</v>
      </c>
      <c r="K9141" t="n">
        <v>0</v>
      </c>
      <c r="L9141" t="n">
        <v>0</v>
      </c>
      <c r="M9141" t="n">
        <v>0</v>
      </c>
      <c r="N9141" t="n">
        <v>0</v>
      </c>
      <c r="O9141" t="n">
        <v>0</v>
      </c>
      <c r="P9141" t="n">
        <v>0</v>
      </c>
      <c r="Q9141" t="n">
        <v>0</v>
      </c>
      <c r="R9141" t="n">
        <v>0</v>
      </c>
      <c r="S9141" t="n">
        <v>0</v>
      </c>
      <c r="T9141" t="n">
        <v>0</v>
      </c>
      <c r="U9141" t="n">
        <v>0</v>
      </c>
      <c r="V9141" s="2" t="inlineStr"/>
    </row>
    <row r="9142" ht="15" customHeight="1">
      <c r="A9142" t="inlineStr">
        <is>
          <t>A 30204-2026</t>
        </is>
      </c>
      <c r="B9142" t="inlineStr">
        <is>
          <t>avverkningsanmälan</t>
        </is>
      </c>
      <c r="C9142" t="inlineStr">
        <is>
          <t>Föryngringsavverkning</t>
        </is>
      </c>
      <c r="D9142" s="1" t="n">
        <v>46206</v>
      </c>
      <c r="E9142" s="1" t="n">
        <v>46326</v>
      </c>
      <c r="F9142" t="inlineStr">
        <is>
          <t>GÄVLEBORGS LÄN</t>
        </is>
      </c>
      <c r="G9142" t="inlineStr">
        <is>
          <t>OVANÅKER</t>
        </is>
      </c>
      <c r="I9142" t="n">
        <v>1.2</v>
      </c>
      <c r="J9142" t="n">
        <v>0</v>
      </c>
      <c r="K9142" t="n">
        <v>0</v>
      </c>
      <c r="L9142" t="n">
        <v>0</v>
      </c>
      <c r="M9142" t="n">
        <v>0</v>
      </c>
      <c r="N9142" t="n">
        <v>0</v>
      </c>
      <c r="O9142" t="n">
        <v>0</v>
      </c>
      <c r="P9142" t="n">
        <v>0</v>
      </c>
      <c r="Q9142" t="n">
        <v>0</v>
      </c>
      <c r="R9142" t="n">
        <v>0</v>
      </c>
      <c r="S9142" t="n">
        <v>0</v>
      </c>
      <c r="T9142" t="n">
        <v>0</v>
      </c>
      <c r="U9142" t="n">
        <v>0</v>
      </c>
      <c r="V9142" s="2" t="inlineStr"/>
    </row>
    <row r="9143" ht="15" customHeight="1">
      <c r="A9143" t="inlineStr">
        <is>
          <t>A 24228-2022</t>
        </is>
      </c>
      <c r="B9143" t="inlineStr">
        <is>
          <t>avverkningsanmälan</t>
        </is>
      </c>
      <c r="C9143" t="inlineStr">
        <is>
          <t>Föryngringsavverkning</t>
        </is>
      </c>
      <c r="D9143" s="1" t="n">
        <v>44725</v>
      </c>
      <c r="E9143" s="1" t="n">
        <v>46326</v>
      </c>
      <c r="F9143" t="inlineStr">
        <is>
          <t>GÄVLEBORGS LÄN</t>
        </is>
      </c>
      <c r="G9143" t="inlineStr">
        <is>
          <t>OCKELBO</t>
        </is>
      </c>
      <c r="I9143" t="n">
        <v>2.3</v>
      </c>
      <c r="J9143" t="n">
        <v>0</v>
      </c>
      <c r="K9143" t="n">
        <v>0</v>
      </c>
      <c r="L9143" t="n">
        <v>0</v>
      </c>
      <c r="M9143" t="n">
        <v>0</v>
      </c>
      <c r="N9143" t="n">
        <v>0</v>
      </c>
      <c r="O9143" t="n">
        <v>0</v>
      </c>
      <c r="P9143" t="n">
        <v>0</v>
      </c>
      <c r="Q9143" t="n">
        <v>0</v>
      </c>
      <c r="R9143" t="n">
        <v>0</v>
      </c>
      <c r="S9143" t="n">
        <v>0</v>
      </c>
      <c r="T9143" t="n">
        <v>0</v>
      </c>
      <c r="U9143" t="n">
        <v>0</v>
      </c>
      <c r="V9143" s="2" t="inlineStr"/>
    </row>
    <row r="9144" ht="15" customHeight="1">
      <c r="A9144" t="inlineStr">
        <is>
          <t>A 31019-2026</t>
        </is>
      </c>
      <c r="B9144" t="inlineStr">
        <is>
          <t>avverkningsanmälan</t>
        </is>
      </c>
      <c r="C9144" t="inlineStr">
        <is>
          <t>Föryngringsavverkning</t>
        </is>
      </c>
      <c r="D9144" s="1" t="n">
        <v>46206</v>
      </c>
      <c r="E9144" s="1" t="n">
        <v>46326</v>
      </c>
      <c r="F9144" t="inlineStr">
        <is>
          <t>GÄVLEBORGS LÄN</t>
        </is>
      </c>
      <c r="G9144" t="inlineStr">
        <is>
          <t>GÄVLE</t>
        </is>
      </c>
      <c r="H9144" t="inlineStr">
        <is>
          <t>Bergvik skog väst AB</t>
        </is>
      </c>
      <c r="I9144" t="n">
        <v>1.7</v>
      </c>
      <c r="J9144" t="n">
        <v>0</v>
      </c>
      <c r="K9144" t="n">
        <v>0</v>
      </c>
      <c r="L9144" t="n">
        <v>0</v>
      </c>
      <c r="M9144" t="n">
        <v>0</v>
      </c>
      <c r="N9144" t="n">
        <v>0</v>
      </c>
      <c r="O9144" t="n">
        <v>0</v>
      </c>
      <c r="P9144" t="n">
        <v>0</v>
      </c>
      <c r="Q9144" t="n">
        <v>0</v>
      </c>
      <c r="R9144" t="n">
        <v>0</v>
      </c>
      <c r="S9144" t="n">
        <v>0</v>
      </c>
      <c r="T9144" t="n">
        <v>0</v>
      </c>
      <c r="U9144" t="n">
        <v>0</v>
      </c>
      <c r="V9144" s="2" t="inlineStr"/>
    </row>
    <row r="9145" ht="15" customHeight="1">
      <c r="A9145" t="inlineStr">
        <is>
          <t>A 29819-2026</t>
        </is>
      </c>
      <c r="B9145" t="inlineStr">
        <is>
          <t>avverkningsanmälan</t>
        </is>
      </c>
      <c r="C9145" t="inlineStr">
        <is>
          <t>Föryngringsavverkning</t>
        </is>
      </c>
      <c r="D9145" s="1" t="n">
        <v>46205</v>
      </c>
      <c r="E9145" s="1" t="n">
        <v>46326</v>
      </c>
      <c r="F9145" t="inlineStr">
        <is>
          <t>GÄVLEBORGS LÄN</t>
        </is>
      </c>
      <c r="G9145" t="inlineStr">
        <is>
          <t>LJUSDAL</t>
        </is>
      </c>
      <c r="H9145" t="inlineStr">
        <is>
          <t>Allmännings- och besparingsskogar</t>
        </is>
      </c>
      <c r="I9145" t="n">
        <v>2.8</v>
      </c>
      <c r="J9145" t="n">
        <v>0</v>
      </c>
      <c r="K9145" t="n">
        <v>0</v>
      </c>
      <c r="L9145" t="n">
        <v>0</v>
      </c>
      <c r="M9145" t="n">
        <v>0</v>
      </c>
      <c r="N9145" t="n">
        <v>0</v>
      </c>
      <c r="O9145" t="n">
        <v>0</v>
      </c>
      <c r="P9145" t="n">
        <v>0</v>
      </c>
      <c r="Q9145" t="n">
        <v>0</v>
      </c>
      <c r="R9145" t="n">
        <v>0</v>
      </c>
      <c r="S9145" t="n">
        <v>0</v>
      </c>
      <c r="T9145" t="n">
        <v>0</v>
      </c>
      <c r="U9145" t="n">
        <v>0</v>
      </c>
      <c r="V9145" s="2" t="inlineStr"/>
    </row>
    <row r="9146" ht="15" customHeight="1">
      <c r="A9146" t="inlineStr">
        <is>
          <t>A 50797-2023</t>
        </is>
      </c>
      <c r="B9146" t="inlineStr">
        <is>
          <t>avverkningsanmälan</t>
        </is>
      </c>
      <c r="C9146" t="inlineStr">
        <is>
          <t>Föryngringsavverkning</t>
        </is>
      </c>
      <c r="D9146" s="1" t="n">
        <v>45217</v>
      </c>
      <c r="E9146" s="1" t="n">
        <v>46326</v>
      </c>
      <c r="F9146" t="inlineStr">
        <is>
          <t>GÄVLEBORGS LÄN</t>
        </is>
      </c>
      <c r="G9146" t="inlineStr">
        <is>
          <t>SANDVIKEN</t>
        </is>
      </c>
      <c r="I9146" t="n">
        <v>0.8</v>
      </c>
      <c r="J9146" t="n">
        <v>0</v>
      </c>
      <c r="K9146" t="n">
        <v>0</v>
      </c>
      <c r="L9146" t="n">
        <v>0</v>
      </c>
      <c r="M9146" t="n">
        <v>0</v>
      </c>
      <c r="N9146" t="n">
        <v>0</v>
      </c>
      <c r="O9146" t="n">
        <v>0</v>
      </c>
      <c r="P9146" t="n">
        <v>0</v>
      </c>
      <c r="Q9146" t="n">
        <v>0</v>
      </c>
      <c r="R9146" t="n">
        <v>0</v>
      </c>
      <c r="S9146" t="n">
        <v>0</v>
      </c>
      <c r="T9146" t="n">
        <v>0</v>
      </c>
      <c r="U9146" t="n">
        <v>0</v>
      </c>
      <c r="V9146" s="2" t="inlineStr"/>
    </row>
    <row r="9147" ht="15" customHeight="1">
      <c r="A9147" t="inlineStr">
        <is>
          <t>A 30031-2026</t>
        </is>
      </c>
      <c r="B9147" t="inlineStr">
        <is>
          <t>avverkningsanmälan</t>
        </is>
      </c>
      <c r="C9147" t="inlineStr">
        <is>
          <t>Föryngringsavverkning</t>
        </is>
      </c>
      <c r="D9147" s="1" t="n">
        <v>46206</v>
      </c>
      <c r="E9147" s="1" t="n">
        <v>46326</v>
      </c>
      <c r="F9147" t="inlineStr">
        <is>
          <t>GÄVLEBORGS LÄN</t>
        </is>
      </c>
      <c r="G9147" t="inlineStr">
        <is>
          <t>OCKELBO</t>
        </is>
      </c>
      <c r="I9147" t="n">
        <v>1</v>
      </c>
      <c r="J9147" t="n">
        <v>0</v>
      </c>
      <c r="K9147" t="n">
        <v>0</v>
      </c>
      <c r="L9147" t="n">
        <v>0</v>
      </c>
      <c r="M9147" t="n">
        <v>0</v>
      </c>
      <c r="N9147" t="n">
        <v>0</v>
      </c>
      <c r="O9147" t="n">
        <v>0</v>
      </c>
      <c r="P9147" t="n">
        <v>0</v>
      </c>
      <c r="Q9147" t="n">
        <v>0</v>
      </c>
      <c r="R9147" t="n">
        <v>0</v>
      </c>
      <c r="S9147" t="n">
        <v>0</v>
      </c>
      <c r="T9147" t="n">
        <v>0</v>
      </c>
      <c r="U9147" t="n">
        <v>0</v>
      </c>
      <c r="V9147" s="2" t="inlineStr"/>
    </row>
    <row r="9148" ht="15" customHeight="1">
      <c r="A9148" t="inlineStr">
        <is>
          <t>A 12607-2024</t>
        </is>
      </c>
      <c r="B9148" t="inlineStr">
        <is>
          <t>avverkningsanmälan</t>
        </is>
      </c>
      <c r="C9148" t="inlineStr">
        <is>
          <t>Föryngringsavverkning</t>
        </is>
      </c>
      <c r="D9148" s="1" t="n">
        <v>45382</v>
      </c>
      <c r="E9148" s="1" t="n">
        <v>46326</v>
      </c>
      <c r="F9148" t="inlineStr">
        <is>
          <t>GÄVLEBORGS LÄN</t>
        </is>
      </c>
      <c r="G9148" t="inlineStr">
        <is>
          <t>NORDANSTIG</t>
        </is>
      </c>
      <c r="I9148" t="n">
        <v>0.4</v>
      </c>
      <c r="J9148" t="n">
        <v>0</v>
      </c>
      <c r="K9148" t="n">
        <v>0</v>
      </c>
      <c r="L9148" t="n">
        <v>0</v>
      </c>
      <c r="M9148" t="n">
        <v>0</v>
      </c>
      <c r="N9148" t="n">
        <v>0</v>
      </c>
      <c r="O9148" t="n">
        <v>0</v>
      </c>
      <c r="P9148" t="n">
        <v>0</v>
      </c>
      <c r="Q9148" t="n">
        <v>0</v>
      </c>
      <c r="R9148" t="n">
        <v>0</v>
      </c>
      <c r="S9148" t="n">
        <v>0</v>
      </c>
      <c r="T9148" t="n">
        <v>0</v>
      </c>
      <c r="U9148" t="n">
        <v>0</v>
      </c>
      <c r="V9148" s="2" t="inlineStr"/>
    </row>
    <row r="9149" ht="15" customHeight="1">
      <c r="A9149" t="inlineStr">
        <is>
          <t>A 30237-2026</t>
        </is>
      </c>
      <c r="B9149" t="inlineStr">
        <is>
          <t>avverkningsanmälan</t>
        </is>
      </c>
      <c r="C9149" t="inlineStr">
        <is>
          <t>Föryngringsavverkning</t>
        </is>
      </c>
      <c r="D9149" s="1" t="n">
        <v>46206</v>
      </c>
      <c r="E9149" s="1" t="n">
        <v>46326</v>
      </c>
      <c r="F9149" t="inlineStr">
        <is>
          <t>GÄVLEBORGS LÄN</t>
        </is>
      </c>
      <c r="G9149" t="inlineStr">
        <is>
          <t>LJUSDAL</t>
        </is>
      </c>
      <c r="H9149" t="inlineStr">
        <is>
          <t>Bergvik skog väst AB</t>
        </is>
      </c>
      <c r="I9149" t="n">
        <v>0.8</v>
      </c>
      <c r="J9149" t="n">
        <v>0</v>
      </c>
      <c r="K9149" t="n">
        <v>0</v>
      </c>
      <c r="L9149" t="n">
        <v>0</v>
      </c>
      <c r="M9149" t="n">
        <v>0</v>
      </c>
      <c r="N9149" t="n">
        <v>0</v>
      </c>
      <c r="O9149" t="n">
        <v>0</v>
      </c>
      <c r="P9149" t="n">
        <v>0</v>
      </c>
      <c r="Q9149" t="n">
        <v>0</v>
      </c>
      <c r="R9149" t="n">
        <v>0</v>
      </c>
      <c r="S9149" t="n">
        <v>0</v>
      </c>
      <c r="T9149" t="n">
        <v>0</v>
      </c>
      <c r="U9149" t="n">
        <v>0</v>
      </c>
      <c r="V9149" s="2" t="inlineStr"/>
    </row>
    <row r="9150" ht="15" customHeight="1">
      <c r="A9150" t="inlineStr">
        <is>
          <t>A 30274-2026</t>
        </is>
      </c>
      <c r="B9150" t="inlineStr">
        <is>
          <t>avverkningsanmälan</t>
        </is>
      </c>
      <c r="C9150" t="inlineStr">
        <is>
          <t>Föryngringsavverkning</t>
        </is>
      </c>
      <c r="D9150" s="1" t="n">
        <v>46206</v>
      </c>
      <c r="E9150" s="1" t="n">
        <v>46326</v>
      </c>
      <c r="F9150" t="inlineStr">
        <is>
          <t>GÄVLEBORGS LÄN</t>
        </is>
      </c>
      <c r="G9150" t="inlineStr">
        <is>
          <t>BOLLNÄS</t>
        </is>
      </c>
      <c r="I9150" t="n">
        <v>1.3</v>
      </c>
      <c r="J9150" t="n">
        <v>0</v>
      </c>
      <c r="K9150" t="n">
        <v>0</v>
      </c>
      <c r="L9150" t="n">
        <v>0</v>
      </c>
      <c r="M9150" t="n">
        <v>0</v>
      </c>
      <c r="N9150" t="n">
        <v>0</v>
      </c>
      <c r="O9150" t="n">
        <v>0</v>
      </c>
      <c r="P9150" t="n">
        <v>0</v>
      </c>
      <c r="Q9150" t="n">
        <v>0</v>
      </c>
      <c r="R9150" t="n">
        <v>0</v>
      </c>
      <c r="S9150" t="n">
        <v>0</v>
      </c>
      <c r="T9150" t="n">
        <v>0</v>
      </c>
      <c r="U9150" t="n">
        <v>0</v>
      </c>
      <c r="V9150" s="2" t="inlineStr"/>
    </row>
    <row r="9151" ht="15" customHeight="1">
      <c r="A9151" t="inlineStr">
        <is>
          <t>A 139-2022</t>
        </is>
      </c>
      <c r="B9151" t="inlineStr">
        <is>
          <t>avverkningsanmälan</t>
        </is>
      </c>
      <c r="C9151" t="inlineStr">
        <is>
          <t>Föryngringsavverkning</t>
        </is>
      </c>
      <c r="D9151" s="1" t="n">
        <v>44564</v>
      </c>
      <c r="E9151" s="1" t="n">
        <v>46326</v>
      </c>
      <c r="F9151" t="inlineStr">
        <is>
          <t>GÄVLEBORGS LÄN</t>
        </is>
      </c>
      <c r="G9151" t="inlineStr">
        <is>
          <t>SANDVIKEN</t>
        </is>
      </c>
      <c r="I9151" t="n">
        <v>2.9</v>
      </c>
      <c r="J9151" t="n">
        <v>0</v>
      </c>
      <c r="K9151" t="n">
        <v>0</v>
      </c>
      <c r="L9151" t="n">
        <v>0</v>
      </c>
      <c r="M9151" t="n">
        <v>0</v>
      </c>
      <c r="N9151" t="n">
        <v>0</v>
      </c>
      <c r="O9151" t="n">
        <v>0</v>
      </c>
      <c r="P9151" t="n">
        <v>0</v>
      </c>
      <c r="Q9151" t="n">
        <v>0</v>
      </c>
      <c r="R9151" t="n">
        <v>0</v>
      </c>
      <c r="S9151" t="n">
        <v>0</v>
      </c>
      <c r="T9151" t="n">
        <v>0</v>
      </c>
      <c r="U9151" t="n">
        <v>0</v>
      </c>
      <c r="V9151" s="2" t="inlineStr"/>
    </row>
    <row r="9152" ht="15" customHeight="1">
      <c r="A9152" t="inlineStr">
        <is>
          <t>A 29789-2026</t>
        </is>
      </c>
      <c r="B9152" t="inlineStr">
        <is>
          <t>avverkningsanmälan</t>
        </is>
      </c>
      <c r="C9152" t="inlineStr">
        <is>
          <t>Föryngringsavverkning</t>
        </is>
      </c>
      <c r="D9152" s="1" t="n">
        <v>46205</v>
      </c>
      <c r="E9152" s="1" t="n">
        <v>46326</v>
      </c>
      <c r="F9152" t="inlineStr">
        <is>
          <t>GÄVLEBORGS LÄN</t>
        </is>
      </c>
      <c r="G9152" t="inlineStr">
        <is>
          <t>OCKELBO</t>
        </is>
      </c>
      <c r="I9152" t="n">
        <v>2.7</v>
      </c>
      <c r="J9152" t="n">
        <v>0</v>
      </c>
      <c r="K9152" t="n">
        <v>0</v>
      </c>
      <c r="L9152" t="n">
        <v>0</v>
      </c>
      <c r="M9152" t="n">
        <v>0</v>
      </c>
      <c r="N9152" t="n">
        <v>0</v>
      </c>
      <c r="O9152" t="n">
        <v>0</v>
      </c>
      <c r="P9152" t="n">
        <v>0</v>
      </c>
      <c r="Q9152" t="n">
        <v>0</v>
      </c>
      <c r="R9152" t="n">
        <v>0</v>
      </c>
      <c r="S9152" t="n">
        <v>0</v>
      </c>
      <c r="T9152" t="n">
        <v>0</v>
      </c>
      <c r="U9152" t="n">
        <v>0</v>
      </c>
      <c r="V9152" s="2" t="inlineStr"/>
    </row>
    <row r="9153" ht="15" customHeight="1">
      <c r="A9153" t="inlineStr">
        <is>
          <t>A 48007-2022</t>
        </is>
      </c>
      <c r="B9153" t="inlineStr">
        <is>
          <t>avverkningsanmälan</t>
        </is>
      </c>
      <c r="C9153" t="inlineStr">
        <is>
          <t>Föryngringsavverkning</t>
        </is>
      </c>
      <c r="D9153" s="1" t="n">
        <v>44855</v>
      </c>
      <c r="E9153" s="1" t="n">
        <v>46326</v>
      </c>
      <c r="F9153" t="inlineStr">
        <is>
          <t>GÄVLEBORGS LÄN</t>
        </is>
      </c>
      <c r="G9153" t="inlineStr">
        <is>
          <t>BOLLNÄS</t>
        </is>
      </c>
      <c r="I9153" t="n">
        <v>4.3</v>
      </c>
      <c r="J9153" t="n">
        <v>0</v>
      </c>
      <c r="K9153" t="n">
        <v>0</v>
      </c>
      <c r="L9153" t="n">
        <v>0</v>
      </c>
      <c r="M9153" t="n">
        <v>0</v>
      </c>
      <c r="N9153" t="n">
        <v>0</v>
      </c>
      <c r="O9153" t="n">
        <v>0</v>
      </c>
      <c r="P9153" t="n">
        <v>0</v>
      </c>
      <c r="Q9153" t="n">
        <v>0</v>
      </c>
      <c r="R9153" t="n">
        <v>0</v>
      </c>
      <c r="S9153" t="n">
        <v>0</v>
      </c>
      <c r="T9153" t="n">
        <v>0</v>
      </c>
      <c r="U9153" t="n">
        <v>0</v>
      </c>
      <c r="V9153" s="2" t="inlineStr"/>
    </row>
    <row r="9154" ht="15" customHeight="1">
      <c r="A9154" t="inlineStr">
        <is>
          <t>A 30259-2026</t>
        </is>
      </c>
      <c r="B9154" t="inlineStr">
        <is>
          <t>avverkningsanmälan</t>
        </is>
      </c>
      <c r="C9154" t="inlineStr">
        <is>
          <t>Föryngringsavverkning</t>
        </is>
      </c>
      <c r="D9154" s="1" t="n">
        <v>46206</v>
      </c>
      <c r="E9154" s="1" t="n">
        <v>46326</v>
      </c>
      <c r="F9154" t="inlineStr">
        <is>
          <t>GÄVLEBORGS LÄN</t>
        </is>
      </c>
      <c r="G9154" t="inlineStr">
        <is>
          <t>NORDANSTIG</t>
        </is>
      </c>
      <c r="I9154" t="n">
        <v>1.5</v>
      </c>
      <c r="J9154" t="n">
        <v>0</v>
      </c>
      <c r="K9154" t="n">
        <v>0</v>
      </c>
      <c r="L9154" t="n">
        <v>0</v>
      </c>
      <c r="M9154" t="n">
        <v>0</v>
      </c>
      <c r="N9154" t="n">
        <v>0</v>
      </c>
      <c r="O9154" t="n">
        <v>0</v>
      </c>
      <c r="P9154" t="n">
        <v>0</v>
      </c>
      <c r="Q9154" t="n">
        <v>0</v>
      </c>
      <c r="R9154" t="n">
        <v>0</v>
      </c>
      <c r="S9154" t="n">
        <v>0</v>
      </c>
      <c r="T9154" t="n">
        <v>0</v>
      </c>
      <c r="U9154" t="n">
        <v>0</v>
      </c>
      <c r="V9154" s="2" t="inlineStr"/>
    </row>
    <row r="9155" ht="15" customHeight="1">
      <c r="A9155" t="inlineStr">
        <is>
          <t>A 30267-2026</t>
        </is>
      </c>
      <c r="B9155" t="inlineStr">
        <is>
          <t>avverkningsanmälan</t>
        </is>
      </c>
      <c r="C9155" t="inlineStr">
        <is>
          <t>Föryngringsavverkning</t>
        </is>
      </c>
      <c r="D9155" s="1" t="n">
        <v>46206</v>
      </c>
      <c r="E9155" s="1" t="n">
        <v>46326</v>
      </c>
      <c r="F9155" t="inlineStr">
        <is>
          <t>GÄVLEBORGS LÄN</t>
        </is>
      </c>
      <c r="G9155" t="inlineStr">
        <is>
          <t>NORDANSTIG</t>
        </is>
      </c>
      <c r="I9155" t="n">
        <v>8.1</v>
      </c>
      <c r="J9155" t="n">
        <v>0</v>
      </c>
      <c r="K9155" t="n">
        <v>0</v>
      </c>
      <c r="L9155" t="n">
        <v>0</v>
      </c>
      <c r="M9155" t="n">
        <v>0</v>
      </c>
      <c r="N9155" t="n">
        <v>0</v>
      </c>
      <c r="O9155" t="n">
        <v>0</v>
      </c>
      <c r="P9155" t="n">
        <v>0</v>
      </c>
      <c r="Q9155" t="n">
        <v>0</v>
      </c>
      <c r="R9155" t="n">
        <v>0</v>
      </c>
      <c r="S9155" t="n">
        <v>0</v>
      </c>
      <c r="T9155" t="n">
        <v>0</v>
      </c>
      <c r="U9155" t="n">
        <v>0</v>
      </c>
      <c r="V9155" s="2" t="inlineStr"/>
    </row>
    <row r="9156" ht="15" customHeight="1">
      <c r="A9156" t="inlineStr">
        <is>
          <t>A 35504-2024</t>
        </is>
      </c>
      <c r="B9156" t="inlineStr">
        <is>
          <t>avverkningsanmälan</t>
        </is>
      </c>
      <c r="C9156" t="inlineStr">
        <is>
          <t>Föryngringsavverkning</t>
        </is>
      </c>
      <c r="D9156" s="1" t="n">
        <v>45531</v>
      </c>
      <c r="E9156" s="1" t="n">
        <v>46326</v>
      </c>
      <c r="F9156" t="inlineStr">
        <is>
          <t>GÄVLEBORGS LÄN</t>
        </is>
      </c>
      <c r="G9156" t="inlineStr">
        <is>
          <t>HOFORS</t>
        </is>
      </c>
      <c r="H9156" t="inlineStr">
        <is>
          <t>Sveaskog</t>
        </is>
      </c>
      <c r="I9156" t="n">
        <v>1.8</v>
      </c>
      <c r="J9156" t="n">
        <v>0</v>
      </c>
      <c r="K9156" t="n">
        <v>0</v>
      </c>
      <c r="L9156" t="n">
        <v>0</v>
      </c>
      <c r="M9156" t="n">
        <v>0</v>
      </c>
      <c r="N9156" t="n">
        <v>0</v>
      </c>
      <c r="O9156" t="n">
        <v>0</v>
      </c>
      <c r="P9156" t="n">
        <v>0</v>
      </c>
      <c r="Q9156" t="n">
        <v>0</v>
      </c>
      <c r="R9156" t="n">
        <v>0</v>
      </c>
      <c r="S9156" t="n">
        <v>0</v>
      </c>
      <c r="T9156" t="n">
        <v>0</v>
      </c>
      <c r="U9156" t="n">
        <v>0</v>
      </c>
      <c r="V9156" s="2" t="inlineStr"/>
    </row>
    <row r="9157" ht="15" customHeight="1">
      <c r="A9157" t="inlineStr">
        <is>
          <t>A 36252-2024</t>
        </is>
      </c>
      <c r="B9157" t="inlineStr">
        <is>
          <t>avverkningsanmälan</t>
        </is>
      </c>
      <c r="C9157" t="inlineStr">
        <is>
          <t>Avverkning för annat ändamål</t>
        </is>
      </c>
      <c r="D9157" s="1" t="n">
        <v>45534</v>
      </c>
      <c r="E9157" s="1" t="n">
        <v>46326</v>
      </c>
      <c r="F9157" t="inlineStr">
        <is>
          <t>GÄVLEBORGS LÄN</t>
        </is>
      </c>
      <c r="G9157" t="inlineStr">
        <is>
          <t>OVANÅKER</t>
        </is>
      </c>
      <c r="I9157" t="n">
        <v>0.7</v>
      </c>
      <c r="J9157" t="n">
        <v>0</v>
      </c>
      <c r="K9157" t="n">
        <v>0</v>
      </c>
      <c r="L9157" t="n">
        <v>0</v>
      </c>
      <c r="M9157" t="n">
        <v>0</v>
      </c>
      <c r="N9157" t="n">
        <v>0</v>
      </c>
      <c r="O9157" t="n">
        <v>0</v>
      </c>
      <c r="P9157" t="n">
        <v>0</v>
      </c>
      <c r="Q9157" t="n">
        <v>0</v>
      </c>
      <c r="R9157" t="n">
        <v>0</v>
      </c>
      <c r="S9157" t="n">
        <v>0</v>
      </c>
      <c r="T9157" t="n">
        <v>0</v>
      </c>
      <c r="U9157" t="n">
        <v>0</v>
      </c>
      <c r="V9157" s="2" t="inlineStr"/>
    </row>
    <row r="9158" ht="15" customHeight="1">
      <c r="A9158" t="inlineStr">
        <is>
          <t>A 36254-2024</t>
        </is>
      </c>
      <c r="B9158" t="inlineStr">
        <is>
          <t>avverkningsanmälan</t>
        </is>
      </c>
      <c r="C9158" t="inlineStr">
        <is>
          <t>Avverkning för annat ändamål</t>
        </is>
      </c>
      <c r="D9158" s="1" t="n">
        <v>45534</v>
      </c>
      <c r="E9158" s="1" t="n">
        <v>46326</v>
      </c>
      <c r="F9158" t="inlineStr">
        <is>
          <t>GÄVLEBORGS LÄN</t>
        </is>
      </c>
      <c r="G9158" t="inlineStr">
        <is>
          <t>OVANÅKER</t>
        </is>
      </c>
      <c r="I9158" t="n">
        <v>0.3</v>
      </c>
      <c r="J9158" t="n">
        <v>0</v>
      </c>
      <c r="K9158" t="n">
        <v>0</v>
      </c>
      <c r="L9158" t="n">
        <v>0</v>
      </c>
      <c r="M9158" t="n">
        <v>0</v>
      </c>
      <c r="N9158" t="n">
        <v>0</v>
      </c>
      <c r="O9158" t="n">
        <v>0</v>
      </c>
      <c r="P9158" t="n">
        <v>0</v>
      </c>
      <c r="Q9158" t="n">
        <v>0</v>
      </c>
      <c r="R9158" t="n">
        <v>0</v>
      </c>
      <c r="S9158" t="n">
        <v>0</v>
      </c>
      <c r="T9158" t="n">
        <v>0</v>
      </c>
      <c r="U9158" t="n">
        <v>0</v>
      </c>
      <c r="V9158" s="2" t="inlineStr"/>
    </row>
    <row r="9159" ht="15" customHeight="1">
      <c r="A9159" t="inlineStr">
        <is>
          <t>A 68079-2021</t>
        </is>
      </c>
      <c r="B9159" t="inlineStr">
        <is>
          <t>avverkningsanmälan</t>
        </is>
      </c>
      <c r="C9159" t="inlineStr">
        <is>
          <t>Föryngringsavverkning</t>
        </is>
      </c>
      <c r="D9159" s="1" t="n">
        <v>44526</v>
      </c>
      <c r="E9159" s="1" t="n">
        <v>46326</v>
      </c>
      <c r="F9159" t="inlineStr">
        <is>
          <t>GÄVLEBORGS LÄN</t>
        </is>
      </c>
      <c r="G9159" t="inlineStr">
        <is>
          <t>HOFORS</t>
        </is>
      </c>
      <c r="I9159" t="n">
        <v>2.3</v>
      </c>
      <c r="J9159" t="n">
        <v>0</v>
      </c>
      <c r="K9159" t="n">
        <v>0</v>
      </c>
      <c r="L9159" t="n">
        <v>0</v>
      </c>
      <c r="M9159" t="n">
        <v>0</v>
      </c>
      <c r="N9159" t="n">
        <v>0</v>
      </c>
      <c r="O9159" t="n">
        <v>0</v>
      </c>
      <c r="P9159" t="n">
        <v>0</v>
      </c>
      <c r="Q9159" t="n">
        <v>0</v>
      </c>
      <c r="R9159" t="n">
        <v>0</v>
      </c>
      <c r="S9159" t="n">
        <v>0</v>
      </c>
      <c r="T9159" t="n">
        <v>0</v>
      </c>
      <c r="U9159" t="n">
        <v>0</v>
      </c>
      <c r="V9159" s="2" t="inlineStr"/>
    </row>
    <row r="9160" ht="15" customHeight="1">
      <c r="A9160" t="inlineStr">
        <is>
          <t>A 36087-2023</t>
        </is>
      </c>
      <c r="B9160" t="inlineStr">
        <is>
          <t>avverkningsanmälan</t>
        </is>
      </c>
      <c r="C9160" t="inlineStr">
        <is>
          <t>Föryngringsavverkning</t>
        </is>
      </c>
      <c r="D9160" s="1" t="n">
        <v>45149</v>
      </c>
      <c r="E9160" s="1" t="n">
        <v>46326</v>
      </c>
      <c r="F9160" t="inlineStr">
        <is>
          <t>GÄVLEBORGS LÄN</t>
        </is>
      </c>
      <c r="G9160" t="inlineStr">
        <is>
          <t>BOLLNÄS</t>
        </is>
      </c>
      <c r="I9160" t="n">
        <v>1.4</v>
      </c>
      <c r="J9160" t="n">
        <v>0</v>
      </c>
      <c r="K9160" t="n">
        <v>0</v>
      </c>
      <c r="L9160" t="n">
        <v>0</v>
      </c>
      <c r="M9160" t="n">
        <v>0</v>
      </c>
      <c r="N9160" t="n">
        <v>0</v>
      </c>
      <c r="O9160" t="n">
        <v>0</v>
      </c>
      <c r="P9160" t="n">
        <v>0</v>
      </c>
      <c r="Q9160" t="n">
        <v>0</v>
      </c>
      <c r="R9160" t="n">
        <v>0</v>
      </c>
      <c r="S9160" t="n">
        <v>0</v>
      </c>
      <c r="T9160" t="n">
        <v>0</v>
      </c>
      <c r="U9160" t="n">
        <v>0</v>
      </c>
      <c r="V9160" s="2" t="inlineStr"/>
    </row>
    <row r="9161" ht="15" customHeight="1">
      <c r="A9161" t="inlineStr">
        <is>
          <t>A 52250-2024</t>
        </is>
      </c>
      <c r="B9161" t="inlineStr">
        <is>
          <t>avverkningsanmälan</t>
        </is>
      </c>
      <c r="C9161" t="inlineStr">
        <is>
          <t>Avverkning för annat ändamål</t>
        </is>
      </c>
      <c r="D9161" s="1" t="n">
        <v>45608</v>
      </c>
      <c r="E9161" s="1" t="n">
        <v>46326</v>
      </c>
      <c r="F9161" t="inlineStr">
        <is>
          <t>GÄVLEBORGS LÄN</t>
        </is>
      </c>
      <c r="G9161" t="inlineStr">
        <is>
          <t>GÄVLE</t>
        </is>
      </c>
      <c r="I9161" t="n">
        <v>0.9</v>
      </c>
      <c r="J9161" t="n">
        <v>0</v>
      </c>
      <c r="K9161" t="n">
        <v>0</v>
      </c>
      <c r="L9161" t="n">
        <v>0</v>
      </c>
      <c r="M9161" t="n">
        <v>0</v>
      </c>
      <c r="N9161" t="n">
        <v>0</v>
      </c>
      <c r="O9161" t="n">
        <v>0</v>
      </c>
      <c r="P9161" t="n">
        <v>0</v>
      </c>
      <c r="Q9161" t="n">
        <v>0</v>
      </c>
      <c r="R9161" t="n">
        <v>0</v>
      </c>
      <c r="S9161" t="n">
        <v>0</v>
      </c>
      <c r="T9161" t="n">
        <v>0</v>
      </c>
      <c r="U9161" t="n">
        <v>0</v>
      </c>
      <c r="V9161" s="2" t="inlineStr"/>
    </row>
    <row r="9162" ht="15" customHeight="1">
      <c r="A9162" t="inlineStr">
        <is>
          <t>A 30324-2026</t>
        </is>
      </c>
      <c r="B9162" t="inlineStr">
        <is>
          <t>avverkningsanmälan</t>
        </is>
      </c>
      <c r="C9162" t="inlineStr">
        <is>
          <t>Föryngringsavverkning</t>
        </is>
      </c>
      <c r="D9162" s="1" t="n">
        <v>46207</v>
      </c>
      <c r="E9162" s="1" t="n">
        <v>46326</v>
      </c>
      <c r="F9162" t="inlineStr">
        <is>
          <t>GÄVLEBORGS LÄN</t>
        </is>
      </c>
      <c r="G9162" t="inlineStr">
        <is>
          <t>GÄVLE</t>
        </is>
      </c>
      <c r="H9162" t="inlineStr">
        <is>
          <t>Bergvik skog öst AB</t>
        </is>
      </c>
      <c r="I9162" t="n">
        <v>12.4</v>
      </c>
      <c r="J9162" t="n">
        <v>0</v>
      </c>
      <c r="K9162" t="n">
        <v>0</v>
      </c>
      <c r="L9162" t="n">
        <v>0</v>
      </c>
      <c r="M9162" t="n">
        <v>0</v>
      </c>
      <c r="N9162" t="n">
        <v>0</v>
      </c>
      <c r="O9162" t="n">
        <v>0</v>
      </c>
      <c r="P9162" t="n">
        <v>0</v>
      </c>
      <c r="Q9162" t="n">
        <v>0</v>
      </c>
      <c r="R9162" t="n">
        <v>0</v>
      </c>
      <c r="S9162" t="n">
        <v>0</v>
      </c>
      <c r="T9162" t="n">
        <v>0</v>
      </c>
      <c r="U9162" t="n">
        <v>0</v>
      </c>
      <c r="V9162" s="2" t="inlineStr"/>
    </row>
    <row r="9163" ht="15" customHeight="1">
      <c r="A9163" t="inlineStr">
        <is>
          <t>A 22363-2026</t>
        </is>
      </c>
      <c r="B9163" t="inlineStr">
        <is>
          <t>avverkningsanmälan</t>
        </is>
      </c>
      <c r="C9163" t="inlineStr">
        <is>
          <t>Föryngringsavverkning</t>
        </is>
      </c>
      <c r="D9163" s="1" t="n">
        <v>46154</v>
      </c>
      <c r="E9163" s="1" t="n">
        <v>46326</v>
      </c>
      <c r="F9163" t="inlineStr">
        <is>
          <t>GÄVLEBORGS LÄN</t>
        </is>
      </c>
      <c r="G9163" t="inlineStr">
        <is>
          <t>GÄVLE</t>
        </is>
      </c>
      <c r="H9163" t="inlineStr">
        <is>
          <t>Bergvik skog väst AB</t>
        </is>
      </c>
      <c r="I9163" t="n">
        <v>2.3</v>
      </c>
      <c r="J9163" t="n">
        <v>0</v>
      </c>
      <c r="K9163" t="n">
        <v>0</v>
      </c>
      <c r="L9163" t="n">
        <v>0</v>
      </c>
      <c r="M9163" t="n">
        <v>0</v>
      </c>
      <c r="N9163" t="n">
        <v>0</v>
      </c>
      <c r="O9163" t="n">
        <v>0</v>
      </c>
      <c r="P9163" t="n">
        <v>0</v>
      </c>
      <c r="Q9163" t="n">
        <v>0</v>
      </c>
      <c r="R9163" t="n">
        <v>0</v>
      </c>
      <c r="S9163" t="n">
        <v>0</v>
      </c>
      <c r="T9163" t="n">
        <v>0</v>
      </c>
      <c r="U9163" t="n">
        <v>0</v>
      </c>
      <c r="V9163" s="2" t="inlineStr"/>
    </row>
    <row r="9164" ht="15" customHeight="1">
      <c r="A9164" t="inlineStr">
        <is>
          <t>A 29923-2026</t>
        </is>
      </c>
      <c r="B9164" t="inlineStr">
        <is>
          <t>avverkningsanmälan</t>
        </is>
      </c>
      <c r="C9164" t="inlineStr">
        <is>
          <t>Föryngringsavverkning</t>
        </is>
      </c>
      <c r="D9164" s="1" t="n">
        <v>46205</v>
      </c>
      <c r="E9164" s="1" t="n">
        <v>46326</v>
      </c>
      <c r="F9164" t="inlineStr">
        <is>
          <t>GÄVLEBORGS LÄN</t>
        </is>
      </c>
      <c r="G9164" t="inlineStr">
        <is>
          <t>LJUSDAL</t>
        </is>
      </c>
      <c r="I9164" t="n">
        <v>11.9</v>
      </c>
      <c r="J9164" t="n">
        <v>0</v>
      </c>
      <c r="K9164" t="n">
        <v>0</v>
      </c>
      <c r="L9164" t="n">
        <v>0</v>
      </c>
      <c r="M9164" t="n">
        <v>0</v>
      </c>
      <c r="N9164" t="n">
        <v>0</v>
      </c>
      <c r="O9164" t="n">
        <v>0</v>
      </c>
      <c r="P9164" t="n">
        <v>0</v>
      </c>
      <c r="Q9164" t="n">
        <v>0</v>
      </c>
      <c r="R9164" t="n">
        <v>0</v>
      </c>
      <c r="S9164" t="n">
        <v>0</v>
      </c>
      <c r="T9164" t="n">
        <v>0</v>
      </c>
      <c r="U9164" t="n">
        <v>0</v>
      </c>
      <c r="V9164" s="2" t="inlineStr"/>
    </row>
    <row r="9165" ht="15" customHeight="1">
      <c r="A9165" t="inlineStr">
        <is>
          <t>A 22851-2026</t>
        </is>
      </c>
      <c r="B9165" t="inlineStr">
        <is>
          <t>avverkningsanmälan</t>
        </is>
      </c>
      <c r="C9165" t="inlineStr">
        <is>
          <t>Föryngringsavverkning</t>
        </is>
      </c>
      <c r="D9165" s="1" t="n">
        <v>46160</v>
      </c>
      <c r="E9165" s="1" t="n">
        <v>46326</v>
      </c>
      <c r="F9165" t="inlineStr">
        <is>
          <t>GÄVLEBORGS LÄN</t>
        </is>
      </c>
      <c r="G9165" t="inlineStr">
        <is>
          <t>SANDVIKEN</t>
        </is>
      </c>
      <c r="H9165" t="inlineStr">
        <is>
          <t>Kommuner</t>
        </is>
      </c>
      <c r="I9165" t="n">
        <v>1.5</v>
      </c>
      <c r="J9165" t="n">
        <v>0</v>
      </c>
      <c r="K9165" t="n">
        <v>0</v>
      </c>
      <c r="L9165" t="n">
        <v>0</v>
      </c>
      <c r="M9165" t="n">
        <v>0</v>
      </c>
      <c r="N9165" t="n">
        <v>0</v>
      </c>
      <c r="O9165" t="n">
        <v>0</v>
      </c>
      <c r="P9165" t="n">
        <v>0</v>
      </c>
      <c r="Q9165" t="n">
        <v>0</v>
      </c>
      <c r="R9165" t="n">
        <v>0</v>
      </c>
      <c r="S9165" t="n">
        <v>0</v>
      </c>
      <c r="T9165" t="n">
        <v>0</v>
      </c>
      <c r="U9165" t="n">
        <v>0</v>
      </c>
      <c r="V9165" s="2" t="inlineStr"/>
    </row>
    <row r="9166" ht="15" customHeight="1">
      <c r="A9166" t="inlineStr">
        <is>
          <t>A 30067-2023</t>
        </is>
      </c>
      <c r="B9166" t="inlineStr">
        <is>
          <t>avverkningsanmälan</t>
        </is>
      </c>
      <c r="C9166" t="inlineStr">
        <is>
          <t>Föryngringsavverkning</t>
        </is>
      </c>
      <c r="D9166" s="1" t="n">
        <v>45110</v>
      </c>
      <c r="E9166" s="1" t="n">
        <v>46326</v>
      </c>
      <c r="F9166" t="inlineStr">
        <is>
          <t>GÄVLEBORGS LÄN</t>
        </is>
      </c>
      <c r="G9166" t="inlineStr">
        <is>
          <t>BOLLNÄS</t>
        </is>
      </c>
      <c r="I9166" t="n">
        <v>0.5</v>
      </c>
      <c r="J9166" t="n">
        <v>0</v>
      </c>
      <c r="K9166" t="n">
        <v>0</v>
      </c>
      <c r="L9166" t="n">
        <v>0</v>
      </c>
      <c r="M9166" t="n">
        <v>0</v>
      </c>
      <c r="N9166" t="n">
        <v>0</v>
      </c>
      <c r="O9166" t="n">
        <v>0</v>
      </c>
      <c r="P9166" t="n">
        <v>0</v>
      </c>
      <c r="Q9166" t="n">
        <v>0</v>
      </c>
      <c r="R9166" t="n">
        <v>0</v>
      </c>
      <c r="S9166" t="n">
        <v>0</v>
      </c>
      <c r="T9166" t="n">
        <v>0</v>
      </c>
      <c r="U9166" t="n">
        <v>0</v>
      </c>
      <c r="V9166" s="2" t="inlineStr"/>
    </row>
    <row r="9167" ht="15" customHeight="1">
      <c r="A9167" t="inlineStr">
        <is>
          <t>A 45598-2024</t>
        </is>
      </c>
      <c r="B9167" t="inlineStr">
        <is>
          <t>avverkningsanmälan</t>
        </is>
      </c>
      <c r="C9167" t="inlineStr">
        <is>
          <t>Avverkning för annat ändamål</t>
        </is>
      </c>
      <c r="D9167" s="1" t="n">
        <v>45579</v>
      </c>
      <c r="E9167" s="1" t="n">
        <v>46326</v>
      </c>
      <c r="F9167" t="inlineStr">
        <is>
          <t>GÄVLEBORGS LÄN</t>
        </is>
      </c>
      <c r="G9167" t="inlineStr">
        <is>
          <t>BOLLNÄS</t>
        </is>
      </c>
      <c r="H9167" t="inlineStr">
        <is>
          <t>Kommuner</t>
        </is>
      </c>
      <c r="I9167" t="n">
        <v>1.1</v>
      </c>
      <c r="J9167" t="n">
        <v>0</v>
      </c>
      <c r="K9167" t="n">
        <v>0</v>
      </c>
      <c r="L9167" t="n">
        <v>0</v>
      </c>
      <c r="M9167" t="n">
        <v>0</v>
      </c>
      <c r="N9167" t="n">
        <v>0</v>
      </c>
      <c r="O9167" t="n">
        <v>0</v>
      </c>
      <c r="P9167" t="n">
        <v>0</v>
      </c>
      <c r="Q9167" t="n">
        <v>0</v>
      </c>
      <c r="R9167" t="n">
        <v>0</v>
      </c>
      <c r="S9167" t="n">
        <v>0</v>
      </c>
      <c r="T9167" t="n">
        <v>0</v>
      </c>
      <c r="U9167" t="n">
        <v>0</v>
      </c>
      <c r="V9167" s="2" t="inlineStr"/>
    </row>
    <row r="9168" ht="15" customHeight="1">
      <c r="A9168" t="inlineStr">
        <is>
          <t>A 28340-2024</t>
        </is>
      </c>
      <c r="B9168" t="inlineStr">
        <is>
          <t>avverkningsanmälan</t>
        </is>
      </c>
      <c r="C9168" t="inlineStr">
        <is>
          <t>Föryngringsavverkning</t>
        </is>
      </c>
      <c r="D9168" s="1" t="n">
        <v>45477</v>
      </c>
      <c r="E9168" s="1" t="n">
        <v>46326</v>
      </c>
      <c r="F9168" t="inlineStr">
        <is>
          <t>GÄVLEBORGS LÄN</t>
        </is>
      </c>
      <c r="G9168" t="inlineStr">
        <is>
          <t>SÖDERHAMN</t>
        </is>
      </c>
      <c r="I9168" t="n">
        <v>0.6</v>
      </c>
      <c r="J9168" t="n">
        <v>0</v>
      </c>
      <c r="K9168" t="n">
        <v>0</v>
      </c>
      <c r="L9168" t="n">
        <v>0</v>
      </c>
      <c r="M9168" t="n">
        <v>0</v>
      </c>
      <c r="N9168" t="n">
        <v>0</v>
      </c>
      <c r="O9168" t="n">
        <v>0</v>
      </c>
      <c r="P9168" t="n">
        <v>0</v>
      </c>
      <c r="Q9168" t="n">
        <v>0</v>
      </c>
      <c r="R9168" t="n">
        <v>0</v>
      </c>
      <c r="S9168" t="n">
        <v>0</v>
      </c>
      <c r="T9168" t="n">
        <v>0</v>
      </c>
      <c r="U9168" t="n">
        <v>0</v>
      </c>
      <c r="V9168" s="2" t="inlineStr"/>
    </row>
    <row r="9169" ht="15" customHeight="1">
      <c r="A9169" t="inlineStr">
        <is>
          <t>A 11817-2024</t>
        </is>
      </c>
      <c r="B9169" t="inlineStr">
        <is>
          <t>avverkningsanmälan</t>
        </is>
      </c>
      <c r="C9169" t="inlineStr">
        <is>
          <t>Föryngringsavverkning</t>
        </is>
      </c>
      <c r="D9169" s="1" t="n">
        <v>45376</v>
      </c>
      <c r="E9169" s="1" t="n">
        <v>46326</v>
      </c>
      <c r="F9169" t="inlineStr">
        <is>
          <t>GÄVLEBORGS LÄN</t>
        </is>
      </c>
      <c r="G9169" t="inlineStr">
        <is>
          <t>HUDIKSVALL</t>
        </is>
      </c>
      <c r="H9169" t="inlineStr">
        <is>
          <t>Holmen skog AB</t>
        </is>
      </c>
      <c r="I9169" t="n">
        <v>6.2</v>
      </c>
      <c r="J9169" t="n">
        <v>0</v>
      </c>
      <c r="K9169" t="n">
        <v>0</v>
      </c>
      <c r="L9169" t="n">
        <v>0</v>
      </c>
      <c r="M9169" t="n">
        <v>0</v>
      </c>
      <c r="N9169" t="n">
        <v>0</v>
      </c>
      <c r="O9169" t="n">
        <v>0</v>
      </c>
      <c r="P9169" t="n">
        <v>0</v>
      </c>
      <c r="Q9169" t="n">
        <v>0</v>
      </c>
      <c r="R9169" t="n">
        <v>0</v>
      </c>
      <c r="S9169" t="n">
        <v>0</v>
      </c>
      <c r="T9169" t="n">
        <v>0</v>
      </c>
      <c r="U9169" t="n">
        <v>0</v>
      </c>
      <c r="V9169" s="2" t="inlineStr"/>
    </row>
    <row r="9170" ht="15" customHeight="1">
      <c r="A9170" t="inlineStr">
        <is>
          <t>A 20756-2022</t>
        </is>
      </c>
      <c r="B9170" t="inlineStr">
        <is>
          <t>avverkningsanmälan</t>
        </is>
      </c>
      <c r="C9170" t="inlineStr">
        <is>
          <t>Föryngringsavverkning</t>
        </is>
      </c>
      <c r="D9170" s="1" t="n">
        <v>44701</v>
      </c>
      <c r="E9170" s="1" t="n">
        <v>46326</v>
      </c>
      <c r="F9170" t="inlineStr">
        <is>
          <t>GÄVLEBORGS LÄN</t>
        </is>
      </c>
      <c r="G9170" t="inlineStr">
        <is>
          <t>LJUSDAL</t>
        </is>
      </c>
      <c r="H9170" t="inlineStr">
        <is>
          <t>Sveaskog</t>
        </is>
      </c>
      <c r="I9170" t="n">
        <v>0.8</v>
      </c>
      <c r="J9170" t="n">
        <v>0</v>
      </c>
      <c r="K9170" t="n">
        <v>0</v>
      </c>
      <c r="L9170" t="n">
        <v>0</v>
      </c>
      <c r="M9170" t="n">
        <v>0</v>
      </c>
      <c r="N9170" t="n">
        <v>0</v>
      </c>
      <c r="O9170" t="n">
        <v>0</v>
      </c>
      <c r="P9170" t="n">
        <v>0</v>
      </c>
      <c r="Q9170" t="n">
        <v>0</v>
      </c>
      <c r="R9170" t="n">
        <v>0</v>
      </c>
      <c r="S9170" t="n">
        <v>0</v>
      </c>
      <c r="T9170" t="n">
        <v>0</v>
      </c>
      <c r="U9170" t="n">
        <v>0</v>
      </c>
      <c r="V9170" s="2" t="inlineStr"/>
    </row>
    <row r="9171" ht="15" customHeight="1">
      <c r="A9171" t="inlineStr">
        <is>
          <t>A 30273-2026</t>
        </is>
      </c>
      <c r="B9171" t="inlineStr">
        <is>
          <t>avverkningsanmälan</t>
        </is>
      </c>
      <c r="C9171" t="inlineStr">
        <is>
          <t>Föryngringsavverkning</t>
        </is>
      </c>
      <c r="D9171" s="1" t="n">
        <v>46206</v>
      </c>
      <c r="E9171" s="1" t="n">
        <v>46326</v>
      </c>
      <c r="F9171" t="inlineStr">
        <is>
          <t>GÄVLEBORGS LÄN</t>
        </is>
      </c>
      <c r="G9171" t="inlineStr">
        <is>
          <t>BOLLNÄS</t>
        </is>
      </c>
      <c r="I9171" t="n">
        <v>1.9</v>
      </c>
      <c r="J9171" t="n">
        <v>0</v>
      </c>
      <c r="K9171" t="n">
        <v>0</v>
      </c>
      <c r="L9171" t="n">
        <v>0</v>
      </c>
      <c r="M9171" t="n">
        <v>0</v>
      </c>
      <c r="N9171" t="n">
        <v>0</v>
      </c>
      <c r="O9171" t="n">
        <v>0</v>
      </c>
      <c r="P9171" t="n">
        <v>0</v>
      </c>
      <c r="Q9171" t="n">
        <v>0</v>
      </c>
      <c r="R9171" t="n">
        <v>0</v>
      </c>
      <c r="S9171" t="n">
        <v>0</v>
      </c>
      <c r="T9171" t="n">
        <v>0</v>
      </c>
      <c r="U9171" t="n">
        <v>0</v>
      </c>
      <c r="V9171" s="2" t="inlineStr"/>
    </row>
    <row r="9172" ht="15" customHeight="1">
      <c r="A9172" t="inlineStr">
        <is>
          <t>A 30278-2026</t>
        </is>
      </c>
      <c r="B9172" t="inlineStr">
        <is>
          <t>avverkningsanmälan</t>
        </is>
      </c>
      <c r="C9172" t="inlineStr">
        <is>
          <t>Föryngringsavverkning</t>
        </is>
      </c>
      <c r="D9172" s="1" t="n">
        <v>46206</v>
      </c>
      <c r="E9172" s="1" t="n">
        <v>46326</v>
      </c>
      <c r="F9172" t="inlineStr">
        <is>
          <t>GÄVLEBORGS LÄN</t>
        </is>
      </c>
      <c r="G9172" t="inlineStr">
        <is>
          <t>BOLLNÄS</t>
        </is>
      </c>
      <c r="I9172" t="n">
        <v>3.9</v>
      </c>
      <c r="J9172" t="n">
        <v>0</v>
      </c>
      <c r="K9172" t="n">
        <v>0</v>
      </c>
      <c r="L9172" t="n">
        <v>0</v>
      </c>
      <c r="M9172" t="n">
        <v>0</v>
      </c>
      <c r="N9172" t="n">
        <v>0</v>
      </c>
      <c r="O9172" t="n">
        <v>0</v>
      </c>
      <c r="P9172" t="n">
        <v>0</v>
      </c>
      <c r="Q9172" t="n">
        <v>0</v>
      </c>
      <c r="R9172" t="n">
        <v>0</v>
      </c>
      <c r="S9172" t="n">
        <v>0</v>
      </c>
      <c r="T9172" t="n">
        <v>0</v>
      </c>
      <c r="U9172" t="n">
        <v>0</v>
      </c>
      <c r="V9172" s="2" t="inlineStr"/>
    </row>
    <row r="9173" ht="15" customHeight="1">
      <c r="A9173" t="inlineStr">
        <is>
          <t>A 30221-2026</t>
        </is>
      </c>
      <c r="B9173" t="inlineStr">
        <is>
          <t>avverkningsanmälan</t>
        </is>
      </c>
      <c r="C9173" t="inlineStr">
        <is>
          <t>Föryngringsavverkning</t>
        </is>
      </c>
      <c r="D9173" s="1" t="n">
        <v>46206</v>
      </c>
      <c r="E9173" s="1" t="n">
        <v>46326</v>
      </c>
      <c r="F9173" t="inlineStr">
        <is>
          <t>GÄVLEBORGS LÄN</t>
        </is>
      </c>
      <c r="G9173" t="inlineStr">
        <is>
          <t>LJUSDAL</t>
        </is>
      </c>
      <c r="H9173" t="inlineStr">
        <is>
          <t>Bergvik skog väst AB</t>
        </is>
      </c>
      <c r="I9173" t="n">
        <v>0.6</v>
      </c>
      <c r="J9173" t="n">
        <v>0</v>
      </c>
      <c r="K9173" t="n">
        <v>0</v>
      </c>
      <c r="L9173" t="n">
        <v>0</v>
      </c>
      <c r="M9173" t="n">
        <v>0</v>
      </c>
      <c r="N9173" t="n">
        <v>0</v>
      </c>
      <c r="O9173" t="n">
        <v>0</v>
      </c>
      <c r="P9173" t="n">
        <v>0</v>
      </c>
      <c r="Q9173" t="n">
        <v>0</v>
      </c>
      <c r="R9173" t="n">
        <v>0</v>
      </c>
      <c r="S9173" t="n">
        <v>0</v>
      </c>
      <c r="T9173" t="n">
        <v>0</v>
      </c>
      <c r="U9173" t="n">
        <v>0</v>
      </c>
      <c r="V9173" s="2" t="inlineStr"/>
    </row>
    <row r="9174" ht="15" customHeight="1">
      <c r="A9174" t="inlineStr">
        <is>
          <t>A 30875-2022</t>
        </is>
      </c>
      <c r="B9174" t="inlineStr">
        <is>
          <t>avverkningsanmälan</t>
        </is>
      </c>
      <c r="C9174" t="inlineStr">
        <is>
          <t>Föryngringsavverkning</t>
        </is>
      </c>
      <c r="D9174" s="1" t="n">
        <v>44767</v>
      </c>
      <c r="E9174" s="1" t="n">
        <v>46326</v>
      </c>
      <c r="F9174" t="inlineStr">
        <is>
          <t>GÄVLEBORGS LÄN</t>
        </is>
      </c>
      <c r="G9174" t="inlineStr">
        <is>
          <t>GÄVLE</t>
        </is>
      </c>
      <c r="I9174" t="n">
        <v>1.1</v>
      </c>
      <c r="J9174" t="n">
        <v>0</v>
      </c>
      <c r="K9174" t="n">
        <v>0</v>
      </c>
      <c r="L9174" t="n">
        <v>0</v>
      </c>
      <c r="M9174" t="n">
        <v>0</v>
      </c>
      <c r="N9174" t="n">
        <v>0</v>
      </c>
      <c r="O9174" t="n">
        <v>0</v>
      </c>
      <c r="P9174" t="n">
        <v>0</v>
      </c>
      <c r="Q9174" t="n">
        <v>0</v>
      </c>
      <c r="R9174" t="n">
        <v>0</v>
      </c>
      <c r="S9174" t="n">
        <v>0</v>
      </c>
      <c r="T9174" t="n">
        <v>0</v>
      </c>
      <c r="U9174" t="n">
        <v>0</v>
      </c>
      <c r="V9174" s="2" t="inlineStr"/>
    </row>
    <row r="9175" ht="15" customHeight="1">
      <c r="A9175" t="inlineStr">
        <is>
          <t>A 45310-2022</t>
        </is>
      </c>
      <c r="B9175" t="inlineStr">
        <is>
          <t>avverkningsanmälan</t>
        </is>
      </c>
      <c r="C9175" t="inlineStr">
        <is>
          <t>Föryngringsavverkning</t>
        </is>
      </c>
      <c r="D9175" s="1" t="n">
        <v>44844</v>
      </c>
      <c r="E9175" s="1" t="n">
        <v>46326</v>
      </c>
      <c r="F9175" t="inlineStr">
        <is>
          <t>GÄVLEBORGS LÄN</t>
        </is>
      </c>
      <c r="G9175" t="inlineStr">
        <is>
          <t>NORDANSTIG</t>
        </is>
      </c>
      <c r="H9175" t="inlineStr">
        <is>
          <t>Holmen skog AB</t>
        </is>
      </c>
      <c r="I9175" t="n">
        <v>4.5</v>
      </c>
      <c r="J9175" t="n">
        <v>0</v>
      </c>
      <c r="K9175" t="n">
        <v>0</v>
      </c>
      <c r="L9175" t="n">
        <v>0</v>
      </c>
      <c r="M9175" t="n">
        <v>0</v>
      </c>
      <c r="N9175" t="n">
        <v>0</v>
      </c>
      <c r="O9175" t="n">
        <v>0</v>
      </c>
      <c r="P9175" t="n">
        <v>0</v>
      </c>
      <c r="Q9175" t="n">
        <v>0</v>
      </c>
      <c r="R9175" t="n">
        <v>0</v>
      </c>
      <c r="S9175" t="n">
        <v>0</v>
      </c>
      <c r="T9175" t="n">
        <v>0</v>
      </c>
      <c r="U9175" t="n">
        <v>0</v>
      </c>
      <c r="V9175" s="2" t="inlineStr"/>
    </row>
    <row r="9176" ht="15" customHeight="1">
      <c r="A9176" t="inlineStr">
        <is>
          <t>A 29833-2026</t>
        </is>
      </c>
      <c r="B9176" t="inlineStr">
        <is>
          <t>avverkningsanmälan</t>
        </is>
      </c>
      <c r="C9176" t="inlineStr">
        <is>
          <t>Föryngringsavverkning</t>
        </is>
      </c>
      <c r="D9176" s="1" t="n">
        <v>46205</v>
      </c>
      <c r="E9176" s="1" t="n">
        <v>46326</v>
      </c>
      <c r="F9176" t="inlineStr">
        <is>
          <t>GÄVLEBORGS LÄN</t>
        </is>
      </c>
      <c r="G9176" t="inlineStr">
        <is>
          <t>SANDVIKEN</t>
        </is>
      </c>
      <c r="I9176" t="n">
        <v>1.3</v>
      </c>
      <c r="J9176" t="n">
        <v>0</v>
      </c>
      <c r="K9176" t="n">
        <v>0</v>
      </c>
      <c r="L9176" t="n">
        <v>0</v>
      </c>
      <c r="M9176" t="n">
        <v>0</v>
      </c>
      <c r="N9176" t="n">
        <v>0</v>
      </c>
      <c r="O9176" t="n">
        <v>0</v>
      </c>
      <c r="P9176" t="n">
        <v>0</v>
      </c>
      <c r="Q9176" t="n">
        <v>0</v>
      </c>
      <c r="R9176" t="n">
        <v>0</v>
      </c>
      <c r="S9176" t="n">
        <v>0</v>
      </c>
      <c r="T9176" t="n">
        <v>0</v>
      </c>
      <c r="U9176" t="n">
        <v>0</v>
      </c>
      <c r="V9176" s="2" t="inlineStr"/>
    </row>
    <row r="9177" ht="15" customHeight="1">
      <c r="A9177" t="inlineStr">
        <is>
          <t>A 29842-2026</t>
        </is>
      </c>
      <c r="B9177" t="inlineStr">
        <is>
          <t>avverkningsanmälan</t>
        </is>
      </c>
      <c r="C9177" t="inlineStr">
        <is>
          <t>Föryngringsavverkning</t>
        </is>
      </c>
      <c r="D9177" s="1" t="n">
        <v>46205</v>
      </c>
      <c r="E9177" s="1" t="n">
        <v>46326</v>
      </c>
      <c r="F9177" t="inlineStr">
        <is>
          <t>GÄVLEBORGS LÄN</t>
        </is>
      </c>
      <c r="G9177" t="inlineStr">
        <is>
          <t>SANDVIKEN</t>
        </is>
      </c>
      <c r="I9177" t="n">
        <v>1.1</v>
      </c>
      <c r="J9177" t="n">
        <v>0</v>
      </c>
      <c r="K9177" t="n">
        <v>0</v>
      </c>
      <c r="L9177" t="n">
        <v>0</v>
      </c>
      <c r="M9177" t="n">
        <v>0</v>
      </c>
      <c r="N9177" t="n">
        <v>0</v>
      </c>
      <c r="O9177" t="n">
        <v>0</v>
      </c>
      <c r="P9177" t="n">
        <v>0</v>
      </c>
      <c r="Q9177" t="n">
        <v>0</v>
      </c>
      <c r="R9177" t="n">
        <v>0</v>
      </c>
      <c r="S9177" t="n">
        <v>0</v>
      </c>
      <c r="T9177" t="n">
        <v>0</v>
      </c>
      <c r="U9177" t="n">
        <v>0</v>
      </c>
      <c r="V9177" s="2" t="inlineStr"/>
    </row>
    <row r="9178" ht="15" customHeight="1">
      <c r="A9178" t="inlineStr">
        <is>
          <t>A 30321-2026</t>
        </is>
      </c>
      <c r="B9178" t="inlineStr">
        <is>
          <t>avverkningsanmälan</t>
        </is>
      </c>
      <c r="C9178" t="inlineStr">
        <is>
          <t>Föryngringsavverkning</t>
        </is>
      </c>
      <c r="D9178" s="1" t="n">
        <v>46207</v>
      </c>
      <c r="E9178" s="1" t="n">
        <v>46326</v>
      </c>
      <c r="F9178" t="inlineStr">
        <is>
          <t>GÄVLEBORGS LÄN</t>
        </is>
      </c>
      <c r="G9178" t="inlineStr">
        <is>
          <t>SÖDERHAMN</t>
        </is>
      </c>
      <c r="H9178" t="inlineStr">
        <is>
          <t>Bergvik skog väst AB</t>
        </is>
      </c>
      <c r="I9178" t="n">
        <v>2.5</v>
      </c>
      <c r="J9178" t="n">
        <v>0</v>
      </c>
      <c r="K9178" t="n">
        <v>0</v>
      </c>
      <c r="L9178" t="n">
        <v>0</v>
      </c>
      <c r="M9178" t="n">
        <v>0</v>
      </c>
      <c r="N9178" t="n">
        <v>0</v>
      </c>
      <c r="O9178" t="n">
        <v>0</v>
      </c>
      <c r="P9178" t="n">
        <v>0</v>
      </c>
      <c r="Q9178" t="n">
        <v>0</v>
      </c>
      <c r="R9178" t="n">
        <v>0</v>
      </c>
      <c r="S9178" t="n">
        <v>0</v>
      </c>
      <c r="T9178" t="n">
        <v>0</v>
      </c>
      <c r="U9178" t="n">
        <v>0</v>
      </c>
      <c r="V9178" s="2" t="inlineStr"/>
    </row>
    <row r="9179" ht="15" customHeight="1">
      <c r="A9179" t="inlineStr">
        <is>
          <t>A 30275-2026</t>
        </is>
      </c>
      <c r="B9179" t="inlineStr">
        <is>
          <t>avverkningsanmälan</t>
        </is>
      </c>
      <c r="C9179" t="inlineStr">
        <is>
          <t>Föryngringsavverkning</t>
        </is>
      </c>
      <c r="D9179" s="1" t="n">
        <v>46206</v>
      </c>
      <c r="E9179" s="1" t="n">
        <v>46326</v>
      </c>
      <c r="F9179" t="inlineStr">
        <is>
          <t>GÄVLEBORGS LÄN</t>
        </is>
      </c>
      <c r="G9179" t="inlineStr">
        <is>
          <t>BOLLNÄS</t>
        </is>
      </c>
      <c r="I9179" t="n">
        <v>0.7</v>
      </c>
      <c r="J9179" t="n">
        <v>0</v>
      </c>
      <c r="K9179" t="n">
        <v>0</v>
      </c>
      <c r="L9179" t="n">
        <v>0</v>
      </c>
      <c r="M9179" t="n">
        <v>0</v>
      </c>
      <c r="N9179" t="n">
        <v>0</v>
      </c>
      <c r="O9179" t="n">
        <v>0</v>
      </c>
      <c r="P9179" t="n">
        <v>0</v>
      </c>
      <c r="Q9179" t="n">
        <v>0</v>
      </c>
      <c r="R9179" t="n">
        <v>0</v>
      </c>
      <c r="S9179" t="n">
        <v>0</v>
      </c>
      <c r="T9179" t="n">
        <v>0</v>
      </c>
      <c r="U9179" t="n">
        <v>0</v>
      </c>
      <c r="V9179" s="2" t="inlineStr"/>
    </row>
    <row r="9180" ht="15" customHeight="1">
      <c r="A9180" t="inlineStr">
        <is>
          <t>A 53435-2023</t>
        </is>
      </c>
      <c r="B9180" t="inlineStr">
        <is>
          <t>avverkningsanmälan</t>
        </is>
      </c>
      <c r="C9180" t="inlineStr">
        <is>
          <t>Föryngringsavverkning</t>
        </is>
      </c>
      <c r="D9180" s="1" t="n">
        <v>45229</v>
      </c>
      <c r="E9180" s="1" t="n">
        <v>46326</v>
      </c>
      <c r="F9180" t="inlineStr">
        <is>
          <t>GÄVLEBORGS LÄN</t>
        </is>
      </c>
      <c r="G9180" t="inlineStr">
        <is>
          <t>HUDIKSVALL</t>
        </is>
      </c>
      <c r="I9180" t="n">
        <v>0.8</v>
      </c>
      <c r="J9180" t="n">
        <v>0</v>
      </c>
      <c r="K9180" t="n">
        <v>0</v>
      </c>
      <c r="L9180" t="n">
        <v>0</v>
      </c>
      <c r="M9180" t="n">
        <v>0</v>
      </c>
      <c r="N9180" t="n">
        <v>0</v>
      </c>
      <c r="O9180" t="n">
        <v>0</v>
      </c>
      <c r="P9180" t="n">
        <v>0</v>
      </c>
      <c r="Q9180" t="n">
        <v>0</v>
      </c>
      <c r="R9180" t="n">
        <v>0</v>
      </c>
      <c r="S9180" t="n">
        <v>0</v>
      </c>
      <c r="T9180" t="n">
        <v>0</v>
      </c>
      <c r="U9180" t="n">
        <v>0</v>
      </c>
      <c r="V9180" s="2" t="inlineStr"/>
    </row>
    <row r="9181" ht="15" customHeight="1">
      <c r="A9181" t="inlineStr">
        <is>
          <t>A 60884-2022</t>
        </is>
      </c>
      <c r="B9181" t="inlineStr">
        <is>
          <t>avverkningsanmälan</t>
        </is>
      </c>
      <c r="C9181" t="inlineStr">
        <is>
          <t>Föryngringsavverkning</t>
        </is>
      </c>
      <c r="D9181" s="1" t="n">
        <v>44914</v>
      </c>
      <c r="E9181" s="1" t="n">
        <v>46326</v>
      </c>
      <c r="F9181" t="inlineStr">
        <is>
          <t>GÄVLEBORGS LÄN</t>
        </is>
      </c>
      <c r="G9181" t="inlineStr">
        <is>
          <t>BOLLNÄS</t>
        </is>
      </c>
      <c r="I9181" t="n">
        <v>0.8</v>
      </c>
      <c r="J9181" t="n">
        <v>0</v>
      </c>
      <c r="K9181" t="n">
        <v>0</v>
      </c>
      <c r="L9181" t="n">
        <v>0</v>
      </c>
      <c r="M9181" t="n">
        <v>0</v>
      </c>
      <c r="N9181" t="n">
        <v>0</v>
      </c>
      <c r="O9181" t="n">
        <v>0</v>
      </c>
      <c r="P9181" t="n">
        <v>0</v>
      </c>
      <c r="Q9181" t="n">
        <v>0</v>
      </c>
      <c r="R9181" t="n">
        <v>0</v>
      </c>
      <c r="S9181" t="n">
        <v>0</v>
      </c>
      <c r="T9181" t="n">
        <v>0</v>
      </c>
      <c r="U9181" t="n">
        <v>0</v>
      </c>
      <c r="V9181" s="2" t="inlineStr"/>
    </row>
    <row r="9182" ht="15" customHeight="1">
      <c r="A9182" t="inlineStr">
        <is>
          <t>A 64609-2023</t>
        </is>
      </c>
      <c r="B9182" t="inlineStr">
        <is>
          <t>avverkningsanmälan</t>
        </is>
      </c>
      <c r="C9182" t="inlineStr">
        <is>
          <t>Föryngringsavverkning</t>
        </is>
      </c>
      <c r="D9182" s="1" t="n">
        <v>45281</v>
      </c>
      <c r="E9182" s="1" t="n">
        <v>46326</v>
      </c>
      <c r="F9182" t="inlineStr">
        <is>
          <t>GÄVLEBORGS LÄN</t>
        </is>
      </c>
      <c r="G9182" t="inlineStr">
        <is>
          <t>OCKELBO</t>
        </is>
      </c>
      <c r="I9182" t="n">
        <v>1</v>
      </c>
      <c r="J9182" t="n">
        <v>0</v>
      </c>
      <c r="K9182" t="n">
        <v>0</v>
      </c>
      <c r="L9182" t="n">
        <v>0</v>
      </c>
      <c r="M9182" t="n">
        <v>0</v>
      </c>
      <c r="N9182" t="n">
        <v>0</v>
      </c>
      <c r="O9182" t="n">
        <v>0</v>
      </c>
      <c r="P9182" t="n">
        <v>0</v>
      </c>
      <c r="Q9182" t="n">
        <v>0</v>
      </c>
      <c r="R9182" t="n">
        <v>0</v>
      </c>
      <c r="S9182" t="n">
        <v>0</v>
      </c>
      <c r="T9182" t="n">
        <v>0</v>
      </c>
      <c r="U9182" t="n">
        <v>0</v>
      </c>
      <c r="V9182" s="2" t="inlineStr"/>
    </row>
    <row r="9183" ht="15" customHeight="1">
      <c r="A9183" t="inlineStr">
        <is>
          <t>A 6820-2023</t>
        </is>
      </c>
      <c r="B9183" t="inlineStr">
        <is>
          <t>avverkningsanmälan</t>
        </is>
      </c>
      <c r="C9183" t="inlineStr">
        <is>
          <t>Avverkning för att bevara och utveckla /försöksver</t>
        </is>
      </c>
      <c r="D9183" s="1" t="n">
        <v>44967</v>
      </c>
      <c r="E9183" s="1" t="n">
        <v>46326</v>
      </c>
      <c r="F9183" t="inlineStr">
        <is>
          <t>GÄVLEBORGS LÄN</t>
        </is>
      </c>
      <c r="G9183" t="inlineStr">
        <is>
          <t>NORDANSTIG</t>
        </is>
      </c>
      <c r="H9183" t="inlineStr">
        <is>
          <t>Holmen skog AB</t>
        </is>
      </c>
      <c r="I9183" t="n">
        <v>2.4</v>
      </c>
      <c r="J9183" t="n">
        <v>0</v>
      </c>
      <c r="K9183" t="n">
        <v>0</v>
      </c>
      <c r="L9183" t="n">
        <v>0</v>
      </c>
      <c r="M9183" t="n">
        <v>0</v>
      </c>
      <c r="N9183" t="n">
        <v>0</v>
      </c>
      <c r="O9183" t="n">
        <v>0</v>
      </c>
      <c r="P9183" t="n">
        <v>0</v>
      </c>
      <c r="Q9183" t="n">
        <v>0</v>
      </c>
      <c r="R9183" t="n">
        <v>0</v>
      </c>
      <c r="S9183" t="n">
        <v>0</v>
      </c>
      <c r="T9183" t="n">
        <v>0</v>
      </c>
      <c r="U9183" t="n">
        <v>0</v>
      </c>
      <c r="V9183" s="2" t="inlineStr"/>
    </row>
    <row r="9184" ht="15" customHeight="1">
      <c r="A9184" t="inlineStr">
        <is>
          <t>A 29968-2026</t>
        </is>
      </c>
      <c r="B9184" t="inlineStr">
        <is>
          <t>avverkningsanmälan</t>
        </is>
      </c>
      <c r="C9184" t="inlineStr">
        <is>
          <t>Föryngringsavverkning</t>
        </is>
      </c>
      <c r="D9184" s="1" t="n">
        <v>46205</v>
      </c>
      <c r="E9184" s="1" t="n">
        <v>46326</v>
      </c>
      <c r="F9184" t="inlineStr">
        <is>
          <t>GÄVLEBORGS LÄN</t>
        </is>
      </c>
      <c r="G9184" t="inlineStr">
        <is>
          <t>OVANÅKER</t>
        </is>
      </c>
      <c r="I9184" t="n">
        <v>1.1</v>
      </c>
      <c r="J9184" t="n">
        <v>0</v>
      </c>
      <c r="K9184" t="n">
        <v>0</v>
      </c>
      <c r="L9184" t="n">
        <v>0</v>
      </c>
      <c r="M9184" t="n">
        <v>0</v>
      </c>
      <c r="N9184" t="n">
        <v>0</v>
      </c>
      <c r="O9184" t="n">
        <v>0</v>
      </c>
      <c r="P9184" t="n">
        <v>0</v>
      </c>
      <c r="Q9184" t="n">
        <v>0</v>
      </c>
      <c r="R9184" t="n">
        <v>0</v>
      </c>
      <c r="S9184" t="n">
        <v>0</v>
      </c>
      <c r="T9184" t="n">
        <v>0</v>
      </c>
      <c r="U9184" t="n">
        <v>0</v>
      </c>
      <c r="V9184" s="2" t="inlineStr"/>
    </row>
    <row r="9185" ht="15" customHeight="1">
      <c r="A9185" t="inlineStr">
        <is>
          <t>A 29989-2026</t>
        </is>
      </c>
      <c r="B9185" t="inlineStr">
        <is>
          <t>avverkningsanmälan</t>
        </is>
      </c>
      <c r="C9185" t="inlineStr">
        <is>
          <t>Föryngringsavverkning</t>
        </is>
      </c>
      <c r="D9185" s="1" t="n">
        <v>46205</v>
      </c>
      <c r="E9185" s="1" t="n">
        <v>46326</v>
      </c>
      <c r="F9185" t="inlineStr">
        <is>
          <t>GÄVLEBORGS LÄN</t>
        </is>
      </c>
      <c r="G9185" t="inlineStr">
        <is>
          <t>BOLLNÄS</t>
        </is>
      </c>
      <c r="I9185" t="n">
        <v>2.2</v>
      </c>
      <c r="J9185" t="n">
        <v>0</v>
      </c>
      <c r="K9185" t="n">
        <v>0</v>
      </c>
      <c r="L9185" t="n">
        <v>0</v>
      </c>
      <c r="M9185" t="n">
        <v>0</v>
      </c>
      <c r="N9185" t="n">
        <v>0</v>
      </c>
      <c r="O9185" t="n">
        <v>0</v>
      </c>
      <c r="P9185" t="n">
        <v>0</v>
      </c>
      <c r="Q9185" t="n">
        <v>0</v>
      </c>
      <c r="R9185" t="n">
        <v>0</v>
      </c>
      <c r="S9185" t="n">
        <v>0</v>
      </c>
      <c r="T9185" t="n">
        <v>0</v>
      </c>
      <c r="U9185" t="n">
        <v>0</v>
      </c>
      <c r="V9185" s="2" t="inlineStr"/>
    </row>
    <row r="9186" ht="15" customHeight="1">
      <c r="A9186" t="inlineStr">
        <is>
          <t>A 29797-2026</t>
        </is>
      </c>
      <c r="B9186" t="inlineStr">
        <is>
          <t>avverkningsanmälan</t>
        </is>
      </c>
      <c r="C9186" t="inlineStr">
        <is>
          <t>Föryngringsavverkning</t>
        </is>
      </c>
      <c r="D9186" s="1" t="n">
        <v>46205</v>
      </c>
      <c r="E9186" s="1" t="n">
        <v>46326</v>
      </c>
      <c r="F9186" t="inlineStr">
        <is>
          <t>GÄVLEBORGS LÄN</t>
        </is>
      </c>
      <c r="G9186" t="inlineStr">
        <is>
          <t>HUDIKSVALL</t>
        </is>
      </c>
      <c r="I9186" t="n">
        <v>1.4</v>
      </c>
      <c r="J9186" t="n">
        <v>0</v>
      </c>
      <c r="K9186" t="n">
        <v>0</v>
      </c>
      <c r="L9186" t="n">
        <v>0</v>
      </c>
      <c r="M9186" t="n">
        <v>0</v>
      </c>
      <c r="N9186" t="n">
        <v>0</v>
      </c>
      <c r="O9186" t="n">
        <v>0</v>
      </c>
      <c r="P9186" t="n">
        <v>0</v>
      </c>
      <c r="Q9186" t="n">
        <v>0</v>
      </c>
      <c r="R9186" t="n">
        <v>0</v>
      </c>
      <c r="S9186" t="n">
        <v>0</v>
      </c>
      <c r="T9186" t="n">
        <v>0</v>
      </c>
      <c r="U9186" t="n">
        <v>0</v>
      </c>
      <c r="V9186" s="2" t="inlineStr"/>
    </row>
    <row r="9187" ht="15" customHeight="1">
      <c r="A9187" t="inlineStr">
        <is>
          <t>A 11361-2026</t>
        </is>
      </c>
      <c r="B9187" t="inlineStr">
        <is>
          <t>avverkningsanmälan</t>
        </is>
      </c>
      <c r="C9187" t="inlineStr">
        <is>
          <t>Föryngringsavverkning</t>
        </is>
      </c>
      <c r="D9187" s="1" t="n">
        <v>46083</v>
      </c>
      <c r="E9187" s="1" t="n">
        <v>46326</v>
      </c>
      <c r="F9187" t="inlineStr">
        <is>
          <t>GÄVLEBORGS LÄN</t>
        </is>
      </c>
      <c r="G9187" t="inlineStr">
        <is>
          <t>BOLLNÄS</t>
        </is>
      </c>
      <c r="I9187" t="n">
        <v>0.9</v>
      </c>
      <c r="J9187" t="n">
        <v>0</v>
      </c>
      <c r="K9187" t="n">
        <v>0</v>
      </c>
      <c r="L9187" t="n">
        <v>0</v>
      </c>
      <c r="M9187" t="n">
        <v>0</v>
      </c>
      <c r="N9187" t="n">
        <v>0</v>
      </c>
      <c r="O9187" t="n">
        <v>0</v>
      </c>
      <c r="P9187" t="n">
        <v>0</v>
      </c>
      <c r="Q9187" t="n">
        <v>0</v>
      </c>
      <c r="R9187" t="n">
        <v>0</v>
      </c>
      <c r="S9187" t="n">
        <v>0</v>
      </c>
      <c r="T9187" t="n">
        <v>0</v>
      </c>
      <c r="U9187" t="n">
        <v>0</v>
      </c>
      <c r="V9187" s="2" t="inlineStr"/>
    </row>
    <row r="9188" ht="15" customHeight="1">
      <c r="A9188" t="inlineStr">
        <is>
          <t>A 27151-2023</t>
        </is>
      </c>
      <c r="B9188" t="inlineStr">
        <is>
          <t>avverkningsanmälan</t>
        </is>
      </c>
      <c r="C9188" t="inlineStr">
        <is>
          <t>Föryngringsavverkning</t>
        </is>
      </c>
      <c r="D9188" s="1" t="n">
        <v>45096</v>
      </c>
      <c r="E9188" s="1" t="n">
        <v>46326</v>
      </c>
      <c r="F9188" t="inlineStr">
        <is>
          <t>GÄVLEBORGS LÄN</t>
        </is>
      </c>
      <c r="G9188" t="inlineStr">
        <is>
          <t>SÖDERHAMN</t>
        </is>
      </c>
      <c r="I9188" t="n">
        <v>1.4</v>
      </c>
      <c r="J9188" t="n">
        <v>0</v>
      </c>
      <c r="K9188" t="n">
        <v>0</v>
      </c>
      <c r="L9188" t="n">
        <v>0</v>
      </c>
      <c r="M9188" t="n">
        <v>0</v>
      </c>
      <c r="N9188" t="n">
        <v>0</v>
      </c>
      <c r="O9188" t="n">
        <v>0</v>
      </c>
      <c r="P9188" t="n">
        <v>0</v>
      </c>
      <c r="Q9188" t="n">
        <v>0</v>
      </c>
      <c r="R9188" t="n">
        <v>0</v>
      </c>
      <c r="S9188" t="n">
        <v>0</v>
      </c>
      <c r="T9188" t="n">
        <v>0</v>
      </c>
      <c r="U9188" t="n">
        <v>0</v>
      </c>
      <c r="V9188" s="2" t="inlineStr"/>
    </row>
    <row r="9189" ht="15" customHeight="1">
      <c r="A9189" t="inlineStr">
        <is>
          <t>A 43018-2023</t>
        </is>
      </c>
      <c r="B9189" t="inlineStr">
        <is>
          <t>avverkningsanmälan</t>
        </is>
      </c>
      <c r="C9189" t="inlineStr">
        <is>
          <t>Föryngringsavverkning</t>
        </is>
      </c>
      <c r="D9189" s="1" t="n">
        <v>45182</v>
      </c>
      <c r="E9189" s="1" t="n">
        <v>46326</v>
      </c>
      <c r="F9189" t="inlineStr">
        <is>
          <t>GÄVLEBORGS LÄN</t>
        </is>
      </c>
      <c r="G9189" t="inlineStr">
        <is>
          <t>LJUSDAL</t>
        </is>
      </c>
      <c r="I9189" t="n">
        <v>8.199999999999999</v>
      </c>
      <c r="J9189" t="n">
        <v>0</v>
      </c>
      <c r="K9189" t="n">
        <v>0</v>
      </c>
      <c r="L9189" t="n">
        <v>0</v>
      </c>
      <c r="M9189" t="n">
        <v>0</v>
      </c>
      <c r="N9189" t="n">
        <v>0</v>
      </c>
      <c r="O9189" t="n">
        <v>0</v>
      </c>
      <c r="P9189" t="n">
        <v>0</v>
      </c>
      <c r="Q9189" t="n">
        <v>0</v>
      </c>
      <c r="R9189" t="n">
        <v>0</v>
      </c>
      <c r="S9189" t="n">
        <v>0</v>
      </c>
      <c r="T9189" t="n">
        <v>0</v>
      </c>
      <c r="U9189" t="n">
        <v>0</v>
      </c>
      <c r="V9189" s="2" t="inlineStr"/>
    </row>
    <row r="9190" ht="15" customHeight="1">
      <c r="A9190" t="inlineStr">
        <is>
          <t>A 29857-2026</t>
        </is>
      </c>
      <c r="B9190" t="inlineStr">
        <is>
          <t>avverkningsanmälan</t>
        </is>
      </c>
      <c r="C9190" t="inlineStr">
        <is>
          <t>Föryngringsavverkning</t>
        </is>
      </c>
      <c r="D9190" s="1" t="n">
        <v>46205</v>
      </c>
      <c r="E9190" s="1" t="n">
        <v>46326</v>
      </c>
      <c r="F9190" t="inlineStr">
        <is>
          <t>GÄVLEBORGS LÄN</t>
        </is>
      </c>
      <c r="G9190" t="inlineStr">
        <is>
          <t>BOLLNÄS</t>
        </is>
      </c>
      <c r="I9190" t="n">
        <v>1.7</v>
      </c>
      <c r="J9190" t="n">
        <v>0</v>
      </c>
      <c r="K9190" t="n">
        <v>0</v>
      </c>
      <c r="L9190" t="n">
        <v>0</v>
      </c>
      <c r="M9190" t="n">
        <v>0</v>
      </c>
      <c r="N9190" t="n">
        <v>0</v>
      </c>
      <c r="O9190" t="n">
        <v>0</v>
      </c>
      <c r="P9190" t="n">
        <v>0</v>
      </c>
      <c r="Q9190" t="n">
        <v>0</v>
      </c>
      <c r="R9190" t="n">
        <v>0</v>
      </c>
      <c r="S9190" t="n">
        <v>0</v>
      </c>
      <c r="T9190" t="n">
        <v>0</v>
      </c>
      <c r="U9190" t="n">
        <v>0</v>
      </c>
      <c r="V9190" s="2" t="inlineStr"/>
    </row>
    <row r="9191" ht="15" customHeight="1">
      <c r="A9191" t="inlineStr">
        <is>
          <t>A 29835-2026</t>
        </is>
      </c>
      <c r="B9191" t="inlineStr">
        <is>
          <t>avverkningsanmälan</t>
        </is>
      </c>
      <c r="C9191" t="inlineStr">
        <is>
          <t>Föryngringsavverkning</t>
        </is>
      </c>
      <c r="D9191" s="1" t="n">
        <v>46205</v>
      </c>
      <c r="E9191" s="1" t="n">
        <v>46326</v>
      </c>
      <c r="F9191" t="inlineStr">
        <is>
          <t>GÄVLEBORGS LÄN</t>
        </is>
      </c>
      <c r="G9191" t="inlineStr">
        <is>
          <t>OCKELBO</t>
        </is>
      </c>
      <c r="I9191" t="n">
        <v>1.8</v>
      </c>
      <c r="J9191" t="n">
        <v>0</v>
      </c>
      <c r="K9191" t="n">
        <v>0</v>
      </c>
      <c r="L9191" t="n">
        <v>0</v>
      </c>
      <c r="M9191" t="n">
        <v>0</v>
      </c>
      <c r="N9191" t="n">
        <v>0</v>
      </c>
      <c r="O9191" t="n">
        <v>0</v>
      </c>
      <c r="P9191" t="n">
        <v>0</v>
      </c>
      <c r="Q9191" t="n">
        <v>0</v>
      </c>
      <c r="R9191" t="n">
        <v>0</v>
      </c>
      <c r="S9191" t="n">
        <v>0</v>
      </c>
      <c r="T9191" t="n">
        <v>0</v>
      </c>
      <c r="U9191" t="n">
        <v>0</v>
      </c>
      <c r="V9191" s="2" t="inlineStr"/>
    </row>
    <row r="9192" ht="15" customHeight="1">
      <c r="A9192" t="inlineStr">
        <is>
          <t>A 53852-2023</t>
        </is>
      </c>
      <c r="B9192" t="inlineStr">
        <is>
          <t>avverkningsanmälan</t>
        </is>
      </c>
      <c r="C9192" t="inlineStr">
        <is>
          <t>Föryngringsavverkning</t>
        </is>
      </c>
      <c r="D9192" s="1" t="n">
        <v>45231</v>
      </c>
      <c r="E9192" s="1" t="n">
        <v>46326</v>
      </c>
      <c r="F9192" t="inlineStr">
        <is>
          <t>GÄVLEBORGS LÄN</t>
        </is>
      </c>
      <c r="G9192" t="inlineStr">
        <is>
          <t>LJUSDAL</t>
        </is>
      </c>
      <c r="I9192" t="n">
        <v>0.1</v>
      </c>
      <c r="J9192" t="n">
        <v>0</v>
      </c>
      <c r="K9192" t="n">
        <v>0</v>
      </c>
      <c r="L9192" t="n">
        <v>0</v>
      </c>
      <c r="M9192" t="n">
        <v>0</v>
      </c>
      <c r="N9192" t="n">
        <v>0</v>
      </c>
      <c r="O9192" t="n">
        <v>0</v>
      </c>
      <c r="P9192" t="n">
        <v>0</v>
      </c>
      <c r="Q9192" t="n">
        <v>0</v>
      </c>
      <c r="R9192" t="n">
        <v>0</v>
      </c>
      <c r="S9192" t="n">
        <v>0</v>
      </c>
      <c r="T9192" t="n">
        <v>0</v>
      </c>
      <c r="U9192" t="n">
        <v>0</v>
      </c>
      <c r="V9192" s="2" t="inlineStr"/>
    </row>
    <row r="9193" ht="15" customHeight="1">
      <c r="A9193" t="inlineStr">
        <is>
          <t>A 30139-2026</t>
        </is>
      </c>
      <c r="B9193" t="inlineStr">
        <is>
          <t>avverkningsanmälan</t>
        </is>
      </c>
      <c r="C9193" t="inlineStr">
        <is>
          <t>Föryngringsavverkning</t>
        </is>
      </c>
      <c r="D9193" s="1" t="n">
        <v>46206</v>
      </c>
      <c r="E9193" s="1" t="n">
        <v>46326</v>
      </c>
      <c r="F9193" t="inlineStr">
        <is>
          <t>GÄVLEBORGS LÄN</t>
        </is>
      </c>
      <c r="G9193" t="inlineStr">
        <is>
          <t>BOLLNÄS</t>
        </is>
      </c>
      <c r="I9193" t="n">
        <v>3.8</v>
      </c>
      <c r="J9193" t="n">
        <v>0</v>
      </c>
      <c r="K9193" t="n">
        <v>0</v>
      </c>
      <c r="L9193" t="n">
        <v>0</v>
      </c>
      <c r="M9193" t="n">
        <v>0</v>
      </c>
      <c r="N9193" t="n">
        <v>0</v>
      </c>
      <c r="O9193" t="n">
        <v>0</v>
      </c>
      <c r="P9193" t="n">
        <v>0</v>
      </c>
      <c r="Q9193" t="n">
        <v>0</v>
      </c>
      <c r="R9193" t="n">
        <v>0</v>
      </c>
      <c r="S9193" t="n">
        <v>0</v>
      </c>
      <c r="T9193" t="n">
        <v>0</v>
      </c>
      <c r="U9193" t="n">
        <v>0</v>
      </c>
      <c r="V9193" s="2" t="inlineStr"/>
    </row>
    <row r="9194" ht="15" customHeight="1">
      <c r="A9194" t="inlineStr">
        <is>
          <t>A 30298-2026</t>
        </is>
      </c>
      <c r="B9194" t="inlineStr">
        <is>
          <t>avverkningsanmälan</t>
        </is>
      </c>
      <c r="C9194" t="inlineStr">
        <is>
          <t>Föryngringsavverkning</t>
        </is>
      </c>
      <c r="D9194" s="1" t="n">
        <v>46206</v>
      </c>
      <c r="E9194" s="1" t="n">
        <v>46326</v>
      </c>
      <c r="F9194" t="inlineStr">
        <is>
          <t>GÄVLEBORGS LÄN</t>
        </is>
      </c>
      <c r="G9194" t="inlineStr">
        <is>
          <t>BOLLNÄS</t>
        </is>
      </c>
      <c r="I9194" t="n">
        <v>2.1</v>
      </c>
      <c r="J9194" t="n">
        <v>0</v>
      </c>
      <c r="K9194" t="n">
        <v>0</v>
      </c>
      <c r="L9194" t="n">
        <v>0</v>
      </c>
      <c r="M9194" t="n">
        <v>0</v>
      </c>
      <c r="N9194" t="n">
        <v>0</v>
      </c>
      <c r="O9194" t="n">
        <v>0</v>
      </c>
      <c r="P9194" t="n">
        <v>0</v>
      </c>
      <c r="Q9194" t="n">
        <v>0</v>
      </c>
      <c r="R9194" t="n">
        <v>0</v>
      </c>
      <c r="S9194" t="n">
        <v>0</v>
      </c>
      <c r="T9194" t="n">
        <v>0</v>
      </c>
      <c r="U9194" t="n">
        <v>0</v>
      </c>
      <c r="V9194" s="2" t="inlineStr"/>
    </row>
    <row r="9195" ht="15" customHeight="1">
      <c r="A9195" t="inlineStr">
        <is>
          <t>A 60349-2022</t>
        </is>
      </c>
      <c r="B9195" t="inlineStr">
        <is>
          <t>avverkningsanmälan</t>
        </is>
      </c>
      <c r="C9195" t="inlineStr">
        <is>
          <t>Föryngringsavverkning</t>
        </is>
      </c>
      <c r="D9195" s="1" t="n">
        <v>44910</v>
      </c>
      <c r="E9195" s="1" t="n">
        <v>46326</v>
      </c>
      <c r="F9195" t="inlineStr">
        <is>
          <t>GÄVLEBORGS LÄN</t>
        </is>
      </c>
      <c r="G9195" t="inlineStr">
        <is>
          <t>GÄVLE</t>
        </is>
      </c>
      <c r="I9195" t="n">
        <v>1.9</v>
      </c>
      <c r="J9195" t="n">
        <v>0</v>
      </c>
      <c r="K9195" t="n">
        <v>0</v>
      </c>
      <c r="L9195" t="n">
        <v>0</v>
      </c>
      <c r="M9195" t="n">
        <v>0</v>
      </c>
      <c r="N9195" t="n">
        <v>0</v>
      </c>
      <c r="O9195" t="n">
        <v>0</v>
      </c>
      <c r="P9195" t="n">
        <v>0</v>
      </c>
      <c r="Q9195" t="n">
        <v>0</v>
      </c>
      <c r="R9195" t="n">
        <v>0</v>
      </c>
      <c r="S9195" t="n">
        <v>0</v>
      </c>
      <c r="T9195" t="n">
        <v>0</v>
      </c>
      <c r="U9195" t="n">
        <v>0</v>
      </c>
      <c r="V9195" s="2" t="inlineStr"/>
    </row>
    <row r="9196" ht="15" customHeight="1">
      <c r="A9196" t="inlineStr">
        <is>
          <t>A 23657-2023</t>
        </is>
      </c>
      <c r="B9196" t="inlineStr">
        <is>
          <t>avverkningsanmälan</t>
        </is>
      </c>
      <c r="C9196" t="inlineStr">
        <is>
          <t>Föryngringsavverkning</t>
        </is>
      </c>
      <c r="D9196" s="1" t="n">
        <v>45077</v>
      </c>
      <c r="E9196" s="1" t="n">
        <v>46326</v>
      </c>
      <c r="F9196" t="inlineStr">
        <is>
          <t>GÄVLEBORGS LÄN</t>
        </is>
      </c>
      <c r="G9196" t="inlineStr">
        <is>
          <t>HUDIKSVALL</t>
        </is>
      </c>
      <c r="I9196" t="n">
        <v>1.3</v>
      </c>
      <c r="J9196" t="n">
        <v>0</v>
      </c>
      <c r="K9196" t="n">
        <v>0</v>
      </c>
      <c r="L9196" t="n">
        <v>0</v>
      </c>
      <c r="M9196" t="n">
        <v>0</v>
      </c>
      <c r="N9196" t="n">
        <v>0</v>
      </c>
      <c r="O9196" t="n">
        <v>0</v>
      </c>
      <c r="P9196" t="n">
        <v>0</v>
      </c>
      <c r="Q9196" t="n">
        <v>0</v>
      </c>
      <c r="R9196" t="n">
        <v>0</v>
      </c>
      <c r="S9196" t="n">
        <v>0</v>
      </c>
      <c r="T9196" t="n">
        <v>0</v>
      </c>
      <c r="U9196" t="n">
        <v>0</v>
      </c>
      <c r="V9196" s="2" t="inlineStr"/>
    </row>
    <row r="9197" ht="15" customHeight="1">
      <c r="A9197" t="inlineStr">
        <is>
          <t>A 2592-2023</t>
        </is>
      </c>
      <c r="B9197" t="inlineStr">
        <is>
          <t>avverkningsanmälan</t>
        </is>
      </c>
      <c r="C9197" t="inlineStr">
        <is>
          <t>Föryngringsavverkning</t>
        </is>
      </c>
      <c r="D9197" s="1" t="n">
        <v>44943</v>
      </c>
      <c r="E9197" s="1" t="n">
        <v>46326</v>
      </c>
      <c r="F9197" t="inlineStr">
        <is>
          <t>GÄVLEBORGS LÄN</t>
        </is>
      </c>
      <c r="G9197" t="inlineStr">
        <is>
          <t>NORDANSTIG</t>
        </is>
      </c>
      <c r="I9197" t="n">
        <v>4.1</v>
      </c>
      <c r="J9197" t="n">
        <v>0</v>
      </c>
      <c r="K9197" t="n">
        <v>0</v>
      </c>
      <c r="L9197" t="n">
        <v>0</v>
      </c>
      <c r="M9197" t="n">
        <v>0</v>
      </c>
      <c r="N9197" t="n">
        <v>0</v>
      </c>
      <c r="O9197" t="n">
        <v>0</v>
      </c>
      <c r="P9197" t="n">
        <v>0</v>
      </c>
      <c r="Q9197" t="n">
        <v>0</v>
      </c>
      <c r="R9197" t="n">
        <v>0</v>
      </c>
      <c r="S9197" t="n">
        <v>0</v>
      </c>
      <c r="T9197" t="n">
        <v>0</v>
      </c>
      <c r="U9197" t="n">
        <v>0</v>
      </c>
      <c r="V9197" s="2" t="inlineStr"/>
    </row>
    <row r="9198" ht="15" customHeight="1">
      <c r="A9198" t="inlineStr">
        <is>
          <t>A 11956-2023</t>
        </is>
      </c>
      <c r="B9198" t="inlineStr">
        <is>
          <t>avverkningsanmälan</t>
        </is>
      </c>
      <c r="C9198" t="inlineStr">
        <is>
          <t>Föryngringsavverkning</t>
        </is>
      </c>
      <c r="D9198" s="1" t="n">
        <v>44995</v>
      </c>
      <c r="E9198" s="1" t="n">
        <v>46326</v>
      </c>
      <c r="F9198" t="inlineStr">
        <is>
          <t>GÄVLEBORGS LÄN</t>
        </is>
      </c>
      <c r="G9198" t="inlineStr">
        <is>
          <t>BOLLNÄS</t>
        </is>
      </c>
      <c r="I9198" t="n">
        <v>3.2</v>
      </c>
      <c r="J9198" t="n">
        <v>0</v>
      </c>
      <c r="K9198" t="n">
        <v>0</v>
      </c>
      <c r="L9198" t="n">
        <v>0</v>
      </c>
      <c r="M9198" t="n">
        <v>0</v>
      </c>
      <c r="N9198" t="n">
        <v>0</v>
      </c>
      <c r="O9198" t="n">
        <v>0</v>
      </c>
      <c r="P9198" t="n">
        <v>0</v>
      </c>
      <c r="Q9198" t="n">
        <v>0</v>
      </c>
      <c r="R9198" t="n">
        <v>0</v>
      </c>
      <c r="S9198" t="n">
        <v>0</v>
      </c>
      <c r="T9198" t="n">
        <v>0</v>
      </c>
      <c r="U9198" t="n">
        <v>0</v>
      </c>
      <c r="V9198" s="2" t="inlineStr"/>
    </row>
    <row r="9199" ht="15" customHeight="1">
      <c r="A9199" t="inlineStr">
        <is>
          <t>A 30007-2026</t>
        </is>
      </c>
      <c r="B9199" t="inlineStr">
        <is>
          <t>avverkningsanmälan</t>
        </is>
      </c>
      <c r="C9199" t="inlineStr">
        <is>
          <t>Föryngringsavverkning</t>
        </is>
      </c>
      <c r="D9199" s="1" t="n">
        <v>46205</v>
      </c>
      <c r="E9199" s="1" t="n">
        <v>46326</v>
      </c>
      <c r="F9199" t="inlineStr">
        <is>
          <t>GÄVLEBORGS LÄN</t>
        </is>
      </c>
      <c r="G9199" t="inlineStr">
        <is>
          <t>OVANÅKER</t>
        </is>
      </c>
      <c r="I9199" t="n">
        <v>5.3</v>
      </c>
      <c r="J9199" t="n">
        <v>0</v>
      </c>
      <c r="K9199" t="n">
        <v>0</v>
      </c>
      <c r="L9199" t="n">
        <v>0</v>
      </c>
      <c r="M9199" t="n">
        <v>0</v>
      </c>
      <c r="N9199" t="n">
        <v>0</v>
      </c>
      <c r="O9199" t="n">
        <v>0</v>
      </c>
      <c r="P9199" t="n">
        <v>0</v>
      </c>
      <c r="Q9199" t="n">
        <v>0</v>
      </c>
      <c r="R9199" t="n">
        <v>0</v>
      </c>
      <c r="S9199" t="n">
        <v>0</v>
      </c>
      <c r="T9199" t="n">
        <v>0</v>
      </c>
      <c r="U9199" t="n">
        <v>0</v>
      </c>
      <c r="V9199" s="2" t="inlineStr"/>
    </row>
    <row r="9200" ht="15" customHeight="1">
      <c r="A9200" t="inlineStr">
        <is>
          <t>A 3626-2023</t>
        </is>
      </c>
      <c r="B9200" t="inlineStr">
        <is>
          <t>avverkningsanmälan</t>
        </is>
      </c>
      <c r="C9200" t="inlineStr">
        <is>
          <t>Föryngringsavverkning</t>
        </is>
      </c>
      <c r="D9200" s="1" t="n">
        <v>44950</v>
      </c>
      <c r="E9200" s="1" t="n">
        <v>46326</v>
      </c>
      <c r="F9200" t="inlineStr">
        <is>
          <t>GÄVLEBORGS LÄN</t>
        </is>
      </c>
      <c r="G9200" t="inlineStr">
        <is>
          <t>OCKELBO</t>
        </is>
      </c>
      <c r="I9200" t="n">
        <v>3.1</v>
      </c>
      <c r="J9200" t="n">
        <v>0</v>
      </c>
      <c r="K9200" t="n">
        <v>0</v>
      </c>
      <c r="L9200" t="n">
        <v>0</v>
      </c>
      <c r="M9200" t="n">
        <v>0</v>
      </c>
      <c r="N9200" t="n">
        <v>0</v>
      </c>
      <c r="O9200" t="n">
        <v>0</v>
      </c>
      <c r="P9200" t="n">
        <v>0</v>
      </c>
      <c r="Q9200" t="n">
        <v>0</v>
      </c>
      <c r="R9200" t="n">
        <v>0</v>
      </c>
      <c r="S9200" t="n">
        <v>0</v>
      </c>
      <c r="T9200" t="n">
        <v>0</v>
      </c>
      <c r="U9200" t="n">
        <v>0</v>
      </c>
      <c r="V9200" s="2" t="inlineStr"/>
    </row>
    <row r="9201" ht="15" customHeight="1">
      <c r="A9201" t="inlineStr">
        <is>
          <t>A 41100-2024</t>
        </is>
      </c>
      <c r="B9201" t="inlineStr">
        <is>
          <t>avverkningsanmälan</t>
        </is>
      </c>
      <c r="C9201" t="inlineStr">
        <is>
          <t>Föryngringsavverkning</t>
        </is>
      </c>
      <c r="D9201" s="1" t="n">
        <v>45559</v>
      </c>
      <c r="E9201" s="1" t="n">
        <v>46326</v>
      </c>
      <c r="F9201" t="inlineStr">
        <is>
          <t>GÄVLEBORGS LÄN</t>
        </is>
      </c>
      <c r="G9201" t="inlineStr">
        <is>
          <t>GÄVLE</t>
        </is>
      </c>
      <c r="I9201" t="n">
        <v>0.9</v>
      </c>
      <c r="J9201" t="n">
        <v>0</v>
      </c>
      <c r="K9201" t="n">
        <v>0</v>
      </c>
      <c r="L9201" t="n">
        <v>0</v>
      </c>
      <c r="M9201" t="n">
        <v>0</v>
      </c>
      <c r="N9201" t="n">
        <v>0</v>
      </c>
      <c r="O9201" t="n">
        <v>0</v>
      </c>
      <c r="P9201" t="n">
        <v>0</v>
      </c>
      <c r="Q9201" t="n">
        <v>0</v>
      </c>
      <c r="R9201" t="n">
        <v>0</v>
      </c>
      <c r="S9201" t="n">
        <v>0</v>
      </c>
      <c r="T9201" t="n">
        <v>0</v>
      </c>
      <c r="U9201" t="n">
        <v>0</v>
      </c>
      <c r="V9201" s="2" t="inlineStr"/>
    </row>
    <row r="9202" ht="15" customHeight="1">
      <c r="A9202" t="inlineStr">
        <is>
          <t>A 4300-2024</t>
        </is>
      </c>
      <c r="B9202" t="inlineStr">
        <is>
          <t>avverkningsanmälan</t>
        </is>
      </c>
      <c r="C9202" t="inlineStr">
        <is>
          <t>Föryngringsavverkning</t>
        </is>
      </c>
      <c r="D9202" s="1" t="n">
        <v>45324</v>
      </c>
      <c r="E9202" s="1" t="n">
        <v>46326</v>
      </c>
      <c r="F9202" t="inlineStr">
        <is>
          <t>GÄVLEBORGS LÄN</t>
        </is>
      </c>
      <c r="G9202" t="inlineStr">
        <is>
          <t>HUDIKSVALL</t>
        </is>
      </c>
      <c r="I9202" t="n">
        <v>3.6</v>
      </c>
      <c r="J9202" t="n">
        <v>0</v>
      </c>
      <c r="K9202" t="n">
        <v>0</v>
      </c>
      <c r="L9202" t="n">
        <v>0</v>
      </c>
      <c r="M9202" t="n">
        <v>0</v>
      </c>
      <c r="N9202" t="n">
        <v>0</v>
      </c>
      <c r="O9202" t="n">
        <v>0</v>
      </c>
      <c r="P9202" t="n">
        <v>0</v>
      </c>
      <c r="Q9202" t="n">
        <v>0</v>
      </c>
      <c r="R9202" t="n">
        <v>0</v>
      </c>
      <c r="S9202" t="n">
        <v>0</v>
      </c>
      <c r="T9202" t="n">
        <v>0</v>
      </c>
      <c r="U9202" t="n">
        <v>0</v>
      </c>
      <c r="V9202" s="2" t="inlineStr"/>
    </row>
    <row r="9203" ht="15" customHeight="1">
      <c r="A9203" t="inlineStr">
        <is>
          <t>A 29808-2026</t>
        </is>
      </c>
      <c r="B9203" t="inlineStr">
        <is>
          <t>avverkningsanmälan</t>
        </is>
      </c>
      <c r="C9203" t="inlineStr">
        <is>
          <t>Föryngringsavverkning</t>
        </is>
      </c>
      <c r="D9203" s="1" t="n">
        <v>46205</v>
      </c>
      <c r="E9203" s="1" t="n">
        <v>46326</v>
      </c>
      <c r="F9203" t="inlineStr">
        <is>
          <t>GÄVLEBORGS LÄN</t>
        </is>
      </c>
      <c r="G9203" t="inlineStr">
        <is>
          <t>HUDIKSVALL</t>
        </is>
      </c>
      <c r="I9203" t="n">
        <v>1.2</v>
      </c>
      <c r="J9203" t="n">
        <v>0</v>
      </c>
      <c r="K9203" t="n">
        <v>0</v>
      </c>
      <c r="L9203" t="n">
        <v>0</v>
      </c>
      <c r="M9203" t="n">
        <v>0</v>
      </c>
      <c r="N9203" t="n">
        <v>0</v>
      </c>
      <c r="O9203" t="n">
        <v>0</v>
      </c>
      <c r="P9203" t="n">
        <v>0</v>
      </c>
      <c r="Q9203" t="n">
        <v>0</v>
      </c>
      <c r="R9203" t="n">
        <v>0</v>
      </c>
      <c r="S9203" t="n">
        <v>0</v>
      </c>
      <c r="T9203" t="n">
        <v>0</v>
      </c>
      <c r="U9203" t="n">
        <v>0</v>
      </c>
      <c r="V9203" s="2" t="inlineStr"/>
    </row>
    <row r="9204" ht="15" customHeight="1">
      <c r="A9204" t="inlineStr">
        <is>
          <t>A 31008-2026</t>
        </is>
      </c>
      <c r="B9204" t="inlineStr">
        <is>
          <t>avverkningsanmälan</t>
        </is>
      </c>
      <c r="C9204" t="inlineStr">
        <is>
          <t>Avverkning för annat ändamål</t>
        </is>
      </c>
      <c r="D9204" s="1" t="n">
        <v>46206</v>
      </c>
      <c r="E9204" s="1" t="n">
        <v>46326</v>
      </c>
      <c r="F9204" t="inlineStr">
        <is>
          <t>GÄVLEBORGS LÄN</t>
        </is>
      </c>
      <c r="G9204" t="inlineStr">
        <is>
          <t>LJUSDAL</t>
        </is>
      </c>
      <c r="I9204" t="n">
        <v>0.5</v>
      </c>
      <c r="J9204" t="n">
        <v>0</v>
      </c>
      <c r="K9204" t="n">
        <v>0</v>
      </c>
      <c r="L9204" t="n">
        <v>0</v>
      </c>
      <c r="M9204" t="n">
        <v>0</v>
      </c>
      <c r="N9204" t="n">
        <v>0</v>
      </c>
      <c r="O9204" t="n">
        <v>0</v>
      </c>
      <c r="P9204" t="n">
        <v>0</v>
      </c>
      <c r="Q9204" t="n">
        <v>0</v>
      </c>
      <c r="R9204" t="n">
        <v>0</v>
      </c>
      <c r="S9204" t="n">
        <v>0</v>
      </c>
      <c r="T9204" t="n">
        <v>0</v>
      </c>
      <c r="U9204" t="n">
        <v>0</v>
      </c>
      <c r="V9204" s="2" t="inlineStr"/>
    </row>
    <row r="9205" ht="15" customHeight="1">
      <c r="A9205" t="inlineStr">
        <is>
          <t>A 29910-2026</t>
        </is>
      </c>
      <c r="B9205" t="inlineStr">
        <is>
          <t>avverkningsanmälan</t>
        </is>
      </c>
      <c r="C9205" t="inlineStr">
        <is>
          <t>Föryngringsavverkning</t>
        </is>
      </c>
      <c r="D9205" s="1" t="n">
        <v>46205</v>
      </c>
      <c r="E9205" s="1" t="n">
        <v>46326</v>
      </c>
      <c r="F9205" t="inlineStr">
        <is>
          <t>GÄVLEBORGS LÄN</t>
        </is>
      </c>
      <c r="G9205" t="inlineStr">
        <is>
          <t>OVANÅKER</t>
        </is>
      </c>
      <c r="H9205" t="inlineStr">
        <is>
          <t>Sveaskog</t>
        </is>
      </c>
      <c r="I9205" t="n">
        <v>10.8</v>
      </c>
      <c r="J9205" t="n">
        <v>0</v>
      </c>
      <c r="K9205" t="n">
        <v>0</v>
      </c>
      <c r="L9205" t="n">
        <v>0</v>
      </c>
      <c r="M9205" t="n">
        <v>0</v>
      </c>
      <c r="N9205" t="n">
        <v>0</v>
      </c>
      <c r="O9205" t="n">
        <v>0</v>
      </c>
      <c r="P9205" t="n">
        <v>0</v>
      </c>
      <c r="Q9205" t="n">
        <v>0</v>
      </c>
      <c r="R9205" t="n">
        <v>0</v>
      </c>
      <c r="S9205" t="n">
        <v>0</v>
      </c>
      <c r="T9205" t="n">
        <v>0</v>
      </c>
      <c r="U9205" t="n">
        <v>0</v>
      </c>
      <c r="V9205" s="2" t="inlineStr"/>
    </row>
    <row r="9206" ht="15" customHeight="1">
      <c r="A9206" t="inlineStr">
        <is>
          <t>A 30345-2026</t>
        </is>
      </c>
      <c r="B9206" t="inlineStr">
        <is>
          <t>avverkningsanmälan</t>
        </is>
      </c>
      <c r="C9206" t="inlineStr">
        <is>
          <t>Föryngringsavverkning</t>
        </is>
      </c>
      <c r="D9206" s="1" t="n">
        <v>46209</v>
      </c>
      <c r="E9206" s="1" t="n">
        <v>46326</v>
      </c>
      <c r="F9206" t="inlineStr">
        <is>
          <t>GÄVLEBORGS LÄN</t>
        </is>
      </c>
      <c r="G9206" t="inlineStr">
        <is>
          <t>HUDIKSVALL</t>
        </is>
      </c>
      <c r="I9206" t="n">
        <v>2.7</v>
      </c>
      <c r="J9206" t="n">
        <v>0</v>
      </c>
      <c r="K9206" t="n">
        <v>0</v>
      </c>
      <c r="L9206" t="n">
        <v>0</v>
      </c>
      <c r="M9206" t="n">
        <v>0</v>
      </c>
      <c r="N9206" t="n">
        <v>0</v>
      </c>
      <c r="O9206" t="n">
        <v>0</v>
      </c>
      <c r="P9206" t="n">
        <v>0</v>
      </c>
      <c r="Q9206" t="n">
        <v>0</v>
      </c>
      <c r="R9206" t="n">
        <v>0</v>
      </c>
      <c r="S9206" t="n">
        <v>0</v>
      </c>
      <c r="T9206" t="n">
        <v>0</v>
      </c>
      <c r="U9206" t="n">
        <v>0</v>
      </c>
      <c r="V9206" s="2" t="inlineStr"/>
    </row>
    <row r="9207" ht="15" customHeight="1">
      <c r="A9207" t="inlineStr">
        <is>
          <t>A 34228-2023</t>
        </is>
      </c>
      <c r="B9207" t="inlineStr">
        <is>
          <t>avverkningsanmälan</t>
        </is>
      </c>
      <c r="C9207" t="inlineStr">
        <is>
          <t>Föryngringsavverkning</t>
        </is>
      </c>
      <c r="D9207" s="1" t="n">
        <v>45127</v>
      </c>
      <c r="E9207" s="1" t="n">
        <v>46326</v>
      </c>
      <c r="F9207" t="inlineStr">
        <is>
          <t>GÄVLEBORGS LÄN</t>
        </is>
      </c>
      <c r="G9207" t="inlineStr">
        <is>
          <t>LJUSDAL</t>
        </is>
      </c>
      <c r="I9207" t="n">
        <v>1</v>
      </c>
      <c r="J9207" t="n">
        <v>0</v>
      </c>
      <c r="K9207" t="n">
        <v>0</v>
      </c>
      <c r="L9207" t="n">
        <v>0</v>
      </c>
      <c r="M9207" t="n">
        <v>0</v>
      </c>
      <c r="N9207" t="n">
        <v>0</v>
      </c>
      <c r="O9207" t="n">
        <v>0</v>
      </c>
      <c r="P9207" t="n">
        <v>0</v>
      </c>
      <c r="Q9207" t="n">
        <v>0</v>
      </c>
      <c r="R9207" t="n">
        <v>0</v>
      </c>
      <c r="S9207" t="n">
        <v>0</v>
      </c>
      <c r="T9207" t="n">
        <v>0</v>
      </c>
      <c r="U9207" t="n">
        <v>0</v>
      </c>
      <c r="V9207" s="2" t="inlineStr"/>
    </row>
    <row r="9208" ht="15" customHeight="1">
      <c r="A9208" t="inlineStr">
        <is>
          <t>A 30431-2026</t>
        </is>
      </c>
      <c r="B9208" t="inlineStr">
        <is>
          <t>avverkningsanmälan</t>
        </is>
      </c>
      <c r="C9208" t="inlineStr">
        <is>
          <t>Avverkning för annat ändamål</t>
        </is>
      </c>
      <c r="D9208" s="1" t="n">
        <v>46209</v>
      </c>
      <c r="E9208" s="1" t="n">
        <v>46326</v>
      </c>
      <c r="F9208" t="inlineStr">
        <is>
          <t>GÄVLEBORGS LÄN</t>
        </is>
      </c>
      <c r="G9208" t="inlineStr">
        <is>
          <t>NORDANSTIG</t>
        </is>
      </c>
      <c r="I9208" t="n">
        <v>0.4</v>
      </c>
      <c r="J9208" t="n">
        <v>0</v>
      </c>
      <c r="K9208" t="n">
        <v>0</v>
      </c>
      <c r="L9208" t="n">
        <v>0</v>
      </c>
      <c r="M9208" t="n">
        <v>0</v>
      </c>
      <c r="N9208" t="n">
        <v>0</v>
      </c>
      <c r="O9208" t="n">
        <v>0</v>
      </c>
      <c r="P9208" t="n">
        <v>0</v>
      </c>
      <c r="Q9208" t="n">
        <v>0</v>
      </c>
      <c r="R9208" t="n">
        <v>0</v>
      </c>
      <c r="S9208" t="n">
        <v>0</v>
      </c>
      <c r="T9208" t="n">
        <v>0</v>
      </c>
      <c r="U9208" t="n">
        <v>0</v>
      </c>
      <c r="V9208" s="2" t="inlineStr"/>
    </row>
    <row r="9209" ht="15" customHeight="1">
      <c r="A9209" t="inlineStr">
        <is>
          <t>A 30443-2026</t>
        </is>
      </c>
      <c r="B9209" t="inlineStr">
        <is>
          <t>avverkningsanmälan</t>
        </is>
      </c>
      <c r="C9209" t="inlineStr">
        <is>
          <t>Föryngringsavverkning</t>
        </is>
      </c>
      <c r="D9209" s="1" t="n">
        <v>46209</v>
      </c>
      <c r="E9209" s="1" t="n">
        <v>46326</v>
      </c>
      <c r="F9209" t="inlineStr">
        <is>
          <t>GÄVLEBORGS LÄN</t>
        </is>
      </c>
      <c r="G9209" t="inlineStr">
        <is>
          <t>OVANÅKER</t>
        </is>
      </c>
      <c r="I9209" t="n">
        <v>0.6</v>
      </c>
      <c r="J9209" t="n">
        <v>0</v>
      </c>
      <c r="K9209" t="n">
        <v>0</v>
      </c>
      <c r="L9209" t="n">
        <v>0</v>
      </c>
      <c r="M9209" t="n">
        <v>0</v>
      </c>
      <c r="N9209" t="n">
        <v>0</v>
      </c>
      <c r="O9209" t="n">
        <v>0</v>
      </c>
      <c r="P9209" t="n">
        <v>0</v>
      </c>
      <c r="Q9209" t="n">
        <v>0</v>
      </c>
      <c r="R9209" t="n">
        <v>0</v>
      </c>
      <c r="S9209" t="n">
        <v>0</v>
      </c>
      <c r="T9209" t="n">
        <v>0</v>
      </c>
      <c r="U9209" t="n">
        <v>0</v>
      </c>
      <c r="V9209" s="2" t="inlineStr"/>
    </row>
    <row r="9210" ht="15" customHeight="1">
      <c r="A9210" t="inlineStr">
        <is>
          <t>A 30383-2026</t>
        </is>
      </c>
      <c r="B9210" t="inlineStr">
        <is>
          <t>avverkningsanmälan</t>
        </is>
      </c>
      <c r="C9210" t="inlineStr">
        <is>
          <t>Föryngringsavverkning</t>
        </is>
      </c>
      <c r="D9210" s="1" t="n">
        <v>46209</v>
      </c>
      <c r="E9210" s="1" t="n">
        <v>46326</v>
      </c>
      <c r="F9210" t="inlineStr">
        <is>
          <t>GÄVLEBORGS LÄN</t>
        </is>
      </c>
      <c r="G9210" t="inlineStr">
        <is>
          <t>BOLLNÄS</t>
        </is>
      </c>
      <c r="I9210" t="n">
        <v>0.9</v>
      </c>
      <c r="J9210" t="n">
        <v>0</v>
      </c>
      <c r="K9210" t="n">
        <v>0</v>
      </c>
      <c r="L9210" t="n">
        <v>0</v>
      </c>
      <c r="M9210" t="n">
        <v>0</v>
      </c>
      <c r="N9210" t="n">
        <v>0</v>
      </c>
      <c r="O9210" t="n">
        <v>0</v>
      </c>
      <c r="P9210" t="n">
        <v>0</v>
      </c>
      <c r="Q9210" t="n">
        <v>0</v>
      </c>
      <c r="R9210" t="n">
        <v>0</v>
      </c>
      <c r="S9210" t="n">
        <v>0</v>
      </c>
      <c r="T9210" t="n">
        <v>0</v>
      </c>
      <c r="U9210" t="n">
        <v>0</v>
      </c>
      <c r="V9210" s="2" t="inlineStr"/>
    </row>
    <row r="9211" ht="15" customHeight="1">
      <c r="A9211" t="inlineStr">
        <is>
          <t>A 43075-2024</t>
        </is>
      </c>
      <c r="B9211" t="inlineStr">
        <is>
          <t>avverkningsanmälan</t>
        </is>
      </c>
      <c r="C9211" t="inlineStr">
        <is>
          <t>Föryngringsavverkning</t>
        </is>
      </c>
      <c r="D9211" s="1" t="n">
        <v>45567</v>
      </c>
      <c r="E9211" s="1" t="n">
        <v>46326</v>
      </c>
      <c r="F9211" t="inlineStr">
        <is>
          <t>GÄVLEBORGS LÄN</t>
        </is>
      </c>
      <c r="G9211" t="inlineStr">
        <is>
          <t>NORDANSTIG</t>
        </is>
      </c>
      <c r="I9211" t="n">
        <v>0.8</v>
      </c>
      <c r="J9211" t="n">
        <v>0</v>
      </c>
      <c r="K9211" t="n">
        <v>0</v>
      </c>
      <c r="L9211" t="n">
        <v>0</v>
      </c>
      <c r="M9211" t="n">
        <v>0</v>
      </c>
      <c r="N9211" t="n">
        <v>0</v>
      </c>
      <c r="O9211" t="n">
        <v>0</v>
      </c>
      <c r="P9211" t="n">
        <v>0</v>
      </c>
      <c r="Q9211" t="n">
        <v>0</v>
      </c>
      <c r="R9211" t="n">
        <v>0</v>
      </c>
      <c r="S9211" t="n">
        <v>0</v>
      </c>
      <c r="T9211" t="n">
        <v>0</v>
      </c>
      <c r="U9211" t="n">
        <v>0</v>
      </c>
      <c r="V9211" s="2" t="inlineStr"/>
    </row>
    <row r="9212" ht="15" customHeight="1">
      <c r="A9212" t="inlineStr">
        <is>
          <t>A 30491-2026</t>
        </is>
      </c>
      <c r="B9212" t="inlineStr">
        <is>
          <t>avverkningsanmälan</t>
        </is>
      </c>
      <c r="C9212" t="inlineStr">
        <is>
          <t>Föryngringsavverkning</t>
        </is>
      </c>
      <c r="D9212" s="1" t="n">
        <v>46210</v>
      </c>
      <c r="E9212" s="1" t="n">
        <v>46326</v>
      </c>
      <c r="F9212" t="inlineStr">
        <is>
          <t>GÄVLEBORGS LÄN</t>
        </is>
      </c>
      <c r="G9212" t="inlineStr">
        <is>
          <t>HUDIKSVALL</t>
        </is>
      </c>
      <c r="I9212" t="n">
        <v>0.4</v>
      </c>
      <c r="J9212" t="n">
        <v>0</v>
      </c>
      <c r="K9212" t="n">
        <v>0</v>
      </c>
      <c r="L9212" t="n">
        <v>0</v>
      </c>
      <c r="M9212" t="n">
        <v>0</v>
      </c>
      <c r="N9212" t="n">
        <v>0</v>
      </c>
      <c r="O9212" t="n">
        <v>0</v>
      </c>
      <c r="P9212" t="n">
        <v>0</v>
      </c>
      <c r="Q9212" t="n">
        <v>0</v>
      </c>
      <c r="R9212" t="n">
        <v>0</v>
      </c>
      <c r="S9212" t="n">
        <v>0</v>
      </c>
      <c r="T9212" t="n">
        <v>0</v>
      </c>
      <c r="U9212" t="n">
        <v>0</v>
      </c>
      <c r="V9212" s="2" t="inlineStr"/>
    </row>
    <row r="9213" ht="15" customHeight="1">
      <c r="A9213" t="inlineStr">
        <is>
          <t>A 48907-2024</t>
        </is>
      </c>
      <c r="B9213" t="inlineStr">
        <is>
          <t>avverkningsanmälan</t>
        </is>
      </c>
      <c r="C9213" t="inlineStr">
        <is>
          <t>Föryngringsavverkning</t>
        </is>
      </c>
      <c r="D9213" s="1" t="n">
        <v>45594</v>
      </c>
      <c r="E9213" s="1" t="n">
        <v>46326</v>
      </c>
      <c r="F9213" t="inlineStr">
        <is>
          <t>GÄVLEBORGS LÄN</t>
        </is>
      </c>
      <c r="G9213" t="inlineStr">
        <is>
          <t>OVANÅKER</t>
        </is>
      </c>
      <c r="I9213" t="n">
        <v>3.7</v>
      </c>
      <c r="J9213" t="n">
        <v>0</v>
      </c>
      <c r="K9213" t="n">
        <v>0</v>
      </c>
      <c r="L9213" t="n">
        <v>0</v>
      </c>
      <c r="M9213" t="n">
        <v>0</v>
      </c>
      <c r="N9213" t="n">
        <v>0</v>
      </c>
      <c r="O9213" t="n">
        <v>0</v>
      </c>
      <c r="P9213" t="n">
        <v>0</v>
      </c>
      <c r="Q9213" t="n">
        <v>0</v>
      </c>
      <c r="R9213" t="n">
        <v>0</v>
      </c>
      <c r="S9213" t="n">
        <v>0</v>
      </c>
      <c r="T9213" t="n">
        <v>0</v>
      </c>
      <c r="U9213" t="n">
        <v>0</v>
      </c>
      <c r="V9213" s="2" t="inlineStr"/>
    </row>
    <row r="9214" ht="15" customHeight="1">
      <c r="A9214" t="inlineStr">
        <is>
          <t>A 73331-2021</t>
        </is>
      </c>
      <c r="B9214" t="inlineStr">
        <is>
          <t>avverkningsanmälan</t>
        </is>
      </c>
      <c r="C9214" t="inlineStr">
        <is>
          <t>Föryngringsavverkning</t>
        </is>
      </c>
      <c r="D9214" s="1" t="n">
        <v>44551</v>
      </c>
      <c r="E9214" s="1" t="n">
        <v>46326</v>
      </c>
      <c r="F9214" t="inlineStr">
        <is>
          <t>GÄVLEBORGS LÄN</t>
        </is>
      </c>
      <c r="G9214" t="inlineStr">
        <is>
          <t>SANDVIKEN</t>
        </is>
      </c>
      <c r="H9214" t="inlineStr">
        <is>
          <t>Bergvik skog öst AB</t>
        </is>
      </c>
      <c r="I9214" t="n">
        <v>1.3</v>
      </c>
      <c r="J9214" t="n">
        <v>0</v>
      </c>
      <c r="K9214" t="n">
        <v>0</v>
      </c>
      <c r="L9214" t="n">
        <v>0</v>
      </c>
      <c r="M9214" t="n">
        <v>0</v>
      </c>
      <c r="N9214" t="n">
        <v>0</v>
      </c>
      <c r="O9214" t="n">
        <v>0</v>
      </c>
      <c r="P9214" t="n">
        <v>0</v>
      </c>
      <c r="Q9214" t="n">
        <v>0</v>
      </c>
      <c r="R9214" t="n">
        <v>0</v>
      </c>
      <c r="S9214" t="n">
        <v>0</v>
      </c>
      <c r="T9214" t="n">
        <v>0</v>
      </c>
      <c r="U9214" t="n">
        <v>0</v>
      </c>
      <c r="V9214" s="2" t="inlineStr"/>
    </row>
    <row r="9215" ht="15" customHeight="1">
      <c r="A9215" t="inlineStr">
        <is>
          <t>A 58891-2024</t>
        </is>
      </c>
      <c r="B9215" t="inlineStr">
        <is>
          <t>avverkningsanmälan</t>
        </is>
      </c>
      <c r="C9215" t="inlineStr">
        <is>
          <t>Föryngringsavverkning</t>
        </is>
      </c>
      <c r="D9215" s="1" t="n">
        <v>45636</v>
      </c>
      <c r="E9215" s="1" t="n">
        <v>46326</v>
      </c>
      <c r="F9215" t="inlineStr">
        <is>
          <t>GÄVLEBORGS LÄN</t>
        </is>
      </c>
      <c r="G9215" t="inlineStr">
        <is>
          <t>NORDANSTIG</t>
        </is>
      </c>
      <c r="H9215" t="inlineStr">
        <is>
          <t>Holmen skog AB</t>
        </is>
      </c>
      <c r="I9215" t="n">
        <v>1</v>
      </c>
      <c r="J9215" t="n">
        <v>0</v>
      </c>
      <c r="K9215" t="n">
        <v>0</v>
      </c>
      <c r="L9215" t="n">
        <v>0</v>
      </c>
      <c r="M9215" t="n">
        <v>0</v>
      </c>
      <c r="N9215" t="n">
        <v>0</v>
      </c>
      <c r="O9215" t="n">
        <v>0</v>
      </c>
      <c r="P9215" t="n">
        <v>0</v>
      </c>
      <c r="Q9215" t="n">
        <v>0</v>
      </c>
      <c r="R9215" t="n">
        <v>0</v>
      </c>
      <c r="S9215" t="n">
        <v>0</v>
      </c>
      <c r="T9215" t="n">
        <v>0</v>
      </c>
      <c r="U9215" t="n">
        <v>0</v>
      </c>
      <c r="V9215" s="2" t="inlineStr"/>
    </row>
    <row r="9216" ht="15" customHeight="1">
      <c r="A9216" t="inlineStr">
        <is>
          <t>A 30487-2026</t>
        </is>
      </c>
      <c r="B9216" t="inlineStr">
        <is>
          <t>avverkningsanmälan</t>
        </is>
      </c>
      <c r="C9216" t="inlineStr">
        <is>
          <t>Föryngringsavverkning</t>
        </is>
      </c>
      <c r="D9216" s="1" t="n">
        <v>46210</v>
      </c>
      <c r="E9216" s="1" t="n">
        <v>46326</v>
      </c>
      <c r="F9216" t="inlineStr">
        <is>
          <t>GÄVLEBORGS LÄN</t>
        </is>
      </c>
      <c r="G9216" t="inlineStr">
        <is>
          <t>OVANÅKER</t>
        </is>
      </c>
      <c r="I9216" t="n">
        <v>1.2</v>
      </c>
      <c r="J9216" t="n">
        <v>0</v>
      </c>
      <c r="K9216" t="n">
        <v>0</v>
      </c>
      <c r="L9216" t="n">
        <v>0</v>
      </c>
      <c r="M9216" t="n">
        <v>0</v>
      </c>
      <c r="N9216" t="n">
        <v>0</v>
      </c>
      <c r="O9216" t="n">
        <v>0</v>
      </c>
      <c r="P9216" t="n">
        <v>0</v>
      </c>
      <c r="Q9216" t="n">
        <v>0</v>
      </c>
      <c r="R9216" t="n">
        <v>0</v>
      </c>
      <c r="S9216" t="n">
        <v>0</v>
      </c>
      <c r="T9216" t="n">
        <v>0</v>
      </c>
      <c r="U9216" t="n">
        <v>0</v>
      </c>
      <c r="V9216" s="2" t="inlineStr"/>
    </row>
    <row r="9217" ht="15" customHeight="1">
      <c r="A9217" t="inlineStr">
        <is>
          <t>A 6432-2023</t>
        </is>
      </c>
      <c r="B9217" t="inlineStr">
        <is>
          <t>avverkningsanmälan</t>
        </is>
      </c>
      <c r="C9217" t="inlineStr">
        <is>
          <t>Föryngringsavverkning</t>
        </is>
      </c>
      <c r="D9217" s="1" t="n">
        <v>44965</v>
      </c>
      <c r="E9217" s="1" t="n">
        <v>46326</v>
      </c>
      <c r="F9217" t="inlineStr">
        <is>
          <t>GÄVLEBORGS LÄN</t>
        </is>
      </c>
      <c r="G9217" t="inlineStr">
        <is>
          <t>LJUSDAL</t>
        </is>
      </c>
      <c r="I9217" t="n">
        <v>1.8</v>
      </c>
      <c r="J9217" t="n">
        <v>0</v>
      </c>
      <c r="K9217" t="n">
        <v>0</v>
      </c>
      <c r="L9217" t="n">
        <v>0</v>
      </c>
      <c r="M9217" t="n">
        <v>0</v>
      </c>
      <c r="N9217" t="n">
        <v>0</v>
      </c>
      <c r="O9217" t="n">
        <v>0</v>
      </c>
      <c r="P9217" t="n">
        <v>0</v>
      </c>
      <c r="Q9217" t="n">
        <v>0</v>
      </c>
      <c r="R9217" t="n">
        <v>0</v>
      </c>
      <c r="S9217" t="n">
        <v>0</v>
      </c>
      <c r="T9217" t="n">
        <v>0</v>
      </c>
      <c r="U9217" t="n">
        <v>0</v>
      </c>
      <c r="V9217" s="2" t="inlineStr"/>
    </row>
    <row r="9218" ht="15" customHeight="1">
      <c r="A9218" t="inlineStr">
        <is>
          <t>A 30349-2026</t>
        </is>
      </c>
      <c r="B9218" t="inlineStr">
        <is>
          <t>avverkningsanmälan</t>
        </is>
      </c>
      <c r="C9218" t="inlineStr">
        <is>
          <t>Föryngringsavverkning</t>
        </is>
      </c>
      <c r="D9218" s="1" t="n">
        <v>46209</v>
      </c>
      <c r="E9218" s="1" t="n">
        <v>46326</v>
      </c>
      <c r="F9218" t="inlineStr">
        <is>
          <t>GÄVLEBORGS LÄN</t>
        </is>
      </c>
      <c r="G9218" t="inlineStr">
        <is>
          <t>HUDIKSVALL</t>
        </is>
      </c>
      <c r="I9218" t="n">
        <v>0.5</v>
      </c>
      <c r="J9218" t="n">
        <v>0</v>
      </c>
      <c r="K9218" t="n">
        <v>0</v>
      </c>
      <c r="L9218" t="n">
        <v>0</v>
      </c>
      <c r="M9218" t="n">
        <v>0</v>
      </c>
      <c r="N9218" t="n">
        <v>0</v>
      </c>
      <c r="O9218" t="n">
        <v>0</v>
      </c>
      <c r="P9218" t="n">
        <v>0</v>
      </c>
      <c r="Q9218" t="n">
        <v>0</v>
      </c>
      <c r="R9218" t="n">
        <v>0</v>
      </c>
      <c r="S9218" t="n">
        <v>0</v>
      </c>
      <c r="T9218" t="n">
        <v>0</v>
      </c>
      <c r="U9218" t="n">
        <v>0</v>
      </c>
      <c r="V9218" s="2" t="inlineStr"/>
    </row>
    <row r="9219" ht="15" customHeight="1">
      <c r="A9219" t="inlineStr">
        <is>
          <t>A 30352-2026</t>
        </is>
      </c>
      <c r="B9219" t="inlineStr">
        <is>
          <t>avverkningsanmälan</t>
        </is>
      </c>
      <c r="C9219" t="inlineStr">
        <is>
          <t>Föryngringsavverkning</t>
        </is>
      </c>
      <c r="D9219" s="1" t="n">
        <v>46209</v>
      </c>
      <c r="E9219" s="1" t="n">
        <v>46326</v>
      </c>
      <c r="F9219" t="inlineStr">
        <is>
          <t>GÄVLEBORGS LÄN</t>
        </is>
      </c>
      <c r="G9219" t="inlineStr">
        <is>
          <t>LJUSDAL</t>
        </is>
      </c>
      <c r="H9219" t="inlineStr">
        <is>
          <t>Bergvik skog väst AB</t>
        </is>
      </c>
      <c r="I9219" t="n">
        <v>0.9</v>
      </c>
      <c r="J9219" t="n">
        <v>0</v>
      </c>
      <c r="K9219" t="n">
        <v>0</v>
      </c>
      <c r="L9219" t="n">
        <v>0</v>
      </c>
      <c r="M9219" t="n">
        <v>0</v>
      </c>
      <c r="N9219" t="n">
        <v>0</v>
      </c>
      <c r="O9219" t="n">
        <v>0</v>
      </c>
      <c r="P9219" t="n">
        <v>0</v>
      </c>
      <c r="Q9219" t="n">
        <v>0</v>
      </c>
      <c r="R9219" t="n">
        <v>0</v>
      </c>
      <c r="S9219" t="n">
        <v>0</v>
      </c>
      <c r="T9219" t="n">
        <v>0</v>
      </c>
      <c r="U9219" t="n">
        <v>0</v>
      </c>
      <c r="V9219" s="2" t="inlineStr"/>
    </row>
    <row r="9220" ht="15" customHeight="1">
      <c r="A9220" t="inlineStr">
        <is>
          <t>A 56351-2024</t>
        </is>
      </c>
      <c r="B9220" t="inlineStr">
        <is>
          <t>avverkningsanmälan</t>
        </is>
      </c>
      <c r="C9220" t="inlineStr">
        <is>
          <t>Föryngringsavverkning</t>
        </is>
      </c>
      <c r="D9220" s="1" t="n">
        <v>45624</v>
      </c>
      <c r="E9220" s="1" t="n">
        <v>46326</v>
      </c>
      <c r="F9220" t="inlineStr">
        <is>
          <t>GÄVLEBORGS LÄN</t>
        </is>
      </c>
      <c r="G9220" t="inlineStr">
        <is>
          <t>NORDANSTIG</t>
        </is>
      </c>
      <c r="I9220" t="n">
        <v>4.2</v>
      </c>
      <c r="J9220" t="n">
        <v>0</v>
      </c>
      <c r="K9220" t="n">
        <v>0</v>
      </c>
      <c r="L9220" t="n">
        <v>0</v>
      </c>
      <c r="M9220" t="n">
        <v>0</v>
      </c>
      <c r="N9220" t="n">
        <v>0</v>
      </c>
      <c r="O9220" t="n">
        <v>0</v>
      </c>
      <c r="P9220" t="n">
        <v>0</v>
      </c>
      <c r="Q9220" t="n">
        <v>0</v>
      </c>
      <c r="R9220" t="n">
        <v>0</v>
      </c>
      <c r="S9220" t="n">
        <v>0</v>
      </c>
      <c r="T9220" t="n">
        <v>0</v>
      </c>
      <c r="U9220" t="n">
        <v>0</v>
      </c>
      <c r="V9220" s="2" t="inlineStr"/>
    </row>
    <row r="9221" ht="15" customHeight="1">
      <c r="A9221" t="inlineStr">
        <is>
          <t>A 56356-2024</t>
        </is>
      </c>
      <c r="B9221" t="inlineStr">
        <is>
          <t>avverkningsanmälan</t>
        </is>
      </c>
      <c r="C9221" t="inlineStr">
        <is>
          <t>Föryngringsavverkning</t>
        </is>
      </c>
      <c r="D9221" s="1" t="n">
        <v>45624</v>
      </c>
      <c r="E9221" s="1" t="n">
        <v>46326</v>
      </c>
      <c r="F9221" t="inlineStr">
        <is>
          <t>GÄVLEBORGS LÄN</t>
        </is>
      </c>
      <c r="G9221" t="inlineStr">
        <is>
          <t>LJUSDAL</t>
        </is>
      </c>
      <c r="I9221" t="n">
        <v>3.5</v>
      </c>
      <c r="J9221" t="n">
        <v>0</v>
      </c>
      <c r="K9221" t="n">
        <v>0</v>
      </c>
      <c r="L9221" t="n">
        <v>0</v>
      </c>
      <c r="M9221" t="n">
        <v>0</v>
      </c>
      <c r="N9221" t="n">
        <v>0</v>
      </c>
      <c r="O9221" t="n">
        <v>0</v>
      </c>
      <c r="P9221" t="n">
        <v>0</v>
      </c>
      <c r="Q9221" t="n">
        <v>0</v>
      </c>
      <c r="R9221" t="n">
        <v>0</v>
      </c>
      <c r="S9221" t="n">
        <v>0</v>
      </c>
      <c r="T9221" t="n">
        <v>0</v>
      </c>
      <c r="U9221" t="n">
        <v>0</v>
      </c>
      <c r="V9221" s="2" t="inlineStr"/>
    </row>
    <row r="9222" ht="15" customHeight="1">
      <c r="A9222" t="inlineStr">
        <is>
          <t>A 48301-2023</t>
        </is>
      </c>
      <c r="B9222" t="inlineStr">
        <is>
          <t>avverkningsanmälan</t>
        </is>
      </c>
      <c r="C9222" t="inlineStr">
        <is>
          <t>Föryngringsavverkning</t>
        </is>
      </c>
      <c r="D9222" s="1" t="n">
        <v>45205</v>
      </c>
      <c r="E9222" s="1" t="n">
        <v>46326</v>
      </c>
      <c r="F9222" t="inlineStr">
        <is>
          <t>GÄVLEBORGS LÄN</t>
        </is>
      </c>
      <c r="G9222" t="inlineStr">
        <is>
          <t>BOLLNÄS</t>
        </is>
      </c>
      <c r="I9222" t="n">
        <v>5.1</v>
      </c>
      <c r="J9222" t="n">
        <v>0</v>
      </c>
      <c r="K9222" t="n">
        <v>0</v>
      </c>
      <c r="L9222" t="n">
        <v>0</v>
      </c>
      <c r="M9222" t="n">
        <v>0</v>
      </c>
      <c r="N9222" t="n">
        <v>0</v>
      </c>
      <c r="O9222" t="n">
        <v>0</v>
      </c>
      <c r="P9222" t="n">
        <v>0</v>
      </c>
      <c r="Q9222" t="n">
        <v>0</v>
      </c>
      <c r="R9222" t="n">
        <v>0</v>
      </c>
      <c r="S9222" t="n">
        <v>0</v>
      </c>
      <c r="T9222" t="n">
        <v>0</v>
      </c>
      <c r="U9222" t="n">
        <v>0</v>
      </c>
      <c r="V9222" s="2" t="inlineStr"/>
    </row>
    <row r="9223" ht="15" customHeight="1">
      <c r="A9223" t="inlineStr">
        <is>
          <t>A 30428-2026</t>
        </is>
      </c>
      <c r="B9223" t="inlineStr">
        <is>
          <t>avverkningsanmälan</t>
        </is>
      </c>
      <c r="C9223" t="inlineStr">
        <is>
          <t>Föryngringsavverkning</t>
        </is>
      </c>
      <c r="D9223" s="1" t="n">
        <v>46209</v>
      </c>
      <c r="E9223" s="1" t="n">
        <v>46326</v>
      </c>
      <c r="F9223" t="inlineStr">
        <is>
          <t>GÄVLEBORGS LÄN</t>
        </is>
      </c>
      <c r="G9223" t="inlineStr">
        <is>
          <t>NORDANSTIG</t>
        </is>
      </c>
      <c r="I9223" t="n">
        <v>1.7</v>
      </c>
      <c r="J9223" t="n">
        <v>0</v>
      </c>
      <c r="K9223" t="n">
        <v>0</v>
      </c>
      <c r="L9223" t="n">
        <v>0</v>
      </c>
      <c r="M9223" t="n">
        <v>0</v>
      </c>
      <c r="N9223" t="n">
        <v>0</v>
      </c>
      <c r="O9223" t="n">
        <v>0</v>
      </c>
      <c r="P9223" t="n">
        <v>0</v>
      </c>
      <c r="Q9223" t="n">
        <v>0</v>
      </c>
      <c r="R9223" t="n">
        <v>0</v>
      </c>
      <c r="S9223" t="n">
        <v>0</v>
      </c>
      <c r="T9223" t="n">
        <v>0</v>
      </c>
      <c r="U9223" t="n">
        <v>0</v>
      </c>
      <c r="V9223" s="2" t="inlineStr"/>
    </row>
    <row r="9224" ht="15" customHeight="1">
      <c r="A9224" t="inlineStr">
        <is>
          <t>A 21900-2023</t>
        </is>
      </c>
      <c r="B9224" t="inlineStr">
        <is>
          <t>avverkningsanmälan</t>
        </is>
      </c>
      <c r="C9224" t="inlineStr">
        <is>
          <t>Föryngringsavverkning</t>
        </is>
      </c>
      <c r="D9224" s="1" t="n">
        <v>45068</v>
      </c>
      <c r="E9224" s="1" t="n">
        <v>46326</v>
      </c>
      <c r="F9224" t="inlineStr">
        <is>
          <t>GÄVLEBORGS LÄN</t>
        </is>
      </c>
      <c r="G9224" t="inlineStr">
        <is>
          <t>OCKELBO</t>
        </is>
      </c>
      <c r="H9224" t="inlineStr">
        <is>
          <t>Bergvik skog väst AB</t>
        </is>
      </c>
      <c r="I9224" t="n">
        <v>0.5</v>
      </c>
      <c r="J9224" t="n">
        <v>0</v>
      </c>
      <c r="K9224" t="n">
        <v>0</v>
      </c>
      <c r="L9224" t="n">
        <v>0</v>
      </c>
      <c r="M9224" t="n">
        <v>0</v>
      </c>
      <c r="N9224" t="n">
        <v>0</v>
      </c>
      <c r="O9224" t="n">
        <v>0</v>
      </c>
      <c r="P9224" t="n">
        <v>0</v>
      </c>
      <c r="Q9224" t="n">
        <v>0</v>
      </c>
      <c r="R9224" t="n">
        <v>0</v>
      </c>
      <c r="S9224" t="n">
        <v>0</v>
      </c>
      <c r="T9224" t="n">
        <v>0</v>
      </c>
      <c r="U9224" t="n">
        <v>0</v>
      </c>
      <c r="V9224" s="2" t="inlineStr"/>
    </row>
    <row r="9225" ht="15" customHeight="1">
      <c r="A9225" t="inlineStr">
        <is>
          <t>A 54007-2023</t>
        </is>
      </c>
      <c r="B9225" t="inlineStr">
        <is>
          <t>avverkningsanmälan</t>
        </is>
      </c>
      <c r="C9225" t="inlineStr">
        <is>
          <t>Föryngringsavverkning</t>
        </is>
      </c>
      <c r="D9225" s="1" t="n">
        <v>45231</v>
      </c>
      <c r="E9225" s="1" t="n">
        <v>46326</v>
      </c>
      <c r="F9225" t="inlineStr">
        <is>
          <t>GÄVLEBORGS LÄN</t>
        </is>
      </c>
      <c r="G9225" t="inlineStr">
        <is>
          <t>SÖDERHAMN</t>
        </is>
      </c>
      <c r="H9225" t="inlineStr">
        <is>
          <t>Kommuner</t>
        </is>
      </c>
      <c r="I9225" t="n">
        <v>2.6</v>
      </c>
      <c r="J9225" t="n">
        <v>0</v>
      </c>
      <c r="K9225" t="n">
        <v>0</v>
      </c>
      <c r="L9225" t="n">
        <v>0</v>
      </c>
      <c r="M9225" t="n">
        <v>0</v>
      </c>
      <c r="N9225" t="n">
        <v>0</v>
      </c>
      <c r="O9225" t="n">
        <v>0</v>
      </c>
      <c r="P9225" t="n">
        <v>0</v>
      </c>
      <c r="Q9225" t="n">
        <v>0</v>
      </c>
      <c r="R9225" t="n">
        <v>0</v>
      </c>
      <c r="S9225" t="n">
        <v>0</v>
      </c>
      <c r="T9225" t="n">
        <v>0</v>
      </c>
      <c r="U9225" t="n">
        <v>0</v>
      </c>
      <c r="V9225" s="2" t="inlineStr"/>
    </row>
    <row r="9226" ht="15" customHeight="1">
      <c r="A9226" t="inlineStr">
        <is>
          <t>A 30390-2026</t>
        </is>
      </c>
      <c r="B9226" t="inlineStr">
        <is>
          <t>avverkningsanmälan</t>
        </is>
      </c>
      <c r="C9226" t="inlineStr">
        <is>
          <t>Föryngringsavverkning</t>
        </is>
      </c>
      <c r="D9226" s="1" t="n">
        <v>46209</v>
      </c>
      <c r="E9226" s="1" t="n">
        <v>46326</v>
      </c>
      <c r="F9226" t="inlineStr">
        <is>
          <t>GÄVLEBORGS LÄN</t>
        </is>
      </c>
      <c r="G9226" t="inlineStr">
        <is>
          <t>NORDANSTIG</t>
        </is>
      </c>
      <c r="I9226" t="n">
        <v>9.199999999999999</v>
      </c>
      <c r="J9226" t="n">
        <v>0</v>
      </c>
      <c r="K9226" t="n">
        <v>0</v>
      </c>
      <c r="L9226" t="n">
        <v>0</v>
      </c>
      <c r="M9226" t="n">
        <v>0</v>
      </c>
      <c r="N9226" t="n">
        <v>0</v>
      </c>
      <c r="O9226" t="n">
        <v>0</v>
      </c>
      <c r="P9226" t="n">
        <v>0</v>
      </c>
      <c r="Q9226" t="n">
        <v>0</v>
      </c>
      <c r="R9226" t="n">
        <v>0</v>
      </c>
      <c r="S9226" t="n">
        <v>0</v>
      </c>
      <c r="T9226" t="n">
        <v>0</v>
      </c>
      <c r="U9226" t="n">
        <v>0</v>
      </c>
      <c r="V9226" s="2" t="inlineStr"/>
    </row>
    <row r="9227" ht="15" customHeight="1">
      <c r="A9227" t="inlineStr">
        <is>
          <t>A 30391-2026</t>
        </is>
      </c>
      <c r="B9227" t="inlineStr">
        <is>
          <t>avverkningsanmälan</t>
        </is>
      </c>
      <c r="C9227" t="inlineStr">
        <is>
          <t>Föryngringsavverkning</t>
        </is>
      </c>
      <c r="D9227" s="1" t="n">
        <v>46209</v>
      </c>
      <c r="E9227" s="1" t="n">
        <v>46326</v>
      </c>
      <c r="F9227" t="inlineStr">
        <is>
          <t>GÄVLEBORGS LÄN</t>
        </is>
      </c>
      <c r="G9227" t="inlineStr">
        <is>
          <t>NORDANSTIG</t>
        </is>
      </c>
      <c r="I9227" t="n">
        <v>2.1</v>
      </c>
      <c r="J9227" t="n">
        <v>0</v>
      </c>
      <c r="K9227" t="n">
        <v>0</v>
      </c>
      <c r="L9227" t="n">
        <v>0</v>
      </c>
      <c r="M9227" t="n">
        <v>0</v>
      </c>
      <c r="N9227" t="n">
        <v>0</v>
      </c>
      <c r="O9227" t="n">
        <v>0</v>
      </c>
      <c r="P9227" t="n">
        <v>0</v>
      </c>
      <c r="Q9227" t="n">
        <v>0</v>
      </c>
      <c r="R9227" t="n">
        <v>0</v>
      </c>
      <c r="S9227" t="n">
        <v>0</v>
      </c>
      <c r="T9227" t="n">
        <v>0</v>
      </c>
      <c r="U9227" t="n">
        <v>0</v>
      </c>
      <c r="V9227" s="2" t="inlineStr"/>
    </row>
    <row r="9228" ht="15" customHeight="1">
      <c r="A9228" t="inlineStr">
        <is>
          <t>A 30494-2026</t>
        </is>
      </c>
      <c r="B9228" t="inlineStr">
        <is>
          <t>avverkningsanmälan</t>
        </is>
      </c>
      <c r="C9228" t="inlineStr">
        <is>
          <t>Föryngringsavverkning</t>
        </is>
      </c>
      <c r="D9228" s="1" t="n">
        <v>46210</v>
      </c>
      <c r="E9228" s="1" t="n">
        <v>46326</v>
      </c>
      <c r="F9228" t="inlineStr">
        <is>
          <t>GÄVLEBORGS LÄN</t>
        </is>
      </c>
      <c r="G9228" t="inlineStr">
        <is>
          <t>OVANÅKER</t>
        </is>
      </c>
      <c r="H9228" t="inlineStr">
        <is>
          <t>Bergvik skog väst AB</t>
        </is>
      </c>
      <c r="I9228" t="n">
        <v>1.8</v>
      </c>
      <c r="J9228" t="n">
        <v>0</v>
      </c>
      <c r="K9228" t="n">
        <v>0</v>
      </c>
      <c r="L9228" t="n">
        <v>0</v>
      </c>
      <c r="M9228" t="n">
        <v>0</v>
      </c>
      <c r="N9228" t="n">
        <v>0</v>
      </c>
      <c r="O9228" t="n">
        <v>0</v>
      </c>
      <c r="P9228" t="n">
        <v>0</v>
      </c>
      <c r="Q9228" t="n">
        <v>0</v>
      </c>
      <c r="R9228" t="n">
        <v>0</v>
      </c>
      <c r="S9228" t="n">
        <v>0</v>
      </c>
      <c r="T9228" t="n">
        <v>0</v>
      </c>
      <c r="U9228" t="n">
        <v>0</v>
      </c>
      <c r="V9228" s="2" t="inlineStr"/>
    </row>
    <row r="9229" ht="15" customHeight="1">
      <c r="A9229" t="inlineStr">
        <is>
          <t>A 30601-2026</t>
        </is>
      </c>
      <c r="B9229" t="inlineStr">
        <is>
          <t>avverkningsanmälan</t>
        </is>
      </c>
      <c r="C9229" t="inlineStr">
        <is>
          <t>Föryngringsavverkning</t>
        </is>
      </c>
      <c r="D9229" s="1" t="n">
        <v>46210</v>
      </c>
      <c r="E9229" s="1" t="n">
        <v>46326</v>
      </c>
      <c r="F9229" t="inlineStr">
        <is>
          <t>GÄVLEBORGS LÄN</t>
        </is>
      </c>
      <c r="G9229" t="inlineStr">
        <is>
          <t>GÄVLE</t>
        </is>
      </c>
      <c r="H9229" t="inlineStr">
        <is>
          <t>Bergvik skog öst AB</t>
        </is>
      </c>
      <c r="I9229" t="n">
        <v>3.7</v>
      </c>
      <c r="J9229" t="n">
        <v>0</v>
      </c>
      <c r="K9229" t="n">
        <v>0</v>
      </c>
      <c r="L9229" t="n">
        <v>0</v>
      </c>
      <c r="M9229" t="n">
        <v>0</v>
      </c>
      <c r="N9229" t="n">
        <v>0</v>
      </c>
      <c r="O9229" t="n">
        <v>0</v>
      </c>
      <c r="P9229" t="n">
        <v>0</v>
      </c>
      <c r="Q9229" t="n">
        <v>0</v>
      </c>
      <c r="R9229" t="n">
        <v>0</v>
      </c>
      <c r="S9229" t="n">
        <v>0</v>
      </c>
      <c r="T9229" t="n">
        <v>0</v>
      </c>
      <c r="U9229" t="n">
        <v>0</v>
      </c>
      <c r="V9229" s="2" t="inlineStr"/>
    </row>
    <row r="9230" ht="15" customHeight="1">
      <c r="A9230" t="inlineStr">
        <is>
          <t>A 35122-2024</t>
        </is>
      </c>
      <c r="B9230" t="inlineStr">
        <is>
          <t>avverkningsanmälan</t>
        </is>
      </c>
      <c r="C9230" t="inlineStr">
        <is>
          <t>Avverkning för annat ändamål</t>
        </is>
      </c>
      <c r="D9230" s="1" t="n">
        <v>45530</v>
      </c>
      <c r="E9230" s="1" t="n">
        <v>46326</v>
      </c>
      <c r="F9230" t="inlineStr">
        <is>
          <t>GÄVLEBORGS LÄN</t>
        </is>
      </c>
      <c r="G9230" t="inlineStr">
        <is>
          <t>LJUSDAL</t>
        </is>
      </c>
      <c r="H9230" t="inlineStr">
        <is>
          <t>Sveaskog</t>
        </is>
      </c>
      <c r="I9230" t="n">
        <v>0.1</v>
      </c>
      <c r="J9230" t="n">
        <v>0</v>
      </c>
      <c r="K9230" t="n">
        <v>0</v>
      </c>
      <c r="L9230" t="n">
        <v>0</v>
      </c>
      <c r="M9230" t="n">
        <v>0</v>
      </c>
      <c r="N9230" t="n">
        <v>0</v>
      </c>
      <c r="O9230" t="n">
        <v>0</v>
      </c>
      <c r="P9230" t="n">
        <v>0</v>
      </c>
      <c r="Q9230" t="n">
        <v>0</v>
      </c>
      <c r="R9230" t="n">
        <v>0</v>
      </c>
      <c r="S9230" t="n">
        <v>0</v>
      </c>
      <c r="T9230" t="n">
        <v>0</v>
      </c>
      <c r="U9230" t="n">
        <v>0</v>
      </c>
      <c r="V9230" s="2" t="inlineStr"/>
    </row>
    <row r="9231" ht="15" customHeight="1">
      <c r="A9231" t="inlineStr">
        <is>
          <t>A 58112-2024</t>
        </is>
      </c>
      <c r="B9231" t="inlineStr">
        <is>
          <t>avverkningsanmälan</t>
        </is>
      </c>
      <c r="C9231" t="inlineStr">
        <is>
          <t>Föryngringsavverkning</t>
        </is>
      </c>
      <c r="D9231" s="1" t="n">
        <v>45632</v>
      </c>
      <c r="E9231" s="1" t="n">
        <v>46326</v>
      </c>
      <c r="F9231" t="inlineStr">
        <is>
          <t>GÄVLEBORGS LÄN</t>
        </is>
      </c>
      <c r="G9231" t="inlineStr">
        <is>
          <t>NORDANSTIG</t>
        </is>
      </c>
      <c r="H9231" t="inlineStr">
        <is>
          <t>Holmen skog AB</t>
        </is>
      </c>
      <c r="I9231" t="n">
        <v>2.4</v>
      </c>
      <c r="J9231" t="n">
        <v>0</v>
      </c>
      <c r="K9231" t="n">
        <v>0</v>
      </c>
      <c r="L9231" t="n">
        <v>0</v>
      </c>
      <c r="M9231" t="n">
        <v>0</v>
      </c>
      <c r="N9231" t="n">
        <v>0</v>
      </c>
      <c r="O9231" t="n">
        <v>0</v>
      </c>
      <c r="P9231" t="n">
        <v>0</v>
      </c>
      <c r="Q9231" t="n">
        <v>0</v>
      </c>
      <c r="R9231" t="n">
        <v>0</v>
      </c>
      <c r="S9231" t="n">
        <v>0</v>
      </c>
      <c r="T9231" t="n">
        <v>0</v>
      </c>
      <c r="U9231" t="n">
        <v>0</v>
      </c>
      <c r="V9231" s="2" t="inlineStr"/>
    </row>
    <row r="9232" ht="15" customHeight="1">
      <c r="A9232" t="inlineStr">
        <is>
          <t>A 26506-2023</t>
        </is>
      </c>
      <c r="B9232" t="inlineStr">
        <is>
          <t>avverkningsanmälan</t>
        </is>
      </c>
      <c r="C9232" t="inlineStr">
        <is>
          <t>Föryngringsavverkning</t>
        </is>
      </c>
      <c r="D9232" s="1" t="n">
        <v>45092</v>
      </c>
      <c r="E9232" s="1" t="n">
        <v>46326</v>
      </c>
      <c r="F9232" t="inlineStr">
        <is>
          <t>GÄVLEBORGS LÄN</t>
        </is>
      </c>
      <c r="G9232" t="inlineStr">
        <is>
          <t>LJUSDAL</t>
        </is>
      </c>
      <c r="H9232" t="inlineStr">
        <is>
          <t>Sveaskog</t>
        </is>
      </c>
      <c r="I9232" t="n">
        <v>3.4</v>
      </c>
      <c r="J9232" t="n">
        <v>0</v>
      </c>
      <c r="K9232" t="n">
        <v>0</v>
      </c>
      <c r="L9232" t="n">
        <v>0</v>
      </c>
      <c r="M9232" t="n">
        <v>0</v>
      </c>
      <c r="N9232" t="n">
        <v>0</v>
      </c>
      <c r="O9232" t="n">
        <v>0</v>
      </c>
      <c r="P9232" t="n">
        <v>0</v>
      </c>
      <c r="Q9232" t="n">
        <v>0</v>
      </c>
      <c r="R9232" t="n">
        <v>0</v>
      </c>
      <c r="S9232" t="n">
        <v>0</v>
      </c>
      <c r="T9232" t="n">
        <v>0</v>
      </c>
      <c r="U9232" t="n">
        <v>0</v>
      </c>
      <c r="V9232" s="2" t="inlineStr"/>
    </row>
    <row r="9233" ht="15" customHeight="1">
      <c r="A9233" t="inlineStr">
        <is>
          <t>A 13849-2025</t>
        </is>
      </c>
      <c r="B9233" t="inlineStr">
        <is>
          <t>avverkningsanmälan</t>
        </is>
      </c>
      <c r="C9233" t="inlineStr">
        <is>
          <t>Föryngringsavverkning</t>
        </is>
      </c>
      <c r="D9233" s="1" t="n">
        <v>45737</v>
      </c>
      <c r="E9233" s="1" t="n">
        <v>46326</v>
      </c>
      <c r="F9233" t="inlineStr">
        <is>
          <t>GÄVLEBORGS LÄN</t>
        </is>
      </c>
      <c r="G9233" t="inlineStr">
        <is>
          <t>LJUSDAL</t>
        </is>
      </c>
      <c r="I9233" t="n">
        <v>0.5</v>
      </c>
      <c r="J9233" t="n">
        <v>0</v>
      </c>
      <c r="K9233" t="n">
        <v>0</v>
      </c>
      <c r="L9233" t="n">
        <v>0</v>
      </c>
      <c r="M9233" t="n">
        <v>0</v>
      </c>
      <c r="N9233" t="n">
        <v>0</v>
      </c>
      <c r="O9233" t="n">
        <v>0</v>
      </c>
      <c r="P9233" t="n">
        <v>0</v>
      </c>
      <c r="Q9233" t="n">
        <v>0</v>
      </c>
      <c r="R9233" t="n">
        <v>0</v>
      </c>
      <c r="S9233" t="n">
        <v>0</v>
      </c>
      <c r="T9233" t="n">
        <v>0</v>
      </c>
      <c r="U9233" t="n">
        <v>0</v>
      </c>
      <c r="V9233" s="2" t="inlineStr"/>
    </row>
    <row r="9234" ht="15" customHeight="1">
      <c r="A9234" t="inlineStr">
        <is>
          <t>A 29979-2023</t>
        </is>
      </c>
      <c r="B9234" t="inlineStr">
        <is>
          <t>avverkningsanmälan</t>
        </is>
      </c>
      <c r="C9234" t="inlineStr">
        <is>
          <t>Föryngringsavverkning</t>
        </is>
      </c>
      <c r="D9234" s="1" t="n">
        <v>45108</v>
      </c>
      <c r="E9234" s="1" t="n">
        <v>46326</v>
      </c>
      <c r="F9234" t="inlineStr">
        <is>
          <t>GÄVLEBORGS LÄN</t>
        </is>
      </c>
      <c r="G9234" t="inlineStr">
        <is>
          <t>SÖDERHAMN</t>
        </is>
      </c>
      <c r="I9234" t="n">
        <v>1.9</v>
      </c>
      <c r="J9234" t="n">
        <v>0</v>
      </c>
      <c r="K9234" t="n">
        <v>0</v>
      </c>
      <c r="L9234" t="n">
        <v>0</v>
      </c>
      <c r="M9234" t="n">
        <v>0</v>
      </c>
      <c r="N9234" t="n">
        <v>0</v>
      </c>
      <c r="O9234" t="n">
        <v>0</v>
      </c>
      <c r="P9234" t="n">
        <v>0</v>
      </c>
      <c r="Q9234" t="n">
        <v>0</v>
      </c>
      <c r="R9234" t="n">
        <v>0</v>
      </c>
      <c r="S9234" t="n">
        <v>0</v>
      </c>
      <c r="T9234" t="n">
        <v>0</v>
      </c>
      <c r="U9234" t="n">
        <v>0</v>
      </c>
      <c r="V9234" s="2" t="inlineStr"/>
    </row>
    <row r="9235" ht="15" customHeight="1">
      <c r="A9235" t="inlineStr">
        <is>
          <t>A 18545-2025</t>
        </is>
      </c>
      <c r="B9235" t="inlineStr">
        <is>
          <t>avverkningsanmälan</t>
        </is>
      </c>
      <c r="C9235" t="inlineStr">
        <is>
          <t>Föryngringsavverkning</t>
        </is>
      </c>
      <c r="D9235" s="1" t="n">
        <v>45763</v>
      </c>
      <c r="E9235" s="1" t="n">
        <v>46326</v>
      </c>
      <c r="F9235" t="inlineStr">
        <is>
          <t>GÄVLEBORGS LÄN</t>
        </is>
      </c>
      <c r="G9235" t="inlineStr">
        <is>
          <t>OVANÅKER</t>
        </is>
      </c>
      <c r="H9235" t="inlineStr">
        <is>
          <t>Holmen skog AB</t>
        </is>
      </c>
      <c r="I9235" t="n">
        <v>2.6</v>
      </c>
      <c r="J9235" t="n">
        <v>0</v>
      </c>
      <c r="K9235" t="n">
        <v>0</v>
      </c>
      <c r="L9235" t="n">
        <v>0</v>
      </c>
      <c r="M9235" t="n">
        <v>0</v>
      </c>
      <c r="N9235" t="n">
        <v>0</v>
      </c>
      <c r="O9235" t="n">
        <v>0</v>
      </c>
      <c r="P9235" t="n">
        <v>0</v>
      </c>
      <c r="Q9235" t="n">
        <v>0</v>
      </c>
      <c r="R9235" t="n">
        <v>0</v>
      </c>
      <c r="S9235" t="n">
        <v>0</v>
      </c>
      <c r="T9235" t="n">
        <v>0</v>
      </c>
      <c r="U9235" t="n">
        <v>0</v>
      </c>
      <c r="V9235" s="2" t="inlineStr"/>
    </row>
    <row r="9236" ht="15" customHeight="1">
      <c r="A9236" t="inlineStr">
        <is>
          <t>A 30488-2026</t>
        </is>
      </c>
      <c r="B9236" t="inlineStr">
        <is>
          <t>avverkningsanmälan</t>
        </is>
      </c>
      <c r="C9236" t="inlineStr">
        <is>
          <t>Föryngringsavverkning</t>
        </is>
      </c>
      <c r="D9236" s="1" t="n">
        <v>46210</v>
      </c>
      <c r="E9236" s="1" t="n">
        <v>46326</v>
      </c>
      <c r="F9236" t="inlineStr">
        <is>
          <t>GÄVLEBORGS LÄN</t>
        </is>
      </c>
      <c r="G9236" t="inlineStr">
        <is>
          <t>OVANÅKER</t>
        </is>
      </c>
      <c r="H9236" t="inlineStr">
        <is>
          <t>Bergvik skog väst AB</t>
        </is>
      </c>
      <c r="I9236" t="n">
        <v>0.9</v>
      </c>
      <c r="J9236" t="n">
        <v>0</v>
      </c>
      <c r="K9236" t="n">
        <v>0</v>
      </c>
      <c r="L9236" t="n">
        <v>0</v>
      </c>
      <c r="M9236" t="n">
        <v>0</v>
      </c>
      <c r="N9236" t="n">
        <v>0</v>
      </c>
      <c r="O9236" t="n">
        <v>0</v>
      </c>
      <c r="P9236" t="n">
        <v>0</v>
      </c>
      <c r="Q9236" t="n">
        <v>0</v>
      </c>
      <c r="R9236" t="n">
        <v>0</v>
      </c>
      <c r="S9236" t="n">
        <v>0</v>
      </c>
      <c r="T9236" t="n">
        <v>0</v>
      </c>
      <c r="U9236" t="n">
        <v>0</v>
      </c>
      <c r="V9236" s="2" t="inlineStr"/>
    </row>
    <row r="9237" ht="15" customHeight="1">
      <c r="A9237" t="inlineStr">
        <is>
          <t>A 19774-2025</t>
        </is>
      </c>
      <c r="B9237" t="inlineStr">
        <is>
          <t>avverkningsanmälan</t>
        </is>
      </c>
      <c r="C9237" t="inlineStr">
        <is>
          <t>Föryngringsavverkning</t>
        </is>
      </c>
      <c r="D9237" s="1" t="n">
        <v>45771</v>
      </c>
      <c r="E9237" s="1" t="n">
        <v>46326</v>
      </c>
      <c r="F9237" t="inlineStr">
        <is>
          <t>GÄVLEBORGS LÄN</t>
        </is>
      </c>
      <c r="G9237" t="inlineStr">
        <is>
          <t>OCKELBO</t>
        </is>
      </c>
      <c r="H9237" t="inlineStr">
        <is>
          <t>Bergvik skog väst AB</t>
        </is>
      </c>
      <c r="I9237" t="n">
        <v>5.3</v>
      </c>
      <c r="J9237" t="n">
        <v>0</v>
      </c>
      <c r="K9237" t="n">
        <v>0</v>
      </c>
      <c r="L9237" t="n">
        <v>0</v>
      </c>
      <c r="M9237" t="n">
        <v>0</v>
      </c>
      <c r="N9237" t="n">
        <v>0</v>
      </c>
      <c r="O9237" t="n">
        <v>0</v>
      </c>
      <c r="P9237" t="n">
        <v>0</v>
      </c>
      <c r="Q9237" t="n">
        <v>0</v>
      </c>
      <c r="R9237" t="n">
        <v>0</v>
      </c>
      <c r="S9237" t="n">
        <v>0</v>
      </c>
      <c r="T9237" t="n">
        <v>0</v>
      </c>
      <c r="U9237" t="n">
        <v>0</v>
      </c>
      <c r="V9237" s="2" t="inlineStr"/>
    </row>
    <row r="9238" ht="15" customHeight="1">
      <c r="A9238" t="inlineStr">
        <is>
          <t>A 30519-2026</t>
        </is>
      </c>
      <c r="B9238" t="inlineStr">
        <is>
          <t>avverkningsanmälan</t>
        </is>
      </c>
      <c r="C9238" t="inlineStr">
        <is>
          <t>Föryngringsavverkning</t>
        </is>
      </c>
      <c r="D9238" s="1" t="n">
        <v>46210</v>
      </c>
      <c r="E9238" s="1" t="n">
        <v>46326</v>
      </c>
      <c r="F9238" t="inlineStr">
        <is>
          <t>GÄVLEBORGS LÄN</t>
        </is>
      </c>
      <c r="G9238" t="inlineStr">
        <is>
          <t>HUDIKSVALL</t>
        </is>
      </c>
      <c r="I9238" t="n">
        <v>0.6</v>
      </c>
      <c r="J9238" t="n">
        <v>0</v>
      </c>
      <c r="K9238" t="n">
        <v>0</v>
      </c>
      <c r="L9238" t="n">
        <v>0</v>
      </c>
      <c r="M9238" t="n">
        <v>0</v>
      </c>
      <c r="N9238" t="n">
        <v>0</v>
      </c>
      <c r="O9238" t="n">
        <v>0</v>
      </c>
      <c r="P9238" t="n">
        <v>0</v>
      </c>
      <c r="Q9238" t="n">
        <v>0</v>
      </c>
      <c r="R9238" t="n">
        <v>0</v>
      </c>
      <c r="S9238" t="n">
        <v>0</v>
      </c>
      <c r="T9238" t="n">
        <v>0</v>
      </c>
      <c r="U9238" t="n">
        <v>0</v>
      </c>
      <c r="V9238" s="2" t="inlineStr"/>
    </row>
    <row r="9239" ht="15" customHeight="1">
      <c r="A9239" t="inlineStr">
        <is>
          <t>A 30348-2026</t>
        </is>
      </c>
      <c r="B9239" t="inlineStr">
        <is>
          <t>avverkningsanmälan</t>
        </is>
      </c>
      <c r="C9239" t="inlineStr">
        <is>
          <t>Föryngringsavverkning</t>
        </is>
      </c>
      <c r="D9239" s="1" t="n">
        <v>46209</v>
      </c>
      <c r="E9239" s="1" t="n">
        <v>46326</v>
      </c>
      <c r="F9239" t="inlineStr">
        <is>
          <t>GÄVLEBORGS LÄN</t>
        </is>
      </c>
      <c r="G9239" t="inlineStr">
        <is>
          <t>HUDIKSVALL</t>
        </is>
      </c>
      <c r="I9239" t="n">
        <v>1.1</v>
      </c>
      <c r="J9239" t="n">
        <v>0</v>
      </c>
      <c r="K9239" t="n">
        <v>0</v>
      </c>
      <c r="L9239" t="n">
        <v>0</v>
      </c>
      <c r="M9239" t="n">
        <v>0</v>
      </c>
      <c r="N9239" t="n">
        <v>0</v>
      </c>
      <c r="O9239" t="n">
        <v>0</v>
      </c>
      <c r="P9239" t="n">
        <v>0</v>
      </c>
      <c r="Q9239" t="n">
        <v>0</v>
      </c>
      <c r="R9239" t="n">
        <v>0</v>
      </c>
      <c r="S9239" t="n">
        <v>0</v>
      </c>
      <c r="T9239" t="n">
        <v>0</v>
      </c>
      <c r="U9239" t="n">
        <v>0</v>
      </c>
      <c r="V9239" s="2" t="inlineStr"/>
    </row>
    <row r="9240" ht="15" customHeight="1">
      <c r="A9240" t="inlineStr">
        <is>
          <t>A 41790-2024</t>
        </is>
      </c>
      <c r="B9240" t="inlineStr">
        <is>
          <t>avverkningsanmälan</t>
        </is>
      </c>
      <c r="C9240" t="inlineStr">
        <is>
          <t>Föryngringsavverkning</t>
        </is>
      </c>
      <c r="D9240" s="1" t="n">
        <v>45561</v>
      </c>
      <c r="E9240" s="1" t="n">
        <v>46326</v>
      </c>
      <c r="F9240" t="inlineStr">
        <is>
          <t>GÄVLEBORGS LÄN</t>
        </is>
      </c>
      <c r="G9240" t="inlineStr">
        <is>
          <t>SANDVIKEN</t>
        </is>
      </c>
      <c r="I9240" t="n">
        <v>2.1</v>
      </c>
      <c r="J9240" t="n">
        <v>0</v>
      </c>
      <c r="K9240" t="n">
        <v>0</v>
      </c>
      <c r="L9240" t="n">
        <v>0</v>
      </c>
      <c r="M9240" t="n">
        <v>0</v>
      </c>
      <c r="N9240" t="n">
        <v>0</v>
      </c>
      <c r="O9240" t="n">
        <v>0</v>
      </c>
      <c r="P9240" t="n">
        <v>0</v>
      </c>
      <c r="Q9240" t="n">
        <v>0</v>
      </c>
      <c r="R9240" t="n">
        <v>0</v>
      </c>
      <c r="S9240" t="n">
        <v>0</v>
      </c>
      <c r="T9240" t="n">
        <v>0</v>
      </c>
      <c r="U9240" t="n">
        <v>0</v>
      </c>
      <c r="V9240" s="2" t="inlineStr"/>
    </row>
    <row r="9241" ht="15" customHeight="1">
      <c r="A9241" t="inlineStr">
        <is>
          <t>A 30351-2026</t>
        </is>
      </c>
      <c r="B9241" t="inlineStr">
        <is>
          <t>avverkningsanmälan</t>
        </is>
      </c>
      <c r="C9241" t="inlineStr">
        <is>
          <t>Föryngringsavverkning</t>
        </is>
      </c>
      <c r="D9241" s="1" t="n">
        <v>46209</v>
      </c>
      <c r="E9241" s="1" t="n">
        <v>46326</v>
      </c>
      <c r="F9241" t="inlineStr">
        <is>
          <t>GÄVLEBORGS LÄN</t>
        </is>
      </c>
      <c r="G9241" t="inlineStr">
        <is>
          <t>HUDIKSVALL</t>
        </is>
      </c>
      <c r="I9241" t="n">
        <v>0.6</v>
      </c>
      <c r="J9241" t="n">
        <v>0</v>
      </c>
      <c r="K9241" t="n">
        <v>0</v>
      </c>
      <c r="L9241" t="n">
        <v>0</v>
      </c>
      <c r="M9241" t="n">
        <v>0</v>
      </c>
      <c r="N9241" t="n">
        <v>0</v>
      </c>
      <c r="O9241" t="n">
        <v>0</v>
      </c>
      <c r="P9241" t="n">
        <v>0</v>
      </c>
      <c r="Q9241" t="n">
        <v>0</v>
      </c>
      <c r="R9241" t="n">
        <v>0</v>
      </c>
      <c r="S9241" t="n">
        <v>0</v>
      </c>
      <c r="T9241" t="n">
        <v>0</v>
      </c>
      <c r="U9241" t="n">
        <v>0</v>
      </c>
      <c r="V9241" s="2" t="inlineStr"/>
    </row>
    <row r="9242" ht="15" customHeight="1">
      <c r="A9242" t="inlineStr">
        <is>
          <t>A 20612-2024</t>
        </is>
      </c>
      <c r="B9242" t="inlineStr">
        <is>
          <t>avverkningsanmälan</t>
        </is>
      </c>
      <c r="C9242" t="inlineStr">
        <is>
          <t>Avverkning för annat ändamål</t>
        </is>
      </c>
      <c r="D9242" s="1" t="n">
        <v>45436</v>
      </c>
      <c r="E9242" s="1" t="n">
        <v>46326</v>
      </c>
      <c r="F9242" t="inlineStr">
        <is>
          <t>GÄVLEBORGS LÄN</t>
        </is>
      </c>
      <c r="G9242" t="inlineStr">
        <is>
          <t>HUDIKSVALL</t>
        </is>
      </c>
      <c r="I9242" t="n">
        <v>0.4</v>
      </c>
      <c r="J9242" t="n">
        <v>0</v>
      </c>
      <c r="K9242" t="n">
        <v>0</v>
      </c>
      <c r="L9242" t="n">
        <v>0</v>
      </c>
      <c r="M9242" t="n">
        <v>0</v>
      </c>
      <c r="N9242" t="n">
        <v>0</v>
      </c>
      <c r="O9242" t="n">
        <v>0</v>
      </c>
      <c r="P9242" t="n">
        <v>0</v>
      </c>
      <c r="Q9242" t="n">
        <v>0</v>
      </c>
      <c r="R9242" t="n">
        <v>0</v>
      </c>
      <c r="S9242" t="n">
        <v>0</v>
      </c>
      <c r="T9242" t="n">
        <v>0</v>
      </c>
      <c r="U9242" t="n">
        <v>0</v>
      </c>
      <c r="V9242" s="2" t="inlineStr"/>
    </row>
    <row r="9243" ht="15" customHeight="1">
      <c r="A9243" t="inlineStr">
        <is>
          <t>A 30393-2026</t>
        </is>
      </c>
      <c r="B9243" t="inlineStr">
        <is>
          <t>avverkningsanmälan</t>
        </is>
      </c>
      <c r="C9243" t="inlineStr">
        <is>
          <t>Föryngringsavverkning</t>
        </is>
      </c>
      <c r="D9243" s="1" t="n">
        <v>46209</v>
      </c>
      <c r="E9243" s="1" t="n">
        <v>46326</v>
      </c>
      <c r="F9243" t="inlineStr">
        <is>
          <t>GÄVLEBORGS LÄN</t>
        </is>
      </c>
      <c r="G9243" t="inlineStr">
        <is>
          <t>LJUSDAL</t>
        </is>
      </c>
      <c r="I9243" t="n">
        <v>2.4</v>
      </c>
      <c r="J9243" t="n">
        <v>0</v>
      </c>
      <c r="K9243" t="n">
        <v>0</v>
      </c>
      <c r="L9243" t="n">
        <v>0</v>
      </c>
      <c r="M9243" t="n">
        <v>0</v>
      </c>
      <c r="N9243" t="n">
        <v>0</v>
      </c>
      <c r="O9243" t="n">
        <v>0</v>
      </c>
      <c r="P9243" t="n">
        <v>0</v>
      </c>
      <c r="Q9243" t="n">
        <v>0</v>
      </c>
      <c r="R9243" t="n">
        <v>0</v>
      </c>
      <c r="S9243" t="n">
        <v>0</v>
      </c>
      <c r="T9243" t="n">
        <v>0</v>
      </c>
      <c r="U9243" t="n">
        <v>0</v>
      </c>
      <c r="V9243" s="2" t="inlineStr"/>
    </row>
    <row r="9244" ht="15" customHeight="1">
      <c r="A9244" t="inlineStr">
        <is>
          <t>A 21878-2023</t>
        </is>
      </c>
      <c r="B9244" t="inlineStr">
        <is>
          <t>avverkningsanmälan</t>
        </is>
      </c>
      <c r="C9244" t="inlineStr">
        <is>
          <t>Föryngringsavverkning</t>
        </is>
      </c>
      <c r="D9244" s="1" t="n">
        <v>45068</v>
      </c>
      <c r="E9244" s="1" t="n">
        <v>46326</v>
      </c>
      <c r="F9244" t="inlineStr">
        <is>
          <t>GÄVLEBORGS LÄN</t>
        </is>
      </c>
      <c r="G9244" t="inlineStr">
        <is>
          <t>OCKELBO</t>
        </is>
      </c>
      <c r="H9244" t="inlineStr">
        <is>
          <t>Bergvik skog väst AB</t>
        </is>
      </c>
      <c r="I9244" t="n">
        <v>1.3</v>
      </c>
      <c r="J9244" t="n">
        <v>0</v>
      </c>
      <c r="K9244" t="n">
        <v>0</v>
      </c>
      <c r="L9244" t="n">
        <v>0</v>
      </c>
      <c r="M9244" t="n">
        <v>0</v>
      </c>
      <c r="N9244" t="n">
        <v>0</v>
      </c>
      <c r="O9244" t="n">
        <v>0</v>
      </c>
      <c r="P9244" t="n">
        <v>0</v>
      </c>
      <c r="Q9244" t="n">
        <v>0</v>
      </c>
      <c r="R9244" t="n">
        <v>0</v>
      </c>
      <c r="S9244" t="n">
        <v>0</v>
      </c>
      <c r="T9244" t="n">
        <v>0</v>
      </c>
      <c r="U9244" t="n">
        <v>0</v>
      </c>
      <c r="V9244" s="2" t="inlineStr"/>
    </row>
    <row r="9245" ht="15" customHeight="1">
      <c r="A9245" t="inlineStr">
        <is>
          <t>A 30827-2026</t>
        </is>
      </c>
      <c r="B9245" t="inlineStr">
        <is>
          <t>avverkningsanmälan</t>
        </is>
      </c>
      <c r="C9245" t="inlineStr">
        <is>
          <t>Föryngringsavverkning</t>
        </is>
      </c>
      <c r="D9245" s="1" t="n">
        <v>46212</v>
      </c>
      <c r="E9245" s="1" t="n">
        <v>46326</v>
      </c>
      <c r="F9245" t="inlineStr">
        <is>
          <t>GÄVLEBORGS LÄN</t>
        </is>
      </c>
      <c r="G9245" t="inlineStr">
        <is>
          <t>BOLLNÄS</t>
        </is>
      </c>
      <c r="I9245" t="n">
        <v>0.6</v>
      </c>
      <c r="J9245" t="n">
        <v>0</v>
      </c>
      <c r="K9245" t="n">
        <v>0</v>
      </c>
      <c r="L9245" t="n">
        <v>0</v>
      </c>
      <c r="M9245" t="n">
        <v>0</v>
      </c>
      <c r="N9245" t="n">
        <v>0</v>
      </c>
      <c r="O9245" t="n">
        <v>0</v>
      </c>
      <c r="P9245" t="n">
        <v>0</v>
      </c>
      <c r="Q9245" t="n">
        <v>0</v>
      </c>
      <c r="R9245" t="n">
        <v>0</v>
      </c>
      <c r="S9245" t="n">
        <v>0</v>
      </c>
      <c r="T9245" t="n">
        <v>0</v>
      </c>
      <c r="U9245" t="n">
        <v>0</v>
      </c>
      <c r="V9245" s="2" t="inlineStr"/>
    </row>
    <row r="9246" ht="15" customHeight="1">
      <c r="A9246" t="inlineStr">
        <is>
          <t>A 21456-2023</t>
        </is>
      </c>
      <c r="B9246" t="inlineStr">
        <is>
          <t>avverkningsanmälan</t>
        </is>
      </c>
      <c r="C9246" t="inlineStr">
        <is>
          <t>Föryngringsavverkning</t>
        </is>
      </c>
      <c r="D9246" s="1" t="n">
        <v>45063</v>
      </c>
      <c r="E9246" s="1" t="n">
        <v>46326</v>
      </c>
      <c r="F9246" t="inlineStr">
        <is>
          <t>GÄVLEBORGS LÄN</t>
        </is>
      </c>
      <c r="G9246" t="inlineStr">
        <is>
          <t>SANDVIKEN</t>
        </is>
      </c>
      <c r="H9246" t="inlineStr">
        <is>
          <t>Kommuner</t>
        </is>
      </c>
      <c r="I9246" t="n">
        <v>4</v>
      </c>
      <c r="J9246" t="n">
        <v>0</v>
      </c>
      <c r="K9246" t="n">
        <v>0</v>
      </c>
      <c r="L9246" t="n">
        <v>0</v>
      </c>
      <c r="M9246" t="n">
        <v>0</v>
      </c>
      <c r="N9246" t="n">
        <v>0</v>
      </c>
      <c r="O9246" t="n">
        <v>0</v>
      </c>
      <c r="P9246" t="n">
        <v>0</v>
      </c>
      <c r="Q9246" t="n">
        <v>0</v>
      </c>
      <c r="R9246" t="n">
        <v>0</v>
      </c>
      <c r="S9246" t="n">
        <v>0</v>
      </c>
      <c r="T9246" t="n">
        <v>0</v>
      </c>
      <c r="U9246" t="n">
        <v>0</v>
      </c>
      <c r="V9246" s="2" t="inlineStr"/>
    </row>
    <row r="9247" ht="15" customHeight="1">
      <c r="A9247" t="inlineStr">
        <is>
          <t>A 30653-2026</t>
        </is>
      </c>
      <c r="B9247" t="inlineStr">
        <is>
          <t>avverkningsanmälan</t>
        </is>
      </c>
      <c r="C9247" t="inlineStr">
        <is>
          <t>Föryngringsavverkning</t>
        </is>
      </c>
      <c r="D9247" s="1" t="n">
        <v>46211</v>
      </c>
      <c r="E9247" s="1" t="n">
        <v>46326</v>
      </c>
      <c r="F9247" t="inlineStr">
        <is>
          <t>GÄVLEBORGS LÄN</t>
        </is>
      </c>
      <c r="G9247" t="inlineStr">
        <is>
          <t>BOLLNÄS</t>
        </is>
      </c>
      <c r="H9247" t="inlineStr">
        <is>
          <t>Bergvik skog väst AB</t>
        </is>
      </c>
      <c r="I9247" t="n">
        <v>1.3</v>
      </c>
      <c r="J9247" t="n">
        <v>0</v>
      </c>
      <c r="K9247" t="n">
        <v>0</v>
      </c>
      <c r="L9247" t="n">
        <v>0</v>
      </c>
      <c r="M9247" t="n">
        <v>0</v>
      </c>
      <c r="N9247" t="n">
        <v>0</v>
      </c>
      <c r="O9247" t="n">
        <v>0</v>
      </c>
      <c r="P9247" t="n">
        <v>0</v>
      </c>
      <c r="Q9247" t="n">
        <v>0</v>
      </c>
      <c r="R9247" t="n">
        <v>0</v>
      </c>
      <c r="S9247" t="n">
        <v>0</v>
      </c>
      <c r="T9247" t="n">
        <v>0</v>
      </c>
      <c r="U9247" t="n">
        <v>0</v>
      </c>
      <c r="V9247" s="2" t="inlineStr"/>
    </row>
    <row r="9248" ht="15" customHeight="1">
      <c r="A9248" t="inlineStr">
        <is>
          <t>A 30638-2026</t>
        </is>
      </c>
      <c r="B9248" t="inlineStr">
        <is>
          <t>avverkningsanmälan</t>
        </is>
      </c>
      <c r="C9248" t="inlineStr">
        <is>
          <t>Föryngringsavverkning</t>
        </is>
      </c>
      <c r="D9248" s="1" t="n">
        <v>46211</v>
      </c>
      <c r="E9248" s="1" t="n">
        <v>46326</v>
      </c>
      <c r="F9248" t="inlineStr">
        <is>
          <t>GÄVLEBORGS LÄN</t>
        </is>
      </c>
      <c r="G9248" t="inlineStr">
        <is>
          <t>HOFORS</t>
        </is>
      </c>
      <c r="I9248" t="n">
        <v>8</v>
      </c>
      <c r="J9248" t="n">
        <v>0</v>
      </c>
      <c r="K9248" t="n">
        <v>0</v>
      </c>
      <c r="L9248" t="n">
        <v>0</v>
      </c>
      <c r="M9248" t="n">
        <v>0</v>
      </c>
      <c r="N9248" t="n">
        <v>0</v>
      </c>
      <c r="O9248" t="n">
        <v>0</v>
      </c>
      <c r="P9248" t="n">
        <v>0</v>
      </c>
      <c r="Q9248" t="n">
        <v>0</v>
      </c>
      <c r="R9248" t="n">
        <v>0</v>
      </c>
      <c r="S9248" t="n">
        <v>0</v>
      </c>
      <c r="T9248" t="n">
        <v>0</v>
      </c>
      <c r="U9248" t="n">
        <v>0</v>
      </c>
      <c r="V9248" s="2" t="inlineStr"/>
    </row>
    <row r="9249" ht="15" customHeight="1">
      <c r="A9249" t="inlineStr">
        <is>
          <t>A 31365-2026</t>
        </is>
      </c>
      <c r="B9249" t="inlineStr">
        <is>
          <t>avverkningsanmälan</t>
        </is>
      </c>
      <c r="C9249" t="inlineStr">
        <is>
          <t>Föryngringsavverkning</t>
        </is>
      </c>
      <c r="D9249" s="1" t="n">
        <v>46213</v>
      </c>
      <c r="E9249" s="1" t="n">
        <v>46326</v>
      </c>
      <c r="F9249" t="inlineStr">
        <is>
          <t>GÄVLEBORGS LÄN</t>
        </is>
      </c>
      <c r="G9249" t="inlineStr">
        <is>
          <t>NORDANSTIG</t>
        </is>
      </c>
      <c r="I9249" t="n">
        <v>4.8</v>
      </c>
      <c r="J9249" t="n">
        <v>0</v>
      </c>
      <c r="K9249" t="n">
        <v>0</v>
      </c>
      <c r="L9249" t="n">
        <v>0</v>
      </c>
      <c r="M9249" t="n">
        <v>0</v>
      </c>
      <c r="N9249" t="n">
        <v>0</v>
      </c>
      <c r="O9249" t="n">
        <v>0</v>
      </c>
      <c r="P9249" t="n">
        <v>0</v>
      </c>
      <c r="Q9249" t="n">
        <v>0</v>
      </c>
      <c r="R9249" t="n">
        <v>0</v>
      </c>
      <c r="S9249" t="n">
        <v>0</v>
      </c>
      <c r="T9249" t="n">
        <v>0</v>
      </c>
      <c r="U9249" t="n">
        <v>0</v>
      </c>
      <c r="V9249" s="2" t="inlineStr"/>
    </row>
    <row r="9250" ht="15" customHeight="1">
      <c r="A9250" t="inlineStr">
        <is>
          <t>A 25498-2026</t>
        </is>
      </c>
      <c r="B9250" t="inlineStr">
        <is>
          <t>avverkningsanmälan</t>
        </is>
      </c>
      <c r="C9250" t="inlineStr">
        <is>
          <t>Föryngringsavverkning</t>
        </is>
      </c>
      <c r="D9250" s="1" t="n">
        <v>46177</v>
      </c>
      <c r="E9250" s="1" t="n">
        <v>46326</v>
      </c>
      <c r="F9250" t="inlineStr">
        <is>
          <t>GÄVLEBORGS LÄN</t>
        </is>
      </c>
      <c r="G9250" t="inlineStr">
        <is>
          <t>SANDVIKEN</t>
        </is>
      </c>
      <c r="I9250" t="n">
        <v>2</v>
      </c>
      <c r="J9250" t="n">
        <v>0</v>
      </c>
      <c r="K9250" t="n">
        <v>0</v>
      </c>
      <c r="L9250" t="n">
        <v>0</v>
      </c>
      <c r="M9250" t="n">
        <v>0</v>
      </c>
      <c r="N9250" t="n">
        <v>0</v>
      </c>
      <c r="O9250" t="n">
        <v>0</v>
      </c>
      <c r="P9250" t="n">
        <v>0</v>
      </c>
      <c r="Q9250" t="n">
        <v>0</v>
      </c>
      <c r="R9250" t="n">
        <v>0</v>
      </c>
      <c r="S9250" t="n">
        <v>0</v>
      </c>
      <c r="T9250" t="n">
        <v>0</v>
      </c>
      <c r="U9250" t="n">
        <v>0</v>
      </c>
      <c r="V9250" s="2" t="inlineStr"/>
    </row>
    <row r="9251" ht="15" customHeight="1">
      <c r="A9251" t="inlineStr">
        <is>
          <t>A 36295-2024</t>
        </is>
      </c>
      <c r="B9251" t="inlineStr">
        <is>
          <t>avverkningsanmälan</t>
        </is>
      </c>
      <c r="C9251" t="inlineStr">
        <is>
          <t>Föryngringsavverkning</t>
        </is>
      </c>
      <c r="D9251" s="1" t="n">
        <v>45534</v>
      </c>
      <c r="E9251" s="1" t="n">
        <v>46326</v>
      </c>
      <c r="F9251" t="inlineStr">
        <is>
          <t>GÄVLEBORGS LÄN</t>
        </is>
      </c>
      <c r="G9251" t="inlineStr">
        <is>
          <t>OCKELBO</t>
        </is>
      </c>
      <c r="I9251" t="n">
        <v>7.9</v>
      </c>
      <c r="J9251" t="n">
        <v>0</v>
      </c>
      <c r="K9251" t="n">
        <v>0</v>
      </c>
      <c r="L9251" t="n">
        <v>0</v>
      </c>
      <c r="M9251" t="n">
        <v>0</v>
      </c>
      <c r="N9251" t="n">
        <v>0</v>
      </c>
      <c r="O9251" t="n">
        <v>0</v>
      </c>
      <c r="P9251" t="n">
        <v>0</v>
      </c>
      <c r="Q9251" t="n">
        <v>0</v>
      </c>
      <c r="R9251" t="n">
        <v>0</v>
      </c>
      <c r="S9251" t="n">
        <v>0</v>
      </c>
      <c r="T9251" t="n">
        <v>0</v>
      </c>
      <c r="U9251" t="n">
        <v>0</v>
      </c>
      <c r="V9251" s="2" t="inlineStr"/>
    </row>
    <row r="9252" ht="15" customHeight="1">
      <c r="A9252" t="inlineStr">
        <is>
          <t>A 71657-2021</t>
        </is>
      </c>
      <c r="B9252" t="inlineStr">
        <is>
          <t>avverkningsanmälan</t>
        </is>
      </c>
      <c r="C9252" t="inlineStr">
        <is>
          <t>Föryngringsavverkning</t>
        </is>
      </c>
      <c r="D9252" s="1" t="n">
        <v>44543</v>
      </c>
      <c r="E9252" s="1" t="n">
        <v>46326</v>
      </c>
      <c r="F9252" t="inlineStr">
        <is>
          <t>GÄVLEBORGS LÄN</t>
        </is>
      </c>
      <c r="G9252" t="inlineStr">
        <is>
          <t>BOLLNÄS</t>
        </is>
      </c>
      <c r="I9252" t="n">
        <v>1.4</v>
      </c>
      <c r="J9252" t="n">
        <v>0</v>
      </c>
      <c r="K9252" t="n">
        <v>0</v>
      </c>
      <c r="L9252" t="n">
        <v>0</v>
      </c>
      <c r="M9252" t="n">
        <v>0</v>
      </c>
      <c r="N9252" t="n">
        <v>0</v>
      </c>
      <c r="O9252" t="n">
        <v>0</v>
      </c>
      <c r="P9252" t="n">
        <v>0</v>
      </c>
      <c r="Q9252" t="n">
        <v>0</v>
      </c>
      <c r="R9252" t="n">
        <v>0</v>
      </c>
      <c r="S9252" t="n">
        <v>0</v>
      </c>
      <c r="T9252" t="n">
        <v>0</v>
      </c>
      <c r="U9252" t="n">
        <v>0</v>
      </c>
      <c r="V9252" s="2" t="inlineStr"/>
    </row>
    <row r="9253" ht="15" customHeight="1">
      <c r="A9253" t="inlineStr">
        <is>
          <t>A 31366-2026</t>
        </is>
      </c>
      <c r="B9253" t="inlineStr">
        <is>
          <t>avverkningsanmälan</t>
        </is>
      </c>
      <c r="C9253" t="inlineStr">
        <is>
          <t>Föryngringsavverkning</t>
        </is>
      </c>
      <c r="D9253" s="1" t="n">
        <v>46213</v>
      </c>
      <c r="E9253" s="1" t="n">
        <v>46326</v>
      </c>
      <c r="F9253" t="inlineStr">
        <is>
          <t>GÄVLEBORGS LÄN</t>
        </is>
      </c>
      <c r="G9253" t="inlineStr">
        <is>
          <t>NORDANSTIG</t>
        </is>
      </c>
      <c r="I9253" t="n">
        <v>9.6</v>
      </c>
      <c r="J9253" t="n">
        <v>0</v>
      </c>
      <c r="K9253" t="n">
        <v>0</v>
      </c>
      <c r="L9253" t="n">
        <v>0</v>
      </c>
      <c r="M9253" t="n">
        <v>0</v>
      </c>
      <c r="N9253" t="n">
        <v>0</v>
      </c>
      <c r="O9253" t="n">
        <v>0</v>
      </c>
      <c r="P9253" t="n">
        <v>0</v>
      </c>
      <c r="Q9253" t="n">
        <v>0</v>
      </c>
      <c r="R9253" t="n">
        <v>0</v>
      </c>
      <c r="S9253" t="n">
        <v>0</v>
      </c>
      <c r="T9253" t="n">
        <v>0</v>
      </c>
      <c r="U9253" t="n">
        <v>0</v>
      </c>
      <c r="V9253" s="2" t="inlineStr"/>
    </row>
    <row r="9254" ht="15" customHeight="1">
      <c r="A9254" t="inlineStr">
        <is>
          <t>A 37792-2022</t>
        </is>
      </c>
      <c r="B9254" t="inlineStr">
        <is>
          <t>avverkningsanmälan</t>
        </is>
      </c>
      <c r="C9254" t="inlineStr">
        <is>
          <t>Föryngringsavverkning</t>
        </is>
      </c>
      <c r="D9254" s="1" t="n">
        <v>44810</v>
      </c>
      <c r="E9254" s="1" t="n">
        <v>46326</v>
      </c>
      <c r="F9254" t="inlineStr">
        <is>
          <t>GÄVLEBORGS LÄN</t>
        </is>
      </c>
      <c r="G9254" t="inlineStr">
        <is>
          <t>LJUSDAL</t>
        </is>
      </c>
      <c r="I9254" t="n">
        <v>3.4</v>
      </c>
      <c r="J9254" t="n">
        <v>0</v>
      </c>
      <c r="K9254" t="n">
        <v>0</v>
      </c>
      <c r="L9254" t="n">
        <v>0</v>
      </c>
      <c r="M9254" t="n">
        <v>0</v>
      </c>
      <c r="N9254" t="n">
        <v>0</v>
      </c>
      <c r="O9254" t="n">
        <v>0</v>
      </c>
      <c r="P9254" t="n">
        <v>0</v>
      </c>
      <c r="Q9254" t="n">
        <v>0</v>
      </c>
      <c r="R9254" t="n">
        <v>0</v>
      </c>
      <c r="S9254" t="n">
        <v>0</v>
      </c>
      <c r="T9254" t="n">
        <v>0</v>
      </c>
      <c r="U9254" t="n">
        <v>0</v>
      </c>
      <c r="V9254" s="2" t="inlineStr"/>
    </row>
    <row r="9255" ht="15" customHeight="1">
      <c r="A9255" t="inlineStr">
        <is>
          <t>A 30776-2026</t>
        </is>
      </c>
      <c r="B9255" t="inlineStr">
        <is>
          <t>avverkningsanmälan</t>
        </is>
      </c>
      <c r="C9255" t="inlineStr">
        <is>
          <t>Föryngringsavverkning</t>
        </is>
      </c>
      <c r="D9255" s="1" t="n">
        <v>46212</v>
      </c>
      <c r="E9255" s="1" t="n">
        <v>46326</v>
      </c>
      <c r="F9255" t="inlineStr">
        <is>
          <t>GÄVLEBORGS LÄN</t>
        </is>
      </c>
      <c r="G9255" t="inlineStr">
        <is>
          <t>BOLLNÄS</t>
        </is>
      </c>
      <c r="I9255" t="n">
        <v>1.1</v>
      </c>
      <c r="J9255" t="n">
        <v>0</v>
      </c>
      <c r="K9255" t="n">
        <v>0</v>
      </c>
      <c r="L9255" t="n">
        <v>0</v>
      </c>
      <c r="M9255" t="n">
        <v>0</v>
      </c>
      <c r="N9255" t="n">
        <v>0</v>
      </c>
      <c r="O9255" t="n">
        <v>0</v>
      </c>
      <c r="P9255" t="n">
        <v>0</v>
      </c>
      <c r="Q9255" t="n">
        <v>0</v>
      </c>
      <c r="R9255" t="n">
        <v>0</v>
      </c>
      <c r="S9255" t="n">
        <v>0</v>
      </c>
      <c r="T9255" t="n">
        <v>0</v>
      </c>
      <c r="U9255" t="n">
        <v>0</v>
      </c>
      <c r="V9255" s="2" t="inlineStr"/>
    </row>
    <row r="9256" ht="15" customHeight="1">
      <c r="A9256" t="inlineStr">
        <is>
          <t>A 30786-2026</t>
        </is>
      </c>
      <c r="B9256" t="inlineStr">
        <is>
          <t>avverkningsanmälan</t>
        </is>
      </c>
      <c r="C9256" t="inlineStr">
        <is>
          <t>Föryngringsavverkning</t>
        </is>
      </c>
      <c r="D9256" s="1" t="n">
        <v>46212</v>
      </c>
      <c r="E9256" s="1" t="n">
        <v>46326</v>
      </c>
      <c r="F9256" t="inlineStr">
        <is>
          <t>GÄVLEBORGS LÄN</t>
        </is>
      </c>
      <c r="G9256" t="inlineStr">
        <is>
          <t>BOLLNÄS</t>
        </is>
      </c>
      <c r="I9256" t="n">
        <v>1.2</v>
      </c>
      <c r="J9256" t="n">
        <v>0</v>
      </c>
      <c r="K9256" t="n">
        <v>0</v>
      </c>
      <c r="L9256" t="n">
        <v>0</v>
      </c>
      <c r="M9256" t="n">
        <v>0</v>
      </c>
      <c r="N9256" t="n">
        <v>0</v>
      </c>
      <c r="O9256" t="n">
        <v>0</v>
      </c>
      <c r="P9256" t="n">
        <v>0</v>
      </c>
      <c r="Q9256" t="n">
        <v>0</v>
      </c>
      <c r="R9256" t="n">
        <v>0</v>
      </c>
      <c r="S9256" t="n">
        <v>0</v>
      </c>
      <c r="T9256" t="n">
        <v>0</v>
      </c>
      <c r="U9256" t="n">
        <v>0</v>
      </c>
      <c r="V9256" s="2" t="inlineStr"/>
    </row>
    <row r="9257" ht="15" customHeight="1">
      <c r="A9257" t="inlineStr">
        <is>
          <t>A 30848-2026</t>
        </is>
      </c>
      <c r="B9257" t="inlineStr">
        <is>
          <t>avverkningsanmälan</t>
        </is>
      </c>
      <c r="C9257" t="inlineStr">
        <is>
          <t>Föryngringsavverkning</t>
        </is>
      </c>
      <c r="D9257" s="1" t="n">
        <v>46212</v>
      </c>
      <c r="E9257" s="1" t="n">
        <v>46326</v>
      </c>
      <c r="F9257" t="inlineStr">
        <is>
          <t>GÄVLEBORGS LÄN</t>
        </is>
      </c>
      <c r="G9257" t="inlineStr">
        <is>
          <t>SÖDERHAMN</t>
        </is>
      </c>
      <c r="I9257" t="n">
        <v>1.7</v>
      </c>
      <c r="J9257" t="n">
        <v>0</v>
      </c>
      <c r="K9257" t="n">
        <v>0</v>
      </c>
      <c r="L9257" t="n">
        <v>0</v>
      </c>
      <c r="M9257" t="n">
        <v>0</v>
      </c>
      <c r="N9257" t="n">
        <v>0</v>
      </c>
      <c r="O9257" t="n">
        <v>0</v>
      </c>
      <c r="P9257" t="n">
        <v>0</v>
      </c>
      <c r="Q9257" t="n">
        <v>0</v>
      </c>
      <c r="R9257" t="n">
        <v>0</v>
      </c>
      <c r="S9257" t="n">
        <v>0</v>
      </c>
      <c r="T9257" t="n">
        <v>0</v>
      </c>
      <c r="U9257" t="n">
        <v>0</v>
      </c>
      <c r="V9257" s="2" t="inlineStr"/>
    </row>
    <row r="9258" ht="15" customHeight="1">
      <c r="A9258" t="inlineStr">
        <is>
          <t>A 30871-2026</t>
        </is>
      </c>
      <c r="B9258" t="inlineStr">
        <is>
          <t>avverkningsanmälan</t>
        </is>
      </c>
      <c r="C9258" t="inlineStr">
        <is>
          <t>Föryngringsavverkning</t>
        </is>
      </c>
      <c r="D9258" s="1" t="n">
        <v>46212</v>
      </c>
      <c r="E9258" s="1" t="n">
        <v>46326</v>
      </c>
      <c r="F9258" t="inlineStr">
        <is>
          <t>GÄVLEBORGS LÄN</t>
        </is>
      </c>
      <c r="G9258" t="inlineStr">
        <is>
          <t>SÖDERHAMN</t>
        </is>
      </c>
      <c r="H9258" t="inlineStr">
        <is>
          <t>Kyrkan</t>
        </is>
      </c>
      <c r="I9258" t="n">
        <v>0.8</v>
      </c>
      <c r="J9258" t="n">
        <v>0</v>
      </c>
      <c r="K9258" t="n">
        <v>0</v>
      </c>
      <c r="L9258" t="n">
        <v>0</v>
      </c>
      <c r="M9258" t="n">
        <v>0</v>
      </c>
      <c r="N9258" t="n">
        <v>0</v>
      </c>
      <c r="O9258" t="n">
        <v>0</v>
      </c>
      <c r="P9258" t="n">
        <v>0</v>
      </c>
      <c r="Q9258" t="n">
        <v>0</v>
      </c>
      <c r="R9258" t="n">
        <v>0</v>
      </c>
      <c r="S9258" t="n">
        <v>0</v>
      </c>
      <c r="T9258" t="n">
        <v>0</v>
      </c>
      <c r="U9258" t="n">
        <v>0</v>
      </c>
      <c r="V9258" s="2" t="inlineStr"/>
    </row>
    <row r="9259" ht="15" customHeight="1">
      <c r="A9259" t="inlineStr">
        <is>
          <t>A 30875-2026</t>
        </is>
      </c>
      <c r="B9259" t="inlineStr">
        <is>
          <t>avverkningsanmälan</t>
        </is>
      </c>
      <c r="C9259" t="inlineStr">
        <is>
          <t>Föryngringsavverkning</t>
        </is>
      </c>
      <c r="D9259" s="1" t="n">
        <v>46212</v>
      </c>
      <c r="E9259" s="1" t="n">
        <v>46326</v>
      </c>
      <c r="F9259" t="inlineStr">
        <is>
          <t>GÄVLEBORGS LÄN</t>
        </is>
      </c>
      <c r="G9259" t="inlineStr">
        <is>
          <t>SÖDERHAMN</t>
        </is>
      </c>
      <c r="H9259" t="inlineStr">
        <is>
          <t>Kyrkan</t>
        </is>
      </c>
      <c r="I9259" t="n">
        <v>0.6</v>
      </c>
      <c r="J9259" t="n">
        <v>0</v>
      </c>
      <c r="K9259" t="n">
        <v>0</v>
      </c>
      <c r="L9259" t="n">
        <v>0</v>
      </c>
      <c r="M9259" t="n">
        <v>0</v>
      </c>
      <c r="N9259" t="n">
        <v>0</v>
      </c>
      <c r="O9259" t="n">
        <v>0</v>
      </c>
      <c r="P9259" t="n">
        <v>0</v>
      </c>
      <c r="Q9259" t="n">
        <v>0</v>
      </c>
      <c r="R9259" t="n">
        <v>0</v>
      </c>
      <c r="S9259" t="n">
        <v>0</v>
      </c>
      <c r="T9259" t="n">
        <v>0</v>
      </c>
      <c r="U9259" t="n">
        <v>0</v>
      </c>
      <c r="V9259" s="2" t="inlineStr"/>
    </row>
    <row r="9260" ht="15" customHeight="1">
      <c r="A9260" t="inlineStr">
        <is>
          <t>A 30877-2026</t>
        </is>
      </c>
      <c r="B9260" t="inlineStr">
        <is>
          <t>avverkningsanmälan</t>
        </is>
      </c>
      <c r="C9260" t="inlineStr">
        <is>
          <t>Föryngringsavverkning</t>
        </is>
      </c>
      <c r="D9260" s="1" t="n">
        <v>46212</v>
      </c>
      <c r="E9260" s="1" t="n">
        <v>46326</v>
      </c>
      <c r="F9260" t="inlineStr">
        <is>
          <t>GÄVLEBORGS LÄN</t>
        </is>
      </c>
      <c r="G9260" t="inlineStr">
        <is>
          <t>SÖDERHAMN</t>
        </is>
      </c>
      <c r="H9260" t="inlineStr">
        <is>
          <t>Kyrkan</t>
        </is>
      </c>
      <c r="I9260" t="n">
        <v>4.1</v>
      </c>
      <c r="J9260" t="n">
        <v>0</v>
      </c>
      <c r="K9260" t="n">
        <v>0</v>
      </c>
      <c r="L9260" t="n">
        <v>0</v>
      </c>
      <c r="M9260" t="n">
        <v>0</v>
      </c>
      <c r="N9260" t="n">
        <v>0</v>
      </c>
      <c r="O9260" t="n">
        <v>0</v>
      </c>
      <c r="P9260" t="n">
        <v>0</v>
      </c>
      <c r="Q9260" t="n">
        <v>0</v>
      </c>
      <c r="R9260" t="n">
        <v>0</v>
      </c>
      <c r="S9260" t="n">
        <v>0</v>
      </c>
      <c r="T9260" t="n">
        <v>0</v>
      </c>
      <c r="U9260" t="n">
        <v>0</v>
      </c>
      <c r="V9260" s="2" t="inlineStr"/>
    </row>
    <row r="9261" ht="15" customHeight="1">
      <c r="A9261" t="inlineStr">
        <is>
          <t>A 23365-2024</t>
        </is>
      </c>
      <c r="B9261" t="inlineStr">
        <is>
          <t>avverkningsanmälan</t>
        </is>
      </c>
      <c r="C9261" t="inlineStr">
        <is>
          <t>Föryngringsavverkning</t>
        </is>
      </c>
      <c r="D9261" s="1" t="n">
        <v>45453</v>
      </c>
      <c r="E9261" s="1" t="n">
        <v>46326</v>
      </c>
      <c r="F9261" t="inlineStr">
        <is>
          <t>GÄVLEBORGS LÄN</t>
        </is>
      </c>
      <c r="G9261" t="inlineStr">
        <is>
          <t>BOLLNÄS</t>
        </is>
      </c>
      <c r="I9261" t="n">
        <v>0.5</v>
      </c>
      <c r="J9261" t="n">
        <v>0</v>
      </c>
      <c r="K9261" t="n">
        <v>0</v>
      </c>
      <c r="L9261" t="n">
        <v>0</v>
      </c>
      <c r="M9261" t="n">
        <v>0</v>
      </c>
      <c r="N9261" t="n">
        <v>0</v>
      </c>
      <c r="O9261" t="n">
        <v>0</v>
      </c>
      <c r="P9261" t="n">
        <v>0</v>
      </c>
      <c r="Q9261" t="n">
        <v>0</v>
      </c>
      <c r="R9261" t="n">
        <v>0</v>
      </c>
      <c r="S9261" t="n">
        <v>0</v>
      </c>
      <c r="T9261" t="n">
        <v>0</v>
      </c>
      <c r="U9261" t="n">
        <v>0</v>
      </c>
      <c r="V9261" s="2" t="inlineStr"/>
    </row>
    <row r="9262" ht="15" customHeight="1">
      <c r="A9262" t="inlineStr">
        <is>
          <t>A 28070-2024</t>
        </is>
      </c>
      <c r="B9262" t="inlineStr">
        <is>
          <t>avverkningsanmälan</t>
        </is>
      </c>
      <c r="C9262" t="inlineStr">
        <is>
          <t>Föryngringsavverkning</t>
        </is>
      </c>
      <c r="D9262" s="1" t="n">
        <v>45476</v>
      </c>
      <c r="E9262" s="1" t="n">
        <v>46326</v>
      </c>
      <c r="F9262" t="inlineStr">
        <is>
          <t>GÄVLEBORGS LÄN</t>
        </is>
      </c>
      <c r="G9262" t="inlineStr">
        <is>
          <t>SÖDERHAMN</t>
        </is>
      </c>
      <c r="I9262" t="n">
        <v>0.7</v>
      </c>
      <c r="J9262" t="n">
        <v>0</v>
      </c>
      <c r="K9262" t="n">
        <v>0</v>
      </c>
      <c r="L9262" t="n">
        <v>0</v>
      </c>
      <c r="M9262" t="n">
        <v>0</v>
      </c>
      <c r="N9262" t="n">
        <v>0</v>
      </c>
      <c r="O9262" t="n">
        <v>0</v>
      </c>
      <c r="P9262" t="n">
        <v>0</v>
      </c>
      <c r="Q9262" t="n">
        <v>0</v>
      </c>
      <c r="R9262" t="n">
        <v>0</v>
      </c>
      <c r="S9262" t="n">
        <v>0</v>
      </c>
      <c r="T9262" t="n">
        <v>0</v>
      </c>
      <c r="U9262" t="n">
        <v>0</v>
      </c>
      <c r="V9262" s="2" t="inlineStr"/>
    </row>
    <row r="9263" ht="15" customHeight="1">
      <c r="A9263" t="inlineStr">
        <is>
          <t>A 63045-2023</t>
        </is>
      </c>
      <c r="B9263" t="inlineStr">
        <is>
          <t>avverkningsanmälan</t>
        </is>
      </c>
      <c r="C9263" t="inlineStr">
        <is>
          <t>Föryngringsavverkning</t>
        </is>
      </c>
      <c r="D9263" s="1" t="n">
        <v>45272</v>
      </c>
      <c r="E9263" s="1" t="n">
        <v>46326</v>
      </c>
      <c r="F9263" t="inlineStr">
        <is>
          <t>GÄVLEBORGS LÄN</t>
        </is>
      </c>
      <c r="G9263" t="inlineStr">
        <is>
          <t>HUDIKSVALL</t>
        </is>
      </c>
      <c r="I9263" t="n">
        <v>6</v>
      </c>
      <c r="J9263" t="n">
        <v>0</v>
      </c>
      <c r="K9263" t="n">
        <v>0</v>
      </c>
      <c r="L9263" t="n">
        <v>0</v>
      </c>
      <c r="M9263" t="n">
        <v>0</v>
      </c>
      <c r="N9263" t="n">
        <v>0</v>
      </c>
      <c r="O9263" t="n">
        <v>0</v>
      </c>
      <c r="P9263" t="n">
        <v>0</v>
      </c>
      <c r="Q9263" t="n">
        <v>0</v>
      </c>
      <c r="R9263" t="n">
        <v>0</v>
      </c>
      <c r="S9263" t="n">
        <v>0</v>
      </c>
      <c r="T9263" t="n">
        <v>0</v>
      </c>
      <c r="U9263" t="n">
        <v>0</v>
      </c>
      <c r="V9263" s="2" t="inlineStr"/>
    </row>
    <row r="9264" ht="15" customHeight="1">
      <c r="A9264" t="inlineStr">
        <is>
          <t>A 30797-2026</t>
        </is>
      </c>
      <c r="B9264" t="inlineStr">
        <is>
          <t>avverkningsanmälan</t>
        </is>
      </c>
      <c r="C9264" t="inlineStr">
        <is>
          <t>Föryngringsavverkning</t>
        </is>
      </c>
      <c r="D9264" s="1" t="n">
        <v>46212</v>
      </c>
      <c r="E9264" s="1" t="n">
        <v>46326</v>
      </c>
      <c r="F9264" t="inlineStr">
        <is>
          <t>GÄVLEBORGS LÄN</t>
        </is>
      </c>
      <c r="G9264" t="inlineStr">
        <is>
          <t>BOLLNÄS</t>
        </is>
      </c>
      <c r="I9264" t="n">
        <v>2.8</v>
      </c>
      <c r="J9264" t="n">
        <v>0</v>
      </c>
      <c r="K9264" t="n">
        <v>0</v>
      </c>
      <c r="L9264" t="n">
        <v>0</v>
      </c>
      <c r="M9264" t="n">
        <v>0</v>
      </c>
      <c r="N9264" t="n">
        <v>0</v>
      </c>
      <c r="O9264" t="n">
        <v>0</v>
      </c>
      <c r="P9264" t="n">
        <v>0</v>
      </c>
      <c r="Q9264" t="n">
        <v>0</v>
      </c>
      <c r="R9264" t="n">
        <v>0</v>
      </c>
      <c r="S9264" t="n">
        <v>0</v>
      </c>
      <c r="T9264" t="n">
        <v>0</v>
      </c>
      <c r="U9264" t="n">
        <v>0</v>
      </c>
      <c r="V9264" s="2" t="inlineStr"/>
    </row>
    <row r="9265" ht="15" customHeight="1">
      <c r="A9265" t="inlineStr">
        <is>
          <t>A 30798-2026</t>
        </is>
      </c>
      <c r="B9265" t="inlineStr">
        <is>
          <t>avverkningsanmälan</t>
        </is>
      </c>
      <c r="C9265" t="inlineStr">
        <is>
          <t>Föryngringsavverkning</t>
        </is>
      </c>
      <c r="D9265" s="1" t="n">
        <v>46212</v>
      </c>
      <c r="E9265" s="1" t="n">
        <v>46326</v>
      </c>
      <c r="F9265" t="inlineStr">
        <is>
          <t>GÄVLEBORGS LÄN</t>
        </is>
      </c>
      <c r="G9265" t="inlineStr">
        <is>
          <t>BOLLNÄS</t>
        </is>
      </c>
      <c r="I9265" t="n">
        <v>0.5</v>
      </c>
      <c r="J9265" t="n">
        <v>0</v>
      </c>
      <c r="K9265" t="n">
        <v>0</v>
      </c>
      <c r="L9265" t="n">
        <v>0</v>
      </c>
      <c r="M9265" t="n">
        <v>0</v>
      </c>
      <c r="N9265" t="n">
        <v>0</v>
      </c>
      <c r="O9265" t="n">
        <v>0</v>
      </c>
      <c r="P9265" t="n">
        <v>0</v>
      </c>
      <c r="Q9265" t="n">
        <v>0</v>
      </c>
      <c r="R9265" t="n">
        <v>0</v>
      </c>
      <c r="S9265" t="n">
        <v>0</v>
      </c>
      <c r="T9265" t="n">
        <v>0</v>
      </c>
      <c r="U9265" t="n">
        <v>0</v>
      </c>
      <c r="V9265" s="2" t="inlineStr"/>
    </row>
    <row r="9266" ht="15" customHeight="1">
      <c r="A9266" t="inlineStr">
        <is>
          <t>A 35205-2024</t>
        </is>
      </c>
      <c r="B9266" t="inlineStr">
        <is>
          <t>avverkningsanmälan</t>
        </is>
      </c>
      <c r="C9266" t="inlineStr">
        <is>
          <t>Föryngringsavverkning</t>
        </is>
      </c>
      <c r="D9266" s="1" t="n">
        <v>45530</v>
      </c>
      <c r="E9266" s="1" t="n">
        <v>46326</v>
      </c>
      <c r="F9266" t="inlineStr">
        <is>
          <t>GÄVLEBORGS LÄN</t>
        </is>
      </c>
      <c r="G9266" t="inlineStr">
        <is>
          <t>GÄVLE</t>
        </is>
      </c>
      <c r="H9266" t="inlineStr">
        <is>
          <t>Bergvik skog öst AB</t>
        </is>
      </c>
      <c r="I9266" t="n">
        <v>0.8</v>
      </c>
      <c r="J9266" t="n">
        <v>0</v>
      </c>
      <c r="K9266" t="n">
        <v>0</v>
      </c>
      <c r="L9266" t="n">
        <v>0</v>
      </c>
      <c r="M9266" t="n">
        <v>0</v>
      </c>
      <c r="N9266" t="n">
        <v>0</v>
      </c>
      <c r="O9266" t="n">
        <v>0</v>
      </c>
      <c r="P9266" t="n">
        <v>0</v>
      </c>
      <c r="Q9266" t="n">
        <v>0</v>
      </c>
      <c r="R9266" t="n">
        <v>0</v>
      </c>
      <c r="S9266" t="n">
        <v>0</v>
      </c>
      <c r="T9266" t="n">
        <v>0</v>
      </c>
      <c r="U9266" t="n">
        <v>0</v>
      </c>
      <c r="V9266" s="2" t="inlineStr"/>
    </row>
    <row r="9267" ht="15" customHeight="1">
      <c r="A9267" t="inlineStr">
        <is>
          <t>A 4565-2024</t>
        </is>
      </c>
      <c r="B9267" t="inlineStr">
        <is>
          <t>avverkningsanmälan</t>
        </is>
      </c>
      <c r="C9267" t="inlineStr">
        <is>
          <t>Föryngringsavverkning</t>
        </is>
      </c>
      <c r="D9267" s="1" t="n">
        <v>45327</v>
      </c>
      <c r="E9267" s="1" t="n">
        <v>46326</v>
      </c>
      <c r="F9267" t="inlineStr">
        <is>
          <t>GÄVLEBORGS LÄN</t>
        </is>
      </c>
      <c r="G9267" t="inlineStr">
        <is>
          <t>HUDIKSVALL</t>
        </is>
      </c>
      <c r="H9267" t="inlineStr">
        <is>
          <t>Holmen skog AB</t>
        </is>
      </c>
      <c r="I9267" t="n">
        <v>34.7</v>
      </c>
      <c r="J9267" t="n">
        <v>0</v>
      </c>
      <c r="K9267" t="n">
        <v>0</v>
      </c>
      <c r="L9267" t="n">
        <v>0</v>
      </c>
      <c r="M9267" t="n">
        <v>0</v>
      </c>
      <c r="N9267" t="n">
        <v>0</v>
      </c>
      <c r="O9267" t="n">
        <v>0</v>
      </c>
      <c r="P9267" t="n">
        <v>0</v>
      </c>
      <c r="Q9267" t="n">
        <v>0</v>
      </c>
      <c r="R9267" t="n">
        <v>0</v>
      </c>
      <c r="S9267" t="n">
        <v>0</v>
      </c>
      <c r="T9267" t="n">
        <v>0</v>
      </c>
      <c r="U9267" t="n">
        <v>0</v>
      </c>
      <c r="V9267" s="2" t="inlineStr"/>
    </row>
    <row r="9268" ht="15" customHeight="1">
      <c r="A9268" t="inlineStr">
        <is>
          <t>A 49786-2024</t>
        </is>
      </c>
      <c r="B9268" t="inlineStr">
        <is>
          <t>avverkningsanmälan</t>
        </is>
      </c>
      <c r="C9268" t="inlineStr">
        <is>
          <t>Föryngringsavverkning</t>
        </is>
      </c>
      <c r="D9268" s="1" t="n">
        <v>45597</v>
      </c>
      <c r="E9268" s="1" t="n">
        <v>46326</v>
      </c>
      <c r="F9268" t="inlineStr">
        <is>
          <t>GÄVLEBORGS LÄN</t>
        </is>
      </c>
      <c r="G9268" t="inlineStr">
        <is>
          <t>SÖDERHAMN</t>
        </is>
      </c>
      <c r="I9268" t="n">
        <v>0.4</v>
      </c>
      <c r="J9268" t="n">
        <v>0</v>
      </c>
      <c r="K9268" t="n">
        <v>0</v>
      </c>
      <c r="L9268" t="n">
        <v>0</v>
      </c>
      <c r="M9268" t="n">
        <v>0</v>
      </c>
      <c r="N9268" t="n">
        <v>0</v>
      </c>
      <c r="O9268" t="n">
        <v>0</v>
      </c>
      <c r="P9268" t="n">
        <v>0</v>
      </c>
      <c r="Q9268" t="n">
        <v>0</v>
      </c>
      <c r="R9268" t="n">
        <v>0</v>
      </c>
      <c r="S9268" t="n">
        <v>0</v>
      </c>
      <c r="T9268" t="n">
        <v>0</v>
      </c>
      <c r="U9268" t="n">
        <v>0</v>
      </c>
      <c r="V9268" s="2" t="inlineStr"/>
    </row>
    <row r="9269" ht="15" customHeight="1">
      <c r="A9269" t="inlineStr">
        <is>
          <t>A 52057-2023</t>
        </is>
      </c>
      <c r="B9269" t="inlineStr">
        <is>
          <t>avverkningsanmälan</t>
        </is>
      </c>
      <c r="C9269" t="inlineStr">
        <is>
          <t>Föryngringsavverkning</t>
        </is>
      </c>
      <c r="D9269" s="1" t="n">
        <v>45223</v>
      </c>
      <c r="E9269" s="1" t="n">
        <v>46326</v>
      </c>
      <c r="F9269" t="inlineStr">
        <is>
          <t>GÄVLEBORGS LÄN</t>
        </is>
      </c>
      <c r="G9269" t="inlineStr">
        <is>
          <t>LJUSDAL</t>
        </is>
      </c>
      <c r="I9269" t="n">
        <v>4.7</v>
      </c>
      <c r="J9269" t="n">
        <v>0</v>
      </c>
      <c r="K9269" t="n">
        <v>0</v>
      </c>
      <c r="L9269" t="n">
        <v>0</v>
      </c>
      <c r="M9269" t="n">
        <v>0</v>
      </c>
      <c r="N9269" t="n">
        <v>0</v>
      </c>
      <c r="O9269" t="n">
        <v>0</v>
      </c>
      <c r="P9269" t="n">
        <v>0</v>
      </c>
      <c r="Q9269" t="n">
        <v>0</v>
      </c>
      <c r="R9269" t="n">
        <v>0</v>
      </c>
      <c r="S9269" t="n">
        <v>0</v>
      </c>
      <c r="T9269" t="n">
        <v>0</v>
      </c>
      <c r="U9269" t="n">
        <v>0</v>
      </c>
      <c r="V9269" s="2" t="inlineStr"/>
    </row>
    <row r="9270" ht="15" customHeight="1">
      <c r="A9270" t="inlineStr">
        <is>
          <t>A 30763-2026</t>
        </is>
      </c>
      <c r="B9270" t="inlineStr">
        <is>
          <t>avverkningsanmälan</t>
        </is>
      </c>
      <c r="C9270" t="inlineStr">
        <is>
          <t>Föryngringsavverkning</t>
        </is>
      </c>
      <c r="D9270" s="1" t="n">
        <v>46212</v>
      </c>
      <c r="E9270" s="1" t="n">
        <v>46326</v>
      </c>
      <c r="F9270" t="inlineStr">
        <is>
          <t>GÄVLEBORGS LÄN</t>
        </is>
      </c>
      <c r="G9270" t="inlineStr">
        <is>
          <t>BOLLNÄS</t>
        </is>
      </c>
      <c r="I9270" t="n">
        <v>0.6</v>
      </c>
      <c r="J9270" t="n">
        <v>0</v>
      </c>
      <c r="K9270" t="n">
        <v>0</v>
      </c>
      <c r="L9270" t="n">
        <v>0</v>
      </c>
      <c r="M9270" t="n">
        <v>0</v>
      </c>
      <c r="N9270" t="n">
        <v>0</v>
      </c>
      <c r="O9270" t="n">
        <v>0</v>
      </c>
      <c r="P9270" t="n">
        <v>0</v>
      </c>
      <c r="Q9270" t="n">
        <v>0</v>
      </c>
      <c r="R9270" t="n">
        <v>0</v>
      </c>
      <c r="S9270" t="n">
        <v>0</v>
      </c>
      <c r="T9270" t="n">
        <v>0</v>
      </c>
      <c r="U9270" t="n">
        <v>0</v>
      </c>
      <c r="V9270" s="2" t="inlineStr"/>
    </row>
    <row r="9271" ht="15" customHeight="1">
      <c r="A9271" t="inlineStr">
        <is>
          <t>A 30785-2026</t>
        </is>
      </c>
      <c r="B9271" t="inlineStr">
        <is>
          <t>avverkningsanmälan</t>
        </is>
      </c>
      <c r="C9271" t="inlineStr">
        <is>
          <t>Föryngringsavverkning</t>
        </is>
      </c>
      <c r="D9271" s="1" t="n">
        <v>46212</v>
      </c>
      <c r="E9271" s="1" t="n">
        <v>46326</v>
      </c>
      <c r="F9271" t="inlineStr">
        <is>
          <t>GÄVLEBORGS LÄN</t>
        </is>
      </c>
      <c r="G9271" t="inlineStr">
        <is>
          <t>BOLLNÄS</t>
        </is>
      </c>
      <c r="I9271" t="n">
        <v>2.3</v>
      </c>
      <c r="J9271" t="n">
        <v>0</v>
      </c>
      <c r="K9271" t="n">
        <v>0</v>
      </c>
      <c r="L9271" t="n">
        <v>0</v>
      </c>
      <c r="M9271" t="n">
        <v>0</v>
      </c>
      <c r="N9271" t="n">
        <v>0</v>
      </c>
      <c r="O9271" t="n">
        <v>0</v>
      </c>
      <c r="P9271" t="n">
        <v>0</v>
      </c>
      <c r="Q9271" t="n">
        <v>0</v>
      </c>
      <c r="R9271" t="n">
        <v>0</v>
      </c>
      <c r="S9271" t="n">
        <v>0</v>
      </c>
      <c r="T9271" t="n">
        <v>0</v>
      </c>
      <c r="U9271" t="n">
        <v>0</v>
      </c>
      <c r="V9271" s="2" t="inlineStr"/>
    </row>
    <row r="9272" ht="15" customHeight="1">
      <c r="A9272" t="inlineStr">
        <is>
          <t>A 30788-2026</t>
        </is>
      </c>
      <c r="B9272" t="inlineStr">
        <is>
          <t>avverkningsanmälan</t>
        </is>
      </c>
      <c r="C9272" t="inlineStr">
        <is>
          <t>Föryngringsavverkning</t>
        </is>
      </c>
      <c r="D9272" s="1" t="n">
        <v>46212</v>
      </c>
      <c r="E9272" s="1" t="n">
        <v>46326</v>
      </c>
      <c r="F9272" t="inlineStr">
        <is>
          <t>GÄVLEBORGS LÄN</t>
        </is>
      </c>
      <c r="G9272" t="inlineStr">
        <is>
          <t>BOLLNÄS</t>
        </is>
      </c>
      <c r="I9272" t="n">
        <v>1</v>
      </c>
      <c r="J9272" t="n">
        <v>0</v>
      </c>
      <c r="K9272" t="n">
        <v>0</v>
      </c>
      <c r="L9272" t="n">
        <v>0</v>
      </c>
      <c r="M9272" t="n">
        <v>0</v>
      </c>
      <c r="N9272" t="n">
        <v>0</v>
      </c>
      <c r="O9272" t="n">
        <v>0</v>
      </c>
      <c r="P9272" t="n">
        <v>0</v>
      </c>
      <c r="Q9272" t="n">
        <v>0</v>
      </c>
      <c r="R9272" t="n">
        <v>0</v>
      </c>
      <c r="S9272" t="n">
        <v>0</v>
      </c>
      <c r="T9272" t="n">
        <v>0</v>
      </c>
      <c r="U9272" t="n">
        <v>0</v>
      </c>
      <c r="V9272" s="2" t="inlineStr"/>
    </row>
    <row r="9273" ht="15" customHeight="1">
      <c r="A9273" t="inlineStr">
        <is>
          <t>A 60283-2022</t>
        </is>
      </c>
      <c r="B9273" t="inlineStr">
        <is>
          <t>avverkningsanmälan</t>
        </is>
      </c>
      <c r="C9273" t="inlineStr">
        <is>
          <t>Avverkning för annat ändamål</t>
        </is>
      </c>
      <c r="D9273" s="1" t="n">
        <v>44910</v>
      </c>
      <c r="E9273" s="1" t="n">
        <v>46326</v>
      </c>
      <c r="F9273" t="inlineStr">
        <is>
          <t>GÄVLEBORGS LÄN</t>
        </is>
      </c>
      <c r="G9273" t="inlineStr">
        <is>
          <t>HUDIKSVALL</t>
        </is>
      </c>
      <c r="I9273" t="n">
        <v>0.7</v>
      </c>
      <c r="J9273" t="n">
        <v>0</v>
      </c>
      <c r="K9273" t="n">
        <v>0</v>
      </c>
      <c r="L9273" t="n">
        <v>0</v>
      </c>
      <c r="M9273" t="n">
        <v>0</v>
      </c>
      <c r="N9273" t="n">
        <v>0</v>
      </c>
      <c r="O9273" t="n">
        <v>0</v>
      </c>
      <c r="P9273" t="n">
        <v>0</v>
      </c>
      <c r="Q9273" t="n">
        <v>0</v>
      </c>
      <c r="R9273" t="n">
        <v>0</v>
      </c>
      <c r="S9273" t="n">
        <v>0</v>
      </c>
      <c r="T9273" t="n">
        <v>0</v>
      </c>
      <c r="U9273" t="n">
        <v>0</v>
      </c>
      <c r="V9273" s="2" t="inlineStr"/>
    </row>
    <row r="9274" ht="15" customHeight="1">
      <c r="A9274" t="inlineStr">
        <is>
          <t>A 8646-2026</t>
        </is>
      </c>
      <c r="B9274" t="inlineStr">
        <is>
          <t>avverkningsanmälan</t>
        </is>
      </c>
      <c r="C9274" t="inlineStr">
        <is>
          <t>Föryngringsavverkning</t>
        </is>
      </c>
      <c r="D9274" s="1" t="n">
        <v>46066</v>
      </c>
      <c r="E9274" s="1" t="n">
        <v>46326</v>
      </c>
      <c r="F9274" t="inlineStr">
        <is>
          <t>GÄVLEBORGS LÄN</t>
        </is>
      </c>
      <c r="G9274" t="inlineStr">
        <is>
          <t>NORDANSTIG</t>
        </is>
      </c>
      <c r="I9274" t="n">
        <v>4</v>
      </c>
      <c r="J9274" t="n">
        <v>0</v>
      </c>
      <c r="K9274" t="n">
        <v>0</v>
      </c>
      <c r="L9274" t="n">
        <v>0</v>
      </c>
      <c r="M9274" t="n">
        <v>0</v>
      </c>
      <c r="N9274" t="n">
        <v>0</v>
      </c>
      <c r="O9274" t="n">
        <v>0</v>
      </c>
      <c r="P9274" t="n">
        <v>0</v>
      </c>
      <c r="Q9274" t="n">
        <v>0</v>
      </c>
      <c r="R9274" t="n">
        <v>0</v>
      </c>
      <c r="S9274" t="n">
        <v>0</v>
      </c>
      <c r="T9274" t="n">
        <v>0</v>
      </c>
      <c r="U9274" t="n">
        <v>0</v>
      </c>
      <c r="V9274" s="2" t="inlineStr"/>
    </row>
    <row r="9275" ht="15" customHeight="1">
      <c r="A9275" t="inlineStr">
        <is>
          <t>A 30630-2026</t>
        </is>
      </c>
      <c r="B9275" t="inlineStr">
        <is>
          <t>avverkningsanmälan</t>
        </is>
      </c>
      <c r="C9275" t="inlineStr">
        <is>
          <t>Föryngringsavverkning</t>
        </is>
      </c>
      <c r="D9275" s="1" t="n">
        <v>46211</v>
      </c>
      <c r="E9275" s="1" t="n">
        <v>46326</v>
      </c>
      <c r="F9275" t="inlineStr">
        <is>
          <t>GÄVLEBORGS LÄN</t>
        </is>
      </c>
      <c r="G9275" t="inlineStr">
        <is>
          <t>OVANÅKER</t>
        </is>
      </c>
      <c r="H9275" t="inlineStr">
        <is>
          <t>Sveaskog</t>
        </is>
      </c>
      <c r="I9275" t="n">
        <v>5.4</v>
      </c>
      <c r="J9275" t="n">
        <v>0</v>
      </c>
      <c r="K9275" t="n">
        <v>0</v>
      </c>
      <c r="L9275" t="n">
        <v>0</v>
      </c>
      <c r="M9275" t="n">
        <v>0</v>
      </c>
      <c r="N9275" t="n">
        <v>0</v>
      </c>
      <c r="O9275" t="n">
        <v>0</v>
      </c>
      <c r="P9275" t="n">
        <v>0</v>
      </c>
      <c r="Q9275" t="n">
        <v>0</v>
      </c>
      <c r="R9275" t="n">
        <v>0</v>
      </c>
      <c r="S9275" t="n">
        <v>0</v>
      </c>
      <c r="T9275" t="n">
        <v>0</v>
      </c>
      <c r="U9275" t="n">
        <v>0</v>
      </c>
      <c r="V9275" s="2" t="inlineStr"/>
    </row>
    <row r="9276" ht="15" customHeight="1">
      <c r="A9276" t="inlineStr">
        <is>
          <t>A 30647-2026</t>
        </is>
      </c>
      <c r="B9276" t="inlineStr">
        <is>
          <t>avverkningsanmälan</t>
        </is>
      </c>
      <c r="C9276" t="inlineStr">
        <is>
          <t>Föryngringsavverkning</t>
        </is>
      </c>
      <c r="D9276" s="1" t="n">
        <v>46211</v>
      </c>
      <c r="E9276" s="1" t="n">
        <v>46326</v>
      </c>
      <c r="F9276" t="inlineStr">
        <is>
          <t>GÄVLEBORGS LÄN</t>
        </is>
      </c>
      <c r="G9276" t="inlineStr">
        <is>
          <t>BOLLNÄS</t>
        </is>
      </c>
      <c r="I9276" t="n">
        <v>1</v>
      </c>
      <c r="J9276" t="n">
        <v>0</v>
      </c>
      <c r="K9276" t="n">
        <v>0</v>
      </c>
      <c r="L9276" t="n">
        <v>0</v>
      </c>
      <c r="M9276" t="n">
        <v>0</v>
      </c>
      <c r="N9276" t="n">
        <v>0</v>
      </c>
      <c r="O9276" t="n">
        <v>0</v>
      </c>
      <c r="P9276" t="n">
        <v>0</v>
      </c>
      <c r="Q9276" t="n">
        <v>0</v>
      </c>
      <c r="R9276" t="n">
        <v>0</v>
      </c>
      <c r="S9276" t="n">
        <v>0</v>
      </c>
      <c r="T9276" t="n">
        <v>0</v>
      </c>
      <c r="U9276" t="n">
        <v>0</v>
      </c>
      <c r="V9276" s="2" t="inlineStr"/>
    </row>
    <row r="9277" ht="15" customHeight="1">
      <c r="A9277" t="inlineStr">
        <is>
          <t>A 42537-2024</t>
        </is>
      </c>
      <c r="B9277" t="inlineStr">
        <is>
          <t>avverkningsanmälan</t>
        </is>
      </c>
      <c r="C9277" t="inlineStr">
        <is>
          <t>Föryngringsavverkning</t>
        </is>
      </c>
      <c r="D9277" s="1" t="n">
        <v>45565</v>
      </c>
      <c r="E9277" s="1" t="n">
        <v>46326</v>
      </c>
      <c r="F9277" t="inlineStr">
        <is>
          <t>GÄVLEBORGS LÄN</t>
        </is>
      </c>
      <c r="G9277" t="inlineStr">
        <is>
          <t>LJUSDAL</t>
        </is>
      </c>
      <c r="I9277" t="n">
        <v>1</v>
      </c>
      <c r="J9277" t="n">
        <v>0</v>
      </c>
      <c r="K9277" t="n">
        <v>0</v>
      </c>
      <c r="L9277" t="n">
        <v>0</v>
      </c>
      <c r="M9277" t="n">
        <v>0</v>
      </c>
      <c r="N9277" t="n">
        <v>0</v>
      </c>
      <c r="O9277" t="n">
        <v>0</v>
      </c>
      <c r="P9277" t="n">
        <v>0</v>
      </c>
      <c r="Q9277" t="n">
        <v>0</v>
      </c>
      <c r="R9277" t="n">
        <v>0</v>
      </c>
      <c r="S9277" t="n">
        <v>0</v>
      </c>
      <c r="T9277" t="n">
        <v>0</v>
      </c>
      <c r="U9277" t="n">
        <v>0</v>
      </c>
      <c r="V9277" s="2" t="inlineStr"/>
    </row>
    <row r="9278" ht="15" customHeight="1">
      <c r="A9278" t="inlineStr">
        <is>
          <t>A 30668-2026</t>
        </is>
      </c>
      <c r="B9278" t="inlineStr">
        <is>
          <t>avverkningsanmälan</t>
        </is>
      </c>
      <c r="C9278" t="inlineStr">
        <is>
          <t>Föryngringsavverkning</t>
        </is>
      </c>
      <c r="D9278" s="1" t="n">
        <v>46211</v>
      </c>
      <c r="E9278" s="1" t="n">
        <v>46326</v>
      </c>
      <c r="F9278" t="inlineStr">
        <is>
          <t>GÄVLEBORGS LÄN</t>
        </is>
      </c>
      <c r="G9278" t="inlineStr">
        <is>
          <t>SÖDERHAMN</t>
        </is>
      </c>
      <c r="I9278" t="n">
        <v>0.8</v>
      </c>
      <c r="J9278" t="n">
        <v>0</v>
      </c>
      <c r="K9278" t="n">
        <v>0</v>
      </c>
      <c r="L9278" t="n">
        <v>0</v>
      </c>
      <c r="M9278" t="n">
        <v>0</v>
      </c>
      <c r="N9278" t="n">
        <v>0</v>
      </c>
      <c r="O9278" t="n">
        <v>0</v>
      </c>
      <c r="P9278" t="n">
        <v>0</v>
      </c>
      <c r="Q9278" t="n">
        <v>0</v>
      </c>
      <c r="R9278" t="n">
        <v>0</v>
      </c>
      <c r="S9278" t="n">
        <v>0</v>
      </c>
      <c r="T9278" t="n">
        <v>0</v>
      </c>
      <c r="U9278" t="n">
        <v>0</v>
      </c>
      <c r="V9278" s="2" t="inlineStr"/>
    </row>
    <row r="9279" ht="15" customHeight="1">
      <c r="A9279" t="inlineStr">
        <is>
          <t>A 6958-2024</t>
        </is>
      </c>
      <c r="B9279" t="inlineStr">
        <is>
          <t>avverkningsanmälan</t>
        </is>
      </c>
      <c r="C9279" t="inlineStr">
        <is>
          <t>Föryngringsavverkning</t>
        </is>
      </c>
      <c r="D9279" s="1" t="n">
        <v>45343</v>
      </c>
      <c r="E9279" s="1" t="n">
        <v>46326</v>
      </c>
      <c r="F9279" t="inlineStr">
        <is>
          <t>GÄVLEBORGS LÄN</t>
        </is>
      </c>
      <c r="G9279" t="inlineStr">
        <is>
          <t>HOFORS</t>
        </is>
      </c>
      <c r="I9279" t="n">
        <v>3.4</v>
      </c>
      <c r="J9279" t="n">
        <v>0</v>
      </c>
      <c r="K9279" t="n">
        <v>0</v>
      </c>
      <c r="L9279" t="n">
        <v>0</v>
      </c>
      <c r="M9279" t="n">
        <v>0</v>
      </c>
      <c r="N9279" t="n">
        <v>0</v>
      </c>
      <c r="O9279" t="n">
        <v>0</v>
      </c>
      <c r="P9279" t="n">
        <v>0</v>
      </c>
      <c r="Q9279" t="n">
        <v>0</v>
      </c>
      <c r="R9279" t="n">
        <v>0</v>
      </c>
      <c r="S9279" t="n">
        <v>0</v>
      </c>
      <c r="T9279" t="n">
        <v>0</v>
      </c>
      <c r="U9279" t="n">
        <v>0</v>
      </c>
      <c r="V9279" s="2" t="inlineStr"/>
    </row>
    <row r="9280" ht="15" customHeight="1">
      <c r="A9280" t="inlineStr">
        <is>
          <t>A 64632-2021</t>
        </is>
      </c>
      <c r="B9280" t="inlineStr">
        <is>
          <t>avverkningsanmälan</t>
        </is>
      </c>
      <c r="C9280" t="inlineStr">
        <is>
          <t>Föryngringsavverkning</t>
        </is>
      </c>
      <c r="D9280" s="1" t="n">
        <v>44511</v>
      </c>
      <c r="E9280" s="1" t="n">
        <v>46326</v>
      </c>
      <c r="F9280" t="inlineStr">
        <is>
          <t>GÄVLEBORGS LÄN</t>
        </is>
      </c>
      <c r="G9280" t="inlineStr">
        <is>
          <t>HUDIKSVALL</t>
        </is>
      </c>
      <c r="I9280" t="n">
        <v>4.2</v>
      </c>
      <c r="J9280" t="n">
        <v>0</v>
      </c>
      <c r="K9280" t="n">
        <v>0</v>
      </c>
      <c r="L9280" t="n">
        <v>0</v>
      </c>
      <c r="M9280" t="n">
        <v>0</v>
      </c>
      <c r="N9280" t="n">
        <v>0</v>
      </c>
      <c r="O9280" t="n">
        <v>0</v>
      </c>
      <c r="P9280" t="n">
        <v>0</v>
      </c>
      <c r="Q9280" t="n">
        <v>0</v>
      </c>
      <c r="R9280" t="n">
        <v>0</v>
      </c>
      <c r="S9280" t="n">
        <v>0</v>
      </c>
      <c r="T9280" t="n">
        <v>0</v>
      </c>
      <c r="U9280" t="n">
        <v>0</v>
      </c>
      <c r="V9280" s="2" t="inlineStr"/>
    </row>
    <row r="9281" ht="15" customHeight="1">
      <c r="A9281" t="inlineStr">
        <is>
          <t>A 30764-2026</t>
        </is>
      </c>
      <c r="B9281" t="inlineStr">
        <is>
          <t>avverkningsanmälan</t>
        </is>
      </c>
      <c r="C9281" t="inlineStr">
        <is>
          <t>Föryngringsavverkning</t>
        </is>
      </c>
      <c r="D9281" s="1" t="n">
        <v>46212</v>
      </c>
      <c r="E9281" s="1" t="n">
        <v>46326</v>
      </c>
      <c r="F9281" t="inlineStr">
        <is>
          <t>GÄVLEBORGS LÄN</t>
        </is>
      </c>
      <c r="G9281" t="inlineStr">
        <is>
          <t>BOLLNÄS</t>
        </is>
      </c>
      <c r="I9281" t="n">
        <v>1.2</v>
      </c>
      <c r="J9281" t="n">
        <v>0</v>
      </c>
      <c r="K9281" t="n">
        <v>0</v>
      </c>
      <c r="L9281" t="n">
        <v>0</v>
      </c>
      <c r="M9281" t="n">
        <v>0</v>
      </c>
      <c r="N9281" t="n">
        <v>0</v>
      </c>
      <c r="O9281" t="n">
        <v>0</v>
      </c>
      <c r="P9281" t="n">
        <v>0</v>
      </c>
      <c r="Q9281" t="n">
        <v>0</v>
      </c>
      <c r="R9281" t="n">
        <v>0</v>
      </c>
      <c r="S9281" t="n">
        <v>0</v>
      </c>
      <c r="T9281" t="n">
        <v>0</v>
      </c>
      <c r="U9281" t="n">
        <v>0</v>
      </c>
      <c r="V9281" s="2" t="inlineStr"/>
    </row>
    <row r="9282" ht="15" customHeight="1">
      <c r="A9282" t="inlineStr">
        <is>
          <t>A 30766-2026</t>
        </is>
      </c>
      <c r="B9282" t="inlineStr">
        <is>
          <t>avverkningsanmälan</t>
        </is>
      </c>
      <c r="C9282" t="inlineStr">
        <is>
          <t>Föryngringsavverkning</t>
        </is>
      </c>
      <c r="D9282" s="1" t="n">
        <v>46212</v>
      </c>
      <c r="E9282" s="1" t="n">
        <v>46326</v>
      </c>
      <c r="F9282" t="inlineStr">
        <is>
          <t>GÄVLEBORGS LÄN</t>
        </is>
      </c>
      <c r="G9282" t="inlineStr">
        <is>
          <t>BOLLNÄS</t>
        </is>
      </c>
      <c r="I9282" t="n">
        <v>2.7</v>
      </c>
      <c r="J9282" t="n">
        <v>0</v>
      </c>
      <c r="K9282" t="n">
        <v>0</v>
      </c>
      <c r="L9282" t="n">
        <v>0</v>
      </c>
      <c r="M9282" t="n">
        <v>0</v>
      </c>
      <c r="N9282" t="n">
        <v>0</v>
      </c>
      <c r="O9282" t="n">
        <v>0</v>
      </c>
      <c r="P9282" t="n">
        <v>0</v>
      </c>
      <c r="Q9282" t="n">
        <v>0</v>
      </c>
      <c r="R9282" t="n">
        <v>0</v>
      </c>
      <c r="S9282" t="n">
        <v>0</v>
      </c>
      <c r="T9282" t="n">
        <v>0</v>
      </c>
      <c r="U9282" t="n">
        <v>0</v>
      </c>
      <c r="V9282" s="2" t="inlineStr"/>
    </row>
    <row r="9283" ht="15" customHeight="1">
      <c r="A9283" t="inlineStr">
        <is>
          <t>A 30777-2026</t>
        </is>
      </c>
      <c r="B9283" t="inlineStr">
        <is>
          <t>avverkningsanmälan</t>
        </is>
      </c>
      <c r="C9283" t="inlineStr">
        <is>
          <t>Föryngringsavverkning</t>
        </is>
      </c>
      <c r="D9283" s="1" t="n">
        <v>46212</v>
      </c>
      <c r="E9283" s="1" t="n">
        <v>46326</v>
      </c>
      <c r="F9283" t="inlineStr">
        <is>
          <t>GÄVLEBORGS LÄN</t>
        </is>
      </c>
      <c r="G9283" t="inlineStr">
        <is>
          <t>BOLLNÄS</t>
        </is>
      </c>
      <c r="I9283" t="n">
        <v>1.3</v>
      </c>
      <c r="J9283" t="n">
        <v>0</v>
      </c>
      <c r="K9283" t="n">
        <v>0</v>
      </c>
      <c r="L9283" t="n">
        <v>0</v>
      </c>
      <c r="M9283" t="n">
        <v>0</v>
      </c>
      <c r="N9283" t="n">
        <v>0</v>
      </c>
      <c r="O9283" t="n">
        <v>0</v>
      </c>
      <c r="P9283" t="n">
        <v>0</v>
      </c>
      <c r="Q9283" t="n">
        <v>0</v>
      </c>
      <c r="R9283" t="n">
        <v>0</v>
      </c>
      <c r="S9283" t="n">
        <v>0</v>
      </c>
      <c r="T9283" t="n">
        <v>0</v>
      </c>
      <c r="U9283" t="n">
        <v>0</v>
      </c>
      <c r="V9283" s="2" t="inlineStr"/>
    </row>
    <row r="9284" ht="15" customHeight="1">
      <c r="A9284" t="inlineStr">
        <is>
          <t>A 30787-2026</t>
        </is>
      </c>
      <c r="B9284" t="inlineStr">
        <is>
          <t>avverkningsanmälan</t>
        </is>
      </c>
      <c r="C9284" t="inlineStr">
        <is>
          <t>Föryngringsavverkning</t>
        </is>
      </c>
      <c r="D9284" s="1" t="n">
        <v>46212</v>
      </c>
      <c r="E9284" s="1" t="n">
        <v>46326</v>
      </c>
      <c r="F9284" t="inlineStr">
        <is>
          <t>GÄVLEBORGS LÄN</t>
        </is>
      </c>
      <c r="G9284" t="inlineStr">
        <is>
          <t>BOLLNÄS</t>
        </is>
      </c>
      <c r="I9284" t="n">
        <v>3.7</v>
      </c>
      <c r="J9284" t="n">
        <v>0</v>
      </c>
      <c r="K9284" t="n">
        <v>0</v>
      </c>
      <c r="L9284" t="n">
        <v>0</v>
      </c>
      <c r="M9284" t="n">
        <v>0</v>
      </c>
      <c r="N9284" t="n">
        <v>0</v>
      </c>
      <c r="O9284" t="n">
        <v>0</v>
      </c>
      <c r="P9284" t="n">
        <v>0</v>
      </c>
      <c r="Q9284" t="n">
        <v>0</v>
      </c>
      <c r="R9284" t="n">
        <v>0</v>
      </c>
      <c r="S9284" t="n">
        <v>0</v>
      </c>
      <c r="T9284" t="n">
        <v>0</v>
      </c>
      <c r="U9284" t="n">
        <v>0</v>
      </c>
      <c r="V9284" s="2" t="inlineStr"/>
    </row>
    <row r="9285" ht="15" customHeight="1">
      <c r="A9285" t="inlineStr">
        <is>
          <t>A 19652-2024</t>
        </is>
      </c>
      <c r="B9285" t="inlineStr">
        <is>
          <t>avverkningsanmälan</t>
        </is>
      </c>
      <c r="C9285" t="inlineStr">
        <is>
          <t>Föryngringsavverkning</t>
        </is>
      </c>
      <c r="D9285" s="1" t="n">
        <v>45432</v>
      </c>
      <c r="E9285" s="1" t="n">
        <v>46326</v>
      </c>
      <c r="F9285" t="inlineStr">
        <is>
          <t>GÄVLEBORGS LÄN</t>
        </is>
      </c>
      <c r="G9285" t="inlineStr">
        <is>
          <t>SÖDERHAMN</t>
        </is>
      </c>
      <c r="I9285" t="n">
        <v>1.2</v>
      </c>
      <c r="J9285" t="n">
        <v>0</v>
      </c>
      <c r="K9285" t="n">
        <v>0</v>
      </c>
      <c r="L9285" t="n">
        <v>0</v>
      </c>
      <c r="M9285" t="n">
        <v>0</v>
      </c>
      <c r="N9285" t="n">
        <v>0</v>
      </c>
      <c r="O9285" t="n">
        <v>0</v>
      </c>
      <c r="P9285" t="n">
        <v>0</v>
      </c>
      <c r="Q9285" t="n">
        <v>0</v>
      </c>
      <c r="R9285" t="n">
        <v>0</v>
      </c>
      <c r="S9285" t="n">
        <v>0</v>
      </c>
      <c r="T9285" t="n">
        <v>0</v>
      </c>
      <c r="U9285" t="n">
        <v>0</v>
      </c>
      <c r="V9285" s="2" t="inlineStr"/>
    </row>
    <row r="9286" ht="15" customHeight="1">
      <c r="A9286" t="inlineStr">
        <is>
          <t>A 18525-2025</t>
        </is>
      </c>
      <c r="B9286" t="inlineStr">
        <is>
          <t>avverkningsanmälan</t>
        </is>
      </c>
      <c r="C9286" t="inlineStr">
        <is>
          <t>Föryngringsavverkning</t>
        </is>
      </c>
      <c r="D9286" s="1" t="n">
        <v>45763</v>
      </c>
      <c r="E9286" s="1" t="n">
        <v>46326</v>
      </c>
      <c r="F9286" t="inlineStr">
        <is>
          <t>GÄVLEBORGS LÄN</t>
        </is>
      </c>
      <c r="G9286" t="inlineStr">
        <is>
          <t>NORDANSTIG</t>
        </is>
      </c>
      <c r="H9286" t="inlineStr">
        <is>
          <t>Holmen skog AB</t>
        </is>
      </c>
      <c r="I9286" t="n">
        <v>5</v>
      </c>
      <c r="J9286" t="n">
        <v>0</v>
      </c>
      <c r="K9286" t="n">
        <v>0</v>
      </c>
      <c r="L9286" t="n">
        <v>0</v>
      </c>
      <c r="M9286" t="n">
        <v>0</v>
      </c>
      <c r="N9286" t="n">
        <v>0</v>
      </c>
      <c r="O9286" t="n">
        <v>0</v>
      </c>
      <c r="P9286" t="n">
        <v>0</v>
      </c>
      <c r="Q9286" t="n">
        <v>0</v>
      </c>
      <c r="R9286" t="n">
        <v>0</v>
      </c>
      <c r="S9286" t="n">
        <v>0</v>
      </c>
      <c r="T9286" t="n">
        <v>0</v>
      </c>
      <c r="U9286" t="n">
        <v>0</v>
      </c>
      <c r="V9286" s="2" t="inlineStr"/>
    </row>
    <row r="9287" ht="15" customHeight="1">
      <c r="A9287" t="inlineStr">
        <is>
          <t>A 46828-2024</t>
        </is>
      </c>
      <c r="B9287" t="inlineStr">
        <is>
          <t>avverkningsanmälan</t>
        </is>
      </c>
      <c r="C9287" t="inlineStr">
        <is>
          <t>Föryngringsavverkning</t>
        </is>
      </c>
      <c r="D9287" s="1" t="n">
        <v>45583</v>
      </c>
      <c r="E9287" s="1" t="n">
        <v>46326</v>
      </c>
      <c r="F9287" t="inlineStr">
        <is>
          <t>GÄVLEBORGS LÄN</t>
        </is>
      </c>
      <c r="G9287" t="inlineStr">
        <is>
          <t>HUDIKSVALL</t>
        </is>
      </c>
      <c r="H9287" t="inlineStr">
        <is>
          <t>Holmen skog AB</t>
        </is>
      </c>
      <c r="I9287" t="n">
        <v>19.1</v>
      </c>
      <c r="J9287" t="n">
        <v>0</v>
      </c>
      <c r="K9287" t="n">
        <v>0</v>
      </c>
      <c r="L9287" t="n">
        <v>0</v>
      </c>
      <c r="M9287" t="n">
        <v>0</v>
      </c>
      <c r="N9287" t="n">
        <v>0</v>
      </c>
      <c r="O9287" t="n">
        <v>0</v>
      </c>
      <c r="P9287" t="n">
        <v>0</v>
      </c>
      <c r="Q9287" t="n">
        <v>0</v>
      </c>
      <c r="R9287" t="n">
        <v>0</v>
      </c>
      <c r="S9287" t="n">
        <v>0</v>
      </c>
      <c r="T9287" t="n">
        <v>0</v>
      </c>
      <c r="U9287" t="n">
        <v>0</v>
      </c>
      <c r="V9287" s="2" t="inlineStr"/>
    </row>
    <row r="9288" ht="15" customHeight="1">
      <c r="A9288" t="inlineStr">
        <is>
          <t>A 15788-2025</t>
        </is>
      </c>
      <c r="B9288" t="inlineStr">
        <is>
          <t>avverkningsanmälan</t>
        </is>
      </c>
      <c r="C9288" t="inlineStr">
        <is>
          <t>Föryngringsavverkning</t>
        </is>
      </c>
      <c r="D9288" s="1" t="n">
        <v>45748</v>
      </c>
      <c r="E9288" s="1" t="n">
        <v>46326</v>
      </c>
      <c r="F9288" t="inlineStr">
        <is>
          <t>GÄVLEBORGS LÄN</t>
        </is>
      </c>
      <c r="G9288" t="inlineStr">
        <is>
          <t>SANDVIKEN</t>
        </is>
      </c>
      <c r="I9288" t="n">
        <v>4.7</v>
      </c>
      <c r="J9288" t="n">
        <v>0</v>
      </c>
      <c r="K9288" t="n">
        <v>0</v>
      </c>
      <c r="L9288" t="n">
        <v>0</v>
      </c>
      <c r="M9288" t="n">
        <v>0</v>
      </c>
      <c r="N9288" t="n">
        <v>0</v>
      </c>
      <c r="O9288" t="n">
        <v>0</v>
      </c>
      <c r="P9288" t="n">
        <v>0</v>
      </c>
      <c r="Q9288" t="n">
        <v>0</v>
      </c>
      <c r="R9288" t="n">
        <v>0</v>
      </c>
      <c r="S9288" t="n">
        <v>0</v>
      </c>
      <c r="T9288" t="n">
        <v>0</v>
      </c>
      <c r="U9288" t="n">
        <v>0</v>
      </c>
      <c r="V9288" s="2" t="inlineStr"/>
    </row>
    <row r="9289" ht="15" customHeight="1">
      <c r="A9289" t="inlineStr">
        <is>
          <t>A 12325-2025</t>
        </is>
      </c>
      <c r="B9289" t="inlineStr">
        <is>
          <t>avverkningsanmälan</t>
        </is>
      </c>
      <c r="C9289" t="inlineStr">
        <is>
          <t>Föryngringsavverkning</t>
        </is>
      </c>
      <c r="D9289" s="1" t="n">
        <v>45730</v>
      </c>
      <c r="E9289" s="1" t="n">
        <v>46326</v>
      </c>
      <c r="F9289" t="inlineStr">
        <is>
          <t>GÄVLEBORGS LÄN</t>
        </is>
      </c>
      <c r="G9289" t="inlineStr">
        <is>
          <t>OVANÅKER</t>
        </is>
      </c>
      <c r="I9289" t="n">
        <v>4</v>
      </c>
      <c r="J9289" t="n">
        <v>0</v>
      </c>
      <c r="K9289" t="n">
        <v>0</v>
      </c>
      <c r="L9289" t="n">
        <v>0</v>
      </c>
      <c r="M9289" t="n">
        <v>0</v>
      </c>
      <c r="N9289" t="n">
        <v>0</v>
      </c>
      <c r="O9289" t="n">
        <v>0</v>
      </c>
      <c r="P9289" t="n">
        <v>0</v>
      </c>
      <c r="Q9289" t="n">
        <v>0</v>
      </c>
      <c r="R9289" t="n">
        <v>0</v>
      </c>
      <c r="S9289" t="n">
        <v>0</v>
      </c>
      <c r="T9289" t="n">
        <v>0</v>
      </c>
      <c r="U9289" t="n">
        <v>0</v>
      </c>
      <c r="V9289" s="2" t="inlineStr"/>
    </row>
    <row r="9290" ht="15" customHeight="1">
      <c r="A9290" t="inlineStr">
        <is>
          <t>A 12326-2025</t>
        </is>
      </c>
      <c r="B9290" t="inlineStr">
        <is>
          <t>avverkningsanmälan</t>
        </is>
      </c>
      <c r="C9290" t="inlineStr">
        <is>
          <t>Föryngringsavverkning</t>
        </is>
      </c>
      <c r="D9290" s="1" t="n">
        <v>45730</v>
      </c>
      <c r="E9290" s="1" t="n">
        <v>46326</v>
      </c>
      <c r="F9290" t="inlineStr">
        <is>
          <t>GÄVLEBORGS LÄN</t>
        </is>
      </c>
      <c r="G9290" t="inlineStr">
        <is>
          <t>OVANÅKER</t>
        </is>
      </c>
      <c r="I9290" t="n">
        <v>0.5</v>
      </c>
      <c r="J9290" t="n">
        <v>0</v>
      </c>
      <c r="K9290" t="n">
        <v>0</v>
      </c>
      <c r="L9290" t="n">
        <v>0</v>
      </c>
      <c r="M9290" t="n">
        <v>0</v>
      </c>
      <c r="N9290" t="n">
        <v>0</v>
      </c>
      <c r="O9290" t="n">
        <v>0</v>
      </c>
      <c r="P9290" t="n">
        <v>0</v>
      </c>
      <c r="Q9290" t="n">
        <v>0</v>
      </c>
      <c r="R9290" t="n">
        <v>0</v>
      </c>
      <c r="S9290" t="n">
        <v>0</v>
      </c>
      <c r="T9290" t="n">
        <v>0</v>
      </c>
      <c r="U9290" t="n">
        <v>0</v>
      </c>
      <c r="V9290" s="2" t="inlineStr"/>
    </row>
    <row r="9291" ht="15" customHeight="1">
      <c r="A9291" t="inlineStr">
        <is>
          <t>A 3942-2023</t>
        </is>
      </c>
      <c r="B9291" t="inlineStr">
        <is>
          <t>avverkningsanmälan</t>
        </is>
      </c>
      <c r="C9291" t="inlineStr">
        <is>
          <t>Föryngringsavverkning</t>
        </is>
      </c>
      <c r="D9291" s="1" t="n">
        <v>44952</v>
      </c>
      <c r="E9291" s="1" t="n">
        <v>46326</v>
      </c>
      <c r="F9291" t="inlineStr">
        <is>
          <t>GÄVLEBORGS LÄN</t>
        </is>
      </c>
      <c r="G9291" t="inlineStr">
        <is>
          <t>HUDIKSVALL</t>
        </is>
      </c>
      <c r="I9291" t="n">
        <v>1.9</v>
      </c>
      <c r="J9291" t="n">
        <v>0</v>
      </c>
      <c r="K9291" t="n">
        <v>0</v>
      </c>
      <c r="L9291" t="n">
        <v>0</v>
      </c>
      <c r="M9291" t="n">
        <v>0</v>
      </c>
      <c r="N9291" t="n">
        <v>0</v>
      </c>
      <c r="O9291" t="n">
        <v>0</v>
      </c>
      <c r="P9291" t="n">
        <v>0</v>
      </c>
      <c r="Q9291" t="n">
        <v>0</v>
      </c>
      <c r="R9291" t="n">
        <v>0</v>
      </c>
      <c r="S9291" t="n">
        <v>0</v>
      </c>
      <c r="T9291" t="n">
        <v>0</v>
      </c>
      <c r="U9291" t="n">
        <v>0</v>
      </c>
      <c r="V9291" s="2" t="inlineStr"/>
    </row>
    <row r="9292" ht="15" customHeight="1">
      <c r="A9292" t="inlineStr">
        <is>
          <t>A 7307-2026</t>
        </is>
      </c>
      <c r="B9292" t="inlineStr">
        <is>
          <t>avverkningsanmälan</t>
        </is>
      </c>
      <c r="C9292" t="inlineStr">
        <is>
          <t>Föryngringsavverkning</t>
        </is>
      </c>
      <c r="D9292" s="1" t="n">
        <v>46058</v>
      </c>
      <c r="E9292" s="1" t="n">
        <v>46326</v>
      </c>
      <c r="F9292" t="inlineStr">
        <is>
          <t>GÄVLEBORGS LÄN</t>
        </is>
      </c>
      <c r="G9292" t="inlineStr">
        <is>
          <t>OVANÅKER</t>
        </is>
      </c>
      <c r="I9292" t="n">
        <v>0.6</v>
      </c>
      <c r="J9292" t="n">
        <v>0</v>
      </c>
      <c r="K9292" t="n">
        <v>0</v>
      </c>
      <c r="L9292" t="n">
        <v>0</v>
      </c>
      <c r="M9292" t="n">
        <v>0</v>
      </c>
      <c r="N9292" t="n">
        <v>0</v>
      </c>
      <c r="O9292" t="n">
        <v>0</v>
      </c>
      <c r="P9292" t="n">
        <v>0</v>
      </c>
      <c r="Q9292" t="n">
        <v>0</v>
      </c>
      <c r="R9292" t="n">
        <v>0</v>
      </c>
      <c r="S9292" t="n">
        <v>0</v>
      </c>
      <c r="T9292" t="n">
        <v>0</v>
      </c>
      <c r="U9292" t="n">
        <v>0</v>
      </c>
      <c r="V9292" s="2" t="inlineStr"/>
    </row>
    <row r="9293" ht="15" customHeight="1">
      <c r="A9293" t="inlineStr">
        <is>
          <t>A 9017-2026</t>
        </is>
      </c>
      <c r="B9293" t="inlineStr">
        <is>
          <t>avverkningsanmälan</t>
        </is>
      </c>
      <c r="C9293" t="inlineStr">
        <is>
          <t>Föryngringsavverkning</t>
        </is>
      </c>
      <c r="D9293" s="1" t="n">
        <v>46069</v>
      </c>
      <c r="E9293" s="1" t="n">
        <v>46326</v>
      </c>
      <c r="F9293" t="inlineStr">
        <is>
          <t>GÄVLEBORGS LÄN</t>
        </is>
      </c>
      <c r="G9293" t="inlineStr">
        <is>
          <t>OVANÅKER</t>
        </is>
      </c>
      <c r="I9293" t="n">
        <v>1.2</v>
      </c>
      <c r="J9293" t="n">
        <v>0</v>
      </c>
      <c r="K9293" t="n">
        <v>0</v>
      </c>
      <c r="L9293" t="n">
        <v>0</v>
      </c>
      <c r="M9293" t="n">
        <v>0</v>
      </c>
      <c r="N9293" t="n">
        <v>0</v>
      </c>
      <c r="O9293" t="n">
        <v>0</v>
      </c>
      <c r="P9293" t="n">
        <v>0</v>
      </c>
      <c r="Q9293" t="n">
        <v>0</v>
      </c>
      <c r="R9293" t="n">
        <v>0</v>
      </c>
      <c r="S9293" t="n">
        <v>0</v>
      </c>
      <c r="T9293" t="n">
        <v>0</v>
      </c>
      <c r="U9293" t="n">
        <v>0</v>
      </c>
      <c r="V9293" s="2" t="inlineStr"/>
    </row>
    <row r="9294" ht="15" customHeight="1">
      <c r="A9294" t="inlineStr">
        <is>
          <t>A 34363-2022</t>
        </is>
      </c>
      <c r="B9294" t="inlineStr">
        <is>
          <t>avverkningsanmälan</t>
        </is>
      </c>
      <c r="C9294" t="inlineStr">
        <is>
          <t>Föryngringsavverkning</t>
        </is>
      </c>
      <c r="D9294" s="1" t="n">
        <v>44792</v>
      </c>
      <c r="E9294" s="1" t="n">
        <v>46326</v>
      </c>
      <c r="F9294" t="inlineStr">
        <is>
          <t>GÄVLEBORGS LÄN</t>
        </is>
      </c>
      <c r="G9294" t="inlineStr">
        <is>
          <t>HUDIKSVALL</t>
        </is>
      </c>
      <c r="H9294" t="inlineStr">
        <is>
          <t>Holmen skog AB</t>
        </is>
      </c>
      <c r="I9294" t="n">
        <v>1.6</v>
      </c>
      <c r="J9294" t="n">
        <v>0</v>
      </c>
      <c r="K9294" t="n">
        <v>0</v>
      </c>
      <c r="L9294" t="n">
        <v>0</v>
      </c>
      <c r="M9294" t="n">
        <v>0</v>
      </c>
      <c r="N9294" t="n">
        <v>0</v>
      </c>
      <c r="O9294" t="n">
        <v>0</v>
      </c>
      <c r="P9294" t="n">
        <v>0</v>
      </c>
      <c r="Q9294" t="n">
        <v>0</v>
      </c>
      <c r="R9294" t="n">
        <v>0</v>
      </c>
      <c r="S9294" t="n">
        <v>0</v>
      </c>
      <c r="T9294" t="n">
        <v>0</v>
      </c>
      <c r="U9294" t="n">
        <v>0</v>
      </c>
      <c r="V9294" s="2" t="inlineStr"/>
    </row>
    <row r="9295" ht="15" customHeight="1">
      <c r="A9295" t="inlineStr">
        <is>
          <t>A 30083-2024</t>
        </is>
      </c>
      <c r="B9295" t="inlineStr">
        <is>
          <t>avverkningsanmälan</t>
        </is>
      </c>
      <c r="C9295" t="inlineStr">
        <is>
          <t>Föryngringsavverkning</t>
        </is>
      </c>
      <c r="D9295" s="1" t="n">
        <v>45489</v>
      </c>
      <c r="E9295" s="1" t="n">
        <v>46326</v>
      </c>
      <c r="F9295" t="inlineStr">
        <is>
          <t>GÄVLEBORGS LÄN</t>
        </is>
      </c>
      <c r="G9295" t="inlineStr">
        <is>
          <t>HUDIKSVALL</t>
        </is>
      </c>
      <c r="H9295" t="inlineStr">
        <is>
          <t>Holmen skog AB</t>
        </is>
      </c>
      <c r="I9295" t="n">
        <v>1.1</v>
      </c>
      <c r="J9295" t="n">
        <v>0</v>
      </c>
      <c r="K9295" t="n">
        <v>0</v>
      </c>
      <c r="L9295" t="n">
        <v>0</v>
      </c>
      <c r="M9295" t="n">
        <v>0</v>
      </c>
      <c r="N9295" t="n">
        <v>0</v>
      </c>
      <c r="O9295" t="n">
        <v>0</v>
      </c>
      <c r="P9295" t="n">
        <v>0</v>
      </c>
      <c r="Q9295" t="n">
        <v>0</v>
      </c>
      <c r="R9295" t="n">
        <v>0</v>
      </c>
      <c r="S9295" t="n">
        <v>0</v>
      </c>
      <c r="T9295" t="n">
        <v>0</v>
      </c>
      <c r="U9295" t="n">
        <v>0</v>
      </c>
      <c r="V9295" s="2" t="inlineStr"/>
    </row>
    <row r="9296" ht="15" customHeight="1">
      <c r="A9296" t="inlineStr">
        <is>
          <t>A 31136-2026</t>
        </is>
      </c>
      <c r="B9296" t="inlineStr">
        <is>
          <t>avverkningsanmälan</t>
        </is>
      </c>
      <c r="C9296" t="inlineStr">
        <is>
          <t>Föryngringsavverkning</t>
        </is>
      </c>
      <c r="D9296" s="1" t="n">
        <v>46216</v>
      </c>
      <c r="E9296" s="1" t="n">
        <v>46326</v>
      </c>
      <c r="F9296" t="inlineStr">
        <is>
          <t>GÄVLEBORGS LÄN</t>
        </is>
      </c>
      <c r="G9296" t="inlineStr">
        <is>
          <t>BOLLNÄS</t>
        </is>
      </c>
      <c r="I9296" t="n">
        <v>0.8</v>
      </c>
      <c r="J9296" t="n">
        <v>0</v>
      </c>
      <c r="K9296" t="n">
        <v>0</v>
      </c>
      <c r="L9296" t="n">
        <v>0</v>
      </c>
      <c r="M9296" t="n">
        <v>0</v>
      </c>
      <c r="N9296" t="n">
        <v>0</v>
      </c>
      <c r="O9296" t="n">
        <v>0</v>
      </c>
      <c r="P9296" t="n">
        <v>0</v>
      </c>
      <c r="Q9296" t="n">
        <v>0</v>
      </c>
      <c r="R9296" t="n">
        <v>0</v>
      </c>
      <c r="S9296" t="n">
        <v>0</v>
      </c>
      <c r="T9296" t="n">
        <v>0</v>
      </c>
      <c r="U9296" t="n">
        <v>0</v>
      </c>
      <c r="V9296" s="2" t="inlineStr"/>
    </row>
    <row r="9297" ht="15" customHeight="1">
      <c r="A9297" t="inlineStr">
        <is>
          <t>A 40577-2022</t>
        </is>
      </c>
      <c r="B9297" t="inlineStr">
        <is>
          <t>avverkningsanmälan</t>
        </is>
      </c>
      <c r="C9297" t="inlineStr">
        <is>
          <t>Föryngringsavverkning</t>
        </is>
      </c>
      <c r="D9297" s="1" t="n">
        <v>44823</v>
      </c>
      <c r="E9297" s="1" t="n">
        <v>46326</v>
      </c>
      <c r="F9297" t="inlineStr">
        <is>
          <t>GÄVLEBORGS LÄN</t>
        </is>
      </c>
      <c r="G9297" t="inlineStr">
        <is>
          <t>SÖDERHAMN</t>
        </is>
      </c>
      <c r="I9297" t="n">
        <v>1.3</v>
      </c>
      <c r="J9297" t="n">
        <v>0</v>
      </c>
      <c r="K9297" t="n">
        <v>0</v>
      </c>
      <c r="L9297" t="n">
        <v>0</v>
      </c>
      <c r="M9297" t="n">
        <v>0</v>
      </c>
      <c r="N9297" t="n">
        <v>0</v>
      </c>
      <c r="O9297" t="n">
        <v>0</v>
      </c>
      <c r="P9297" t="n">
        <v>0</v>
      </c>
      <c r="Q9297" t="n">
        <v>0</v>
      </c>
      <c r="R9297" t="n">
        <v>0</v>
      </c>
      <c r="S9297" t="n">
        <v>0</v>
      </c>
      <c r="T9297" t="n">
        <v>0</v>
      </c>
      <c r="U9297" t="n">
        <v>0</v>
      </c>
      <c r="V9297" s="2" t="inlineStr"/>
    </row>
    <row r="9298" ht="15" customHeight="1">
      <c r="A9298" t="inlineStr">
        <is>
          <t>A 38144-2023</t>
        </is>
      </c>
      <c r="B9298" t="inlineStr">
        <is>
          <t>avverkningsanmälan</t>
        </is>
      </c>
      <c r="C9298" t="inlineStr">
        <is>
          <t>Föryngringsavverkning</t>
        </is>
      </c>
      <c r="D9298" s="1" t="n">
        <v>45161</v>
      </c>
      <c r="E9298" s="1" t="n">
        <v>46326</v>
      </c>
      <c r="F9298" t="inlineStr">
        <is>
          <t>GÄVLEBORGS LÄN</t>
        </is>
      </c>
      <c r="G9298" t="inlineStr">
        <is>
          <t>OVANÅKER</t>
        </is>
      </c>
      <c r="I9298" t="n">
        <v>1.2</v>
      </c>
      <c r="J9298" t="n">
        <v>0</v>
      </c>
      <c r="K9298" t="n">
        <v>0</v>
      </c>
      <c r="L9298" t="n">
        <v>0</v>
      </c>
      <c r="M9298" t="n">
        <v>0</v>
      </c>
      <c r="N9298" t="n">
        <v>0</v>
      </c>
      <c r="O9298" t="n">
        <v>0</v>
      </c>
      <c r="P9298" t="n">
        <v>0</v>
      </c>
      <c r="Q9298" t="n">
        <v>0</v>
      </c>
      <c r="R9298" t="n">
        <v>0</v>
      </c>
      <c r="S9298" t="n">
        <v>0</v>
      </c>
      <c r="T9298" t="n">
        <v>0</v>
      </c>
      <c r="U9298" t="n">
        <v>0</v>
      </c>
      <c r="V9298" s="2" t="inlineStr"/>
    </row>
    <row r="9299" ht="15" customHeight="1">
      <c r="A9299" t="inlineStr">
        <is>
          <t>A 30987-2026</t>
        </is>
      </c>
      <c r="B9299" t="inlineStr">
        <is>
          <t>avverkningsanmälan</t>
        </is>
      </c>
      <c r="C9299" t="inlineStr">
        <is>
          <t>Föryngringsavverkning</t>
        </is>
      </c>
      <c r="D9299" s="1" t="n">
        <v>46213</v>
      </c>
      <c r="E9299" s="1" t="n">
        <v>46326</v>
      </c>
      <c r="F9299" t="inlineStr">
        <is>
          <t>GÄVLEBORGS LÄN</t>
        </is>
      </c>
      <c r="G9299" t="inlineStr">
        <is>
          <t>OVANÅKER</t>
        </is>
      </c>
      <c r="I9299" t="n">
        <v>1.1</v>
      </c>
      <c r="J9299" t="n">
        <v>0</v>
      </c>
      <c r="K9299" t="n">
        <v>0</v>
      </c>
      <c r="L9299" t="n">
        <v>0</v>
      </c>
      <c r="M9299" t="n">
        <v>0</v>
      </c>
      <c r="N9299" t="n">
        <v>0</v>
      </c>
      <c r="O9299" t="n">
        <v>0</v>
      </c>
      <c r="P9299" t="n">
        <v>0</v>
      </c>
      <c r="Q9299" t="n">
        <v>0</v>
      </c>
      <c r="R9299" t="n">
        <v>0</v>
      </c>
      <c r="S9299" t="n">
        <v>0</v>
      </c>
      <c r="T9299" t="n">
        <v>0</v>
      </c>
      <c r="U9299" t="n">
        <v>0</v>
      </c>
      <c r="V9299" s="2" t="inlineStr"/>
    </row>
    <row r="9300" ht="15" customHeight="1">
      <c r="A9300" t="inlineStr">
        <is>
          <t>A 30916-2026</t>
        </is>
      </c>
      <c r="B9300" t="inlineStr">
        <is>
          <t>avverkningsanmälan</t>
        </is>
      </c>
      <c r="C9300" t="inlineStr">
        <is>
          <t>Föryngringsavverkning</t>
        </is>
      </c>
      <c r="D9300" s="1" t="n">
        <v>46213</v>
      </c>
      <c r="E9300" s="1" t="n">
        <v>46326</v>
      </c>
      <c r="F9300" t="inlineStr">
        <is>
          <t>GÄVLEBORGS LÄN</t>
        </is>
      </c>
      <c r="G9300" t="inlineStr">
        <is>
          <t>BOLLNÄS</t>
        </is>
      </c>
      <c r="I9300" t="n">
        <v>1</v>
      </c>
      <c r="J9300" t="n">
        <v>0</v>
      </c>
      <c r="K9300" t="n">
        <v>0</v>
      </c>
      <c r="L9300" t="n">
        <v>0</v>
      </c>
      <c r="M9300" t="n">
        <v>0</v>
      </c>
      <c r="N9300" t="n">
        <v>0</v>
      </c>
      <c r="O9300" t="n">
        <v>0</v>
      </c>
      <c r="P9300" t="n">
        <v>0</v>
      </c>
      <c r="Q9300" t="n">
        <v>0</v>
      </c>
      <c r="R9300" t="n">
        <v>0</v>
      </c>
      <c r="S9300" t="n">
        <v>0</v>
      </c>
      <c r="T9300" t="n">
        <v>0</v>
      </c>
      <c r="U9300" t="n">
        <v>0</v>
      </c>
      <c r="V9300" s="2" t="inlineStr"/>
    </row>
    <row r="9301" ht="15" customHeight="1">
      <c r="A9301" t="inlineStr">
        <is>
          <t>A 30967-2026</t>
        </is>
      </c>
      <c r="B9301" t="inlineStr">
        <is>
          <t>avverkningsanmälan</t>
        </is>
      </c>
      <c r="C9301" t="inlineStr">
        <is>
          <t>Föryngringsavverkning</t>
        </is>
      </c>
      <c r="D9301" s="1" t="n">
        <v>46213</v>
      </c>
      <c r="E9301" s="1" t="n">
        <v>46326</v>
      </c>
      <c r="F9301" t="inlineStr">
        <is>
          <t>GÄVLEBORGS LÄN</t>
        </is>
      </c>
      <c r="G9301" t="inlineStr">
        <is>
          <t>GÄVLE</t>
        </is>
      </c>
      <c r="H9301" t="inlineStr">
        <is>
          <t>Bergvik skog öst AB</t>
        </is>
      </c>
      <c r="I9301" t="n">
        <v>0.8</v>
      </c>
      <c r="J9301" t="n">
        <v>0</v>
      </c>
      <c r="K9301" t="n">
        <v>0</v>
      </c>
      <c r="L9301" t="n">
        <v>0</v>
      </c>
      <c r="M9301" t="n">
        <v>0</v>
      </c>
      <c r="N9301" t="n">
        <v>0</v>
      </c>
      <c r="O9301" t="n">
        <v>0</v>
      </c>
      <c r="P9301" t="n">
        <v>0</v>
      </c>
      <c r="Q9301" t="n">
        <v>0</v>
      </c>
      <c r="R9301" t="n">
        <v>0</v>
      </c>
      <c r="S9301" t="n">
        <v>0</v>
      </c>
      <c r="T9301" t="n">
        <v>0</v>
      </c>
      <c r="U9301" t="n">
        <v>0</v>
      </c>
      <c r="V9301" s="2" t="inlineStr"/>
    </row>
    <row r="9302" ht="15" customHeight="1">
      <c r="A9302" t="inlineStr">
        <is>
          <t>A 31030-2026</t>
        </is>
      </c>
      <c r="B9302" t="inlineStr">
        <is>
          <t>avverkningsanmälan</t>
        </is>
      </c>
      <c r="C9302" t="inlineStr">
        <is>
          <t>Föryngringsavverkning</t>
        </is>
      </c>
      <c r="D9302" s="1" t="n">
        <v>46213</v>
      </c>
      <c r="E9302" s="1" t="n">
        <v>46326</v>
      </c>
      <c r="F9302" t="inlineStr">
        <is>
          <t>GÄVLEBORGS LÄN</t>
        </is>
      </c>
      <c r="G9302" t="inlineStr">
        <is>
          <t>BOLLNÄS</t>
        </is>
      </c>
      <c r="I9302" t="n">
        <v>3.1</v>
      </c>
      <c r="J9302" t="n">
        <v>0</v>
      </c>
      <c r="K9302" t="n">
        <v>0</v>
      </c>
      <c r="L9302" t="n">
        <v>0</v>
      </c>
      <c r="M9302" t="n">
        <v>0</v>
      </c>
      <c r="N9302" t="n">
        <v>0</v>
      </c>
      <c r="O9302" t="n">
        <v>0</v>
      </c>
      <c r="P9302" t="n">
        <v>0</v>
      </c>
      <c r="Q9302" t="n">
        <v>0</v>
      </c>
      <c r="R9302" t="n">
        <v>0</v>
      </c>
      <c r="S9302" t="n">
        <v>0</v>
      </c>
      <c r="T9302" t="n">
        <v>0</v>
      </c>
      <c r="U9302" t="n">
        <v>0</v>
      </c>
      <c r="V9302" s="2" t="inlineStr"/>
    </row>
    <row r="9303" ht="15" customHeight="1">
      <c r="A9303" t="inlineStr">
        <is>
          <t>A 70258-2021</t>
        </is>
      </c>
      <c r="B9303" t="inlineStr">
        <is>
          <t>avverkningsanmälan</t>
        </is>
      </c>
      <c r="C9303" t="inlineStr">
        <is>
          <t>Föryngringsavverkning</t>
        </is>
      </c>
      <c r="D9303" s="1" t="n">
        <v>44536</v>
      </c>
      <c r="E9303" s="1" t="n">
        <v>46326</v>
      </c>
      <c r="F9303" t="inlineStr">
        <is>
          <t>GÄVLEBORGS LÄN</t>
        </is>
      </c>
      <c r="G9303" t="inlineStr">
        <is>
          <t>HUDIKSVALL</t>
        </is>
      </c>
      <c r="I9303" t="n">
        <v>1.7</v>
      </c>
      <c r="J9303" t="n">
        <v>0</v>
      </c>
      <c r="K9303" t="n">
        <v>0</v>
      </c>
      <c r="L9303" t="n">
        <v>0</v>
      </c>
      <c r="M9303" t="n">
        <v>0</v>
      </c>
      <c r="N9303" t="n">
        <v>0</v>
      </c>
      <c r="O9303" t="n">
        <v>0</v>
      </c>
      <c r="P9303" t="n">
        <v>0</v>
      </c>
      <c r="Q9303" t="n">
        <v>0</v>
      </c>
      <c r="R9303" t="n">
        <v>0</v>
      </c>
      <c r="S9303" t="n">
        <v>0</v>
      </c>
      <c r="T9303" t="n">
        <v>0</v>
      </c>
      <c r="U9303" t="n">
        <v>0</v>
      </c>
      <c r="V9303" s="2" t="inlineStr"/>
    </row>
    <row r="9304" ht="15" customHeight="1">
      <c r="A9304" t="inlineStr">
        <is>
          <t>A 31130-2026</t>
        </is>
      </c>
      <c r="B9304" t="inlineStr">
        <is>
          <t>avverkningsanmälan</t>
        </is>
      </c>
      <c r="C9304" t="inlineStr">
        <is>
          <t>Föryngringsavverkning</t>
        </is>
      </c>
      <c r="D9304" s="1" t="n">
        <v>46216</v>
      </c>
      <c r="E9304" s="1" t="n">
        <v>46326</v>
      </c>
      <c r="F9304" t="inlineStr">
        <is>
          <t>GÄVLEBORGS LÄN</t>
        </is>
      </c>
      <c r="G9304" t="inlineStr">
        <is>
          <t>BOLLNÄS</t>
        </is>
      </c>
      <c r="I9304" t="n">
        <v>4.4</v>
      </c>
      <c r="J9304" t="n">
        <v>0</v>
      </c>
      <c r="K9304" t="n">
        <v>0</v>
      </c>
      <c r="L9304" t="n">
        <v>0</v>
      </c>
      <c r="M9304" t="n">
        <v>0</v>
      </c>
      <c r="N9304" t="n">
        <v>0</v>
      </c>
      <c r="O9304" t="n">
        <v>0</v>
      </c>
      <c r="P9304" t="n">
        <v>0</v>
      </c>
      <c r="Q9304" t="n">
        <v>0</v>
      </c>
      <c r="R9304" t="n">
        <v>0</v>
      </c>
      <c r="S9304" t="n">
        <v>0</v>
      </c>
      <c r="T9304" t="n">
        <v>0</v>
      </c>
      <c r="U9304" t="n">
        <v>0</v>
      </c>
      <c r="V9304" s="2" t="inlineStr"/>
    </row>
    <row r="9305" ht="15" customHeight="1">
      <c r="A9305" t="inlineStr">
        <is>
          <t>A 31139-2026</t>
        </is>
      </c>
      <c r="B9305" t="inlineStr">
        <is>
          <t>avverkningsanmälan</t>
        </is>
      </c>
      <c r="C9305" t="inlineStr">
        <is>
          <t>Föryngringsavverkning</t>
        </is>
      </c>
      <c r="D9305" s="1" t="n">
        <v>46216</v>
      </c>
      <c r="E9305" s="1" t="n">
        <v>46326</v>
      </c>
      <c r="F9305" t="inlineStr">
        <is>
          <t>GÄVLEBORGS LÄN</t>
        </is>
      </c>
      <c r="G9305" t="inlineStr">
        <is>
          <t>BOLLNÄS</t>
        </is>
      </c>
      <c r="I9305" t="n">
        <v>7.3</v>
      </c>
      <c r="J9305" t="n">
        <v>0</v>
      </c>
      <c r="K9305" t="n">
        <v>0</v>
      </c>
      <c r="L9305" t="n">
        <v>0</v>
      </c>
      <c r="M9305" t="n">
        <v>0</v>
      </c>
      <c r="N9305" t="n">
        <v>0</v>
      </c>
      <c r="O9305" t="n">
        <v>0</v>
      </c>
      <c r="P9305" t="n">
        <v>0</v>
      </c>
      <c r="Q9305" t="n">
        <v>0</v>
      </c>
      <c r="R9305" t="n">
        <v>0</v>
      </c>
      <c r="S9305" t="n">
        <v>0</v>
      </c>
      <c r="T9305" t="n">
        <v>0</v>
      </c>
      <c r="U9305" t="n">
        <v>0</v>
      </c>
      <c r="V9305" s="2" t="inlineStr"/>
    </row>
    <row r="9306" ht="15" customHeight="1">
      <c r="A9306" t="inlineStr">
        <is>
          <t>A 20876-2024</t>
        </is>
      </c>
      <c r="B9306" t="inlineStr">
        <is>
          <t>avverkningsanmälan</t>
        </is>
      </c>
      <c r="C9306" t="inlineStr">
        <is>
          <t>Föryngringsavverkning</t>
        </is>
      </c>
      <c r="D9306" s="1" t="n">
        <v>45439</v>
      </c>
      <c r="E9306" s="1" t="n">
        <v>46326</v>
      </c>
      <c r="F9306" t="inlineStr">
        <is>
          <t>GÄVLEBORGS LÄN</t>
        </is>
      </c>
      <c r="G9306" t="inlineStr">
        <is>
          <t>BOLLNÄS</t>
        </is>
      </c>
      <c r="I9306" t="n">
        <v>2.2</v>
      </c>
      <c r="J9306" t="n">
        <v>0</v>
      </c>
      <c r="K9306" t="n">
        <v>0</v>
      </c>
      <c r="L9306" t="n">
        <v>0</v>
      </c>
      <c r="M9306" t="n">
        <v>0</v>
      </c>
      <c r="N9306" t="n">
        <v>0</v>
      </c>
      <c r="O9306" t="n">
        <v>0</v>
      </c>
      <c r="P9306" t="n">
        <v>0</v>
      </c>
      <c r="Q9306" t="n">
        <v>0</v>
      </c>
      <c r="R9306" t="n">
        <v>0</v>
      </c>
      <c r="S9306" t="n">
        <v>0</v>
      </c>
      <c r="T9306" t="n">
        <v>0</v>
      </c>
      <c r="U9306" t="n">
        <v>0</v>
      </c>
      <c r="V9306" s="2" t="inlineStr"/>
    </row>
    <row r="9307" ht="15" customHeight="1">
      <c r="A9307" t="inlineStr">
        <is>
          <t>A 38535-2023</t>
        </is>
      </c>
      <c r="B9307" t="inlineStr">
        <is>
          <t>avverkningsanmälan</t>
        </is>
      </c>
      <c r="C9307" t="inlineStr">
        <is>
          <t>Föryngringsavverkning</t>
        </is>
      </c>
      <c r="D9307" s="1" t="n">
        <v>45162</v>
      </c>
      <c r="E9307" s="1" t="n">
        <v>46326</v>
      </c>
      <c r="F9307" t="inlineStr">
        <is>
          <t>GÄVLEBORGS LÄN</t>
        </is>
      </c>
      <c r="G9307" t="inlineStr">
        <is>
          <t>HUDIKSVALL</t>
        </is>
      </c>
      <c r="I9307" t="n">
        <v>1.2</v>
      </c>
      <c r="J9307" t="n">
        <v>0</v>
      </c>
      <c r="K9307" t="n">
        <v>0</v>
      </c>
      <c r="L9307" t="n">
        <v>0</v>
      </c>
      <c r="M9307" t="n">
        <v>0</v>
      </c>
      <c r="N9307" t="n">
        <v>0</v>
      </c>
      <c r="O9307" t="n">
        <v>0</v>
      </c>
      <c r="P9307" t="n">
        <v>0</v>
      </c>
      <c r="Q9307" t="n">
        <v>0</v>
      </c>
      <c r="R9307" t="n">
        <v>0</v>
      </c>
      <c r="S9307" t="n">
        <v>0</v>
      </c>
      <c r="T9307" t="n">
        <v>0</v>
      </c>
      <c r="U9307" t="n">
        <v>0</v>
      </c>
      <c r="V9307" s="2" t="inlineStr"/>
    </row>
    <row r="9308" ht="15" customHeight="1">
      <c r="A9308" t="inlineStr">
        <is>
          <t>A 62816-2023</t>
        </is>
      </c>
      <c r="B9308" t="inlineStr">
        <is>
          <t>avverkningsanmälan</t>
        </is>
      </c>
      <c r="C9308" t="inlineStr">
        <is>
          <t>Föryngringsavverkning</t>
        </is>
      </c>
      <c r="D9308" s="1" t="n">
        <v>45271</v>
      </c>
      <c r="E9308" s="1" t="n">
        <v>46326</v>
      </c>
      <c r="F9308" t="inlineStr">
        <is>
          <t>GÄVLEBORGS LÄN</t>
        </is>
      </c>
      <c r="G9308" t="inlineStr">
        <is>
          <t>NORDANSTIG</t>
        </is>
      </c>
      <c r="I9308" t="n">
        <v>3.5</v>
      </c>
      <c r="J9308" t="n">
        <v>0</v>
      </c>
      <c r="K9308" t="n">
        <v>0</v>
      </c>
      <c r="L9308" t="n">
        <v>0</v>
      </c>
      <c r="M9308" t="n">
        <v>0</v>
      </c>
      <c r="N9308" t="n">
        <v>0</v>
      </c>
      <c r="O9308" t="n">
        <v>0</v>
      </c>
      <c r="P9308" t="n">
        <v>0</v>
      </c>
      <c r="Q9308" t="n">
        <v>0</v>
      </c>
      <c r="R9308" t="n">
        <v>0</v>
      </c>
      <c r="S9308" t="n">
        <v>0</v>
      </c>
      <c r="T9308" t="n">
        <v>0</v>
      </c>
      <c r="U9308" t="n">
        <v>0</v>
      </c>
      <c r="V9308" s="2" t="inlineStr"/>
    </row>
    <row r="9309" ht="15" customHeight="1">
      <c r="A9309" t="inlineStr">
        <is>
          <t>A 22165-2022</t>
        </is>
      </c>
      <c r="B9309" t="inlineStr">
        <is>
          <t>avverkningsanmälan</t>
        </is>
      </c>
      <c r="C9309" t="inlineStr">
        <is>
          <t>Föryngringsavverkning</t>
        </is>
      </c>
      <c r="D9309" s="1" t="n">
        <v>44712</v>
      </c>
      <c r="E9309" s="1" t="n">
        <v>46326</v>
      </c>
      <c r="F9309" t="inlineStr">
        <is>
          <t>GÄVLEBORGS LÄN</t>
        </is>
      </c>
      <c r="G9309" t="inlineStr">
        <is>
          <t>HUDIKSVALL</t>
        </is>
      </c>
      <c r="I9309" t="n">
        <v>1.7</v>
      </c>
      <c r="J9309" t="n">
        <v>0</v>
      </c>
      <c r="K9309" t="n">
        <v>0</v>
      </c>
      <c r="L9309" t="n">
        <v>0</v>
      </c>
      <c r="M9309" t="n">
        <v>0</v>
      </c>
      <c r="N9309" t="n">
        <v>0</v>
      </c>
      <c r="O9309" t="n">
        <v>0</v>
      </c>
      <c r="P9309" t="n">
        <v>0</v>
      </c>
      <c r="Q9309" t="n">
        <v>0</v>
      </c>
      <c r="R9309" t="n">
        <v>0</v>
      </c>
      <c r="S9309" t="n">
        <v>0</v>
      </c>
      <c r="T9309" t="n">
        <v>0</v>
      </c>
      <c r="U9309" t="n">
        <v>0</v>
      </c>
      <c r="V9309" s="2" t="inlineStr"/>
    </row>
    <row r="9310" ht="15" customHeight="1">
      <c r="A9310" t="inlineStr">
        <is>
          <t>A 15150-2023</t>
        </is>
      </c>
      <c r="B9310" t="inlineStr">
        <is>
          <t>avverkningsanmälan</t>
        </is>
      </c>
      <c r="C9310" t="inlineStr">
        <is>
          <t>Föryngringsavverkning</t>
        </is>
      </c>
      <c r="D9310" s="1" t="n">
        <v>45016</v>
      </c>
      <c r="E9310" s="1" t="n">
        <v>46326</v>
      </c>
      <c r="F9310" t="inlineStr">
        <is>
          <t>GÄVLEBORGS LÄN</t>
        </is>
      </c>
      <c r="G9310" t="inlineStr">
        <is>
          <t>BOLLNÄS</t>
        </is>
      </c>
      <c r="I9310" t="n">
        <v>0.5</v>
      </c>
      <c r="J9310" t="n">
        <v>0</v>
      </c>
      <c r="K9310" t="n">
        <v>0</v>
      </c>
      <c r="L9310" t="n">
        <v>0</v>
      </c>
      <c r="M9310" t="n">
        <v>0</v>
      </c>
      <c r="N9310" t="n">
        <v>0</v>
      </c>
      <c r="O9310" t="n">
        <v>0</v>
      </c>
      <c r="P9310" t="n">
        <v>0</v>
      </c>
      <c r="Q9310" t="n">
        <v>0</v>
      </c>
      <c r="R9310" t="n">
        <v>0</v>
      </c>
      <c r="S9310" t="n">
        <v>0</v>
      </c>
      <c r="T9310" t="n">
        <v>0</v>
      </c>
      <c r="U9310" t="n">
        <v>0</v>
      </c>
      <c r="V9310" s="2" t="inlineStr"/>
    </row>
    <row r="9311" ht="15" customHeight="1">
      <c r="A9311" t="inlineStr">
        <is>
          <t>A 16401-2025</t>
        </is>
      </c>
      <c r="B9311" t="inlineStr">
        <is>
          <t>avverkningsanmälan</t>
        </is>
      </c>
      <c r="C9311" t="inlineStr">
        <is>
          <t>Föryngringsavverkning</t>
        </is>
      </c>
      <c r="D9311" s="1" t="n">
        <v>45751</v>
      </c>
      <c r="E9311" s="1" t="n">
        <v>46326</v>
      </c>
      <c r="F9311" t="inlineStr">
        <is>
          <t>GÄVLEBORGS LÄN</t>
        </is>
      </c>
      <c r="G9311" t="inlineStr">
        <is>
          <t>GÄVLE</t>
        </is>
      </c>
      <c r="H9311" t="inlineStr">
        <is>
          <t>Bergvik skog väst AB</t>
        </is>
      </c>
      <c r="I9311" t="n">
        <v>2.1</v>
      </c>
      <c r="J9311" t="n">
        <v>0</v>
      </c>
      <c r="K9311" t="n">
        <v>0</v>
      </c>
      <c r="L9311" t="n">
        <v>0</v>
      </c>
      <c r="M9311" t="n">
        <v>0</v>
      </c>
      <c r="N9311" t="n">
        <v>0</v>
      </c>
      <c r="O9311" t="n">
        <v>0</v>
      </c>
      <c r="P9311" t="n">
        <v>0</v>
      </c>
      <c r="Q9311" t="n">
        <v>0</v>
      </c>
      <c r="R9311" t="n">
        <v>0</v>
      </c>
      <c r="S9311" t="n">
        <v>0</v>
      </c>
      <c r="T9311" t="n">
        <v>0</v>
      </c>
      <c r="U9311" t="n">
        <v>0</v>
      </c>
      <c r="V9311" s="2" t="inlineStr"/>
    </row>
    <row r="9312" ht="15" customHeight="1">
      <c r="A9312" t="inlineStr">
        <is>
          <t>A 31445-2026</t>
        </is>
      </c>
      <c r="B9312" t="inlineStr">
        <is>
          <t>avverkningsanmälan</t>
        </is>
      </c>
      <c r="C9312" t="inlineStr">
        <is>
          <t>Föryngringsavverkning</t>
        </is>
      </c>
      <c r="D9312" s="1" t="n">
        <v>46217</v>
      </c>
      <c r="E9312" s="1" t="n">
        <v>46326</v>
      </c>
      <c r="F9312" t="inlineStr">
        <is>
          <t>GÄVLEBORGS LÄN</t>
        </is>
      </c>
      <c r="G9312" t="inlineStr">
        <is>
          <t>GÄVLE</t>
        </is>
      </c>
      <c r="H9312" t="inlineStr">
        <is>
          <t>Bergvik skog väst AB</t>
        </is>
      </c>
      <c r="I9312" t="n">
        <v>1.3</v>
      </c>
      <c r="J9312" t="n">
        <v>0</v>
      </c>
      <c r="K9312" t="n">
        <v>0</v>
      </c>
      <c r="L9312" t="n">
        <v>0</v>
      </c>
      <c r="M9312" t="n">
        <v>0</v>
      </c>
      <c r="N9312" t="n">
        <v>0</v>
      </c>
      <c r="O9312" t="n">
        <v>0</v>
      </c>
      <c r="P9312" t="n">
        <v>0</v>
      </c>
      <c r="Q9312" t="n">
        <v>0</v>
      </c>
      <c r="R9312" t="n">
        <v>0</v>
      </c>
      <c r="S9312" t="n">
        <v>0</v>
      </c>
      <c r="T9312" t="n">
        <v>0</v>
      </c>
      <c r="U9312" t="n">
        <v>0</v>
      </c>
      <c r="V9312" s="2" t="inlineStr"/>
    </row>
    <row r="9313" ht="15" customHeight="1">
      <c r="A9313" t="inlineStr">
        <is>
          <t>A 31128-2026</t>
        </is>
      </c>
      <c r="B9313" t="inlineStr">
        <is>
          <t>avverkningsanmälan</t>
        </is>
      </c>
      <c r="C9313" t="inlineStr">
        <is>
          <t>Föryngringsavverkning</t>
        </is>
      </c>
      <c r="D9313" s="1" t="n">
        <v>46216</v>
      </c>
      <c r="E9313" s="1" t="n">
        <v>46326</v>
      </c>
      <c r="F9313" t="inlineStr">
        <is>
          <t>GÄVLEBORGS LÄN</t>
        </is>
      </c>
      <c r="G9313" t="inlineStr">
        <is>
          <t>BOLLNÄS</t>
        </is>
      </c>
      <c r="I9313" t="n">
        <v>1.6</v>
      </c>
      <c r="J9313" t="n">
        <v>0</v>
      </c>
      <c r="K9313" t="n">
        <v>0</v>
      </c>
      <c r="L9313" t="n">
        <v>0</v>
      </c>
      <c r="M9313" t="n">
        <v>0</v>
      </c>
      <c r="N9313" t="n">
        <v>0</v>
      </c>
      <c r="O9313" t="n">
        <v>0</v>
      </c>
      <c r="P9313" t="n">
        <v>0</v>
      </c>
      <c r="Q9313" t="n">
        <v>0</v>
      </c>
      <c r="R9313" t="n">
        <v>0</v>
      </c>
      <c r="S9313" t="n">
        <v>0</v>
      </c>
      <c r="T9313" t="n">
        <v>0</v>
      </c>
      <c r="U9313" t="n">
        <v>0</v>
      </c>
      <c r="V9313" s="2" t="inlineStr"/>
    </row>
    <row r="9314" ht="15" customHeight="1">
      <c r="A9314" t="inlineStr">
        <is>
          <t>A 31143-2026</t>
        </is>
      </c>
      <c r="B9314" t="inlineStr">
        <is>
          <t>avverkningsanmälan</t>
        </is>
      </c>
      <c r="C9314" t="inlineStr">
        <is>
          <t>Föryngringsavverkning</t>
        </is>
      </c>
      <c r="D9314" s="1" t="n">
        <v>46216</v>
      </c>
      <c r="E9314" s="1" t="n">
        <v>46326</v>
      </c>
      <c r="F9314" t="inlineStr">
        <is>
          <t>GÄVLEBORGS LÄN</t>
        </is>
      </c>
      <c r="G9314" t="inlineStr">
        <is>
          <t>BOLLNÄS</t>
        </is>
      </c>
      <c r="I9314" t="n">
        <v>2.2</v>
      </c>
      <c r="J9314" t="n">
        <v>0</v>
      </c>
      <c r="K9314" t="n">
        <v>0</v>
      </c>
      <c r="L9314" t="n">
        <v>0</v>
      </c>
      <c r="M9314" t="n">
        <v>0</v>
      </c>
      <c r="N9314" t="n">
        <v>0</v>
      </c>
      <c r="O9314" t="n">
        <v>0</v>
      </c>
      <c r="P9314" t="n">
        <v>0</v>
      </c>
      <c r="Q9314" t="n">
        <v>0</v>
      </c>
      <c r="R9314" t="n">
        <v>0</v>
      </c>
      <c r="S9314" t="n">
        <v>0</v>
      </c>
      <c r="T9314" t="n">
        <v>0</v>
      </c>
      <c r="U9314" t="n">
        <v>0</v>
      </c>
      <c r="V9314" s="2" t="inlineStr"/>
    </row>
    <row r="9315" ht="15" customHeight="1">
      <c r="A9315" t="inlineStr">
        <is>
          <t>A 30408-2024</t>
        </is>
      </c>
      <c r="B9315" t="inlineStr">
        <is>
          <t>avverkningsanmälan</t>
        </is>
      </c>
      <c r="C9315" t="inlineStr">
        <is>
          <t>Föryngringsavverkning</t>
        </is>
      </c>
      <c r="D9315" s="1" t="n">
        <v>45491</v>
      </c>
      <c r="E9315" s="1" t="n">
        <v>46326</v>
      </c>
      <c r="F9315" t="inlineStr">
        <is>
          <t>GÄVLEBORGS LÄN</t>
        </is>
      </c>
      <c r="G9315" t="inlineStr">
        <is>
          <t>HUDIKSVALL</t>
        </is>
      </c>
      <c r="I9315" t="n">
        <v>2</v>
      </c>
      <c r="J9315" t="n">
        <v>0</v>
      </c>
      <c r="K9315" t="n">
        <v>0</v>
      </c>
      <c r="L9315" t="n">
        <v>0</v>
      </c>
      <c r="M9315" t="n">
        <v>0</v>
      </c>
      <c r="N9315" t="n">
        <v>0</v>
      </c>
      <c r="O9315" t="n">
        <v>0</v>
      </c>
      <c r="P9315" t="n">
        <v>0</v>
      </c>
      <c r="Q9315" t="n">
        <v>0</v>
      </c>
      <c r="R9315" t="n">
        <v>0</v>
      </c>
      <c r="S9315" t="n">
        <v>0</v>
      </c>
      <c r="T9315" t="n">
        <v>0</v>
      </c>
      <c r="U9315" t="n">
        <v>0</v>
      </c>
      <c r="V9315" s="2" t="inlineStr"/>
    </row>
    <row r="9316" ht="15" customHeight="1">
      <c r="A9316" t="inlineStr">
        <is>
          <t>A 246-2026</t>
        </is>
      </c>
      <c r="B9316" t="inlineStr">
        <is>
          <t>avverkningsanmälan</t>
        </is>
      </c>
      <c r="C9316" t="inlineStr">
        <is>
          <t>Föryngringsavverkning</t>
        </is>
      </c>
      <c r="D9316" s="1" t="n">
        <v>46027</v>
      </c>
      <c r="E9316" s="1" t="n">
        <v>46326</v>
      </c>
      <c r="F9316" t="inlineStr">
        <is>
          <t>GÄVLEBORGS LÄN</t>
        </is>
      </c>
      <c r="G9316" t="inlineStr">
        <is>
          <t>BOLLNÄS</t>
        </is>
      </c>
      <c r="I9316" t="n">
        <v>3.5</v>
      </c>
      <c r="J9316" t="n">
        <v>0</v>
      </c>
      <c r="K9316" t="n">
        <v>0</v>
      </c>
      <c r="L9316" t="n">
        <v>0</v>
      </c>
      <c r="M9316" t="n">
        <v>0</v>
      </c>
      <c r="N9316" t="n">
        <v>0</v>
      </c>
      <c r="O9316" t="n">
        <v>0</v>
      </c>
      <c r="P9316" t="n">
        <v>0</v>
      </c>
      <c r="Q9316" t="n">
        <v>0</v>
      </c>
      <c r="R9316" t="n">
        <v>0</v>
      </c>
      <c r="S9316" t="n">
        <v>0</v>
      </c>
      <c r="T9316" t="n">
        <v>0</v>
      </c>
      <c r="U9316" t="n">
        <v>0</v>
      </c>
      <c r="V9316" s="2" t="inlineStr"/>
    </row>
    <row r="9317" ht="15" customHeight="1">
      <c r="A9317" t="inlineStr">
        <is>
          <t>A 31083-2026</t>
        </is>
      </c>
      <c r="B9317" t="inlineStr">
        <is>
          <t>avverkningsanmälan</t>
        </is>
      </c>
      <c r="C9317" t="inlineStr">
        <is>
          <t>Föryngringsavverkning</t>
        </is>
      </c>
      <c r="D9317" s="1" t="n">
        <v>46216</v>
      </c>
      <c r="E9317" s="1" t="n">
        <v>46326</v>
      </c>
      <c r="F9317" t="inlineStr">
        <is>
          <t>GÄVLEBORGS LÄN</t>
        </is>
      </c>
      <c r="G9317" t="inlineStr">
        <is>
          <t>OCKELBO</t>
        </is>
      </c>
      <c r="H9317" t="inlineStr">
        <is>
          <t>Bergvik skog väst AB</t>
        </is>
      </c>
      <c r="I9317" t="n">
        <v>1.8</v>
      </c>
      <c r="J9317" t="n">
        <v>0</v>
      </c>
      <c r="K9317" t="n">
        <v>0</v>
      </c>
      <c r="L9317" t="n">
        <v>0</v>
      </c>
      <c r="M9317" t="n">
        <v>0</v>
      </c>
      <c r="N9317" t="n">
        <v>0</v>
      </c>
      <c r="O9317" t="n">
        <v>0</v>
      </c>
      <c r="P9317" t="n">
        <v>0</v>
      </c>
      <c r="Q9317" t="n">
        <v>0</v>
      </c>
      <c r="R9317" t="n">
        <v>0</v>
      </c>
      <c r="S9317" t="n">
        <v>0</v>
      </c>
      <c r="T9317" t="n">
        <v>0</v>
      </c>
      <c r="U9317" t="n">
        <v>0</v>
      </c>
      <c r="V9317" s="2" t="inlineStr"/>
    </row>
    <row r="9318" ht="15" customHeight="1">
      <c r="A9318" t="inlineStr">
        <is>
          <t>A 28418-2026</t>
        </is>
      </c>
      <c r="B9318" t="inlineStr">
        <is>
          <t>avverkningsanmälan</t>
        </is>
      </c>
      <c r="C9318" t="inlineStr">
        <is>
          <t>Föryngringsavverkning</t>
        </is>
      </c>
      <c r="D9318" s="1" t="n">
        <v>46197</v>
      </c>
      <c r="E9318" s="1" t="n">
        <v>46326</v>
      </c>
      <c r="F9318" t="inlineStr">
        <is>
          <t>GÄVLEBORGS LÄN</t>
        </is>
      </c>
      <c r="G9318" t="inlineStr">
        <is>
          <t>BOLLNÄS</t>
        </is>
      </c>
      <c r="I9318" t="n">
        <v>1.1</v>
      </c>
      <c r="J9318" t="n">
        <v>0</v>
      </c>
      <c r="K9318" t="n">
        <v>0</v>
      </c>
      <c r="L9318" t="n">
        <v>0</v>
      </c>
      <c r="M9318" t="n">
        <v>0</v>
      </c>
      <c r="N9318" t="n">
        <v>0</v>
      </c>
      <c r="O9318" t="n">
        <v>0</v>
      </c>
      <c r="P9318" t="n">
        <v>0</v>
      </c>
      <c r="Q9318" t="n">
        <v>0</v>
      </c>
      <c r="R9318" t="n">
        <v>0</v>
      </c>
      <c r="S9318" t="n">
        <v>0</v>
      </c>
      <c r="T9318" t="n">
        <v>0</v>
      </c>
      <c r="U9318" t="n">
        <v>0</v>
      </c>
      <c r="V9318" s="2" t="inlineStr"/>
    </row>
    <row r="9319" ht="15" customHeight="1">
      <c r="A9319" t="inlineStr">
        <is>
          <t>A 26304-2025</t>
        </is>
      </c>
      <c r="B9319" t="inlineStr">
        <is>
          <t>avverkningsanmälan</t>
        </is>
      </c>
      <c r="C9319" t="inlineStr">
        <is>
          <t>Föryngringsavverkning</t>
        </is>
      </c>
      <c r="D9319" s="1" t="n">
        <v>45805</v>
      </c>
      <c r="E9319" s="1" t="n">
        <v>46326</v>
      </c>
      <c r="F9319" t="inlineStr">
        <is>
          <t>GÄVLEBORGS LÄN</t>
        </is>
      </c>
      <c r="G9319" t="inlineStr">
        <is>
          <t>OVANÅKER</t>
        </is>
      </c>
      <c r="I9319" t="n">
        <v>3.4</v>
      </c>
      <c r="J9319" t="n">
        <v>0</v>
      </c>
      <c r="K9319" t="n">
        <v>0</v>
      </c>
      <c r="L9319" t="n">
        <v>0</v>
      </c>
      <c r="M9319" t="n">
        <v>0</v>
      </c>
      <c r="N9319" t="n">
        <v>0</v>
      </c>
      <c r="O9319" t="n">
        <v>0</v>
      </c>
      <c r="P9319" t="n">
        <v>0</v>
      </c>
      <c r="Q9319" t="n">
        <v>0</v>
      </c>
      <c r="R9319" t="n">
        <v>0</v>
      </c>
      <c r="S9319" t="n">
        <v>0</v>
      </c>
      <c r="T9319" t="n">
        <v>0</v>
      </c>
      <c r="U9319" t="n">
        <v>0</v>
      </c>
      <c r="V9319" s="2" t="inlineStr"/>
    </row>
    <row r="9320" ht="15" customHeight="1">
      <c r="A9320" t="inlineStr">
        <is>
          <t>A 30900-2026</t>
        </is>
      </c>
      <c r="B9320" t="inlineStr">
        <is>
          <t>avverkningsanmälan</t>
        </is>
      </c>
      <c r="C9320" t="inlineStr">
        <is>
          <t>Föryngringsavverkning</t>
        </is>
      </c>
      <c r="D9320" s="1" t="n">
        <v>46213</v>
      </c>
      <c r="E9320" s="1" t="n">
        <v>46326</v>
      </c>
      <c r="F9320" t="inlineStr">
        <is>
          <t>GÄVLEBORGS LÄN</t>
        </is>
      </c>
      <c r="G9320" t="inlineStr">
        <is>
          <t>BOLLNÄS</t>
        </is>
      </c>
      <c r="H9320" t="inlineStr">
        <is>
          <t>Bergvik skog väst AB</t>
        </is>
      </c>
      <c r="I9320" t="n">
        <v>2.7</v>
      </c>
      <c r="J9320" t="n">
        <v>0</v>
      </c>
      <c r="K9320" t="n">
        <v>0</v>
      </c>
      <c r="L9320" t="n">
        <v>0</v>
      </c>
      <c r="M9320" t="n">
        <v>0</v>
      </c>
      <c r="N9320" t="n">
        <v>0</v>
      </c>
      <c r="O9320" t="n">
        <v>0</v>
      </c>
      <c r="P9320" t="n">
        <v>0</v>
      </c>
      <c r="Q9320" t="n">
        <v>0</v>
      </c>
      <c r="R9320" t="n">
        <v>0</v>
      </c>
      <c r="S9320" t="n">
        <v>0</v>
      </c>
      <c r="T9320" t="n">
        <v>0</v>
      </c>
      <c r="U9320" t="n">
        <v>0</v>
      </c>
      <c r="V9320" s="2" t="inlineStr"/>
    </row>
    <row r="9321" ht="15" customHeight="1">
      <c r="A9321" t="inlineStr">
        <is>
          <t>A 31088-2026</t>
        </is>
      </c>
      <c r="B9321" t="inlineStr">
        <is>
          <t>avverkningsanmälan</t>
        </is>
      </c>
      <c r="C9321" t="inlineStr">
        <is>
          <t>Föryngringsavverkning</t>
        </is>
      </c>
      <c r="D9321" s="1" t="n">
        <v>46216</v>
      </c>
      <c r="E9321" s="1" t="n">
        <v>46326</v>
      </c>
      <c r="F9321" t="inlineStr">
        <is>
          <t>GÄVLEBORGS LÄN</t>
        </is>
      </c>
      <c r="G9321" t="inlineStr">
        <is>
          <t>HOFORS</t>
        </is>
      </c>
      <c r="H9321" t="inlineStr">
        <is>
          <t>Kommuner</t>
        </is>
      </c>
      <c r="I9321" t="n">
        <v>1.3</v>
      </c>
      <c r="J9321" t="n">
        <v>0</v>
      </c>
      <c r="K9321" t="n">
        <v>0</v>
      </c>
      <c r="L9321" t="n">
        <v>0</v>
      </c>
      <c r="M9321" t="n">
        <v>0</v>
      </c>
      <c r="N9321" t="n">
        <v>0</v>
      </c>
      <c r="O9321" t="n">
        <v>0</v>
      </c>
      <c r="P9321" t="n">
        <v>0</v>
      </c>
      <c r="Q9321" t="n">
        <v>0</v>
      </c>
      <c r="R9321" t="n">
        <v>0</v>
      </c>
      <c r="S9321" t="n">
        <v>0</v>
      </c>
      <c r="T9321" t="n">
        <v>0</v>
      </c>
      <c r="U9321" t="n">
        <v>0</v>
      </c>
      <c r="V9321" s="2" t="inlineStr"/>
    </row>
    <row r="9322" ht="15" customHeight="1">
      <c r="A9322" t="inlineStr">
        <is>
          <t>A 3369-2026</t>
        </is>
      </c>
      <c r="B9322" t="inlineStr">
        <is>
          <t>avverkningsanmälan</t>
        </is>
      </c>
      <c r="C9322" t="inlineStr">
        <is>
          <t>Föryngringsavverkning</t>
        </is>
      </c>
      <c r="D9322" s="1" t="n">
        <v>46042</v>
      </c>
      <c r="E9322" s="1" t="n">
        <v>46326</v>
      </c>
      <c r="F9322" t="inlineStr">
        <is>
          <t>GÄVLEBORGS LÄN</t>
        </is>
      </c>
      <c r="G9322" t="inlineStr">
        <is>
          <t>SÖDERHAMN</t>
        </is>
      </c>
      <c r="I9322" t="n">
        <v>3.9</v>
      </c>
      <c r="J9322" t="n">
        <v>0</v>
      </c>
      <c r="K9322" t="n">
        <v>0</v>
      </c>
      <c r="L9322" t="n">
        <v>0</v>
      </c>
      <c r="M9322" t="n">
        <v>0</v>
      </c>
      <c r="N9322" t="n">
        <v>0</v>
      </c>
      <c r="O9322" t="n">
        <v>0</v>
      </c>
      <c r="P9322" t="n">
        <v>0</v>
      </c>
      <c r="Q9322" t="n">
        <v>0</v>
      </c>
      <c r="R9322" t="n">
        <v>0</v>
      </c>
      <c r="S9322" t="n">
        <v>0</v>
      </c>
      <c r="T9322" t="n">
        <v>0</v>
      </c>
      <c r="U9322" t="n">
        <v>0</v>
      </c>
      <c r="V9322" s="2" t="inlineStr"/>
    </row>
    <row r="9323" ht="15" customHeight="1">
      <c r="A9323" t="inlineStr">
        <is>
          <t>A 31125-2026</t>
        </is>
      </c>
      <c r="B9323" t="inlineStr">
        <is>
          <t>avverkningsanmälan</t>
        </is>
      </c>
      <c r="C9323" t="inlineStr">
        <is>
          <t>Föryngringsavverkning</t>
        </is>
      </c>
      <c r="D9323" s="1" t="n">
        <v>46216</v>
      </c>
      <c r="E9323" s="1" t="n">
        <v>46326</v>
      </c>
      <c r="F9323" t="inlineStr">
        <is>
          <t>GÄVLEBORGS LÄN</t>
        </is>
      </c>
      <c r="G9323" t="inlineStr">
        <is>
          <t>BOLLNÄS</t>
        </is>
      </c>
      <c r="I9323" t="n">
        <v>1.3</v>
      </c>
      <c r="J9323" t="n">
        <v>0</v>
      </c>
      <c r="K9323" t="n">
        <v>0</v>
      </c>
      <c r="L9323" t="n">
        <v>0</v>
      </c>
      <c r="M9323" t="n">
        <v>0</v>
      </c>
      <c r="N9323" t="n">
        <v>0</v>
      </c>
      <c r="O9323" t="n">
        <v>0</v>
      </c>
      <c r="P9323" t="n">
        <v>0</v>
      </c>
      <c r="Q9323" t="n">
        <v>0</v>
      </c>
      <c r="R9323" t="n">
        <v>0</v>
      </c>
      <c r="S9323" t="n">
        <v>0</v>
      </c>
      <c r="T9323" t="n">
        <v>0</v>
      </c>
      <c r="U9323" t="n">
        <v>0</v>
      </c>
      <c r="V9323" s="2" t="inlineStr"/>
    </row>
    <row r="9324" ht="15" customHeight="1">
      <c r="A9324" t="inlineStr">
        <is>
          <t>A 31127-2026</t>
        </is>
      </c>
      <c r="B9324" t="inlineStr">
        <is>
          <t>avverkningsanmälan</t>
        </is>
      </c>
      <c r="C9324" t="inlineStr">
        <is>
          <t>Föryngringsavverkning</t>
        </is>
      </c>
      <c r="D9324" s="1" t="n">
        <v>46216</v>
      </c>
      <c r="E9324" s="1" t="n">
        <v>46326</v>
      </c>
      <c r="F9324" t="inlineStr">
        <is>
          <t>GÄVLEBORGS LÄN</t>
        </is>
      </c>
      <c r="G9324" t="inlineStr">
        <is>
          <t>BOLLNÄS</t>
        </is>
      </c>
      <c r="I9324" t="n">
        <v>3</v>
      </c>
      <c r="J9324" t="n">
        <v>0</v>
      </c>
      <c r="K9324" t="n">
        <v>0</v>
      </c>
      <c r="L9324" t="n">
        <v>0</v>
      </c>
      <c r="M9324" t="n">
        <v>0</v>
      </c>
      <c r="N9324" t="n">
        <v>0</v>
      </c>
      <c r="O9324" t="n">
        <v>0</v>
      </c>
      <c r="P9324" t="n">
        <v>0</v>
      </c>
      <c r="Q9324" t="n">
        <v>0</v>
      </c>
      <c r="R9324" t="n">
        <v>0</v>
      </c>
      <c r="S9324" t="n">
        <v>0</v>
      </c>
      <c r="T9324" t="n">
        <v>0</v>
      </c>
      <c r="U9324" t="n">
        <v>0</v>
      </c>
      <c r="V9324" s="2" t="inlineStr"/>
    </row>
    <row r="9325" ht="15" customHeight="1">
      <c r="A9325" t="inlineStr">
        <is>
          <t>A 31132-2026</t>
        </is>
      </c>
      <c r="B9325" t="inlineStr">
        <is>
          <t>avverkningsanmälan</t>
        </is>
      </c>
      <c r="C9325" t="inlineStr">
        <is>
          <t>Föryngringsavverkning</t>
        </is>
      </c>
      <c r="D9325" s="1" t="n">
        <v>46216</v>
      </c>
      <c r="E9325" s="1" t="n">
        <v>46326</v>
      </c>
      <c r="F9325" t="inlineStr">
        <is>
          <t>GÄVLEBORGS LÄN</t>
        </is>
      </c>
      <c r="G9325" t="inlineStr">
        <is>
          <t>BOLLNÄS</t>
        </is>
      </c>
      <c r="I9325" t="n">
        <v>3</v>
      </c>
      <c r="J9325" t="n">
        <v>0</v>
      </c>
      <c r="K9325" t="n">
        <v>0</v>
      </c>
      <c r="L9325" t="n">
        <v>0</v>
      </c>
      <c r="M9325" t="n">
        <v>0</v>
      </c>
      <c r="N9325" t="n">
        <v>0</v>
      </c>
      <c r="O9325" t="n">
        <v>0</v>
      </c>
      <c r="P9325" t="n">
        <v>0</v>
      </c>
      <c r="Q9325" t="n">
        <v>0</v>
      </c>
      <c r="R9325" t="n">
        <v>0</v>
      </c>
      <c r="S9325" t="n">
        <v>0</v>
      </c>
      <c r="T9325" t="n">
        <v>0</v>
      </c>
      <c r="U9325" t="n">
        <v>0</v>
      </c>
      <c r="V9325" s="2" t="inlineStr"/>
    </row>
    <row r="9326" ht="15" customHeight="1">
      <c r="A9326" t="inlineStr">
        <is>
          <t>A 53857-2023</t>
        </is>
      </c>
      <c r="B9326" t="inlineStr">
        <is>
          <t>avverkningsanmälan</t>
        </is>
      </c>
      <c r="C9326" t="inlineStr">
        <is>
          <t>Föryngringsavverkning</t>
        </is>
      </c>
      <c r="D9326" s="1" t="n">
        <v>45231</v>
      </c>
      <c r="E9326" s="1" t="n">
        <v>46326</v>
      </c>
      <c r="F9326" t="inlineStr">
        <is>
          <t>GÄVLEBORGS LÄN</t>
        </is>
      </c>
      <c r="G9326" t="inlineStr">
        <is>
          <t>LJUSDAL</t>
        </is>
      </c>
      <c r="I9326" t="n">
        <v>3</v>
      </c>
      <c r="J9326" t="n">
        <v>0</v>
      </c>
      <c r="K9326" t="n">
        <v>0</v>
      </c>
      <c r="L9326" t="n">
        <v>0</v>
      </c>
      <c r="M9326" t="n">
        <v>0</v>
      </c>
      <c r="N9326" t="n">
        <v>0</v>
      </c>
      <c r="O9326" t="n">
        <v>0</v>
      </c>
      <c r="P9326" t="n">
        <v>0</v>
      </c>
      <c r="Q9326" t="n">
        <v>0</v>
      </c>
      <c r="R9326" t="n">
        <v>0</v>
      </c>
      <c r="S9326" t="n">
        <v>0</v>
      </c>
      <c r="T9326" t="n">
        <v>0</v>
      </c>
      <c r="U9326" t="n">
        <v>0</v>
      </c>
      <c r="V9326" s="2" t="inlineStr"/>
    </row>
    <row r="9327" ht="15" customHeight="1">
      <c r="A9327" t="inlineStr">
        <is>
          <t>A 37295-2022</t>
        </is>
      </c>
      <c r="B9327" t="inlineStr">
        <is>
          <t>avverkningsanmälan</t>
        </is>
      </c>
      <c r="C9327" t="inlineStr">
        <is>
          <t>Avverkning för annat ändamål</t>
        </is>
      </c>
      <c r="D9327" s="1" t="n">
        <v>44808</v>
      </c>
      <c r="E9327" s="1" t="n">
        <v>46326</v>
      </c>
      <c r="F9327" t="inlineStr">
        <is>
          <t>GÄVLEBORGS LÄN</t>
        </is>
      </c>
      <c r="G9327" t="inlineStr">
        <is>
          <t>NORDANSTIG</t>
        </is>
      </c>
      <c r="I9327" t="n">
        <v>0</v>
      </c>
      <c r="J9327" t="n">
        <v>0</v>
      </c>
      <c r="K9327" t="n">
        <v>0</v>
      </c>
      <c r="L9327" t="n">
        <v>0</v>
      </c>
      <c r="M9327" t="n">
        <v>0</v>
      </c>
      <c r="N9327" t="n">
        <v>0</v>
      </c>
      <c r="O9327" t="n">
        <v>0</v>
      </c>
      <c r="P9327" t="n">
        <v>0</v>
      </c>
      <c r="Q9327" t="n">
        <v>0</v>
      </c>
      <c r="R9327" t="n">
        <v>0</v>
      </c>
      <c r="S9327" t="n">
        <v>0</v>
      </c>
      <c r="T9327" t="n">
        <v>0</v>
      </c>
      <c r="U9327" t="n">
        <v>0</v>
      </c>
      <c r="V9327" s="2" t="inlineStr"/>
    </row>
    <row r="9328" ht="15" customHeight="1">
      <c r="A9328" t="inlineStr">
        <is>
          <t>A 54187-2024</t>
        </is>
      </c>
      <c r="B9328" t="inlineStr">
        <is>
          <t>avverkningsanmälan</t>
        </is>
      </c>
      <c r="C9328" t="inlineStr">
        <is>
          <t>Föryngringsavverkning</t>
        </is>
      </c>
      <c r="D9328" s="1" t="n">
        <v>45616</v>
      </c>
      <c r="E9328" s="1" t="n">
        <v>46326</v>
      </c>
      <c r="F9328" t="inlineStr">
        <is>
          <t>GÄVLEBORGS LÄN</t>
        </is>
      </c>
      <c r="G9328" t="inlineStr">
        <is>
          <t>OVANÅKER</t>
        </is>
      </c>
      <c r="H9328" t="inlineStr">
        <is>
          <t>Holmen skog AB</t>
        </is>
      </c>
      <c r="I9328" t="n">
        <v>1.8</v>
      </c>
      <c r="J9328" t="n">
        <v>0</v>
      </c>
      <c r="K9328" t="n">
        <v>0</v>
      </c>
      <c r="L9328" t="n">
        <v>0</v>
      </c>
      <c r="M9328" t="n">
        <v>0</v>
      </c>
      <c r="N9328" t="n">
        <v>0</v>
      </c>
      <c r="O9328" t="n">
        <v>0</v>
      </c>
      <c r="P9328" t="n">
        <v>0</v>
      </c>
      <c r="Q9328" t="n">
        <v>0</v>
      </c>
      <c r="R9328" t="n">
        <v>0</v>
      </c>
      <c r="S9328" t="n">
        <v>0</v>
      </c>
      <c r="T9328" t="n">
        <v>0</v>
      </c>
      <c r="U9328" t="n">
        <v>0</v>
      </c>
      <c r="V9328" s="2" t="inlineStr"/>
    </row>
    <row r="9329" ht="15" customHeight="1">
      <c r="A9329" t="inlineStr">
        <is>
          <t>A 30899-2026</t>
        </is>
      </c>
      <c r="B9329" t="inlineStr">
        <is>
          <t>avverkningsanmälan</t>
        </is>
      </c>
      <c r="C9329" t="inlineStr">
        <is>
          <t>Avverkning för annat ändamål</t>
        </is>
      </c>
      <c r="D9329" s="1" t="n">
        <v>46213</v>
      </c>
      <c r="E9329" s="1" t="n">
        <v>46326</v>
      </c>
      <c r="F9329" t="inlineStr">
        <is>
          <t>GÄVLEBORGS LÄN</t>
        </is>
      </c>
      <c r="G9329" t="inlineStr">
        <is>
          <t>NORDANSTIG</t>
        </is>
      </c>
      <c r="I9329" t="n">
        <v>1.3</v>
      </c>
      <c r="J9329" t="n">
        <v>0</v>
      </c>
      <c r="K9329" t="n">
        <v>0</v>
      </c>
      <c r="L9329" t="n">
        <v>0</v>
      </c>
      <c r="M9329" t="n">
        <v>0</v>
      </c>
      <c r="N9329" t="n">
        <v>0</v>
      </c>
      <c r="O9329" t="n">
        <v>0</v>
      </c>
      <c r="P9329" t="n">
        <v>0</v>
      </c>
      <c r="Q9329" t="n">
        <v>0</v>
      </c>
      <c r="R9329" t="n">
        <v>0</v>
      </c>
      <c r="S9329" t="n">
        <v>0</v>
      </c>
      <c r="T9329" t="n">
        <v>0</v>
      </c>
      <c r="U9329" t="n">
        <v>0</v>
      </c>
      <c r="V9329" s="2" t="inlineStr"/>
    </row>
    <row r="9330" ht="15" customHeight="1">
      <c r="A9330" t="inlineStr">
        <is>
          <t>A 2297-2024</t>
        </is>
      </c>
      <c r="B9330" t="inlineStr">
        <is>
          <t>avverkningsanmälan</t>
        </is>
      </c>
      <c r="C9330" t="inlineStr">
        <is>
          <t>Föryngringsavverkning</t>
        </is>
      </c>
      <c r="D9330" s="1" t="n">
        <v>45310</v>
      </c>
      <c r="E9330" s="1" t="n">
        <v>46326</v>
      </c>
      <c r="F9330" t="inlineStr">
        <is>
          <t>GÄVLEBORGS LÄN</t>
        </is>
      </c>
      <c r="G9330" t="inlineStr">
        <is>
          <t>BOLLNÄS</t>
        </is>
      </c>
      <c r="I9330" t="n">
        <v>1</v>
      </c>
      <c r="J9330" t="n">
        <v>0</v>
      </c>
      <c r="K9330" t="n">
        <v>0</v>
      </c>
      <c r="L9330" t="n">
        <v>0</v>
      </c>
      <c r="M9330" t="n">
        <v>0</v>
      </c>
      <c r="N9330" t="n">
        <v>0</v>
      </c>
      <c r="O9330" t="n">
        <v>0</v>
      </c>
      <c r="P9330" t="n">
        <v>0</v>
      </c>
      <c r="Q9330" t="n">
        <v>0</v>
      </c>
      <c r="R9330" t="n">
        <v>0</v>
      </c>
      <c r="S9330" t="n">
        <v>0</v>
      </c>
      <c r="T9330" t="n">
        <v>0</v>
      </c>
      <c r="U9330" t="n">
        <v>0</v>
      </c>
      <c r="V9330" s="2" t="inlineStr"/>
    </row>
    <row r="9331" ht="15" customHeight="1">
      <c r="A9331" t="inlineStr">
        <is>
          <t>A 23879-2026</t>
        </is>
      </c>
      <c r="B9331" t="inlineStr">
        <is>
          <t>avverkningsanmälan</t>
        </is>
      </c>
      <c r="C9331" t="inlineStr">
        <is>
          <t>Föryngringsavverkning</t>
        </is>
      </c>
      <c r="D9331" s="1" t="n">
        <v>46167</v>
      </c>
      <c r="E9331" s="1" t="n">
        <v>46326</v>
      </c>
      <c r="F9331" t="inlineStr">
        <is>
          <t>GÄVLEBORGS LÄN</t>
        </is>
      </c>
      <c r="G9331" t="inlineStr">
        <is>
          <t>OVANÅKER</t>
        </is>
      </c>
      <c r="I9331" t="n">
        <v>1</v>
      </c>
      <c r="J9331" t="n">
        <v>0</v>
      </c>
      <c r="K9331" t="n">
        <v>0</v>
      </c>
      <c r="L9331" t="n">
        <v>0</v>
      </c>
      <c r="M9331" t="n">
        <v>0</v>
      </c>
      <c r="N9331" t="n">
        <v>0</v>
      </c>
      <c r="O9331" t="n">
        <v>0</v>
      </c>
      <c r="P9331" t="n">
        <v>0</v>
      </c>
      <c r="Q9331" t="n">
        <v>0</v>
      </c>
      <c r="R9331" t="n">
        <v>0</v>
      </c>
      <c r="S9331" t="n">
        <v>0</v>
      </c>
      <c r="T9331" t="n">
        <v>0</v>
      </c>
      <c r="U9331" t="n">
        <v>0</v>
      </c>
      <c r="V9331" s="2" t="inlineStr"/>
    </row>
    <row r="9332" ht="15" customHeight="1">
      <c r="A9332" t="inlineStr">
        <is>
          <t>A 23887-2026</t>
        </is>
      </c>
      <c r="B9332" t="inlineStr">
        <is>
          <t>avverkningsanmälan</t>
        </is>
      </c>
      <c r="C9332" t="inlineStr">
        <is>
          <t>Föryngringsavverkning</t>
        </is>
      </c>
      <c r="D9332" s="1" t="n">
        <v>46167</v>
      </c>
      <c r="E9332" s="1" t="n">
        <v>46326</v>
      </c>
      <c r="F9332" t="inlineStr">
        <is>
          <t>GÄVLEBORGS LÄN</t>
        </is>
      </c>
      <c r="G9332" t="inlineStr">
        <is>
          <t>OVANÅKER</t>
        </is>
      </c>
      <c r="I9332" t="n">
        <v>0.5</v>
      </c>
      <c r="J9332" t="n">
        <v>0</v>
      </c>
      <c r="K9332" t="n">
        <v>0</v>
      </c>
      <c r="L9332" t="n">
        <v>0</v>
      </c>
      <c r="M9332" t="n">
        <v>0</v>
      </c>
      <c r="N9332" t="n">
        <v>0</v>
      </c>
      <c r="O9332" t="n">
        <v>0</v>
      </c>
      <c r="P9332" t="n">
        <v>0</v>
      </c>
      <c r="Q9332" t="n">
        <v>0</v>
      </c>
      <c r="R9332" t="n">
        <v>0</v>
      </c>
      <c r="S9332" t="n">
        <v>0</v>
      </c>
      <c r="T9332" t="n">
        <v>0</v>
      </c>
      <c r="U9332" t="n">
        <v>0</v>
      </c>
      <c r="V9332" s="2" t="inlineStr"/>
    </row>
    <row r="9333" ht="15" customHeight="1">
      <c r="A9333" t="inlineStr">
        <is>
          <t>A 25029-2025</t>
        </is>
      </c>
      <c r="B9333" t="inlineStr">
        <is>
          <t>avverkningsanmälan</t>
        </is>
      </c>
      <c r="C9333" t="inlineStr">
        <is>
          <t>Föryngringsavverkning</t>
        </is>
      </c>
      <c r="D9333" s="1" t="n">
        <v>45799</v>
      </c>
      <c r="E9333" s="1" t="n">
        <v>46326</v>
      </c>
      <c r="F9333" t="inlineStr">
        <is>
          <t>GÄVLEBORGS LÄN</t>
        </is>
      </c>
      <c r="G9333" t="inlineStr">
        <is>
          <t>SÖDERHAMN</t>
        </is>
      </c>
      <c r="H9333" t="inlineStr">
        <is>
          <t>Bergvik skog väst AB</t>
        </is>
      </c>
      <c r="I9333" t="n">
        <v>1.5</v>
      </c>
      <c r="J9333" t="n">
        <v>0</v>
      </c>
      <c r="K9333" t="n">
        <v>0</v>
      </c>
      <c r="L9333" t="n">
        <v>0</v>
      </c>
      <c r="M9333" t="n">
        <v>0</v>
      </c>
      <c r="N9333" t="n">
        <v>0</v>
      </c>
      <c r="O9333" t="n">
        <v>0</v>
      </c>
      <c r="P9333" t="n">
        <v>0</v>
      </c>
      <c r="Q9333" t="n">
        <v>0</v>
      </c>
      <c r="R9333" t="n">
        <v>0</v>
      </c>
      <c r="S9333" t="n">
        <v>0</v>
      </c>
      <c r="T9333" t="n">
        <v>0</v>
      </c>
      <c r="U9333" t="n">
        <v>0</v>
      </c>
      <c r="V9333" s="2" t="inlineStr"/>
    </row>
    <row r="9334" ht="15" customHeight="1">
      <c r="A9334" t="inlineStr">
        <is>
          <t>A 26324-2025</t>
        </is>
      </c>
      <c r="B9334" t="inlineStr">
        <is>
          <t>avverkningsanmälan</t>
        </is>
      </c>
      <c r="C9334" t="inlineStr">
        <is>
          <t>Föryngringsavverkning</t>
        </is>
      </c>
      <c r="D9334" s="1" t="n">
        <v>45805</v>
      </c>
      <c r="E9334" s="1" t="n">
        <v>46326</v>
      </c>
      <c r="F9334" t="inlineStr">
        <is>
          <t>GÄVLEBORGS LÄN</t>
        </is>
      </c>
      <c r="G9334" t="inlineStr">
        <is>
          <t>OVANÅKER</t>
        </is>
      </c>
      <c r="I9334" t="n">
        <v>1.4</v>
      </c>
      <c r="J9334" t="n">
        <v>0</v>
      </c>
      <c r="K9334" t="n">
        <v>0</v>
      </c>
      <c r="L9334" t="n">
        <v>0</v>
      </c>
      <c r="M9334" t="n">
        <v>0</v>
      </c>
      <c r="N9334" t="n">
        <v>0</v>
      </c>
      <c r="O9334" t="n">
        <v>0</v>
      </c>
      <c r="P9334" t="n">
        <v>0</v>
      </c>
      <c r="Q9334" t="n">
        <v>0</v>
      </c>
      <c r="R9334" t="n">
        <v>0</v>
      </c>
      <c r="S9334" t="n">
        <v>0</v>
      </c>
      <c r="T9334" t="n">
        <v>0</v>
      </c>
      <c r="U9334" t="n">
        <v>0</v>
      </c>
      <c r="V9334" s="2" t="inlineStr"/>
    </row>
    <row r="9335" ht="15" customHeight="1">
      <c r="A9335" t="inlineStr">
        <is>
          <t>A 3773-2026</t>
        </is>
      </c>
      <c r="B9335" t="inlineStr">
        <is>
          <t>avverkningsanmälan</t>
        </is>
      </c>
      <c r="C9335" t="inlineStr">
        <is>
          <t>Föryngringsavverkning</t>
        </is>
      </c>
      <c r="D9335" s="1" t="n">
        <v>46043</v>
      </c>
      <c r="E9335" s="1" t="n">
        <v>46326</v>
      </c>
      <c r="F9335" t="inlineStr">
        <is>
          <t>GÄVLEBORGS LÄN</t>
        </is>
      </c>
      <c r="G9335" t="inlineStr">
        <is>
          <t>NORDANSTIG</t>
        </is>
      </c>
      <c r="I9335" t="n">
        <v>14</v>
      </c>
      <c r="J9335" t="n">
        <v>0</v>
      </c>
      <c r="K9335" t="n">
        <v>0</v>
      </c>
      <c r="L9335" t="n">
        <v>0</v>
      </c>
      <c r="M9335" t="n">
        <v>0</v>
      </c>
      <c r="N9335" t="n">
        <v>0</v>
      </c>
      <c r="O9335" t="n">
        <v>0</v>
      </c>
      <c r="P9335" t="n">
        <v>0</v>
      </c>
      <c r="Q9335" t="n">
        <v>0</v>
      </c>
      <c r="R9335" t="n">
        <v>0</v>
      </c>
      <c r="S9335" t="n">
        <v>0</v>
      </c>
      <c r="T9335" t="n">
        <v>0</v>
      </c>
      <c r="U9335" t="n">
        <v>0</v>
      </c>
      <c r="V9335" s="2" t="inlineStr"/>
    </row>
    <row r="9336" ht="15" customHeight="1">
      <c r="A9336" t="inlineStr">
        <is>
          <t>A 34983-2024</t>
        </is>
      </c>
      <c r="B9336" t="inlineStr">
        <is>
          <t>avverkningsanmälan</t>
        </is>
      </c>
      <c r="C9336" t="inlineStr">
        <is>
          <t>Föryngringsavverkning</t>
        </is>
      </c>
      <c r="D9336" s="1" t="n">
        <v>45527</v>
      </c>
      <c r="E9336" s="1" t="n">
        <v>46326</v>
      </c>
      <c r="F9336" t="inlineStr">
        <is>
          <t>GÄVLEBORGS LÄN</t>
        </is>
      </c>
      <c r="G9336" t="inlineStr">
        <is>
          <t>HUDIKSVALL</t>
        </is>
      </c>
      <c r="H9336" t="inlineStr">
        <is>
          <t>Holmen skog AB</t>
        </is>
      </c>
      <c r="I9336" t="n">
        <v>1.2</v>
      </c>
      <c r="J9336" t="n">
        <v>0</v>
      </c>
      <c r="K9336" t="n">
        <v>0</v>
      </c>
      <c r="L9336" t="n">
        <v>0</v>
      </c>
      <c r="M9336" t="n">
        <v>0</v>
      </c>
      <c r="N9336" t="n">
        <v>0</v>
      </c>
      <c r="O9336" t="n">
        <v>0</v>
      </c>
      <c r="P9336" t="n">
        <v>0</v>
      </c>
      <c r="Q9336" t="n">
        <v>0</v>
      </c>
      <c r="R9336" t="n">
        <v>0</v>
      </c>
      <c r="S9336" t="n">
        <v>0</v>
      </c>
      <c r="T9336" t="n">
        <v>0</v>
      </c>
      <c r="U9336" t="n">
        <v>0</v>
      </c>
      <c r="V9336" s="2" t="inlineStr"/>
    </row>
    <row r="9337" ht="15" customHeight="1">
      <c r="A9337" t="inlineStr">
        <is>
          <t>A 9194-2022</t>
        </is>
      </c>
      <c r="B9337" t="inlineStr">
        <is>
          <t>avverkningsanmälan</t>
        </is>
      </c>
      <c r="C9337" t="inlineStr">
        <is>
          <t>Avverkning för annat ändamål</t>
        </is>
      </c>
      <c r="D9337" s="1" t="n">
        <v>44615</v>
      </c>
      <c r="E9337" s="1" t="n">
        <v>46326</v>
      </c>
      <c r="F9337" t="inlineStr">
        <is>
          <t>GÄVLEBORGS LÄN</t>
        </is>
      </c>
      <c r="G9337" t="inlineStr">
        <is>
          <t>LJUSDAL</t>
        </is>
      </c>
      <c r="I9337" t="n">
        <v>2.4</v>
      </c>
      <c r="J9337" t="n">
        <v>0</v>
      </c>
      <c r="K9337" t="n">
        <v>0</v>
      </c>
      <c r="L9337" t="n">
        <v>0</v>
      </c>
      <c r="M9337" t="n">
        <v>0</v>
      </c>
      <c r="N9337" t="n">
        <v>0</v>
      </c>
      <c r="O9337" t="n">
        <v>0</v>
      </c>
      <c r="P9337" t="n">
        <v>0</v>
      </c>
      <c r="Q9337" t="n">
        <v>0</v>
      </c>
      <c r="R9337" t="n">
        <v>0</v>
      </c>
      <c r="S9337" t="n">
        <v>0</v>
      </c>
      <c r="T9337" t="n">
        <v>0</v>
      </c>
      <c r="U9337" t="n">
        <v>0</v>
      </c>
      <c r="V9337" s="2" t="inlineStr"/>
    </row>
    <row r="9338" ht="15" customHeight="1">
      <c r="A9338" t="inlineStr">
        <is>
          <t>A 30992-2026</t>
        </is>
      </c>
      <c r="B9338" t="inlineStr">
        <is>
          <t>avverkningsanmälan</t>
        </is>
      </c>
      <c r="C9338" t="inlineStr">
        <is>
          <t>Föryngringsavverkning</t>
        </is>
      </c>
      <c r="D9338" s="1" t="n">
        <v>46213</v>
      </c>
      <c r="E9338" s="1" t="n">
        <v>46326</v>
      </c>
      <c r="F9338" t="inlineStr">
        <is>
          <t>GÄVLEBORGS LÄN</t>
        </is>
      </c>
      <c r="G9338" t="inlineStr">
        <is>
          <t>OVANÅKER</t>
        </is>
      </c>
      <c r="I9338" t="n">
        <v>0.9</v>
      </c>
      <c r="J9338" t="n">
        <v>0</v>
      </c>
      <c r="K9338" t="n">
        <v>0</v>
      </c>
      <c r="L9338" t="n">
        <v>0</v>
      </c>
      <c r="M9338" t="n">
        <v>0</v>
      </c>
      <c r="N9338" t="n">
        <v>0</v>
      </c>
      <c r="O9338" t="n">
        <v>0</v>
      </c>
      <c r="P9338" t="n">
        <v>0</v>
      </c>
      <c r="Q9338" t="n">
        <v>0</v>
      </c>
      <c r="R9338" t="n">
        <v>0</v>
      </c>
      <c r="S9338" t="n">
        <v>0</v>
      </c>
      <c r="T9338" t="n">
        <v>0</v>
      </c>
      <c r="U9338" t="n">
        <v>0</v>
      </c>
      <c r="V9338" s="2" t="inlineStr"/>
    </row>
    <row r="9339" ht="15" customHeight="1">
      <c r="A9339" t="inlineStr">
        <is>
          <t>A 5633-2024</t>
        </is>
      </c>
      <c r="B9339" t="inlineStr">
        <is>
          <t>avverkningsanmälan</t>
        </is>
      </c>
      <c r="C9339" t="inlineStr">
        <is>
          <t>Föryngringsavverkning</t>
        </is>
      </c>
      <c r="D9339" s="1" t="n">
        <v>45334</v>
      </c>
      <c r="E9339" s="1" t="n">
        <v>46326</v>
      </c>
      <c r="F9339" t="inlineStr">
        <is>
          <t>GÄVLEBORGS LÄN</t>
        </is>
      </c>
      <c r="G9339" t="inlineStr">
        <is>
          <t>GÄVLE</t>
        </is>
      </c>
      <c r="I9339" t="n">
        <v>1.5</v>
      </c>
      <c r="J9339" t="n">
        <v>0</v>
      </c>
      <c r="K9339" t="n">
        <v>0</v>
      </c>
      <c r="L9339" t="n">
        <v>0</v>
      </c>
      <c r="M9339" t="n">
        <v>0</v>
      </c>
      <c r="N9339" t="n">
        <v>0</v>
      </c>
      <c r="O9339" t="n">
        <v>0</v>
      </c>
      <c r="P9339" t="n">
        <v>0</v>
      </c>
      <c r="Q9339" t="n">
        <v>0</v>
      </c>
      <c r="R9339" t="n">
        <v>0</v>
      </c>
      <c r="S9339" t="n">
        <v>0</v>
      </c>
      <c r="T9339" t="n">
        <v>0</v>
      </c>
      <c r="U9339" t="n">
        <v>0</v>
      </c>
      <c r="V9339" s="2" t="inlineStr"/>
    </row>
    <row r="9340" ht="15" customHeight="1">
      <c r="A9340" t="inlineStr">
        <is>
          <t>A 15385-2023</t>
        </is>
      </c>
      <c r="B9340" t="inlineStr">
        <is>
          <t>avverkningsanmälan</t>
        </is>
      </c>
      <c r="C9340" t="inlineStr">
        <is>
          <t>Föryngringsavverkning</t>
        </is>
      </c>
      <c r="D9340" s="1" t="n">
        <v>45019</v>
      </c>
      <c r="E9340" s="1" t="n">
        <v>46326</v>
      </c>
      <c r="F9340" t="inlineStr">
        <is>
          <t>GÄVLEBORGS LÄN</t>
        </is>
      </c>
      <c r="G9340" t="inlineStr">
        <is>
          <t>NORDANSTIG</t>
        </is>
      </c>
      <c r="I9340" t="n">
        <v>5.9</v>
      </c>
      <c r="J9340" t="n">
        <v>0</v>
      </c>
      <c r="K9340" t="n">
        <v>0</v>
      </c>
      <c r="L9340" t="n">
        <v>0</v>
      </c>
      <c r="M9340" t="n">
        <v>0</v>
      </c>
      <c r="N9340" t="n">
        <v>0</v>
      </c>
      <c r="O9340" t="n">
        <v>0</v>
      </c>
      <c r="P9340" t="n">
        <v>0</v>
      </c>
      <c r="Q9340" t="n">
        <v>0</v>
      </c>
      <c r="R9340" t="n">
        <v>0</v>
      </c>
      <c r="S9340" t="n">
        <v>0</v>
      </c>
      <c r="T9340" t="n">
        <v>0</v>
      </c>
      <c r="U9340" t="n">
        <v>0</v>
      </c>
      <c r="V9340" s="2" t="inlineStr"/>
    </row>
    <row r="9341" ht="15" customHeight="1">
      <c r="A9341" t="inlineStr">
        <is>
          <t>A 7149-2022</t>
        </is>
      </c>
      <c r="B9341" t="inlineStr">
        <is>
          <t>avverkningsanmälan</t>
        </is>
      </c>
      <c r="C9341" t="inlineStr">
        <is>
          <t>Föryngringsavverkning</t>
        </is>
      </c>
      <c r="D9341" s="1" t="n">
        <v>44603</v>
      </c>
      <c r="E9341" s="1" t="n">
        <v>46326</v>
      </c>
      <c r="F9341" t="inlineStr">
        <is>
          <t>GÄVLEBORGS LÄN</t>
        </is>
      </c>
      <c r="G9341" t="inlineStr">
        <is>
          <t>NORDANSTIG</t>
        </is>
      </c>
      <c r="I9341" t="n">
        <v>2.2</v>
      </c>
      <c r="J9341" t="n">
        <v>0</v>
      </c>
      <c r="K9341" t="n">
        <v>0</v>
      </c>
      <c r="L9341" t="n">
        <v>0</v>
      </c>
      <c r="M9341" t="n">
        <v>0</v>
      </c>
      <c r="N9341" t="n">
        <v>0</v>
      </c>
      <c r="O9341" t="n">
        <v>0</v>
      </c>
      <c r="P9341" t="n">
        <v>0</v>
      </c>
      <c r="Q9341" t="n">
        <v>0</v>
      </c>
      <c r="R9341" t="n">
        <v>0</v>
      </c>
      <c r="S9341" t="n">
        <v>0</v>
      </c>
      <c r="T9341" t="n">
        <v>0</v>
      </c>
      <c r="U9341" t="n">
        <v>0</v>
      </c>
      <c r="V9341" s="2" t="inlineStr"/>
    </row>
    <row r="9342" ht="15" customHeight="1">
      <c r="A9342" t="inlineStr">
        <is>
          <t>A 19875-2025</t>
        </is>
      </c>
      <c r="B9342" t="inlineStr">
        <is>
          <t>avverkningsanmälan</t>
        </is>
      </c>
      <c r="C9342" t="inlineStr">
        <is>
          <t>Föryngringsavverkning</t>
        </is>
      </c>
      <c r="D9342" s="1" t="n">
        <v>45771</v>
      </c>
      <c r="E9342" s="1" t="n">
        <v>46326</v>
      </c>
      <c r="F9342" t="inlineStr">
        <is>
          <t>GÄVLEBORGS LÄN</t>
        </is>
      </c>
      <c r="G9342" t="inlineStr">
        <is>
          <t>OVANÅKER</t>
        </is>
      </c>
      <c r="I9342" t="n">
        <v>0.4</v>
      </c>
      <c r="J9342" t="n">
        <v>0</v>
      </c>
      <c r="K9342" t="n">
        <v>0</v>
      </c>
      <c r="L9342" t="n">
        <v>0</v>
      </c>
      <c r="M9342" t="n">
        <v>0</v>
      </c>
      <c r="N9342" t="n">
        <v>0</v>
      </c>
      <c r="O9342" t="n">
        <v>0</v>
      </c>
      <c r="P9342" t="n">
        <v>0</v>
      </c>
      <c r="Q9342" t="n">
        <v>0</v>
      </c>
      <c r="R9342" t="n">
        <v>0</v>
      </c>
      <c r="S9342" t="n">
        <v>0</v>
      </c>
      <c r="T9342" t="n">
        <v>0</v>
      </c>
      <c r="U9342" t="n">
        <v>0</v>
      </c>
      <c r="V9342" s="2" t="inlineStr"/>
    </row>
    <row r="9343" ht="15" customHeight="1">
      <c r="A9343" t="inlineStr">
        <is>
          <t>A 1062-2026</t>
        </is>
      </c>
      <c r="B9343" t="inlineStr">
        <is>
          <t>avverkningsanmälan</t>
        </is>
      </c>
      <c r="C9343" t="inlineStr">
        <is>
          <t>Föryngringsavverkning</t>
        </is>
      </c>
      <c r="D9343" s="1" t="n">
        <v>46030</v>
      </c>
      <c r="E9343" s="1" t="n">
        <v>46326</v>
      </c>
      <c r="F9343" t="inlineStr">
        <is>
          <t>GÄVLEBORGS LÄN</t>
        </is>
      </c>
      <c r="G9343" t="inlineStr">
        <is>
          <t>SANDVIKEN</t>
        </is>
      </c>
      <c r="I9343" t="n">
        <v>10.2</v>
      </c>
      <c r="J9343" t="n">
        <v>0</v>
      </c>
      <c r="K9343" t="n">
        <v>0</v>
      </c>
      <c r="L9343" t="n">
        <v>0</v>
      </c>
      <c r="M9343" t="n">
        <v>0</v>
      </c>
      <c r="N9343" t="n">
        <v>0</v>
      </c>
      <c r="O9343" t="n">
        <v>0</v>
      </c>
      <c r="P9343" t="n">
        <v>0</v>
      </c>
      <c r="Q9343" t="n">
        <v>0</v>
      </c>
      <c r="R9343" t="n">
        <v>0</v>
      </c>
      <c r="S9343" t="n">
        <v>0</v>
      </c>
      <c r="T9343" t="n">
        <v>0</v>
      </c>
      <c r="U9343" t="n">
        <v>0</v>
      </c>
      <c r="V9343" s="2" t="inlineStr"/>
    </row>
    <row r="9344" ht="15" customHeight="1">
      <c r="A9344" t="inlineStr">
        <is>
          <t>A 30951-2026</t>
        </is>
      </c>
      <c r="B9344" t="inlineStr">
        <is>
          <t>avverkningsanmälan</t>
        </is>
      </c>
      <c r="C9344" t="inlineStr">
        <is>
          <t>Föryngringsavverkning</t>
        </is>
      </c>
      <c r="D9344" s="1" t="n">
        <v>46213</v>
      </c>
      <c r="E9344" s="1" t="n">
        <v>46326</v>
      </c>
      <c r="F9344" t="inlineStr">
        <is>
          <t>GÄVLEBORGS LÄN</t>
        </is>
      </c>
      <c r="G9344" t="inlineStr">
        <is>
          <t>GÄVLE</t>
        </is>
      </c>
      <c r="H9344" t="inlineStr">
        <is>
          <t>Bergvik skog öst AB</t>
        </is>
      </c>
      <c r="I9344" t="n">
        <v>0.8</v>
      </c>
      <c r="J9344" t="n">
        <v>0</v>
      </c>
      <c r="K9344" t="n">
        <v>0</v>
      </c>
      <c r="L9344" t="n">
        <v>0</v>
      </c>
      <c r="M9344" t="n">
        <v>0</v>
      </c>
      <c r="N9344" t="n">
        <v>0</v>
      </c>
      <c r="O9344" t="n">
        <v>0</v>
      </c>
      <c r="P9344" t="n">
        <v>0</v>
      </c>
      <c r="Q9344" t="n">
        <v>0</v>
      </c>
      <c r="R9344" t="n">
        <v>0</v>
      </c>
      <c r="S9344" t="n">
        <v>0</v>
      </c>
      <c r="T9344" t="n">
        <v>0</v>
      </c>
      <c r="U9344" t="n">
        <v>0</v>
      </c>
      <c r="V9344" s="2" t="inlineStr"/>
    </row>
    <row r="9345" ht="15" customHeight="1">
      <c r="A9345" t="inlineStr">
        <is>
          <t>A 23118-2024</t>
        </is>
      </c>
      <c r="B9345" t="inlineStr">
        <is>
          <t>avverkningsanmälan</t>
        </is>
      </c>
      <c r="C9345" t="inlineStr">
        <is>
          <t>Föryngringsavverkning</t>
        </is>
      </c>
      <c r="D9345" s="1" t="n">
        <v>45450</v>
      </c>
      <c r="E9345" s="1" t="n">
        <v>46326</v>
      </c>
      <c r="F9345" t="inlineStr">
        <is>
          <t>GÄVLEBORGS LÄN</t>
        </is>
      </c>
      <c r="G9345" t="inlineStr">
        <is>
          <t>BOLLNÄS</t>
        </is>
      </c>
      <c r="I9345" t="n">
        <v>0.7</v>
      </c>
      <c r="J9345" t="n">
        <v>0</v>
      </c>
      <c r="K9345" t="n">
        <v>0</v>
      </c>
      <c r="L9345" t="n">
        <v>0</v>
      </c>
      <c r="M9345" t="n">
        <v>0</v>
      </c>
      <c r="N9345" t="n">
        <v>0</v>
      </c>
      <c r="O9345" t="n">
        <v>0</v>
      </c>
      <c r="P9345" t="n">
        <v>0</v>
      </c>
      <c r="Q9345" t="n">
        <v>0</v>
      </c>
      <c r="R9345" t="n">
        <v>0</v>
      </c>
      <c r="S9345" t="n">
        <v>0</v>
      </c>
      <c r="T9345" t="n">
        <v>0</v>
      </c>
      <c r="U9345" t="n">
        <v>0</v>
      </c>
      <c r="V9345" s="2" t="inlineStr"/>
    </row>
    <row r="9346" ht="15" customHeight="1">
      <c r="A9346" t="inlineStr">
        <is>
          <t>A 13961-2024</t>
        </is>
      </c>
      <c r="B9346" t="inlineStr">
        <is>
          <t>avverkningsanmälan</t>
        </is>
      </c>
      <c r="C9346" t="inlineStr">
        <is>
          <t>Föryngringsavverkning</t>
        </is>
      </c>
      <c r="D9346" s="1" t="n">
        <v>45392</v>
      </c>
      <c r="E9346" s="1" t="n">
        <v>46326</v>
      </c>
      <c r="F9346" t="inlineStr">
        <is>
          <t>GÄVLEBORGS LÄN</t>
        </is>
      </c>
      <c r="G9346" t="inlineStr">
        <is>
          <t>GÄVLE</t>
        </is>
      </c>
      <c r="I9346" t="n">
        <v>1.8</v>
      </c>
      <c r="J9346" t="n">
        <v>0</v>
      </c>
      <c r="K9346" t="n">
        <v>0</v>
      </c>
      <c r="L9346" t="n">
        <v>0</v>
      </c>
      <c r="M9346" t="n">
        <v>0</v>
      </c>
      <c r="N9346" t="n">
        <v>0</v>
      </c>
      <c r="O9346" t="n">
        <v>0</v>
      </c>
      <c r="P9346" t="n">
        <v>0</v>
      </c>
      <c r="Q9346" t="n">
        <v>0</v>
      </c>
      <c r="R9346" t="n">
        <v>0</v>
      </c>
      <c r="S9346" t="n">
        <v>0</v>
      </c>
      <c r="T9346" t="n">
        <v>0</v>
      </c>
      <c r="U9346" t="n">
        <v>0</v>
      </c>
      <c r="V9346" s="2" t="inlineStr"/>
    </row>
    <row r="9347" ht="15" customHeight="1">
      <c r="A9347" t="inlineStr">
        <is>
          <t>A 55531-2024</t>
        </is>
      </c>
      <c r="B9347" t="inlineStr">
        <is>
          <t>avverkningsanmälan</t>
        </is>
      </c>
      <c r="C9347" t="inlineStr">
        <is>
          <t>Föryngringsavverkning</t>
        </is>
      </c>
      <c r="D9347" s="1" t="n">
        <v>45622</v>
      </c>
      <c r="E9347" s="1" t="n">
        <v>46326</v>
      </c>
      <c r="F9347" t="inlineStr">
        <is>
          <t>GÄVLEBORGS LÄN</t>
        </is>
      </c>
      <c r="G9347" t="inlineStr">
        <is>
          <t>NORDANSTIG</t>
        </is>
      </c>
      <c r="I9347" t="n">
        <v>1.8</v>
      </c>
      <c r="J9347" t="n">
        <v>0</v>
      </c>
      <c r="K9347" t="n">
        <v>0</v>
      </c>
      <c r="L9347" t="n">
        <v>0</v>
      </c>
      <c r="M9347" t="n">
        <v>0</v>
      </c>
      <c r="N9347" t="n">
        <v>0</v>
      </c>
      <c r="O9347" t="n">
        <v>0</v>
      </c>
      <c r="P9347" t="n">
        <v>0</v>
      </c>
      <c r="Q9347" t="n">
        <v>0</v>
      </c>
      <c r="R9347" t="n">
        <v>0</v>
      </c>
      <c r="S9347" t="n">
        <v>0</v>
      </c>
      <c r="T9347" t="n">
        <v>0</v>
      </c>
      <c r="U9347" t="n">
        <v>0</v>
      </c>
      <c r="V9347" s="2" t="inlineStr"/>
    </row>
    <row r="9348" ht="15" customHeight="1">
      <c r="A9348" t="inlineStr">
        <is>
          <t>A 31198-2026</t>
        </is>
      </c>
      <c r="B9348" t="inlineStr">
        <is>
          <t>avverkningsanmälan</t>
        </is>
      </c>
      <c r="C9348" t="inlineStr">
        <is>
          <t>Föryngringsavverkning</t>
        </is>
      </c>
      <c r="D9348" s="1" t="n">
        <v>46217</v>
      </c>
      <c r="E9348" s="1" t="n">
        <v>46326</v>
      </c>
      <c r="F9348" t="inlineStr">
        <is>
          <t>GÄVLEBORGS LÄN</t>
        </is>
      </c>
      <c r="G9348" t="inlineStr">
        <is>
          <t>LJUSDAL</t>
        </is>
      </c>
      <c r="H9348" t="inlineStr">
        <is>
          <t>Bergvik skog väst AB</t>
        </is>
      </c>
      <c r="I9348" t="n">
        <v>1.2</v>
      </c>
      <c r="J9348" t="n">
        <v>0</v>
      </c>
      <c r="K9348" t="n">
        <v>0</v>
      </c>
      <c r="L9348" t="n">
        <v>0</v>
      </c>
      <c r="M9348" t="n">
        <v>0</v>
      </c>
      <c r="N9348" t="n">
        <v>0</v>
      </c>
      <c r="O9348" t="n">
        <v>0</v>
      </c>
      <c r="P9348" t="n">
        <v>0</v>
      </c>
      <c r="Q9348" t="n">
        <v>0</v>
      </c>
      <c r="R9348" t="n">
        <v>0</v>
      </c>
      <c r="S9348" t="n">
        <v>0</v>
      </c>
      <c r="T9348" t="n">
        <v>0</v>
      </c>
      <c r="U9348" t="n">
        <v>0</v>
      </c>
      <c r="V9348" s="2" t="inlineStr"/>
    </row>
    <row r="9349" ht="15" customHeight="1">
      <c r="A9349" t="inlineStr">
        <is>
          <t>A 50809-2024</t>
        </is>
      </c>
      <c r="B9349" t="inlineStr">
        <is>
          <t>avverkningsanmälan</t>
        </is>
      </c>
      <c r="C9349" t="inlineStr">
        <is>
          <t>Föryngringsavverkning</t>
        </is>
      </c>
      <c r="D9349" s="1" t="n">
        <v>45602</v>
      </c>
      <c r="E9349" s="1" t="n">
        <v>46326</v>
      </c>
      <c r="F9349" t="inlineStr">
        <is>
          <t>GÄVLEBORGS LÄN</t>
        </is>
      </c>
      <c r="G9349" t="inlineStr">
        <is>
          <t>SÖDERHAMN</t>
        </is>
      </c>
      <c r="I9349" t="n">
        <v>1.6</v>
      </c>
      <c r="J9349" t="n">
        <v>0</v>
      </c>
      <c r="K9349" t="n">
        <v>0</v>
      </c>
      <c r="L9349" t="n">
        <v>0</v>
      </c>
      <c r="M9349" t="n">
        <v>0</v>
      </c>
      <c r="N9349" t="n">
        <v>0</v>
      </c>
      <c r="O9349" t="n">
        <v>0</v>
      </c>
      <c r="P9349" t="n">
        <v>0</v>
      </c>
      <c r="Q9349" t="n">
        <v>0</v>
      </c>
      <c r="R9349" t="n">
        <v>0</v>
      </c>
      <c r="S9349" t="n">
        <v>0</v>
      </c>
      <c r="T9349" t="n">
        <v>0</v>
      </c>
      <c r="U9349" t="n">
        <v>0</v>
      </c>
      <c r="V9349" s="2" t="inlineStr"/>
    </row>
    <row r="9350" ht="15" customHeight="1">
      <c r="A9350" t="inlineStr">
        <is>
          <t>A 31234-2026</t>
        </is>
      </c>
      <c r="B9350" t="inlineStr">
        <is>
          <t>avverkningsanmälan</t>
        </is>
      </c>
      <c r="C9350" t="inlineStr">
        <is>
          <t>Föryngringsavverkning</t>
        </is>
      </c>
      <c r="D9350" s="1" t="n">
        <v>46217</v>
      </c>
      <c r="E9350" s="1" t="n">
        <v>46326</v>
      </c>
      <c r="F9350" t="inlineStr">
        <is>
          <t>GÄVLEBORGS LÄN</t>
        </is>
      </c>
      <c r="G9350" t="inlineStr">
        <is>
          <t>GÄVLE</t>
        </is>
      </c>
      <c r="I9350" t="n">
        <v>3.6</v>
      </c>
      <c r="J9350" t="n">
        <v>0</v>
      </c>
      <c r="K9350" t="n">
        <v>0</v>
      </c>
      <c r="L9350" t="n">
        <v>0</v>
      </c>
      <c r="M9350" t="n">
        <v>0</v>
      </c>
      <c r="N9350" t="n">
        <v>0</v>
      </c>
      <c r="O9350" t="n">
        <v>0</v>
      </c>
      <c r="P9350" t="n">
        <v>0</v>
      </c>
      <c r="Q9350" t="n">
        <v>0</v>
      </c>
      <c r="R9350" t="n">
        <v>0</v>
      </c>
      <c r="S9350" t="n">
        <v>0</v>
      </c>
      <c r="T9350" t="n">
        <v>0</v>
      </c>
      <c r="U9350" t="n">
        <v>0</v>
      </c>
      <c r="V9350" s="2" t="inlineStr"/>
    </row>
    <row r="9351" ht="15" customHeight="1">
      <c r="A9351" t="inlineStr">
        <is>
          <t>A 2418-2024</t>
        </is>
      </c>
      <c r="B9351" t="inlineStr">
        <is>
          <t>avverkningsanmälan</t>
        </is>
      </c>
      <c r="C9351" t="inlineStr">
        <is>
          <t>Föryngringsavverkning</t>
        </is>
      </c>
      <c r="D9351" s="1" t="n">
        <v>45310</v>
      </c>
      <c r="E9351" s="1" t="n">
        <v>46326</v>
      </c>
      <c r="F9351" t="inlineStr">
        <is>
          <t>GÄVLEBORGS LÄN</t>
        </is>
      </c>
      <c r="G9351" t="inlineStr">
        <is>
          <t>HUDIKSVALL</t>
        </is>
      </c>
      <c r="I9351" t="n">
        <v>0.5</v>
      </c>
      <c r="J9351" t="n">
        <v>0</v>
      </c>
      <c r="K9351" t="n">
        <v>0</v>
      </c>
      <c r="L9351" t="n">
        <v>0</v>
      </c>
      <c r="M9351" t="n">
        <v>0</v>
      </c>
      <c r="N9351" t="n">
        <v>0</v>
      </c>
      <c r="O9351" t="n">
        <v>0</v>
      </c>
      <c r="P9351" t="n">
        <v>0</v>
      </c>
      <c r="Q9351" t="n">
        <v>0</v>
      </c>
      <c r="R9351" t="n">
        <v>0</v>
      </c>
      <c r="S9351" t="n">
        <v>0</v>
      </c>
      <c r="T9351" t="n">
        <v>0</v>
      </c>
      <c r="U9351" t="n">
        <v>0</v>
      </c>
      <c r="V9351" s="2" t="inlineStr"/>
    </row>
    <row r="9352" ht="15" customHeight="1">
      <c r="A9352" t="inlineStr">
        <is>
          <t>A 54625-2023</t>
        </is>
      </c>
      <c r="B9352" t="inlineStr">
        <is>
          <t>avverkningsanmälan</t>
        </is>
      </c>
      <c r="C9352" t="inlineStr">
        <is>
          <t>Avverkning för annat ändamål</t>
        </is>
      </c>
      <c r="D9352" s="1" t="n">
        <v>45234</v>
      </c>
      <c r="E9352" s="1" t="n">
        <v>46326</v>
      </c>
      <c r="F9352" t="inlineStr">
        <is>
          <t>GÄVLEBORGS LÄN</t>
        </is>
      </c>
      <c r="G9352" t="inlineStr">
        <is>
          <t>HUDIKSVALL</t>
        </is>
      </c>
      <c r="I9352" t="n">
        <v>4</v>
      </c>
      <c r="J9352" t="n">
        <v>0</v>
      </c>
      <c r="K9352" t="n">
        <v>0</v>
      </c>
      <c r="L9352" t="n">
        <v>0</v>
      </c>
      <c r="M9352" t="n">
        <v>0</v>
      </c>
      <c r="N9352" t="n">
        <v>0</v>
      </c>
      <c r="O9352" t="n">
        <v>0</v>
      </c>
      <c r="P9352" t="n">
        <v>0</v>
      </c>
      <c r="Q9352" t="n">
        <v>0</v>
      </c>
      <c r="R9352" t="n">
        <v>0</v>
      </c>
      <c r="S9352" t="n">
        <v>0</v>
      </c>
      <c r="T9352" t="n">
        <v>0</v>
      </c>
      <c r="U9352" t="n">
        <v>0</v>
      </c>
      <c r="V9352" s="2" t="inlineStr"/>
    </row>
    <row r="9353" ht="15" customHeight="1">
      <c r="A9353" t="inlineStr">
        <is>
          <t>A 20284-2025</t>
        </is>
      </c>
      <c r="B9353" t="inlineStr">
        <is>
          <t>avverkningsanmälan</t>
        </is>
      </c>
      <c r="C9353" t="inlineStr">
        <is>
          <t>Föryngringsavverkning</t>
        </is>
      </c>
      <c r="D9353" s="1" t="n">
        <v>45774</v>
      </c>
      <c r="E9353" s="1" t="n">
        <v>46326</v>
      </c>
      <c r="F9353" t="inlineStr">
        <is>
          <t>GÄVLEBORGS LÄN</t>
        </is>
      </c>
      <c r="G9353" t="inlineStr">
        <is>
          <t>BOLLNÄS</t>
        </is>
      </c>
      <c r="H9353" t="inlineStr">
        <is>
          <t>Bergvik skog väst AB</t>
        </is>
      </c>
      <c r="I9353" t="n">
        <v>0.4</v>
      </c>
      <c r="J9353" t="n">
        <v>0</v>
      </c>
      <c r="K9353" t="n">
        <v>0</v>
      </c>
      <c r="L9353" t="n">
        <v>0</v>
      </c>
      <c r="M9353" t="n">
        <v>0</v>
      </c>
      <c r="N9353" t="n">
        <v>0</v>
      </c>
      <c r="O9353" t="n">
        <v>0</v>
      </c>
      <c r="P9353" t="n">
        <v>0</v>
      </c>
      <c r="Q9353" t="n">
        <v>0</v>
      </c>
      <c r="R9353" t="n">
        <v>0</v>
      </c>
      <c r="S9353" t="n">
        <v>0</v>
      </c>
      <c r="T9353" t="n">
        <v>0</v>
      </c>
      <c r="U9353" t="n">
        <v>0</v>
      </c>
      <c r="V9353" s="2" t="inlineStr"/>
    </row>
    <row r="9354" ht="15" customHeight="1">
      <c r="A9354" t="inlineStr">
        <is>
          <t>A 60743-2024</t>
        </is>
      </c>
      <c r="B9354" t="inlineStr">
        <is>
          <t>avverkningsanmälan</t>
        </is>
      </c>
      <c r="C9354" t="inlineStr">
        <is>
          <t>Föryngringsavverkning</t>
        </is>
      </c>
      <c r="D9354" s="1" t="n">
        <v>45644</v>
      </c>
      <c r="E9354" s="1" t="n">
        <v>46326</v>
      </c>
      <c r="F9354" t="inlineStr">
        <is>
          <t>GÄVLEBORGS LÄN</t>
        </is>
      </c>
      <c r="G9354" t="inlineStr">
        <is>
          <t>BOLLNÄS</t>
        </is>
      </c>
      <c r="I9354" t="n">
        <v>1.6</v>
      </c>
      <c r="J9354" t="n">
        <v>0</v>
      </c>
      <c r="K9354" t="n">
        <v>0</v>
      </c>
      <c r="L9354" t="n">
        <v>0</v>
      </c>
      <c r="M9354" t="n">
        <v>0</v>
      </c>
      <c r="N9354" t="n">
        <v>0</v>
      </c>
      <c r="O9354" t="n">
        <v>0</v>
      </c>
      <c r="P9354" t="n">
        <v>0</v>
      </c>
      <c r="Q9354" t="n">
        <v>0</v>
      </c>
      <c r="R9354" t="n">
        <v>0</v>
      </c>
      <c r="S9354" t="n">
        <v>0</v>
      </c>
      <c r="T9354" t="n">
        <v>0</v>
      </c>
      <c r="U9354" t="n">
        <v>0</v>
      </c>
      <c r="V9354" s="2" t="inlineStr"/>
    </row>
    <row r="9355" ht="15" customHeight="1">
      <c r="A9355" t="inlineStr">
        <is>
          <t>A 10021-2025</t>
        </is>
      </c>
      <c r="B9355" t="inlineStr">
        <is>
          <t>avverkningsanmälan</t>
        </is>
      </c>
      <c r="C9355" t="inlineStr">
        <is>
          <t>Föryngringsavverkning</t>
        </is>
      </c>
      <c r="D9355" s="1" t="n">
        <v>45719</v>
      </c>
      <c r="E9355" s="1" t="n">
        <v>46326</v>
      </c>
      <c r="F9355" t="inlineStr">
        <is>
          <t>GÄVLEBORGS LÄN</t>
        </is>
      </c>
      <c r="G9355" t="inlineStr">
        <is>
          <t>BOLLNÄS</t>
        </is>
      </c>
      <c r="I9355" t="n">
        <v>1</v>
      </c>
      <c r="J9355" t="n">
        <v>0</v>
      </c>
      <c r="K9355" t="n">
        <v>0</v>
      </c>
      <c r="L9355" t="n">
        <v>0</v>
      </c>
      <c r="M9355" t="n">
        <v>0</v>
      </c>
      <c r="N9355" t="n">
        <v>0</v>
      </c>
      <c r="O9355" t="n">
        <v>0</v>
      </c>
      <c r="P9355" t="n">
        <v>0</v>
      </c>
      <c r="Q9355" t="n">
        <v>0</v>
      </c>
      <c r="R9355" t="n">
        <v>0</v>
      </c>
      <c r="S9355" t="n">
        <v>0</v>
      </c>
      <c r="T9355" t="n">
        <v>0</v>
      </c>
      <c r="U9355" t="n">
        <v>0</v>
      </c>
      <c r="V9355" s="2" t="inlineStr"/>
    </row>
    <row r="9356" ht="15" customHeight="1">
      <c r="A9356" t="inlineStr">
        <is>
          <t>A 59636-2024</t>
        </is>
      </c>
      <c r="B9356" t="inlineStr">
        <is>
          <t>avverkningsanmälan</t>
        </is>
      </c>
      <c r="C9356" t="inlineStr">
        <is>
          <t>Föryngringsavverkning</t>
        </is>
      </c>
      <c r="D9356" s="1" t="n">
        <v>45639</v>
      </c>
      <c r="E9356" s="1" t="n">
        <v>46326</v>
      </c>
      <c r="F9356" t="inlineStr">
        <is>
          <t>GÄVLEBORGS LÄN</t>
        </is>
      </c>
      <c r="G9356" t="inlineStr">
        <is>
          <t>BOLLNÄS</t>
        </is>
      </c>
      <c r="I9356" t="n">
        <v>1.9</v>
      </c>
      <c r="J9356" t="n">
        <v>0</v>
      </c>
      <c r="K9356" t="n">
        <v>0</v>
      </c>
      <c r="L9356" t="n">
        <v>0</v>
      </c>
      <c r="M9356" t="n">
        <v>0</v>
      </c>
      <c r="N9356" t="n">
        <v>0</v>
      </c>
      <c r="O9356" t="n">
        <v>0</v>
      </c>
      <c r="P9356" t="n">
        <v>0</v>
      </c>
      <c r="Q9356" t="n">
        <v>0</v>
      </c>
      <c r="R9356" t="n">
        <v>0</v>
      </c>
      <c r="S9356" t="n">
        <v>0</v>
      </c>
      <c r="T9356" t="n">
        <v>0</v>
      </c>
      <c r="U9356" t="n">
        <v>0</v>
      </c>
      <c r="V9356" s="2" t="inlineStr"/>
    </row>
    <row r="9357" ht="15" customHeight="1">
      <c r="A9357" t="inlineStr">
        <is>
          <t>A 53488-2023</t>
        </is>
      </c>
      <c r="B9357" t="inlineStr">
        <is>
          <t>avverkningsanmälan</t>
        </is>
      </c>
      <c r="C9357" t="inlineStr">
        <is>
          <t>Föryngringsavverkning</t>
        </is>
      </c>
      <c r="D9357" s="1" t="n">
        <v>45230</v>
      </c>
      <c r="E9357" s="1" t="n">
        <v>46326</v>
      </c>
      <c r="F9357" t="inlineStr">
        <is>
          <t>GÄVLEBORGS LÄN</t>
        </is>
      </c>
      <c r="G9357" t="inlineStr">
        <is>
          <t>OCKELBO</t>
        </is>
      </c>
      <c r="H9357" t="inlineStr">
        <is>
          <t>Bergvik skog väst AB</t>
        </is>
      </c>
      <c r="I9357" t="n">
        <v>13.3</v>
      </c>
      <c r="J9357" t="n">
        <v>0</v>
      </c>
      <c r="K9357" t="n">
        <v>0</v>
      </c>
      <c r="L9357" t="n">
        <v>0</v>
      </c>
      <c r="M9357" t="n">
        <v>0</v>
      </c>
      <c r="N9357" t="n">
        <v>0</v>
      </c>
      <c r="O9357" t="n">
        <v>0</v>
      </c>
      <c r="P9357" t="n">
        <v>0</v>
      </c>
      <c r="Q9357" t="n">
        <v>0</v>
      </c>
      <c r="R9357" t="n">
        <v>0</v>
      </c>
      <c r="S9357" t="n">
        <v>0</v>
      </c>
      <c r="T9357" t="n">
        <v>0</v>
      </c>
      <c r="U9357" t="n">
        <v>0</v>
      </c>
      <c r="V9357" s="2" t="inlineStr"/>
    </row>
    <row r="9358" ht="15" customHeight="1">
      <c r="A9358" t="inlineStr">
        <is>
          <t>A 19536-2025</t>
        </is>
      </c>
      <c r="B9358" t="inlineStr">
        <is>
          <t>avverkningsanmälan</t>
        </is>
      </c>
      <c r="C9358" t="inlineStr">
        <is>
          <t>Föryngringsavverkning</t>
        </is>
      </c>
      <c r="D9358" s="1" t="n">
        <v>45770</v>
      </c>
      <c r="E9358" s="1" t="n">
        <v>46326</v>
      </c>
      <c r="F9358" t="inlineStr">
        <is>
          <t>GÄVLEBORGS LÄN</t>
        </is>
      </c>
      <c r="G9358" t="inlineStr">
        <is>
          <t>SÖDERHAMN</t>
        </is>
      </c>
      <c r="I9358" t="n">
        <v>6.6</v>
      </c>
      <c r="J9358" t="n">
        <v>0</v>
      </c>
      <c r="K9358" t="n">
        <v>0</v>
      </c>
      <c r="L9358" t="n">
        <v>0</v>
      </c>
      <c r="M9358" t="n">
        <v>0</v>
      </c>
      <c r="N9358" t="n">
        <v>0</v>
      </c>
      <c r="O9358" t="n">
        <v>0</v>
      </c>
      <c r="P9358" t="n">
        <v>0</v>
      </c>
      <c r="Q9358" t="n">
        <v>0</v>
      </c>
      <c r="R9358" t="n">
        <v>0</v>
      </c>
      <c r="S9358" t="n">
        <v>0</v>
      </c>
      <c r="T9358" t="n">
        <v>0</v>
      </c>
      <c r="U9358" t="n">
        <v>0</v>
      </c>
      <c r="V9358" s="2" t="inlineStr"/>
    </row>
    <row r="9359" ht="15" customHeight="1">
      <c r="A9359" t="inlineStr">
        <is>
          <t>A 44177-2022</t>
        </is>
      </c>
      <c r="B9359" t="inlineStr">
        <is>
          <t>avverkningsanmälan</t>
        </is>
      </c>
      <c r="C9359" t="inlineStr">
        <is>
          <t>Föryngringsavverkning</t>
        </is>
      </c>
      <c r="D9359" s="1" t="n">
        <v>44839</v>
      </c>
      <c r="E9359" s="1" t="n">
        <v>46326</v>
      </c>
      <c r="F9359" t="inlineStr">
        <is>
          <t>GÄVLEBORGS LÄN</t>
        </is>
      </c>
      <c r="G9359" t="inlineStr">
        <is>
          <t>BOLLNÄS</t>
        </is>
      </c>
      <c r="I9359" t="n">
        <v>1.1</v>
      </c>
      <c r="J9359" t="n">
        <v>0</v>
      </c>
      <c r="K9359" t="n">
        <v>0</v>
      </c>
      <c r="L9359" t="n">
        <v>0</v>
      </c>
      <c r="M9359" t="n">
        <v>0</v>
      </c>
      <c r="N9359" t="n">
        <v>0</v>
      </c>
      <c r="O9359" t="n">
        <v>0</v>
      </c>
      <c r="P9359" t="n">
        <v>0</v>
      </c>
      <c r="Q9359" t="n">
        <v>0</v>
      </c>
      <c r="R9359" t="n">
        <v>0</v>
      </c>
      <c r="S9359" t="n">
        <v>0</v>
      </c>
      <c r="T9359" t="n">
        <v>0</v>
      </c>
      <c r="U9359" t="n">
        <v>0</v>
      </c>
      <c r="V9359" s="2" t="inlineStr"/>
    </row>
    <row r="9360" ht="15" customHeight="1">
      <c r="A9360" t="inlineStr">
        <is>
          <t>A 26700-2026</t>
        </is>
      </c>
      <c r="B9360" t="inlineStr">
        <is>
          <t>avverkningsanmälan</t>
        </is>
      </c>
      <c r="C9360" t="inlineStr">
        <is>
          <t>Föryngringsavverkning</t>
        </is>
      </c>
      <c r="D9360" s="1" t="n">
        <v>46184</v>
      </c>
      <c r="E9360" s="1" t="n">
        <v>46326</v>
      </c>
      <c r="F9360" t="inlineStr">
        <is>
          <t>GÄVLEBORGS LÄN</t>
        </is>
      </c>
      <c r="G9360" t="inlineStr">
        <is>
          <t>NORDANSTIG</t>
        </is>
      </c>
      <c r="I9360" t="n">
        <v>1.3</v>
      </c>
      <c r="J9360" t="n">
        <v>0</v>
      </c>
      <c r="K9360" t="n">
        <v>0</v>
      </c>
      <c r="L9360" t="n">
        <v>0</v>
      </c>
      <c r="M9360" t="n">
        <v>0</v>
      </c>
      <c r="N9360" t="n">
        <v>0</v>
      </c>
      <c r="O9360" t="n">
        <v>0</v>
      </c>
      <c r="P9360" t="n">
        <v>0</v>
      </c>
      <c r="Q9360" t="n">
        <v>0</v>
      </c>
      <c r="R9360" t="n">
        <v>0</v>
      </c>
      <c r="S9360" t="n">
        <v>0</v>
      </c>
      <c r="T9360" t="n">
        <v>0</v>
      </c>
      <c r="U9360" t="n">
        <v>0</v>
      </c>
      <c r="V9360" s="2" t="inlineStr"/>
    </row>
    <row r="9361" ht="15" customHeight="1">
      <c r="A9361" t="inlineStr">
        <is>
          <t>A 26696-2026</t>
        </is>
      </c>
      <c r="B9361" t="inlineStr">
        <is>
          <t>avverkningsanmälan</t>
        </is>
      </c>
      <c r="C9361" t="inlineStr">
        <is>
          <t>Föryngringsavverkning</t>
        </is>
      </c>
      <c r="D9361" s="1" t="n">
        <v>46184</v>
      </c>
      <c r="E9361" s="1" t="n">
        <v>46326</v>
      </c>
      <c r="F9361" t="inlineStr">
        <is>
          <t>GÄVLEBORGS LÄN</t>
        </is>
      </c>
      <c r="G9361" t="inlineStr">
        <is>
          <t>NORDANSTIG</t>
        </is>
      </c>
      <c r="I9361" t="n">
        <v>0.6</v>
      </c>
      <c r="J9361" t="n">
        <v>0</v>
      </c>
      <c r="K9361" t="n">
        <v>0</v>
      </c>
      <c r="L9361" t="n">
        <v>0</v>
      </c>
      <c r="M9361" t="n">
        <v>0</v>
      </c>
      <c r="N9361" t="n">
        <v>0</v>
      </c>
      <c r="O9361" t="n">
        <v>0</v>
      </c>
      <c r="P9361" t="n">
        <v>0</v>
      </c>
      <c r="Q9361" t="n">
        <v>0</v>
      </c>
      <c r="R9361" t="n">
        <v>0</v>
      </c>
      <c r="S9361" t="n">
        <v>0</v>
      </c>
      <c r="T9361" t="n">
        <v>0</v>
      </c>
      <c r="U9361" t="n">
        <v>0</v>
      </c>
      <c r="V9361" s="2" t="inlineStr"/>
    </row>
    <row r="9362" ht="15" customHeight="1">
      <c r="A9362" t="inlineStr">
        <is>
          <t>A 52014-2023</t>
        </is>
      </c>
      <c r="B9362" t="inlineStr">
        <is>
          <t>avverkningsanmälan</t>
        </is>
      </c>
      <c r="C9362" t="inlineStr">
        <is>
          <t>Föryngringsavverkning</t>
        </is>
      </c>
      <c r="D9362" s="1" t="n">
        <v>45223</v>
      </c>
      <c r="E9362" s="1" t="n">
        <v>46326</v>
      </c>
      <c r="F9362" t="inlineStr">
        <is>
          <t>GÄVLEBORGS LÄN</t>
        </is>
      </c>
      <c r="G9362" t="inlineStr">
        <is>
          <t>HUDIKSVALL</t>
        </is>
      </c>
      <c r="H9362" t="inlineStr">
        <is>
          <t>Holmen skog AB</t>
        </is>
      </c>
      <c r="I9362" t="n">
        <v>0.7</v>
      </c>
      <c r="J9362" t="n">
        <v>0</v>
      </c>
      <c r="K9362" t="n">
        <v>0</v>
      </c>
      <c r="L9362" t="n">
        <v>0</v>
      </c>
      <c r="M9362" t="n">
        <v>0</v>
      </c>
      <c r="N9362" t="n">
        <v>0</v>
      </c>
      <c r="O9362" t="n">
        <v>0</v>
      </c>
      <c r="P9362" t="n">
        <v>0</v>
      </c>
      <c r="Q9362" t="n">
        <v>0</v>
      </c>
      <c r="R9362" t="n">
        <v>0</v>
      </c>
      <c r="S9362" t="n">
        <v>0</v>
      </c>
      <c r="T9362" t="n">
        <v>0</v>
      </c>
      <c r="U9362" t="n">
        <v>0</v>
      </c>
      <c r="V9362" s="2" t="inlineStr"/>
    </row>
    <row r="9363" ht="15" customHeight="1">
      <c r="A9363" t="inlineStr">
        <is>
          <t>A 35941-2022</t>
        </is>
      </c>
      <c r="B9363" t="inlineStr">
        <is>
          <t>avverkningsanmälan</t>
        </is>
      </c>
      <c r="C9363" t="inlineStr">
        <is>
          <t>Föryngringsavverkning</t>
        </is>
      </c>
      <c r="D9363" s="1" t="n">
        <v>44802</v>
      </c>
      <c r="E9363" s="1" t="n">
        <v>46326</v>
      </c>
      <c r="F9363" t="inlineStr">
        <is>
          <t>GÄVLEBORGS LÄN</t>
        </is>
      </c>
      <c r="G9363" t="inlineStr">
        <is>
          <t>BOLLNÄS</t>
        </is>
      </c>
      <c r="I9363" t="n">
        <v>1.2</v>
      </c>
      <c r="J9363" t="n">
        <v>0</v>
      </c>
      <c r="K9363" t="n">
        <v>0</v>
      </c>
      <c r="L9363" t="n">
        <v>0</v>
      </c>
      <c r="M9363" t="n">
        <v>0</v>
      </c>
      <c r="N9363" t="n">
        <v>0</v>
      </c>
      <c r="O9363" t="n">
        <v>0</v>
      </c>
      <c r="P9363" t="n">
        <v>0</v>
      </c>
      <c r="Q9363" t="n">
        <v>0</v>
      </c>
      <c r="R9363" t="n">
        <v>0</v>
      </c>
      <c r="S9363" t="n">
        <v>0</v>
      </c>
      <c r="T9363" t="n">
        <v>0</v>
      </c>
      <c r="U9363" t="n">
        <v>0</v>
      </c>
      <c r="V9363" s="2" t="inlineStr"/>
    </row>
    <row r="9364" ht="15" customHeight="1">
      <c r="A9364" t="inlineStr">
        <is>
          <t>A 31183-2026</t>
        </is>
      </c>
      <c r="B9364" t="inlineStr">
        <is>
          <t>avverkningsanmälan</t>
        </is>
      </c>
      <c r="C9364" t="inlineStr">
        <is>
          <t>Föryngringsavverkning</t>
        </is>
      </c>
      <c r="D9364" s="1" t="n">
        <v>46217</v>
      </c>
      <c r="E9364" s="1" t="n">
        <v>46326</v>
      </c>
      <c r="F9364" t="inlineStr">
        <is>
          <t>GÄVLEBORGS LÄN</t>
        </is>
      </c>
      <c r="G9364" t="inlineStr">
        <is>
          <t>LJUSDAL</t>
        </is>
      </c>
      <c r="H9364" t="inlineStr">
        <is>
          <t>Bergvik skog väst AB</t>
        </is>
      </c>
      <c r="I9364" t="n">
        <v>1.1</v>
      </c>
      <c r="J9364" t="n">
        <v>0</v>
      </c>
      <c r="K9364" t="n">
        <v>0</v>
      </c>
      <c r="L9364" t="n">
        <v>0</v>
      </c>
      <c r="M9364" t="n">
        <v>0</v>
      </c>
      <c r="N9364" t="n">
        <v>0</v>
      </c>
      <c r="O9364" t="n">
        <v>0</v>
      </c>
      <c r="P9364" t="n">
        <v>0</v>
      </c>
      <c r="Q9364" t="n">
        <v>0</v>
      </c>
      <c r="R9364" t="n">
        <v>0</v>
      </c>
      <c r="S9364" t="n">
        <v>0</v>
      </c>
      <c r="T9364" t="n">
        <v>0</v>
      </c>
      <c r="U9364" t="n">
        <v>0</v>
      </c>
      <c r="V9364" s="2" t="inlineStr"/>
    </row>
    <row r="9365" ht="15" customHeight="1">
      <c r="A9365" t="inlineStr">
        <is>
          <t>A 7593-2023</t>
        </is>
      </c>
      <c r="B9365" t="inlineStr">
        <is>
          <t>avverkningsanmälan</t>
        </is>
      </c>
      <c r="C9365" t="inlineStr">
        <is>
          <t>Föryngringsavverkning</t>
        </is>
      </c>
      <c r="D9365" s="1" t="n">
        <v>44972</v>
      </c>
      <c r="E9365" s="1" t="n">
        <v>46326</v>
      </c>
      <c r="F9365" t="inlineStr">
        <is>
          <t>GÄVLEBORGS LÄN</t>
        </is>
      </c>
      <c r="G9365" t="inlineStr">
        <is>
          <t>HUDIKSVALL</t>
        </is>
      </c>
      <c r="I9365" t="n">
        <v>1</v>
      </c>
      <c r="J9365" t="n">
        <v>0</v>
      </c>
      <c r="K9365" t="n">
        <v>0</v>
      </c>
      <c r="L9365" t="n">
        <v>0</v>
      </c>
      <c r="M9365" t="n">
        <v>0</v>
      </c>
      <c r="N9365" t="n">
        <v>0</v>
      </c>
      <c r="O9365" t="n">
        <v>0</v>
      </c>
      <c r="P9365" t="n">
        <v>0</v>
      </c>
      <c r="Q9365" t="n">
        <v>0</v>
      </c>
      <c r="R9365" t="n">
        <v>0</v>
      </c>
      <c r="S9365" t="n">
        <v>0</v>
      </c>
      <c r="T9365" t="n">
        <v>0</v>
      </c>
      <c r="U9365" t="n">
        <v>0</v>
      </c>
      <c r="V9365" s="2" t="inlineStr"/>
    </row>
    <row r="9366" ht="15" customHeight="1">
      <c r="A9366" t="inlineStr">
        <is>
          <t>A 7013-2023</t>
        </is>
      </c>
      <c r="B9366" t="inlineStr">
        <is>
          <t>avverkningsanmälan</t>
        </is>
      </c>
      <c r="C9366" t="inlineStr">
        <is>
          <t>Föryngringsavverkning</t>
        </is>
      </c>
      <c r="D9366" s="1" t="n">
        <v>44967</v>
      </c>
      <c r="E9366" s="1" t="n">
        <v>46326</v>
      </c>
      <c r="F9366" t="inlineStr">
        <is>
          <t>GÄVLEBORGS LÄN</t>
        </is>
      </c>
      <c r="G9366" t="inlineStr">
        <is>
          <t>NORDANSTIG</t>
        </is>
      </c>
      <c r="I9366" t="n">
        <v>1.6</v>
      </c>
      <c r="J9366" t="n">
        <v>0</v>
      </c>
      <c r="K9366" t="n">
        <v>0</v>
      </c>
      <c r="L9366" t="n">
        <v>0</v>
      </c>
      <c r="M9366" t="n">
        <v>0</v>
      </c>
      <c r="N9366" t="n">
        <v>0</v>
      </c>
      <c r="O9366" t="n">
        <v>0</v>
      </c>
      <c r="P9366" t="n">
        <v>0</v>
      </c>
      <c r="Q9366" t="n">
        <v>0</v>
      </c>
      <c r="R9366" t="n">
        <v>0</v>
      </c>
      <c r="S9366" t="n">
        <v>0</v>
      </c>
      <c r="T9366" t="n">
        <v>0</v>
      </c>
      <c r="U9366" t="n">
        <v>0</v>
      </c>
      <c r="V9366" s="2" t="inlineStr"/>
    </row>
    <row r="9367" ht="15" customHeight="1">
      <c r="A9367" t="inlineStr">
        <is>
          <t>A 7014-2023</t>
        </is>
      </c>
      <c r="B9367" t="inlineStr">
        <is>
          <t>avverkningsanmälan</t>
        </is>
      </c>
      <c r="C9367" t="inlineStr">
        <is>
          <t>Föryngringsavverkning</t>
        </is>
      </c>
      <c r="D9367" s="1" t="n">
        <v>44967</v>
      </c>
      <c r="E9367" s="1" t="n">
        <v>46326</v>
      </c>
      <c r="F9367" t="inlineStr">
        <is>
          <t>GÄVLEBORGS LÄN</t>
        </is>
      </c>
      <c r="G9367" t="inlineStr">
        <is>
          <t>NORDANSTIG</t>
        </is>
      </c>
      <c r="I9367" t="n">
        <v>0.5</v>
      </c>
      <c r="J9367" t="n">
        <v>0</v>
      </c>
      <c r="K9367" t="n">
        <v>0</v>
      </c>
      <c r="L9367" t="n">
        <v>0</v>
      </c>
      <c r="M9367" t="n">
        <v>0</v>
      </c>
      <c r="N9367" t="n">
        <v>0</v>
      </c>
      <c r="O9367" t="n">
        <v>0</v>
      </c>
      <c r="P9367" t="n">
        <v>0</v>
      </c>
      <c r="Q9367" t="n">
        <v>0</v>
      </c>
      <c r="R9367" t="n">
        <v>0</v>
      </c>
      <c r="S9367" t="n">
        <v>0</v>
      </c>
      <c r="T9367" t="n">
        <v>0</v>
      </c>
      <c r="U9367" t="n">
        <v>0</v>
      </c>
      <c r="V9367" s="2" t="inlineStr"/>
    </row>
    <row r="9368" ht="15" customHeight="1">
      <c r="A9368" t="inlineStr">
        <is>
          <t>A 58797-2024</t>
        </is>
      </c>
      <c r="B9368" t="inlineStr">
        <is>
          <t>avverkningsanmälan</t>
        </is>
      </c>
      <c r="C9368" t="inlineStr">
        <is>
          <t>Föryngringsavverkning</t>
        </is>
      </c>
      <c r="D9368" s="1" t="n">
        <v>45636</v>
      </c>
      <c r="E9368" s="1" t="n">
        <v>46326</v>
      </c>
      <c r="F9368" t="inlineStr">
        <is>
          <t>GÄVLEBORGS LÄN</t>
        </is>
      </c>
      <c r="G9368" t="inlineStr">
        <is>
          <t>SANDVIKEN</t>
        </is>
      </c>
      <c r="I9368" t="n">
        <v>0.8</v>
      </c>
      <c r="J9368" t="n">
        <v>0</v>
      </c>
      <c r="K9368" t="n">
        <v>0</v>
      </c>
      <c r="L9368" t="n">
        <v>0</v>
      </c>
      <c r="M9368" t="n">
        <v>0</v>
      </c>
      <c r="N9368" t="n">
        <v>0</v>
      </c>
      <c r="O9368" t="n">
        <v>0</v>
      </c>
      <c r="P9368" t="n">
        <v>0</v>
      </c>
      <c r="Q9368" t="n">
        <v>0</v>
      </c>
      <c r="R9368" t="n">
        <v>0</v>
      </c>
      <c r="S9368" t="n">
        <v>0</v>
      </c>
      <c r="T9368" t="n">
        <v>0</v>
      </c>
      <c r="U9368" t="n">
        <v>0</v>
      </c>
      <c r="V9368" s="2" t="inlineStr"/>
    </row>
    <row r="9369" ht="15" customHeight="1">
      <c r="A9369" t="inlineStr">
        <is>
          <t>A 26246-2024</t>
        </is>
      </c>
      <c r="B9369" t="inlineStr">
        <is>
          <t>avverkningsanmälan</t>
        </is>
      </c>
      <c r="C9369" t="inlineStr">
        <is>
          <t>Föryngringsavverkning</t>
        </is>
      </c>
      <c r="D9369" s="1" t="n">
        <v>45468</v>
      </c>
      <c r="E9369" s="1" t="n">
        <v>46326</v>
      </c>
      <c r="F9369" t="inlineStr">
        <is>
          <t>GÄVLEBORGS LÄN</t>
        </is>
      </c>
      <c r="G9369" t="inlineStr">
        <is>
          <t>BOLLNÄS</t>
        </is>
      </c>
      <c r="I9369" t="n">
        <v>3</v>
      </c>
      <c r="J9369" t="n">
        <v>0</v>
      </c>
      <c r="K9369" t="n">
        <v>0</v>
      </c>
      <c r="L9369" t="n">
        <v>0</v>
      </c>
      <c r="M9369" t="n">
        <v>0</v>
      </c>
      <c r="N9369" t="n">
        <v>0</v>
      </c>
      <c r="O9369" t="n">
        <v>0</v>
      </c>
      <c r="P9369" t="n">
        <v>0</v>
      </c>
      <c r="Q9369" t="n">
        <v>0</v>
      </c>
      <c r="R9369" t="n">
        <v>0</v>
      </c>
      <c r="S9369" t="n">
        <v>0</v>
      </c>
      <c r="T9369" t="n">
        <v>0</v>
      </c>
      <c r="U9369" t="n">
        <v>0</v>
      </c>
      <c r="V9369" s="2" t="inlineStr"/>
    </row>
    <row r="9370" ht="15" customHeight="1">
      <c r="A9370" t="inlineStr">
        <is>
          <t>A 9546-2025</t>
        </is>
      </c>
      <c r="B9370" t="inlineStr">
        <is>
          <t>avverkningsanmälan</t>
        </is>
      </c>
      <c r="C9370" t="inlineStr">
        <is>
          <t>Föryngringsavverkning</t>
        </is>
      </c>
      <c r="D9370" s="1" t="n">
        <v>45715</v>
      </c>
      <c r="E9370" s="1" t="n">
        <v>46326</v>
      </c>
      <c r="F9370" t="inlineStr">
        <is>
          <t>GÄVLEBORGS LÄN</t>
        </is>
      </c>
      <c r="G9370" t="inlineStr">
        <is>
          <t>HUDIKSVALL</t>
        </is>
      </c>
      <c r="H9370" t="inlineStr">
        <is>
          <t>Holmen skog AB</t>
        </is>
      </c>
      <c r="I9370" t="n">
        <v>29.4</v>
      </c>
      <c r="J9370" t="n">
        <v>0</v>
      </c>
      <c r="K9370" t="n">
        <v>0</v>
      </c>
      <c r="L9370" t="n">
        <v>0</v>
      </c>
      <c r="M9370" t="n">
        <v>0</v>
      </c>
      <c r="N9370" t="n">
        <v>0</v>
      </c>
      <c r="O9370" t="n">
        <v>0</v>
      </c>
      <c r="P9370" t="n">
        <v>0</v>
      </c>
      <c r="Q9370" t="n">
        <v>0</v>
      </c>
      <c r="R9370" t="n">
        <v>0</v>
      </c>
      <c r="S9370" t="n">
        <v>0</v>
      </c>
      <c r="T9370" t="n">
        <v>0</v>
      </c>
      <c r="U9370" t="n">
        <v>0</v>
      </c>
      <c r="V9370" s="2" t="inlineStr"/>
    </row>
    <row r="9371" ht="15" customHeight="1">
      <c r="A9371" t="inlineStr">
        <is>
          <t>A 31277-2026</t>
        </is>
      </c>
      <c r="B9371" t="inlineStr">
        <is>
          <t>avverkningsanmälan</t>
        </is>
      </c>
      <c r="C9371" t="inlineStr">
        <is>
          <t>Föryngringsavverkning</t>
        </is>
      </c>
      <c r="D9371" s="1" t="n">
        <v>46218</v>
      </c>
      <c r="E9371" s="1" t="n">
        <v>46326</v>
      </c>
      <c r="F9371" t="inlineStr">
        <is>
          <t>GÄVLEBORGS LÄN</t>
        </is>
      </c>
      <c r="G9371" t="inlineStr">
        <is>
          <t>OCKELBO</t>
        </is>
      </c>
      <c r="H9371" t="inlineStr">
        <is>
          <t>Bergvik skog väst AB</t>
        </is>
      </c>
      <c r="I9371" t="n">
        <v>1.6</v>
      </c>
      <c r="J9371" t="n">
        <v>0</v>
      </c>
      <c r="K9371" t="n">
        <v>0</v>
      </c>
      <c r="L9371" t="n">
        <v>0</v>
      </c>
      <c r="M9371" t="n">
        <v>0</v>
      </c>
      <c r="N9371" t="n">
        <v>0</v>
      </c>
      <c r="O9371" t="n">
        <v>0</v>
      </c>
      <c r="P9371" t="n">
        <v>0</v>
      </c>
      <c r="Q9371" t="n">
        <v>0</v>
      </c>
      <c r="R9371" t="n">
        <v>0</v>
      </c>
      <c r="S9371" t="n">
        <v>0</v>
      </c>
      <c r="T9371" t="n">
        <v>0</v>
      </c>
      <c r="U9371" t="n">
        <v>0</v>
      </c>
      <c r="V9371" s="2" t="inlineStr"/>
    </row>
    <row r="9372" ht="15" customHeight="1">
      <c r="A9372" t="inlineStr">
        <is>
          <t>A 37974-2024</t>
        </is>
      </c>
      <c r="B9372" t="inlineStr">
        <is>
          <t>avverkningsanmälan</t>
        </is>
      </c>
      <c r="C9372" t="inlineStr">
        <is>
          <t>Föryngringsavverkning</t>
        </is>
      </c>
      <c r="D9372" s="1" t="n">
        <v>45544</v>
      </c>
      <c r="E9372" s="1" t="n">
        <v>46326</v>
      </c>
      <c r="F9372" t="inlineStr">
        <is>
          <t>GÄVLEBORGS LÄN</t>
        </is>
      </c>
      <c r="G9372" t="inlineStr">
        <is>
          <t>NORDANSTIG</t>
        </is>
      </c>
      <c r="I9372" t="n">
        <v>2.2</v>
      </c>
      <c r="J9372" t="n">
        <v>0</v>
      </c>
      <c r="K9372" t="n">
        <v>0</v>
      </c>
      <c r="L9372" t="n">
        <v>0</v>
      </c>
      <c r="M9372" t="n">
        <v>0</v>
      </c>
      <c r="N9372" t="n">
        <v>0</v>
      </c>
      <c r="O9372" t="n">
        <v>0</v>
      </c>
      <c r="P9372" t="n">
        <v>0</v>
      </c>
      <c r="Q9372" t="n">
        <v>0</v>
      </c>
      <c r="R9372" t="n">
        <v>0</v>
      </c>
      <c r="S9372" t="n">
        <v>0</v>
      </c>
      <c r="T9372" t="n">
        <v>0</v>
      </c>
      <c r="U9372" t="n">
        <v>0</v>
      </c>
      <c r="V9372" s="2" t="inlineStr"/>
    </row>
    <row r="9373" ht="15" customHeight="1">
      <c r="A9373" t="inlineStr">
        <is>
          <t>A 46593-2024</t>
        </is>
      </c>
      <c r="B9373" t="inlineStr">
        <is>
          <t>avverkningsanmälan</t>
        </is>
      </c>
      <c r="C9373" t="inlineStr">
        <is>
          <t>Föryngringsavverkning</t>
        </is>
      </c>
      <c r="D9373" s="1" t="n">
        <v>45582</v>
      </c>
      <c r="E9373" s="1" t="n">
        <v>46326</v>
      </c>
      <c r="F9373" t="inlineStr">
        <is>
          <t>GÄVLEBORGS LÄN</t>
        </is>
      </c>
      <c r="G9373" t="inlineStr">
        <is>
          <t>HUDIKSVALL</t>
        </is>
      </c>
      <c r="H9373" t="inlineStr">
        <is>
          <t>Holmen skog AB</t>
        </is>
      </c>
      <c r="I9373" t="n">
        <v>5.3</v>
      </c>
      <c r="J9373" t="n">
        <v>0</v>
      </c>
      <c r="K9373" t="n">
        <v>0</v>
      </c>
      <c r="L9373" t="n">
        <v>0</v>
      </c>
      <c r="M9373" t="n">
        <v>0</v>
      </c>
      <c r="N9373" t="n">
        <v>0</v>
      </c>
      <c r="O9373" t="n">
        <v>0</v>
      </c>
      <c r="P9373" t="n">
        <v>0</v>
      </c>
      <c r="Q9373" t="n">
        <v>0</v>
      </c>
      <c r="R9373" t="n">
        <v>0</v>
      </c>
      <c r="S9373" t="n">
        <v>0</v>
      </c>
      <c r="T9373" t="n">
        <v>0</v>
      </c>
      <c r="U9373" t="n">
        <v>0</v>
      </c>
      <c r="V9373" s="2" t="inlineStr"/>
    </row>
    <row r="9374" ht="15" customHeight="1">
      <c r="A9374" t="inlineStr">
        <is>
          <t>A 46598-2024</t>
        </is>
      </c>
      <c r="B9374" t="inlineStr">
        <is>
          <t>avverkningsanmälan</t>
        </is>
      </c>
      <c r="C9374" t="inlineStr">
        <is>
          <t>Föryngringsavverkning</t>
        </is>
      </c>
      <c r="D9374" s="1" t="n">
        <v>45582</v>
      </c>
      <c r="E9374" s="1" t="n">
        <v>46326</v>
      </c>
      <c r="F9374" t="inlineStr">
        <is>
          <t>GÄVLEBORGS LÄN</t>
        </is>
      </c>
      <c r="G9374" t="inlineStr">
        <is>
          <t>HUDIKSVALL</t>
        </is>
      </c>
      <c r="H9374" t="inlineStr">
        <is>
          <t>Holmen skog AB</t>
        </is>
      </c>
      <c r="I9374" t="n">
        <v>1.2</v>
      </c>
      <c r="J9374" t="n">
        <v>0</v>
      </c>
      <c r="K9374" t="n">
        <v>0</v>
      </c>
      <c r="L9374" t="n">
        <v>0</v>
      </c>
      <c r="M9374" t="n">
        <v>0</v>
      </c>
      <c r="N9374" t="n">
        <v>0</v>
      </c>
      <c r="O9374" t="n">
        <v>0</v>
      </c>
      <c r="P9374" t="n">
        <v>0</v>
      </c>
      <c r="Q9374" t="n">
        <v>0</v>
      </c>
      <c r="R9374" t="n">
        <v>0</v>
      </c>
      <c r="S9374" t="n">
        <v>0</v>
      </c>
      <c r="T9374" t="n">
        <v>0</v>
      </c>
      <c r="U9374" t="n">
        <v>0</v>
      </c>
      <c r="V9374" s="2" t="inlineStr"/>
    </row>
    <row r="9375" ht="15" customHeight="1">
      <c r="A9375" t="inlineStr">
        <is>
          <t>A 54524-2024</t>
        </is>
      </c>
      <c r="B9375" t="inlineStr">
        <is>
          <t>avverkningsanmälan</t>
        </is>
      </c>
      <c r="C9375" t="inlineStr">
        <is>
          <t>Föryngringsavverkning</t>
        </is>
      </c>
      <c r="D9375" s="1" t="n">
        <v>45617</v>
      </c>
      <c r="E9375" s="1" t="n">
        <v>46326</v>
      </c>
      <c r="F9375" t="inlineStr">
        <is>
          <t>GÄVLEBORGS LÄN</t>
        </is>
      </c>
      <c r="G9375" t="inlineStr">
        <is>
          <t>NORDANSTIG</t>
        </is>
      </c>
      <c r="H9375" t="inlineStr">
        <is>
          <t>Holmen skog AB</t>
        </is>
      </c>
      <c r="I9375" t="n">
        <v>1.2</v>
      </c>
      <c r="J9375" t="n">
        <v>0</v>
      </c>
      <c r="K9375" t="n">
        <v>0</v>
      </c>
      <c r="L9375" t="n">
        <v>0</v>
      </c>
      <c r="M9375" t="n">
        <v>0</v>
      </c>
      <c r="N9375" t="n">
        <v>0</v>
      </c>
      <c r="O9375" t="n">
        <v>0</v>
      </c>
      <c r="P9375" t="n">
        <v>0</v>
      </c>
      <c r="Q9375" t="n">
        <v>0</v>
      </c>
      <c r="R9375" t="n">
        <v>0</v>
      </c>
      <c r="S9375" t="n">
        <v>0</v>
      </c>
      <c r="T9375" t="n">
        <v>0</v>
      </c>
      <c r="U9375" t="n">
        <v>0</v>
      </c>
      <c r="V9375" s="2" t="inlineStr"/>
    </row>
    <row r="9376" ht="15" customHeight="1">
      <c r="A9376" t="inlineStr">
        <is>
          <t>A 57949-2023</t>
        </is>
      </c>
      <c r="B9376" t="inlineStr">
        <is>
          <t>avverkningsanmälan</t>
        </is>
      </c>
      <c r="C9376" t="inlineStr">
        <is>
          <t>Föryngringsavverkning</t>
        </is>
      </c>
      <c r="D9376" s="1" t="n">
        <v>45244</v>
      </c>
      <c r="E9376" s="1" t="n">
        <v>46326</v>
      </c>
      <c r="F9376" t="inlineStr">
        <is>
          <t>GÄVLEBORGS LÄN</t>
        </is>
      </c>
      <c r="G9376" t="inlineStr">
        <is>
          <t>HUDIKSVALL</t>
        </is>
      </c>
      <c r="I9376" t="n">
        <v>3.9</v>
      </c>
      <c r="J9376" t="n">
        <v>0</v>
      </c>
      <c r="K9376" t="n">
        <v>0</v>
      </c>
      <c r="L9376" t="n">
        <v>0</v>
      </c>
      <c r="M9376" t="n">
        <v>0</v>
      </c>
      <c r="N9376" t="n">
        <v>0</v>
      </c>
      <c r="O9376" t="n">
        <v>0</v>
      </c>
      <c r="P9376" t="n">
        <v>0</v>
      </c>
      <c r="Q9376" t="n">
        <v>0</v>
      </c>
      <c r="R9376" t="n">
        <v>0</v>
      </c>
      <c r="S9376" t="n">
        <v>0</v>
      </c>
      <c r="T9376" t="n">
        <v>0</v>
      </c>
      <c r="U9376" t="n">
        <v>0</v>
      </c>
      <c r="V9376" s="2" t="inlineStr"/>
    </row>
    <row r="9377" ht="15" customHeight="1">
      <c r="A9377" t="inlineStr">
        <is>
          <t>A 10118-2024</t>
        </is>
      </c>
      <c r="B9377" t="inlineStr">
        <is>
          <t>avverkningsanmälan</t>
        </is>
      </c>
      <c r="C9377" t="inlineStr">
        <is>
          <t>Föryngringsavverkning</t>
        </is>
      </c>
      <c r="D9377" s="1" t="n">
        <v>45364</v>
      </c>
      <c r="E9377" s="1" t="n">
        <v>46326</v>
      </c>
      <c r="F9377" t="inlineStr">
        <is>
          <t>GÄVLEBORGS LÄN</t>
        </is>
      </c>
      <c r="G9377" t="inlineStr">
        <is>
          <t>BOLLNÄS</t>
        </is>
      </c>
      <c r="I9377" t="n">
        <v>0.3</v>
      </c>
      <c r="J9377" t="n">
        <v>0</v>
      </c>
      <c r="K9377" t="n">
        <v>0</v>
      </c>
      <c r="L9377" t="n">
        <v>0</v>
      </c>
      <c r="M9377" t="n">
        <v>0</v>
      </c>
      <c r="N9377" t="n">
        <v>0</v>
      </c>
      <c r="O9377" t="n">
        <v>0</v>
      </c>
      <c r="P9377" t="n">
        <v>0</v>
      </c>
      <c r="Q9377" t="n">
        <v>0</v>
      </c>
      <c r="R9377" t="n">
        <v>0</v>
      </c>
      <c r="S9377" t="n">
        <v>0</v>
      </c>
      <c r="T9377" t="n">
        <v>0</v>
      </c>
      <c r="U9377" t="n">
        <v>0</v>
      </c>
      <c r="V9377" s="2" t="inlineStr"/>
    </row>
    <row r="9378" ht="15" customHeight="1">
      <c r="A9378" t="inlineStr">
        <is>
          <t>A 10119-2024</t>
        </is>
      </c>
      <c r="B9378" t="inlineStr">
        <is>
          <t>avverkningsanmälan</t>
        </is>
      </c>
      <c r="C9378" t="inlineStr">
        <is>
          <t>Föryngringsavverkning</t>
        </is>
      </c>
      <c r="D9378" s="1" t="n">
        <v>45364</v>
      </c>
      <c r="E9378" s="1" t="n">
        <v>46326</v>
      </c>
      <c r="F9378" t="inlineStr">
        <is>
          <t>GÄVLEBORGS LÄN</t>
        </is>
      </c>
      <c r="G9378" t="inlineStr">
        <is>
          <t>BOLLNÄS</t>
        </is>
      </c>
      <c r="I9378" t="n">
        <v>0.4</v>
      </c>
      <c r="J9378" t="n">
        <v>0</v>
      </c>
      <c r="K9378" t="n">
        <v>0</v>
      </c>
      <c r="L9378" t="n">
        <v>0</v>
      </c>
      <c r="M9378" t="n">
        <v>0</v>
      </c>
      <c r="N9378" t="n">
        <v>0</v>
      </c>
      <c r="O9378" t="n">
        <v>0</v>
      </c>
      <c r="P9378" t="n">
        <v>0</v>
      </c>
      <c r="Q9378" t="n">
        <v>0</v>
      </c>
      <c r="R9378" t="n">
        <v>0</v>
      </c>
      <c r="S9378" t="n">
        <v>0</v>
      </c>
      <c r="T9378" t="n">
        <v>0</v>
      </c>
      <c r="U9378" t="n">
        <v>0</v>
      </c>
      <c r="V9378" s="2" t="inlineStr"/>
    </row>
    <row r="9379" ht="15" customHeight="1">
      <c r="A9379" t="inlineStr">
        <is>
          <t>A 37442-2023</t>
        </is>
      </c>
      <c r="B9379" t="inlineStr">
        <is>
          <t>avverkningsanmälan</t>
        </is>
      </c>
      <c r="C9379" t="inlineStr">
        <is>
          <t>Föryngringsavverkning</t>
        </is>
      </c>
      <c r="D9379" s="1" t="n">
        <v>45156</v>
      </c>
      <c r="E9379" s="1" t="n">
        <v>46326</v>
      </c>
      <c r="F9379" t="inlineStr">
        <is>
          <t>GÄVLEBORGS LÄN</t>
        </is>
      </c>
      <c r="G9379" t="inlineStr">
        <is>
          <t>OCKELBO</t>
        </is>
      </c>
      <c r="H9379" t="inlineStr">
        <is>
          <t>Bergvik skog väst AB</t>
        </is>
      </c>
      <c r="I9379" t="n">
        <v>4.2</v>
      </c>
      <c r="J9379" t="n">
        <v>0</v>
      </c>
      <c r="K9379" t="n">
        <v>0</v>
      </c>
      <c r="L9379" t="n">
        <v>0</v>
      </c>
      <c r="M9379" t="n">
        <v>0</v>
      </c>
      <c r="N9379" t="n">
        <v>0</v>
      </c>
      <c r="O9379" t="n">
        <v>0</v>
      </c>
      <c r="P9379" t="n">
        <v>0</v>
      </c>
      <c r="Q9379" t="n">
        <v>0</v>
      </c>
      <c r="R9379" t="n">
        <v>0</v>
      </c>
      <c r="S9379" t="n">
        <v>0</v>
      </c>
      <c r="T9379" t="n">
        <v>0</v>
      </c>
      <c r="U9379" t="n">
        <v>0</v>
      </c>
      <c r="V9379" s="2" t="inlineStr"/>
    </row>
    <row r="9380" ht="15" customHeight="1">
      <c r="A9380" t="inlineStr">
        <is>
          <t>A 60500-2022</t>
        </is>
      </c>
      <c r="B9380" t="inlineStr">
        <is>
          <t>avverkningsanmälan</t>
        </is>
      </c>
      <c r="C9380" t="inlineStr">
        <is>
          <t>Föryngringsavverkning</t>
        </is>
      </c>
      <c r="D9380" s="1" t="n">
        <v>44911</v>
      </c>
      <c r="E9380" s="1" t="n">
        <v>46326</v>
      </c>
      <c r="F9380" t="inlineStr">
        <is>
          <t>GÄVLEBORGS LÄN</t>
        </is>
      </c>
      <c r="G9380" t="inlineStr">
        <is>
          <t>HUDIKSVALL</t>
        </is>
      </c>
      <c r="H9380" t="inlineStr">
        <is>
          <t>Holmen skog AB</t>
        </is>
      </c>
      <c r="I9380" t="n">
        <v>1.9</v>
      </c>
      <c r="J9380" t="n">
        <v>0</v>
      </c>
      <c r="K9380" t="n">
        <v>0</v>
      </c>
      <c r="L9380" t="n">
        <v>0</v>
      </c>
      <c r="M9380" t="n">
        <v>0</v>
      </c>
      <c r="N9380" t="n">
        <v>0</v>
      </c>
      <c r="O9380" t="n">
        <v>0</v>
      </c>
      <c r="P9380" t="n">
        <v>0</v>
      </c>
      <c r="Q9380" t="n">
        <v>0</v>
      </c>
      <c r="R9380" t="n">
        <v>0</v>
      </c>
      <c r="S9380" t="n">
        <v>0</v>
      </c>
      <c r="T9380" t="n">
        <v>0</v>
      </c>
      <c r="U9380" t="n">
        <v>0</v>
      </c>
      <c r="V9380" s="2" t="inlineStr"/>
    </row>
    <row r="9381" ht="15" customHeight="1">
      <c r="A9381" t="inlineStr">
        <is>
          <t>A 7976-2026</t>
        </is>
      </c>
      <c r="B9381" t="inlineStr">
        <is>
          <t>avverkningsanmälan</t>
        </is>
      </c>
      <c r="C9381" t="inlineStr">
        <is>
          <t>Föryngringsavverkning</t>
        </is>
      </c>
      <c r="D9381" s="1" t="n">
        <v>46063</v>
      </c>
      <c r="E9381" s="1" t="n">
        <v>46326</v>
      </c>
      <c r="F9381" t="inlineStr">
        <is>
          <t>GÄVLEBORGS LÄN</t>
        </is>
      </c>
      <c r="G9381" t="inlineStr">
        <is>
          <t>HUDIKSVALL</t>
        </is>
      </c>
      <c r="I9381" t="n">
        <v>1.5</v>
      </c>
      <c r="J9381" t="n">
        <v>0</v>
      </c>
      <c r="K9381" t="n">
        <v>0</v>
      </c>
      <c r="L9381" t="n">
        <v>0</v>
      </c>
      <c r="M9381" t="n">
        <v>0</v>
      </c>
      <c r="N9381" t="n">
        <v>0</v>
      </c>
      <c r="O9381" t="n">
        <v>0</v>
      </c>
      <c r="P9381" t="n">
        <v>0</v>
      </c>
      <c r="Q9381" t="n">
        <v>0</v>
      </c>
      <c r="R9381" t="n">
        <v>0</v>
      </c>
      <c r="S9381" t="n">
        <v>0</v>
      </c>
      <c r="T9381" t="n">
        <v>0</v>
      </c>
      <c r="U9381" t="n">
        <v>0</v>
      </c>
      <c r="V9381" s="2" t="inlineStr"/>
    </row>
    <row r="9382" ht="15" customHeight="1">
      <c r="A9382" t="inlineStr">
        <is>
          <t>A 31315-2026</t>
        </is>
      </c>
      <c r="B9382" t="inlineStr">
        <is>
          <t>avverkningsanmälan</t>
        </is>
      </c>
      <c r="C9382" t="inlineStr">
        <is>
          <t>Föryngringsavverkning</t>
        </is>
      </c>
      <c r="D9382" s="1" t="n">
        <v>46219</v>
      </c>
      <c r="E9382" s="1" t="n">
        <v>46326</v>
      </c>
      <c r="F9382" t="inlineStr">
        <is>
          <t>GÄVLEBORGS LÄN</t>
        </is>
      </c>
      <c r="G9382" t="inlineStr">
        <is>
          <t>HOFORS</t>
        </is>
      </c>
      <c r="I9382" t="n">
        <v>0.9</v>
      </c>
      <c r="J9382" t="n">
        <v>0</v>
      </c>
      <c r="K9382" t="n">
        <v>0</v>
      </c>
      <c r="L9382" t="n">
        <v>0</v>
      </c>
      <c r="M9382" t="n">
        <v>0</v>
      </c>
      <c r="N9382" t="n">
        <v>0</v>
      </c>
      <c r="O9382" t="n">
        <v>0</v>
      </c>
      <c r="P9382" t="n">
        <v>0</v>
      </c>
      <c r="Q9382" t="n">
        <v>0</v>
      </c>
      <c r="R9382" t="n">
        <v>0</v>
      </c>
      <c r="S9382" t="n">
        <v>0</v>
      </c>
      <c r="T9382" t="n">
        <v>0</v>
      </c>
      <c r="U9382" t="n">
        <v>0</v>
      </c>
      <c r="V9382" s="2" t="inlineStr"/>
    </row>
    <row r="9383" ht="15" customHeight="1">
      <c r="A9383" t="inlineStr">
        <is>
          <t>A 31346-2026</t>
        </is>
      </c>
      <c r="B9383" t="inlineStr">
        <is>
          <t>avverkningsanmälan</t>
        </is>
      </c>
      <c r="C9383" t="inlineStr">
        <is>
          <t>Föryngringsavverkning</t>
        </is>
      </c>
      <c r="D9383" s="1" t="n">
        <v>46219</v>
      </c>
      <c r="E9383" s="1" t="n">
        <v>46326</v>
      </c>
      <c r="F9383" t="inlineStr">
        <is>
          <t>GÄVLEBORGS LÄN</t>
        </is>
      </c>
      <c r="G9383" t="inlineStr">
        <is>
          <t>SÖDERHAMN</t>
        </is>
      </c>
      <c r="I9383" t="n">
        <v>4.3</v>
      </c>
      <c r="J9383" t="n">
        <v>0</v>
      </c>
      <c r="K9383" t="n">
        <v>0</v>
      </c>
      <c r="L9383" t="n">
        <v>0</v>
      </c>
      <c r="M9383" t="n">
        <v>0</v>
      </c>
      <c r="N9383" t="n">
        <v>0</v>
      </c>
      <c r="O9383" t="n">
        <v>0</v>
      </c>
      <c r="P9383" t="n">
        <v>0</v>
      </c>
      <c r="Q9383" t="n">
        <v>0</v>
      </c>
      <c r="R9383" t="n">
        <v>0</v>
      </c>
      <c r="S9383" t="n">
        <v>0</v>
      </c>
      <c r="T9383" t="n">
        <v>0</v>
      </c>
      <c r="U9383" t="n">
        <v>0</v>
      </c>
      <c r="V9383" s="2" t="inlineStr"/>
    </row>
    <row r="9384" ht="15" customHeight="1">
      <c r="A9384" t="inlineStr">
        <is>
          <t>A 9461-2026</t>
        </is>
      </c>
      <c r="B9384" t="inlineStr">
        <is>
          <t>avverkningsanmälan</t>
        </is>
      </c>
      <c r="C9384" t="inlineStr">
        <is>
          <t>Föryngringsavverkning</t>
        </is>
      </c>
      <c r="D9384" s="1" t="n">
        <v>46071</v>
      </c>
      <c r="E9384" s="1" t="n">
        <v>46326</v>
      </c>
      <c r="F9384" t="inlineStr">
        <is>
          <t>GÄVLEBORGS LÄN</t>
        </is>
      </c>
      <c r="G9384" t="inlineStr">
        <is>
          <t>OCKELBO</t>
        </is>
      </c>
      <c r="H9384" t="inlineStr">
        <is>
          <t>Bergvik skog väst AB</t>
        </is>
      </c>
      <c r="I9384" t="n">
        <v>2.5</v>
      </c>
      <c r="J9384" t="n">
        <v>0</v>
      </c>
      <c r="K9384" t="n">
        <v>0</v>
      </c>
      <c r="L9384" t="n">
        <v>0</v>
      </c>
      <c r="M9384" t="n">
        <v>0</v>
      </c>
      <c r="N9384" t="n">
        <v>0</v>
      </c>
      <c r="O9384" t="n">
        <v>0</v>
      </c>
      <c r="P9384" t="n">
        <v>0</v>
      </c>
      <c r="Q9384" t="n">
        <v>0</v>
      </c>
      <c r="R9384" t="n">
        <v>0</v>
      </c>
      <c r="S9384" t="n">
        <v>0</v>
      </c>
      <c r="T9384" t="n">
        <v>0</v>
      </c>
      <c r="U9384" t="n">
        <v>0</v>
      </c>
      <c r="V9384" s="2" t="inlineStr"/>
    </row>
    <row r="9385" ht="15" customHeight="1">
      <c r="A9385" t="inlineStr">
        <is>
          <t>A 22385-2023</t>
        </is>
      </c>
      <c r="B9385" t="inlineStr">
        <is>
          <t>avverkningsanmälan</t>
        </is>
      </c>
      <c r="C9385" t="inlineStr">
        <is>
          <t>Föryngringsavverkning</t>
        </is>
      </c>
      <c r="D9385" s="1" t="n">
        <v>45070</v>
      </c>
      <c r="E9385" s="1" t="n">
        <v>46326</v>
      </c>
      <c r="F9385" t="inlineStr">
        <is>
          <t>GÄVLEBORGS LÄN</t>
        </is>
      </c>
      <c r="G9385" t="inlineStr">
        <is>
          <t>OCKELBO</t>
        </is>
      </c>
      <c r="I9385" t="n">
        <v>0.6</v>
      </c>
      <c r="J9385" t="n">
        <v>0</v>
      </c>
      <c r="K9385" t="n">
        <v>0</v>
      </c>
      <c r="L9385" t="n">
        <v>0</v>
      </c>
      <c r="M9385" t="n">
        <v>0</v>
      </c>
      <c r="N9385" t="n">
        <v>0</v>
      </c>
      <c r="O9385" t="n">
        <v>0</v>
      </c>
      <c r="P9385" t="n">
        <v>0</v>
      </c>
      <c r="Q9385" t="n">
        <v>0</v>
      </c>
      <c r="R9385" t="n">
        <v>0</v>
      </c>
      <c r="S9385" t="n">
        <v>0</v>
      </c>
      <c r="T9385" t="n">
        <v>0</v>
      </c>
      <c r="U9385" t="n">
        <v>0</v>
      </c>
      <c r="V9385" s="2" t="inlineStr"/>
    </row>
    <row r="9386" ht="15" customHeight="1">
      <c r="A9386" t="inlineStr">
        <is>
          <t>A 31528-2026</t>
        </is>
      </c>
      <c r="B9386" t="inlineStr">
        <is>
          <t>avverkningsanmälan</t>
        </is>
      </c>
      <c r="C9386" t="inlineStr">
        <is>
          <t>Föryngringsavverkning</t>
        </is>
      </c>
      <c r="D9386" s="1" t="n">
        <v>46220</v>
      </c>
      <c r="E9386" s="1" t="n">
        <v>46326</v>
      </c>
      <c r="F9386" t="inlineStr">
        <is>
          <t>GÄVLEBORGS LÄN</t>
        </is>
      </c>
      <c r="G9386" t="inlineStr">
        <is>
          <t>GÄVLE</t>
        </is>
      </c>
      <c r="H9386" t="inlineStr">
        <is>
          <t>Bergvik skog väst AB</t>
        </is>
      </c>
      <c r="I9386" t="n">
        <v>11.4</v>
      </c>
      <c r="J9386" t="n">
        <v>0</v>
      </c>
      <c r="K9386" t="n">
        <v>0</v>
      </c>
      <c r="L9386" t="n">
        <v>0</v>
      </c>
      <c r="M9386" t="n">
        <v>0</v>
      </c>
      <c r="N9386" t="n">
        <v>0</v>
      </c>
      <c r="O9386" t="n">
        <v>0</v>
      </c>
      <c r="P9386" t="n">
        <v>0</v>
      </c>
      <c r="Q9386" t="n">
        <v>0</v>
      </c>
      <c r="R9386" t="n">
        <v>0</v>
      </c>
      <c r="S9386" t="n">
        <v>0</v>
      </c>
      <c r="T9386" t="n">
        <v>0</v>
      </c>
      <c r="U9386" t="n">
        <v>0</v>
      </c>
      <c r="V9386" s="2" t="inlineStr"/>
    </row>
    <row r="9387" ht="15" customHeight="1">
      <c r="A9387" t="inlineStr">
        <is>
          <t>A 5926-2026</t>
        </is>
      </c>
      <c r="B9387" t="inlineStr">
        <is>
          <t>avverkningsanmälan</t>
        </is>
      </c>
      <c r="C9387" t="inlineStr">
        <is>
          <t>Föryngringsavverkning</t>
        </is>
      </c>
      <c r="D9387" s="1" t="n">
        <v>46052</v>
      </c>
      <c r="E9387" s="1" t="n">
        <v>46326</v>
      </c>
      <c r="F9387" t="inlineStr">
        <is>
          <t>GÄVLEBORGS LÄN</t>
        </is>
      </c>
      <c r="G9387" t="inlineStr">
        <is>
          <t>BOLLNÄS</t>
        </is>
      </c>
      <c r="I9387" t="n">
        <v>16.9</v>
      </c>
      <c r="J9387" t="n">
        <v>0</v>
      </c>
      <c r="K9387" t="n">
        <v>0</v>
      </c>
      <c r="L9387" t="n">
        <v>0</v>
      </c>
      <c r="M9387" t="n">
        <v>0</v>
      </c>
      <c r="N9387" t="n">
        <v>0</v>
      </c>
      <c r="O9387" t="n">
        <v>0</v>
      </c>
      <c r="P9387" t="n">
        <v>0</v>
      </c>
      <c r="Q9387" t="n">
        <v>0</v>
      </c>
      <c r="R9387" t="n">
        <v>0</v>
      </c>
      <c r="S9387" t="n">
        <v>0</v>
      </c>
      <c r="T9387" t="n">
        <v>0</v>
      </c>
      <c r="U9387" t="n">
        <v>0</v>
      </c>
      <c r="V9387" s="2" t="inlineStr"/>
    </row>
    <row r="9388" ht="15" customHeight="1">
      <c r="A9388" t="inlineStr">
        <is>
          <t>A 24992-2023</t>
        </is>
      </c>
      <c r="B9388" t="inlineStr">
        <is>
          <t>avverkningsanmälan</t>
        </is>
      </c>
      <c r="C9388" t="inlineStr">
        <is>
          <t>Föryngringsavverkning</t>
        </is>
      </c>
      <c r="D9388" s="1" t="n">
        <v>45085</v>
      </c>
      <c r="E9388" s="1" t="n">
        <v>46326</v>
      </c>
      <c r="F9388" t="inlineStr">
        <is>
          <t>GÄVLEBORGS LÄN</t>
        </is>
      </c>
      <c r="G9388" t="inlineStr">
        <is>
          <t>SANDVIKEN</t>
        </is>
      </c>
      <c r="I9388" t="n">
        <v>2.5</v>
      </c>
      <c r="J9388" t="n">
        <v>0</v>
      </c>
      <c r="K9388" t="n">
        <v>0</v>
      </c>
      <c r="L9388" t="n">
        <v>0</v>
      </c>
      <c r="M9388" t="n">
        <v>0</v>
      </c>
      <c r="N9388" t="n">
        <v>0</v>
      </c>
      <c r="O9388" t="n">
        <v>0</v>
      </c>
      <c r="P9388" t="n">
        <v>0</v>
      </c>
      <c r="Q9388" t="n">
        <v>0</v>
      </c>
      <c r="R9388" t="n">
        <v>0</v>
      </c>
      <c r="S9388" t="n">
        <v>0</v>
      </c>
      <c r="T9388" t="n">
        <v>0</v>
      </c>
      <c r="U9388" t="n">
        <v>0</v>
      </c>
      <c r="V9388" s="2" t="inlineStr"/>
    </row>
    <row r="9389" ht="15" customHeight="1">
      <c r="A9389" t="inlineStr">
        <is>
          <t>A 31422-2026</t>
        </is>
      </c>
      <c r="B9389" t="inlineStr">
        <is>
          <t>avverkningsanmälan</t>
        </is>
      </c>
      <c r="C9389" t="inlineStr">
        <is>
          <t>Föryngringsavverkning</t>
        </is>
      </c>
      <c r="D9389" s="1" t="n">
        <v>46220</v>
      </c>
      <c r="E9389" s="1" t="n">
        <v>46326</v>
      </c>
      <c r="F9389" t="inlineStr">
        <is>
          <t>GÄVLEBORGS LÄN</t>
        </is>
      </c>
      <c r="G9389" t="inlineStr">
        <is>
          <t>NORDANSTIG</t>
        </is>
      </c>
      <c r="I9389" t="n">
        <v>3.8</v>
      </c>
      <c r="J9389" t="n">
        <v>0</v>
      </c>
      <c r="K9389" t="n">
        <v>0</v>
      </c>
      <c r="L9389" t="n">
        <v>0</v>
      </c>
      <c r="M9389" t="n">
        <v>0</v>
      </c>
      <c r="N9389" t="n">
        <v>0</v>
      </c>
      <c r="O9389" t="n">
        <v>0</v>
      </c>
      <c r="P9389" t="n">
        <v>0</v>
      </c>
      <c r="Q9389" t="n">
        <v>0</v>
      </c>
      <c r="R9389" t="n">
        <v>0</v>
      </c>
      <c r="S9389" t="n">
        <v>0</v>
      </c>
      <c r="T9389" t="n">
        <v>0</v>
      </c>
      <c r="U9389" t="n">
        <v>0</v>
      </c>
      <c r="V9389" s="2" t="inlineStr"/>
    </row>
    <row r="9390" ht="15" customHeight="1">
      <c r="A9390" t="inlineStr">
        <is>
          <t>A 59422-2022</t>
        </is>
      </c>
      <c r="B9390" t="inlineStr">
        <is>
          <t>avverkningsanmälan</t>
        </is>
      </c>
      <c r="C9390" t="inlineStr">
        <is>
          <t>Föryngringsavverkning</t>
        </is>
      </c>
      <c r="D9390" s="1" t="n">
        <v>44907</v>
      </c>
      <c r="E9390" s="1" t="n">
        <v>46326</v>
      </c>
      <c r="F9390" t="inlineStr">
        <is>
          <t>GÄVLEBORGS LÄN</t>
        </is>
      </c>
      <c r="G9390" t="inlineStr">
        <is>
          <t>NORDANSTIG</t>
        </is>
      </c>
      <c r="H9390" t="inlineStr">
        <is>
          <t>Holmen skog AB</t>
        </is>
      </c>
      <c r="I9390" t="n">
        <v>2.7</v>
      </c>
      <c r="J9390" t="n">
        <v>0</v>
      </c>
      <c r="K9390" t="n">
        <v>0</v>
      </c>
      <c r="L9390" t="n">
        <v>0</v>
      </c>
      <c r="M9390" t="n">
        <v>0</v>
      </c>
      <c r="N9390" t="n">
        <v>0</v>
      </c>
      <c r="O9390" t="n">
        <v>0</v>
      </c>
      <c r="P9390" t="n">
        <v>0</v>
      </c>
      <c r="Q9390" t="n">
        <v>0</v>
      </c>
      <c r="R9390" t="n">
        <v>0</v>
      </c>
      <c r="S9390" t="n">
        <v>0</v>
      </c>
      <c r="T9390" t="n">
        <v>0</v>
      </c>
      <c r="U9390" t="n">
        <v>0</v>
      </c>
      <c r="V9390" s="2" t="inlineStr"/>
    </row>
    <row r="9391" ht="15" customHeight="1">
      <c r="A9391" t="inlineStr">
        <is>
          <t>A 13931-2026</t>
        </is>
      </c>
      <c r="B9391" t="inlineStr">
        <is>
          <t>avverkningsanmälan</t>
        </is>
      </c>
      <c r="C9391" t="inlineStr">
        <is>
          <t>Föryngringsavverkning</t>
        </is>
      </c>
      <c r="D9391" s="1" t="n">
        <v>46098</v>
      </c>
      <c r="E9391" s="1" t="n">
        <v>46326</v>
      </c>
      <c r="F9391" t="inlineStr">
        <is>
          <t>GÄVLEBORGS LÄN</t>
        </is>
      </c>
      <c r="G9391" t="inlineStr">
        <is>
          <t>OCKELBO</t>
        </is>
      </c>
      <c r="H9391" t="inlineStr">
        <is>
          <t>Bergvik skog väst AB</t>
        </is>
      </c>
      <c r="I9391" t="n">
        <v>1</v>
      </c>
      <c r="J9391" t="n">
        <v>0</v>
      </c>
      <c r="K9391" t="n">
        <v>0</v>
      </c>
      <c r="L9391" t="n">
        <v>0</v>
      </c>
      <c r="M9391" t="n">
        <v>0</v>
      </c>
      <c r="N9391" t="n">
        <v>0</v>
      </c>
      <c r="O9391" t="n">
        <v>0</v>
      </c>
      <c r="P9391" t="n">
        <v>0</v>
      </c>
      <c r="Q9391" t="n">
        <v>0</v>
      </c>
      <c r="R9391" t="n">
        <v>0</v>
      </c>
      <c r="S9391" t="n">
        <v>0</v>
      </c>
      <c r="T9391" t="n">
        <v>0</v>
      </c>
      <c r="U9391" t="n">
        <v>0</v>
      </c>
      <c r="V9391" s="2" t="inlineStr"/>
    </row>
    <row r="9392" ht="15" customHeight="1">
      <c r="A9392" t="inlineStr">
        <is>
          <t>A 31385-2026</t>
        </is>
      </c>
      <c r="B9392" t="inlineStr">
        <is>
          <t>avverkningsanmälan</t>
        </is>
      </c>
      <c r="C9392" t="inlineStr">
        <is>
          <t>Föryngringsavverkning</t>
        </is>
      </c>
      <c r="D9392" s="1" t="n">
        <v>46220</v>
      </c>
      <c r="E9392" s="1" t="n">
        <v>46326</v>
      </c>
      <c r="F9392" t="inlineStr">
        <is>
          <t>GÄVLEBORGS LÄN</t>
        </is>
      </c>
      <c r="G9392" t="inlineStr">
        <is>
          <t>NORDANSTIG</t>
        </is>
      </c>
      <c r="H9392" t="inlineStr">
        <is>
          <t>Holmen skog AB</t>
        </is>
      </c>
      <c r="I9392" t="n">
        <v>0.7</v>
      </c>
      <c r="J9392" t="n">
        <v>0</v>
      </c>
      <c r="K9392" t="n">
        <v>0</v>
      </c>
      <c r="L9392" t="n">
        <v>0</v>
      </c>
      <c r="M9392" t="n">
        <v>0</v>
      </c>
      <c r="N9392" t="n">
        <v>0</v>
      </c>
      <c r="O9392" t="n">
        <v>0</v>
      </c>
      <c r="P9392" t="n">
        <v>0</v>
      </c>
      <c r="Q9392" t="n">
        <v>0</v>
      </c>
      <c r="R9392" t="n">
        <v>0</v>
      </c>
      <c r="S9392" t="n">
        <v>0</v>
      </c>
      <c r="T9392" t="n">
        <v>0</v>
      </c>
      <c r="U9392" t="n">
        <v>0</v>
      </c>
      <c r="V9392" s="2" t="inlineStr"/>
    </row>
    <row r="9393" ht="15" customHeight="1">
      <c r="A9393" t="inlineStr">
        <is>
          <t>A 25466-2023</t>
        </is>
      </c>
      <c r="B9393" t="inlineStr">
        <is>
          <t>avverkningsanmälan</t>
        </is>
      </c>
      <c r="C9393" t="inlineStr">
        <is>
          <t>Föryngringsavverkning</t>
        </is>
      </c>
      <c r="D9393" s="1" t="n">
        <v>45089</v>
      </c>
      <c r="E9393" s="1" t="n">
        <v>46326</v>
      </c>
      <c r="F9393" t="inlineStr">
        <is>
          <t>GÄVLEBORGS LÄN</t>
        </is>
      </c>
      <c r="G9393" t="inlineStr">
        <is>
          <t>GÄVLE</t>
        </is>
      </c>
      <c r="I9393" t="n">
        <v>5.5</v>
      </c>
      <c r="J9393" t="n">
        <v>0</v>
      </c>
      <c r="K9393" t="n">
        <v>0</v>
      </c>
      <c r="L9393" t="n">
        <v>0</v>
      </c>
      <c r="M9393" t="n">
        <v>0</v>
      </c>
      <c r="N9393" t="n">
        <v>0</v>
      </c>
      <c r="O9393" t="n">
        <v>0</v>
      </c>
      <c r="P9393" t="n">
        <v>0</v>
      </c>
      <c r="Q9393" t="n">
        <v>0</v>
      </c>
      <c r="R9393" t="n">
        <v>0</v>
      </c>
      <c r="S9393" t="n">
        <v>0</v>
      </c>
      <c r="T9393" t="n">
        <v>0</v>
      </c>
      <c r="U9393" t="n">
        <v>0</v>
      </c>
      <c r="V9393" s="2" t="inlineStr"/>
    </row>
    <row r="9394" ht="15" customHeight="1">
      <c r="A9394" t="inlineStr">
        <is>
          <t>A 15447-2026</t>
        </is>
      </c>
      <c r="B9394" t="inlineStr">
        <is>
          <t>avverkningsanmälan</t>
        </is>
      </c>
      <c r="C9394" t="inlineStr">
        <is>
          <t>Föryngringsavverkning</t>
        </is>
      </c>
      <c r="D9394" s="1" t="n">
        <v>46106</v>
      </c>
      <c r="E9394" s="1" t="n">
        <v>46326</v>
      </c>
      <c r="F9394" t="inlineStr">
        <is>
          <t>GÄVLEBORGS LÄN</t>
        </is>
      </c>
      <c r="G9394" t="inlineStr">
        <is>
          <t>BOLLNÄS</t>
        </is>
      </c>
      <c r="I9394" t="n">
        <v>2.6</v>
      </c>
      <c r="J9394" t="n">
        <v>0</v>
      </c>
      <c r="K9394" t="n">
        <v>0</v>
      </c>
      <c r="L9394" t="n">
        <v>0</v>
      </c>
      <c r="M9394" t="n">
        <v>0</v>
      </c>
      <c r="N9394" t="n">
        <v>0</v>
      </c>
      <c r="O9394" t="n">
        <v>0</v>
      </c>
      <c r="P9394" t="n">
        <v>0</v>
      </c>
      <c r="Q9394" t="n">
        <v>0</v>
      </c>
      <c r="R9394" t="n">
        <v>0</v>
      </c>
      <c r="S9394" t="n">
        <v>0</v>
      </c>
      <c r="T9394" t="n">
        <v>0</v>
      </c>
      <c r="U9394" t="n">
        <v>0</v>
      </c>
      <c r="V9394" s="2" t="inlineStr"/>
    </row>
    <row r="9395" ht="15" customHeight="1">
      <c r="A9395" t="inlineStr">
        <is>
          <t>A 35302-2024</t>
        </is>
      </c>
      <c r="B9395" t="inlineStr">
        <is>
          <t>avverkningsanmälan</t>
        </is>
      </c>
      <c r="C9395" t="inlineStr">
        <is>
          <t>Föryngringsavverkning</t>
        </is>
      </c>
      <c r="D9395" s="1" t="n">
        <v>45530</v>
      </c>
      <c r="E9395" s="1" t="n">
        <v>46326</v>
      </c>
      <c r="F9395" t="inlineStr">
        <is>
          <t>GÄVLEBORGS LÄN</t>
        </is>
      </c>
      <c r="G9395" t="inlineStr">
        <is>
          <t>HUDIKSVALL</t>
        </is>
      </c>
      <c r="I9395" t="n">
        <v>1</v>
      </c>
      <c r="J9395" t="n">
        <v>0</v>
      </c>
      <c r="K9395" t="n">
        <v>0</v>
      </c>
      <c r="L9395" t="n">
        <v>0</v>
      </c>
      <c r="M9395" t="n">
        <v>0</v>
      </c>
      <c r="N9395" t="n">
        <v>0</v>
      </c>
      <c r="O9395" t="n">
        <v>0</v>
      </c>
      <c r="P9395" t="n">
        <v>0</v>
      </c>
      <c r="Q9395" t="n">
        <v>0</v>
      </c>
      <c r="R9395" t="n">
        <v>0</v>
      </c>
      <c r="S9395" t="n">
        <v>0</v>
      </c>
      <c r="T9395" t="n">
        <v>0</v>
      </c>
      <c r="U9395" t="n">
        <v>0</v>
      </c>
      <c r="V9395" s="2" t="inlineStr"/>
    </row>
    <row r="9396" ht="15" customHeight="1">
      <c r="A9396" t="inlineStr">
        <is>
          <t>A 13988-2026</t>
        </is>
      </c>
      <c r="B9396" t="inlineStr">
        <is>
          <t>avverkningsanmälan</t>
        </is>
      </c>
      <c r="C9396" t="inlineStr">
        <is>
          <t>Föryngringsavverkning</t>
        </is>
      </c>
      <c r="D9396" s="1" t="n">
        <v>46098</v>
      </c>
      <c r="E9396" s="1" t="n">
        <v>46326</v>
      </c>
      <c r="F9396" t="inlineStr">
        <is>
          <t>GÄVLEBORGS LÄN</t>
        </is>
      </c>
      <c r="G9396" t="inlineStr">
        <is>
          <t>BOLLNÄS</t>
        </is>
      </c>
      <c r="H9396" t="inlineStr">
        <is>
          <t>Bergvik skog väst AB</t>
        </is>
      </c>
      <c r="I9396" t="n">
        <v>2.8</v>
      </c>
      <c r="J9396" t="n">
        <v>0</v>
      </c>
      <c r="K9396" t="n">
        <v>0</v>
      </c>
      <c r="L9396" t="n">
        <v>0</v>
      </c>
      <c r="M9396" t="n">
        <v>0</v>
      </c>
      <c r="N9396" t="n">
        <v>0</v>
      </c>
      <c r="O9396" t="n">
        <v>0</v>
      </c>
      <c r="P9396" t="n">
        <v>0</v>
      </c>
      <c r="Q9396" t="n">
        <v>0</v>
      </c>
      <c r="R9396" t="n">
        <v>0</v>
      </c>
      <c r="S9396" t="n">
        <v>0</v>
      </c>
      <c r="T9396" t="n">
        <v>0</v>
      </c>
      <c r="U9396" t="n">
        <v>0</v>
      </c>
      <c r="V9396" s="2" t="inlineStr"/>
    </row>
    <row r="9397" ht="15" customHeight="1">
      <c r="A9397" t="inlineStr">
        <is>
          <t>A 45179-2024</t>
        </is>
      </c>
      <c r="B9397" t="inlineStr">
        <is>
          <t>avverkningsanmälan</t>
        </is>
      </c>
      <c r="C9397" t="inlineStr">
        <is>
          <t>Föryngringsavverkning</t>
        </is>
      </c>
      <c r="D9397" s="1" t="n">
        <v>45575</v>
      </c>
      <c r="E9397" s="1" t="n">
        <v>46326</v>
      </c>
      <c r="F9397" t="inlineStr">
        <is>
          <t>GÄVLEBORGS LÄN</t>
        </is>
      </c>
      <c r="G9397" t="inlineStr">
        <is>
          <t>HUDIKSVALL</t>
        </is>
      </c>
      <c r="H9397" t="inlineStr">
        <is>
          <t>Holmen skog AB</t>
        </is>
      </c>
      <c r="I9397" t="n">
        <v>3.1</v>
      </c>
      <c r="J9397" t="n">
        <v>0</v>
      </c>
      <c r="K9397" t="n">
        <v>0</v>
      </c>
      <c r="L9397" t="n">
        <v>0</v>
      </c>
      <c r="M9397" t="n">
        <v>0</v>
      </c>
      <c r="N9397" t="n">
        <v>0</v>
      </c>
      <c r="O9397" t="n">
        <v>0</v>
      </c>
      <c r="P9397" t="n">
        <v>0</v>
      </c>
      <c r="Q9397" t="n">
        <v>0</v>
      </c>
      <c r="R9397" t="n">
        <v>0</v>
      </c>
      <c r="S9397" t="n">
        <v>0</v>
      </c>
      <c r="T9397" t="n">
        <v>0</v>
      </c>
      <c r="U9397" t="n">
        <v>0</v>
      </c>
      <c r="V9397" s="2" t="inlineStr"/>
    </row>
    <row r="9398" ht="15" customHeight="1">
      <c r="A9398" t="inlineStr">
        <is>
          <t>A 31314-2026</t>
        </is>
      </c>
      <c r="B9398" t="inlineStr">
        <is>
          <t>avverkningsanmälan</t>
        </is>
      </c>
      <c r="C9398" t="inlineStr">
        <is>
          <t>Föryngringsavverkning</t>
        </is>
      </c>
      <c r="D9398" s="1" t="n">
        <v>46219</v>
      </c>
      <c r="E9398" s="1" t="n">
        <v>46326</v>
      </c>
      <c r="F9398" t="inlineStr">
        <is>
          <t>GÄVLEBORGS LÄN</t>
        </is>
      </c>
      <c r="G9398" t="inlineStr">
        <is>
          <t>SANDVIKEN</t>
        </is>
      </c>
      <c r="I9398" t="n">
        <v>1.5</v>
      </c>
      <c r="J9398" t="n">
        <v>0</v>
      </c>
      <c r="K9398" t="n">
        <v>0</v>
      </c>
      <c r="L9398" t="n">
        <v>0</v>
      </c>
      <c r="M9398" t="n">
        <v>0</v>
      </c>
      <c r="N9398" t="n">
        <v>0</v>
      </c>
      <c r="O9398" t="n">
        <v>0</v>
      </c>
      <c r="P9398" t="n">
        <v>0</v>
      </c>
      <c r="Q9398" t="n">
        <v>0</v>
      </c>
      <c r="R9398" t="n">
        <v>0</v>
      </c>
      <c r="S9398" t="n">
        <v>0</v>
      </c>
      <c r="T9398" t="n">
        <v>0</v>
      </c>
      <c r="U9398" t="n">
        <v>0</v>
      </c>
      <c r="V9398" s="2" t="inlineStr"/>
    </row>
    <row r="9399" ht="15" customHeight="1">
      <c r="A9399" t="inlineStr">
        <is>
          <t>A 31347-2026</t>
        </is>
      </c>
      <c r="B9399" t="inlineStr">
        <is>
          <t>avverkningsanmälan</t>
        </is>
      </c>
      <c r="C9399" t="inlineStr">
        <is>
          <t>Föryngringsavverkning</t>
        </is>
      </c>
      <c r="D9399" s="1" t="n">
        <v>46219</v>
      </c>
      <c r="E9399" s="1" t="n">
        <v>46326</v>
      </c>
      <c r="F9399" t="inlineStr">
        <is>
          <t>GÄVLEBORGS LÄN</t>
        </is>
      </c>
      <c r="G9399" t="inlineStr">
        <is>
          <t>SÖDERHAMN</t>
        </is>
      </c>
      <c r="I9399" t="n">
        <v>2.3</v>
      </c>
      <c r="J9399" t="n">
        <v>0</v>
      </c>
      <c r="K9399" t="n">
        <v>0</v>
      </c>
      <c r="L9399" t="n">
        <v>0</v>
      </c>
      <c r="M9399" t="n">
        <v>0</v>
      </c>
      <c r="N9399" t="n">
        <v>0</v>
      </c>
      <c r="O9399" t="n">
        <v>0</v>
      </c>
      <c r="P9399" t="n">
        <v>0</v>
      </c>
      <c r="Q9399" t="n">
        <v>0</v>
      </c>
      <c r="R9399" t="n">
        <v>0</v>
      </c>
      <c r="S9399" t="n">
        <v>0</v>
      </c>
      <c r="T9399" t="n">
        <v>0</v>
      </c>
      <c r="U9399" t="n">
        <v>0</v>
      </c>
      <c r="V9399" s="2" t="inlineStr"/>
    </row>
    <row r="9400" ht="15" customHeight="1">
      <c r="A9400" t="inlineStr">
        <is>
          <t>A 29982-2023</t>
        </is>
      </c>
      <c r="B9400" t="inlineStr">
        <is>
          <t>avverkningsanmälan</t>
        </is>
      </c>
      <c r="C9400" t="inlineStr">
        <is>
          <t>Föryngringsavverkning</t>
        </is>
      </c>
      <c r="D9400" s="1" t="n">
        <v>45108</v>
      </c>
      <c r="E9400" s="1" t="n">
        <v>46326</v>
      </c>
      <c r="F9400" t="inlineStr">
        <is>
          <t>GÄVLEBORGS LÄN</t>
        </is>
      </c>
      <c r="G9400" t="inlineStr">
        <is>
          <t>SÖDERHAMN</t>
        </is>
      </c>
      <c r="I9400" t="n">
        <v>0.7</v>
      </c>
      <c r="J9400" t="n">
        <v>0</v>
      </c>
      <c r="K9400" t="n">
        <v>0</v>
      </c>
      <c r="L9400" t="n">
        <v>0</v>
      </c>
      <c r="M9400" t="n">
        <v>0</v>
      </c>
      <c r="N9400" t="n">
        <v>0</v>
      </c>
      <c r="O9400" t="n">
        <v>0</v>
      </c>
      <c r="P9400" t="n">
        <v>0</v>
      </c>
      <c r="Q9400" t="n">
        <v>0</v>
      </c>
      <c r="R9400" t="n">
        <v>0</v>
      </c>
      <c r="S9400" t="n">
        <v>0</v>
      </c>
      <c r="T9400" t="n">
        <v>0</v>
      </c>
      <c r="U9400" t="n">
        <v>0</v>
      </c>
      <c r="V9400" s="2" t="inlineStr"/>
    </row>
    <row r="9401" ht="15" customHeight="1">
      <c r="A9401" t="inlineStr">
        <is>
          <t>A 56127-2023</t>
        </is>
      </c>
      <c r="B9401" t="inlineStr">
        <is>
          <t>avverkningsanmälan</t>
        </is>
      </c>
      <c r="C9401" t="inlineStr">
        <is>
          <t>Föryngringsavverkning</t>
        </is>
      </c>
      <c r="D9401" s="1" t="n">
        <v>45240</v>
      </c>
      <c r="E9401" s="1" t="n">
        <v>46326</v>
      </c>
      <c r="F9401" t="inlineStr">
        <is>
          <t>GÄVLEBORGS LÄN</t>
        </is>
      </c>
      <c r="G9401" t="inlineStr">
        <is>
          <t>OVANÅKER</t>
        </is>
      </c>
      <c r="I9401" t="n">
        <v>0.4</v>
      </c>
      <c r="J9401" t="n">
        <v>0</v>
      </c>
      <c r="K9401" t="n">
        <v>0</v>
      </c>
      <c r="L9401" t="n">
        <v>0</v>
      </c>
      <c r="M9401" t="n">
        <v>0</v>
      </c>
      <c r="N9401" t="n">
        <v>0</v>
      </c>
      <c r="O9401" t="n">
        <v>0</v>
      </c>
      <c r="P9401" t="n">
        <v>0</v>
      </c>
      <c r="Q9401" t="n">
        <v>0</v>
      </c>
      <c r="R9401" t="n">
        <v>0</v>
      </c>
      <c r="S9401" t="n">
        <v>0</v>
      </c>
      <c r="T9401" t="n">
        <v>0</v>
      </c>
      <c r="U9401" t="n">
        <v>0</v>
      </c>
      <c r="V9401" s="2" t="inlineStr"/>
    </row>
    <row r="9402" ht="15" customHeight="1">
      <c r="A9402" t="inlineStr">
        <is>
          <t>A 2345-2024</t>
        </is>
      </c>
      <c r="B9402" t="inlineStr">
        <is>
          <t>avverkningsanmälan</t>
        </is>
      </c>
      <c r="C9402" t="inlineStr">
        <is>
          <t>Föryngringsavverkning</t>
        </is>
      </c>
      <c r="D9402" s="1" t="n">
        <v>45310</v>
      </c>
      <c r="E9402" s="1" t="n">
        <v>46326</v>
      </c>
      <c r="F9402" t="inlineStr">
        <is>
          <t>GÄVLEBORGS LÄN</t>
        </is>
      </c>
      <c r="G9402" t="inlineStr">
        <is>
          <t>BOLLNÄS</t>
        </is>
      </c>
      <c r="I9402" t="n">
        <v>0.5</v>
      </c>
      <c r="J9402" t="n">
        <v>0</v>
      </c>
      <c r="K9402" t="n">
        <v>0</v>
      </c>
      <c r="L9402" t="n">
        <v>0</v>
      </c>
      <c r="M9402" t="n">
        <v>0</v>
      </c>
      <c r="N9402" t="n">
        <v>0</v>
      </c>
      <c r="O9402" t="n">
        <v>0</v>
      </c>
      <c r="P9402" t="n">
        <v>0</v>
      </c>
      <c r="Q9402" t="n">
        <v>0</v>
      </c>
      <c r="R9402" t="n">
        <v>0</v>
      </c>
      <c r="S9402" t="n">
        <v>0</v>
      </c>
      <c r="T9402" t="n">
        <v>0</v>
      </c>
      <c r="U9402" t="n">
        <v>0</v>
      </c>
      <c r="V9402" s="2" t="inlineStr"/>
    </row>
    <row r="9403" ht="15" customHeight="1">
      <c r="A9403" t="inlineStr">
        <is>
          <t>A 52519-2024</t>
        </is>
      </c>
      <c r="B9403" t="inlineStr">
        <is>
          <t>avverkningsanmälan</t>
        </is>
      </c>
      <c r="C9403" t="inlineStr">
        <is>
          <t>Föryngringsavverkning</t>
        </is>
      </c>
      <c r="D9403" s="1" t="n">
        <v>45609</v>
      </c>
      <c r="E9403" s="1" t="n">
        <v>46326</v>
      </c>
      <c r="F9403" t="inlineStr">
        <is>
          <t>GÄVLEBORGS LÄN</t>
        </is>
      </c>
      <c r="G9403" t="inlineStr">
        <is>
          <t>SÖDERHAMN</t>
        </is>
      </c>
      <c r="I9403" t="n">
        <v>1.2</v>
      </c>
      <c r="J9403" t="n">
        <v>0</v>
      </c>
      <c r="K9403" t="n">
        <v>0</v>
      </c>
      <c r="L9403" t="n">
        <v>0</v>
      </c>
      <c r="M9403" t="n">
        <v>0</v>
      </c>
      <c r="N9403" t="n">
        <v>0</v>
      </c>
      <c r="O9403" t="n">
        <v>0</v>
      </c>
      <c r="P9403" t="n">
        <v>0</v>
      </c>
      <c r="Q9403" t="n">
        <v>0</v>
      </c>
      <c r="R9403" t="n">
        <v>0</v>
      </c>
      <c r="S9403" t="n">
        <v>0</v>
      </c>
      <c r="T9403" t="n">
        <v>0</v>
      </c>
      <c r="U9403" t="n">
        <v>0</v>
      </c>
      <c r="V9403" s="2" t="inlineStr"/>
    </row>
    <row r="9404" ht="15" customHeight="1">
      <c r="A9404" t="inlineStr">
        <is>
          <t>A 56741-2024</t>
        </is>
      </c>
      <c r="B9404" t="inlineStr">
        <is>
          <t>avverkningsanmälan</t>
        </is>
      </c>
      <c r="C9404" t="inlineStr">
        <is>
          <t>Föryngringsavverkning</t>
        </is>
      </c>
      <c r="D9404" s="1" t="n">
        <v>45628</v>
      </c>
      <c r="E9404" s="1" t="n">
        <v>46326</v>
      </c>
      <c r="F9404" t="inlineStr">
        <is>
          <t>GÄVLEBORGS LÄN</t>
        </is>
      </c>
      <c r="G9404" t="inlineStr">
        <is>
          <t>OCKELBO</t>
        </is>
      </c>
      <c r="I9404" t="n">
        <v>1.8</v>
      </c>
      <c r="J9404" t="n">
        <v>0</v>
      </c>
      <c r="K9404" t="n">
        <v>0</v>
      </c>
      <c r="L9404" t="n">
        <v>0</v>
      </c>
      <c r="M9404" t="n">
        <v>0</v>
      </c>
      <c r="N9404" t="n">
        <v>0</v>
      </c>
      <c r="O9404" t="n">
        <v>0</v>
      </c>
      <c r="P9404" t="n">
        <v>0</v>
      </c>
      <c r="Q9404" t="n">
        <v>0</v>
      </c>
      <c r="R9404" t="n">
        <v>0</v>
      </c>
      <c r="S9404" t="n">
        <v>0</v>
      </c>
      <c r="T9404" t="n">
        <v>0</v>
      </c>
      <c r="U9404" t="n">
        <v>0</v>
      </c>
      <c r="V9404" s="2" t="inlineStr"/>
    </row>
    <row r="9405" ht="15" customHeight="1">
      <c r="A9405" t="inlineStr">
        <is>
          <t>A 46724-2024</t>
        </is>
      </c>
      <c r="B9405" t="inlineStr">
        <is>
          <t>avverkningsanmälan</t>
        </is>
      </c>
      <c r="C9405" t="inlineStr">
        <is>
          <t>Föryngringsavverkning</t>
        </is>
      </c>
      <c r="D9405" s="1" t="n">
        <v>45583</v>
      </c>
      <c r="E9405" s="1" t="n">
        <v>46326</v>
      </c>
      <c r="F9405" t="inlineStr">
        <is>
          <t>GÄVLEBORGS LÄN</t>
        </is>
      </c>
      <c r="G9405" t="inlineStr">
        <is>
          <t>BOLLNÄS</t>
        </is>
      </c>
      <c r="I9405" t="n">
        <v>6.9</v>
      </c>
      <c r="J9405" t="n">
        <v>0</v>
      </c>
      <c r="K9405" t="n">
        <v>0</v>
      </c>
      <c r="L9405" t="n">
        <v>0</v>
      </c>
      <c r="M9405" t="n">
        <v>0</v>
      </c>
      <c r="N9405" t="n">
        <v>0</v>
      </c>
      <c r="O9405" t="n">
        <v>0</v>
      </c>
      <c r="P9405" t="n">
        <v>0</v>
      </c>
      <c r="Q9405" t="n">
        <v>0</v>
      </c>
      <c r="R9405" t="n">
        <v>0</v>
      </c>
      <c r="S9405" t="n">
        <v>0</v>
      </c>
      <c r="T9405" t="n">
        <v>0</v>
      </c>
      <c r="U9405" t="n">
        <v>0</v>
      </c>
      <c r="V9405" s="2" t="inlineStr"/>
    </row>
    <row r="9406" ht="15" customHeight="1">
      <c r="A9406" t="inlineStr">
        <is>
          <t>A 46739-2024</t>
        </is>
      </c>
      <c r="B9406" t="inlineStr">
        <is>
          <t>avverkningsanmälan</t>
        </is>
      </c>
      <c r="C9406" t="inlineStr">
        <is>
          <t>Föryngringsavverkning</t>
        </is>
      </c>
      <c r="D9406" s="1" t="n">
        <v>45583</v>
      </c>
      <c r="E9406" s="1" t="n">
        <v>46326</v>
      </c>
      <c r="F9406" t="inlineStr">
        <is>
          <t>GÄVLEBORGS LÄN</t>
        </is>
      </c>
      <c r="G9406" t="inlineStr">
        <is>
          <t>BOLLNÄS</t>
        </is>
      </c>
      <c r="I9406" t="n">
        <v>5.1</v>
      </c>
      <c r="J9406" t="n">
        <v>0</v>
      </c>
      <c r="K9406" t="n">
        <v>0</v>
      </c>
      <c r="L9406" t="n">
        <v>0</v>
      </c>
      <c r="M9406" t="n">
        <v>0</v>
      </c>
      <c r="N9406" t="n">
        <v>0</v>
      </c>
      <c r="O9406" t="n">
        <v>0</v>
      </c>
      <c r="P9406" t="n">
        <v>0</v>
      </c>
      <c r="Q9406" t="n">
        <v>0</v>
      </c>
      <c r="R9406" t="n">
        <v>0</v>
      </c>
      <c r="S9406" t="n">
        <v>0</v>
      </c>
      <c r="T9406" t="n">
        <v>0</v>
      </c>
      <c r="U9406" t="n">
        <v>0</v>
      </c>
      <c r="V9406" s="2" t="inlineStr"/>
    </row>
    <row r="9407" ht="15" customHeight="1">
      <c r="A9407" t="inlineStr">
        <is>
          <t>A 19772-2025</t>
        </is>
      </c>
      <c r="B9407" t="inlineStr">
        <is>
          <t>avverkningsanmälan</t>
        </is>
      </c>
      <c r="C9407" t="inlineStr">
        <is>
          <t>Föryngringsavverkning</t>
        </is>
      </c>
      <c r="D9407" s="1" t="n">
        <v>45771</v>
      </c>
      <c r="E9407" s="1" t="n">
        <v>46326</v>
      </c>
      <c r="F9407" t="inlineStr">
        <is>
          <t>GÄVLEBORGS LÄN</t>
        </is>
      </c>
      <c r="G9407" t="inlineStr">
        <is>
          <t>OCKELBO</t>
        </is>
      </c>
      <c r="H9407" t="inlineStr">
        <is>
          <t>Bergvik skog väst AB</t>
        </is>
      </c>
      <c r="I9407" t="n">
        <v>4.8</v>
      </c>
      <c r="J9407" t="n">
        <v>0</v>
      </c>
      <c r="K9407" t="n">
        <v>0</v>
      </c>
      <c r="L9407" t="n">
        <v>0</v>
      </c>
      <c r="M9407" t="n">
        <v>0</v>
      </c>
      <c r="N9407" t="n">
        <v>0</v>
      </c>
      <c r="O9407" t="n">
        <v>0</v>
      </c>
      <c r="P9407" t="n">
        <v>0</v>
      </c>
      <c r="Q9407" t="n">
        <v>0</v>
      </c>
      <c r="R9407" t="n">
        <v>0</v>
      </c>
      <c r="S9407" t="n">
        <v>0</v>
      </c>
      <c r="T9407" t="n">
        <v>0</v>
      </c>
      <c r="U9407" t="n">
        <v>0</v>
      </c>
      <c r="V9407" s="2" t="inlineStr"/>
    </row>
    <row r="9408" ht="15" customHeight="1">
      <c r="A9408" t="inlineStr">
        <is>
          <t>A 49282-2024</t>
        </is>
      </c>
      <c r="B9408" t="inlineStr">
        <is>
          <t>avverkningsanmälan</t>
        </is>
      </c>
      <c r="C9408" t="inlineStr">
        <is>
          <t>Föryngringsavverkning</t>
        </is>
      </c>
      <c r="D9408" s="1" t="n">
        <v>45595</v>
      </c>
      <c r="E9408" s="1" t="n">
        <v>46326</v>
      </c>
      <c r="F9408" t="inlineStr">
        <is>
          <t>GÄVLEBORGS LÄN</t>
        </is>
      </c>
      <c r="G9408" t="inlineStr">
        <is>
          <t>SÖDERHAMN</t>
        </is>
      </c>
      <c r="I9408" t="n">
        <v>0.7</v>
      </c>
      <c r="J9408" t="n">
        <v>0</v>
      </c>
      <c r="K9408" t="n">
        <v>0</v>
      </c>
      <c r="L9408" t="n">
        <v>0</v>
      </c>
      <c r="M9408" t="n">
        <v>0</v>
      </c>
      <c r="N9408" t="n">
        <v>0</v>
      </c>
      <c r="O9408" t="n">
        <v>0</v>
      </c>
      <c r="P9408" t="n">
        <v>0</v>
      </c>
      <c r="Q9408" t="n">
        <v>0</v>
      </c>
      <c r="R9408" t="n">
        <v>0</v>
      </c>
      <c r="S9408" t="n">
        <v>0</v>
      </c>
      <c r="T9408" t="n">
        <v>0</v>
      </c>
      <c r="U9408" t="n">
        <v>0</v>
      </c>
      <c r="V9408" s="2" t="inlineStr"/>
    </row>
    <row r="9409" ht="15" customHeight="1">
      <c r="A9409" t="inlineStr">
        <is>
          <t>A 19782-2025</t>
        </is>
      </c>
      <c r="B9409" t="inlineStr">
        <is>
          <t>avverkningsanmälan</t>
        </is>
      </c>
      <c r="C9409" t="inlineStr">
        <is>
          <t>Föryngringsavverkning</t>
        </is>
      </c>
      <c r="D9409" s="1" t="n">
        <v>45771</v>
      </c>
      <c r="E9409" s="1" t="n">
        <v>46326</v>
      </c>
      <c r="F9409" t="inlineStr">
        <is>
          <t>GÄVLEBORGS LÄN</t>
        </is>
      </c>
      <c r="G9409" t="inlineStr">
        <is>
          <t>SÖDERHAMN</t>
        </is>
      </c>
      <c r="I9409" t="n">
        <v>6.4</v>
      </c>
      <c r="J9409" t="n">
        <v>0</v>
      </c>
      <c r="K9409" t="n">
        <v>0</v>
      </c>
      <c r="L9409" t="n">
        <v>0</v>
      </c>
      <c r="M9409" t="n">
        <v>0</v>
      </c>
      <c r="N9409" t="n">
        <v>0</v>
      </c>
      <c r="O9409" t="n">
        <v>0</v>
      </c>
      <c r="P9409" t="n">
        <v>0</v>
      </c>
      <c r="Q9409" t="n">
        <v>0</v>
      </c>
      <c r="R9409" t="n">
        <v>0</v>
      </c>
      <c r="S9409" t="n">
        <v>0</v>
      </c>
      <c r="T9409" t="n">
        <v>0</v>
      </c>
      <c r="U9409" t="n">
        <v>0</v>
      </c>
      <c r="V9409" s="2" t="inlineStr"/>
    </row>
    <row r="9410" ht="15" customHeight="1">
      <c r="A9410" t="inlineStr">
        <is>
          <t>A 37031-2024</t>
        </is>
      </c>
      <c r="B9410" t="inlineStr">
        <is>
          <t>avverkningsanmälan</t>
        </is>
      </c>
      <c r="C9410" t="inlineStr">
        <is>
          <t>Föryngringsavverkning</t>
        </is>
      </c>
      <c r="D9410" s="1" t="n">
        <v>45539</v>
      </c>
      <c r="E9410" s="1" t="n">
        <v>46326</v>
      </c>
      <c r="F9410" t="inlineStr">
        <is>
          <t>GÄVLEBORGS LÄN</t>
        </is>
      </c>
      <c r="G9410" t="inlineStr">
        <is>
          <t>NORDANSTIG</t>
        </is>
      </c>
      <c r="I9410" t="n">
        <v>1.6</v>
      </c>
      <c r="J9410" t="n">
        <v>0</v>
      </c>
      <c r="K9410" t="n">
        <v>0</v>
      </c>
      <c r="L9410" t="n">
        <v>0</v>
      </c>
      <c r="M9410" t="n">
        <v>0</v>
      </c>
      <c r="N9410" t="n">
        <v>0</v>
      </c>
      <c r="O9410" t="n">
        <v>0</v>
      </c>
      <c r="P9410" t="n">
        <v>0</v>
      </c>
      <c r="Q9410" t="n">
        <v>0</v>
      </c>
      <c r="R9410" t="n">
        <v>0</v>
      </c>
      <c r="S9410" t="n">
        <v>0</v>
      </c>
      <c r="T9410" t="n">
        <v>0</v>
      </c>
      <c r="U9410" t="n">
        <v>0</v>
      </c>
      <c r="V9410" s="2" t="inlineStr"/>
    </row>
    <row r="9411" ht="15" customHeight="1">
      <c r="A9411" t="inlineStr">
        <is>
          <t>A 31892-2023</t>
        </is>
      </c>
      <c r="B9411" t="inlineStr">
        <is>
          <t>avverkningsanmälan</t>
        </is>
      </c>
      <c r="C9411" t="inlineStr">
        <is>
          <t>Föryngringsavverkning</t>
        </is>
      </c>
      <c r="D9411" s="1" t="n">
        <v>45118</v>
      </c>
      <c r="E9411" s="1" t="n">
        <v>46326</v>
      </c>
      <c r="F9411" t="inlineStr">
        <is>
          <t>GÄVLEBORGS LÄN</t>
        </is>
      </c>
      <c r="G9411" t="inlineStr">
        <is>
          <t>LJUSDAL</t>
        </is>
      </c>
      <c r="I9411" t="n">
        <v>1.5</v>
      </c>
      <c r="J9411" t="n">
        <v>0</v>
      </c>
      <c r="K9411" t="n">
        <v>0</v>
      </c>
      <c r="L9411" t="n">
        <v>0</v>
      </c>
      <c r="M9411" t="n">
        <v>0</v>
      </c>
      <c r="N9411" t="n">
        <v>0</v>
      </c>
      <c r="O9411" t="n">
        <v>0</v>
      </c>
      <c r="P9411" t="n">
        <v>0</v>
      </c>
      <c r="Q9411" t="n">
        <v>0</v>
      </c>
      <c r="R9411" t="n">
        <v>0</v>
      </c>
      <c r="S9411" t="n">
        <v>0</v>
      </c>
      <c r="T9411" t="n">
        <v>0</v>
      </c>
      <c r="U9411" t="n">
        <v>0</v>
      </c>
      <c r="V9411" s="2" t="inlineStr"/>
    </row>
    <row r="9412" ht="15" customHeight="1">
      <c r="A9412" t="inlineStr">
        <is>
          <t>A 31406-2026</t>
        </is>
      </c>
      <c r="B9412" t="inlineStr">
        <is>
          <t>avverkningsanmälan</t>
        </is>
      </c>
      <c r="C9412" t="inlineStr">
        <is>
          <t>Föryngringsavverkning</t>
        </is>
      </c>
      <c r="D9412" s="1" t="n">
        <v>46220</v>
      </c>
      <c r="E9412" s="1" t="n">
        <v>46326</v>
      </c>
      <c r="F9412" t="inlineStr">
        <is>
          <t>GÄVLEBORGS LÄN</t>
        </is>
      </c>
      <c r="G9412" t="inlineStr">
        <is>
          <t>NORDANSTIG</t>
        </is>
      </c>
      <c r="H9412" t="inlineStr">
        <is>
          <t>Holmen skog AB</t>
        </is>
      </c>
      <c r="I9412" t="n">
        <v>0.6</v>
      </c>
      <c r="J9412" t="n">
        <v>0</v>
      </c>
      <c r="K9412" t="n">
        <v>0</v>
      </c>
      <c r="L9412" t="n">
        <v>0</v>
      </c>
      <c r="M9412" t="n">
        <v>0</v>
      </c>
      <c r="N9412" t="n">
        <v>0</v>
      </c>
      <c r="O9412" t="n">
        <v>0</v>
      </c>
      <c r="P9412" t="n">
        <v>0</v>
      </c>
      <c r="Q9412" t="n">
        <v>0</v>
      </c>
      <c r="R9412" t="n">
        <v>0</v>
      </c>
      <c r="S9412" t="n">
        <v>0</v>
      </c>
      <c r="T9412" t="n">
        <v>0</v>
      </c>
      <c r="U9412" t="n">
        <v>0</v>
      </c>
      <c r="V9412" s="2" t="inlineStr"/>
    </row>
    <row r="9413" ht="15" customHeight="1">
      <c r="A9413" t="inlineStr">
        <is>
          <t>A 31423-2026</t>
        </is>
      </c>
      <c r="B9413" t="inlineStr">
        <is>
          <t>avverkningsanmälan</t>
        </is>
      </c>
      <c r="C9413" t="inlineStr">
        <is>
          <t>Föryngringsavverkning</t>
        </is>
      </c>
      <c r="D9413" s="1" t="n">
        <v>46220</v>
      </c>
      <c r="E9413" s="1" t="n">
        <v>46326</v>
      </c>
      <c r="F9413" t="inlineStr">
        <is>
          <t>GÄVLEBORGS LÄN</t>
        </is>
      </c>
      <c r="G9413" t="inlineStr">
        <is>
          <t>NORDANSTIG</t>
        </is>
      </c>
      <c r="I9413" t="n">
        <v>0.9</v>
      </c>
      <c r="J9413" t="n">
        <v>0</v>
      </c>
      <c r="K9413" t="n">
        <v>0</v>
      </c>
      <c r="L9413" t="n">
        <v>0</v>
      </c>
      <c r="M9413" t="n">
        <v>0</v>
      </c>
      <c r="N9413" t="n">
        <v>0</v>
      </c>
      <c r="O9413" t="n">
        <v>0</v>
      </c>
      <c r="P9413" t="n">
        <v>0</v>
      </c>
      <c r="Q9413" t="n">
        <v>0</v>
      </c>
      <c r="R9413" t="n">
        <v>0</v>
      </c>
      <c r="S9413" t="n">
        <v>0</v>
      </c>
      <c r="T9413" t="n">
        <v>0</v>
      </c>
      <c r="U9413" t="n">
        <v>0</v>
      </c>
      <c r="V9413" s="2" t="inlineStr"/>
    </row>
    <row r="9414" ht="15" customHeight="1">
      <c r="A9414" t="inlineStr">
        <is>
          <t>A 58156-2025</t>
        </is>
      </c>
      <c r="B9414" t="inlineStr">
        <is>
          <t>avverkningsanmälan</t>
        </is>
      </c>
      <c r="C9414" t="inlineStr">
        <is>
          <t>Föryngringsavverkning</t>
        </is>
      </c>
      <c r="D9414" s="1" t="n">
        <v>45982</v>
      </c>
      <c r="E9414" s="1" t="n">
        <v>46326</v>
      </c>
      <c r="F9414" t="inlineStr">
        <is>
          <t>GÄVLEBORGS LÄN</t>
        </is>
      </c>
      <c r="G9414" t="inlineStr">
        <is>
          <t>OCKELBO</t>
        </is>
      </c>
      <c r="H9414" t="inlineStr">
        <is>
          <t>Bergvik skog väst AB</t>
        </is>
      </c>
      <c r="I9414" t="n">
        <v>5.5</v>
      </c>
      <c r="J9414" t="n">
        <v>0</v>
      </c>
      <c r="K9414" t="n">
        <v>0</v>
      </c>
      <c r="L9414" t="n">
        <v>0</v>
      </c>
      <c r="M9414" t="n">
        <v>0</v>
      </c>
      <c r="N9414" t="n">
        <v>0</v>
      </c>
      <c r="O9414" t="n">
        <v>0</v>
      </c>
      <c r="P9414" t="n">
        <v>0</v>
      </c>
      <c r="Q9414" t="n">
        <v>0</v>
      </c>
      <c r="R9414" t="n">
        <v>0</v>
      </c>
      <c r="S9414" t="n">
        <v>0</v>
      </c>
      <c r="T9414" t="n">
        <v>0</v>
      </c>
      <c r="U9414" t="n">
        <v>0</v>
      </c>
      <c r="V9414" s="2" t="inlineStr"/>
    </row>
    <row r="9415" ht="15" customHeight="1">
      <c r="A9415" t="inlineStr">
        <is>
          <t>A 2412-2025</t>
        </is>
      </c>
      <c r="B9415" t="inlineStr">
        <is>
          <t>avverkningsanmälan</t>
        </is>
      </c>
      <c r="C9415" t="inlineStr">
        <is>
          <t>Avverkning för annat ändamål</t>
        </is>
      </c>
      <c r="D9415" s="1" t="n">
        <v>45674</v>
      </c>
      <c r="E9415" s="1" t="n">
        <v>46326</v>
      </c>
      <c r="F9415" t="inlineStr">
        <is>
          <t>GÄVLEBORGS LÄN</t>
        </is>
      </c>
      <c r="G9415" t="inlineStr">
        <is>
          <t>LJUSDAL</t>
        </is>
      </c>
      <c r="H9415" t="inlineStr">
        <is>
          <t>Sveaskog</t>
        </is>
      </c>
      <c r="I9415" t="n">
        <v>0.6</v>
      </c>
      <c r="J9415" t="n">
        <v>0</v>
      </c>
      <c r="K9415" t="n">
        <v>0</v>
      </c>
      <c r="L9415" t="n">
        <v>0</v>
      </c>
      <c r="M9415" t="n">
        <v>0</v>
      </c>
      <c r="N9415" t="n">
        <v>0</v>
      </c>
      <c r="O9415" t="n">
        <v>0</v>
      </c>
      <c r="P9415" t="n">
        <v>0</v>
      </c>
      <c r="Q9415" t="n">
        <v>0</v>
      </c>
      <c r="R9415" t="n">
        <v>0</v>
      </c>
      <c r="S9415" t="n">
        <v>0</v>
      </c>
      <c r="T9415" t="n">
        <v>0</v>
      </c>
      <c r="U9415" t="n">
        <v>0</v>
      </c>
      <c r="V9415" s="2" t="inlineStr"/>
    </row>
    <row r="9416" ht="15" customHeight="1">
      <c r="A9416" t="inlineStr">
        <is>
          <t>A 44625-2023</t>
        </is>
      </c>
      <c r="B9416" t="inlineStr">
        <is>
          <t>avverkningsanmälan</t>
        </is>
      </c>
      <c r="C9416" t="inlineStr">
        <is>
          <t>Föryngringsavverkning</t>
        </is>
      </c>
      <c r="D9416" s="1" t="n">
        <v>45189</v>
      </c>
      <c r="E9416" s="1" t="n">
        <v>46326</v>
      </c>
      <c r="F9416" t="inlineStr">
        <is>
          <t>GÄVLEBORGS LÄN</t>
        </is>
      </c>
      <c r="G9416" t="inlineStr">
        <is>
          <t>BOLLNÄS</t>
        </is>
      </c>
      <c r="I9416" t="n">
        <v>5.1</v>
      </c>
      <c r="J9416" t="n">
        <v>0</v>
      </c>
      <c r="K9416" t="n">
        <v>0</v>
      </c>
      <c r="L9416" t="n">
        <v>0</v>
      </c>
      <c r="M9416" t="n">
        <v>0</v>
      </c>
      <c r="N9416" t="n">
        <v>0</v>
      </c>
      <c r="O9416" t="n">
        <v>0</v>
      </c>
      <c r="P9416" t="n">
        <v>0</v>
      </c>
      <c r="Q9416" t="n">
        <v>0</v>
      </c>
      <c r="R9416" t="n">
        <v>0</v>
      </c>
      <c r="S9416" t="n">
        <v>0</v>
      </c>
      <c r="T9416" t="n">
        <v>0</v>
      </c>
      <c r="U9416" t="n">
        <v>0</v>
      </c>
      <c r="V9416" s="2" t="inlineStr"/>
    </row>
    <row r="9417" ht="15" customHeight="1">
      <c r="A9417" t="inlineStr">
        <is>
          <t>A 31435-2026</t>
        </is>
      </c>
      <c r="B9417" t="inlineStr">
        <is>
          <t>avverkningsanmälan</t>
        </is>
      </c>
      <c r="C9417" t="inlineStr">
        <is>
          <t>Föryngringsavverkning</t>
        </is>
      </c>
      <c r="D9417" s="1" t="n">
        <v>46220</v>
      </c>
      <c r="E9417" s="1" t="n">
        <v>46326</v>
      </c>
      <c r="F9417" t="inlineStr">
        <is>
          <t>GÄVLEBORGS LÄN</t>
        </is>
      </c>
      <c r="G9417" t="inlineStr">
        <is>
          <t>HUDIKSVALL</t>
        </is>
      </c>
      <c r="I9417" t="n">
        <v>1.5</v>
      </c>
      <c r="J9417" t="n">
        <v>0</v>
      </c>
      <c r="K9417" t="n">
        <v>0</v>
      </c>
      <c r="L9417" t="n">
        <v>0</v>
      </c>
      <c r="M9417" t="n">
        <v>0</v>
      </c>
      <c r="N9417" t="n">
        <v>0</v>
      </c>
      <c r="O9417" t="n">
        <v>0</v>
      </c>
      <c r="P9417" t="n">
        <v>0</v>
      </c>
      <c r="Q9417" t="n">
        <v>0</v>
      </c>
      <c r="R9417" t="n">
        <v>0</v>
      </c>
      <c r="S9417" t="n">
        <v>0</v>
      </c>
      <c r="T9417" t="n">
        <v>0</v>
      </c>
      <c r="U9417" t="n">
        <v>0</v>
      </c>
      <c r="V9417" s="2" t="inlineStr"/>
    </row>
    <row r="9418" ht="15" customHeight="1">
      <c r="A9418" t="inlineStr">
        <is>
          <t>A 3289-2023</t>
        </is>
      </c>
      <c r="B9418" t="inlineStr">
        <is>
          <t>avverkningsanmälan</t>
        </is>
      </c>
      <c r="C9418" t="inlineStr">
        <is>
          <t>Föryngringsavverkning</t>
        </is>
      </c>
      <c r="D9418" s="1" t="n">
        <v>44949</v>
      </c>
      <c r="E9418" s="1" t="n">
        <v>46326</v>
      </c>
      <c r="F9418" t="inlineStr">
        <is>
          <t>GÄVLEBORGS LÄN</t>
        </is>
      </c>
      <c r="G9418" t="inlineStr">
        <is>
          <t>LJUSDAL</t>
        </is>
      </c>
      <c r="H9418" t="inlineStr">
        <is>
          <t>Holmen skog AB</t>
        </is>
      </c>
      <c r="I9418" t="n">
        <v>1.2</v>
      </c>
      <c r="J9418" t="n">
        <v>0</v>
      </c>
      <c r="K9418" t="n">
        <v>0</v>
      </c>
      <c r="L9418" t="n">
        <v>0</v>
      </c>
      <c r="M9418" t="n">
        <v>0</v>
      </c>
      <c r="N9418" t="n">
        <v>0</v>
      </c>
      <c r="O9418" t="n">
        <v>0</v>
      </c>
      <c r="P9418" t="n">
        <v>0</v>
      </c>
      <c r="Q9418" t="n">
        <v>0</v>
      </c>
      <c r="R9418" t="n">
        <v>0</v>
      </c>
      <c r="S9418" t="n">
        <v>0</v>
      </c>
      <c r="T9418" t="n">
        <v>0</v>
      </c>
      <c r="U9418" t="n">
        <v>0</v>
      </c>
      <c r="V9418" s="2" t="inlineStr"/>
    </row>
    <row r="9419" ht="15" customHeight="1">
      <c r="A9419" t="inlineStr">
        <is>
          <t>A 31363-2026</t>
        </is>
      </c>
      <c r="B9419" t="inlineStr">
        <is>
          <t>avverkningsanmälan</t>
        </is>
      </c>
      <c r="C9419" t="inlineStr">
        <is>
          <t>Föryngringsavverkning</t>
        </is>
      </c>
      <c r="D9419" s="1" t="n">
        <v>46219</v>
      </c>
      <c r="E9419" s="1" t="n">
        <v>46326</v>
      </c>
      <c r="F9419" t="inlineStr">
        <is>
          <t>GÄVLEBORGS LÄN</t>
        </is>
      </c>
      <c r="G9419" t="inlineStr">
        <is>
          <t>SÖDERHAMN</t>
        </is>
      </c>
      <c r="I9419" t="n">
        <v>1.4</v>
      </c>
      <c r="J9419" t="n">
        <v>0</v>
      </c>
      <c r="K9419" t="n">
        <v>0</v>
      </c>
      <c r="L9419" t="n">
        <v>0</v>
      </c>
      <c r="M9419" t="n">
        <v>0</v>
      </c>
      <c r="N9419" t="n">
        <v>0</v>
      </c>
      <c r="O9419" t="n">
        <v>0</v>
      </c>
      <c r="P9419" t="n">
        <v>0</v>
      </c>
      <c r="Q9419" t="n">
        <v>0</v>
      </c>
      <c r="R9419" t="n">
        <v>0</v>
      </c>
      <c r="S9419" t="n">
        <v>0</v>
      </c>
      <c r="T9419" t="n">
        <v>0</v>
      </c>
      <c r="U9419" t="n">
        <v>0</v>
      </c>
      <c r="V9419" s="2" t="inlineStr"/>
    </row>
    <row r="9420" ht="15" customHeight="1">
      <c r="A9420" t="inlineStr">
        <is>
          <t>A 31364-2026</t>
        </is>
      </c>
      <c r="B9420" t="inlineStr">
        <is>
          <t>avverkningsanmälan</t>
        </is>
      </c>
      <c r="C9420" t="inlineStr">
        <is>
          <t>Föryngringsavverkning</t>
        </is>
      </c>
      <c r="D9420" s="1" t="n">
        <v>46219</v>
      </c>
      <c r="E9420" s="1" t="n">
        <v>46326</v>
      </c>
      <c r="F9420" t="inlineStr">
        <is>
          <t>GÄVLEBORGS LÄN</t>
        </is>
      </c>
      <c r="G9420" t="inlineStr">
        <is>
          <t>SÖDERHAMN</t>
        </is>
      </c>
      <c r="I9420" t="n">
        <v>3.1</v>
      </c>
      <c r="J9420" t="n">
        <v>0</v>
      </c>
      <c r="K9420" t="n">
        <v>0</v>
      </c>
      <c r="L9420" t="n">
        <v>0</v>
      </c>
      <c r="M9420" t="n">
        <v>0</v>
      </c>
      <c r="N9420" t="n">
        <v>0</v>
      </c>
      <c r="O9420" t="n">
        <v>0</v>
      </c>
      <c r="P9420" t="n">
        <v>0</v>
      </c>
      <c r="Q9420" t="n">
        <v>0</v>
      </c>
      <c r="R9420" t="n">
        <v>0</v>
      </c>
      <c r="S9420" t="n">
        <v>0</v>
      </c>
      <c r="T9420" t="n">
        <v>0</v>
      </c>
      <c r="U9420" t="n">
        <v>0</v>
      </c>
      <c r="V9420" s="2" t="inlineStr"/>
    </row>
    <row r="9421" ht="15" customHeight="1">
      <c r="A9421" t="inlineStr">
        <is>
          <t>A 7652-2026</t>
        </is>
      </c>
      <c r="B9421" t="inlineStr">
        <is>
          <t>avverkningsanmälan</t>
        </is>
      </c>
      <c r="C9421" t="inlineStr">
        <is>
          <t>Föryngringsavverkning</t>
        </is>
      </c>
      <c r="D9421" s="1" t="n">
        <v>46062</v>
      </c>
      <c r="E9421" s="1" t="n">
        <v>46326</v>
      </c>
      <c r="F9421" t="inlineStr">
        <is>
          <t>GÄVLEBORGS LÄN</t>
        </is>
      </c>
      <c r="G9421" t="inlineStr">
        <is>
          <t>HUDIKSVALL</t>
        </is>
      </c>
      <c r="I9421" t="n">
        <v>3.3</v>
      </c>
      <c r="J9421" t="n">
        <v>0</v>
      </c>
      <c r="K9421" t="n">
        <v>0</v>
      </c>
      <c r="L9421" t="n">
        <v>0</v>
      </c>
      <c r="M9421" t="n">
        <v>0</v>
      </c>
      <c r="N9421" t="n">
        <v>0</v>
      </c>
      <c r="O9421" t="n">
        <v>0</v>
      </c>
      <c r="P9421" t="n">
        <v>0</v>
      </c>
      <c r="Q9421" t="n">
        <v>0</v>
      </c>
      <c r="R9421" t="n">
        <v>0</v>
      </c>
      <c r="S9421" t="n">
        <v>0</v>
      </c>
      <c r="T9421" t="n">
        <v>0</v>
      </c>
      <c r="U9421" t="n">
        <v>0</v>
      </c>
      <c r="V9421" s="2" t="inlineStr"/>
    </row>
    <row r="9422" ht="15" customHeight="1">
      <c r="A9422" t="inlineStr">
        <is>
          <t>A 31597-2026</t>
        </is>
      </c>
      <c r="B9422" t="inlineStr">
        <is>
          <t>avverkningsanmälan</t>
        </is>
      </c>
      <c r="C9422" t="inlineStr">
        <is>
          <t>Föryngringsavverkning</t>
        </is>
      </c>
      <c r="D9422" s="1" t="n">
        <v>46224</v>
      </c>
      <c r="E9422" s="1" t="n">
        <v>46326</v>
      </c>
      <c r="F9422" t="inlineStr">
        <is>
          <t>GÄVLEBORGS LÄN</t>
        </is>
      </c>
      <c r="G9422" t="inlineStr">
        <is>
          <t>LJUSDAL</t>
        </is>
      </c>
      <c r="H9422" t="inlineStr">
        <is>
          <t>Allmännings- och besparingsskogar</t>
        </is>
      </c>
      <c r="I9422" t="n">
        <v>5.2</v>
      </c>
      <c r="J9422" t="n">
        <v>0</v>
      </c>
      <c r="K9422" t="n">
        <v>0</v>
      </c>
      <c r="L9422" t="n">
        <v>0</v>
      </c>
      <c r="M9422" t="n">
        <v>0</v>
      </c>
      <c r="N9422" t="n">
        <v>0</v>
      </c>
      <c r="O9422" t="n">
        <v>0</v>
      </c>
      <c r="P9422" t="n">
        <v>0</v>
      </c>
      <c r="Q9422" t="n">
        <v>0</v>
      </c>
      <c r="R9422" t="n">
        <v>0</v>
      </c>
      <c r="S9422" t="n">
        <v>0</v>
      </c>
      <c r="T9422" t="n">
        <v>0</v>
      </c>
      <c r="U9422" t="n">
        <v>0</v>
      </c>
      <c r="V9422" s="2" t="inlineStr"/>
    </row>
    <row r="9423" ht="15" customHeight="1">
      <c r="A9423" t="inlineStr">
        <is>
          <t>A 8955-2026</t>
        </is>
      </c>
      <c r="B9423" t="inlineStr">
        <is>
          <t>avverkningsanmälan</t>
        </is>
      </c>
      <c r="C9423" t="inlineStr">
        <is>
          <t>Föryngringsavverkning</t>
        </is>
      </c>
      <c r="D9423" s="1" t="n">
        <v>46069</v>
      </c>
      <c r="E9423" s="1" t="n">
        <v>46326</v>
      </c>
      <c r="F9423" t="inlineStr">
        <is>
          <t>GÄVLEBORGS LÄN</t>
        </is>
      </c>
      <c r="G9423" t="inlineStr">
        <is>
          <t>BOLLNÄS</t>
        </is>
      </c>
      <c r="H9423" t="inlineStr">
        <is>
          <t>Bergvik skog väst AB</t>
        </is>
      </c>
      <c r="I9423" t="n">
        <v>3.1</v>
      </c>
      <c r="J9423" t="n">
        <v>0</v>
      </c>
      <c r="K9423" t="n">
        <v>0</v>
      </c>
      <c r="L9423" t="n">
        <v>0</v>
      </c>
      <c r="M9423" t="n">
        <v>0</v>
      </c>
      <c r="N9423" t="n">
        <v>0</v>
      </c>
      <c r="O9423" t="n">
        <v>0</v>
      </c>
      <c r="P9423" t="n">
        <v>0</v>
      </c>
      <c r="Q9423" t="n">
        <v>0</v>
      </c>
      <c r="R9423" t="n">
        <v>0</v>
      </c>
      <c r="S9423" t="n">
        <v>0</v>
      </c>
      <c r="T9423" t="n">
        <v>0</v>
      </c>
      <c r="U9423" t="n">
        <v>0</v>
      </c>
      <c r="V9423" s="2" t="inlineStr"/>
    </row>
    <row r="9424" ht="15" customHeight="1">
      <c r="A9424" t="inlineStr">
        <is>
          <t>A 8957-2026</t>
        </is>
      </c>
      <c r="B9424" t="inlineStr">
        <is>
          <t>avverkningsanmälan</t>
        </is>
      </c>
      <c r="C9424" t="inlineStr">
        <is>
          <t>Föryngringsavverkning</t>
        </is>
      </c>
      <c r="D9424" s="1" t="n">
        <v>46069</v>
      </c>
      <c r="E9424" s="1" t="n">
        <v>46326</v>
      </c>
      <c r="F9424" t="inlineStr">
        <is>
          <t>GÄVLEBORGS LÄN</t>
        </is>
      </c>
      <c r="G9424" t="inlineStr">
        <is>
          <t>BOLLNÄS</t>
        </is>
      </c>
      <c r="H9424" t="inlineStr">
        <is>
          <t>Bergvik skog väst AB</t>
        </is>
      </c>
      <c r="I9424" t="n">
        <v>1.6</v>
      </c>
      <c r="J9424" t="n">
        <v>0</v>
      </c>
      <c r="K9424" t="n">
        <v>0</v>
      </c>
      <c r="L9424" t="n">
        <v>0</v>
      </c>
      <c r="M9424" t="n">
        <v>0</v>
      </c>
      <c r="N9424" t="n">
        <v>0</v>
      </c>
      <c r="O9424" t="n">
        <v>0</v>
      </c>
      <c r="P9424" t="n">
        <v>0</v>
      </c>
      <c r="Q9424" t="n">
        <v>0</v>
      </c>
      <c r="R9424" t="n">
        <v>0</v>
      </c>
      <c r="S9424" t="n">
        <v>0</v>
      </c>
      <c r="T9424" t="n">
        <v>0</v>
      </c>
      <c r="U9424" t="n">
        <v>0</v>
      </c>
      <c r="V9424" s="2" t="inlineStr"/>
    </row>
    <row r="9425" ht="15" customHeight="1">
      <c r="A9425" t="inlineStr">
        <is>
          <t>A 6755-2024</t>
        </is>
      </c>
      <c r="B9425" t="inlineStr">
        <is>
          <t>avverkningsanmälan</t>
        </is>
      </c>
      <c r="C9425" t="inlineStr">
        <is>
          <t>Föryngringsavverkning</t>
        </is>
      </c>
      <c r="D9425" s="1" t="n">
        <v>45342</v>
      </c>
      <c r="E9425" s="1" t="n">
        <v>46326</v>
      </c>
      <c r="F9425" t="inlineStr">
        <is>
          <t>GÄVLEBORGS LÄN</t>
        </is>
      </c>
      <c r="G9425" t="inlineStr">
        <is>
          <t>BOLLNÄS</t>
        </is>
      </c>
      <c r="I9425" t="n">
        <v>2.4</v>
      </c>
      <c r="J9425" t="n">
        <v>0</v>
      </c>
      <c r="K9425" t="n">
        <v>0</v>
      </c>
      <c r="L9425" t="n">
        <v>0</v>
      </c>
      <c r="M9425" t="n">
        <v>0</v>
      </c>
      <c r="N9425" t="n">
        <v>0</v>
      </c>
      <c r="O9425" t="n">
        <v>0</v>
      </c>
      <c r="P9425" t="n">
        <v>0</v>
      </c>
      <c r="Q9425" t="n">
        <v>0</v>
      </c>
      <c r="R9425" t="n">
        <v>0</v>
      </c>
      <c r="S9425" t="n">
        <v>0</v>
      </c>
      <c r="T9425" t="n">
        <v>0</v>
      </c>
      <c r="U9425" t="n">
        <v>0</v>
      </c>
      <c r="V9425" s="2" t="inlineStr"/>
    </row>
    <row r="9426" ht="15" customHeight="1">
      <c r="A9426" t="inlineStr">
        <is>
          <t>A 10190-2023</t>
        </is>
      </c>
      <c r="B9426" t="inlineStr">
        <is>
          <t>avverkningsanmälan</t>
        </is>
      </c>
      <c r="C9426" t="inlineStr">
        <is>
          <t>Föryngringsavverkning</t>
        </is>
      </c>
      <c r="D9426" s="1" t="n">
        <v>44986</v>
      </c>
      <c r="E9426" s="1" t="n">
        <v>46326</v>
      </c>
      <c r="F9426" t="inlineStr">
        <is>
          <t>GÄVLEBORGS LÄN</t>
        </is>
      </c>
      <c r="G9426" t="inlineStr">
        <is>
          <t>HUDIKSVALL</t>
        </is>
      </c>
      <c r="I9426" t="n">
        <v>2.2</v>
      </c>
      <c r="J9426" t="n">
        <v>0</v>
      </c>
      <c r="K9426" t="n">
        <v>0</v>
      </c>
      <c r="L9426" t="n">
        <v>0</v>
      </c>
      <c r="M9426" t="n">
        <v>0</v>
      </c>
      <c r="N9426" t="n">
        <v>0</v>
      </c>
      <c r="O9426" t="n">
        <v>0</v>
      </c>
      <c r="P9426" t="n">
        <v>0</v>
      </c>
      <c r="Q9426" t="n">
        <v>0</v>
      </c>
      <c r="R9426" t="n">
        <v>0</v>
      </c>
      <c r="S9426" t="n">
        <v>0</v>
      </c>
      <c r="T9426" t="n">
        <v>0</v>
      </c>
      <c r="U9426" t="n">
        <v>0</v>
      </c>
      <c r="V9426" s="2" t="inlineStr"/>
    </row>
    <row r="9427" ht="15" customHeight="1">
      <c r="A9427" t="inlineStr">
        <is>
          <t>A 31497-2026</t>
        </is>
      </c>
      <c r="B9427" t="inlineStr">
        <is>
          <t>avverkningsanmälan</t>
        </is>
      </c>
      <c r="C9427" t="inlineStr">
        <is>
          <t>Föryngringsavverkning</t>
        </is>
      </c>
      <c r="D9427" s="1" t="n">
        <v>46223</v>
      </c>
      <c r="E9427" s="1" t="n">
        <v>46326</v>
      </c>
      <c r="F9427" t="inlineStr">
        <is>
          <t>GÄVLEBORGS LÄN</t>
        </is>
      </c>
      <c r="G9427" t="inlineStr">
        <is>
          <t>BOLLNÄS</t>
        </is>
      </c>
      <c r="I9427" t="n">
        <v>0.7</v>
      </c>
      <c r="J9427" t="n">
        <v>0</v>
      </c>
      <c r="K9427" t="n">
        <v>0</v>
      </c>
      <c r="L9427" t="n">
        <v>0</v>
      </c>
      <c r="M9427" t="n">
        <v>0</v>
      </c>
      <c r="N9427" t="n">
        <v>0</v>
      </c>
      <c r="O9427" t="n">
        <v>0</v>
      </c>
      <c r="P9427" t="n">
        <v>0</v>
      </c>
      <c r="Q9427" t="n">
        <v>0</v>
      </c>
      <c r="R9427" t="n">
        <v>0</v>
      </c>
      <c r="S9427" t="n">
        <v>0</v>
      </c>
      <c r="T9427" t="n">
        <v>0</v>
      </c>
      <c r="U9427" t="n">
        <v>0</v>
      </c>
      <c r="V9427" s="2" t="inlineStr"/>
    </row>
    <row r="9428" ht="15" customHeight="1">
      <c r="A9428" t="inlineStr">
        <is>
          <t>A 51380-2024</t>
        </is>
      </c>
      <c r="B9428" t="inlineStr">
        <is>
          <t>avverkningsanmälan</t>
        </is>
      </c>
      <c r="C9428" t="inlineStr">
        <is>
          <t>Föryngringsavverkning</t>
        </is>
      </c>
      <c r="D9428" s="1" t="n">
        <v>45604</v>
      </c>
      <c r="E9428" s="1" t="n">
        <v>46326</v>
      </c>
      <c r="F9428" t="inlineStr">
        <is>
          <t>GÄVLEBORGS LÄN</t>
        </is>
      </c>
      <c r="G9428" t="inlineStr">
        <is>
          <t>NORDANSTIG</t>
        </is>
      </c>
      <c r="H9428" t="inlineStr">
        <is>
          <t>Holmen skog AB</t>
        </is>
      </c>
      <c r="I9428" t="n">
        <v>2.4</v>
      </c>
      <c r="J9428" t="n">
        <v>0</v>
      </c>
      <c r="K9428" t="n">
        <v>0</v>
      </c>
      <c r="L9428" t="n">
        <v>0</v>
      </c>
      <c r="M9428" t="n">
        <v>0</v>
      </c>
      <c r="N9428" t="n">
        <v>0</v>
      </c>
      <c r="O9428" t="n">
        <v>0</v>
      </c>
      <c r="P9428" t="n">
        <v>0</v>
      </c>
      <c r="Q9428" t="n">
        <v>0</v>
      </c>
      <c r="R9428" t="n">
        <v>0</v>
      </c>
      <c r="S9428" t="n">
        <v>0</v>
      </c>
      <c r="T9428" t="n">
        <v>0</v>
      </c>
      <c r="U9428" t="n">
        <v>0</v>
      </c>
      <c r="V9428" s="2" t="inlineStr"/>
    </row>
    <row r="9429" ht="15" customHeight="1">
      <c r="A9429" t="inlineStr">
        <is>
          <t>A 31563-2026</t>
        </is>
      </c>
      <c r="B9429" t="inlineStr">
        <is>
          <t>avverkningsanmälan</t>
        </is>
      </c>
      <c r="C9429" t="inlineStr">
        <is>
          <t>Föryngringsavverkning</t>
        </is>
      </c>
      <c r="D9429" s="1" t="n">
        <v>46224</v>
      </c>
      <c r="E9429" s="1" t="n">
        <v>46326</v>
      </c>
      <c r="F9429" t="inlineStr">
        <is>
          <t>GÄVLEBORGS LÄN</t>
        </is>
      </c>
      <c r="G9429" t="inlineStr">
        <is>
          <t>BOLLNÄS</t>
        </is>
      </c>
      <c r="I9429" t="n">
        <v>1.6</v>
      </c>
      <c r="J9429" t="n">
        <v>0</v>
      </c>
      <c r="K9429" t="n">
        <v>0</v>
      </c>
      <c r="L9429" t="n">
        <v>0</v>
      </c>
      <c r="M9429" t="n">
        <v>0</v>
      </c>
      <c r="N9429" t="n">
        <v>0</v>
      </c>
      <c r="O9429" t="n">
        <v>0</v>
      </c>
      <c r="P9429" t="n">
        <v>0</v>
      </c>
      <c r="Q9429" t="n">
        <v>0</v>
      </c>
      <c r="R9429" t="n">
        <v>0</v>
      </c>
      <c r="S9429" t="n">
        <v>0</v>
      </c>
      <c r="T9429" t="n">
        <v>0</v>
      </c>
      <c r="U9429" t="n">
        <v>0</v>
      </c>
      <c r="V9429" s="2" t="inlineStr"/>
    </row>
    <row r="9430" ht="15" customHeight="1">
      <c r="A9430" t="inlineStr">
        <is>
          <t>A 31531-2026</t>
        </is>
      </c>
      <c r="B9430" t="inlineStr">
        <is>
          <t>avverkningsanmälan</t>
        </is>
      </c>
      <c r="C9430" t="inlineStr">
        <is>
          <t>Föryngringsavverkning</t>
        </is>
      </c>
      <c r="D9430" s="1" t="n">
        <v>46223</v>
      </c>
      <c r="E9430" s="1" t="n">
        <v>46326</v>
      </c>
      <c r="F9430" t="inlineStr">
        <is>
          <t>GÄVLEBORGS LÄN</t>
        </is>
      </c>
      <c r="G9430" t="inlineStr">
        <is>
          <t>SÖDERHAMN</t>
        </is>
      </c>
      <c r="I9430" t="n">
        <v>2.5</v>
      </c>
      <c r="J9430" t="n">
        <v>0</v>
      </c>
      <c r="K9430" t="n">
        <v>0</v>
      </c>
      <c r="L9430" t="n">
        <v>0</v>
      </c>
      <c r="M9430" t="n">
        <v>0</v>
      </c>
      <c r="N9430" t="n">
        <v>0</v>
      </c>
      <c r="O9430" t="n">
        <v>0</v>
      </c>
      <c r="P9430" t="n">
        <v>0</v>
      </c>
      <c r="Q9430" t="n">
        <v>0</v>
      </c>
      <c r="R9430" t="n">
        <v>0</v>
      </c>
      <c r="S9430" t="n">
        <v>0</v>
      </c>
      <c r="T9430" t="n">
        <v>0</v>
      </c>
      <c r="U9430" t="n">
        <v>0</v>
      </c>
      <c r="V9430" s="2" t="inlineStr"/>
    </row>
    <row r="9431" ht="15" customHeight="1">
      <c r="A9431" t="inlineStr">
        <is>
          <t>A 60118-2022</t>
        </is>
      </c>
      <c r="B9431" t="inlineStr">
        <is>
          <t>avverkningsanmälan</t>
        </is>
      </c>
      <c r="C9431" t="inlineStr">
        <is>
          <t>Föryngringsavverkning</t>
        </is>
      </c>
      <c r="D9431" s="1" t="n">
        <v>44909</v>
      </c>
      <c r="E9431" s="1" t="n">
        <v>46326</v>
      </c>
      <c r="F9431" t="inlineStr">
        <is>
          <t>GÄVLEBORGS LÄN</t>
        </is>
      </c>
      <c r="G9431" t="inlineStr">
        <is>
          <t>LJUSDAL</t>
        </is>
      </c>
      <c r="H9431" t="inlineStr">
        <is>
          <t>Bergvik skog väst AB</t>
        </is>
      </c>
      <c r="I9431" t="n">
        <v>4.2</v>
      </c>
      <c r="J9431" t="n">
        <v>0</v>
      </c>
      <c r="K9431" t="n">
        <v>0</v>
      </c>
      <c r="L9431" t="n">
        <v>0</v>
      </c>
      <c r="M9431" t="n">
        <v>0</v>
      </c>
      <c r="N9431" t="n">
        <v>0</v>
      </c>
      <c r="O9431" t="n">
        <v>0</v>
      </c>
      <c r="P9431" t="n">
        <v>0</v>
      </c>
      <c r="Q9431" t="n">
        <v>0</v>
      </c>
      <c r="R9431" t="n">
        <v>0</v>
      </c>
      <c r="S9431" t="n">
        <v>0</v>
      </c>
      <c r="T9431" t="n">
        <v>0</v>
      </c>
      <c r="U9431" t="n">
        <v>0</v>
      </c>
      <c r="V9431" s="2" t="inlineStr"/>
    </row>
    <row r="9432" ht="15" customHeight="1">
      <c r="A9432" t="inlineStr">
        <is>
          <t>A 63798-2021</t>
        </is>
      </c>
      <c r="B9432" t="inlineStr">
        <is>
          <t>avverkningsanmälan</t>
        </is>
      </c>
      <c r="C9432" t="inlineStr">
        <is>
          <t>Föryngringsavverkning</t>
        </is>
      </c>
      <c r="D9432" s="1" t="n">
        <v>44509</v>
      </c>
      <c r="E9432" s="1" t="n">
        <v>46326</v>
      </c>
      <c r="F9432" t="inlineStr">
        <is>
          <t>GÄVLEBORGS LÄN</t>
        </is>
      </c>
      <c r="G9432" t="inlineStr">
        <is>
          <t>HUDIKSVALL</t>
        </is>
      </c>
      <c r="I9432" t="n">
        <v>2.4</v>
      </c>
      <c r="J9432" t="n">
        <v>0</v>
      </c>
      <c r="K9432" t="n">
        <v>0</v>
      </c>
      <c r="L9432" t="n">
        <v>0</v>
      </c>
      <c r="M9432" t="n">
        <v>0</v>
      </c>
      <c r="N9432" t="n">
        <v>0</v>
      </c>
      <c r="O9432" t="n">
        <v>0</v>
      </c>
      <c r="P9432" t="n">
        <v>0</v>
      </c>
      <c r="Q9432" t="n">
        <v>0</v>
      </c>
      <c r="R9432" t="n">
        <v>0</v>
      </c>
      <c r="S9432" t="n">
        <v>0</v>
      </c>
      <c r="T9432" t="n">
        <v>0</v>
      </c>
      <c r="U9432" t="n">
        <v>0</v>
      </c>
      <c r="V9432" s="2" t="inlineStr"/>
    </row>
    <row r="9433" ht="15" customHeight="1">
      <c r="A9433" t="inlineStr">
        <is>
          <t>A 31500-2026</t>
        </is>
      </c>
      <c r="B9433" t="inlineStr">
        <is>
          <t>avverkningsanmälan</t>
        </is>
      </c>
      <c r="C9433" t="inlineStr">
        <is>
          <t>Föryngringsavverkning</t>
        </is>
      </c>
      <c r="D9433" s="1" t="n">
        <v>46223</v>
      </c>
      <c r="E9433" s="1" t="n">
        <v>46326</v>
      </c>
      <c r="F9433" t="inlineStr">
        <is>
          <t>GÄVLEBORGS LÄN</t>
        </is>
      </c>
      <c r="G9433" t="inlineStr">
        <is>
          <t>NORDANSTIG</t>
        </is>
      </c>
      <c r="H9433" t="inlineStr">
        <is>
          <t>Holmen skog AB</t>
        </is>
      </c>
      <c r="I9433" t="n">
        <v>6.2</v>
      </c>
      <c r="J9433" t="n">
        <v>0</v>
      </c>
      <c r="K9433" t="n">
        <v>0</v>
      </c>
      <c r="L9433" t="n">
        <v>0</v>
      </c>
      <c r="M9433" t="n">
        <v>0</v>
      </c>
      <c r="N9433" t="n">
        <v>0</v>
      </c>
      <c r="O9433" t="n">
        <v>0</v>
      </c>
      <c r="P9433" t="n">
        <v>0</v>
      </c>
      <c r="Q9433" t="n">
        <v>0</v>
      </c>
      <c r="R9433" t="n">
        <v>0</v>
      </c>
      <c r="S9433" t="n">
        <v>0</v>
      </c>
      <c r="T9433" t="n">
        <v>0</v>
      </c>
      <c r="U9433" t="n">
        <v>0</v>
      </c>
      <c r="V9433" s="2" t="inlineStr"/>
    </row>
    <row r="9434" ht="15" customHeight="1">
      <c r="A9434" t="inlineStr">
        <is>
          <t>A 31598-2026</t>
        </is>
      </c>
      <c r="B9434" t="inlineStr">
        <is>
          <t>avverkningsanmälan</t>
        </is>
      </c>
      <c r="C9434" t="inlineStr">
        <is>
          <t>Föryngringsavverkning</t>
        </is>
      </c>
      <c r="D9434" s="1" t="n">
        <v>46224</v>
      </c>
      <c r="E9434" s="1" t="n">
        <v>46326</v>
      </c>
      <c r="F9434" t="inlineStr">
        <is>
          <t>GÄVLEBORGS LÄN</t>
        </is>
      </c>
      <c r="G9434" t="inlineStr">
        <is>
          <t>LJUSDAL</t>
        </is>
      </c>
      <c r="H9434" t="inlineStr">
        <is>
          <t>Allmännings- och besparingsskogar</t>
        </is>
      </c>
      <c r="I9434" t="n">
        <v>3</v>
      </c>
      <c r="J9434" t="n">
        <v>0</v>
      </c>
      <c r="K9434" t="n">
        <v>0</v>
      </c>
      <c r="L9434" t="n">
        <v>0</v>
      </c>
      <c r="M9434" t="n">
        <v>0</v>
      </c>
      <c r="N9434" t="n">
        <v>0</v>
      </c>
      <c r="O9434" t="n">
        <v>0</v>
      </c>
      <c r="P9434" t="n">
        <v>0</v>
      </c>
      <c r="Q9434" t="n">
        <v>0</v>
      </c>
      <c r="R9434" t="n">
        <v>0</v>
      </c>
      <c r="S9434" t="n">
        <v>0</v>
      </c>
      <c r="T9434" t="n">
        <v>0</v>
      </c>
      <c r="U9434" t="n">
        <v>0</v>
      </c>
      <c r="V9434" s="2" t="inlineStr"/>
    </row>
    <row r="9435" ht="15" customHeight="1">
      <c r="A9435" t="inlineStr">
        <is>
          <t>A 7060-2022</t>
        </is>
      </c>
      <c r="B9435" t="inlineStr">
        <is>
          <t>avverkningsanmälan</t>
        </is>
      </c>
      <c r="C9435" t="inlineStr">
        <is>
          <t>Föryngringsavverkning</t>
        </is>
      </c>
      <c r="D9435" s="1" t="n">
        <v>44603</v>
      </c>
      <c r="E9435" s="1" t="n">
        <v>46326</v>
      </c>
      <c r="F9435" t="inlineStr">
        <is>
          <t>GÄVLEBORGS LÄN</t>
        </is>
      </c>
      <c r="G9435" t="inlineStr">
        <is>
          <t>GÄVLE</t>
        </is>
      </c>
      <c r="I9435" t="n">
        <v>10</v>
      </c>
      <c r="J9435" t="n">
        <v>0</v>
      </c>
      <c r="K9435" t="n">
        <v>0</v>
      </c>
      <c r="L9435" t="n">
        <v>0</v>
      </c>
      <c r="M9435" t="n">
        <v>0</v>
      </c>
      <c r="N9435" t="n">
        <v>0</v>
      </c>
      <c r="O9435" t="n">
        <v>0</v>
      </c>
      <c r="P9435" t="n">
        <v>0</v>
      </c>
      <c r="Q9435" t="n">
        <v>0</v>
      </c>
      <c r="R9435" t="n">
        <v>0</v>
      </c>
      <c r="S9435" t="n">
        <v>0</v>
      </c>
      <c r="T9435" t="n">
        <v>0</v>
      </c>
      <c r="U9435" t="n">
        <v>0</v>
      </c>
      <c r="V9435" s="2" t="inlineStr"/>
    </row>
    <row r="9436" ht="15" customHeight="1">
      <c r="A9436" t="inlineStr">
        <is>
          <t>A 31498-2026</t>
        </is>
      </c>
      <c r="B9436" t="inlineStr">
        <is>
          <t>avverkningsanmälan</t>
        </is>
      </c>
      <c r="C9436" t="inlineStr">
        <is>
          <t>Föryngringsavverkning</t>
        </is>
      </c>
      <c r="D9436" s="1" t="n">
        <v>46223</v>
      </c>
      <c r="E9436" s="1" t="n">
        <v>46326</v>
      </c>
      <c r="F9436" t="inlineStr">
        <is>
          <t>GÄVLEBORGS LÄN</t>
        </is>
      </c>
      <c r="G9436" t="inlineStr">
        <is>
          <t>BOLLNÄS</t>
        </is>
      </c>
      <c r="I9436" t="n">
        <v>6.3</v>
      </c>
      <c r="J9436" t="n">
        <v>0</v>
      </c>
      <c r="K9436" t="n">
        <v>0</v>
      </c>
      <c r="L9436" t="n">
        <v>0</v>
      </c>
      <c r="M9436" t="n">
        <v>0</v>
      </c>
      <c r="N9436" t="n">
        <v>0</v>
      </c>
      <c r="O9436" t="n">
        <v>0</v>
      </c>
      <c r="P9436" t="n">
        <v>0</v>
      </c>
      <c r="Q9436" t="n">
        <v>0</v>
      </c>
      <c r="R9436" t="n">
        <v>0</v>
      </c>
      <c r="S9436" t="n">
        <v>0</v>
      </c>
      <c r="T9436" t="n">
        <v>0</v>
      </c>
      <c r="U9436" t="n">
        <v>0</v>
      </c>
      <c r="V9436" s="2" t="inlineStr"/>
    </row>
    <row r="9437" ht="15" customHeight="1">
      <c r="A9437" t="inlineStr">
        <is>
          <t>A 31499-2026</t>
        </is>
      </c>
      <c r="B9437" t="inlineStr">
        <is>
          <t>avverkningsanmälan</t>
        </is>
      </c>
      <c r="C9437" t="inlineStr">
        <is>
          <t>Föryngringsavverkning</t>
        </is>
      </c>
      <c r="D9437" s="1" t="n">
        <v>46223</v>
      </c>
      <c r="E9437" s="1" t="n">
        <v>46326</v>
      </c>
      <c r="F9437" t="inlineStr">
        <is>
          <t>GÄVLEBORGS LÄN</t>
        </is>
      </c>
      <c r="G9437" t="inlineStr">
        <is>
          <t>BOLLNÄS</t>
        </is>
      </c>
      <c r="I9437" t="n">
        <v>2.4</v>
      </c>
      <c r="J9437" t="n">
        <v>0</v>
      </c>
      <c r="K9437" t="n">
        <v>0</v>
      </c>
      <c r="L9437" t="n">
        <v>0</v>
      </c>
      <c r="M9437" t="n">
        <v>0</v>
      </c>
      <c r="N9437" t="n">
        <v>0</v>
      </c>
      <c r="O9437" t="n">
        <v>0</v>
      </c>
      <c r="P9437" t="n">
        <v>0</v>
      </c>
      <c r="Q9437" t="n">
        <v>0</v>
      </c>
      <c r="R9437" t="n">
        <v>0</v>
      </c>
      <c r="S9437" t="n">
        <v>0</v>
      </c>
      <c r="T9437" t="n">
        <v>0</v>
      </c>
      <c r="U9437" t="n">
        <v>0</v>
      </c>
      <c r="V9437" s="2" t="inlineStr"/>
    </row>
    <row r="9438" ht="15" customHeight="1">
      <c r="A9438" t="inlineStr">
        <is>
          <t>A 9462-2025</t>
        </is>
      </c>
      <c r="B9438" t="inlineStr">
        <is>
          <t>avverkningsanmälan</t>
        </is>
      </c>
      <c r="C9438" t="inlineStr">
        <is>
          <t>Föryngringsavverkning</t>
        </is>
      </c>
      <c r="D9438" s="1" t="n">
        <v>45715</v>
      </c>
      <c r="E9438" s="1" t="n">
        <v>46326</v>
      </c>
      <c r="F9438" t="inlineStr">
        <is>
          <t>GÄVLEBORGS LÄN</t>
        </is>
      </c>
      <c r="G9438" t="inlineStr">
        <is>
          <t>HUDIKSVALL</t>
        </is>
      </c>
      <c r="H9438" t="inlineStr">
        <is>
          <t>Holmen skog AB</t>
        </is>
      </c>
      <c r="I9438" t="n">
        <v>24.3</v>
      </c>
      <c r="J9438" t="n">
        <v>0</v>
      </c>
      <c r="K9438" t="n">
        <v>0</v>
      </c>
      <c r="L9438" t="n">
        <v>0</v>
      </c>
      <c r="M9438" t="n">
        <v>0</v>
      </c>
      <c r="N9438" t="n">
        <v>0</v>
      </c>
      <c r="O9438" t="n">
        <v>0</v>
      </c>
      <c r="P9438" t="n">
        <v>0</v>
      </c>
      <c r="Q9438" t="n">
        <v>0</v>
      </c>
      <c r="R9438" t="n">
        <v>0</v>
      </c>
      <c r="S9438" t="n">
        <v>0</v>
      </c>
      <c r="T9438" t="n">
        <v>0</v>
      </c>
      <c r="U9438" t="n">
        <v>0</v>
      </c>
      <c r="V9438" s="2" t="inlineStr"/>
    </row>
    <row r="9439" ht="15" customHeight="1">
      <c r="A9439" t="inlineStr">
        <is>
          <t>A 51988-2024</t>
        </is>
      </c>
      <c r="B9439" t="inlineStr">
        <is>
          <t>avverkningsanmälan</t>
        </is>
      </c>
      <c r="C9439" t="inlineStr">
        <is>
          <t>Föryngringsavverkning</t>
        </is>
      </c>
      <c r="D9439" s="1" t="n">
        <v>45607</v>
      </c>
      <c r="E9439" s="1" t="n">
        <v>46326</v>
      </c>
      <c r="F9439" t="inlineStr">
        <is>
          <t>GÄVLEBORGS LÄN</t>
        </is>
      </c>
      <c r="G9439" t="inlineStr">
        <is>
          <t>NORDANSTIG</t>
        </is>
      </c>
      <c r="I9439" t="n">
        <v>4.8</v>
      </c>
      <c r="J9439" t="n">
        <v>0</v>
      </c>
      <c r="K9439" t="n">
        <v>0</v>
      </c>
      <c r="L9439" t="n">
        <v>0</v>
      </c>
      <c r="M9439" t="n">
        <v>0</v>
      </c>
      <c r="N9439" t="n">
        <v>0</v>
      </c>
      <c r="O9439" t="n">
        <v>0</v>
      </c>
      <c r="P9439" t="n">
        <v>0</v>
      </c>
      <c r="Q9439" t="n">
        <v>0</v>
      </c>
      <c r="R9439" t="n">
        <v>0</v>
      </c>
      <c r="S9439" t="n">
        <v>0</v>
      </c>
      <c r="T9439" t="n">
        <v>0</v>
      </c>
      <c r="U9439" t="n">
        <v>0</v>
      </c>
      <c r="V9439" s="2" t="inlineStr"/>
    </row>
    <row r="9440" ht="15" customHeight="1">
      <c r="A9440" t="inlineStr">
        <is>
          <t>A 17185-2025</t>
        </is>
      </c>
      <c r="B9440" t="inlineStr">
        <is>
          <t>avverkningsanmälan</t>
        </is>
      </c>
      <c r="C9440" t="inlineStr">
        <is>
          <t>Föryngringsavverkning</t>
        </is>
      </c>
      <c r="D9440" s="1" t="n">
        <v>45755</v>
      </c>
      <c r="E9440" s="1" t="n">
        <v>46326</v>
      </c>
      <c r="F9440" t="inlineStr">
        <is>
          <t>GÄVLEBORGS LÄN</t>
        </is>
      </c>
      <c r="G9440" t="inlineStr">
        <is>
          <t>HOFORS</t>
        </is>
      </c>
      <c r="H9440" t="inlineStr">
        <is>
          <t>Bergvik skog väst AB</t>
        </is>
      </c>
      <c r="I9440" t="n">
        <v>10.3</v>
      </c>
      <c r="J9440" t="n">
        <v>0</v>
      </c>
      <c r="K9440" t="n">
        <v>0</v>
      </c>
      <c r="L9440" t="n">
        <v>0</v>
      </c>
      <c r="M9440" t="n">
        <v>0</v>
      </c>
      <c r="N9440" t="n">
        <v>0</v>
      </c>
      <c r="O9440" t="n">
        <v>0</v>
      </c>
      <c r="P9440" t="n">
        <v>0</v>
      </c>
      <c r="Q9440" t="n">
        <v>0</v>
      </c>
      <c r="R9440" t="n">
        <v>0</v>
      </c>
      <c r="S9440" t="n">
        <v>0</v>
      </c>
      <c r="T9440" t="n">
        <v>0</v>
      </c>
      <c r="U9440" t="n">
        <v>0</v>
      </c>
      <c r="V9440" s="2" t="inlineStr"/>
    </row>
    <row r="9441" ht="15" customHeight="1">
      <c r="A9441" t="inlineStr">
        <is>
          <t>A 17206-2025</t>
        </is>
      </c>
      <c r="B9441" t="inlineStr">
        <is>
          <t>avverkningsanmälan</t>
        </is>
      </c>
      <c r="C9441" t="inlineStr">
        <is>
          <t>Föryngringsavverkning</t>
        </is>
      </c>
      <c r="D9441" s="1" t="n">
        <v>45756</v>
      </c>
      <c r="E9441" s="1" t="n">
        <v>46326</v>
      </c>
      <c r="F9441" t="inlineStr">
        <is>
          <t>GÄVLEBORGS LÄN</t>
        </is>
      </c>
      <c r="G9441" t="inlineStr">
        <is>
          <t>HUDIKSVALL</t>
        </is>
      </c>
      <c r="H9441" t="inlineStr">
        <is>
          <t>Holmen skog AB</t>
        </is>
      </c>
      <c r="I9441" t="n">
        <v>15.7</v>
      </c>
      <c r="J9441" t="n">
        <v>0</v>
      </c>
      <c r="K9441" t="n">
        <v>0</v>
      </c>
      <c r="L9441" t="n">
        <v>0</v>
      </c>
      <c r="M9441" t="n">
        <v>0</v>
      </c>
      <c r="N9441" t="n">
        <v>0</v>
      </c>
      <c r="O9441" t="n">
        <v>0</v>
      </c>
      <c r="P9441" t="n">
        <v>0</v>
      </c>
      <c r="Q9441" t="n">
        <v>0</v>
      </c>
      <c r="R9441" t="n">
        <v>0</v>
      </c>
      <c r="S9441" t="n">
        <v>0</v>
      </c>
      <c r="T9441" t="n">
        <v>0</v>
      </c>
      <c r="U9441" t="n">
        <v>0</v>
      </c>
      <c r="V9441" s="2" t="inlineStr"/>
    </row>
    <row r="9442" ht="15" customHeight="1">
      <c r="A9442" t="inlineStr">
        <is>
          <t>A 31789-2026</t>
        </is>
      </c>
      <c r="B9442" t="inlineStr">
        <is>
          <t>avverkningsanmälan</t>
        </is>
      </c>
      <c r="C9442" t="inlineStr">
        <is>
          <t>Föryngringsavverkning</t>
        </is>
      </c>
      <c r="D9442" s="1" t="n">
        <v>46227</v>
      </c>
      <c r="E9442" s="1" t="n">
        <v>46326</v>
      </c>
      <c r="F9442" t="inlineStr">
        <is>
          <t>GÄVLEBORGS LÄN</t>
        </is>
      </c>
      <c r="G9442" t="inlineStr">
        <is>
          <t>BOLLNÄS</t>
        </is>
      </c>
      <c r="I9442" t="n">
        <v>1.1</v>
      </c>
      <c r="J9442" t="n">
        <v>0</v>
      </c>
      <c r="K9442" t="n">
        <v>0</v>
      </c>
      <c r="L9442" t="n">
        <v>0</v>
      </c>
      <c r="M9442" t="n">
        <v>0</v>
      </c>
      <c r="N9442" t="n">
        <v>0</v>
      </c>
      <c r="O9442" t="n">
        <v>0</v>
      </c>
      <c r="P9442" t="n">
        <v>0</v>
      </c>
      <c r="Q9442" t="n">
        <v>0</v>
      </c>
      <c r="R9442" t="n">
        <v>0</v>
      </c>
      <c r="S9442" t="n">
        <v>0</v>
      </c>
      <c r="T9442" t="n">
        <v>0</v>
      </c>
      <c r="U9442" t="n">
        <v>0</v>
      </c>
      <c r="V9442" s="2" t="inlineStr"/>
    </row>
    <row r="9443" ht="15" customHeight="1">
      <c r="A9443" t="inlineStr">
        <is>
          <t>A 41708-2023</t>
        </is>
      </c>
      <c r="B9443" t="inlineStr">
        <is>
          <t>avverkningsanmälan</t>
        </is>
      </c>
      <c r="C9443" t="inlineStr">
        <is>
          <t>Föryngringsavverkning</t>
        </is>
      </c>
      <c r="D9443" s="1" t="n">
        <v>45176</v>
      </c>
      <c r="E9443" s="1" t="n">
        <v>46326</v>
      </c>
      <c r="F9443" t="inlineStr">
        <is>
          <t>GÄVLEBORGS LÄN</t>
        </is>
      </c>
      <c r="G9443" t="inlineStr">
        <is>
          <t>GÄVLE</t>
        </is>
      </c>
      <c r="I9443" t="n">
        <v>6.5</v>
      </c>
      <c r="J9443" t="n">
        <v>0</v>
      </c>
      <c r="K9443" t="n">
        <v>0</v>
      </c>
      <c r="L9443" t="n">
        <v>0</v>
      </c>
      <c r="M9443" t="n">
        <v>0</v>
      </c>
      <c r="N9443" t="n">
        <v>0</v>
      </c>
      <c r="O9443" t="n">
        <v>0</v>
      </c>
      <c r="P9443" t="n">
        <v>0</v>
      </c>
      <c r="Q9443" t="n">
        <v>0</v>
      </c>
      <c r="R9443" t="n">
        <v>0</v>
      </c>
      <c r="S9443" t="n">
        <v>0</v>
      </c>
      <c r="T9443" t="n">
        <v>0</v>
      </c>
      <c r="U9443" t="n">
        <v>0</v>
      </c>
      <c r="V9443" s="2" t="inlineStr"/>
    </row>
    <row r="9444" ht="15" customHeight="1">
      <c r="A9444" t="inlineStr">
        <is>
          <t>A 41712-2023</t>
        </is>
      </c>
      <c r="B9444" t="inlineStr">
        <is>
          <t>avverkningsanmälan</t>
        </is>
      </c>
      <c r="C9444" t="inlineStr">
        <is>
          <t>Föryngringsavverkning</t>
        </is>
      </c>
      <c r="D9444" s="1" t="n">
        <v>45176</v>
      </c>
      <c r="E9444" s="1" t="n">
        <v>46326</v>
      </c>
      <c r="F9444" t="inlineStr">
        <is>
          <t>GÄVLEBORGS LÄN</t>
        </is>
      </c>
      <c r="G9444" t="inlineStr">
        <is>
          <t>GÄVLE</t>
        </is>
      </c>
      <c r="I9444" t="n">
        <v>7.8</v>
      </c>
      <c r="J9444" t="n">
        <v>0</v>
      </c>
      <c r="K9444" t="n">
        <v>0</v>
      </c>
      <c r="L9444" t="n">
        <v>0</v>
      </c>
      <c r="M9444" t="n">
        <v>0</v>
      </c>
      <c r="N9444" t="n">
        <v>0</v>
      </c>
      <c r="O9444" t="n">
        <v>0</v>
      </c>
      <c r="P9444" t="n">
        <v>0</v>
      </c>
      <c r="Q9444" t="n">
        <v>0</v>
      </c>
      <c r="R9444" t="n">
        <v>0</v>
      </c>
      <c r="S9444" t="n">
        <v>0</v>
      </c>
      <c r="T9444" t="n">
        <v>0</v>
      </c>
      <c r="U9444" t="n">
        <v>0</v>
      </c>
      <c r="V9444" s="2" t="inlineStr"/>
    </row>
    <row r="9445" ht="15" customHeight="1">
      <c r="A9445" t="inlineStr">
        <is>
          <t>A 41735-2023</t>
        </is>
      </c>
      <c r="B9445" t="inlineStr">
        <is>
          <t>avverkningsanmälan</t>
        </is>
      </c>
      <c r="C9445" t="inlineStr">
        <is>
          <t>Föryngringsavverkning</t>
        </is>
      </c>
      <c r="D9445" s="1" t="n">
        <v>45176</v>
      </c>
      <c r="E9445" s="1" t="n">
        <v>46326</v>
      </c>
      <c r="F9445" t="inlineStr">
        <is>
          <t>GÄVLEBORGS LÄN</t>
        </is>
      </c>
      <c r="G9445" t="inlineStr">
        <is>
          <t>HUDIKSVALL</t>
        </is>
      </c>
      <c r="H9445" t="inlineStr">
        <is>
          <t>Holmen skog AB</t>
        </is>
      </c>
      <c r="I9445" t="n">
        <v>0.8</v>
      </c>
      <c r="J9445" t="n">
        <v>0</v>
      </c>
      <c r="K9445" t="n">
        <v>0</v>
      </c>
      <c r="L9445" t="n">
        <v>0</v>
      </c>
      <c r="M9445" t="n">
        <v>0</v>
      </c>
      <c r="N9445" t="n">
        <v>0</v>
      </c>
      <c r="O9445" t="n">
        <v>0</v>
      </c>
      <c r="P9445" t="n">
        <v>0</v>
      </c>
      <c r="Q9445" t="n">
        <v>0</v>
      </c>
      <c r="R9445" t="n">
        <v>0</v>
      </c>
      <c r="S9445" t="n">
        <v>0</v>
      </c>
      <c r="T9445" t="n">
        <v>0</v>
      </c>
      <c r="U9445" t="n">
        <v>0</v>
      </c>
      <c r="V9445" s="2" t="inlineStr"/>
    </row>
    <row r="9446" ht="15" customHeight="1">
      <c r="A9446" t="inlineStr">
        <is>
          <t>A 41745-2023</t>
        </is>
      </c>
      <c r="B9446" t="inlineStr">
        <is>
          <t>avverkningsanmälan</t>
        </is>
      </c>
      <c r="C9446" t="inlineStr">
        <is>
          <t>Föryngringsavverkning</t>
        </is>
      </c>
      <c r="D9446" s="1" t="n">
        <v>45176</v>
      </c>
      <c r="E9446" s="1" t="n">
        <v>46326</v>
      </c>
      <c r="F9446" t="inlineStr">
        <is>
          <t>GÄVLEBORGS LÄN</t>
        </is>
      </c>
      <c r="G9446" t="inlineStr">
        <is>
          <t>HUDIKSVALL</t>
        </is>
      </c>
      <c r="H9446" t="inlineStr">
        <is>
          <t>Holmen skog AB</t>
        </is>
      </c>
      <c r="I9446" t="n">
        <v>1</v>
      </c>
      <c r="J9446" t="n">
        <v>0</v>
      </c>
      <c r="K9446" t="n">
        <v>0</v>
      </c>
      <c r="L9446" t="n">
        <v>0</v>
      </c>
      <c r="M9446" t="n">
        <v>0</v>
      </c>
      <c r="N9446" t="n">
        <v>0</v>
      </c>
      <c r="O9446" t="n">
        <v>0</v>
      </c>
      <c r="P9446" t="n">
        <v>0</v>
      </c>
      <c r="Q9446" t="n">
        <v>0</v>
      </c>
      <c r="R9446" t="n">
        <v>0</v>
      </c>
      <c r="S9446" t="n">
        <v>0</v>
      </c>
      <c r="T9446" t="n">
        <v>0</v>
      </c>
      <c r="U9446" t="n">
        <v>0</v>
      </c>
      <c r="V9446" s="2" t="inlineStr"/>
    </row>
    <row r="9447" ht="15" customHeight="1">
      <c r="A9447" t="inlineStr">
        <is>
          <t>A 60942-2024</t>
        </is>
      </c>
      <c r="B9447" t="inlineStr">
        <is>
          <t>avverkningsanmälan</t>
        </is>
      </c>
      <c r="C9447" t="inlineStr">
        <is>
          <t>Föryngringsavverkning</t>
        </is>
      </c>
      <c r="D9447" s="1" t="n">
        <v>45645</v>
      </c>
      <c r="E9447" s="1" t="n">
        <v>46326</v>
      </c>
      <c r="F9447" t="inlineStr">
        <is>
          <t>GÄVLEBORGS LÄN</t>
        </is>
      </c>
      <c r="G9447" t="inlineStr">
        <is>
          <t>HUDIKSVALL</t>
        </is>
      </c>
      <c r="I9447" t="n">
        <v>2.2</v>
      </c>
      <c r="J9447" t="n">
        <v>0</v>
      </c>
      <c r="K9447" t="n">
        <v>0</v>
      </c>
      <c r="L9447" t="n">
        <v>0</v>
      </c>
      <c r="M9447" t="n">
        <v>0</v>
      </c>
      <c r="N9447" t="n">
        <v>0</v>
      </c>
      <c r="O9447" t="n">
        <v>0</v>
      </c>
      <c r="P9447" t="n">
        <v>0</v>
      </c>
      <c r="Q9447" t="n">
        <v>0</v>
      </c>
      <c r="R9447" t="n">
        <v>0</v>
      </c>
      <c r="S9447" t="n">
        <v>0</v>
      </c>
      <c r="T9447" t="n">
        <v>0</v>
      </c>
      <c r="U9447" t="n">
        <v>0</v>
      </c>
      <c r="V9447" s="2" t="inlineStr"/>
    </row>
    <row r="9448" ht="15" customHeight="1">
      <c r="A9448" t="inlineStr">
        <is>
          <t>A 31635-2026</t>
        </is>
      </c>
      <c r="B9448" t="inlineStr">
        <is>
          <t>avverkningsanmälan</t>
        </is>
      </c>
      <c r="C9448" t="inlineStr">
        <is>
          <t>Föryngringsavverkning</t>
        </is>
      </c>
      <c r="D9448" s="1" t="n">
        <v>46225</v>
      </c>
      <c r="E9448" s="1" t="n">
        <v>46326</v>
      </c>
      <c r="F9448" t="inlineStr">
        <is>
          <t>GÄVLEBORGS LÄN</t>
        </is>
      </c>
      <c r="G9448" t="inlineStr">
        <is>
          <t>LJUSDAL</t>
        </is>
      </c>
      <c r="H9448" t="inlineStr">
        <is>
          <t>Allmännings- och besparingsskogar</t>
        </is>
      </c>
      <c r="I9448" t="n">
        <v>3.3</v>
      </c>
      <c r="J9448" t="n">
        <v>0</v>
      </c>
      <c r="K9448" t="n">
        <v>0</v>
      </c>
      <c r="L9448" t="n">
        <v>0</v>
      </c>
      <c r="M9448" t="n">
        <v>0</v>
      </c>
      <c r="N9448" t="n">
        <v>0</v>
      </c>
      <c r="O9448" t="n">
        <v>0</v>
      </c>
      <c r="P9448" t="n">
        <v>0</v>
      </c>
      <c r="Q9448" t="n">
        <v>0</v>
      </c>
      <c r="R9448" t="n">
        <v>0</v>
      </c>
      <c r="S9448" t="n">
        <v>0</v>
      </c>
      <c r="T9448" t="n">
        <v>0</v>
      </c>
      <c r="U9448" t="n">
        <v>0</v>
      </c>
      <c r="V9448" s="2" t="inlineStr"/>
    </row>
    <row r="9449" ht="15" customHeight="1">
      <c r="A9449" t="inlineStr">
        <is>
          <t>A 5413-2023</t>
        </is>
      </c>
      <c r="B9449" t="inlineStr">
        <is>
          <t>avverkningsanmälan</t>
        </is>
      </c>
      <c r="C9449" t="inlineStr">
        <is>
          <t>Föryngringsavverkning</t>
        </is>
      </c>
      <c r="D9449" s="1" t="n">
        <v>44959</v>
      </c>
      <c r="E9449" s="1" t="n">
        <v>46326</v>
      </c>
      <c r="F9449" t="inlineStr">
        <is>
          <t>GÄVLEBORGS LÄN</t>
        </is>
      </c>
      <c r="G9449" t="inlineStr">
        <is>
          <t>GÄVLE</t>
        </is>
      </c>
      <c r="I9449" t="n">
        <v>0.6</v>
      </c>
      <c r="J9449" t="n">
        <v>0</v>
      </c>
      <c r="K9449" t="n">
        <v>0</v>
      </c>
      <c r="L9449" t="n">
        <v>0</v>
      </c>
      <c r="M9449" t="n">
        <v>0</v>
      </c>
      <c r="N9449" t="n">
        <v>0</v>
      </c>
      <c r="O9449" t="n">
        <v>0</v>
      </c>
      <c r="P9449" t="n">
        <v>0</v>
      </c>
      <c r="Q9449" t="n">
        <v>0</v>
      </c>
      <c r="R9449" t="n">
        <v>0</v>
      </c>
      <c r="S9449" t="n">
        <v>0</v>
      </c>
      <c r="T9449" t="n">
        <v>0</v>
      </c>
      <c r="U9449" t="n">
        <v>0</v>
      </c>
      <c r="V9449" s="2" t="inlineStr"/>
    </row>
    <row r="9450" ht="15" customHeight="1">
      <c r="A9450" t="inlineStr">
        <is>
          <t>A 57967-2022</t>
        </is>
      </c>
      <c r="B9450" t="inlineStr">
        <is>
          <t>avverkningsanmälan</t>
        </is>
      </c>
      <c r="C9450" t="inlineStr">
        <is>
          <t>Föryngringsavverkning</t>
        </is>
      </c>
      <c r="D9450" s="1" t="n">
        <v>44900</v>
      </c>
      <c r="E9450" s="1" t="n">
        <v>46326</v>
      </c>
      <c r="F9450" t="inlineStr">
        <is>
          <t>GÄVLEBORGS LÄN</t>
        </is>
      </c>
      <c r="G9450" t="inlineStr">
        <is>
          <t>HUDIKSVALL</t>
        </is>
      </c>
      <c r="H9450" t="inlineStr">
        <is>
          <t>Holmen skog AB</t>
        </is>
      </c>
      <c r="I9450" t="n">
        <v>7</v>
      </c>
      <c r="J9450" t="n">
        <v>0</v>
      </c>
      <c r="K9450" t="n">
        <v>0</v>
      </c>
      <c r="L9450" t="n">
        <v>0</v>
      </c>
      <c r="M9450" t="n">
        <v>0</v>
      </c>
      <c r="N9450" t="n">
        <v>0</v>
      </c>
      <c r="O9450" t="n">
        <v>0</v>
      </c>
      <c r="P9450" t="n">
        <v>0</v>
      </c>
      <c r="Q9450" t="n">
        <v>0</v>
      </c>
      <c r="R9450" t="n">
        <v>0</v>
      </c>
      <c r="S9450" t="n">
        <v>0</v>
      </c>
      <c r="T9450" t="n">
        <v>0</v>
      </c>
      <c r="U9450" t="n">
        <v>0</v>
      </c>
      <c r="V9450" s="2" t="inlineStr"/>
    </row>
    <row r="9451" ht="15" customHeight="1">
      <c r="A9451" t="inlineStr">
        <is>
          <t>A 34757-2023</t>
        </is>
      </c>
      <c r="B9451" t="inlineStr">
        <is>
          <t>avverkningsanmälan</t>
        </is>
      </c>
      <c r="C9451" t="inlineStr">
        <is>
          <t>Föryngringsavverkning</t>
        </is>
      </c>
      <c r="D9451" s="1" t="n">
        <v>45141</v>
      </c>
      <c r="E9451" s="1" t="n">
        <v>46326</v>
      </c>
      <c r="F9451" t="inlineStr">
        <is>
          <t>GÄVLEBORGS LÄN</t>
        </is>
      </c>
      <c r="G9451" t="inlineStr">
        <is>
          <t>HUDIKSVALL</t>
        </is>
      </c>
      <c r="I9451" t="n">
        <v>2.2</v>
      </c>
      <c r="J9451" t="n">
        <v>0</v>
      </c>
      <c r="K9451" t="n">
        <v>0</v>
      </c>
      <c r="L9451" t="n">
        <v>0</v>
      </c>
      <c r="M9451" t="n">
        <v>0</v>
      </c>
      <c r="N9451" t="n">
        <v>0</v>
      </c>
      <c r="O9451" t="n">
        <v>0</v>
      </c>
      <c r="P9451" t="n">
        <v>0</v>
      </c>
      <c r="Q9451" t="n">
        <v>0</v>
      </c>
      <c r="R9451" t="n">
        <v>0</v>
      </c>
      <c r="S9451" t="n">
        <v>0</v>
      </c>
      <c r="T9451" t="n">
        <v>0</v>
      </c>
      <c r="U9451" t="n">
        <v>0</v>
      </c>
      <c r="V9451" s="2" t="inlineStr"/>
    </row>
    <row r="9452" ht="15" customHeight="1">
      <c r="A9452" t="inlineStr">
        <is>
          <t>A 31715-2026</t>
        </is>
      </c>
      <c r="B9452" t="inlineStr">
        <is>
          <t>avverkningsanmälan</t>
        </is>
      </c>
      <c r="C9452" t="inlineStr">
        <is>
          <t>Föryngringsavverkning</t>
        </is>
      </c>
      <c r="D9452" s="1" t="n">
        <v>46226</v>
      </c>
      <c r="E9452" s="1" t="n">
        <v>46326</v>
      </c>
      <c r="F9452" t="inlineStr">
        <is>
          <t>GÄVLEBORGS LÄN</t>
        </is>
      </c>
      <c r="G9452" t="inlineStr">
        <is>
          <t>OVANÅKER</t>
        </is>
      </c>
      <c r="I9452" t="n">
        <v>1.2</v>
      </c>
      <c r="J9452" t="n">
        <v>0</v>
      </c>
      <c r="K9452" t="n">
        <v>0</v>
      </c>
      <c r="L9452" t="n">
        <v>0</v>
      </c>
      <c r="M9452" t="n">
        <v>0</v>
      </c>
      <c r="N9452" t="n">
        <v>0</v>
      </c>
      <c r="O9452" t="n">
        <v>0</v>
      </c>
      <c r="P9452" t="n">
        <v>0</v>
      </c>
      <c r="Q9452" t="n">
        <v>0</v>
      </c>
      <c r="R9452" t="n">
        <v>0</v>
      </c>
      <c r="S9452" t="n">
        <v>0</v>
      </c>
      <c r="T9452" t="n">
        <v>0</v>
      </c>
      <c r="U9452" t="n">
        <v>0</v>
      </c>
      <c r="V9452" s="2" t="inlineStr"/>
    </row>
    <row r="9453" ht="15" customHeight="1">
      <c r="A9453" t="inlineStr">
        <is>
          <t>A 28853-2024</t>
        </is>
      </c>
      <c r="B9453" t="inlineStr">
        <is>
          <t>avverkningsanmälan</t>
        </is>
      </c>
      <c r="C9453" t="inlineStr">
        <is>
          <t>Föryngringsavverkning</t>
        </is>
      </c>
      <c r="D9453" s="1" t="n">
        <v>45478</v>
      </c>
      <c r="E9453" s="1" t="n">
        <v>46326</v>
      </c>
      <c r="F9453" t="inlineStr">
        <is>
          <t>GÄVLEBORGS LÄN</t>
        </is>
      </c>
      <c r="G9453" t="inlineStr">
        <is>
          <t>HUDIKSVALL</t>
        </is>
      </c>
      <c r="H9453" t="inlineStr">
        <is>
          <t>Holmen skog AB</t>
        </is>
      </c>
      <c r="I9453" t="n">
        <v>1</v>
      </c>
      <c r="J9453" t="n">
        <v>0</v>
      </c>
      <c r="K9453" t="n">
        <v>0</v>
      </c>
      <c r="L9453" t="n">
        <v>0</v>
      </c>
      <c r="M9453" t="n">
        <v>0</v>
      </c>
      <c r="N9453" t="n">
        <v>0</v>
      </c>
      <c r="O9453" t="n">
        <v>0</v>
      </c>
      <c r="P9453" t="n">
        <v>0</v>
      </c>
      <c r="Q9453" t="n">
        <v>0</v>
      </c>
      <c r="R9453" t="n">
        <v>0</v>
      </c>
      <c r="S9453" t="n">
        <v>0</v>
      </c>
      <c r="T9453" t="n">
        <v>0</v>
      </c>
      <c r="U9453" t="n">
        <v>0</v>
      </c>
      <c r="V9453" s="2" t="inlineStr"/>
    </row>
    <row r="9454" ht="15" customHeight="1">
      <c r="A9454" t="inlineStr">
        <is>
          <t>A 27302-2023</t>
        </is>
      </c>
      <c r="B9454" t="inlineStr">
        <is>
          <t>avverkningsanmälan</t>
        </is>
      </c>
      <c r="C9454" t="inlineStr">
        <is>
          <t>Föryngringsavverkning</t>
        </is>
      </c>
      <c r="D9454" s="1" t="n">
        <v>45096</v>
      </c>
      <c r="E9454" s="1" t="n">
        <v>46326</v>
      </c>
      <c r="F9454" t="inlineStr">
        <is>
          <t>GÄVLEBORGS LÄN</t>
        </is>
      </c>
      <c r="G9454" t="inlineStr">
        <is>
          <t>HUDIKSVALL</t>
        </is>
      </c>
      <c r="I9454" t="n">
        <v>1.2</v>
      </c>
      <c r="J9454" t="n">
        <v>0</v>
      </c>
      <c r="K9454" t="n">
        <v>0</v>
      </c>
      <c r="L9454" t="n">
        <v>0</v>
      </c>
      <c r="M9454" t="n">
        <v>0</v>
      </c>
      <c r="N9454" t="n">
        <v>0</v>
      </c>
      <c r="O9454" t="n">
        <v>0</v>
      </c>
      <c r="P9454" t="n">
        <v>0</v>
      </c>
      <c r="Q9454" t="n">
        <v>0</v>
      </c>
      <c r="R9454" t="n">
        <v>0</v>
      </c>
      <c r="S9454" t="n">
        <v>0</v>
      </c>
      <c r="T9454" t="n">
        <v>0</v>
      </c>
      <c r="U9454" t="n">
        <v>0</v>
      </c>
      <c r="V9454" s="2" t="inlineStr"/>
    </row>
    <row r="9455" ht="15" customHeight="1">
      <c r="A9455" t="inlineStr">
        <is>
          <t>A 31663-2026</t>
        </is>
      </c>
      <c r="B9455" t="inlineStr">
        <is>
          <t>avverkningsanmälan</t>
        </is>
      </c>
      <c r="C9455" t="inlineStr">
        <is>
          <t>Föryngringsavverkning</t>
        </is>
      </c>
      <c r="D9455" s="1" t="n">
        <v>46225</v>
      </c>
      <c r="E9455" s="1" t="n">
        <v>46326</v>
      </c>
      <c r="F9455" t="inlineStr">
        <is>
          <t>GÄVLEBORGS LÄN</t>
        </is>
      </c>
      <c r="G9455" t="inlineStr">
        <is>
          <t>HUDIKSVALL</t>
        </is>
      </c>
      <c r="H9455" t="inlineStr">
        <is>
          <t>Holmen skog AB</t>
        </is>
      </c>
      <c r="I9455" t="n">
        <v>2.4</v>
      </c>
      <c r="J9455" t="n">
        <v>0</v>
      </c>
      <c r="K9455" t="n">
        <v>0</v>
      </c>
      <c r="L9455" t="n">
        <v>0</v>
      </c>
      <c r="M9455" t="n">
        <v>0</v>
      </c>
      <c r="N9455" t="n">
        <v>0</v>
      </c>
      <c r="O9455" t="n">
        <v>0</v>
      </c>
      <c r="P9455" t="n">
        <v>0</v>
      </c>
      <c r="Q9455" t="n">
        <v>0</v>
      </c>
      <c r="R9455" t="n">
        <v>0</v>
      </c>
      <c r="S9455" t="n">
        <v>0</v>
      </c>
      <c r="T9455" t="n">
        <v>0</v>
      </c>
      <c r="U9455" t="n">
        <v>0</v>
      </c>
      <c r="V9455" s="2" t="inlineStr"/>
    </row>
    <row r="9456" ht="15" customHeight="1">
      <c r="A9456" t="inlineStr">
        <is>
          <t>A 31698-2026</t>
        </is>
      </c>
      <c r="B9456" t="inlineStr">
        <is>
          <t>avverkningsanmälan</t>
        </is>
      </c>
      <c r="C9456" t="inlineStr">
        <is>
          <t>Föryngringsavverkning</t>
        </is>
      </c>
      <c r="D9456" s="1" t="n">
        <v>46226</v>
      </c>
      <c r="E9456" s="1" t="n">
        <v>46326</v>
      </c>
      <c r="F9456" t="inlineStr">
        <is>
          <t>GÄVLEBORGS LÄN</t>
        </is>
      </c>
      <c r="G9456" t="inlineStr">
        <is>
          <t>NORDANSTIG</t>
        </is>
      </c>
      <c r="I9456" t="n">
        <v>2.2</v>
      </c>
      <c r="J9456" t="n">
        <v>0</v>
      </c>
      <c r="K9456" t="n">
        <v>0</v>
      </c>
      <c r="L9456" t="n">
        <v>0</v>
      </c>
      <c r="M9456" t="n">
        <v>0</v>
      </c>
      <c r="N9456" t="n">
        <v>0</v>
      </c>
      <c r="O9456" t="n">
        <v>0</v>
      </c>
      <c r="P9456" t="n">
        <v>0</v>
      </c>
      <c r="Q9456" t="n">
        <v>0</v>
      </c>
      <c r="R9456" t="n">
        <v>0</v>
      </c>
      <c r="S9456" t="n">
        <v>0</v>
      </c>
      <c r="T9456" t="n">
        <v>0</v>
      </c>
      <c r="U9456" t="n">
        <v>0</v>
      </c>
      <c r="V9456" s="2" t="inlineStr"/>
    </row>
    <row r="9457" ht="15" customHeight="1">
      <c r="A9457" t="inlineStr">
        <is>
          <t>A 29567-2024</t>
        </is>
      </c>
      <c r="B9457" t="inlineStr">
        <is>
          <t>avverkningsanmälan</t>
        </is>
      </c>
      <c r="C9457" t="inlineStr">
        <is>
          <t>Avverkning för annat ändamål</t>
        </is>
      </c>
      <c r="D9457" s="1" t="n">
        <v>45484</v>
      </c>
      <c r="E9457" s="1" t="n">
        <v>46326</v>
      </c>
      <c r="F9457" t="inlineStr">
        <is>
          <t>GÄVLEBORGS LÄN</t>
        </is>
      </c>
      <c r="G9457" t="inlineStr">
        <is>
          <t>OCKELBO</t>
        </is>
      </c>
      <c r="I9457" t="n">
        <v>3.7</v>
      </c>
      <c r="J9457" t="n">
        <v>0</v>
      </c>
      <c r="K9457" t="n">
        <v>0</v>
      </c>
      <c r="L9457" t="n">
        <v>0</v>
      </c>
      <c r="M9457" t="n">
        <v>0</v>
      </c>
      <c r="N9457" t="n">
        <v>0</v>
      </c>
      <c r="O9457" t="n">
        <v>0</v>
      </c>
      <c r="P9457" t="n">
        <v>0</v>
      </c>
      <c r="Q9457" t="n">
        <v>0</v>
      </c>
      <c r="R9457" t="n">
        <v>0</v>
      </c>
      <c r="S9457" t="n">
        <v>0</v>
      </c>
      <c r="T9457" t="n">
        <v>0</v>
      </c>
      <c r="U9457" t="n">
        <v>0</v>
      </c>
      <c r="V9457" s="2" t="inlineStr"/>
    </row>
    <row r="9458" ht="15" customHeight="1">
      <c r="A9458" t="inlineStr">
        <is>
          <t>A 31662-2026</t>
        </is>
      </c>
      <c r="B9458" t="inlineStr">
        <is>
          <t>avverkningsanmälan</t>
        </is>
      </c>
      <c r="C9458" t="inlineStr">
        <is>
          <t>Föryngringsavverkning</t>
        </is>
      </c>
      <c r="D9458" s="1" t="n">
        <v>46225</v>
      </c>
      <c r="E9458" s="1" t="n">
        <v>46326</v>
      </c>
      <c r="F9458" t="inlineStr">
        <is>
          <t>GÄVLEBORGS LÄN</t>
        </is>
      </c>
      <c r="G9458" t="inlineStr">
        <is>
          <t>HUDIKSVALL</t>
        </is>
      </c>
      <c r="H9458" t="inlineStr">
        <is>
          <t>Holmen skog AB</t>
        </is>
      </c>
      <c r="I9458" t="n">
        <v>12.1</v>
      </c>
      <c r="J9458" t="n">
        <v>0</v>
      </c>
      <c r="K9458" t="n">
        <v>0</v>
      </c>
      <c r="L9458" t="n">
        <v>0</v>
      </c>
      <c r="M9458" t="n">
        <v>0</v>
      </c>
      <c r="N9458" t="n">
        <v>0</v>
      </c>
      <c r="O9458" t="n">
        <v>0</v>
      </c>
      <c r="P9458" t="n">
        <v>0</v>
      </c>
      <c r="Q9458" t="n">
        <v>0</v>
      </c>
      <c r="R9458" t="n">
        <v>0</v>
      </c>
      <c r="S9458" t="n">
        <v>0</v>
      </c>
      <c r="T9458" t="n">
        <v>0</v>
      </c>
      <c r="U9458" t="n">
        <v>0</v>
      </c>
      <c r="V9458" s="2" t="inlineStr"/>
    </row>
    <row r="9459" ht="15" customHeight="1">
      <c r="A9459" t="inlineStr">
        <is>
          <t>A 52656-2024</t>
        </is>
      </c>
      <c r="B9459" t="inlineStr">
        <is>
          <t>avverkningsanmälan</t>
        </is>
      </c>
      <c r="C9459" t="inlineStr">
        <is>
          <t>Föryngringsavverkning</t>
        </is>
      </c>
      <c r="D9459" s="1" t="n">
        <v>45610</v>
      </c>
      <c r="E9459" s="1" t="n">
        <v>46326</v>
      </c>
      <c r="F9459" t="inlineStr">
        <is>
          <t>GÄVLEBORGS LÄN</t>
        </is>
      </c>
      <c r="G9459" t="inlineStr">
        <is>
          <t>HUDIKSVALL</t>
        </is>
      </c>
      <c r="I9459" t="n">
        <v>15.6</v>
      </c>
      <c r="J9459" t="n">
        <v>0</v>
      </c>
      <c r="K9459" t="n">
        <v>0</v>
      </c>
      <c r="L9459" t="n">
        <v>0</v>
      </c>
      <c r="M9459" t="n">
        <v>0</v>
      </c>
      <c r="N9459" t="n">
        <v>0</v>
      </c>
      <c r="O9459" t="n">
        <v>0</v>
      </c>
      <c r="P9459" t="n">
        <v>0</v>
      </c>
      <c r="Q9459" t="n">
        <v>0</v>
      </c>
      <c r="R9459" t="n">
        <v>0</v>
      </c>
      <c r="S9459" t="n">
        <v>0</v>
      </c>
      <c r="T9459" t="n">
        <v>0</v>
      </c>
      <c r="U9459" t="n">
        <v>0</v>
      </c>
      <c r="V9459" s="2" t="inlineStr"/>
    </row>
    <row r="9460" ht="15" customHeight="1">
      <c r="A9460" t="inlineStr">
        <is>
          <t>A 64367-2023</t>
        </is>
      </c>
      <c r="B9460" t="inlineStr">
        <is>
          <t>avverkningsanmälan</t>
        </is>
      </c>
      <c r="C9460" t="inlineStr">
        <is>
          <t>Föryngringsavverkning</t>
        </is>
      </c>
      <c r="D9460" s="1" t="n">
        <v>45280</v>
      </c>
      <c r="E9460" s="1" t="n">
        <v>46326</v>
      </c>
      <c r="F9460" t="inlineStr">
        <is>
          <t>GÄVLEBORGS LÄN</t>
        </is>
      </c>
      <c r="G9460" t="inlineStr">
        <is>
          <t>OCKELBO</t>
        </is>
      </c>
      <c r="I9460" t="n">
        <v>0.4</v>
      </c>
      <c r="J9460" t="n">
        <v>0</v>
      </c>
      <c r="K9460" t="n">
        <v>0</v>
      </c>
      <c r="L9460" t="n">
        <v>0</v>
      </c>
      <c r="M9460" t="n">
        <v>0</v>
      </c>
      <c r="N9460" t="n">
        <v>0</v>
      </c>
      <c r="O9460" t="n">
        <v>0</v>
      </c>
      <c r="P9460" t="n">
        <v>0</v>
      </c>
      <c r="Q9460" t="n">
        <v>0</v>
      </c>
      <c r="R9460" t="n">
        <v>0</v>
      </c>
      <c r="S9460" t="n">
        <v>0</v>
      </c>
      <c r="T9460" t="n">
        <v>0</v>
      </c>
      <c r="U9460" t="n">
        <v>0</v>
      </c>
      <c r="V9460" s="2" t="inlineStr"/>
    </row>
    <row r="9461" ht="15" customHeight="1">
      <c r="A9461" t="inlineStr">
        <is>
          <t>A 49654-2022</t>
        </is>
      </c>
      <c r="B9461" t="inlineStr">
        <is>
          <t>avverkningsanmälan</t>
        </is>
      </c>
      <c r="C9461" t="inlineStr">
        <is>
          <t>Föryngringsavverkning</t>
        </is>
      </c>
      <c r="D9461" s="1" t="n">
        <v>44862</v>
      </c>
      <c r="E9461" s="1" t="n">
        <v>46326</v>
      </c>
      <c r="F9461" t="inlineStr">
        <is>
          <t>GÄVLEBORGS LÄN</t>
        </is>
      </c>
      <c r="G9461" t="inlineStr">
        <is>
          <t>OVANÅKER</t>
        </is>
      </c>
      <c r="I9461" t="n">
        <v>2.8</v>
      </c>
      <c r="J9461" t="n">
        <v>0</v>
      </c>
      <c r="K9461" t="n">
        <v>0</v>
      </c>
      <c r="L9461" t="n">
        <v>0</v>
      </c>
      <c r="M9461" t="n">
        <v>0</v>
      </c>
      <c r="N9461" t="n">
        <v>0</v>
      </c>
      <c r="O9461" t="n">
        <v>0</v>
      </c>
      <c r="P9461" t="n">
        <v>0</v>
      </c>
      <c r="Q9461" t="n">
        <v>0</v>
      </c>
      <c r="R9461" t="n">
        <v>0</v>
      </c>
      <c r="S9461" t="n">
        <v>0</v>
      </c>
      <c r="T9461" t="n">
        <v>0</v>
      </c>
      <c r="U9461" t="n">
        <v>0</v>
      </c>
      <c r="V9461" s="2" t="inlineStr"/>
    </row>
    <row r="9462" ht="15" customHeight="1">
      <c r="A9462" t="inlineStr">
        <is>
          <t>A 31686-2026</t>
        </is>
      </c>
      <c r="B9462" t="inlineStr">
        <is>
          <t>avverkningsanmälan</t>
        </is>
      </c>
      <c r="C9462" t="inlineStr">
        <is>
          <t>Föryngringsavverkning</t>
        </is>
      </c>
      <c r="D9462" s="1" t="n">
        <v>46226</v>
      </c>
      <c r="E9462" s="1" t="n">
        <v>46326</v>
      </c>
      <c r="F9462" t="inlineStr">
        <is>
          <t>GÄVLEBORGS LÄN</t>
        </is>
      </c>
      <c r="G9462" t="inlineStr">
        <is>
          <t>HUDIKSVALL</t>
        </is>
      </c>
      <c r="H9462" t="inlineStr">
        <is>
          <t>Naturvårdsverket</t>
        </is>
      </c>
      <c r="I9462" t="n">
        <v>1.6</v>
      </c>
      <c r="J9462" t="n">
        <v>0</v>
      </c>
      <c r="K9462" t="n">
        <v>0</v>
      </c>
      <c r="L9462" t="n">
        <v>0</v>
      </c>
      <c r="M9462" t="n">
        <v>0</v>
      </c>
      <c r="N9462" t="n">
        <v>0</v>
      </c>
      <c r="O9462" t="n">
        <v>0</v>
      </c>
      <c r="P9462" t="n">
        <v>0</v>
      </c>
      <c r="Q9462" t="n">
        <v>0</v>
      </c>
      <c r="R9462" t="n">
        <v>0</v>
      </c>
      <c r="S9462" t="n">
        <v>0</v>
      </c>
      <c r="T9462" t="n">
        <v>0</v>
      </c>
      <c r="U9462" t="n">
        <v>0</v>
      </c>
      <c r="V9462" s="2" t="inlineStr"/>
    </row>
    <row r="9463" ht="15" customHeight="1">
      <c r="A9463" t="inlineStr">
        <is>
          <t>A 14700-2024</t>
        </is>
      </c>
      <c r="B9463" t="inlineStr">
        <is>
          <t>avverkningsanmälan</t>
        </is>
      </c>
      <c r="C9463" t="inlineStr">
        <is>
          <t>Föryngringsavverkning</t>
        </is>
      </c>
      <c r="D9463" s="1" t="n">
        <v>45397</v>
      </c>
      <c r="E9463" s="1" t="n">
        <v>46326</v>
      </c>
      <c r="F9463" t="inlineStr">
        <is>
          <t>GÄVLEBORGS LÄN</t>
        </is>
      </c>
      <c r="G9463" t="inlineStr">
        <is>
          <t>HUDIKSVALL</t>
        </is>
      </c>
      <c r="I9463" t="n">
        <v>3.8</v>
      </c>
      <c r="J9463" t="n">
        <v>0</v>
      </c>
      <c r="K9463" t="n">
        <v>0</v>
      </c>
      <c r="L9463" t="n">
        <v>0</v>
      </c>
      <c r="M9463" t="n">
        <v>0</v>
      </c>
      <c r="N9463" t="n">
        <v>0</v>
      </c>
      <c r="O9463" t="n">
        <v>0</v>
      </c>
      <c r="P9463" t="n">
        <v>0</v>
      </c>
      <c r="Q9463" t="n">
        <v>0</v>
      </c>
      <c r="R9463" t="n">
        <v>0</v>
      </c>
      <c r="S9463" t="n">
        <v>0</v>
      </c>
      <c r="T9463" t="n">
        <v>0</v>
      </c>
      <c r="U9463" t="n">
        <v>0</v>
      </c>
      <c r="V9463" s="2" t="inlineStr"/>
    </row>
    <row r="9464" ht="15" customHeight="1">
      <c r="A9464" t="inlineStr">
        <is>
          <t>A 61100-2025</t>
        </is>
      </c>
      <c r="B9464" t="inlineStr">
        <is>
          <t>avverkningsanmälan</t>
        </is>
      </c>
      <c r="C9464" t="inlineStr">
        <is>
          <t>Föryngringsavverkning</t>
        </is>
      </c>
      <c r="D9464" s="1" t="n">
        <v>46000</v>
      </c>
      <c r="E9464" s="1" t="n">
        <v>46326</v>
      </c>
      <c r="F9464" t="inlineStr">
        <is>
          <t>GÄVLEBORGS LÄN</t>
        </is>
      </c>
      <c r="G9464" t="inlineStr">
        <is>
          <t>SANDVIKEN</t>
        </is>
      </c>
      <c r="I9464" t="n">
        <v>1.4</v>
      </c>
      <c r="J9464" t="n">
        <v>0</v>
      </c>
      <c r="K9464" t="n">
        <v>0</v>
      </c>
      <c r="L9464" t="n">
        <v>0</v>
      </c>
      <c r="M9464" t="n">
        <v>0</v>
      </c>
      <c r="N9464" t="n">
        <v>0</v>
      </c>
      <c r="O9464" t="n">
        <v>0</v>
      </c>
      <c r="P9464" t="n">
        <v>0</v>
      </c>
      <c r="Q9464" t="n">
        <v>0</v>
      </c>
      <c r="R9464" t="n">
        <v>0</v>
      </c>
      <c r="S9464" t="n">
        <v>0</v>
      </c>
      <c r="T9464" t="n">
        <v>0</v>
      </c>
      <c r="U9464" t="n">
        <v>0</v>
      </c>
      <c r="V9464" s="2" t="inlineStr"/>
    </row>
    <row r="9465" ht="15" customHeight="1">
      <c r="A9465" t="inlineStr">
        <is>
          <t>A 31708-2026</t>
        </is>
      </c>
      <c r="B9465" t="inlineStr">
        <is>
          <t>avverkningsanmälan</t>
        </is>
      </c>
      <c r="C9465" t="inlineStr">
        <is>
          <t>Föryngringsavverkning</t>
        </is>
      </c>
      <c r="D9465" s="1" t="n">
        <v>46226</v>
      </c>
      <c r="E9465" s="1" t="n">
        <v>46326</v>
      </c>
      <c r="F9465" t="inlineStr">
        <is>
          <t>GÄVLEBORGS LÄN</t>
        </is>
      </c>
      <c r="G9465" t="inlineStr">
        <is>
          <t>NORDANSTIG</t>
        </is>
      </c>
      <c r="I9465" t="n">
        <v>2.8</v>
      </c>
      <c r="J9465" t="n">
        <v>0</v>
      </c>
      <c r="K9465" t="n">
        <v>0</v>
      </c>
      <c r="L9465" t="n">
        <v>0</v>
      </c>
      <c r="M9465" t="n">
        <v>0</v>
      </c>
      <c r="N9465" t="n">
        <v>0</v>
      </c>
      <c r="O9465" t="n">
        <v>0</v>
      </c>
      <c r="P9465" t="n">
        <v>0</v>
      </c>
      <c r="Q9465" t="n">
        <v>0</v>
      </c>
      <c r="R9465" t="n">
        <v>0</v>
      </c>
      <c r="S9465" t="n">
        <v>0</v>
      </c>
      <c r="T9465" t="n">
        <v>0</v>
      </c>
      <c r="U9465" t="n">
        <v>0</v>
      </c>
      <c r="V9465" s="2" t="inlineStr"/>
    </row>
    <row r="9466" ht="15" customHeight="1">
      <c r="A9466" t="inlineStr">
        <is>
          <t>A 48308-2024</t>
        </is>
      </c>
      <c r="B9466" t="inlineStr">
        <is>
          <t>avverkningsanmälan</t>
        </is>
      </c>
      <c r="C9466" t="inlineStr">
        <is>
          <t>Föryngringsavverkning</t>
        </is>
      </c>
      <c r="D9466" s="1" t="n">
        <v>45590</v>
      </c>
      <c r="E9466" s="1" t="n">
        <v>46326</v>
      </c>
      <c r="F9466" t="inlineStr">
        <is>
          <t>GÄVLEBORGS LÄN</t>
        </is>
      </c>
      <c r="G9466" t="inlineStr">
        <is>
          <t>BOLLNÄS</t>
        </is>
      </c>
      <c r="I9466" t="n">
        <v>2.1</v>
      </c>
      <c r="J9466" t="n">
        <v>0</v>
      </c>
      <c r="K9466" t="n">
        <v>0</v>
      </c>
      <c r="L9466" t="n">
        <v>0</v>
      </c>
      <c r="M9466" t="n">
        <v>0</v>
      </c>
      <c r="N9466" t="n">
        <v>0</v>
      </c>
      <c r="O9466" t="n">
        <v>0</v>
      </c>
      <c r="P9466" t="n">
        <v>0</v>
      </c>
      <c r="Q9466" t="n">
        <v>0</v>
      </c>
      <c r="R9466" t="n">
        <v>0</v>
      </c>
      <c r="S9466" t="n">
        <v>0</v>
      </c>
      <c r="T9466" t="n">
        <v>0</v>
      </c>
      <c r="U9466" t="n">
        <v>0</v>
      </c>
      <c r="V9466" s="2" t="inlineStr"/>
    </row>
    <row r="9467" ht="15" customHeight="1">
      <c r="A9467" t="inlineStr">
        <is>
          <t>A 48313-2024</t>
        </is>
      </c>
      <c r="B9467" t="inlineStr">
        <is>
          <t>avverkningsanmälan</t>
        </is>
      </c>
      <c r="C9467" t="inlineStr">
        <is>
          <t>Föryngringsavverkning</t>
        </is>
      </c>
      <c r="D9467" s="1" t="n">
        <v>45590</v>
      </c>
      <c r="E9467" s="1" t="n">
        <v>46326</v>
      </c>
      <c r="F9467" t="inlineStr">
        <is>
          <t>GÄVLEBORGS LÄN</t>
        </is>
      </c>
      <c r="G9467" t="inlineStr">
        <is>
          <t>SÖDERHAMN</t>
        </is>
      </c>
      <c r="I9467" t="n">
        <v>0.7</v>
      </c>
      <c r="J9467" t="n">
        <v>0</v>
      </c>
      <c r="K9467" t="n">
        <v>0</v>
      </c>
      <c r="L9467" t="n">
        <v>0</v>
      </c>
      <c r="M9467" t="n">
        <v>0</v>
      </c>
      <c r="N9467" t="n">
        <v>0</v>
      </c>
      <c r="O9467" t="n">
        <v>0</v>
      </c>
      <c r="P9467" t="n">
        <v>0</v>
      </c>
      <c r="Q9467" t="n">
        <v>0</v>
      </c>
      <c r="R9467" t="n">
        <v>0</v>
      </c>
      <c r="S9467" t="n">
        <v>0</v>
      </c>
      <c r="T9467" t="n">
        <v>0</v>
      </c>
      <c r="U9467" t="n">
        <v>0</v>
      </c>
      <c r="V9467" s="2" t="inlineStr"/>
    </row>
    <row r="9468" ht="15" customHeight="1">
      <c r="A9468" t="inlineStr">
        <is>
          <t>A 31802-2026</t>
        </is>
      </c>
      <c r="B9468" t="inlineStr">
        <is>
          <t>avverkningsanmälan</t>
        </is>
      </c>
      <c r="C9468" t="inlineStr">
        <is>
          <t>Föryngringsavverkning</t>
        </is>
      </c>
      <c r="D9468" s="1" t="n">
        <v>46230</v>
      </c>
      <c r="E9468" s="1" t="n">
        <v>46326</v>
      </c>
      <c r="F9468" t="inlineStr">
        <is>
          <t>GÄVLEBORGS LÄN</t>
        </is>
      </c>
      <c r="G9468" t="inlineStr">
        <is>
          <t>SANDVIKEN</t>
        </is>
      </c>
      <c r="H9468" t="inlineStr">
        <is>
          <t>Kommuner</t>
        </is>
      </c>
      <c r="I9468" t="n">
        <v>4.9</v>
      </c>
      <c r="J9468" t="n">
        <v>0</v>
      </c>
      <c r="K9468" t="n">
        <v>0</v>
      </c>
      <c r="L9468" t="n">
        <v>0</v>
      </c>
      <c r="M9468" t="n">
        <v>0</v>
      </c>
      <c r="N9468" t="n">
        <v>0</v>
      </c>
      <c r="O9468" t="n">
        <v>0</v>
      </c>
      <c r="P9468" t="n">
        <v>0</v>
      </c>
      <c r="Q9468" t="n">
        <v>0</v>
      </c>
      <c r="R9468" t="n">
        <v>0</v>
      </c>
      <c r="S9468" t="n">
        <v>0</v>
      </c>
      <c r="T9468" t="n">
        <v>0</v>
      </c>
      <c r="U9468" t="n">
        <v>0</v>
      </c>
      <c r="V9468" s="2" t="inlineStr"/>
    </row>
    <row r="9469" ht="15" customHeight="1">
      <c r="A9469" t="inlineStr">
        <is>
          <t>A 31807-2026</t>
        </is>
      </c>
      <c r="B9469" t="inlineStr">
        <is>
          <t>avverkningsanmälan</t>
        </is>
      </c>
      <c r="C9469" t="inlineStr">
        <is>
          <t>Föryngringsavverkning</t>
        </is>
      </c>
      <c r="D9469" s="1" t="n">
        <v>46230</v>
      </c>
      <c r="E9469" s="1" t="n">
        <v>46326</v>
      </c>
      <c r="F9469" t="inlineStr">
        <is>
          <t>GÄVLEBORGS LÄN</t>
        </is>
      </c>
      <c r="G9469" t="inlineStr">
        <is>
          <t>SANDVIKEN</t>
        </is>
      </c>
      <c r="H9469" t="inlineStr">
        <is>
          <t>Kommuner</t>
        </is>
      </c>
      <c r="I9469" t="n">
        <v>11.2</v>
      </c>
      <c r="J9469" t="n">
        <v>0</v>
      </c>
      <c r="K9469" t="n">
        <v>0</v>
      </c>
      <c r="L9469" t="n">
        <v>0</v>
      </c>
      <c r="M9469" t="n">
        <v>0</v>
      </c>
      <c r="N9469" t="n">
        <v>0</v>
      </c>
      <c r="O9469" t="n">
        <v>0</v>
      </c>
      <c r="P9469" t="n">
        <v>0</v>
      </c>
      <c r="Q9469" t="n">
        <v>0</v>
      </c>
      <c r="R9469" t="n">
        <v>0</v>
      </c>
      <c r="S9469" t="n">
        <v>0</v>
      </c>
      <c r="T9469" t="n">
        <v>0</v>
      </c>
      <c r="U9469" t="n">
        <v>0</v>
      </c>
      <c r="V9469" s="2" t="inlineStr"/>
    </row>
    <row r="9470" ht="15" customHeight="1">
      <c r="A9470" t="inlineStr">
        <is>
          <t>A 7533-2025</t>
        </is>
      </c>
      <c r="B9470" t="inlineStr">
        <is>
          <t>avverkningsanmälan</t>
        </is>
      </c>
      <c r="C9470" t="inlineStr">
        <is>
          <t>Föryngringsavverkning</t>
        </is>
      </c>
      <c r="D9470" s="1" t="n">
        <v>45705</v>
      </c>
      <c r="E9470" s="1" t="n">
        <v>46326</v>
      </c>
      <c r="F9470" t="inlineStr">
        <is>
          <t>GÄVLEBORGS LÄN</t>
        </is>
      </c>
      <c r="G9470" t="inlineStr">
        <is>
          <t>SÖDERHAMN</t>
        </is>
      </c>
      <c r="I9470" t="n">
        <v>1.5</v>
      </c>
      <c r="J9470" t="n">
        <v>0</v>
      </c>
      <c r="K9470" t="n">
        <v>0</v>
      </c>
      <c r="L9470" t="n">
        <v>0</v>
      </c>
      <c r="M9470" t="n">
        <v>0</v>
      </c>
      <c r="N9470" t="n">
        <v>0</v>
      </c>
      <c r="O9470" t="n">
        <v>0</v>
      </c>
      <c r="P9470" t="n">
        <v>0</v>
      </c>
      <c r="Q9470" t="n">
        <v>0</v>
      </c>
      <c r="R9470" t="n">
        <v>0</v>
      </c>
      <c r="S9470" t="n">
        <v>0</v>
      </c>
      <c r="T9470" t="n">
        <v>0</v>
      </c>
      <c r="U9470" t="n">
        <v>0</v>
      </c>
      <c r="V9470" s="2" t="inlineStr"/>
    </row>
    <row r="9471" ht="15" customHeight="1">
      <c r="A9471" t="inlineStr">
        <is>
          <t>A 7538-2025</t>
        </is>
      </c>
      <c r="B9471" t="inlineStr">
        <is>
          <t>avverkningsanmälan</t>
        </is>
      </c>
      <c r="C9471" t="inlineStr">
        <is>
          <t>Föryngringsavverkning</t>
        </is>
      </c>
      <c r="D9471" s="1" t="n">
        <v>45705</v>
      </c>
      <c r="E9471" s="1" t="n">
        <v>46326</v>
      </c>
      <c r="F9471" t="inlineStr">
        <is>
          <t>GÄVLEBORGS LÄN</t>
        </is>
      </c>
      <c r="G9471" t="inlineStr">
        <is>
          <t>HUDIKSVALL</t>
        </is>
      </c>
      <c r="H9471" t="inlineStr">
        <is>
          <t>Holmen skog AB</t>
        </is>
      </c>
      <c r="I9471" t="n">
        <v>2.9</v>
      </c>
      <c r="J9471" t="n">
        <v>0</v>
      </c>
      <c r="K9471" t="n">
        <v>0</v>
      </c>
      <c r="L9471" t="n">
        <v>0</v>
      </c>
      <c r="M9471" t="n">
        <v>0</v>
      </c>
      <c r="N9471" t="n">
        <v>0</v>
      </c>
      <c r="O9471" t="n">
        <v>0</v>
      </c>
      <c r="P9471" t="n">
        <v>0</v>
      </c>
      <c r="Q9471" t="n">
        <v>0</v>
      </c>
      <c r="R9471" t="n">
        <v>0</v>
      </c>
      <c r="S9471" t="n">
        <v>0</v>
      </c>
      <c r="T9471" t="n">
        <v>0</v>
      </c>
      <c r="U9471" t="n">
        <v>0</v>
      </c>
      <c r="V9471" s="2" t="inlineStr"/>
    </row>
    <row r="9472" ht="15" customHeight="1">
      <c r="A9472" t="inlineStr">
        <is>
          <t>A 31804-2026</t>
        </is>
      </c>
      <c r="B9472" t="inlineStr">
        <is>
          <t>avverkningsanmälan</t>
        </is>
      </c>
      <c r="C9472" t="inlineStr">
        <is>
          <t>Föryngringsavverkning</t>
        </is>
      </c>
      <c r="D9472" s="1" t="n">
        <v>46230</v>
      </c>
      <c r="E9472" s="1" t="n">
        <v>46326</v>
      </c>
      <c r="F9472" t="inlineStr">
        <is>
          <t>GÄVLEBORGS LÄN</t>
        </is>
      </c>
      <c r="G9472" t="inlineStr">
        <is>
          <t>OCKELBO</t>
        </is>
      </c>
      <c r="H9472" t="inlineStr">
        <is>
          <t>Bergvik skog väst AB</t>
        </is>
      </c>
      <c r="I9472" t="n">
        <v>4.6</v>
      </c>
      <c r="J9472" t="n">
        <v>0</v>
      </c>
      <c r="K9472" t="n">
        <v>0</v>
      </c>
      <c r="L9472" t="n">
        <v>0</v>
      </c>
      <c r="M9472" t="n">
        <v>0</v>
      </c>
      <c r="N9472" t="n">
        <v>0</v>
      </c>
      <c r="O9472" t="n">
        <v>0</v>
      </c>
      <c r="P9472" t="n">
        <v>0</v>
      </c>
      <c r="Q9472" t="n">
        <v>0</v>
      </c>
      <c r="R9472" t="n">
        <v>0</v>
      </c>
      <c r="S9472" t="n">
        <v>0</v>
      </c>
      <c r="T9472" t="n">
        <v>0</v>
      </c>
      <c r="U9472" t="n">
        <v>0</v>
      </c>
      <c r="V9472" s="2" t="inlineStr"/>
    </row>
    <row r="9473" ht="15" customHeight="1">
      <c r="A9473" t="inlineStr">
        <is>
          <t>A 7056-2025</t>
        </is>
      </c>
      <c r="B9473" t="inlineStr">
        <is>
          <t>avverkningsanmälan</t>
        </is>
      </c>
      <c r="C9473" t="inlineStr">
        <is>
          <t>Föryngringsavverkning</t>
        </is>
      </c>
      <c r="D9473" s="1" t="n">
        <v>45701</v>
      </c>
      <c r="E9473" s="1" t="n">
        <v>46326</v>
      </c>
      <c r="F9473" t="inlineStr">
        <is>
          <t>GÄVLEBORGS LÄN</t>
        </is>
      </c>
      <c r="G9473" t="inlineStr">
        <is>
          <t>SANDVIKEN</t>
        </is>
      </c>
      <c r="I9473" t="n">
        <v>6.4</v>
      </c>
      <c r="J9473" t="n">
        <v>0</v>
      </c>
      <c r="K9473" t="n">
        <v>0</v>
      </c>
      <c r="L9473" t="n">
        <v>0</v>
      </c>
      <c r="M9473" t="n">
        <v>0</v>
      </c>
      <c r="N9473" t="n">
        <v>0</v>
      </c>
      <c r="O9473" t="n">
        <v>0</v>
      </c>
      <c r="P9473" t="n">
        <v>0</v>
      </c>
      <c r="Q9473" t="n">
        <v>0</v>
      </c>
      <c r="R9473" t="n">
        <v>0</v>
      </c>
      <c r="S9473" t="n">
        <v>0</v>
      </c>
      <c r="T9473" t="n">
        <v>0</v>
      </c>
      <c r="U9473" t="n">
        <v>0</v>
      </c>
      <c r="V9473" s="2" t="inlineStr"/>
    </row>
    <row r="9474" ht="15" customHeight="1">
      <c r="A9474" t="inlineStr">
        <is>
          <t>A 31809-2026</t>
        </is>
      </c>
      <c r="B9474" t="inlineStr">
        <is>
          <t>avverkningsanmälan</t>
        </is>
      </c>
      <c r="C9474" t="inlineStr">
        <is>
          <t>Föryngringsavverkning</t>
        </is>
      </c>
      <c r="D9474" s="1" t="n">
        <v>46230</v>
      </c>
      <c r="E9474" s="1" t="n">
        <v>46326</v>
      </c>
      <c r="F9474" t="inlineStr">
        <is>
          <t>GÄVLEBORGS LÄN</t>
        </is>
      </c>
      <c r="G9474" t="inlineStr">
        <is>
          <t>BOLLNÄS</t>
        </is>
      </c>
      <c r="H9474" t="inlineStr">
        <is>
          <t>Bergvik skog väst AB</t>
        </is>
      </c>
      <c r="I9474" t="n">
        <v>0.3</v>
      </c>
      <c r="J9474" t="n">
        <v>0</v>
      </c>
      <c r="K9474" t="n">
        <v>0</v>
      </c>
      <c r="L9474" t="n">
        <v>0</v>
      </c>
      <c r="M9474" t="n">
        <v>0</v>
      </c>
      <c r="N9474" t="n">
        <v>0</v>
      </c>
      <c r="O9474" t="n">
        <v>0</v>
      </c>
      <c r="P9474" t="n">
        <v>0</v>
      </c>
      <c r="Q9474" t="n">
        <v>0</v>
      </c>
      <c r="R9474" t="n">
        <v>0</v>
      </c>
      <c r="S9474" t="n">
        <v>0</v>
      </c>
      <c r="T9474" t="n">
        <v>0</v>
      </c>
      <c r="U9474" t="n">
        <v>0</v>
      </c>
      <c r="V9474" s="2" t="inlineStr"/>
    </row>
    <row r="9475" ht="15" customHeight="1">
      <c r="A9475" t="inlineStr">
        <is>
          <t>A 38346-2024</t>
        </is>
      </c>
      <c r="B9475" t="inlineStr">
        <is>
          <t>avverkningsanmälan</t>
        </is>
      </c>
      <c r="C9475" t="inlineStr">
        <is>
          <t>Föryngringsavverkning</t>
        </is>
      </c>
      <c r="D9475" s="1" t="n">
        <v>45545</v>
      </c>
      <c r="E9475" s="1" t="n">
        <v>46326</v>
      </c>
      <c r="F9475" t="inlineStr">
        <is>
          <t>GÄVLEBORGS LÄN</t>
        </is>
      </c>
      <c r="G9475" t="inlineStr">
        <is>
          <t>NORDANSTIG</t>
        </is>
      </c>
      <c r="H9475" t="inlineStr">
        <is>
          <t>Holmen skog AB</t>
        </is>
      </c>
      <c r="I9475" t="n">
        <v>3.4</v>
      </c>
      <c r="J9475" t="n">
        <v>0</v>
      </c>
      <c r="K9475" t="n">
        <v>0</v>
      </c>
      <c r="L9475" t="n">
        <v>0</v>
      </c>
      <c r="M9475" t="n">
        <v>0</v>
      </c>
      <c r="N9475" t="n">
        <v>0</v>
      </c>
      <c r="O9475" t="n">
        <v>0</v>
      </c>
      <c r="P9475" t="n">
        <v>0</v>
      </c>
      <c r="Q9475" t="n">
        <v>0</v>
      </c>
      <c r="R9475" t="n">
        <v>0</v>
      </c>
      <c r="S9475" t="n">
        <v>0</v>
      </c>
      <c r="T9475" t="n">
        <v>0</v>
      </c>
      <c r="U9475" t="n">
        <v>0</v>
      </c>
      <c r="V9475" s="2" t="inlineStr"/>
    </row>
    <row r="9476" ht="15" customHeight="1">
      <c r="A9476" t="inlineStr">
        <is>
          <t>A 43499-2024</t>
        </is>
      </c>
      <c r="B9476" t="inlineStr">
        <is>
          <t>avverkningsanmälan</t>
        </is>
      </c>
      <c r="C9476" t="inlineStr">
        <is>
          <t>Föryngringsavverkning</t>
        </is>
      </c>
      <c r="D9476" s="1" t="n">
        <v>45569</v>
      </c>
      <c r="E9476" s="1" t="n">
        <v>46326</v>
      </c>
      <c r="F9476" t="inlineStr">
        <is>
          <t>GÄVLEBORGS LÄN</t>
        </is>
      </c>
      <c r="G9476" t="inlineStr">
        <is>
          <t>LJUSDAL</t>
        </is>
      </c>
      <c r="I9476" t="n">
        <v>1.2</v>
      </c>
      <c r="J9476" t="n">
        <v>0</v>
      </c>
      <c r="K9476" t="n">
        <v>0</v>
      </c>
      <c r="L9476" t="n">
        <v>0</v>
      </c>
      <c r="M9476" t="n">
        <v>0</v>
      </c>
      <c r="N9476" t="n">
        <v>0</v>
      </c>
      <c r="O9476" t="n">
        <v>0</v>
      </c>
      <c r="P9476" t="n">
        <v>0</v>
      </c>
      <c r="Q9476" t="n">
        <v>0</v>
      </c>
      <c r="R9476" t="n">
        <v>0</v>
      </c>
      <c r="S9476" t="n">
        <v>0</v>
      </c>
      <c r="T9476" t="n">
        <v>0</v>
      </c>
      <c r="U9476" t="n">
        <v>0</v>
      </c>
      <c r="V9476" s="2" t="inlineStr"/>
    </row>
    <row r="9477" ht="15" customHeight="1">
      <c r="A9477" t="inlineStr">
        <is>
          <t>A 15171-2023</t>
        </is>
      </c>
      <c r="B9477" t="inlineStr">
        <is>
          <t>avverkningsanmälan</t>
        </is>
      </c>
      <c r="C9477" t="inlineStr">
        <is>
          <t>Avverkning för annat ändamål</t>
        </is>
      </c>
      <c r="D9477" s="1" t="n">
        <v>45016</v>
      </c>
      <c r="E9477" s="1" t="n">
        <v>46326</v>
      </c>
      <c r="F9477" t="inlineStr">
        <is>
          <t>GÄVLEBORGS LÄN</t>
        </is>
      </c>
      <c r="G9477" t="inlineStr">
        <is>
          <t>LJUSDAL</t>
        </is>
      </c>
      <c r="I9477" t="n">
        <v>1.8</v>
      </c>
      <c r="J9477" t="n">
        <v>0</v>
      </c>
      <c r="K9477" t="n">
        <v>0</v>
      </c>
      <c r="L9477" t="n">
        <v>0</v>
      </c>
      <c r="M9477" t="n">
        <v>0</v>
      </c>
      <c r="N9477" t="n">
        <v>0</v>
      </c>
      <c r="O9477" t="n">
        <v>0</v>
      </c>
      <c r="P9477" t="n">
        <v>0</v>
      </c>
      <c r="Q9477" t="n">
        <v>0</v>
      </c>
      <c r="R9477" t="n">
        <v>0</v>
      </c>
      <c r="S9477" t="n">
        <v>0</v>
      </c>
      <c r="T9477" t="n">
        <v>0</v>
      </c>
      <c r="U9477" t="n">
        <v>0</v>
      </c>
      <c r="V9477" s="2" t="inlineStr"/>
    </row>
    <row r="9478" ht="15" customHeight="1">
      <c r="A9478" t="inlineStr">
        <is>
          <t>A 31723-2026</t>
        </is>
      </c>
      <c r="B9478" t="inlineStr">
        <is>
          <t>avverkningsanmälan</t>
        </is>
      </c>
      <c r="C9478" t="inlineStr">
        <is>
          <t>Föryngringsavverkning</t>
        </is>
      </c>
      <c r="D9478" s="1" t="n">
        <v>46227</v>
      </c>
      <c r="E9478" s="1" t="n">
        <v>46326</v>
      </c>
      <c r="F9478" t="inlineStr">
        <is>
          <t>GÄVLEBORGS LÄN</t>
        </is>
      </c>
      <c r="G9478" t="inlineStr">
        <is>
          <t>SANDVIKEN</t>
        </is>
      </c>
      <c r="H9478" t="inlineStr">
        <is>
          <t>Kommuner</t>
        </is>
      </c>
      <c r="I9478" t="n">
        <v>9.300000000000001</v>
      </c>
      <c r="J9478" t="n">
        <v>0</v>
      </c>
      <c r="K9478" t="n">
        <v>0</v>
      </c>
      <c r="L9478" t="n">
        <v>0</v>
      </c>
      <c r="M9478" t="n">
        <v>0</v>
      </c>
      <c r="N9478" t="n">
        <v>0</v>
      </c>
      <c r="O9478" t="n">
        <v>0</v>
      </c>
      <c r="P9478" t="n">
        <v>0</v>
      </c>
      <c r="Q9478" t="n">
        <v>0</v>
      </c>
      <c r="R9478" t="n">
        <v>0</v>
      </c>
      <c r="S9478" t="n">
        <v>0</v>
      </c>
      <c r="T9478" t="n">
        <v>0</v>
      </c>
      <c r="U9478" t="n">
        <v>0</v>
      </c>
      <c r="V9478" s="2" t="inlineStr"/>
    </row>
    <row r="9479" ht="15" customHeight="1">
      <c r="A9479" t="inlineStr">
        <is>
          <t>A 31728-2026</t>
        </is>
      </c>
      <c r="B9479" t="inlineStr">
        <is>
          <t>avverkningsanmälan</t>
        </is>
      </c>
      <c r="C9479" t="inlineStr">
        <is>
          <t>Föryngringsavverkning</t>
        </is>
      </c>
      <c r="D9479" s="1" t="n">
        <v>46227</v>
      </c>
      <c r="E9479" s="1" t="n">
        <v>46326</v>
      </c>
      <c r="F9479" t="inlineStr">
        <is>
          <t>GÄVLEBORGS LÄN</t>
        </is>
      </c>
      <c r="G9479" t="inlineStr">
        <is>
          <t>SÖDERHAMN</t>
        </is>
      </c>
      <c r="I9479" t="n">
        <v>11.5</v>
      </c>
      <c r="J9479" t="n">
        <v>0</v>
      </c>
      <c r="K9479" t="n">
        <v>0</v>
      </c>
      <c r="L9479" t="n">
        <v>0</v>
      </c>
      <c r="M9479" t="n">
        <v>0</v>
      </c>
      <c r="N9479" t="n">
        <v>0</v>
      </c>
      <c r="O9479" t="n">
        <v>0</v>
      </c>
      <c r="P9479" t="n">
        <v>0</v>
      </c>
      <c r="Q9479" t="n">
        <v>0</v>
      </c>
      <c r="R9479" t="n">
        <v>0</v>
      </c>
      <c r="S9479" t="n">
        <v>0</v>
      </c>
      <c r="T9479" t="n">
        <v>0</v>
      </c>
      <c r="U9479" t="n">
        <v>0</v>
      </c>
      <c r="V9479" s="2" t="inlineStr"/>
    </row>
    <row r="9480" ht="15" customHeight="1">
      <c r="A9480" t="inlineStr">
        <is>
          <t>A 6765-2025</t>
        </is>
      </c>
      <c r="B9480" t="inlineStr">
        <is>
          <t>avverkningsanmälan</t>
        </is>
      </c>
      <c r="C9480" t="inlineStr">
        <is>
          <t>Föryngringsavverkning</t>
        </is>
      </c>
      <c r="D9480" s="1" t="n">
        <v>45700</v>
      </c>
      <c r="E9480" s="1" t="n">
        <v>46326</v>
      </c>
      <c r="F9480" t="inlineStr">
        <is>
          <t>GÄVLEBORGS LÄN</t>
        </is>
      </c>
      <c r="G9480" t="inlineStr">
        <is>
          <t>SANDVIKEN</t>
        </is>
      </c>
      <c r="I9480" t="n">
        <v>7.1</v>
      </c>
      <c r="J9480" t="n">
        <v>0</v>
      </c>
      <c r="K9480" t="n">
        <v>0</v>
      </c>
      <c r="L9480" t="n">
        <v>0</v>
      </c>
      <c r="M9480" t="n">
        <v>0</v>
      </c>
      <c r="N9480" t="n">
        <v>0</v>
      </c>
      <c r="O9480" t="n">
        <v>0</v>
      </c>
      <c r="P9480" t="n">
        <v>0</v>
      </c>
      <c r="Q9480" t="n">
        <v>0</v>
      </c>
      <c r="R9480" t="n">
        <v>0</v>
      </c>
      <c r="S9480" t="n">
        <v>0</v>
      </c>
      <c r="T9480" t="n">
        <v>0</v>
      </c>
      <c r="U9480" t="n">
        <v>0</v>
      </c>
      <c r="V9480" s="2" t="inlineStr"/>
    </row>
    <row r="9481" ht="15" customHeight="1">
      <c r="A9481" t="inlineStr">
        <is>
          <t>A 31779-2026</t>
        </is>
      </c>
      <c r="B9481" t="inlineStr">
        <is>
          <t>avverkningsanmälan</t>
        </is>
      </c>
      <c r="C9481" t="inlineStr">
        <is>
          <t>Föryngringsavverkning</t>
        </is>
      </c>
      <c r="D9481" s="1" t="n">
        <v>46230</v>
      </c>
      <c r="E9481" s="1" t="n">
        <v>46326</v>
      </c>
      <c r="F9481" t="inlineStr">
        <is>
          <t>GÄVLEBORGS LÄN</t>
        </is>
      </c>
      <c r="G9481" t="inlineStr">
        <is>
          <t>LJUSDAL</t>
        </is>
      </c>
      <c r="H9481" t="inlineStr">
        <is>
          <t>Allmännings- och besparingsskogar</t>
        </is>
      </c>
      <c r="I9481" t="n">
        <v>2.9</v>
      </c>
      <c r="J9481" t="n">
        <v>0</v>
      </c>
      <c r="K9481" t="n">
        <v>0</v>
      </c>
      <c r="L9481" t="n">
        <v>0</v>
      </c>
      <c r="M9481" t="n">
        <v>0</v>
      </c>
      <c r="N9481" t="n">
        <v>0</v>
      </c>
      <c r="O9481" t="n">
        <v>0</v>
      </c>
      <c r="P9481" t="n">
        <v>0</v>
      </c>
      <c r="Q9481" t="n">
        <v>0</v>
      </c>
      <c r="R9481" t="n">
        <v>0</v>
      </c>
      <c r="S9481" t="n">
        <v>0</v>
      </c>
      <c r="T9481" t="n">
        <v>0</v>
      </c>
      <c r="U9481" t="n">
        <v>0</v>
      </c>
      <c r="V9481" s="2" t="inlineStr"/>
    </row>
    <row r="9482" ht="15" customHeight="1">
      <c r="A9482" t="inlineStr">
        <is>
          <t>A 55715-2023</t>
        </is>
      </c>
      <c r="B9482" t="inlineStr">
        <is>
          <t>avverkningsanmälan</t>
        </is>
      </c>
      <c r="C9482" t="inlineStr">
        <is>
          <t>Föryngringsavverkning</t>
        </is>
      </c>
      <c r="D9482" s="1" t="n">
        <v>45239</v>
      </c>
      <c r="E9482" s="1" t="n">
        <v>46326</v>
      </c>
      <c r="F9482" t="inlineStr">
        <is>
          <t>GÄVLEBORGS LÄN</t>
        </is>
      </c>
      <c r="G9482" t="inlineStr">
        <is>
          <t>OCKELBO</t>
        </is>
      </c>
      <c r="I9482" t="n">
        <v>0.5</v>
      </c>
      <c r="J9482" t="n">
        <v>0</v>
      </c>
      <c r="K9482" t="n">
        <v>0</v>
      </c>
      <c r="L9482" t="n">
        <v>0</v>
      </c>
      <c r="M9482" t="n">
        <v>0</v>
      </c>
      <c r="N9482" t="n">
        <v>0</v>
      </c>
      <c r="O9482" t="n">
        <v>0</v>
      </c>
      <c r="P9482" t="n">
        <v>0</v>
      </c>
      <c r="Q9482" t="n">
        <v>0</v>
      </c>
      <c r="R9482" t="n">
        <v>0</v>
      </c>
      <c r="S9482" t="n">
        <v>0</v>
      </c>
      <c r="T9482" t="n">
        <v>0</v>
      </c>
      <c r="U9482" t="n">
        <v>0</v>
      </c>
      <c r="V9482" s="2" t="inlineStr"/>
    </row>
    <row r="9483" ht="15" customHeight="1">
      <c r="A9483" t="inlineStr">
        <is>
          <t>A 4235-2025</t>
        </is>
      </c>
      <c r="B9483" t="inlineStr">
        <is>
          <t>avverkningsanmälan</t>
        </is>
      </c>
      <c r="C9483" t="inlineStr">
        <is>
          <t>Föryngringsavverkning</t>
        </is>
      </c>
      <c r="D9483" s="1" t="n">
        <v>45685</v>
      </c>
      <c r="E9483" s="1" t="n">
        <v>46326</v>
      </c>
      <c r="F9483" t="inlineStr">
        <is>
          <t>GÄVLEBORGS LÄN</t>
        </is>
      </c>
      <c r="G9483" t="inlineStr">
        <is>
          <t>GÄVLE</t>
        </is>
      </c>
      <c r="I9483" t="n">
        <v>0.6</v>
      </c>
      <c r="J9483" t="n">
        <v>0</v>
      </c>
      <c r="K9483" t="n">
        <v>0</v>
      </c>
      <c r="L9483" t="n">
        <v>0</v>
      </c>
      <c r="M9483" t="n">
        <v>0</v>
      </c>
      <c r="N9483" t="n">
        <v>0</v>
      </c>
      <c r="O9483" t="n">
        <v>0</v>
      </c>
      <c r="P9483" t="n">
        <v>0</v>
      </c>
      <c r="Q9483" t="n">
        <v>0</v>
      </c>
      <c r="R9483" t="n">
        <v>0</v>
      </c>
      <c r="S9483" t="n">
        <v>0</v>
      </c>
      <c r="T9483" t="n">
        <v>0</v>
      </c>
      <c r="U9483" t="n">
        <v>0</v>
      </c>
      <c r="V9483" s="2" t="inlineStr"/>
    </row>
    <row r="9484" ht="15" customHeight="1">
      <c r="A9484" t="inlineStr">
        <is>
          <t>A 31821-2026</t>
        </is>
      </c>
      <c r="B9484" t="inlineStr">
        <is>
          <t>avverkningsanmälan</t>
        </is>
      </c>
      <c r="C9484" t="inlineStr">
        <is>
          <t>Föryngringsavverkning</t>
        </is>
      </c>
      <c r="D9484" s="1" t="n">
        <v>46230</v>
      </c>
      <c r="E9484" s="1" t="n">
        <v>46326</v>
      </c>
      <c r="F9484" t="inlineStr">
        <is>
          <t>GÄVLEBORGS LÄN</t>
        </is>
      </c>
      <c r="G9484" t="inlineStr">
        <is>
          <t>OVANÅKER</t>
        </is>
      </c>
      <c r="H9484" t="inlineStr">
        <is>
          <t>Bergvik skog väst AB</t>
        </is>
      </c>
      <c r="I9484" t="n">
        <v>2.9</v>
      </c>
      <c r="J9484" t="n">
        <v>0</v>
      </c>
      <c r="K9484" t="n">
        <v>0</v>
      </c>
      <c r="L9484" t="n">
        <v>0</v>
      </c>
      <c r="M9484" t="n">
        <v>0</v>
      </c>
      <c r="N9484" t="n">
        <v>0</v>
      </c>
      <c r="O9484" t="n">
        <v>0</v>
      </c>
      <c r="P9484" t="n">
        <v>0</v>
      </c>
      <c r="Q9484" t="n">
        <v>0</v>
      </c>
      <c r="R9484" t="n">
        <v>0</v>
      </c>
      <c r="S9484" t="n">
        <v>0</v>
      </c>
      <c r="T9484" t="n">
        <v>0</v>
      </c>
      <c r="U9484" t="n">
        <v>0</v>
      </c>
      <c r="V9484" s="2" t="inlineStr"/>
    </row>
    <row r="9485" ht="15" customHeight="1">
      <c r="A9485" t="inlineStr">
        <is>
          <t>A 47889-2022</t>
        </is>
      </c>
      <c r="B9485" t="inlineStr">
        <is>
          <t>avverkningsanmälan</t>
        </is>
      </c>
      <c r="C9485" t="inlineStr">
        <is>
          <t>Föryngringsavverkning</t>
        </is>
      </c>
      <c r="D9485" s="1" t="n">
        <v>44855</v>
      </c>
      <c r="E9485" s="1" t="n">
        <v>46326</v>
      </c>
      <c r="F9485" t="inlineStr">
        <is>
          <t>GÄVLEBORGS LÄN</t>
        </is>
      </c>
      <c r="G9485" t="inlineStr">
        <is>
          <t>SANDVIKEN</t>
        </is>
      </c>
      <c r="H9485" t="inlineStr">
        <is>
          <t>Sveaskog</t>
        </is>
      </c>
      <c r="I9485" t="n">
        <v>1.1</v>
      </c>
      <c r="J9485" t="n">
        <v>0</v>
      </c>
      <c r="K9485" t="n">
        <v>0</v>
      </c>
      <c r="L9485" t="n">
        <v>0</v>
      </c>
      <c r="M9485" t="n">
        <v>0</v>
      </c>
      <c r="N9485" t="n">
        <v>0</v>
      </c>
      <c r="O9485" t="n">
        <v>0</v>
      </c>
      <c r="P9485" t="n">
        <v>0</v>
      </c>
      <c r="Q9485" t="n">
        <v>0</v>
      </c>
      <c r="R9485" t="n">
        <v>0</v>
      </c>
      <c r="S9485" t="n">
        <v>0</v>
      </c>
      <c r="T9485" t="n">
        <v>0</v>
      </c>
      <c r="U9485" t="n">
        <v>0</v>
      </c>
      <c r="V9485" s="2" t="inlineStr"/>
    </row>
    <row r="9486" ht="15" customHeight="1">
      <c r="A9486" t="inlineStr">
        <is>
          <t>A 31965-2026</t>
        </is>
      </c>
      <c r="B9486" t="inlineStr">
        <is>
          <t>avverkningsanmälan</t>
        </is>
      </c>
      <c r="C9486" t="inlineStr">
        <is>
          <t>Föryngringsavverkning</t>
        </is>
      </c>
      <c r="D9486" s="1" t="n">
        <v>46232</v>
      </c>
      <c r="E9486" s="1" t="n">
        <v>46326</v>
      </c>
      <c r="F9486" t="inlineStr">
        <is>
          <t>GÄVLEBORGS LÄN</t>
        </is>
      </c>
      <c r="G9486" t="inlineStr">
        <is>
          <t>LJUSDAL</t>
        </is>
      </c>
      <c r="H9486" t="inlineStr">
        <is>
          <t>Allmännings- och besparingsskogar</t>
        </is>
      </c>
      <c r="I9486" t="n">
        <v>6.1</v>
      </c>
      <c r="J9486" t="n">
        <v>0</v>
      </c>
      <c r="K9486" t="n">
        <v>0</v>
      </c>
      <c r="L9486" t="n">
        <v>0</v>
      </c>
      <c r="M9486" t="n">
        <v>0</v>
      </c>
      <c r="N9486" t="n">
        <v>0</v>
      </c>
      <c r="O9486" t="n">
        <v>0</v>
      </c>
      <c r="P9486" t="n">
        <v>0</v>
      </c>
      <c r="Q9486" t="n">
        <v>0</v>
      </c>
      <c r="R9486" t="n">
        <v>0</v>
      </c>
      <c r="S9486" t="n">
        <v>0</v>
      </c>
      <c r="T9486" t="n">
        <v>0</v>
      </c>
      <c r="U9486" t="n">
        <v>0</v>
      </c>
      <c r="V9486" s="2" t="inlineStr"/>
    </row>
    <row r="9487" ht="15" customHeight="1">
      <c r="A9487" t="inlineStr">
        <is>
          <t>A 4497-2024</t>
        </is>
      </c>
      <c r="B9487" t="inlineStr">
        <is>
          <t>avverkningsanmälan</t>
        </is>
      </c>
      <c r="C9487" t="inlineStr">
        <is>
          <t>Avverkning för annat ändamål</t>
        </is>
      </c>
      <c r="D9487" s="1" t="n">
        <v>45327</v>
      </c>
      <c r="E9487" s="1" t="n">
        <v>46326</v>
      </c>
      <c r="F9487" t="inlineStr">
        <is>
          <t>GÄVLEBORGS LÄN</t>
        </is>
      </c>
      <c r="G9487" t="inlineStr">
        <is>
          <t>SÖDERHAMN</t>
        </is>
      </c>
      <c r="I9487" t="n">
        <v>0.6</v>
      </c>
      <c r="J9487" t="n">
        <v>0</v>
      </c>
      <c r="K9487" t="n">
        <v>0</v>
      </c>
      <c r="L9487" t="n">
        <v>0</v>
      </c>
      <c r="M9487" t="n">
        <v>0</v>
      </c>
      <c r="N9487" t="n">
        <v>0</v>
      </c>
      <c r="O9487" t="n">
        <v>0</v>
      </c>
      <c r="P9487" t="n">
        <v>0</v>
      </c>
      <c r="Q9487" t="n">
        <v>0</v>
      </c>
      <c r="R9487" t="n">
        <v>0</v>
      </c>
      <c r="S9487" t="n">
        <v>0</v>
      </c>
      <c r="T9487" t="n">
        <v>0</v>
      </c>
      <c r="U9487" t="n">
        <v>0</v>
      </c>
      <c r="V9487" s="2" t="inlineStr"/>
    </row>
    <row r="9488" ht="15" customHeight="1">
      <c r="A9488" t="inlineStr">
        <is>
          <t>A 31923-2026</t>
        </is>
      </c>
      <c r="B9488" t="inlineStr">
        <is>
          <t>avverkningsanmälan</t>
        </is>
      </c>
      <c r="C9488" t="inlineStr">
        <is>
          <t>Föryngringsavverkning</t>
        </is>
      </c>
      <c r="D9488" s="1" t="n">
        <v>46231</v>
      </c>
      <c r="E9488" s="1" t="n">
        <v>46326</v>
      </c>
      <c r="F9488" t="inlineStr">
        <is>
          <t>GÄVLEBORGS LÄN</t>
        </is>
      </c>
      <c r="G9488" t="inlineStr">
        <is>
          <t>LJUSDAL</t>
        </is>
      </c>
      <c r="H9488" t="inlineStr">
        <is>
          <t>Allmännings- och besparingsskogar</t>
        </is>
      </c>
      <c r="I9488" t="n">
        <v>1.7</v>
      </c>
      <c r="J9488" t="n">
        <v>0</v>
      </c>
      <c r="K9488" t="n">
        <v>0</v>
      </c>
      <c r="L9488" t="n">
        <v>0</v>
      </c>
      <c r="M9488" t="n">
        <v>0</v>
      </c>
      <c r="N9488" t="n">
        <v>0</v>
      </c>
      <c r="O9488" t="n">
        <v>0</v>
      </c>
      <c r="P9488" t="n">
        <v>0</v>
      </c>
      <c r="Q9488" t="n">
        <v>0</v>
      </c>
      <c r="R9488" t="n">
        <v>0</v>
      </c>
      <c r="S9488" t="n">
        <v>0</v>
      </c>
      <c r="T9488" t="n">
        <v>0</v>
      </c>
      <c r="U9488" t="n">
        <v>0</v>
      </c>
      <c r="V9488" s="2" t="inlineStr"/>
    </row>
    <row r="9489" ht="15" customHeight="1">
      <c r="A9489" t="inlineStr">
        <is>
          <t>A 29260-2023</t>
        </is>
      </c>
      <c r="B9489" t="inlineStr">
        <is>
          <t>avverkningsanmälan</t>
        </is>
      </c>
      <c r="C9489" t="inlineStr">
        <is>
          <t>Föryngringsavverkning</t>
        </is>
      </c>
      <c r="D9489" s="1" t="n">
        <v>45105</v>
      </c>
      <c r="E9489" s="1" t="n">
        <v>46326</v>
      </c>
      <c r="F9489" t="inlineStr">
        <is>
          <t>GÄVLEBORGS LÄN</t>
        </is>
      </c>
      <c r="G9489" t="inlineStr">
        <is>
          <t>LJUSDAL</t>
        </is>
      </c>
      <c r="I9489" t="n">
        <v>0.9</v>
      </c>
      <c r="J9489" t="n">
        <v>0</v>
      </c>
      <c r="K9489" t="n">
        <v>0</v>
      </c>
      <c r="L9489" t="n">
        <v>0</v>
      </c>
      <c r="M9489" t="n">
        <v>0</v>
      </c>
      <c r="N9489" t="n">
        <v>0</v>
      </c>
      <c r="O9489" t="n">
        <v>0</v>
      </c>
      <c r="P9489" t="n">
        <v>0</v>
      </c>
      <c r="Q9489" t="n">
        <v>0</v>
      </c>
      <c r="R9489" t="n">
        <v>0</v>
      </c>
      <c r="S9489" t="n">
        <v>0</v>
      </c>
      <c r="T9489" t="n">
        <v>0</v>
      </c>
      <c r="U9489" t="n">
        <v>0</v>
      </c>
      <c r="V9489" s="2" t="inlineStr"/>
    </row>
    <row r="9490" ht="15" customHeight="1">
      <c r="A9490" t="inlineStr">
        <is>
          <t>A 29972-2022</t>
        </is>
      </c>
      <c r="B9490" t="inlineStr">
        <is>
          <t>avverkningsanmälan</t>
        </is>
      </c>
      <c r="C9490" t="inlineStr">
        <is>
          <t>Föryngringsavverkning</t>
        </is>
      </c>
      <c r="D9490" s="1" t="n">
        <v>44756</v>
      </c>
      <c r="E9490" s="1" t="n">
        <v>46326</v>
      </c>
      <c r="F9490" t="inlineStr">
        <is>
          <t>GÄVLEBORGS LÄN</t>
        </is>
      </c>
      <c r="G9490" t="inlineStr">
        <is>
          <t>SANDVIKEN</t>
        </is>
      </c>
      <c r="I9490" t="n">
        <v>2.9</v>
      </c>
      <c r="J9490" t="n">
        <v>0</v>
      </c>
      <c r="K9490" t="n">
        <v>0</v>
      </c>
      <c r="L9490" t="n">
        <v>0</v>
      </c>
      <c r="M9490" t="n">
        <v>0</v>
      </c>
      <c r="N9490" t="n">
        <v>0</v>
      </c>
      <c r="O9490" t="n">
        <v>0</v>
      </c>
      <c r="P9490" t="n">
        <v>0</v>
      </c>
      <c r="Q9490" t="n">
        <v>0</v>
      </c>
      <c r="R9490" t="n">
        <v>0</v>
      </c>
      <c r="S9490" t="n">
        <v>0</v>
      </c>
      <c r="T9490" t="n">
        <v>0</v>
      </c>
      <c r="U9490" t="n">
        <v>0</v>
      </c>
      <c r="V9490" s="2" t="inlineStr"/>
    </row>
    <row r="9491" ht="15" customHeight="1">
      <c r="A9491" t="inlineStr">
        <is>
          <t>A 18997-2025</t>
        </is>
      </c>
      <c r="B9491" t="inlineStr">
        <is>
          <t>avverkningsanmälan</t>
        </is>
      </c>
      <c r="C9491" t="inlineStr">
        <is>
          <t>Föryngringsavverkning</t>
        </is>
      </c>
      <c r="D9491" s="1" t="n">
        <v>45764</v>
      </c>
      <c r="E9491" s="1" t="n">
        <v>46326</v>
      </c>
      <c r="F9491" t="inlineStr">
        <is>
          <t>GÄVLEBORGS LÄN</t>
        </is>
      </c>
      <c r="G9491" t="inlineStr">
        <is>
          <t>HUDIKSVALL</t>
        </is>
      </c>
      <c r="H9491" t="inlineStr">
        <is>
          <t>Holmen skog AB</t>
        </is>
      </c>
      <c r="I9491" t="n">
        <v>3.5</v>
      </c>
      <c r="J9491" t="n">
        <v>0</v>
      </c>
      <c r="K9491" t="n">
        <v>0</v>
      </c>
      <c r="L9491" t="n">
        <v>0</v>
      </c>
      <c r="M9491" t="n">
        <v>0</v>
      </c>
      <c r="N9491" t="n">
        <v>0</v>
      </c>
      <c r="O9491" t="n">
        <v>0</v>
      </c>
      <c r="P9491" t="n">
        <v>0</v>
      </c>
      <c r="Q9491" t="n">
        <v>0</v>
      </c>
      <c r="R9491" t="n">
        <v>0</v>
      </c>
      <c r="S9491" t="n">
        <v>0</v>
      </c>
      <c r="T9491" t="n">
        <v>0</v>
      </c>
      <c r="U9491" t="n">
        <v>0</v>
      </c>
      <c r="V9491" s="2" t="inlineStr"/>
    </row>
    <row r="9492" ht="15" customHeight="1">
      <c r="A9492" t="inlineStr">
        <is>
          <t>A 19064-2025</t>
        </is>
      </c>
      <c r="B9492" t="inlineStr">
        <is>
          <t>avverkningsanmälan</t>
        </is>
      </c>
      <c r="C9492" t="inlineStr">
        <is>
          <t>Föryngringsavverkning</t>
        </is>
      </c>
      <c r="D9492" s="1" t="n">
        <v>45765</v>
      </c>
      <c r="E9492" s="1" t="n">
        <v>46326</v>
      </c>
      <c r="F9492" t="inlineStr">
        <is>
          <t>GÄVLEBORGS LÄN</t>
        </is>
      </c>
      <c r="G9492" t="inlineStr">
        <is>
          <t>LJUSDAL</t>
        </is>
      </c>
      <c r="H9492" t="inlineStr">
        <is>
          <t>SCA</t>
        </is>
      </c>
      <c r="I9492" t="n">
        <v>6.9</v>
      </c>
      <c r="J9492" t="n">
        <v>0</v>
      </c>
      <c r="K9492" t="n">
        <v>0</v>
      </c>
      <c r="L9492" t="n">
        <v>0</v>
      </c>
      <c r="M9492" t="n">
        <v>0</v>
      </c>
      <c r="N9492" t="n">
        <v>0</v>
      </c>
      <c r="O9492" t="n">
        <v>0</v>
      </c>
      <c r="P9492" t="n">
        <v>0</v>
      </c>
      <c r="Q9492" t="n">
        <v>0</v>
      </c>
      <c r="R9492" t="n">
        <v>0</v>
      </c>
      <c r="S9492" t="n">
        <v>0</v>
      </c>
      <c r="T9492" t="n">
        <v>0</v>
      </c>
      <c r="U9492" t="n">
        <v>0</v>
      </c>
      <c r="V9492" s="2" t="inlineStr"/>
    </row>
    <row r="9493" ht="15" customHeight="1">
      <c r="A9493" t="inlineStr">
        <is>
          <t>A 18322-2024</t>
        </is>
      </c>
      <c r="B9493" t="inlineStr">
        <is>
          <t>avverkningsanmälan</t>
        </is>
      </c>
      <c r="C9493" t="inlineStr">
        <is>
          <t>Föryngringsavverkning</t>
        </is>
      </c>
      <c r="D9493" s="1" t="n">
        <v>45422</v>
      </c>
      <c r="E9493" s="1" t="n">
        <v>46326</v>
      </c>
      <c r="F9493" t="inlineStr">
        <is>
          <t>GÄVLEBORGS LÄN</t>
        </is>
      </c>
      <c r="G9493" t="inlineStr">
        <is>
          <t>NORDANSTIG</t>
        </is>
      </c>
      <c r="H9493" t="inlineStr">
        <is>
          <t>Holmen skog AB</t>
        </is>
      </c>
      <c r="I9493" t="n">
        <v>3.3</v>
      </c>
      <c r="J9493" t="n">
        <v>0</v>
      </c>
      <c r="K9493" t="n">
        <v>0</v>
      </c>
      <c r="L9493" t="n">
        <v>0</v>
      </c>
      <c r="M9493" t="n">
        <v>0</v>
      </c>
      <c r="N9493" t="n">
        <v>0</v>
      </c>
      <c r="O9493" t="n">
        <v>0</v>
      </c>
      <c r="P9493" t="n">
        <v>0</v>
      </c>
      <c r="Q9493" t="n">
        <v>0</v>
      </c>
      <c r="R9493" t="n">
        <v>0</v>
      </c>
      <c r="S9493" t="n">
        <v>0</v>
      </c>
      <c r="T9493" t="n">
        <v>0</v>
      </c>
      <c r="U9493" t="n">
        <v>0</v>
      </c>
      <c r="V9493" s="2" t="inlineStr"/>
    </row>
    <row r="9494" ht="15" customHeight="1">
      <c r="A9494" t="inlineStr">
        <is>
          <t>A 16385-2023</t>
        </is>
      </c>
      <c r="B9494" t="inlineStr">
        <is>
          <t>avverkningsanmälan</t>
        </is>
      </c>
      <c r="C9494" t="inlineStr">
        <is>
          <t>Föryngringsavverkning</t>
        </is>
      </c>
      <c r="D9494" s="1" t="n">
        <v>45022</v>
      </c>
      <c r="E9494" s="1" t="n">
        <v>46326</v>
      </c>
      <c r="F9494" t="inlineStr">
        <is>
          <t>GÄVLEBORGS LÄN</t>
        </is>
      </c>
      <c r="G9494" t="inlineStr">
        <is>
          <t>SANDVIKEN</t>
        </is>
      </c>
      <c r="I9494" t="n">
        <v>1</v>
      </c>
      <c r="J9494" t="n">
        <v>0</v>
      </c>
      <c r="K9494" t="n">
        <v>0</v>
      </c>
      <c r="L9494" t="n">
        <v>0</v>
      </c>
      <c r="M9494" t="n">
        <v>0</v>
      </c>
      <c r="N9494" t="n">
        <v>0</v>
      </c>
      <c r="O9494" t="n">
        <v>0</v>
      </c>
      <c r="P9494" t="n">
        <v>0</v>
      </c>
      <c r="Q9494" t="n">
        <v>0</v>
      </c>
      <c r="R9494" t="n">
        <v>0</v>
      </c>
      <c r="S9494" t="n">
        <v>0</v>
      </c>
      <c r="T9494" t="n">
        <v>0</v>
      </c>
      <c r="U9494" t="n">
        <v>0</v>
      </c>
      <c r="V9494" s="2" t="inlineStr"/>
    </row>
    <row r="9495" ht="15" customHeight="1">
      <c r="A9495" t="inlineStr">
        <is>
          <t>A 31985-2026</t>
        </is>
      </c>
      <c r="B9495" t="inlineStr">
        <is>
          <t>avverkningsanmälan</t>
        </is>
      </c>
      <c r="C9495" t="inlineStr">
        <is>
          <t>Föryngringsavverkning</t>
        </is>
      </c>
      <c r="D9495" s="1" t="n">
        <v>46232</v>
      </c>
      <c r="E9495" s="1" t="n">
        <v>46326</v>
      </c>
      <c r="F9495" t="inlineStr">
        <is>
          <t>GÄVLEBORGS LÄN</t>
        </is>
      </c>
      <c r="G9495" t="inlineStr">
        <is>
          <t>OVANÅKER</t>
        </is>
      </c>
      <c r="I9495" t="n">
        <v>5.1</v>
      </c>
      <c r="J9495" t="n">
        <v>0</v>
      </c>
      <c r="K9495" t="n">
        <v>0</v>
      </c>
      <c r="L9495" t="n">
        <v>0</v>
      </c>
      <c r="M9495" t="n">
        <v>0</v>
      </c>
      <c r="N9495" t="n">
        <v>0</v>
      </c>
      <c r="O9495" t="n">
        <v>0</v>
      </c>
      <c r="P9495" t="n">
        <v>0</v>
      </c>
      <c r="Q9495" t="n">
        <v>0</v>
      </c>
      <c r="R9495" t="n">
        <v>0</v>
      </c>
      <c r="S9495" t="n">
        <v>0</v>
      </c>
      <c r="T9495" t="n">
        <v>0</v>
      </c>
      <c r="U9495" t="n">
        <v>0</v>
      </c>
      <c r="V9495" s="2" t="inlineStr"/>
    </row>
    <row r="9496" ht="15" customHeight="1">
      <c r="A9496" t="inlineStr">
        <is>
          <t>A 31988-2026</t>
        </is>
      </c>
      <c r="B9496" t="inlineStr">
        <is>
          <t>avverkningsanmälan</t>
        </is>
      </c>
      <c r="C9496" t="inlineStr">
        <is>
          <t>Föryngringsavverkning</t>
        </is>
      </c>
      <c r="D9496" s="1" t="n">
        <v>46232</v>
      </c>
      <c r="E9496" s="1" t="n">
        <v>46326</v>
      </c>
      <c r="F9496" t="inlineStr">
        <is>
          <t>GÄVLEBORGS LÄN</t>
        </is>
      </c>
      <c r="G9496" t="inlineStr">
        <is>
          <t>OVANÅKER</t>
        </is>
      </c>
      <c r="I9496" t="n">
        <v>4.8</v>
      </c>
      <c r="J9496" t="n">
        <v>0</v>
      </c>
      <c r="K9496" t="n">
        <v>0</v>
      </c>
      <c r="L9496" t="n">
        <v>0</v>
      </c>
      <c r="M9496" t="n">
        <v>0</v>
      </c>
      <c r="N9496" t="n">
        <v>0</v>
      </c>
      <c r="O9496" t="n">
        <v>0</v>
      </c>
      <c r="P9496" t="n">
        <v>0</v>
      </c>
      <c r="Q9496" t="n">
        <v>0</v>
      </c>
      <c r="R9496" t="n">
        <v>0</v>
      </c>
      <c r="S9496" t="n">
        <v>0</v>
      </c>
      <c r="T9496" t="n">
        <v>0</v>
      </c>
      <c r="U9496" t="n">
        <v>0</v>
      </c>
      <c r="V9496" s="2" t="inlineStr"/>
    </row>
    <row r="9497" ht="15" customHeight="1">
      <c r="A9497" t="inlineStr">
        <is>
          <t>A 33802-2023</t>
        </is>
      </c>
      <c r="B9497" t="inlineStr">
        <is>
          <t>avverkningsanmälan</t>
        </is>
      </c>
      <c r="C9497" t="inlineStr">
        <is>
          <t>Föryngringsavverkning</t>
        </is>
      </c>
      <c r="D9497" s="1" t="n">
        <v>45133</v>
      </c>
      <c r="E9497" s="1" t="n">
        <v>46326</v>
      </c>
      <c r="F9497" t="inlineStr">
        <is>
          <t>GÄVLEBORGS LÄN</t>
        </is>
      </c>
      <c r="G9497" t="inlineStr">
        <is>
          <t>LJUSDAL</t>
        </is>
      </c>
      <c r="H9497" t="inlineStr">
        <is>
          <t>Bergvik skog väst AB</t>
        </is>
      </c>
      <c r="I9497" t="n">
        <v>0.5</v>
      </c>
      <c r="J9497" t="n">
        <v>0</v>
      </c>
      <c r="K9497" t="n">
        <v>0</v>
      </c>
      <c r="L9497" t="n">
        <v>0</v>
      </c>
      <c r="M9497" t="n">
        <v>0</v>
      </c>
      <c r="N9497" t="n">
        <v>0</v>
      </c>
      <c r="O9497" t="n">
        <v>0</v>
      </c>
      <c r="P9497" t="n">
        <v>0</v>
      </c>
      <c r="Q9497" t="n">
        <v>0</v>
      </c>
      <c r="R9497" t="n">
        <v>0</v>
      </c>
      <c r="S9497" t="n">
        <v>0</v>
      </c>
      <c r="T9497" t="n">
        <v>0</v>
      </c>
      <c r="U9497" t="n">
        <v>0</v>
      </c>
      <c r="V9497" s="2" t="inlineStr"/>
    </row>
    <row r="9498" ht="15" customHeight="1">
      <c r="A9498" t="inlineStr">
        <is>
          <t>A 31882-2026</t>
        </is>
      </c>
      <c r="B9498" t="inlineStr">
        <is>
          <t>avverkningsanmälan</t>
        </is>
      </c>
      <c r="C9498" t="inlineStr">
        <is>
          <t>Föryngringsavverkning</t>
        </is>
      </c>
      <c r="D9498" s="1" t="n">
        <v>46231</v>
      </c>
      <c r="E9498" s="1" t="n">
        <v>46326</v>
      </c>
      <c r="F9498" t="inlineStr">
        <is>
          <t>GÄVLEBORGS LÄN</t>
        </is>
      </c>
      <c r="G9498" t="inlineStr">
        <is>
          <t>OVANÅKER</t>
        </is>
      </c>
      <c r="H9498" t="inlineStr">
        <is>
          <t>Bergvik skog väst AB</t>
        </is>
      </c>
      <c r="I9498" t="n">
        <v>3.1</v>
      </c>
      <c r="J9498" t="n">
        <v>0</v>
      </c>
      <c r="K9498" t="n">
        <v>0</v>
      </c>
      <c r="L9498" t="n">
        <v>0</v>
      </c>
      <c r="M9498" t="n">
        <v>0</v>
      </c>
      <c r="N9498" t="n">
        <v>0</v>
      </c>
      <c r="O9498" t="n">
        <v>0</v>
      </c>
      <c r="P9498" t="n">
        <v>0</v>
      </c>
      <c r="Q9498" t="n">
        <v>0</v>
      </c>
      <c r="R9498" t="n">
        <v>0</v>
      </c>
      <c r="S9498" t="n">
        <v>0</v>
      </c>
      <c r="T9498" t="n">
        <v>0</v>
      </c>
      <c r="U9498" t="n">
        <v>0</v>
      </c>
      <c r="V9498" s="2" t="inlineStr"/>
    </row>
    <row r="9499" ht="15" customHeight="1">
      <c r="A9499" t="inlineStr">
        <is>
          <t>A 31919-2026</t>
        </is>
      </c>
      <c r="B9499" t="inlineStr">
        <is>
          <t>avverkningsanmälan</t>
        </is>
      </c>
      <c r="C9499" t="inlineStr">
        <is>
          <t>Föryngringsavverkning</t>
        </is>
      </c>
      <c r="D9499" s="1" t="n">
        <v>46231</v>
      </c>
      <c r="E9499" s="1" t="n">
        <v>46326</v>
      </c>
      <c r="F9499" t="inlineStr">
        <is>
          <t>GÄVLEBORGS LÄN</t>
        </is>
      </c>
      <c r="G9499" t="inlineStr">
        <is>
          <t>OVANÅKER</t>
        </is>
      </c>
      <c r="H9499" t="inlineStr">
        <is>
          <t>Bergvik skog väst AB</t>
        </is>
      </c>
      <c r="I9499" t="n">
        <v>3.7</v>
      </c>
      <c r="J9499" t="n">
        <v>0</v>
      </c>
      <c r="K9499" t="n">
        <v>0</v>
      </c>
      <c r="L9499" t="n">
        <v>0</v>
      </c>
      <c r="M9499" t="n">
        <v>0</v>
      </c>
      <c r="N9499" t="n">
        <v>0</v>
      </c>
      <c r="O9499" t="n">
        <v>0</v>
      </c>
      <c r="P9499" t="n">
        <v>0</v>
      </c>
      <c r="Q9499" t="n">
        <v>0</v>
      </c>
      <c r="R9499" t="n">
        <v>0</v>
      </c>
      <c r="S9499" t="n">
        <v>0</v>
      </c>
      <c r="T9499" t="n">
        <v>0</v>
      </c>
      <c r="U9499" t="n">
        <v>0</v>
      </c>
      <c r="V9499" s="2" t="inlineStr"/>
    </row>
    <row r="9500" ht="15" customHeight="1">
      <c r="A9500" t="inlineStr">
        <is>
          <t>A 54685-2024</t>
        </is>
      </c>
      <c r="B9500" t="inlineStr">
        <is>
          <t>avverkningsanmälan</t>
        </is>
      </c>
      <c r="C9500" t="inlineStr">
        <is>
          <t>Föryngringsavverkning</t>
        </is>
      </c>
      <c r="D9500" s="1" t="n">
        <v>45618</v>
      </c>
      <c r="E9500" s="1" t="n">
        <v>46326</v>
      </c>
      <c r="F9500" t="inlineStr">
        <is>
          <t>GÄVLEBORGS LÄN</t>
        </is>
      </c>
      <c r="G9500" t="inlineStr">
        <is>
          <t>NORDANSTIG</t>
        </is>
      </c>
      <c r="H9500" t="inlineStr">
        <is>
          <t>Holmen skog AB</t>
        </is>
      </c>
      <c r="I9500" t="n">
        <v>1.8</v>
      </c>
      <c r="J9500" t="n">
        <v>0</v>
      </c>
      <c r="K9500" t="n">
        <v>0</v>
      </c>
      <c r="L9500" t="n">
        <v>0</v>
      </c>
      <c r="M9500" t="n">
        <v>0</v>
      </c>
      <c r="N9500" t="n">
        <v>0</v>
      </c>
      <c r="O9500" t="n">
        <v>0</v>
      </c>
      <c r="P9500" t="n">
        <v>0</v>
      </c>
      <c r="Q9500" t="n">
        <v>0</v>
      </c>
      <c r="R9500" t="n">
        <v>0</v>
      </c>
      <c r="S9500" t="n">
        <v>0</v>
      </c>
      <c r="T9500" t="n">
        <v>0</v>
      </c>
      <c r="U9500" t="n">
        <v>0</v>
      </c>
      <c r="V9500" s="2" t="inlineStr"/>
    </row>
    <row r="9501" ht="15" customHeight="1">
      <c r="A9501" t="inlineStr">
        <is>
          <t>A 31906-2026</t>
        </is>
      </c>
      <c r="B9501" t="inlineStr">
        <is>
          <t>avverkningsanmälan</t>
        </is>
      </c>
      <c r="C9501" t="inlineStr">
        <is>
          <t>Föryngringsavverkning</t>
        </is>
      </c>
      <c r="D9501" s="1" t="n">
        <v>46231</v>
      </c>
      <c r="E9501" s="1" t="n">
        <v>46326</v>
      </c>
      <c r="F9501" t="inlineStr">
        <is>
          <t>GÄVLEBORGS LÄN</t>
        </is>
      </c>
      <c r="G9501" t="inlineStr">
        <is>
          <t>OVANÅKER</t>
        </is>
      </c>
      <c r="H9501" t="inlineStr">
        <is>
          <t>Bergvik skog väst AB</t>
        </is>
      </c>
      <c r="I9501" t="n">
        <v>9.4</v>
      </c>
      <c r="J9501" t="n">
        <v>0</v>
      </c>
      <c r="K9501" t="n">
        <v>0</v>
      </c>
      <c r="L9501" t="n">
        <v>0</v>
      </c>
      <c r="M9501" t="n">
        <v>0</v>
      </c>
      <c r="N9501" t="n">
        <v>0</v>
      </c>
      <c r="O9501" t="n">
        <v>0</v>
      </c>
      <c r="P9501" t="n">
        <v>0</v>
      </c>
      <c r="Q9501" t="n">
        <v>0</v>
      </c>
      <c r="R9501" t="n">
        <v>0</v>
      </c>
      <c r="S9501" t="n">
        <v>0</v>
      </c>
      <c r="T9501" t="n">
        <v>0</v>
      </c>
      <c r="U9501" t="n">
        <v>0</v>
      </c>
      <c r="V9501" s="2" t="inlineStr"/>
    </row>
    <row r="9502" ht="15" customHeight="1">
      <c r="A9502" t="inlineStr">
        <is>
          <t>A 31916-2026</t>
        </is>
      </c>
      <c r="B9502" t="inlineStr">
        <is>
          <t>avverkningsanmälan</t>
        </is>
      </c>
      <c r="C9502" t="inlineStr">
        <is>
          <t>Föryngringsavverkning</t>
        </is>
      </c>
      <c r="D9502" s="1" t="n">
        <v>46231</v>
      </c>
      <c r="E9502" s="1" t="n">
        <v>46326</v>
      </c>
      <c r="F9502" t="inlineStr">
        <is>
          <t>GÄVLEBORGS LÄN</t>
        </is>
      </c>
      <c r="G9502" t="inlineStr">
        <is>
          <t>OVANÅKER</t>
        </is>
      </c>
      <c r="H9502" t="inlineStr">
        <is>
          <t>Bergvik skog väst AB</t>
        </is>
      </c>
      <c r="I9502" t="n">
        <v>7.3</v>
      </c>
      <c r="J9502" t="n">
        <v>0</v>
      </c>
      <c r="K9502" t="n">
        <v>0</v>
      </c>
      <c r="L9502" t="n">
        <v>0</v>
      </c>
      <c r="M9502" t="n">
        <v>0</v>
      </c>
      <c r="N9502" t="n">
        <v>0</v>
      </c>
      <c r="O9502" t="n">
        <v>0</v>
      </c>
      <c r="P9502" t="n">
        <v>0</v>
      </c>
      <c r="Q9502" t="n">
        <v>0</v>
      </c>
      <c r="R9502" t="n">
        <v>0</v>
      </c>
      <c r="S9502" t="n">
        <v>0</v>
      </c>
      <c r="T9502" t="n">
        <v>0</v>
      </c>
      <c r="U9502" t="n">
        <v>0</v>
      </c>
      <c r="V9502" s="2" t="inlineStr"/>
    </row>
    <row r="9503" ht="15" customHeight="1">
      <c r="A9503" t="inlineStr">
        <is>
          <t>A 31922-2026</t>
        </is>
      </c>
      <c r="B9503" t="inlineStr">
        <is>
          <t>avverkningsanmälan</t>
        </is>
      </c>
      <c r="C9503" t="inlineStr">
        <is>
          <t>Föryngringsavverkning</t>
        </is>
      </c>
      <c r="D9503" s="1" t="n">
        <v>46231</v>
      </c>
      <c r="E9503" s="1" t="n">
        <v>46326</v>
      </c>
      <c r="F9503" t="inlineStr">
        <is>
          <t>GÄVLEBORGS LÄN</t>
        </is>
      </c>
      <c r="G9503" t="inlineStr">
        <is>
          <t>BOLLNÄS</t>
        </is>
      </c>
      <c r="I9503" t="n">
        <v>14.7</v>
      </c>
      <c r="J9503" t="n">
        <v>0</v>
      </c>
      <c r="K9503" t="n">
        <v>0</v>
      </c>
      <c r="L9503" t="n">
        <v>0</v>
      </c>
      <c r="M9503" t="n">
        <v>0</v>
      </c>
      <c r="N9503" t="n">
        <v>0</v>
      </c>
      <c r="O9503" t="n">
        <v>0</v>
      </c>
      <c r="P9503" t="n">
        <v>0</v>
      </c>
      <c r="Q9503" t="n">
        <v>0</v>
      </c>
      <c r="R9503" t="n">
        <v>0</v>
      </c>
      <c r="S9503" t="n">
        <v>0</v>
      </c>
      <c r="T9503" t="n">
        <v>0</v>
      </c>
      <c r="U9503" t="n">
        <v>0</v>
      </c>
      <c r="V9503" s="2" t="inlineStr"/>
    </row>
    <row r="9504" ht="15" customHeight="1">
      <c r="A9504" t="inlineStr">
        <is>
          <t>A 20605-2026</t>
        </is>
      </c>
      <c r="B9504" t="inlineStr">
        <is>
          <t>avverkningsanmälan</t>
        </is>
      </c>
      <c r="C9504" t="inlineStr">
        <is>
          <t>Föryngringsavverkning</t>
        </is>
      </c>
      <c r="D9504" s="1" t="n">
        <v>46140</v>
      </c>
      <c r="E9504" s="1" t="n">
        <v>46326</v>
      </c>
      <c r="F9504" t="inlineStr">
        <is>
          <t>GÄVLEBORGS LÄN</t>
        </is>
      </c>
      <c r="G9504" t="inlineStr">
        <is>
          <t>OCKELBO</t>
        </is>
      </c>
      <c r="I9504" t="n">
        <v>1.7</v>
      </c>
      <c r="J9504" t="n">
        <v>0</v>
      </c>
      <c r="K9504" t="n">
        <v>0</v>
      </c>
      <c r="L9504" t="n">
        <v>0</v>
      </c>
      <c r="M9504" t="n">
        <v>0</v>
      </c>
      <c r="N9504" t="n">
        <v>0</v>
      </c>
      <c r="O9504" t="n">
        <v>0</v>
      </c>
      <c r="P9504" t="n">
        <v>0</v>
      </c>
      <c r="Q9504" t="n">
        <v>0</v>
      </c>
      <c r="R9504" t="n">
        <v>0</v>
      </c>
      <c r="S9504" t="n">
        <v>0</v>
      </c>
      <c r="T9504" t="n">
        <v>0</v>
      </c>
      <c r="U9504" t="n">
        <v>0</v>
      </c>
      <c r="V9504" s="2" t="inlineStr"/>
    </row>
    <row r="9505" ht="15" customHeight="1">
      <c r="A9505" t="inlineStr">
        <is>
          <t>A 250-2025</t>
        </is>
      </c>
      <c r="B9505" t="inlineStr">
        <is>
          <t>avverkningsanmälan</t>
        </is>
      </c>
      <c r="C9505" t="inlineStr">
        <is>
          <t>Föryngringsavverkning</t>
        </is>
      </c>
      <c r="D9505" s="1" t="n">
        <v>45660</v>
      </c>
      <c r="E9505" s="1" t="n">
        <v>46326</v>
      </c>
      <c r="F9505" t="inlineStr">
        <is>
          <t>GÄVLEBORGS LÄN</t>
        </is>
      </c>
      <c r="G9505" t="inlineStr">
        <is>
          <t>GÄVLE</t>
        </is>
      </c>
      <c r="I9505" t="n">
        <v>3.1</v>
      </c>
      <c r="J9505" t="n">
        <v>0</v>
      </c>
      <c r="K9505" t="n">
        <v>0</v>
      </c>
      <c r="L9505" t="n">
        <v>0</v>
      </c>
      <c r="M9505" t="n">
        <v>0</v>
      </c>
      <c r="N9505" t="n">
        <v>0</v>
      </c>
      <c r="O9505" t="n">
        <v>0</v>
      </c>
      <c r="P9505" t="n">
        <v>0</v>
      </c>
      <c r="Q9505" t="n">
        <v>0</v>
      </c>
      <c r="R9505" t="n">
        <v>0</v>
      </c>
      <c r="S9505" t="n">
        <v>0</v>
      </c>
      <c r="T9505" t="n">
        <v>0</v>
      </c>
      <c r="U9505" t="n">
        <v>0</v>
      </c>
      <c r="V9505" s="2" t="inlineStr"/>
    </row>
    <row r="9506" ht="15" customHeight="1">
      <c r="A9506" t="inlineStr">
        <is>
          <t>A 18151-2024</t>
        </is>
      </c>
      <c r="B9506" t="inlineStr">
        <is>
          <t>avverkningsanmälan</t>
        </is>
      </c>
      <c r="C9506" t="inlineStr">
        <is>
          <t>Föryngringsavverkning</t>
        </is>
      </c>
      <c r="D9506" s="1" t="n">
        <v>45420</v>
      </c>
      <c r="E9506" s="1" t="n">
        <v>46326</v>
      </c>
      <c r="F9506" t="inlineStr">
        <is>
          <t>GÄVLEBORGS LÄN</t>
        </is>
      </c>
      <c r="G9506" t="inlineStr">
        <is>
          <t>BOLLNÄS</t>
        </is>
      </c>
      <c r="I9506" t="n">
        <v>7.2</v>
      </c>
      <c r="J9506" t="n">
        <v>0</v>
      </c>
      <c r="K9506" t="n">
        <v>0</v>
      </c>
      <c r="L9506" t="n">
        <v>0</v>
      </c>
      <c r="M9506" t="n">
        <v>0</v>
      </c>
      <c r="N9506" t="n">
        <v>0</v>
      </c>
      <c r="O9506" t="n">
        <v>0</v>
      </c>
      <c r="P9506" t="n">
        <v>0</v>
      </c>
      <c r="Q9506" t="n">
        <v>0</v>
      </c>
      <c r="R9506" t="n">
        <v>0</v>
      </c>
      <c r="S9506" t="n">
        <v>0</v>
      </c>
      <c r="T9506" t="n">
        <v>0</v>
      </c>
      <c r="U9506" t="n">
        <v>0</v>
      </c>
      <c r="V9506" s="2" t="inlineStr"/>
    </row>
    <row r="9507" ht="15" customHeight="1">
      <c r="A9507" t="inlineStr">
        <is>
          <t>A 57748-2025</t>
        </is>
      </c>
      <c r="B9507" t="inlineStr">
        <is>
          <t>avverkningsanmälan</t>
        </is>
      </c>
      <c r="C9507" t="inlineStr">
        <is>
          <t>Föryngringsavverkning</t>
        </is>
      </c>
      <c r="D9507" s="1" t="n">
        <v>45981</v>
      </c>
      <c r="E9507" s="1" t="n">
        <v>46326</v>
      </c>
      <c r="F9507" t="inlineStr">
        <is>
          <t>GÄVLEBORGS LÄN</t>
        </is>
      </c>
      <c r="G9507" t="inlineStr">
        <is>
          <t>LJUSDAL</t>
        </is>
      </c>
      <c r="I9507" t="n">
        <v>3.5</v>
      </c>
      <c r="J9507" t="n">
        <v>0</v>
      </c>
      <c r="K9507" t="n">
        <v>0</v>
      </c>
      <c r="L9507" t="n">
        <v>0</v>
      </c>
      <c r="M9507" t="n">
        <v>0</v>
      </c>
      <c r="N9507" t="n">
        <v>0</v>
      </c>
      <c r="O9507" t="n">
        <v>0</v>
      </c>
      <c r="P9507" t="n">
        <v>0</v>
      </c>
      <c r="Q9507" t="n">
        <v>0</v>
      </c>
      <c r="R9507" t="n">
        <v>0</v>
      </c>
      <c r="S9507" t="n">
        <v>0</v>
      </c>
      <c r="T9507" t="n">
        <v>0</v>
      </c>
      <c r="U9507" t="n">
        <v>0</v>
      </c>
      <c r="V9507" s="2" t="inlineStr"/>
    </row>
    <row r="9508" ht="15" customHeight="1">
      <c r="A9508" t="inlineStr">
        <is>
          <t>A 31273-2026</t>
        </is>
      </c>
      <c r="B9508" t="inlineStr">
        <is>
          <t>avverkningsanmälan</t>
        </is>
      </c>
      <c r="C9508" t="inlineStr">
        <is>
          <t>Föryngringsavverkning</t>
        </is>
      </c>
      <c r="D9508" s="1" t="n">
        <v>46218</v>
      </c>
      <c r="E9508" s="1" t="n">
        <v>46326</v>
      </c>
      <c r="F9508" t="inlineStr">
        <is>
          <t>GÄVLEBORGS LÄN</t>
        </is>
      </c>
      <c r="G9508" t="inlineStr">
        <is>
          <t>OVANÅKER</t>
        </is>
      </c>
      <c r="I9508" t="n">
        <v>16.6</v>
      </c>
      <c r="J9508" t="n">
        <v>0</v>
      </c>
      <c r="K9508" t="n">
        <v>0</v>
      </c>
      <c r="L9508" t="n">
        <v>0</v>
      </c>
      <c r="M9508" t="n">
        <v>0</v>
      </c>
      <c r="N9508" t="n">
        <v>0</v>
      </c>
      <c r="O9508" t="n">
        <v>0</v>
      </c>
      <c r="P9508" t="n">
        <v>0</v>
      </c>
      <c r="Q9508" t="n">
        <v>0</v>
      </c>
      <c r="R9508" t="n">
        <v>0</v>
      </c>
      <c r="S9508" t="n">
        <v>0</v>
      </c>
      <c r="T9508" t="n">
        <v>0</v>
      </c>
      <c r="U9508" t="n">
        <v>0</v>
      </c>
      <c r="V9508" s="2" t="inlineStr"/>
    </row>
    <row r="9509" ht="15" customHeight="1">
      <c r="A9509" t="inlineStr">
        <is>
          <t>A 55781-2022</t>
        </is>
      </c>
      <c r="B9509" t="inlineStr">
        <is>
          <t>avverkningsanmälan</t>
        </is>
      </c>
      <c r="C9509" t="inlineStr">
        <is>
          <t>Föryngringsavverkning</t>
        </is>
      </c>
      <c r="D9509" s="1" t="n">
        <v>44888</v>
      </c>
      <c r="E9509" s="1" t="n">
        <v>46326</v>
      </c>
      <c r="F9509" t="inlineStr">
        <is>
          <t>GÄVLEBORGS LÄN</t>
        </is>
      </c>
      <c r="G9509" t="inlineStr">
        <is>
          <t>LJUSDAL</t>
        </is>
      </c>
      <c r="H9509" t="inlineStr">
        <is>
          <t>Kommuner</t>
        </is>
      </c>
      <c r="I9509" t="n">
        <v>0.8</v>
      </c>
      <c r="J9509" t="n">
        <v>0</v>
      </c>
      <c r="K9509" t="n">
        <v>0</v>
      </c>
      <c r="L9509" t="n">
        <v>0</v>
      </c>
      <c r="M9509" t="n">
        <v>0</v>
      </c>
      <c r="N9509" t="n">
        <v>0</v>
      </c>
      <c r="O9509" t="n">
        <v>0</v>
      </c>
      <c r="P9509" t="n">
        <v>0</v>
      </c>
      <c r="Q9509" t="n">
        <v>0</v>
      </c>
      <c r="R9509" t="n">
        <v>0</v>
      </c>
      <c r="S9509" t="n">
        <v>0</v>
      </c>
      <c r="T9509" t="n">
        <v>0</v>
      </c>
      <c r="U9509" t="n">
        <v>0</v>
      </c>
      <c r="V9509" s="2" t="inlineStr"/>
    </row>
    <row r="9510" ht="15" customHeight="1">
      <c r="A9510" t="inlineStr">
        <is>
          <t>A 56138-2023</t>
        </is>
      </c>
      <c r="B9510" t="inlineStr">
        <is>
          <t>avverkningsanmälan</t>
        </is>
      </c>
      <c r="C9510" t="inlineStr">
        <is>
          <t>Föryngringsavverkning</t>
        </is>
      </c>
      <c r="D9510" s="1" t="n">
        <v>45240</v>
      </c>
      <c r="E9510" s="1" t="n">
        <v>46326</v>
      </c>
      <c r="F9510" t="inlineStr">
        <is>
          <t>GÄVLEBORGS LÄN</t>
        </is>
      </c>
      <c r="G9510" t="inlineStr">
        <is>
          <t>GÄVLE</t>
        </is>
      </c>
      <c r="I9510" t="n">
        <v>2.9</v>
      </c>
      <c r="J9510" t="n">
        <v>0</v>
      </c>
      <c r="K9510" t="n">
        <v>0</v>
      </c>
      <c r="L9510" t="n">
        <v>0</v>
      </c>
      <c r="M9510" t="n">
        <v>0</v>
      </c>
      <c r="N9510" t="n">
        <v>0</v>
      </c>
      <c r="O9510" t="n">
        <v>0</v>
      </c>
      <c r="P9510" t="n">
        <v>0</v>
      </c>
      <c r="Q9510" t="n">
        <v>0</v>
      </c>
      <c r="R9510" t="n">
        <v>0</v>
      </c>
      <c r="S9510" t="n">
        <v>0</v>
      </c>
      <c r="T9510" t="n">
        <v>0</v>
      </c>
      <c r="U9510" t="n">
        <v>0</v>
      </c>
      <c r="V9510" s="2" t="inlineStr"/>
    </row>
    <row r="9511" ht="15" customHeight="1">
      <c r="A9511" t="inlineStr">
        <is>
          <t>A 32057-2026</t>
        </is>
      </c>
      <c r="B9511" t="inlineStr">
        <is>
          <t>avverkningsanmälan</t>
        </is>
      </c>
      <c r="C9511" t="inlineStr">
        <is>
          <t>Föryngringsavverkning</t>
        </is>
      </c>
      <c r="D9511" s="1" t="n">
        <v>46233</v>
      </c>
      <c r="E9511" s="1" t="n">
        <v>46326</v>
      </c>
      <c r="F9511" t="inlineStr">
        <is>
          <t>GÄVLEBORGS LÄN</t>
        </is>
      </c>
      <c r="G9511" t="inlineStr">
        <is>
          <t>HUDIKSVALL</t>
        </is>
      </c>
      <c r="H9511" t="inlineStr">
        <is>
          <t>Holmen skog AB</t>
        </is>
      </c>
      <c r="I9511" t="n">
        <v>2.5</v>
      </c>
      <c r="J9511" t="n">
        <v>0</v>
      </c>
      <c r="K9511" t="n">
        <v>0</v>
      </c>
      <c r="L9511" t="n">
        <v>0</v>
      </c>
      <c r="M9511" t="n">
        <v>0</v>
      </c>
      <c r="N9511" t="n">
        <v>0</v>
      </c>
      <c r="O9511" t="n">
        <v>0</v>
      </c>
      <c r="P9511" t="n">
        <v>0</v>
      </c>
      <c r="Q9511" t="n">
        <v>0</v>
      </c>
      <c r="R9511" t="n">
        <v>0</v>
      </c>
      <c r="S9511" t="n">
        <v>0</v>
      </c>
      <c r="T9511" t="n">
        <v>0</v>
      </c>
      <c r="U9511" t="n">
        <v>0</v>
      </c>
      <c r="V9511" s="2" t="inlineStr"/>
    </row>
    <row r="9512" ht="15" customHeight="1">
      <c r="A9512" t="inlineStr">
        <is>
          <t>A 13911-2024</t>
        </is>
      </c>
      <c r="B9512" t="inlineStr">
        <is>
          <t>avverkningsanmälan</t>
        </is>
      </c>
      <c r="C9512" t="inlineStr">
        <is>
          <t>Föryngringsavverkning</t>
        </is>
      </c>
      <c r="D9512" s="1" t="n">
        <v>45391</v>
      </c>
      <c r="E9512" s="1" t="n">
        <v>46326</v>
      </c>
      <c r="F9512" t="inlineStr">
        <is>
          <t>GÄVLEBORGS LÄN</t>
        </is>
      </c>
      <c r="G9512" t="inlineStr">
        <is>
          <t>LJUSDAL</t>
        </is>
      </c>
      <c r="I9512" t="n">
        <v>18.2</v>
      </c>
      <c r="J9512" t="n">
        <v>0</v>
      </c>
      <c r="K9512" t="n">
        <v>0</v>
      </c>
      <c r="L9512" t="n">
        <v>0</v>
      </c>
      <c r="M9512" t="n">
        <v>0</v>
      </c>
      <c r="N9512" t="n">
        <v>0</v>
      </c>
      <c r="O9512" t="n">
        <v>0</v>
      </c>
      <c r="P9512" t="n">
        <v>0</v>
      </c>
      <c r="Q9512" t="n">
        <v>0</v>
      </c>
      <c r="R9512" t="n">
        <v>0</v>
      </c>
      <c r="S9512" t="n">
        <v>0</v>
      </c>
      <c r="T9512" t="n">
        <v>0</v>
      </c>
      <c r="U9512" t="n">
        <v>0</v>
      </c>
      <c r="V9512" s="2" t="inlineStr"/>
    </row>
    <row r="9513" ht="15" customHeight="1">
      <c r="A9513" t="inlineStr">
        <is>
          <t>A 33231-2023</t>
        </is>
      </c>
      <c r="B9513" t="inlineStr">
        <is>
          <t>avverkningsanmälan</t>
        </is>
      </c>
      <c r="C9513" t="inlineStr">
        <is>
          <t>Föryngringsavverkning</t>
        </is>
      </c>
      <c r="D9513" s="1" t="n">
        <v>45127</v>
      </c>
      <c r="E9513" s="1" t="n">
        <v>46326</v>
      </c>
      <c r="F9513" t="inlineStr">
        <is>
          <t>GÄVLEBORGS LÄN</t>
        </is>
      </c>
      <c r="G9513" t="inlineStr">
        <is>
          <t>OVANÅKER</t>
        </is>
      </c>
      <c r="H9513" t="inlineStr">
        <is>
          <t>Bergvik skog öst AB</t>
        </is>
      </c>
      <c r="I9513" t="n">
        <v>5.8</v>
      </c>
      <c r="J9513" t="n">
        <v>0</v>
      </c>
      <c r="K9513" t="n">
        <v>0</v>
      </c>
      <c r="L9513" t="n">
        <v>0</v>
      </c>
      <c r="M9513" t="n">
        <v>0</v>
      </c>
      <c r="N9513" t="n">
        <v>0</v>
      </c>
      <c r="O9513" t="n">
        <v>0</v>
      </c>
      <c r="P9513" t="n">
        <v>0</v>
      </c>
      <c r="Q9513" t="n">
        <v>0</v>
      </c>
      <c r="R9513" t="n">
        <v>0</v>
      </c>
      <c r="S9513" t="n">
        <v>0</v>
      </c>
      <c r="T9513" t="n">
        <v>0</v>
      </c>
      <c r="U9513" t="n">
        <v>0</v>
      </c>
      <c r="V9513" s="2" t="inlineStr"/>
    </row>
    <row r="9514" ht="15" customHeight="1">
      <c r="A9514" t="inlineStr">
        <is>
          <t>A 32092-2026</t>
        </is>
      </c>
      <c r="B9514" t="inlineStr">
        <is>
          <t>avverkningsanmälan</t>
        </is>
      </c>
      <c r="C9514" t="inlineStr">
        <is>
          <t>Föryngringsavverkning</t>
        </is>
      </c>
      <c r="D9514" s="1" t="n">
        <v>46234</v>
      </c>
      <c r="E9514" s="1" t="n">
        <v>46326</v>
      </c>
      <c r="F9514" t="inlineStr">
        <is>
          <t>GÄVLEBORGS LÄN</t>
        </is>
      </c>
      <c r="G9514" t="inlineStr">
        <is>
          <t>NORDANSTIG</t>
        </is>
      </c>
      <c r="H9514" t="inlineStr">
        <is>
          <t>Holmen skog AB</t>
        </is>
      </c>
      <c r="I9514" t="n">
        <v>2.5</v>
      </c>
      <c r="J9514" t="n">
        <v>0</v>
      </c>
      <c r="K9514" t="n">
        <v>0</v>
      </c>
      <c r="L9514" t="n">
        <v>0</v>
      </c>
      <c r="M9514" t="n">
        <v>0</v>
      </c>
      <c r="N9514" t="n">
        <v>0</v>
      </c>
      <c r="O9514" t="n">
        <v>0</v>
      </c>
      <c r="P9514" t="n">
        <v>0</v>
      </c>
      <c r="Q9514" t="n">
        <v>0</v>
      </c>
      <c r="R9514" t="n">
        <v>0</v>
      </c>
      <c r="S9514" t="n">
        <v>0</v>
      </c>
      <c r="T9514" t="n">
        <v>0</v>
      </c>
      <c r="U9514" t="n">
        <v>0</v>
      </c>
      <c r="V9514" s="2" t="inlineStr"/>
    </row>
    <row r="9515" ht="15" customHeight="1">
      <c r="A9515" t="inlineStr">
        <is>
          <t>A 32039-2026</t>
        </is>
      </c>
      <c r="B9515" t="inlineStr">
        <is>
          <t>avverkningsanmälan</t>
        </is>
      </c>
      <c r="C9515" t="inlineStr">
        <is>
          <t>Föryngringsavverkning</t>
        </is>
      </c>
      <c r="D9515" s="1" t="n">
        <v>46233</v>
      </c>
      <c r="E9515" s="1" t="n">
        <v>46326</v>
      </c>
      <c r="F9515" t="inlineStr">
        <is>
          <t>GÄVLEBORGS LÄN</t>
        </is>
      </c>
      <c r="G9515" t="inlineStr">
        <is>
          <t>HUDIKSVALL</t>
        </is>
      </c>
      <c r="H9515" t="inlineStr">
        <is>
          <t>Holmen skog AB</t>
        </is>
      </c>
      <c r="I9515" t="n">
        <v>3.2</v>
      </c>
      <c r="J9515" t="n">
        <v>0</v>
      </c>
      <c r="K9515" t="n">
        <v>0</v>
      </c>
      <c r="L9515" t="n">
        <v>0</v>
      </c>
      <c r="M9515" t="n">
        <v>0</v>
      </c>
      <c r="N9515" t="n">
        <v>0</v>
      </c>
      <c r="O9515" t="n">
        <v>0</v>
      </c>
      <c r="P9515" t="n">
        <v>0</v>
      </c>
      <c r="Q9515" t="n">
        <v>0</v>
      </c>
      <c r="R9515" t="n">
        <v>0</v>
      </c>
      <c r="S9515" t="n">
        <v>0</v>
      </c>
      <c r="T9515" t="n">
        <v>0</v>
      </c>
      <c r="U9515" t="n">
        <v>0</v>
      </c>
      <c r="V9515" s="2" t="inlineStr"/>
    </row>
    <row r="9516" ht="15" customHeight="1">
      <c r="A9516" t="inlineStr">
        <is>
          <t>A 20408-2026</t>
        </is>
      </c>
      <c r="B9516" t="inlineStr">
        <is>
          <t>avverkningsanmälan</t>
        </is>
      </c>
      <c r="C9516" t="inlineStr">
        <is>
          <t>Föryngringsavverkning</t>
        </is>
      </c>
      <c r="D9516" s="1" t="n">
        <v>46140</v>
      </c>
      <c r="E9516" s="1" t="n">
        <v>46326</v>
      </c>
      <c r="F9516" t="inlineStr">
        <is>
          <t>GÄVLEBORGS LÄN</t>
        </is>
      </c>
      <c r="G9516" t="inlineStr">
        <is>
          <t>OCKELBO</t>
        </is>
      </c>
      <c r="I9516" t="n">
        <v>1.3</v>
      </c>
      <c r="J9516" t="n">
        <v>0</v>
      </c>
      <c r="K9516" t="n">
        <v>0</v>
      </c>
      <c r="L9516" t="n">
        <v>0</v>
      </c>
      <c r="M9516" t="n">
        <v>0</v>
      </c>
      <c r="N9516" t="n">
        <v>0</v>
      </c>
      <c r="O9516" t="n">
        <v>0</v>
      </c>
      <c r="P9516" t="n">
        <v>0</v>
      </c>
      <c r="Q9516" t="n">
        <v>0</v>
      </c>
      <c r="R9516" t="n">
        <v>0</v>
      </c>
      <c r="S9516" t="n">
        <v>0</v>
      </c>
      <c r="T9516" t="n">
        <v>0</v>
      </c>
      <c r="U9516" t="n">
        <v>0</v>
      </c>
      <c r="V9516" s="2" t="inlineStr"/>
    </row>
    <row r="9517" ht="15" customHeight="1">
      <c r="A9517" t="inlineStr">
        <is>
          <t>A 32029-2026</t>
        </is>
      </c>
      <c r="B9517" t="inlineStr">
        <is>
          <t>avverkningsanmälan</t>
        </is>
      </c>
      <c r="C9517" t="inlineStr">
        <is>
          <t>Föryngringsavverkning</t>
        </is>
      </c>
      <c r="D9517" s="1" t="n">
        <v>46233</v>
      </c>
      <c r="E9517" s="1" t="n">
        <v>46326</v>
      </c>
      <c r="F9517" t="inlineStr">
        <is>
          <t>GÄVLEBORGS LÄN</t>
        </is>
      </c>
      <c r="G9517" t="inlineStr">
        <is>
          <t>HUDIKSVALL</t>
        </is>
      </c>
      <c r="H9517" t="inlineStr">
        <is>
          <t>Holmen skog AB</t>
        </is>
      </c>
      <c r="I9517" t="n">
        <v>5.6</v>
      </c>
      <c r="J9517" t="n">
        <v>0</v>
      </c>
      <c r="K9517" t="n">
        <v>0</v>
      </c>
      <c r="L9517" t="n">
        <v>0</v>
      </c>
      <c r="M9517" t="n">
        <v>0</v>
      </c>
      <c r="N9517" t="n">
        <v>0</v>
      </c>
      <c r="O9517" t="n">
        <v>0</v>
      </c>
      <c r="P9517" t="n">
        <v>0</v>
      </c>
      <c r="Q9517" t="n">
        <v>0</v>
      </c>
      <c r="R9517" t="n">
        <v>0</v>
      </c>
      <c r="S9517" t="n">
        <v>0</v>
      </c>
      <c r="T9517" t="n">
        <v>0</v>
      </c>
      <c r="U9517" t="n">
        <v>0</v>
      </c>
      <c r="V9517" s="2" t="inlineStr"/>
    </row>
    <row r="9518" ht="15" customHeight="1">
      <c r="A9518" t="inlineStr">
        <is>
          <t>A 27590-2023</t>
        </is>
      </c>
      <c r="B9518" t="inlineStr">
        <is>
          <t>avverkningsanmälan</t>
        </is>
      </c>
      <c r="C9518" t="inlineStr">
        <is>
          <t>Föryngringsavverkning</t>
        </is>
      </c>
      <c r="D9518" s="1" t="n">
        <v>45097</v>
      </c>
      <c r="E9518" s="1" t="n">
        <v>46326</v>
      </c>
      <c r="F9518" t="inlineStr">
        <is>
          <t>GÄVLEBORGS LÄN</t>
        </is>
      </c>
      <c r="G9518" t="inlineStr">
        <is>
          <t>BOLLNÄS</t>
        </is>
      </c>
      <c r="I9518" t="n">
        <v>3.8</v>
      </c>
      <c r="J9518" t="n">
        <v>0</v>
      </c>
      <c r="K9518" t="n">
        <v>0</v>
      </c>
      <c r="L9518" t="n">
        <v>0</v>
      </c>
      <c r="M9518" t="n">
        <v>0</v>
      </c>
      <c r="N9518" t="n">
        <v>0</v>
      </c>
      <c r="O9518" t="n">
        <v>0</v>
      </c>
      <c r="P9518" t="n">
        <v>0</v>
      </c>
      <c r="Q9518" t="n">
        <v>0</v>
      </c>
      <c r="R9518" t="n">
        <v>0</v>
      </c>
      <c r="S9518" t="n">
        <v>0</v>
      </c>
      <c r="T9518" t="n">
        <v>0</v>
      </c>
      <c r="U9518" t="n">
        <v>0</v>
      </c>
      <c r="V9518" s="2" t="inlineStr"/>
    </row>
    <row r="9519" ht="15" customHeight="1">
      <c r="A9519" t="inlineStr">
        <is>
          <t>A 20456-2024</t>
        </is>
      </c>
      <c r="B9519" t="inlineStr">
        <is>
          <t>avverkningsanmälan</t>
        </is>
      </c>
      <c r="C9519" t="inlineStr">
        <is>
          <t>Föryngringsavverkning</t>
        </is>
      </c>
      <c r="D9519" s="1" t="n">
        <v>45435</v>
      </c>
      <c r="E9519" s="1" t="n">
        <v>46326</v>
      </c>
      <c r="F9519" t="inlineStr">
        <is>
          <t>GÄVLEBORGS LÄN</t>
        </is>
      </c>
      <c r="G9519" t="inlineStr">
        <is>
          <t>SÖDERHAMN</t>
        </is>
      </c>
      <c r="I9519" t="n">
        <v>0.5</v>
      </c>
      <c r="J9519" t="n">
        <v>0</v>
      </c>
      <c r="K9519" t="n">
        <v>0</v>
      </c>
      <c r="L9519" t="n">
        <v>0</v>
      </c>
      <c r="M9519" t="n">
        <v>0</v>
      </c>
      <c r="N9519" t="n">
        <v>0</v>
      </c>
      <c r="O9519" t="n">
        <v>0</v>
      </c>
      <c r="P9519" t="n">
        <v>0</v>
      </c>
      <c r="Q9519" t="n">
        <v>0</v>
      </c>
      <c r="R9519" t="n">
        <v>0</v>
      </c>
      <c r="S9519" t="n">
        <v>0</v>
      </c>
      <c r="T9519" t="n">
        <v>0</v>
      </c>
      <c r="U9519" t="n">
        <v>0</v>
      </c>
      <c r="V9519" s="2" t="inlineStr"/>
    </row>
    <row r="9520" ht="15" customHeight="1">
      <c r="A9520" t="inlineStr">
        <is>
          <t>A 32015-2026</t>
        </is>
      </c>
      <c r="B9520" t="inlineStr">
        <is>
          <t>avverkningsanmälan</t>
        </is>
      </c>
      <c r="C9520" t="inlineStr">
        <is>
          <t>Föryngringsavverkning</t>
        </is>
      </c>
      <c r="D9520" s="1" t="n">
        <v>46233</v>
      </c>
      <c r="E9520" s="1" t="n">
        <v>46326</v>
      </c>
      <c r="F9520" t="inlineStr">
        <is>
          <t>GÄVLEBORGS LÄN</t>
        </is>
      </c>
      <c r="G9520" t="inlineStr">
        <is>
          <t>HUDIKSVALL</t>
        </is>
      </c>
      <c r="H9520" t="inlineStr">
        <is>
          <t>Holmen skog AB</t>
        </is>
      </c>
      <c r="I9520" t="n">
        <v>4.3</v>
      </c>
      <c r="J9520" t="n">
        <v>0</v>
      </c>
      <c r="K9520" t="n">
        <v>0</v>
      </c>
      <c r="L9520" t="n">
        <v>0</v>
      </c>
      <c r="M9520" t="n">
        <v>0</v>
      </c>
      <c r="N9520" t="n">
        <v>0</v>
      </c>
      <c r="O9520" t="n">
        <v>0</v>
      </c>
      <c r="P9520" t="n">
        <v>0</v>
      </c>
      <c r="Q9520" t="n">
        <v>0</v>
      </c>
      <c r="R9520" t="n">
        <v>0</v>
      </c>
      <c r="S9520" t="n">
        <v>0</v>
      </c>
      <c r="T9520" t="n">
        <v>0</v>
      </c>
      <c r="U9520" t="n">
        <v>0</v>
      </c>
      <c r="V9520" s="2" t="inlineStr"/>
    </row>
    <row r="9521" ht="15" customHeight="1">
      <c r="A9521" t="inlineStr">
        <is>
          <t>A 47149-2024</t>
        </is>
      </c>
      <c r="B9521" t="inlineStr">
        <is>
          <t>avverkningsanmälan</t>
        </is>
      </c>
      <c r="C9521" t="inlineStr">
        <is>
          <t>Föryngringsavverkning</t>
        </is>
      </c>
      <c r="D9521" s="1" t="n">
        <v>45586</v>
      </c>
      <c r="E9521" s="1" t="n">
        <v>46326</v>
      </c>
      <c r="F9521" t="inlineStr">
        <is>
          <t>GÄVLEBORGS LÄN</t>
        </is>
      </c>
      <c r="G9521" t="inlineStr">
        <is>
          <t>HUDIKSVALL</t>
        </is>
      </c>
      <c r="I9521" t="n">
        <v>0.8</v>
      </c>
      <c r="J9521" t="n">
        <v>0</v>
      </c>
      <c r="K9521" t="n">
        <v>0</v>
      </c>
      <c r="L9521" t="n">
        <v>0</v>
      </c>
      <c r="M9521" t="n">
        <v>0</v>
      </c>
      <c r="N9521" t="n">
        <v>0</v>
      </c>
      <c r="O9521" t="n">
        <v>0</v>
      </c>
      <c r="P9521" t="n">
        <v>0</v>
      </c>
      <c r="Q9521" t="n">
        <v>0</v>
      </c>
      <c r="R9521" t="n">
        <v>0</v>
      </c>
      <c r="S9521" t="n">
        <v>0</v>
      </c>
      <c r="T9521" t="n">
        <v>0</v>
      </c>
      <c r="U9521" t="n">
        <v>0</v>
      </c>
      <c r="V9521" s="2" t="inlineStr"/>
    </row>
    <row r="9522" ht="15" customHeight="1">
      <c r="A9522" t="inlineStr">
        <is>
          <t>A 32059-2026</t>
        </is>
      </c>
      <c r="B9522" t="inlineStr">
        <is>
          <t>avverkningsanmälan</t>
        </is>
      </c>
      <c r="C9522" t="inlineStr">
        <is>
          <t>Föryngringsavverkning</t>
        </is>
      </c>
      <c r="D9522" s="1" t="n">
        <v>46233</v>
      </c>
      <c r="E9522" s="1" t="n">
        <v>46326</v>
      </c>
      <c r="F9522" t="inlineStr">
        <is>
          <t>GÄVLEBORGS LÄN</t>
        </is>
      </c>
      <c r="G9522" t="inlineStr">
        <is>
          <t>HUDIKSVALL</t>
        </is>
      </c>
      <c r="H9522" t="inlineStr">
        <is>
          <t>Holmen skog AB</t>
        </is>
      </c>
      <c r="I9522" t="n">
        <v>1.3</v>
      </c>
      <c r="J9522" t="n">
        <v>0</v>
      </c>
      <c r="K9522" t="n">
        <v>0</v>
      </c>
      <c r="L9522" t="n">
        <v>0</v>
      </c>
      <c r="M9522" t="n">
        <v>0</v>
      </c>
      <c r="N9522" t="n">
        <v>0</v>
      </c>
      <c r="O9522" t="n">
        <v>0</v>
      </c>
      <c r="P9522" t="n">
        <v>0</v>
      </c>
      <c r="Q9522" t="n">
        <v>0</v>
      </c>
      <c r="R9522" t="n">
        <v>0</v>
      </c>
      <c r="S9522" t="n">
        <v>0</v>
      </c>
      <c r="T9522" t="n">
        <v>0</v>
      </c>
      <c r="U9522" t="n">
        <v>0</v>
      </c>
      <c r="V9522" s="2" t="inlineStr"/>
    </row>
    <row r="9523" ht="15" customHeight="1">
      <c r="A9523" t="inlineStr">
        <is>
          <t>A 25544-2024</t>
        </is>
      </c>
      <c r="B9523" t="inlineStr">
        <is>
          <t>avverkningsanmälan</t>
        </is>
      </c>
      <c r="C9523" t="inlineStr">
        <is>
          <t>Föryngringsavverkning</t>
        </is>
      </c>
      <c r="D9523" s="1" t="n">
        <v>45463</v>
      </c>
      <c r="E9523" s="1" t="n">
        <v>46326</v>
      </c>
      <c r="F9523" t="inlineStr">
        <is>
          <t>GÄVLEBORGS LÄN</t>
        </is>
      </c>
      <c r="G9523" t="inlineStr">
        <is>
          <t>SANDVIKEN</t>
        </is>
      </c>
      <c r="I9523" t="n">
        <v>2.9</v>
      </c>
      <c r="J9523" t="n">
        <v>0</v>
      </c>
      <c r="K9523" t="n">
        <v>0</v>
      </c>
      <c r="L9523" t="n">
        <v>0</v>
      </c>
      <c r="M9523" t="n">
        <v>0</v>
      </c>
      <c r="N9523" t="n">
        <v>0</v>
      </c>
      <c r="O9523" t="n">
        <v>0</v>
      </c>
      <c r="P9523" t="n">
        <v>0</v>
      </c>
      <c r="Q9523" t="n">
        <v>0</v>
      </c>
      <c r="R9523" t="n">
        <v>0</v>
      </c>
      <c r="S9523" t="n">
        <v>0</v>
      </c>
      <c r="T9523" t="n">
        <v>0</v>
      </c>
      <c r="U9523" t="n">
        <v>0</v>
      </c>
      <c r="V9523" s="2" t="inlineStr"/>
    </row>
    <row r="9524" ht="15" customHeight="1">
      <c r="A9524" t="inlineStr">
        <is>
          <t>A 32056-2026</t>
        </is>
      </c>
      <c r="B9524" t="inlineStr">
        <is>
          <t>avverkningsanmälan</t>
        </is>
      </c>
      <c r="C9524" t="inlineStr">
        <is>
          <t>Föryngringsavverkning</t>
        </is>
      </c>
      <c r="D9524" s="1" t="n">
        <v>46233</v>
      </c>
      <c r="E9524" s="1" t="n">
        <v>46326</v>
      </c>
      <c r="F9524" t="inlineStr">
        <is>
          <t>GÄVLEBORGS LÄN</t>
        </is>
      </c>
      <c r="G9524" t="inlineStr">
        <is>
          <t>HUDIKSVALL</t>
        </is>
      </c>
      <c r="H9524" t="inlineStr">
        <is>
          <t>Holmen skog AB</t>
        </is>
      </c>
      <c r="I9524" t="n">
        <v>4.3</v>
      </c>
      <c r="J9524" t="n">
        <v>0</v>
      </c>
      <c r="K9524" t="n">
        <v>0</v>
      </c>
      <c r="L9524" t="n">
        <v>0</v>
      </c>
      <c r="M9524" t="n">
        <v>0</v>
      </c>
      <c r="N9524" t="n">
        <v>0</v>
      </c>
      <c r="O9524" t="n">
        <v>0</v>
      </c>
      <c r="P9524" t="n">
        <v>0</v>
      </c>
      <c r="Q9524" t="n">
        <v>0</v>
      </c>
      <c r="R9524" t="n">
        <v>0</v>
      </c>
      <c r="S9524" t="n">
        <v>0</v>
      </c>
      <c r="T9524" t="n">
        <v>0</v>
      </c>
      <c r="U9524" t="n">
        <v>0</v>
      </c>
      <c r="V9524" s="2" t="inlineStr"/>
    </row>
    <row r="9525" ht="15" customHeight="1">
      <c r="A9525" t="inlineStr">
        <is>
          <t>A 50194-2024</t>
        </is>
      </c>
      <c r="B9525" t="inlineStr">
        <is>
          <t>avverkningsanmälan</t>
        </is>
      </c>
      <c r="C9525" t="inlineStr">
        <is>
          <t>Föryngringsavverkning</t>
        </is>
      </c>
      <c r="D9525" s="1" t="n">
        <v>45600</v>
      </c>
      <c r="E9525" s="1" t="n">
        <v>46326</v>
      </c>
      <c r="F9525" t="inlineStr">
        <is>
          <t>GÄVLEBORGS LÄN</t>
        </is>
      </c>
      <c r="G9525" t="inlineStr">
        <is>
          <t>OCKELBO</t>
        </is>
      </c>
      <c r="I9525" t="n">
        <v>0.8</v>
      </c>
      <c r="J9525" t="n">
        <v>0</v>
      </c>
      <c r="K9525" t="n">
        <v>0</v>
      </c>
      <c r="L9525" t="n">
        <v>0</v>
      </c>
      <c r="M9525" t="n">
        <v>0</v>
      </c>
      <c r="N9525" t="n">
        <v>0</v>
      </c>
      <c r="O9525" t="n">
        <v>0</v>
      </c>
      <c r="P9525" t="n">
        <v>0</v>
      </c>
      <c r="Q9525" t="n">
        <v>0</v>
      </c>
      <c r="R9525" t="n">
        <v>0</v>
      </c>
      <c r="S9525" t="n">
        <v>0</v>
      </c>
      <c r="T9525" t="n">
        <v>0</v>
      </c>
      <c r="U9525" t="n">
        <v>0</v>
      </c>
      <c r="V9525" s="2" t="inlineStr"/>
    </row>
    <row r="9526" ht="15" customHeight="1">
      <c r="A9526" t="inlineStr">
        <is>
          <t>A 15247-2025</t>
        </is>
      </c>
      <c r="B9526" t="inlineStr">
        <is>
          <t>avverkningsanmälan</t>
        </is>
      </c>
      <c r="C9526" t="inlineStr">
        <is>
          <t>Föryngringsavverkning</t>
        </is>
      </c>
      <c r="D9526" s="1" t="n">
        <v>45744</v>
      </c>
      <c r="E9526" s="1" t="n">
        <v>46326</v>
      </c>
      <c r="F9526" t="inlineStr">
        <is>
          <t>GÄVLEBORGS LÄN</t>
        </is>
      </c>
      <c r="G9526" t="inlineStr">
        <is>
          <t>OCKELBO</t>
        </is>
      </c>
      <c r="H9526" t="inlineStr">
        <is>
          <t>Bergvik skog väst AB</t>
        </is>
      </c>
      <c r="I9526" t="n">
        <v>1.1</v>
      </c>
      <c r="J9526" t="n">
        <v>0</v>
      </c>
      <c r="K9526" t="n">
        <v>0</v>
      </c>
      <c r="L9526" t="n">
        <v>0</v>
      </c>
      <c r="M9526" t="n">
        <v>0</v>
      </c>
      <c r="N9526" t="n">
        <v>0</v>
      </c>
      <c r="O9526" t="n">
        <v>0</v>
      </c>
      <c r="P9526" t="n">
        <v>0</v>
      </c>
      <c r="Q9526" t="n">
        <v>0</v>
      </c>
      <c r="R9526" t="n">
        <v>0</v>
      </c>
      <c r="S9526" t="n">
        <v>0</v>
      </c>
      <c r="T9526" t="n">
        <v>0</v>
      </c>
      <c r="U9526" t="n">
        <v>0</v>
      </c>
      <c r="V9526" s="2" t="inlineStr"/>
    </row>
    <row r="9527" ht="15" customHeight="1">
      <c r="A9527" t="inlineStr">
        <is>
          <t>A 37641-2024</t>
        </is>
      </c>
      <c r="B9527" t="inlineStr">
        <is>
          <t>avverkningsanmälan</t>
        </is>
      </c>
      <c r="C9527" t="inlineStr">
        <is>
          <t>Föryngringsavverkning</t>
        </is>
      </c>
      <c r="D9527" s="1" t="n">
        <v>45541</v>
      </c>
      <c r="E9527" s="1" t="n">
        <v>46326</v>
      </c>
      <c r="F9527" t="inlineStr">
        <is>
          <t>GÄVLEBORGS LÄN</t>
        </is>
      </c>
      <c r="G9527" t="inlineStr">
        <is>
          <t>SANDVIKEN</t>
        </is>
      </c>
      <c r="H9527" t="inlineStr">
        <is>
          <t>Sveaskog</t>
        </is>
      </c>
      <c r="I9527" t="n">
        <v>4.8</v>
      </c>
      <c r="J9527" t="n">
        <v>0</v>
      </c>
      <c r="K9527" t="n">
        <v>0</v>
      </c>
      <c r="L9527" t="n">
        <v>0</v>
      </c>
      <c r="M9527" t="n">
        <v>0</v>
      </c>
      <c r="N9527" t="n">
        <v>0</v>
      </c>
      <c r="O9527" t="n">
        <v>0</v>
      </c>
      <c r="P9527" t="n">
        <v>0</v>
      </c>
      <c r="Q9527" t="n">
        <v>0</v>
      </c>
      <c r="R9527" t="n">
        <v>0</v>
      </c>
      <c r="S9527" t="n">
        <v>0</v>
      </c>
      <c r="T9527" t="n">
        <v>0</v>
      </c>
      <c r="U9527" t="n">
        <v>0</v>
      </c>
      <c r="V9527" s="2" t="inlineStr"/>
    </row>
    <row r="9528" ht="15" customHeight="1">
      <c r="A9528" t="inlineStr">
        <is>
          <t>A 32832-2022</t>
        </is>
      </c>
      <c r="B9528" t="inlineStr">
        <is>
          <t>avverkningsanmälan</t>
        </is>
      </c>
      <c r="C9528" t="inlineStr">
        <is>
          <t>Föryngringsavverkning</t>
        </is>
      </c>
      <c r="D9528" s="1" t="n">
        <v>44784</v>
      </c>
      <c r="E9528" s="1" t="n">
        <v>46326</v>
      </c>
      <c r="F9528" t="inlineStr">
        <is>
          <t>GÄVLEBORGS LÄN</t>
        </is>
      </c>
      <c r="G9528" t="inlineStr">
        <is>
          <t>LJUSDAL</t>
        </is>
      </c>
      <c r="H9528" t="inlineStr">
        <is>
          <t>Bergvik skog väst AB</t>
        </is>
      </c>
      <c r="I9528" t="n">
        <v>2.4</v>
      </c>
      <c r="J9528" t="n">
        <v>0</v>
      </c>
      <c r="K9528" t="n">
        <v>0</v>
      </c>
      <c r="L9528" t="n">
        <v>0</v>
      </c>
      <c r="M9528" t="n">
        <v>0</v>
      </c>
      <c r="N9528" t="n">
        <v>0</v>
      </c>
      <c r="O9528" t="n">
        <v>0</v>
      </c>
      <c r="P9528" t="n">
        <v>0</v>
      </c>
      <c r="Q9528" t="n">
        <v>0</v>
      </c>
      <c r="R9528" t="n">
        <v>0</v>
      </c>
      <c r="S9528" t="n">
        <v>0</v>
      </c>
      <c r="T9528" t="n">
        <v>0</v>
      </c>
      <c r="U9528" t="n">
        <v>0</v>
      </c>
      <c r="V9528" s="2" t="inlineStr"/>
    </row>
    <row r="9529" ht="15" customHeight="1">
      <c r="A9529" t="inlineStr">
        <is>
          <t>A 32412-2026</t>
        </is>
      </c>
      <c r="B9529" t="inlineStr">
        <is>
          <t>avverkningsanmälan</t>
        </is>
      </c>
      <c r="C9529" t="inlineStr">
        <is>
          <t>Avverkning för annat ändamål</t>
        </is>
      </c>
      <c r="D9529" s="1" t="n">
        <v>46238</v>
      </c>
      <c r="E9529" s="1" t="n">
        <v>46326</v>
      </c>
      <c r="F9529" t="inlineStr">
        <is>
          <t>GÄVLEBORGS LÄN</t>
        </is>
      </c>
      <c r="G9529" t="inlineStr">
        <is>
          <t>OVANÅKER</t>
        </is>
      </c>
      <c r="I9529" t="n">
        <v>0.6</v>
      </c>
      <c r="J9529" t="n">
        <v>0</v>
      </c>
      <c r="K9529" t="n">
        <v>0</v>
      </c>
      <c r="L9529" t="n">
        <v>0</v>
      </c>
      <c r="M9529" t="n">
        <v>0</v>
      </c>
      <c r="N9529" t="n">
        <v>0</v>
      </c>
      <c r="O9529" t="n">
        <v>0</v>
      </c>
      <c r="P9529" t="n">
        <v>0</v>
      </c>
      <c r="Q9529" t="n">
        <v>0</v>
      </c>
      <c r="R9529" t="n">
        <v>0</v>
      </c>
      <c r="S9529" t="n">
        <v>0</v>
      </c>
      <c r="T9529" t="n">
        <v>0</v>
      </c>
      <c r="U9529" t="n">
        <v>0</v>
      </c>
      <c r="V9529" s="2" t="inlineStr"/>
    </row>
    <row r="9530" ht="15" customHeight="1">
      <c r="A9530" t="inlineStr">
        <is>
          <t>A 52915-2024</t>
        </is>
      </c>
      <c r="B9530" t="inlineStr">
        <is>
          <t>avverkningsanmälan</t>
        </is>
      </c>
      <c r="C9530" t="inlineStr">
        <is>
          <t>Föryngringsavverkning</t>
        </is>
      </c>
      <c r="D9530" s="1" t="n">
        <v>45610</v>
      </c>
      <c r="E9530" s="1" t="n">
        <v>46326</v>
      </c>
      <c r="F9530" t="inlineStr">
        <is>
          <t>GÄVLEBORGS LÄN</t>
        </is>
      </c>
      <c r="G9530" t="inlineStr">
        <is>
          <t>LJUSDAL</t>
        </is>
      </c>
      <c r="H9530" t="inlineStr">
        <is>
          <t>Allmännings- och besparingsskogar</t>
        </is>
      </c>
      <c r="I9530" t="n">
        <v>0.8</v>
      </c>
      <c r="J9530" t="n">
        <v>0</v>
      </c>
      <c r="K9530" t="n">
        <v>0</v>
      </c>
      <c r="L9530" t="n">
        <v>0</v>
      </c>
      <c r="M9530" t="n">
        <v>0</v>
      </c>
      <c r="N9530" t="n">
        <v>0</v>
      </c>
      <c r="O9530" t="n">
        <v>0</v>
      </c>
      <c r="P9530" t="n">
        <v>0</v>
      </c>
      <c r="Q9530" t="n">
        <v>0</v>
      </c>
      <c r="R9530" t="n">
        <v>0</v>
      </c>
      <c r="S9530" t="n">
        <v>0</v>
      </c>
      <c r="T9530" t="n">
        <v>0</v>
      </c>
      <c r="U9530" t="n">
        <v>0</v>
      </c>
      <c r="V9530" s="2" t="inlineStr"/>
    </row>
    <row r="9531" ht="15" customHeight="1">
      <c r="A9531" t="inlineStr">
        <is>
          <t>A 37643-2024</t>
        </is>
      </c>
      <c r="B9531" t="inlineStr">
        <is>
          <t>avverkningsanmälan</t>
        </is>
      </c>
      <c r="C9531" t="inlineStr">
        <is>
          <t>Föryngringsavverkning</t>
        </is>
      </c>
      <c r="D9531" s="1" t="n">
        <v>45541</v>
      </c>
      <c r="E9531" s="1" t="n">
        <v>46326</v>
      </c>
      <c r="F9531" t="inlineStr">
        <is>
          <t>GÄVLEBORGS LÄN</t>
        </is>
      </c>
      <c r="G9531" t="inlineStr">
        <is>
          <t>SANDVIKEN</t>
        </is>
      </c>
      <c r="H9531" t="inlineStr">
        <is>
          <t>Sveaskog</t>
        </is>
      </c>
      <c r="I9531" t="n">
        <v>4.1</v>
      </c>
      <c r="J9531" t="n">
        <v>0</v>
      </c>
      <c r="K9531" t="n">
        <v>0</v>
      </c>
      <c r="L9531" t="n">
        <v>0</v>
      </c>
      <c r="M9531" t="n">
        <v>0</v>
      </c>
      <c r="N9531" t="n">
        <v>0</v>
      </c>
      <c r="O9531" t="n">
        <v>0</v>
      </c>
      <c r="P9531" t="n">
        <v>0</v>
      </c>
      <c r="Q9531" t="n">
        <v>0</v>
      </c>
      <c r="R9531" t="n">
        <v>0</v>
      </c>
      <c r="S9531" t="n">
        <v>0</v>
      </c>
      <c r="T9531" t="n">
        <v>0</v>
      </c>
      <c r="U9531" t="n">
        <v>0</v>
      </c>
      <c r="V9531" s="2" t="inlineStr"/>
    </row>
    <row r="9532" ht="15" customHeight="1">
      <c r="A9532" t="inlineStr">
        <is>
          <t>A 10159-2025</t>
        </is>
      </c>
      <c r="B9532" t="inlineStr">
        <is>
          <t>avverkningsanmälan</t>
        </is>
      </c>
      <c r="C9532" t="inlineStr">
        <is>
          <t>Föryngringsavverkning</t>
        </is>
      </c>
      <c r="D9532" s="1" t="n">
        <v>45719</v>
      </c>
      <c r="E9532" s="1" t="n">
        <v>46326</v>
      </c>
      <c r="F9532" t="inlineStr">
        <is>
          <t>GÄVLEBORGS LÄN</t>
        </is>
      </c>
      <c r="G9532" t="inlineStr">
        <is>
          <t>HUDIKSVALL</t>
        </is>
      </c>
      <c r="H9532" t="inlineStr">
        <is>
          <t>Kommuner</t>
        </is>
      </c>
      <c r="I9532" t="n">
        <v>1</v>
      </c>
      <c r="J9532" t="n">
        <v>0</v>
      </c>
      <c r="K9532" t="n">
        <v>0</v>
      </c>
      <c r="L9532" t="n">
        <v>0</v>
      </c>
      <c r="M9532" t="n">
        <v>0</v>
      </c>
      <c r="N9532" t="n">
        <v>0</v>
      </c>
      <c r="O9532" t="n">
        <v>0</v>
      </c>
      <c r="P9532" t="n">
        <v>0</v>
      </c>
      <c r="Q9532" t="n">
        <v>0</v>
      </c>
      <c r="R9532" t="n">
        <v>0</v>
      </c>
      <c r="S9532" t="n">
        <v>0</v>
      </c>
      <c r="T9532" t="n">
        <v>0</v>
      </c>
      <c r="U9532" t="n">
        <v>0</v>
      </c>
      <c r="V9532" s="2" t="inlineStr"/>
    </row>
    <row r="9533" ht="15" customHeight="1">
      <c r="A9533" t="inlineStr">
        <is>
          <t>A 6504-2026</t>
        </is>
      </c>
      <c r="B9533" t="inlineStr">
        <is>
          <t>avverkningsanmälan</t>
        </is>
      </c>
      <c r="C9533" t="inlineStr">
        <is>
          <t>Föryngringsavverkning</t>
        </is>
      </c>
      <c r="D9533" s="1" t="n">
        <v>46056</v>
      </c>
      <c r="E9533" s="1" t="n">
        <v>46326</v>
      </c>
      <c r="F9533" t="inlineStr">
        <is>
          <t>GÄVLEBORGS LÄN</t>
        </is>
      </c>
      <c r="G9533" t="inlineStr">
        <is>
          <t>HUDIKSVALL</t>
        </is>
      </c>
      <c r="I9533" t="n">
        <v>9.699999999999999</v>
      </c>
      <c r="J9533" t="n">
        <v>0</v>
      </c>
      <c r="K9533" t="n">
        <v>0</v>
      </c>
      <c r="L9533" t="n">
        <v>0</v>
      </c>
      <c r="M9533" t="n">
        <v>0</v>
      </c>
      <c r="N9533" t="n">
        <v>0</v>
      </c>
      <c r="O9533" t="n">
        <v>0</v>
      </c>
      <c r="P9533" t="n">
        <v>0</v>
      </c>
      <c r="Q9533" t="n">
        <v>0</v>
      </c>
      <c r="R9533" t="n">
        <v>0</v>
      </c>
      <c r="S9533" t="n">
        <v>0</v>
      </c>
      <c r="T9533" t="n">
        <v>0</v>
      </c>
      <c r="U9533" t="n">
        <v>0</v>
      </c>
      <c r="V9533" s="2" t="inlineStr"/>
    </row>
    <row r="9534" ht="15" customHeight="1">
      <c r="A9534" t="inlineStr">
        <is>
          <t>A 5077-2026</t>
        </is>
      </c>
      <c r="B9534" t="inlineStr">
        <is>
          <t>avverkningsanmälan</t>
        </is>
      </c>
      <c r="C9534" t="inlineStr">
        <is>
          <t>Föryngringsavverkning</t>
        </is>
      </c>
      <c r="D9534" s="1" t="n">
        <v>46048</v>
      </c>
      <c r="E9534" s="1" t="n">
        <v>46326</v>
      </c>
      <c r="F9534" t="inlineStr">
        <is>
          <t>GÄVLEBORGS LÄN</t>
        </is>
      </c>
      <c r="G9534" t="inlineStr">
        <is>
          <t>SÖDERHAMN</t>
        </is>
      </c>
      <c r="I9534" t="n">
        <v>0.5</v>
      </c>
      <c r="J9534" t="n">
        <v>0</v>
      </c>
      <c r="K9534" t="n">
        <v>0</v>
      </c>
      <c r="L9534" t="n">
        <v>0</v>
      </c>
      <c r="M9534" t="n">
        <v>0</v>
      </c>
      <c r="N9534" t="n">
        <v>0</v>
      </c>
      <c r="O9534" t="n">
        <v>0</v>
      </c>
      <c r="P9534" t="n">
        <v>0</v>
      </c>
      <c r="Q9534" t="n">
        <v>0</v>
      </c>
      <c r="R9534" t="n">
        <v>0</v>
      </c>
      <c r="S9534" t="n">
        <v>0</v>
      </c>
      <c r="T9534" t="n">
        <v>0</v>
      </c>
      <c r="U9534" t="n">
        <v>0</v>
      </c>
      <c r="V9534" s="2" t="inlineStr"/>
    </row>
    <row r="9535" ht="15" customHeight="1">
      <c r="A9535" t="inlineStr">
        <is>
          <t>A 32425-2026</t>
        </is>
      </c>
      <c r="B9535" t="inlineStr">
        <is>
          <t>avverkningsanmälan</t>
        </is>
      </c>
      <c r="C9535" t="inlineStr">
        <is>
          <t>Föryngringsavverkning</t>
        </is>
      </c>
      <c r="D9535" s="1" t="n">
        <v>46238</v>
      </c>
      <c r="E9535" s="1" t="n">
        <v>46326</v>
      </c>
      <c r="F9535" t="inlineStr">
        <is>
          <t>GÄVLEBORGS LÄN</t>
        </is>
      </c>
      <c r="G9535" t="inlineStr">
        <is>
          <t>HUDIKSVALL</t>
        </is>
      </c>
      <c r="I9535" t="n">
        <v>1.7</v>
      </c>
      <c r="J9535" t="n">
        <v>0</v>
      </c>
      <c r="K9535" t="n">
        <v>0</v>
      </c>
      <c r="L9535" t="n">
        <v>0</v>
      </c>
      <c r="M9535" t="n">
        <v>0</v>
      </c>
      <c r="N9535" t="n">
        <v>0</v>
      </c>
      <c r="O9535" t="n">
        <v>0</v>
      </c>
      <c r="P9535" t="n">
        <v>0</v>
      </c>
      <c r="Q9535" t="n">
        <v>0</v>
      </c>
      <c r="R9535" t="n">
        <v>0</v>
      </c>
      <c r="S9535" t="n">
        <v>0</v>
      </c>
      <c r="T9535" t="n">
        <v>0</v>
      </c>
      <c r="U9535" t="n">
        <v>0</v>
      </c>
      <c r="V9535" s="2" t="inlineStr"/>
    </row>
    <row r="9536" ht="15" customHeight="1">
      <c r="A9536" t="inlineStr">
        <is>
          <t>A 32170-2026</t>
        </is>
      </c>
      <c r="B9536" t="inlineStr">
        <is>
          <t>avverkningsanmälan</t>
        </is>
      </c>
      <c r="C9536" t="inlineStr">
        <is>
          <t>Föryngringsavverkning</t>
        </is>
      </c>
      <c r="D9536" s="1" t="n">
        <v>46237</v>
      </c>
      <c r="E9536" s="1" t="n">
        <v>46326</v>
      </c>
      <c r="F9536" t="inlineStr">
        <is>
          <t>GÄVLEBORGS LÄN</t>
        </is>
      </c>
      <c r="G9536" t="inlineStr">
        <is>
          <t>SÖDERHAMN</t>
        </is>
      </c>
      <c r="I9536" t="n">
        <v>0.8</v>
      </c>
      <c r="J9536" t="n">
        <v>0</v>
      </c>
      <c r="K9536" t="n">
        <v>0</v>
      </c>
      <c r="L9536" t="n">
        <v>0</v>
      </c>
      <c r="M9536" t="n">
        <v>0</v>
      </c>
      <c r="N9536" t="n">
        <v>0</v>
      </c>
      <c r="O9536" t="n">
        <v>0</v>
      </c>
      <c r="P9536" t="n">
        <v>0</v>
      </c>
      <c r="Q9536" t="n">
        <v>0</v>
      </c>
      <c r="R9536" t="n">
        <v>0</v>
      </c>
      <c r="S9536" t="n">
        <v>0</v>
      </c>
      <c r="T9536" t="n">
        <v>0</v>
      </c>
      <c r="U9536" t="n">
        <v>0</v>
      </c>
      <c r="V9536" s="2" t="inlineStr"/>
    </row>
    <row r="9537" ht="15" customHeight="1">
      <c r="A9537" t="inlineStr">
        <is>
          <t>A 31610-2024</t>
        </is>
      </c>
      <c r="B9537" t="inlineStr">
        <is>
          <t>avverkningsanmälan</t>
        </is>
      </c>
      <c r="C9537" t="inlineStr">
        <is>
          <t>Föryngringsavverkning</t>
        </is>
      </c>
      <c r="D9537" s="1" t="n">
        <v>45506</v>
      </c>
      <c r="E9537" s="1" t="n">
        <v>46326</v>
      </c>
      <c r="F9537" t="inlineStr">
        <is>
          <t>GÄVLEBORGS LÄN</t>
        </is>
      </c>
      <c r="G9537" t="inlineStr">
        <is>
          <t>BOLLNÄS</t>
        </is>
      </c>
      <c r="H9537" t="inlineStr">
        <is>
          <t>Sveaskog</t>
        </is>
      </c>
      <c r="I9537" t="n">
        <v>2.8</v>
      </c>
      <c r="J9537" t="n">
        <v>0</v>
      </c>
      <c r="K9537" t="n">
        <v>0</v>
      </c>
      <c r="L9537" t="n">
        <v>0</v>
      </c>
      <c r="M9537" t="n">
        <v>0</v>
      </c>
      <c r="N9537" t="n">
        <v>0</v>
      </c>
      <c r="O9537" t="n">
        <v>0</v>
      </c>
      <c r="P9537" t="n">
        <v>0</v>
      </c>
      <c r="Q9537" t="n">
        <v>0</v>
      </c>
      <c r="R9537" t="n">
        <v>0</v>
      </c>
      <c r="S9537" t="n">
        <v>0</v>
      </c>
      <c r="T9537" t="n">
        <v>0</v>
      </c>
      <c r="U9537" t="n">
        <v>0</v>
      </c>
      <c r="V9537" s="2" t="inlineStr"/>
    </row>
    <row r="9538" ht="15" customHeight="1">
      <c r="A9538" t="inlineStr">
        <is>
          <t>A 32192-2026</t>
        </is>
      </c>
      <c r="B9538" t="inlineStr">
        <is>
          <t>avverkningsanmälan</t>
        </is>
      </c>
      <c r="C9538" t="inlineStr">
        <is>
          <t>Föryngringsavverkning</t>
        </is>
      </c>
      <c r="D9538" s="1" t="n">
        <v>46237</v>
      </c>
      <c r="E9538" s="1" t="n">
        <v>46326</v>
      </c>
      <c r="F9538" t="inlineStr">
        <is>
          <t>GÄVLEBORGS LÄN</t>
        </is>
      </c>
      <c r="G9538" t="inlineStr">
        <is>
          <t>OVANÅKER</t>
        </is>
      </c>
      <c r="H9538" t="inlineStr">
        <is>
          <t>Bergvik skog väst AB</t>
        </is>
      </c>
      <c r="I9538" t="n">
        <v>5.2</v>
      </c>
      <c r="J9538" t="n">
        <v>0</v>
      </c>
      <c r="K9538" t="n">
        <v>0</v>
      </c>
      <c r="L9538" t="n">
        <v>0</v>
      </c>
      <c r="M9538" t="n">
        <v>0</v>
      </c>
      <c r="N9538" t="n">
        <v>0</v>
      </c>
      <c r="O9538" t="n">
        <v>0</v>
      </c>
      <c r="P9538" t="n">
        <v>0</v>
      </c>
      <c r="Q9538" t="n">
        <v>0</v>
      </c>
      <c r="R9538" t="n">
        <v>0</v>
      </c>
      <c r="S9538" t="n">
        <v>0</v>
      </c>
      <c r="T9538" t="n">
        <v>0</v>
      </c>
      <c r="U9538" t="n">
        <v>0</v>
      </c>
      <c r="V9538" s="2" t="inlineStr"/>
    </row>
    <row r="9539" ht="15" customHeight="1">
      <c r="A9539" t="inlineStr">
        <is>
          <t>A 23417-2023</t>
        </is>
      </c>
      <c r="B9539" t="inlineStr">
        <is>
          <t>avverkningsanmälan</t>
        </is>
      </c>
      <c r="C9539" t="inlineStr">
        <is>
          <t>Föryngringsavverkning</t>
        </is>
      </c>
      <c r="D9539" s="1" t="n">
        <v>45076</v>
      </c>
      <c r="E9539" s="1" t="n">
        <v>46326</v>
      </c>
      <c r="F9539" t="inlineStr">
        <is>
          <t>GÄVLEBORGS LÄN</t>
        </is>
      </c>
      <c r="G9539" t="inlineStr">
        <is>
          <t>NORDANSTIG</t>
        </is>
      </c>
      <c r="I9539" t="n">
        <v>1.6</v>
      </c>
      <c r="J9539" t="n">
        <v>0</v>
      </c>
      <c r="K9539" t="n">
        <v>0</v>
      </c>
      <c r="L9539" t="n">
        <v>0</v>
      </c>
      <c r="M9539" t="n">
        <v>0</v>
      </c>
      <c r="N9539" t="n">
        <v>0</v>
      </c>
      <c r="O9539" t="n">
        <v>0</v>
      </c>
      <c r="P9539" t="n">
        <v>0</v>
      </c>
      <c r="Q9539" t="n">
        <v>0</v>
      </c>
      <c r="R9539" t="n">
        <v>0</v>
      </c>
      <c r="S9539" t="n">
        <v>0</v>
      </c>
      <c r="T9539" t="n">
        <v>0</v>
      </c>
      <c r="U9539" t="n">
        <v>0</v>
      </c>
      <c r="V9539" s="2" t="inlineStr"/>
    </row>
    <row r="9540" ht="15" customHeight="1">
      <c r="A9540" t="inlineStr">
        <is>
          <t>A 21085-2024</t>
        </is>
      </c>
      <c r="B9540" t="inlineStr">
        <is>
          <t>avverkningsanmälan</t>
        </is>
      </c>
      <c r="C9540" t="inlineStr">
        <is>
          <t>Föryngringsavverkning</t>
        </is>
      </c>
      <c r="D9540" s="1" t="n">
        <v>45439</v>
      </c>
      <c r="E9540" s="1" t="n">
        <v>46326</v>
      </c>
      <c r="F9540" t="inlineStr">
        <is>
          <t>GÄVLEBORGS LÄN</t>
        </is>
      </c>
      <c r="G9540" t="inlineStr">
        <is>
          <t>NORDANSTIG</t>
        </is>
      </c>
      <c r="I9540" t="n">
        <v>0.6</v>
      </c>
      <c r="J9540" t="n">
        <v>0</v>
      </c>
      <c r="K9540" t="n">
        <v>0</v>
      </c>
      <c r="L9540" t="n">
        <v>0</v>
      </c>
      <c r="M9540" t="n">
        <v>0</v>
      </c>
      <c r="N9540" t="n">
        <v>0</v>
      </c>
      <c r="O9540" t="n">
        <v>0</v>
      </c>
      <c r="P9540" t="n">
        <v>0</v>
      </c>
      <c r="Q9540" t="n">
        <v>0</v>
      </c>
      <c r="R9540" t="n">
        <v>0</v>
      </c>
      <c r="S9540" t="n">
        <v>0</v>
      </c>
      <c r="T9540" t="n">
        <v>0</v>
      </c>
      <c r="U9540" t="n">
        <v>0</v>
      </c>
      <c r="V9540" s="2" t="inlineStr"/>
    </row>
    <row r="9541" ht="15" customHeight="1">
      <c r="A9541" t="inlineStr">
        <is>
          <t>A 30697-2024</t>
        </is>
      </c>
      <c r="B9541" t="inlineStr">
        <is>
          <t>avverkningsanmälan</t>
        </is>
      </c>
      <c r="C9541" t="inlineStr">
        <is>
          <t>Föryngringsavverkning</t>
        </is>
      </c>
      <c r="D9541" s="1" t="n">
        <v>45496</v>
      </c>
      <c r="E9541" s="1" t="n">
        <v>46326</v>
      </c>
      <c r="F9541" t="inlineStr">
        <is>
          <t>GÄVLEBORGS LÄN</t>
        </is>
      </c>
      <c r="G9541" t="inlineStr">
        <is>
          <t>HUDIKSVALL</t>
        </is>
      </c>
      <c r="I9541" t="n">
        <v>2.9</v>
      </c>
      <c r="J9541" t="n">
        <v>0</v>
      </c>
      <c r="K9541" t="n">
        <v>0</v>
      </c>
      <c r="L9541" t="n">
        <v>0</v>
      </c>
      <c r="M9541" t="n">
        <v>0</v>
      </c>
      <c r="N9541" t="n">
        <v>0</v>
      </c>
      <c r="O9541" t="n">
        <v>0</v>
      </c>
      <c r="P9541" t="n">
        <v>0</v>
      </c>
      <c r="Q9541" t="n">
        <v>0</v>
      </c>
      <c r="R9541" t="n">
        <v>0</v>
      </c>
      <c r="S9541" t="n">
        <v>0</v>
      </c>
      <c r="T9541" t="n">
        <v>0</v>
      </c>
      <c r="U9541" t="n">
        <v>0</v>
      </c>
      <c r="V9541" s="2" t="inlineStr"/>
    </row>
    <row r="9542" ht="15" customHeight="1">
      <c r="A9542" t="inlineStr">
        <is>
          <t>A 32284-2026</t>
        </is>
      </c>
      <c r="B9542" t="inlineStr">
        <is>
          <t>avverkningsanmälan</t>
        </is>
      </c>
      <c r="C9542" t="inlineStr">
        <is>
          <t>Föryngringsavverkning</t>
        </is>
      </c>
      <c r="D9542" s="1" t="n">
        <v>46237</v>
      </c>
      <c r="E9542" s="1" t="n">
        <v>46326</v>
      </c>
      <c r="F9542" t="inlineStr">
        <is>
          <t>GÄVLEBORGS LÄN</t>
        </is>
      </c>
      <c r="G9542" t="inlineStr">
        <is>
          <t>LJUSDAL</t>
        </is>
      </c>
      <c r="I9542" t="n">
        <v>0.3</v>
      </c>
      <c r="J9542" t="n">
        <v>0</v>
      </c>
      <c r="K9542" t="n">
        <v>0</v>
      </c>
      <c r="L9542" t="n">
        <v>0</v>
      </c>
      <c r="M9542" t="n">
        <v>0</v>
      </c>
      <c r="N9542" t="n">
        <v>0</v>
      </c>
      <c r="O9542" t="n">
        <v>0</v>
      </c>
      <c r="P9542" t="n">
        <v>0</v>
      </c>
      <c r="Q9542" t="n">
        <v>0</v>
      </c>
      <c r="R9542" t="n">
        <v>0</v>
      </c>
      <c r="S9542" t="n">
        <v>0</v>
      </c>
      <c r="T9542" t="n">
        <v>0</v>
      </c>
      <c r="U9542" t="n">
        <v>0</v>
      </c>
      <c r="V9542" s="2" t="inlineStr"/>
    </row>
    <row r="9543" ht="15" customHeight="1">
      <c r="A9543" t="inlineStr">
        <is>
          <t>A 16937-2026</t>
        </is>
      </c>
      <c r="B9543" t="inlineStr">
        <is>
          <t>avverkningsanmälan</t>
        </is>
      </c>
      <c r="C9543" t="inlineStr">
        <is>
          <t>Föryngringsavverkning</t>
        </is>
      </c>
      <c r="D9543" s="1" t="n">
        <v>46113</v>
      </c>
      <c r="E9543" s="1" t="n">
        <v>46326</v>
      </c>
      <c r="F9543" t="inlineStr">
        <is>
          <t>GÄVLEBORGS LÄN</t>
        </is>
      </c>
      <c r="G9543" t="inlineStr">
        <is>
          <t>BOLLNÄS</t>
        </is>
      </c>
      <c r="I9543" t="n">
        <v>14.2</v>
      </c>
      <c r="J9543" t="n">
        <v>0</v>
      </c>
      <c r="K9543" t="n">
        <v>0</v>
      </c>
      <c r="L9543" t="n">
        <v>0</v>
      </c>
      <c r="M9543" t="n">
        <v>0</v>
      </c>
      <c r="N9543" t="n">
        <v>0</v>
      </c>
      <c r="O9543" t="n">
        <v>0</v>
      </c>
      <c r="P9543" t="n">
        <v>0</v>
      </c>
      <c r="Q9543" t="n">
        <v>0</v>
      </c>
      <c r="R9543" t="n">
        <v>0</v>
      </c>
      <c r="S9543" t="n">
        <v>0</v>
      </c>
      <c r="T9543" t="n">
        <v>0</v>
      </c>
      <c r="U9543" t="n">
        <v>0</v>
      </c>
      <c r="V9543" s="2" t="inlineStr"/>
    </row>
    <row r="9544" ht="15" customHeight="1">
      <c r="A9544" t="inlineStr">
        <is>
          <t>A 33635-2024</t>
        </is>
      </c>
      <c r="B9544" t="inlineStr">
        <is>
          <t>avverkningsanmälan</t>
        </is>
      </c>
      <c r="C9544" t="inlineStr">
        <is>
          <t>Föryngringsavverkning</t>
        </is>
      </c>
      <c r="D9544" s="1" t="n">
        <v>45520</v>
      </c>
      <c r="E9544" s="1" t="n">
        <v>46326</v>
      </c>
      <c r="F9544" t="inlineStr">
        <is>
          <t>GÄVLEBORGS LÄN</t>
        </is>
      </c>
      <c r="G9544" t="inlineStr">
        <is>
          <t>GÄVLE</t>
        </is>
      </c>
      <c r="I9544" t="n">
        <v>3.9</v>
      </c>
      <c r="J9544" t="n">
        <v>0</v>
      </c>
      <c r="K9544" t="n">
        <v>0</v>
      </c>
      <c r="L9544" t="n">
        <v>0</v>
      </c>
      <c r="M9544" t="n">
        <v>0</v>
      </c>
      <c r="N9544" t="n">
        <v>0</v>
      </c>
      <c r="O9544" t="n">
        <v>0</v>
      </c>
      <c r="P9544" t="n">
        <v>0</v>
      </c>
      <c r="Q9544" t="n">
        <v>0</v>
      </c>
      <c r="R9544" t="n">
        <v>0</v>
      </c>
      <c r="S9544" t="n">
        <v>0</v>
      </c>
      <c r="T9544" t="n">
        <v>0</v>
      </c>
      <c r="U9544" t="n">
        <v>0</v>
      </c>
      <c r="V9544" s="2" t="inlineStr"/>
    </row>
    <row r="9545" ht="15" customHeight="1">
      <c r="A9545" t="inlineStr">
        <is>
          <t>A 33637-2024</t>
        </is>
      </c>
      <c r="B9545" t="inlineStr">
        <is>
          <t>avverkningsanmälan</t>
        </is>
      </c>
      <c r="C9545" t="inlineStr">
        <is>
          <t>Föryngringsavverkning</t>
        </is>
      </c>
      <c r="D9545" s="1" t="n">
        <v>45520</v>
      </c>
      <c r="E9545" s="1" t="n">
        <v>46326</v>
      </c>
      <c r="F9545" t="inlineStr">
        <is>
          <t>GÄVLEBORGS LÄN</t>
        </is>
      </c>
      <c r="G9545" t="inlineStr">
        <is>
          <t>GÄVLE</t>
        </is>
      </c>
      <c r="I9545" t="n">
        <v>0.8</v>
      </c>
      <c r="J9545" t="n">
        <v>0</v>
      </c>
      <c r="K9545" t="n">
        <v>0</v>
      </c>
      <c r="L9545" t="n">
        <v>0</v>
      </c>
      <c r="M9545" t="n">
        <v>0</v>
      </c>
      <c r="N9545" t="n">
        <v>0</v>
      </c>
      <c r="O9545" t="n">
        <v>0</v>
      </c>
      <c r="P9545" t="n">
        <v>0</v>
      </c>
      <c r="Q9545" t="n">
        <v>0</v>
      </c>
      <c r="R9545" t="n">
        <v>0</v>
      </c>
      <c r="S9545" t="n">
        <v>0</v>
      </c>
      <c r="T9545" t="n">
        <v>0</v>
      </c>
      <c r="U9545" t="n">
        <v>0</v>
      </c>
      <c r="V9545" s="2" t="inlineStr"/>
    </row>
    <row r="9546" ht="15" customHeight="1">
      <c r="A9546" t="inlineStr">
        <is>
          <t>A 15814-2026</t>
        </is>
      </c>
      <c r="B9546" t="inlineStr">
        <is>
          <t>avverkningsanmälan</t>
        </is>
      </c>
      <c r="C9546" t="inlineStr">
        <is>
          <t>Föryngringsavverkning</t>
        </is>
      </c>
      <c r="D9546" s="1" t="n">
        <v>46107</v>
      </c>
      <c r="E9546" s="1" t="n">
        <v>46326</v>
      </c>
      <c r="F9546" t="inlineStr">
        <is>
          <t>GÄVLEBORGS LÄN</t>
        </is>
      </c>
      <c r="G9546" t="inlineStr">
        <is>
          <t>BOLLNÄS</t>
        </is>
      </c>
      <c r="I9546" t="n">
        <v>2.1</v>
      </c>
      <c r="J9546" t="n">
        <v>0</v>
      </c>
      <c r="K9546" t="n">
        <v>0</v>
      </c>
      <c r="L9546" t="n">
        <v>0</v>
      </c>
      <c r="M9546" t="n">
        <v>0</v>
      </c>
      <c r="N9546" t="n">
        <v>0</v>
      </c>
      <c r="O9546" t="n">
        <v>0</v>
      </c>
      <c r="P9546" t="n">
        <v>0</v>
      </c>
      <c r="Q9546" t="n">
        <v>0</v>
      </c>
      <c r="R9546" t="n">
        <v>0</v>
      </c>
      <c r="S9546" t="n">
        <v>0</v>
      </c>
      <c r="T9546" t="n">
        <v>0</v>
      </c>
      <c r="U9546" t="n">
        <v>0</v>
      </c>
      <c r="V9546" s="2" t="inlineStr"/>
    </row>
    <row r="9547" ht="15" customHeight="1">
      <c r="A9547" t="inlineStr">
        <is>
          <t>A 35071-2023</t>
        </is>
      </c>
      <c r="B9547" t="inlineStr">
        <is>
          <t>avverkningsanmälan</t>
        </is>
      </c>
      <c r="C9547" t="inlineStr">
        <is>
          <t>Föryngringsavverkning</t>
        </is>
      </c>
      <c r="D9547" s="1" t="n">
        <v>45145</v>
      </c>
      <c r="E9547" s="1" t="n">
        <v>46326</v>
      </c>
      <c r="F9547" t="inlineStr">
        <is>
          <t>GÄVLEBORGS LÄN</t>
        </is>
      </c>
      <c r="G9547" t="inlineStr">
        <is>
          <t>BOLLNÄS</t>
        </is>
      </c>
      <c r="I9547" t="n">
        <v>1.6</v>
      </c>
      <c r="J9547" t="n">
        <v>0</v>
      </c>
      <c r="K9547" t="n">
        <v>0</v>
      </c>
      <c r="L9547" t="n">
        <v>0</v>
      </c>
      <c r="M9547" t="n">
        <v>0</v>
      </c>
      <c r="N9547" t="n">
        <v>0</v>
      </c>
      <c r="O9547" t="n">
        <v>0</v>
      </c>
      <c r="P9547" t="n">
        <v>0</v>
      </c>
      <c r="Q9547" t="n">
        <v>0</v>
      </c>
      <c r="R9547" t="n">
        <v>0</v>
      </c>
      <c r="S9547" t="n">
        <v>0</v>
      </c>
      <c r="T9547" t="n">
        <v>0</v>
      </c>
      <c r="U9547" t="n">
        <v>0</v>
      </c>
      <c r="V9547" s="2" t="inlineStr"/>
    </row>
    <row r="9548" ht="15" customHeight="1">
      <c r="A9548" t="inlineStr">
        <is>
          <t>A 20412-2026</t>
        </is>
      </c>
      <c r="B9548" t="inlineStr">
        <is>
          <t>avverkningsanmälan</t>
        </is>
      </c>
      <c r="C9548" t="inlineStr">
        <is>
          <t>Föryngringsavverkning</t>
        </is>
      </c>
      <c r="D9548" s="1" t="n">
        <v>46140</v>
      </c>
      <c r="E9548" s="1" t="n">
        <v>46326</v>
      </c>
      <c r="F9548" t="inlineStr">
        <is>
          <t>GÄVLEBORGS LÄN</t>
        </is>
      </c>
      <c r="G9548" t="inlineStr">
        <is>
          <t>BOLLNÄS</t>
        </is>
      </c>
      <c r="I9548" t="n">
        <v>4.6</v>
      </c>
      <c r="J9548" t="n">
        <v>0</v>
      </c>
      <c r="K9548" t="n">
        <v>0</v>
      </c>
      <c r="L9548" t="n">
        <v>0</v>
      </c>
      <c r="M9548" t="n">
        <v>0</v>
      </c>
      <c r="N9548" t="n">
        <v>0</v>
      </c>
      <c r="O9548" t="n">
        <v>0</v>
      </c>
      <c r="P9548" t="n">
        <v>0</v>
      </c>
      <c r="Q9548" t="n">
        <v>0</v>
      </c>
      <c r="R9548" t="n">
        <v>0</v>
      </c>
      <c r="S9548" t="n">
        <v>0</v>
      </c>
      <c r="T9548" t="n">
        <v>0</v>
      </c>
      <c r="U9548" t="n">
        <v>0</v>
      </c>
      <c r="V9548" s="2" t="inlineStr"/>
    </row>
    <row r="9549" ht="15" customHeight="1">
      <c r="A9549" t="inlineStr">
        <is>
          <t>A 7886-2026</t>
        </is>
      </c>
      <c r="B9549" t="inlineStr">
        <is>
          <t>avverkningsanmälan</t>
        </is>
      </c>
      <c r="C9549" t="inlineStr">
        <is>
          <t>Föryngringsavverkning</t>
        </is>
      </c>
      <c r="D9549" s="1" t="n">
        <v>46063</v>
      </c>
      <c r="E9549" s="1" t="n">
        <v>46326</v>
      </c>
      <c r="F9549" t="inlineStr">
        <is>
          <t>GÄVLEBORGS LÄN</t>
        </is>
      </c>
      <c r="G9549" t="inlineStr">
        <is>
          <t>SANDVIKEN</t>
        </is>
      </c>
      <c r="I9549" t="n">
        <v>1</v>
      </c>
      <c r="J9549" t="n">
        <v>0</v>
      </c>
      <c r="K9549" t="n">
        <v>0</v>
      </c>
      <c r="L9549" t="n">
        <v>0</v>
      </c>
      <c r="M9549" t="n">
        <v>0</v>
      </c>
      <c r="N9549" t="n">
        <v>0</v>
      </c>
      <c r="O9549" t="n">
        <v>0</v>
      </c>
      <c r="P9549" t="n">
        <v>0</v>
      </c>
      <c r="Q9549" t="n">
        <v>0</v>
      </c>
      <c r="R9549" t="n">
        <v>0</v>
      </c>
      <c r="S9549" t="n">
        <v>0</v>
      </c>
      <c r="T9549" t="n">
        <v>0</v>
      </c>
      <c r="U9549" t="n">
        <v>0</v>
      </c>
      <c r="V9549" s="2" t="inlineStr"/>
    </row>
    <row r="9550" ht="15" customHeight="1">
      <c r="A9550" t="inlineStr">
        <is>
          <t>A 14222-2026</t>
        </is>
      </c>
      <c r="B9550" t="inlineStr">
        <is>
          <t>avverkningsanmälan</t>
        </is>
      </c>
      <c r="C9550" t="inlineStr">
        <is>
          <t>Föryngringsavverkning</t>
        </is>
      </c>
      <c r="D9550" s="1" t="n">
        <v>46099</v>
      </c>
      <c r="E9550" s="1" t="n">
        <v>46326</v>
      </c>
      <c r="F9550" t="inlineStr">
        <is>
          <t>GÄVLEBORGS LÄN</t>
        </is>
      </c>
      <c r="G9550" t="inlineStr">
        <is>
          <t>OVANÅKER</t>
        </is>
      </c>
      <c r="I9550" t="n">
        <v>1</v>
      </c>
      <c r="J9550" t="n">
        <v>0</v>
      </c>
      <c r="K9550" t="n">
        <v>0</v>
      </c>
      <c r="L9550" t="n">
        <v>0</v>
      </c>
      <c r="M9550" t="n">
        <v>0</v>
      </c>
      <c r="N9550" t="n">
        <v>0</v>
      </c>
      <c r="O9550" t="n">
        <v>0</v>
      </c>
      <c r="P9550" t="n">
        <v>0</v>
      </c>
      <c r="Q9550" t="n">
        <v>0</v>
      </c>
      <c r="R9550" t="n">
        <v>0</v>
      </c>
      <c r="S9550" t="n">
        <v>0</v>
      </c>
      <c r="T9550" t="n">
        <v>0</v>
      </c>
      <c r="U9550" t="n">
        <v>0</v>
      </c>
      <c r="V9550" s="2" t="inlineStr"/>
    </row>
    <row r="9551" ht="15" customHeight="1">
      <c r="A9551" t="inlineStr">
        <is>
          <t>A 21385-2026</t>
        </is>
      </c>
      <c r="B9551" t="inlineStr">
        <is>
          <t>avverkningsanmälan</t>
        </is>
      </c>
      <c r="C9551" t="inlineStr">
        <is>
          <t>Föryngringsavverkning</t>
        </is>
      </c>
      <c r="D9551" s="1" t="n">
        <v>46147</v>
      </c>
      <c r="E9551" s="1" t="n">
        <v>46326</v>
      </c>
      <c r="F9551" t="inlineStr">
        <is>
          <t>GÄVLEBORGS LÄN</t>
        </is>
      </c>
      <c r="G9551" t="inlineStr">
        <is>
          <t>SÖDERHAMN</t>
        </is>
      </c>
      <c r="I9551" t="n">
        <v>5.4</v>
      </c>
      <c r="J9551" t="n">
        <v>0</v>
      </c>
      <c r="K9551" t="n">
        <v>0</v>
      </c>
      <c r="L9551" t="n">
        <v>0</v>
      </c>
      <c r="M9551" t="n">
        <v>0</v>
      </c>
      <c r="N9551" t="n">
        <v>0</v>
      </c>
      <c r="O9551" t="n">
        <v>0</v>
      </c>
      <c r="P9551" t="n">
        <v>0</v>
      </c>
      <c r="Q9551" t="n">
        <v>0</v>
      </c>
      <c r="R9551" t="n">
        <v>0</v>
      </c>
      <c r="S9551" t="n">
        <v>0</v>
      </c>
      <c r="T9551" t="n">
        <v>0</v>
      </c>
      <c r="U9551" t="n">
        <v>0</v>
      </c>
      <c r="V9551" s="2" t="inlineStr"/>
    </row>
    <row r="9552" ht="15" customHeight="1">
      <c r="A9552" t="inlineStr">
        <is>
          <t>A 16935-2026</t>
        </is>
      </c>
      <c r="B9552" t="inlineStr">
        <is>
          <t>avverkningsanmälan</t>
        </is>
      </c>
      <c r="C9552" t="inlineStr">
        <is>
          <t>Föryngringsavverkning</t>
        </is>
      </c>
      <c r="D9552" s="1" t="n">
        <v>46113</v>
      </c>
      <c r="E9552" s="1" t="n">
        <v>46326</v>
      </c>
      <c r="F9552" t="inlineStr">
        <is>
          <t>GÄVLEBORGS LÄN</t>
        </is>
      </c>
      <c r="G9552" t="inlineStr">
        <is>
          <t>BOLLNÄS</t>
        </is>
      </c>
      <c r="I9552" t="n">
        <v>10.1</v>
      </c>
      <c r="J9552" t="n">
        <v>0</v>
      </c>
      <c r="K9552" t="n">
        <v>0</v>
      </c>
      <c r="L9552" t="n">
        <v>0</v>
      </c>
      <c r="M9552" t="n">
        <v>0</v>
      </c>
      <c r="N9552" t="n">
        <v>0</v>
      </c>
      <c r="O9552" t="n">
        <v>0</v>
      </c>
      <c r="P9552" t="n">
        <v>0</v>
      </c>
      <c r="Q9552" t="n">
        <v>0</v>
      </c>
      <c r="R9552" t="n">
        <v>0</v>
      </c>
      <c r="S9552" t="n">
        <v>0</v>
      </c>
      <c r="T9552" t="n">
        <v>0</v>
      </c>
      <c r="U9552" t="n">
        <v>0</v>
      </c>
      <c r="V9552" s="2" t="inlineStr"/>
    </row>
    <row r="9553" ht="15" customHeight="1">
      <c r="A9553" t="inlineStr">
        <is>
          <t>A 22945-2023</t>
        </is>
      </c>
      <c r="B9553" t="inlineStr">
        <is>
          <t>avverkningsanmälan</t>
        </is>
      </c>
      <c r="C9553" t="inlineStr">
        <is>
          <t>Föryngringsavverkning</t>
        </is>
      </c>
      <c r="D9553" s="1" t="n">
        <v>45072</v>
      </c>
      <c r="E9553" s="1" t="n">
        <v>46326</v>
      </c>
      <c r="F9553" t="inlineStr">
        <is>
          <t>GÄVLEBORGS LÄN</t>
        </is>
      </c>
      <c r="G9553" t="inlineStr">
        <is>
          <t>HUDIKSVALL</t>
        </is>
      </c>
      <c r="I9553" t="n">
        <v>1.4</v>
      </c>
      <c r="J9553" t="n">
        <v>0</v>
      </c>
      <c r="K9553" t="n">
        <v>0</v>
      </c>
      <c r="L9553" t="n">
        <v>0</v>
      </c>
      <c r="M9553" t="n">
        <v>0</v>
      </c>
      <c r="N9553" t="n">
        <v>0</v>
      </c>
      <c r="O9553" t="n">
        <v>0</v>
      </c>
      <c r="P9553" t="n">
        <v>0</v>
      </c>
      <c r="Q9553" t="n">
        <v>0</v>
      </c>
      <c r="R9553" t="n">
        <v>0</v>
      </c>
      <c r="S9553" t="n">
        <v>0</v>
      </c>
      <c r="T9553" t="n">
        <v>0</v>
      </c>
      <c r="U9553" t="n">
        <v>0</v>
      </c>
      <c r="V9553" s="2" t="inlineStr"/>
    </row>
    <row r="9554" ht="15" customHeight="1">
      <c r="A9554" t="inlineStr">
        <is>
          <t>A 22952-2023</t>
        </is>
      </c>
      <c r="B9554" t="inlineStr">
        <is>
          <t>avverkningsanmälan</t>
        </is>
      </c>
      <c r="C9554" t="inlineStr">
        <is>
          <t>Föryngringsavverkning</t>
        </is>
      </c>
      <c r="D9554" s="1" t="n">
        <v>45072</v>
      </c>
      <c r="E9554" s="1" t="n">
        <v>46326</v>
      </c>
      <c r="F9554" t="inlineStr">
        <is>
          <t>GÄVLEBORGS LÄN</t>
        </is>
      </c>
      <c r="G9554" t="inlineStr">
        <is>
          <t>OCKELBO</t>
        </is>
      </c>
      <c r="I9554" t="n">
        <v>5.6</v>
      </c>
      <c r="J9554" t="n">
        <v>0</v>
      </c>
      <c r="K9554" t="n">
        <v>0</v>
      </c>
      <c r="L9554" t="n">
        <v>0</v>
      </c>
      <c r="M9554" t="n">
        <v>0</v>
      </c>
      <c r="N9554" t="n">
        <v>0</v>
      </c>
      <c r="O9554" t="n">
        <v>0</v>
      </c>
      <c r="P9554" t="n">
        <v>0</v>
      </c>
      <c r="Q9554" t="n">
        <v>0</v>
      </c>
      <c r="R9554" t="n">
        <v>0</v>
      </c>
      <c r="S9554" t="n">
        <v>0</v>
      </c>
      <c r="T9554" t="n">
        <v>0</v>
      </c>
      <c r="U9554" t="n">
        <v>0</v>
      </c>
      <c r="V9554" s="2" t="inlineStr"/>
    </row>
    <row r="9555" ht="15" customHeight="1">
      <c r="A9555" t="inlineStr">
        <is>
          <t>A 57871-2023</t>
        </is>
      </c>
      <c r="B9555" t="inlineStr">
        <is>
          <t>avverkningsanmälan</t>
        </is>
      </c>
      <c r="C9555" t="inlineStr">
        <is>
          <t>Föryngringsavverkning</t>
        </is>
      </c>
      <c r="D9555" s="1" t="n">
        <v>45247</v>
      </c>
      <c r="E9555" s="1" t="n">
        <v>46326</v>
      </c>
      <c r="F9555" t="inlineStr">
        <is>
          <t>GÄVLEBORGS LÄN</t>
        </is>
      </c>
      <c r="G9555" t="inlineStr">
        <is>
          <t>HUDIKSVALL</t>
        </is>
      </c>
      <c r="H9555" t="inlineStr">
        <is>
          <t>Holmen skog AB</t>
        </is>
      </c>
      <c r="I9555" t="n">
        <v>2.3</v>
      </c>
      <c r="J9555" t="n">
        <v>0</v>
      </c>
      <c r="K9555" t="n">
        <v>0</v>
      </c>
      <c r="L9555" t="n">
        <v>0</v>
      </c>
      <c r="M9555" t="n">
        <v>0</v>
      </c>
      <c r="N9555" t="n">
        <v>0</v>
      </c>
      <c r="O9555" t="n">
        <v>0</v>
      </c>
      <c r="P9555" t="n">
        <v>0</v>
      </c>
      <c r="Q9555" t="n">
        <v>0</v>
      </c>
      <c r="R9555" t="n">
        <v>0</v>
      </c>
      <c r="S9555" t="n">
        <v>0</v>
      </c>
      <c r="T9555" t="n">
        <v>0</v>
      </c>
      <c r="U9555" t="n">
        <v>0</v>
      </c>
      <c r="V9555" s="2" t="inlineStr"/>
    </row>
    <row r="9556" ht="15" customHeight="1">
      <c r="A9556" t="inlineStr">
        <is>
          <t>A 32340-2026</t>
        </is>
      </c>
      <c r="B9556" t="inlineStr">
        <is>
          <t>avverkningsanmälan</t>
        </is>
      </c>
      <c r="C9556" t="inlineStr">
        <is>
          <t>Föryngringsavverkning</t>
        </is>
      </c>
      <c r="D9556" s="1" t="n">
        <v>46238</v>
      </c>
      <c r="E9556" s="1" t="n">
        <v>46326</v>
      </c>
      <c r="F9556" t="inlineStr">
        <is>
          <t>GÄVLEBORGS LÄN</t>
        </is>
      </c>
      <c r="G9556" t="inlineStr">
        <is>
          <t>NORDANSTIG</t>
        </is>
      </c>
      <c r="I9556" t="n">
        <v>2</v>
      </c>
      <c r="J9556" t="n">
        <v>0</v>
      </c>
      <c r="K9556" t="n">
        <v>0</v>
      </c>
      <c r="L9556" t="n">
        <v>0</v>
      </c>
      <c r="M9556" t="n">
        <v>0</v>
      </c>
      <c r="N9556" t="n">
        <v>0</v>
      </c>
      <c r="O9556" t="n">
        <v>0</v>
      </c>
      <c r="P9556" t="n">
        <v>0</v>
      </c>
      <c r="Q9556" t="n">
        <v>0</v>
      </c>
      <c r="R9556" t="n">
        <v>0</v>
      </c>
      <c r="S9556" t="n">
        <v>0</v>
      </c>
      <c r="T9556" t="n">
        <v>0</v>
      </c>
      <c r="U9556" t="n">
        <v>0</v>
      </c>
      <c r="V9556" s="2" t="inlineStr"/>
    </row>
    <row r="9557" ht="15" customHeight="1">
      <c r="A9557" t="inlineStr">
        <is>
          <t>A 25645-2023</t>
        </is>
      </c>
      <c r="B9557" t="inlineStr">
        <is>
          <t>avverkningsanmälan</t>
        </is>
      </c>
      <c r="C9557" t="inlineStr">
        <is>
          <t>Föryngringsavverkning</t>
        </is>
      </c>
      <c r="D9557" s="1" t="n">
        <v>45089</v>
      </c>
      <c r="E9557" s="1" t="n">
        <v>46326</v>
      </c>
      <c r="F9557" t="inlineStr">
        <is>
          <t>GÄVLEBORGS LÄN</t>
        </is>
      </c>
      <c r="G9557" t="inlineStr">
        <is>
          <t>GÄVLE</t>
        </is>
      </c>
      <c r="H9557" t="inlineStr">
        <is>
          <t>Bergvik skog öst AB</t>
        </is>
      </c>
      <c r="I9557" t="n">
        <v>1.1</v>
      </c>
      <c r="J9557" t="n">
        <v>0</v>
      </c>
      <c r="K9557" t="n">
        <v>0</v>
      </c>
      <c r="L9557" t="n">
        <v>0</v>
      </c>
      <c r="M9557" t="n">
        <v>0</v>
      </c>
      <c r="N9557" t="n">
        <v>0</v>
      </c>
      <c r="O9557" t="n">
        <v>0</v>
      </c>
      <c r="P9557" t="n">
        <v>0</v>
      </c>
      <c r="Q9557" t="n">
        <v>0</v>
      </c>
      <c r="R9557" t="n">
        <v>0</v>
      </c>
      <c r="S9557" t="n">
        <v>0</v>
      </c>
      <c r="T9557" t="n">
        <v>0</v>
      </c>
      <c r="U9557" t="n">
        <v>0</v>
      </c>
      <c r="V9557" s="2" t="inlineStr"/>
    </row>
    <row r="9558" ht="15" customHeight="1">
      <c r="A9558" t="inlineStr">
        <is>
          <t>A 7998-2023</t>
        </is>
      </c>
      <c r="B9558" t="inlineStr">
        <is>
          <t>avverkningsanmälan</t>
        </is>
      </c>
      <c r="C9558" t="inlineStr">
        <is>
          <t>Föryngringsavverkning</t>
        </is>
      </c>
      <c r="D9558" s="1" t="n">
        <v>44973</v>
      </c>
      <c r="E9558" s="1" t="n">
        <v>46326</v>
      </c>
      <c r="F9558" t="inlineStr">
        <is>
          <t>GÄVLEBORGS LÄN</t>
        </is>
      </c>
      <c r="G9558" t="inlineStr">
        <is>
          <t>GÄVLE</t>
        </is>
      </c>
      <c r="I9558" t="n">
        <v>1.3</v>
      </c>
      <c r="J9558" t="n">
        <v>0</v>
      </c>
      <c r="K9558" t="n">
        <v>0</v>
      </c>
      <c r="L9558" t="n">
        <v>0</v>
      </c>
      <c r="M9558" t="n">
        <v>0</v>
      </c>
      <c r="N9558" t="n">
        <v>0</v>
      </c>
      <c r="O9558" t="n">
        <v>0</v>
      </c>
      <c r="P9558" t="n">
        <v>0</v>
      </c>
      <c r="Q9558" t="n">
        <v>0</v>
      </c>
      <c r="R9558" t="n">
        <v>0</v>
      </c>
      <c r="S9558" t="n">
        <v>0</v>
      </c>
      <c r="T9558" t="n">
        <v>0</v>
      </c>
      <c r="U9558" t="n">
        <v>0</v>
      </c>
      <c r="V9558" s="2" t="inlineStr"/>
    </row>
    <row r="9559" ht="15" customHeight="1">
      <c r="A9559" t="inlineStr">
        <is>
          <t>A 17685-2026</t>
        </is>
      </c>
      <c r="B9559" t="inlineStr">
        <is>
          <t>avverkningsanmälan</t>
        </is>
      </c>
      <c r="C9559" t="inlineStr">
        <is>
          <t>Föryngringsavverkning</t>
        </is>
      </c>
      <c r="D9559" s="1" t="n">
        <v>46121</v>
      </c>
      <c r="E9559" s="1" t="n">
        <v>46326</v>
      </c>
      <c r="F9559" t="inlineStr">
        <is>
          <t>GÄVLEBORGS LÄN</t>
        </is>
      </c>
      <c r="G9559" t="inlineStr">
        <is>
          <t>OVANÅKER</t>
        </is>
      </c>
      <c r="I9559" t="n">
        <v>1</v>
      </c>
      <c r="J9559" t="n">
        <v>0</v>
      </c>
      <c r="K9559" t="n">
        <v>0</v>
      </c>
      <c r="L9559" t="n">
        <v>0</v>
      </c>
      <c r="M9559" t="n">
        <v>0</v>
      </c>
      <c r="N9559" t="n">
        <v>0</v>
      </c>
      <c r="O9559" t="n">
        <v>0</v>
      </c>
      <c r="P9559" t="n">
        <v>0</v>
      </c>
      <c r="Q9559" t="n">
        <v>0</v>
      </c>
      <c r="R9559" t="n">
        <v>0</v>
      </c>
      <c r="S9559" t="n">
        <v>0</v>
      </c>
      <c r="T9559" t="n">
        <v>0</v>
      </c>
      <c r="U9559" t="n">
        <v>0</v>
      </c>
      <c r="V9559" s="2" t="inlineStr"/>
    </row>
    <row r="9560" ht="15" customHeight="1">
      <c r="A9560" t="inlineStr">
        <is>
          <t>A 16936-2026</t>
        </is>
      </c>
      <c r="B9560" t="inlineStr">
        <is>
          <t>avverkningsanmälan</t>
        </is>
      </c>
      <c r="C9560" t="inlineStr">
        <is>
          <t>Föryngringsavverkning</t>
        </is>
      </c>
      <c r="D9560" s="1" t="n">
        <v>46113</v>
      </c>
      <c r="E9560" s="1" t="n">
        <v>46326</v>
      </c>
      <c r="F9560" t="inlineStr">
        <is>
          <t>GÄVLEBORGS LÄN</t>
        </is>
      </c>
      <c r="G9560" t="inlineStr">
        <is>
          <t>BOLLNÄS</t>
        </is>
      </c>
      <c r="I9560" t="n">
        <v>2.6</v>
      </c>
      <c r="J9560" t="n">
        <v>0</v>
      </c>
      <c r="K9560" t="n">
        <v>0</v>
      </c>
      <c r="L9560" t="n">
        <v>0</v>
      </c>
      <c r="M9560" t="n">
        <v>0</v>
      </c>
      <c r="N9560" t="n">
        <v>0</v>
      </c>
      <c r="O9560" t="n">
        <v>0</v>
      </c>
      <c r="P9560" t="n">
        <v>0</v>
      </c>
      <c r="Q9560" t="n">
        <v>0</v>
      </c>
      <c r="R9560" t="n">
        <v>0</v>
      </c>
      <c r="S9560" t="n">
        <v>0</v>
      </c>
      <c r="T9560" t="n">
        <v>0</v>
      </c>
      <c r="U9560" t="n">
        <v>0</v>
      </c>
      <c r="V9560" s="2" t="inlineStr"/>
    </row>
    <row r="9561" ht="15" customHeight="1">
      <c r="A9561" t="inlineStr">
        <is>
          <t>A 9905-2024</t>
        </is>
      </c>
      <c r="B9561" t="inlineStr">
        <is>
          <t>avverkningsanmälan</t>
        </is>
      </c>
      <c r="C9561" t="inlineStr">
        <is>
          <t>Föryngringsavverkning</t>
        </is>
      </c>
      <c r="D9561" s="1" t="n">
        <v>45363</v>
      </c>
      <c r="E9561" s="1" t="n">
        <v>46326</v>
      </c>
      <c r="F9561" t="inlineStr">
        <is>
          <t>GÄVLEBORGS LÄN</t>
        </is>
      </c>
      <c r="G9561" t="inlineStr">
        <is>
          <t>HUDIKSVALL</t>
        </is>
      </c>
      <c r="H9561" t="inlineStr">
        <is>
          <t>Holmen skog AB</t>
        </is>
      </c>
      <c r="I9561" t="n">
        <v>16.5</v>
      </c>
      <c r="J9561" t="n">
        <v>0</v>
      </c>
      <c r="K9561" t="n">
        <v>0</v>
      </c>
      <c r="L9561" t="n">
        <v>0</v>
      </c>
      <c r="M9561" t="n">
        <v>0</v>
      </c>
      <c r="N9561" t="n">
        <v>0</v>
      </c>
      <c r="O9561" t="n">
        <v>0</v>
      </c>
      <c r="P9561" t="n">
        <v>0</v>
      </c>
      <c r="Q9561" t="n">
        <v>0</v>
      </c>
      <c r="R9561" t="n">
        <v>0</v>
      </c>
      <c r="S9561" t="n">
        <v>0</v>
      </c>
      <c r="T9561" t="n">
        <v>0</v>
      </c>
      <c r="U9561" t="n">
        <v>0</v>
      </c>
      <c r="V9561" s="2" t="inlineStr"/>
    </row>
    <row r="9562" ht="15" customHeight="1">
      <c r="A9562" t="inlineStr">
        <is>
          <t>A 20512-2022</t>
        </is>
      </c>
      <c r="B9562" t="inlineStr">
        <is>
          <t>avverkningsanmälan</t>
        </is>
      </c>
      <c r="C9562" t="inlineStr">
        <is>
          <t>Föryngringsavverkning</t>
        </is>
      </c>
      <c r="D9562" s="1" t="n">
        <v>44699</v>
      </c>
      <c r="E9562" s="1" t="n">
        <v>46326</v>
      </c>
      <c r="F9562" t="inlineStr">
        <is>
          <t>GÄVLEBORGS LÄN</t>
        </is>
      </c>
      <c r="G9562" t="inlineStr">
        <is>
          <t>NORDANSTIG</t>
        </is>
      </c>
      <c r="I9562" t="n">
        <v>1.8</v>
      </c>
      <c r="J9562" t="n">
        <v>0</v>
      </c>
      <c r="K9562" t="n">
        <v>0</v>
      </c>
      <c r="L9562" t="n">
        <v>0</v>
      </c>
      <c r="M9562" t="n">
        <v>0</v>
      </c>
      <c r="N9562" t="n">
        <v>0</v>
      </c>
      <c r="O9562" t="n">
        <v>0</v>
      </c>
      <c r="P9562" t="n">
        <v>0</v>
      </c>
      <c r="Q9562" t="n">
        <v>0</v>
      </c>
      <c r="R9562" t="n">
        <v>0</v>
      </c>
      <c r="S9562" t="n">
        <v>0</v>
      </c>
      <c r="T9562" t="n">
        <v>0</v>
      </c>
      <c r="U9562" t="n">
        <v>0</v>
      </c>
      <c r="V9562" s="2" t="inlineStr"/>
    </row>
    <row r="9563" ht="15" customHeight="1">
      <c r="A9563" t="inlineStr">
        <is>
          <t>A 32386-2026</t>
        </is>
      </c>
      <c r="B9563" t="inlineStr">
        <is>
          <t>avverkningsanmälan</t>
        </is>
      </c>
      <c r="C9563" t="inlineStr">
        <is>
          <t>Föryngringsavverkning</t>
        </is>
      </c>
      <c r="D9563" s="1" t="n">
        <v>46238</v>
      </c>
      <c r="E9563" s="1" t="n">
        <v>46326</v>
      </c>
      <c r="F9563" t="inlineStr">
        <is>
          <t>GÄVLEBORGS LÄN</t>
        </is>
      </c>
      <c r="G9563" t="inlineStr">
        <is>
          <t>BOLLNÄS</t>
        </is>
      </c>
      <c r="H9563" t="inlineStr">
        <is>
          <t>Bergvik skog väst AB</t>
        </is>
      </c>
      <c r="I9563" t="n">
        <v>1.6</v>
      </c>
      <c r="J9563" t="n">
        <v>0</v>
      </c>
      <c r="K9563" t="n">
        <v>0</v>
      </c>
      <c r="L9563" t="n">
        <v>0</v>
      </c>
      <c r="M9563" t="n">
        <v>0</v>
      </c>
      <c r="N9563" t="n">
        <v>0</v>
      </c>
      <c r="O9563" t="n">
        <v>0</v>
      </c>
      <c r="P9563" t="n">
        <v>0</v>
      </c>
      <c r="Q9563" t="n">
        <v>0</v>
      </c>
      <c r="R9563" t="n">
        <v>0</v>
      </c>
      <c r="S9563" t="n">
        <v>0</v>
      </c>
      <c r="T9563" t="n">
        <v>0</v>
      </c>
      <c r="U9563" t="n">
        <v>0</v>
      </c>
      <c r="V9563" s="2" t="inlineStr"/>
    </row>
    <row r="9564" ht="15" customHeight="1">
      <c r="A9564" t="inlineStr">
        <is>
          <t>A 8898-2024</t>
        </is>
      </c>
      <c r="B9564" t="inlineStr">
        <is>
          <t>avverkningsanmälan</t>
        </is>
      </c>
      <c r="C9564" t="inlineStr">
        <is>
          <t>Föryngringsavverkning</t>
        </is>
      </c>
      <c r="D9564" s="1" t="n">
        <v>45357</v>
      </c>
      <c r="E9564" s="1" t="n">
        <v>46326</v>
      </c>
      <c r="F9564" t="inlineStr">
        <is>
          <t>GÄVLEBORGS LÄN</t>
        </is>
      </c>
      <c r="G9564" t="inlineStr">
        <is>
          <t>NORDANSTIG</t>
        </is>
      </c>
      <c r="I9564" t="n">
        <v>8.199999999999999</v>
      </c>
      <c r="J9564" t="n">
        <v>0</v>
      </c>
      <c r="K9564" t="n">
        <v>0</v>
      </c>
      <c r="L9564" t="n">
        <v>0</v>
      </c>
      <c r="M9564" t="n">
        <v>0</v>
      </c>
      <c r="N9564" t="n">
        <v>0</v>
      </c>
      <c r="O9564" t="n">
        <v>0</v>
      </c>
      <c r="P9564" t="n">
        <v>0</v>
      </c>
      <c r="Q9564" t="n">
        <v>0</v>
      </c>
      <c r="R9564" t="n">
        <v>0</v>
      </c>
      <c r="S9564" t="n">
        <v>0</v>
      </c>
      <c r="T9564" t="n">
        <v>0</v>
      </c>
      <c r="U9564" t="n">
        <v>0</v>
      </c>
      <c r="V9564" s="2" t="inlineStr"/>
    </row>
    <row r="9565" ht="15" customHeight="1">
      <c r="A9565" t="inlineStr">
        <is>
          <t>A 3635-2023</t>
        </is>
      </c>
      <c r="B9565" t="inlineStr">
        <is>
          <t>avverkningsanmälan</t>
        </is>
      </c>
      <c r="C9565" t="inlineStr">
        <is>
          <t>Föryngringsavverkning</t>
        </is>
      </c>
      <c r="D9565" s="1" t="n">
        <v>44950</v>
      </c>
      <c r="E9565" s="1" t="n">
        <v>46326</v>
      </c>
      <c r="F9565" t="inlineStr">
        <is>
          <t>GÄVLEBORGS LÄN</t>
        </is>
      </c>
      <c r="G9565" t="inlineStr">
        <is>
          <t>LJUSDAL</t>
        </is>
      </c>
      <c r="I9565" t="n">
        <v>0.8</v>
      </c>
      <c r="J9565" t="n">
        <v>0</v>
      </c>
      <c r="K9565" t="n">
        <v>0</v>
      </c>
      <c r="L9565" t="n">
        <v>0</v>
      </c>
      <c r="M9565" t="n">
        <v>0</v>
      </c>
      <c r="N9565" t="n">
        <v>0</v>
      </c>
      <c r="O9565" t="n">
        <v>0</v>
      </c>
      <c r="P9565" t="n">
        <v>0</v>
      </c>
      <c r="Q9565" t="n">
        <v>0</v>
      </c>
      <c r="R9565" t="n">
        <v>0</v>
      </c>
      <c r="S9565" t="n">
        <v>0</v>
      </c>
      <c r="T9565" t="n">
        <v>0</v>
      </c>
      <c r="U9565" t="n">
        <v>0</v>
      </c>
      <c r="V9565" s="2" t="inlineStr"/>
    </row>
    <row r="9566" ht="15" customHeight="1">
      <c r="A9566" t="inlineStr">
        <is>
          <t>A 32435-2026</t>
        </is>
      </c>
      <c r="B9566" t="inlineStr">
        <is>
          <t>avverkningsanmälan</t>
        </is>
      </c>
      <c r="C9566" t="inlineStr">
        <is>
          <t>Föryngringsavverkning</t>
        </is>
      </c>
      <c r="D9566" s="1" t="n">
        <v>46239</v>
      </c>
      <c r="E9566" s="1" t="n">
        <v>46326</v>
      </c>
      <c r="F9566" t="inlineStr">
        <is>
          <t>GÄVLEBORGS LÄN</t>
        </is>
      </c>
      <c r="G9566" t="inlineStr">
        <is>
          <t>OVANÅKER</t>
        </is>
      </c>
      <c r="I9566" t="n">
        <v>1.3</v>
      </c>
      <c r="J9566" t="n">
        <v>0</v>
      </c>
      <c r="K9566" t="n">
        <v>0</v>
      </c>
      <c r="L9566" t="n">
        <v>0</v>
      </c>
      <c r="M9566" t="n">
        <v>0</v>
      </c>
      <c r="N9566" t="n">
        <v>0</v>
      </c>
      <c r="O9566" t="n">
        <v>0</v>
      </c>
      <c r="P9566" t="n">
        <v>0</v>
      </c>
      <c r="Q9566" t="n">
        <v>0</v>
      </c>
      <c r="R9566" t="n">
        <v>0</v>
      </c>
      <c r="S9566" t="n">
        <v>0</v>
      </c>
      <c r="T9566" t="n">
        <v>0</v>
      </c>
      <c r="U9566" t="n">
        <v>0</v>
      </c>
      <c r="V9566" s="2" t="inlineStr"/>
    </row>
    <row r="9567" ht="15" customHeight="1">
      <c r="A9567" t="inlineStr">
        <is>
          <t>A 32437-2026</t>
        </is>
      </c>
      <c r="B9567" t="inlineStr">
        <is>
          <t>avverkningsanmälan</t>
        </is>
      </c>
      <c r="C9567" t="inlineStr">
        <is>
          <t>Föryngringsavverkning</t>
        </is>
      </c>
      <c r="D9567" s="1" t="n">
        <v>46239</v>
      </c>
      <c r="E9567" s="1" t="n">
        <v>46326</v>
      </c>
      <c r="F9567" t="inlineStr">
        <is>
          <t>GÄVLEBORGS LÄN</t>
        </is>
      </c>
      <c r="G9567" t="inlineStr">
        <is>
          <t>GÄVLE</t>
        </is>
      </c>
      <c r="H9567" t="inlineStr">
        <is>
          <t>Bergvik skog öst AB</t>
        </is>
      </c>
      <c r="I9567" t="n">
        <v>3.6</v>
      </c>
      <c r="J9567" t="n">
        <v>0</v>
      </c>
      <c r="K9567" t="n">
        <v>0</v>
      </c>
      <c r="L9567" t="n">
        <v>0</v>
      </c>
      <c r="M9567" t="n">
        <v>0</v>
      </c>
      <c r="N9567" t="n">
        <v>0</v>
      </c>
      <c r="O9567" t="n">
        <v>0</v>
      </c>
      <c r="P9567" t="n">
        <v>0</v>
      </c>
      <c r="Q9567" t="n">
        <v>0</v>
      </c>
      <c r="R9567" t="n">
        <v>0</v>
      </c>
      <c r="S9567" t="n">
        <v>0</v>
      </c>
      <c r="T9567" t="n">
        <v>0</v>
      </c>
      <c r="U9567" t="n">
        <v>0</v>
      </c>
      <c r="V9567" s="2" t="inlineStr"/>
    </row>
    <row r="9568" ht="15" customHeight="1">
      <c r="A9568" t="inlineStr">
        <is>
          <t>A 6833-2023</t>
        </is>
      </c>
      <c r="B9568" t="inlineStr">
        <is>
          <t>avverkningsanmälan</t>
        </is>
      </c>
      <c r="C9568" t="inlineStr">
        <is>
          <t>Föryngringsavverkning</t>
        </is>
      </c>
      <c r="D9568" s="1" t="n">
        <v>44967</v>
      </c>
      <c r="E9568" s="1" t="n">
        <v>46326</v>
      </c>
      <c r="F9568" t="inlineStr">
        <is>
          <t>GÄVLEBORGS LÄN</t>
        </is>
      </c>
      <c r="G9568" t="inlineStr">
        <is>
          <t>BOLLNÄS</t>
        </is>
      </c>
      <c r="I9568" t="n">
        <v>11.1</v>
      </c>
      <c r="J9568" t="n">
        <v>0</v>
      </c>
      <c r="K9568" t="n">
        <v>0</v>
      </c>
      <c r="L9568" t="n">
        <v>0</v>
      </c>
      <c r="M9568" t="n">
        <v>0</v>
      </c>
      <c r="N9568" t="n">
        <v>0</v>
      </c>
      <c r="O9568" t="n">
        <v>0</v>
      </c>
      <c r="P9568" t="n">
        <v>0</v>
      </c>
      <c r="Q9568" t="n">
        <v>0</v>
      </c>
      <c r="R9568" t="n">
        <v>0</v>
      </c>
      <c r="S9568" t="n">
        <v>0</v>
      </c>
      <c r="T9568" t="n">
        <v>0</v>
      </c>
      <c r="U9568" t="n">
        <v>0</v>
      </c>
      <c r="V9568" s="2" t="inlineStr"/>
    </row>
    <row r="9569" ht="15" customHeight="1">
      <c r="A9569" t="inlineStr">
        <is>
          <t>A 41544-2023</t>
        </is>
      </c>
      <c r="B9569" t="inlineStr">
        <is>
          <t>avverkningsanmälan</t>
        </is>
      </c>
      <c r="C9569" t="inlineStr">
        <is>
          <t>Föryngringsavverkning</t>
        </is>
      </c>
      <c r="D9569" s="1" t="n">
        <v>45175</v>
      </c>
      <c r="E9569" s="1" t="n">
        <v>46326</v>
      </c>
      <c r="F9569" t="inlineStr">
        <is>
          <t>GÄVLEBORGS LÄN</t>
        </is>
      </c>
      <c r="G9569" t="inlineStr">
        <is>
          <t>OVANÅKER</t>
        </is>
      </c>
      <c r="I9569" t="n">
        <v>0.6</v>
      </c>
      <c r="J9569" t="n">
        <v>0</v>
      </c>
      <c r="K9569" t="n">
        <v>0</v>
      </c>
      <c r="L9569" t="n">
        <v>0</v>
      </c>
      <c r="M9569" t="n">
        <v>0</v>
      </c>
      <c r="N9569" t="n">
        <v>0</v>
      </c>
      <c r="O9569" t="n">
        <v>0</v>
      </c>
      <c r="P9569" t="n">
        <v>0</v>
      </c>
      <c r="Q9569" t="n">
        <v>0</v>
      </c>
      <c r="R9569" t="n">
        <v>0</v>
      </c>
      <c r="S9569" t="n">
        <v>0</v>
      </c>
      <c r="T9569" t="n">
        <v>0</v>
      </c>
      <c r="U9569" t="n">
        <v>0</v>
      </c>
      <c r="V9569" s="2" t="inlineStr"/>
    </row>
    <row r="9570" ht="15" customHeight="1">
      <c r="A9570" t="inlineStr">
        <is>
          <t>A 32455-2026</t>
        </is>
      </c>
      <c r="B9570" t="inlineStr">
        <is>
          <t>avverkningsanmälan</t>
        </is>
      </c>
      <c r="C9570" t="inlineStr">
        <is>
          <t>Föryngringsavverkning</t>
        </is>
      </c>
      <c r="D9570" s="1" t="n">
        <v>46239</v>
      </c>
      <c r="E9570" s="1" t="n">
        <v>46326</v>
      </c>
      <c r="F9570" t="inlineStr">
        <is>
          <t>GÄVLEBORGS LÄN</t>
        </is>
      </c>
      <c r="G9570" t="inlineStr">
        <is>
          <t>BOLLNÄS</t>
        </is>
      </c>
      <c r="I9570" t="n">
        <v>2.2</v>
      </c>
      <c r="J9570" t="n">
        <v>0</v>
      </c>
      <c r="K9570" t="n">
        <v>0</v>
      </c>
      <c r="L9570" t="n">
        <v>0</v>
      </c>
      <c r="M9570" t="n">
        <v>0</v>
      </c>
      <c r="N9570" t="n">
        <v>0</v>
      </c>
      <c r="O9570" t="n">
        <v>0</v>
      </c>
      <c r="P9570" t="n">
        <v>0</v>
      </c>
      <c r="Q9570" t="n">
        <v>0</v>
      </c>
      <c r="R9570" t="n">
        <v>0</v>
      </c>
      <c r="S9570" t="n">
        <v>0</v>
      </c>
      <c r="T9570" t="n">
        <v>0</v>
      </c>
      <c r="U9570" t="n">
        <v>0</v>
      </c>
      <c r="V9570" s="2" t="inlineStr"/>
    </row>
    <row r="9571" ht="15" customHeight="1">
      <c r="A9571" t="inlineStr">
        <is>
          <t>A 41620-2023</t>
        </is>
      </c>
      <c r="B9571" t="inlineStr">
        <is>
          <t>avverkningsanmälan</t>
        </is>
      </c>
      <c r="C9571" t="inlineStr">
        <is>
          <t>Föryngringsavverkning</t>
        </is>
      </c>
      <c r="D9571" s="1" t="n">
        <v>45175</v>
      </c>
      <c r="E9571" s="1" t="n">
        <v>46326</v>
      </c>
      <c r="F9571" t="inlineStr">
        <is>
          <t>GÄVLEBORGS LÄN</t>
        </is>
      </c>
      <c r="G9571" t="inlineStr">
        <is>
          <t>NORDANSTIG</t>
        </is>
      </c>
      <c r="I9571" t="n">
        <v>0.5</v>
      </c>
      <c r="J9571" t="n">
        <v>0</v>
      </c>
      <c r="K9571" t="n">
        <v>0</v>
      </c>
      <c r="L9571" t="n">
        <v>0</v>
      </c>
      <c r="M9571" t="n">
        <v>0</v>
      </c>
      <c r="N9571" t="n">
        <v>0</v>
      </c>
      <c r="O9571" t="n">
        <v>0</v>
      </c>
      <c r="P9571" t="n">
        <v>0</v>
      </c>
      <c r="Q9571" t="n">
        <v>0</v>
      </c>
      <c r="R9571" t="n">
        <v>0</v>
      </c>
      <c r="S9571" t="n">
        <v>0</v>
      </c>
      <c r="T9571" t="n">
        <v>0</v>
      </c>
      <c r="U9571" t="n">
        <v>0</v>
      </c>
      <c r="V9571" s="2" t="inlineStr"/>
    </row>
    <row r="9572" ht="15" customHeight="1">
      <c r="A9572" t="inlineStr">
        <is>
          <t>A 12764-2025</t>
        </is>
      </c>
      <c r="B9572" t="inlineStr">
        <is>
          <t>avverkningsanmälan</t>
        </is>
      </c>
      <c r="C9572" t="inlineStr">
        <is>
          <t>Föryngringsavverkning</t>
        </is>
      </c>
      <c r="D9572" s="1" t="n">
        <v>45733</v>
      </c>
      <c r="E9572" s="1" t="n">
        <v>46326</v>
      </c>
      <c r="F9572" t="inlineStr">
        <is>
          <t>GÄVLEBORGS LÄN</t>
        </is>
      </c>
      <c r="G9572" t="inlineStr">
        <is>
          <t>NORDANSTIG</t>
        </is>
      </c>
      <c r="H9572" t="inlineStr">
        <is>
          <t>Holmen skog AB</t>
        </is>
      </c>
      <c r="I9572" t="n">
        <v>4.4</v>
      </c>
      <c r="J9572" t="n">
        <v>0</v>
      </c>
      <c r="K9572" t="n">
        <v>0</v>
      </c>
      <c r="L9572" t="n">
        <v>0</v>
      </c>
      <c r="M9572" t="n">
        <v>0</v>
      </c>
      <c r="N9572" t="n">
        <v>0</v>
      </c>
      <c r="O9572" t="n">
        <v>0</v>
      </c>
      <c r="P9572" t="n">
        <v>0</v>
      </c>
      <c r="Q9572" t="n">
        <v>0</v>
      </c>
      <c r="R9572" t="n">
        <v>0</v>
      </c>
      <c r="S9572" t="n">
        <v>0</v>
      </c>
      <c r="T9572" t="n">
        <v>0</v>
      </c>
      <c r="U9572" t="n">
        <v>0</v>
      </c>
      <c r="V9572" s="2" t="inlineStr"/>
    </row>
    <row r="9573" ht="15" customHeight="1">
      <c r="A9573" t="inlineStr">
        <is>
          <t>A 32478-2026</t>
        </is>
      </c>
      <c r="B9573" t="inlineStr">
        <is>
          <t>avverkningsanmälan</t>
        </is>
      </c>
      <c r="C9573" t="inlineStr">
        <is>
          <t>Föryngringsavverkning</t>
        </is>
      </c>
      <c r="D9573" s="1" t="n">
        <v>46239</v>
      </c>
      <c r="E9573" s="1" t="n">
        <v>46326</v>
      </c>
      <c r="F9573" t="inlineStr">
        <is>
          <t>GÄVLEBORGS LÄN</t>
        </is>
      </c>
      <c r="G9573" t="inlineStr">
        <is>
          <t>BOLLNÄS</t>
        </is>
      </c>
      <c r="I9573" t="n">
        <v>1.3</v>
      </c>
      <c r="J9573" t="n">
        <v>0</v>
      </c>
      <c r="K9573" t="n">
        <v>0</v>
      </c>
      <c r="L9573" t="n">
        <v>0</v>
      </c>
      <c r="M9573" t="n">
        <v>0</v>
      </c>
      <c r="N9573" t="n">
        <v>0</v>
      </c>
      <c r="O9573" t="n">
        <v>0</v>
      </c>
      <c r="P9573" t="n">
        <v>0</v>
      </c>
      <c r="Q9573" t="n">
        <v>0</v>
      </c>
      <c r="R9573" t="n">
        <v>0</v>
      </c>
      <c r="S9573" t="n">
        <v>0</v>
      </c>
      <c r="T9573" t="n">
        <v>0</v>
      </c>
      <c r="U9573" t="n">
        <v>0</v>
      </c>
      <c r="V9573" s="2" t="inlineStr"/>
    </row>
    <row r="9574" ht="15" customHeight="1">
      <c r="A9574" t="inlineStr">
        <is>
          <t>A 42643-2024</t>
        </is>
      </c>
      <c r="B9574" t="inlineStr">
        <is>
          <t>avverkningsanmälan</t>
        </is>
      </c>
      <c r="C9574" t="inlineStr">
        <is>
          <t>Föryngringsavverkning</t>
        </is>
      </c>
      <c r="D9574" s="1" t="n">
        <v>45566</v>
      </c>
      <c r="E9574" s="1" t="n">
        <v>46326</v>
      </c>
      <c r="F9574" t="inlineStr">
        <is>
          <t>GÄVLEBORGS LÄN</t>
        </is>
      </c>
      <c r="G9574" t="inlineStr">
        <is>
          <t>BOLLNÄS</t>
        </is>
      </c>
      <c r="I9574" t="n">
        <v>0.8</v>
      </c>
      <c r="J9574" t="n">
        <v>0</v>
      </c>
      <c r="K9574" t="n">
        <v>0</v>
      </c>
      <c r="L9574" t="n">
        <v>0</v>
      </c>
      <c r="M9574" t="n">
        <v>0</v>
      </c>
      <c r="N9574" t="n">
        <v>0</v>
      </c>
      <c r="O9574" t="n">
        <v>0</v>
      </c>
      <c r="P9574" t="n">
        <v>0</v>
      </c>
      <c r="Q9574" t="n">
        <v>0</v>
      </c>
      <c r="R9574" t="n">
        <v>0</v>
      </c>
      <c r="S9574" t="n">
        <v>0</v>
      </c>
      <c r="T9574" t="n">
        <v>0</v>
      </c>
      <c r="U9574" t="n">
        <v>0</v>
      </c>
      <c r="V9574" s="2" t="inlineStr"/>
    </row>
    <row r="9575" ht="15" customHeight="1">
      <c r="A9575" t="inlineStr">
        <is>
          <t>A 42644-2024</t>
        </is>
      </c>
      <c r="B9575" t="inlineStr">
        <is>
          <t>avverkningsanmälan</t>
        </is>
      </c>
      <c r="C9575" t="inlineStr">
        <is>
          <t>Föryngringsavverkning</t>
        </is>
      </c>
      <c r="D9575" s="1" t="n">
        <v>45566</v>
      </c>
      <c r="E9575" s="1" t="n">
        <v>46326</v>
      </c>
      <c r="F9575" t="inlineStr">
        <is>
          <t>GÄVLEBORGS LÄN</t>
        </is>
      </c>
      <c r="G9575" t="inlineStr">
        <is>
          <t>BOLLNÄS</t>
        </is>
      </c>
      <c r="I9575" t="n">
        <v>0.8</v>
      </c>
      <c r="J9575" t="n">
        <v>0</v>
      </c>
      <c r="K9575" t="n">
        <v>0</v>
      </c>
      <c r="L9575" t="n">
        <v>0</v>
      </c>
      <c r="M9575" t="n">
        <v>0</v>
      </c>
      <c r="N9575" t="n">
        <v>0</v>
      </c>
      <c r="O9575" t="n">
        <v>0</v>
      </c>
      <c r="P9575" t="n">
        <v>0</v>
      </c>
      <c r="Q9575" t="n">
        <v>0</v>
      </c>
      <c r="R9575" t="n">
        <v>0</v>
      </c>
      <c r="S9575" t="n">
        <v>0</v>
      </c>
      <c r="T9575" t="n">
        <v>0</v>
      </c>
      <c r="U9575" t="n">
        <v>0</v>
      </c>
      <c r="V9575" s="2" t="inlineStr"/>
    </row>
    <row r="9576" ht="15" customHeight="1">
      <c r="A9576" t="inlineStr">
        <is>
          <t>A 32596-2026</t>
        </is>
      </c>
      <c r="B9576" t="inlineStr">
        <is>
          <t>avverkningsanmälan</t>
        </is>
      </c>
      <c r="C9576" t="inlineStr">
        <is>
          <t>Föryngringsavverkning</t>
        </is>
      </c>
      <c r="D9576" s="1" t="n">
        <v>46240</v>
      </c>
      <c r="E9576" s="1" t="n">
        <v>46326</v>
      </c>
      <c r="F9576" t="inlineStr">
        <is>
          <t>GÄVLEBORGS LÄN</t>
        </is>
      </c>
      <c r="G9576" t="inlineStr">
        <is>
          <t>LJUSDAL</t>
        </is>
      </c>
      <c r="H9576" t="inlineStr">
        <is>
          <t>Bergvik skog väst AB</t>
        </is>
      </c>
      <c r="I9576" t="n">
        <v>2.7</v>
      </c>
      <c r="J9576" t="n">
        <v>0</v>
      </c>
      <c r="K9576" t="n">
        <v>0</v>
      </c>
      <c r="L9576" t="n">
        <v>0</v>
      </c>
      <c r="M9576" t="n">
        <v>0</v>
      </c>
      <c r="N9576" t="n">
        <v>0</v>
      </c>
      <c r="O9576" t="n">
        <v>0</v>
      </c>
      <c r="P9576" t="n">
        <v>0</v>
      </c>
      <c r="Q9576" t="n">
        <v>0</v>
      </c>
      <c r="R9576" t="n">
        <v>0</v>
      </c>
      <c r="S9576" t="n">
        <v>0</v>
      </c>
      <c r="T9576" t="n">
        <v>0</v>
      </c>
      <c r="U9576" t="n">
        <v>0</v>
      </c>
      <c r="V9576" s="2" t="inlineStr"/>
    </row>
    <row r="9577" ht="15" customHeight="1">
      <c r="A9577" t="inlineStr">
        <is>
          <t>A 53691-2024</t>
        </is>
      </c>
      <c r="B9577" t="inlineStr">
        <is>
          <t>avverkningsanmälan</t>
        </is>
      </c>
      <c r="C9577" t="inlineStr">
        <is>
          <t>Föryngringsavverkning</t>
        </is>
      </c>
      <c r="D9577" s="1" t="n">
        <v>45615</v>
      </c>
      <c r="E9577" s="1" t="n">
        <v>46326</v>
      </c>
      <c r="F9577" t="inlineStr">
        <is>
          <t>GÄVLEBORGS LÄN</t>
        </is>
      </c>
      <c r="G9577" t="inlineStr">
        <is>
          <t>NORDANSTIG</t>
        </is>
      </c>
      <c r="I9577" t="n">
        <v>3.8</v>
      </c>
      <c r="J9577" t="n">
        <v>0</v>
      </c>
      <c r="K9577" t="n">
        <v>0</v>
      </c>
      <c r="L9577" t="n">
        <v>0</v>
      </c>
      <c r="M9577" t="n">
        <v>0</v>
      </c>
      <c r="N9577" t="n">
        <v>0</v>
      </c>
      <c r="O9577" t="n">
        <v>0</v>
      </c>
      <c r="P9577" t="n">
        <v>0</v>
      </c>
      <c r="Q9577" t="n">
        <v>0</v>
      </c>
      <c r="R9577" t="n">
        <v>0</v>
      </c>
      <c r="S9577" t="n">
        <v>0</v>
      </c>
      <c r="T9577" t="n">
        <v>0</v>
      </c>
      <c r="U9577" t="n">
        <v>0</v>
      </c>
      <c r="V9577" s="2" t="inlineStr"/>
    </row>
    <row r="9578" ht="15" customHeight="1">
      <c r="A9578" t="inlineStr">
        <is>
          <t>A 32635-2026</t>
        </is>
      </c>
      <c r="B9578" t="inlineStr">
        <is>
          <t>avverkningsanmälan</t>
        </is>
      </c>
      <c r="C9578" t="inlineStr">
        <is>
          <t>Föryngringsavverkning</t>
        </is>
      </c>
      <c r="D9578" s="1" t="n">
        <v>46240</v>
      </c>
      <c r="E9578" s="1" t="n">
        <v>46326</v>
      </c>
      <c r="F9578" t="inlineStr">
        <is>
          <t>GÄVLEBORGS LÄN</t>
        </is>
      </c>
      <c r="G9578" t="inlineStr">
        <is>
          <t>HUDIKSVALL</t>
        </is>
      </c>
      <c r="H9578" t="inlineStr">
        <is>
          <t>Holmen skog AB</t>
        </is>
      </c>
      <c r="I9578" t="n">
        <v>0.8</v>
      </c>
      <c r="J9578" t="n">
        <v>0</v>
      </c>
      <c r="K9578" t="n">
        <v>0</v>
      </c>
      <c r="L9578" t="n">
        <v>0</v>
      </c>
      <c r="M9578" t="n">
        <v>0</v>
      </c>
      <c r="N9578" t="n">
        <v>0</v>
      </c>
      <c r="O9578" t="n">
        <v>0</v>
      </c>
      <c r="P9578" t="n">
        <v>0</v>
      </c>
      <c r="Q9578" t="n">
        <v>0</v>
      </c>
      <c r="R9578" t="n">
        <v>0</v>
      </c>
      <c r="S9578" t="n">
        <v>0</v>
      </c>
      <c r="T9578" t="n">
        <v>0</v>
      </c>
      <c r="U9578" t="n">
        <v>0</v>
      </c>
      <c r="V9578" s="2" t="inlineStr"/>
    </row>
    <row r="9579" ht="15" customHeight="1">
      <c r="A9579" t="inlineStr">
        <is>
          <t>A 21718-2026</t>
        </is>
      </c>
      <c r="B9579" t="inlineStr">
        <is>
          <t>avverkningsanmälan</t>
        </is>
      </c>
      <c r="C9579" t="inlineStr">
        <is>
          <t>Föryngringsavverkning</t>
        </is>
      </c>
      <c r="D9579" s="1" t="n">
        <v>46149</v>
      </c>
      <c r="E9579" s="1" t="n">
        <v>46326</v>
      </c>
      <c r="F9579" t="inlineStr">
        <is>
          <t>GÄVLEBORGS LÄN</t>
        </is>
      </c>
      <c r="G9579" t="inlineStr">
        <is>
          <t>HUDIKSVALL</t>
        </is>
      </c>
      <c r="I9579" t="n">
        <v>1.2</v>
      </c>
      <c r="J9579" t="n">
        <v>0</v>
      </c>
      <c r="K9579" t="n">
        <v>0</v>
      </c>
      <c r="L9579" t="n">
        <v>0</v>
      </c>
      <c r="M9579" t="n">
        <v>0</v>
      </c>
      <c r="N9579" t="n">
        <v>0</v>
      </c>
      <c r="O9579" t="n">
        <v>0</v>
      </c>
      <c r="P9579" t="n">
        <v>0</v>
      </c>
      <c r="Q9579" t="n">
        <v>0</v>
      </c>
      <c r="R9579" t="n">
        <v>0</v>
      </c>
      <c r="S9579" t="n">
        <v>0</v>
      </c>
      <c r="T9579" t="n">
        <v>0</v>
      </c>
      <c r="U9579" t="n">
        <v>0</v>
      </c>
      <c r="V9579" s="2" t="inlineStr"/>
    </row>
    <row r="9580" ht="15" customHeight="1">
      <c r="A9580" t="inlineStr">
        <is>
          <t>A 32436-2026</t>
        </is>
      </c>
      <c r="B9580" t="inlineStr">
        <is>
          <t>avverkningsanmälan</t>
        </is>
      </c>
      <c r="C9580" t="inlineStr">
        <is>
          <t>Föryngringsavverkning</t>
        </is>
      </c>
      <c r="D9580" s="1" t="n">
        <v>46239</v>
      </c>
      <c r="E9580" s="1" t="n">
        <v>46326</v>
      </c>
      <c r="F9580" t="inlineStr">
        <is>
          <t>GÄVLEBORGS LÄN</t>
        </is>
      </c>
      <c r="G9580" t="inlineStr">
        <is>
          <t>GÄVLE</t>
        </is>
      </c>
      <c r="H9580" t="inlineStr">
        <is>
          <t>Bergvik skog öst AB</t>
        </is>
      </c>
      <c r="I9580" t="n">
        <v>1.2</v>
      </c>
      <c r="J9580" t="n">
        <v>0</v>
      </c>
      <c r="K9580" t="n">
        <v>0</v>
      </c>
      <c r="L9580" t="n">
        <v>0</v>
      </c>
      <c r="M9580" t="n">
        <v>0</v>
      </c>
      <c r="N9580" t="n">
        <v>0</v>
      </c>
      <c r="O9580" t="n">
        <v>0</v>
      </c>
      <c r="P9580" t="n">
        <v>0</v>
      </c>
      <c r="Q9580" t="n">
        <v>0</v>
      </c>
      <c r="R9580" t="n">
        <v>0</v>
      </c>
      <c r="S9580" t="n">
        <v>0</v>
      </c>
      <c r="T9580" t="n">
        <v>0</v>
      </c>
      <c r="U9580" t="n">
        <v>0</v>
      </c>
      <c r="V9580" s="2" t="inlineStr"/>
    </row>
    <row r="9581" ht="15" customHeight="1">
      <c r="A9581" t="inlineStr">
        <is>
          <t>A 33225-2023</t>
        </is>
      </c>
      <c r="B9581" t="inlineStr">
        <is>
          <t>avverkningsanmälan</t>
        </is>
      </c>
      <c r="C9581" t="inlineStr">
        <is>
          <t>Föryngringsavverkning</t>
        </is>
      </c>
      <c r="D9581" s="1" t="n">
        <v>45127</v>
      </c>
      <c r="E9581" s="1" t="n">
        <v>46326</v>
      </c>
      <c r="F9581" t="inlineStr">
        <is>
          <t>GÄVLEBORGS LÄN</t>
        </is>
      </c>
      <c r="G9581" t="inlineStr">
        <is>
          <t>OVANÅKER</t>
        </is>
      </c>
      <c r="H9581" t="inlineStr">
        <is>
          <t>Bergvik skog öst AB</t>
        </is>
      </c>
      <c r="I9581" t="n">
        <v>19.8</v>
      </c>
      <c r="J9581" t="n">
        <v>0</v>
      </c>
      <c r="K9581" t="n">
        <v>0</v>
      </c>
      <c r="L9581" t="n">
        <v>0</v>
      </c>
      <c r="M9581" t="n">
        <v>0</v>
      </c>
      <c r="N9581" t="n">
        <v>0</v>
      </c>
      <c r="O9581" t="n">
        <v>0</v>
      </c>
      <c r="P9581" t="n">
        <v>0</v>
      </c>
      <c r="Q9581" t="n">
        <v>0</v>
      </c>
      <c r="R9581" t="n">
        <v>0</v>
      </c>
      <c r="S9581" t="n">
        <v>0</v>
      </c>
      <c r="T9581" t="n">
        <v>0</v>
      </c>
      <c r="U9581" t="n">
        <v>0</v>
      </c>
      <c r="V9581" s="2" t="inlineStr"/>
    </row>
    <row r="9582" ht="15" customHeight="1">
      <c r="A9582" t="inlineStr">
        <is>
          <t>A 32475-2026</t>
        </is>
      </c>
      <c r="B9582" t="inlineStr">
        <is>
          <t>avverkningsanmälan</t>
        </is>
      </c>
      <c r="C9582" t="inlineStr">
        <is>
          <t>Föryngringsavverkning</t>
        </is>
      </c>
      <c r="D9582" s="1" t="n">
        <v>46239</v>
      </c>
      <c r="E9582" s="1" t="n">
        <v>46326</v>
      </c>
      <c r="F9582" t="inlineStr">
        <is>
          <t>GÄVLEBORGS LÄN</t>
        </is>
      </c>
      <c r="G9582" t="inlineStr">
        <is>
          <t>HUDIKSVALL</t>
        </is>
      </c>
      <c r="I9582" t="n">
        <v>1.1</v>
      </c>
      <c r="J9582" t="n">
        <v>0</v>
      </c>
      <c r="K9582" t="n">
        <v>0</v>
      </c>
      <c r="L9582" t="n">
        <v>0</v>
      </c>
      <c r="M9582" t="n">
        <v>0</v>
      </c>
      <c r="N9582" t="n">
        <v>0</v>
      </c>
      <c r="O9582" t="n">
        <v>0</v>
      </c>
      <c r="P9582" t="n">
        <v>0</v>
      </c>
      <c r="Q9582" t="n">
        <v>0</v>
      </c>
      <c r="R9582" t="n">
        <v>0</v>
      </c>
      <c r="S9582" t="n">
        <v>0</v>
      </c>
      <c r="T9582" t="n">
        <v>0</v>
      </c>
      <c r="U9582" t="n">
        <v>0</v>
      </c>
      <c r="V9582" s="2" t="inlineStr"/>
    </row>
    <row r="9583" ht="15" customHeight="1">
      <c r="A9583" t="inlineStr">
        <is>
          <t>A 32484-2026</t>
        </is>
      </c>
      <c r="B9583" t="inlineStr">
        <is>
          <t>avverkningsanmälan</t>
        </is>
      </c>
      <c r="C9583" t="inlineStr">
        <is>
          <t>Föryngringsavverkning</t>
        </is>
      </c>
      <c r="D9583" s="1" t="n">
        <v>46239</v>
      </c>
      <c r="E9583" s="1" t="n">
        <v>46326</v>
      </c>
      <c r="F9583" t="inlineStr">
        <is>
          <t>GÄVLEBORGS LÄN</t>
        </is>
      </c>
      <c r="G9583" t="inlineStr">
        <is>
          <t>BOLLNÄS</t>
        </is>
      </c>
      <c r="I9583" t="n">
        <v>2</v>
      </c>
      <c r="J9583" t="n">
        <v>0</v>
      </c>
      <c r="K9583" t="n">
        <v>0</v>
      </c>
      <c r="L9583" t="n">
        <v>0</v>
      </c>
      <c r="M9583" t="n">
        <v>0</v>
      </c>
      <c r="N9583" t="n">
        <v>0</v>
      </c>
      <c r="O9583" t="n">
        <v>0</v>
      </c>
      <c r="P9583" t="n">
        <v>0</v>
      </c>
      <c r="Q9583" t="n">
        <v>0</v>
      </c>
      <c r="R9583" t="n">
        <v>0</v>
      </c>
      <c r="S9583" t="n">
        <v>0</v>
      </c>
      <c r="T9583" t="n">
        <v>0</v>
      </c>
      <c r="U9583" t="n">
        <v>0</v>
      </c>
      <c r="V9583" s="2" t="inlineStr"/>
    </row>
    <row r="9584" ht="15" customHeight="1">
      <c r="A9584" t="inlineStr">
        <is>
          <t>A 51634-2022</t>
        </is>
      </c>
      <c r="B9584" t="inlineStr">
        <is>
          <t>avverkningsanmälan</t>
        </is>
      </c>
      <c r="C9584" t="inlineStr">
        <is>
          <t>Föryngringsavverkning</t>
        </is>
      </c>
      <c r="D9584" s="1" t="n">
        <v>44872</v>
      </c>
      <c r="E9584" s="1" t="n">
        <v>46326</v>
      </c>
      <c r="F9584" t="inlineStr">
        <is>
          <t>GÄVLEBORGS LÄN</t>
        </is>
      </c>
      <c r="G9584" t="inlineStr">
        <is>
          <t>LJUSDAL</t>
        </is>
      </c>
      <c r="I9584" t="n">
        <v>3.1</v>
      </c>
      <c r="J9584" t="n">
        <v>0</v>
      </c>
      <c r="K9584" t="n">
        <v>0</v>
      </c>
      <c r="L9584" t="n">
        <v>0</v>
      </c>
      <c r="M9584" t="n">
        <v>0</v>
      </c>
      <c r="N9584" t="n">
        <v>0</v>
      </c>
      <c r="O9584" t="n">
        <v>0</v>
      </c>
      <c r="P9584" t="n">
        <v>0</v>
      </c>
      <c r="Q9584" t="n">
        <v>0</v>
      </c>
      <c r="R9584" t="n">
        <v>0</v>
      </c>
      <c r="S9584" t="n">
        <v>0</v>
      </c>
      <c r="T9584" t="n">
        <v>0</v>
      </c>
      <c r="U9584" t="n">
        <v>0</v>
      </c>
      <c r="V9584" s="2" t="inlineStr"/>
    </row>
    <row r="9585" ht="15" customHeight="1">
      <c r="A9585" t="inlineStr">
        <is>
          <t>A 54207-2023</t>
        </is>
      </c>
      <c r="B9585" t="inlineStr">
        <is>
          <t>avverkningsanmälan</t>
        </is>
      </c>
      <c r="C9585" t="inlineStr">
        <is>
          <t>Föryngringsavverkning</t>
        </is>
      </c>
      <c r="D9585" s="1" t="n">
        <v>45232</v>
      </c>
      <c r="E9585" s="1" t="n">
        <v>46326</v>
      </c>
      <c r="F9585" t="inlineStr">
        <is>
          <t>GÄVLEBORGS LÄN</t>
        </is>
      </c>
      <c r="G9585" t="inlineStr">
        <is>
          <t>GÄVLE</t>
        </is>
      </c>
      <c r="H9585" t="inlineStr">
        <is>
          <t>Bergvik skog väst AB</t>
        </is>
      </c>
      <c r="I9585" t="n">
        <v>3.3</v>
      </c>
      <c r="J9585" t="n">
        <v>0</v>
      </c>
      <c r="K9585" t="n">
        <v>0</v>
      </c>
      <c r="L9585" t="n">
        <v>0</v>
      </c>
      <c r="M9585" t="n">
        <v>0</v>
      </c>
      <c r="N9585" t="n">
        <v>0</v>
      </c>
      <c r="O9585" t="n">
        <v>0</v>
      </c>
      <c r="P9585" t="n">
        <v>0</v>
      </c>
      <c r="Q9585" t="n">
        <v>0</v>
      </c>
      <c r="R9585" t="n">
        <v>0</v>
      </c>
      <c r="S9585" t="n">
        <v>0</v>
      </c>
      <c r="T9585" t="n">
        <v>0</v>
      </c>
      <c r="U9585" t="n">
        <v>0</v>
      </c>
      <c r="V9585" s="2" t="inlineStr"/>
    </row>
    <row r="9586" ht="15" customHeight="1">
      <c r="A9586" t="inlineStr">
        <is>
          <t>A 32463-2026</t>
        </is>
      </c>
      <c r="B9586" t="inlineStr">
        <is>
          <t>avverkningsanmälan</t>
        </is>
      </c>
      <c r="C9586" t="inlineStr">
        <is>
          <t>Föryngringsavverkning</t>
        </is>
      </c>
      <c r="D9586" s="1" t="n">
        <v>46239</v>
      </c>
      <c r="E9586" s="1" t="n">
        <v>46326</v>
      </c>
      <c r="F9586" t="inlineStr">
        <is>
          <t>GÄVLEBORGS LÄN</t>
        </is>
      </c>
      <c r="G9586" t="inlineStr">
        <is>
          <t>BOLLNÄS</t>
        </is>
      </c>
      <c r="I9586" t="n">
        <v>2.2</v>
      </c>
      <c r="J9586" t="n">
        <v>0</v>
      </c>
      <c r="K9586" t="n">
        <v>0</v>
      </c>
      <c r="L9586" t="n">
        <v>0</v>
      </c>
      <c r="M9586" t="n">
        <v>0</v>
      </c>
      <c r="N9586" t="n">
        <v>0</v>
      </c>
      <c r="O9586" t="n">
        <v>0</v>
      </c>
      <c r="P9586" t="n">
        <v>0</v>
      </c>
      <c r="Q9586" t="n">
        <v>0</v>
      </c>
      <c r="R9586" t="n">
        <v>0</v>
      </c>
      <c r="S9586" t="n">
        <v>0</v>
      </c>
      <c r="T9586" t="n">
        <v>0</v>
      </c>
      <c r="U9586" t="n">
        <v>0</v>
      </c>
      <c r="V9586" s="2" t="inlineStr"/>
    </row>
    <row r="9587" ht="15" customHeight="1">
      <c r="A9587" t="inlineStr">
        <is>
          <t>A 32464-2026</t>
        </is>
      </c>
      <c r="B9587" t="inlineStr">
        <is>
          <t>avverkningsanmälan</t>
        </is>
      </c>
      <c r="C9587" t="inlineStr">
        <is>
          <t>Föryngringsavverkning</t>
        </is>
      </c>
      <c r="D9587" s="1" t="n">
        <v>46239</v>
      </c>
      <c r="E9587" s="1" t="n">
        <v>46326</v>
      </c>
      <c r="F9587" t="inlineStr">
        <is>
          <t>GÄVLEBORGS LÄN</t>
        </is>
      </c>
      <c r="G9587" t="inlineStr">
        <is>
          <t>HUDIKSVALL</t>
        </is>
      </c>
      <c r="H9587" t="inlineStr">
        <is>
          <t>Naturvårdsverket</t>
        </is>
      </c>
      <c r="I9587" t="n">
        <v>3.3</v>
      </c>
      <c r="J9587" t="n">
        <v>0</v>
      </c>
      <c r="K9587" t="n">
        <v>0</v>
      </c>
      <c r="L9587" t="n">
        <v>0</v>
      </c>
      <c r="M9587" t="n">
        <v>0</v>
      </c>
      <c r="N9587" t="n">
        <v>0</v>
      </c>
      <c r="O9587" t="n">
        <v>0</v>
      </c>
      <c r="P9587" t="n">
        <v>0</v>
      </c>
      <c r="Q9587" t="n">
        <v>0</v>
      </c>
      <c r="R9587" t="n">
        <v>0</v>
      </c>
      <c r="S9587" t="n">
        <v>0</v>
      </c>
      <c r="T9587" t="n">
        <v>0</v>
      </c>
      <c r="U9587" t="n">
        <v>0</v>
      </c>
      <c r="V9587" s="2" t="inlineStr"/>
    </row>
    <row r="9588" ht="15" customHeight="1">
      <c r="A9588" t="inlineStr">
        <is>
          <t>A 54209-2023</t>
        </is>
      </c>
      <c r="B9588" t="inlineStr">
        <is>
          <t>avverkningsanmälan</t>
        </is>
      </c>
      <c r="C9588" t="inlineStr">
        <is>
          <t>Föryngringsavverkning</t>
        </is>
      </c>
      <c r="D9588" s="1" t="n">
        <v>45232</v>
      </c>
      <c r="E9588" s="1" t="n">
        <v>46326</v>
      </c>
      <c r="F9588" t="inlineStr">
        <is>
          <t>GÄVLEBORGS LÄN</t>
        </is>
      </c>
      <c r="G9588" t="inlineStr">
        <is>
          <t>BOLLNÄS</t>
        </is>
      </c>
      <c r="I9588" t="n">
        <v>0.4</v>
      </c>
      <c r="J9588" t="n">
        <v>0</v>
      </c>
      <c r="K9588" t="n">
        <v>0</v>
      </c>
      <c r="L9588" t="n">
        <v>0</v>
      </c>
      <c r="M9588" t="n">
        <v>0</v>
      </c>
      <c r="N9588" t="n">
        <v>0</v>
      </c>
      <c r="O9588" t="n">
        <v>0</v>
      </c>
      <c r="P9588" t="n">
        <v>0</v>
      </c>
      <c r="Q9588" t="n">
        <v>0</v>
      </c>
      <c r="R9588" t="n">
        <v>0</v>
      </c>
      <c r="S9588" t="n">
        <v>0</v>
      </c>
      <c r="T9588" t="n">
        <v>0</v>
      </c>
      <c r="U9588" t="n">
        <v>0</v>
      </c>
      <c r="V9588" s="2" t="inlineStr"/>
    </row>
    <row r="9589" ht="15" customHeight="1">
      <c r="A9589" t="inlineStr">
        <is>
          <t>A 17962-2025</t>
        </is>
      </c>
      <c r="B9589" t="inlineStr">
        <is>
          <t>avverkningsanmälan</t>
        </is>
      </c>
      <c r="C9589" t="inlineStr">
        <is>
          <t>Föryngringsavverkning</t>
        </is>
      </c>
      <c r="D9589" s="1" t="n">
        <v>45761</v>
      </c>
      <c r="E9589" s="1" t="n">
        <v>46326</v>
      </c>
      <c r="F9589" t="inlineStr">
        <is>
          <t>GÄVLEBORGS LÄN</t>
        </is>
      </c>
      <c r="G9589" t="inlineStr">
        <is>
          <t>OVANÅKER</t>
        </is>
      </c>
      <c r="H9589" t="inlineStr">
        <is>
          <t>Holmen skog AB</t>
        </is>
      </c>
      <c r="I9589" t="n">
        <v>12.6</v>
      </c>
      <c r="J9589" t="n">
        <v>0</v>
      </c>
      <c r="K9589" t="n">
        <v>0</v>
      </c>
      <c r="L9589" t="n">
        <v>0</v>
      </c>
      <c r="M9589" t="n">
        <v>0</v>
      </c>
      <c r="N9589" t="n">
        <v>0</v>
      </c>
      <c r="O9589" t="n">
        <v>0</v>
      </c>
      <c r="P9589" t="n">
        <v>0</v>
      </c>
      <c r="Q9589" t="n">
        <v>0</v>
      </c>
      <c r="R9589" t="n">
        <v>0</v>
      </c>
      <c r="S9589" t="n">
        <v>0</v>
      </c>
      <c r="T9589" t="n">
        <v>0</v>
      </c>
      <c r="U9589" t="n">
        <v>0</v>
      </c>
      <c r="V9589" s="2" t="inlineStr"/>
    </row>
    <row r="9590" ht="15" customHeight="1">
      <c r="A9590" t="inlineStr">
        <is>
          <t>A 15935-2025</t>
        </is>
      </c>
      <c r="B9590" t="inlineStr">
        <is>
          <t>avverkningsanmälan</t>
        </is>
      </c>
      <c r="C9590" t="inlineStr">
        <is>
          <t>Föryngringsavverkning</t>
        </is>
      </c>
      <c r="D9590" s="1" t="n">
        <v>45749</v>
      </c>
      <c r="E9590" s="1" t="n">
        <v>46326</v>
      </c>
      <c r="F9590" t="inlineStr">
        <is>
          <t>GÄVLEBORGS LÄN</t>
        </is>
      </c>
      <c r="G9590" t="inlineStr">
        <is>
          <t>GÄVLE</t>
        </is>
      </c>
      <c r="I9590" t="n">
        <v>2.2</v>
      </c>
      <c r="J9590" t="n">
        <v>0</v>
      </c>
      <c r="K9590" t="n">
        <v>0</v>
      </c>
      <c r="L9590" t="n">
        <v>0</v>
      </c>
      <c r="M9590" t="n">
        <v>0</v>
      </c>
      <c r="N9590" t="n">
        <v>0</v>
      </c>
      <c r="O9590" t="n">
        <v>0</v>
      </c>
      <c r="P9590" t="n">
        <v>0</v>
      </c>
      <c r="Q9590" t="n">
        <v>0</v>
      </c>
      <c r="R9590" t="n">
        <v>0</v>
      </c>
      <c r="S9590" t="n">
        <v>0</v>
      </c>
      <c r="T9590" t="n">
        <v>0</v>
      </c>
      <c r="U9590" t="n">
        <v>0</v>
      </c>
      <c r="V9590" s="2" t="inlineStr"/>
    </row>
    <row r="9591" ht="15" customHeight="1">
      <c r="A9591" t="inlineStr">
        <is>
          <t>A 10514-2024</t>
        </is>
      </c>
      <c r="B9591" t="inlineStr">
        <is>
          <t>avverkningsanmälan</t>
        </is>
      </c>
      <c r="C9591" t="inlineStr">
        <is>
          <t>Föryngringsavverkning</t>
        </is>
      </c>
      <c r="D9591" s="1" t="n">
        <v>45366</v>
      </c>
      <c r="E9591" s="1" t="n">
        <v>46326</v>
      </c>
      <c r="F9591" t="inlineStr">
        <is>
          <t>GÄVLEBORGS LÄN</t>
        </is>
      </c>
      <c r="G9591" t="inlineStr">
        <is>
          <t>LJUSDAL</t>
        </is>
      </c>
      <c r="I9591" t="n">
        <v>3.3</v>
      </c>
      <c r="J9591" t="n">
        <v>0</v>
      </c>
      <c r="K9591" t="n">
        <v>0</v>
      </c>
      <c r="L9591" t="n">
        <v>0</v>
      </c>
      <c r="M9591" t="n">
        <v>0</v>
      </c>
      <c r="N9591" t="n">
        <v>0</v>
      </c>
      <c r="O9591" t="n">
        <v>0</v>
      </c>
      <c r="P9591" t="n">
        <v>0</v>
      </c>
      <c r="Q9591" t="n">
        <v>0</v>
      </c>
      <c r="R9591" t="n">
        <v>0</v>
      </c>
      <c r="S9591" t="n">
        <v>0</v>
      </c>
      <c r="T9591" t="n">
        <v>0</v>
      </c>
      <c r="U9591" t="n">
        <v>0</v>
      </c>
      <c r="V9591" s="2" t="inlineStr"/>
    </row>
    <row r="9592" ht="15" customHeight="1">
      <c r="A9592" t="inlineStr">
        <is>
          <t>A 26684-2026</t>
        </is>
      </c>
      <c r="B9592" t="inlineStr">
        <is>
          <t>avverkningsanmälan</t>
        </is>
      </c>
      <c r="C9592" t="inlineStr">
        <is>
          <t>Föryngringsavverkning</t>
        </is>
      </c>
      <c r="D9592" s="1" t="n">
        <v>46184</v>
      </c>
      <c r="E9592" s="1" t="n">
        <v>46326</v>
      </c>
      <c r="F9592" t="inlineStr">
        <is>
          <t>GÄVLEBORGS LÄN</t>
        </is>
      </c>
      <c r="G9592" t="inlineStr">
        <is>
          <t>NORDANSTIG</t>
        </is>
      </c>
      <c r="I9592" t="n">
        <v>2.6</v>
      </c>
      <c r="J9592" t="n">
        <v>0</v>
      </c>
      <c r="K9592" t="n">
        <v>0</v>
      </c>
      <c r="L9592" t="n">
        <v>0</v>
      </c>
      <c r="M9592" t="n">
        <v>0</v>
      </c>
      <c r="N9592" t="n">
        <v>0</v>
      </c>
      <c r="O9592" t="n">
        <v>0</v>
      </c>
      <c r="P9592" t="n">
        <v>0</v>
      </c>
      <c r="Q9592" t="n">
        <v>0</v>
      </c>
      <c r="R9592" t="n">
        <v>0</v>
      </c>
      <c r="S9592" t="n">
        <v>0</v>
      </c>
      <c r="T9592" t="n">
        <v>0</v>
      </c>
      <c r="U9592" t="n">
        <v>0</v>
      </c>
      <c r="V9592" s="2" t="inlineStr"/>
    </row>
    <row r="9593" ht="15" customHeight="1">
      <c r="A9593" t="inlineStr">
        <is>
          <t>A 32660-2026</t>
        </is>
      </c>
      <c r="B9593" t="inlineStr">
        <is>
          <t>avverkningsanmälan</t>
        </is>
      </c>
      <c r="C9593" t="inlineStr">
        <is>
          <t>Föryngringsavverkning</t>
        </is>
      </c>
      <c r="D9593" s="1" t="n">
        <v>46240</v>
      </c>
      <c r="E9593" s="1" t="n">
        <v>46326</v>
      </c>
      <c r="F9593" t="inlineStr">
        <is>
          <t>GÄVLEBORGS LÄN</t>
        </is>
      </c>
      <c r="G9593" t="inlineStr">
        <is>
          <t>LJUSDAL</t>
        </is>
      </c>
      <c r="I9593" t="n">
        <v>4</v>
      </c>
      <c r="J9593" t="n">
        <v>0</v>
      </c>
      <c r="K9593" t="n">
        <v>0</v>
      </c>
      <c r="L9593" t="n">
        <v>0</v>
      </c>
      <c r="M9593" t="n">
        <v>0</v>
      </c>
      <c r="N9593" t="n">
        <v>0</v>
      </c>
      <c r="O9593" t="n">
        <v>0</v>
      </c>
      <c r="P9593" t="n">
        <v>0</v>
      </c>
      <c r="Q9593" t="n">
        <v>0</v>
      </c>
      <c r="R9593" t="n">
        <v>0</v>
      </c>
      <c r="S9593" t="n">
        <v>0</v>
      </c>
      <c r="T9593" t="n">
        <v>0</v>
      </c>
      <c r="U9593" t="n">
        <v>0</v>
      </c>
      <c r="V9593" s="2" t="inlineStr"/>
    </row>
    <row r="9594" ht="15" customHeight="1">
      <c r="A9594" t="inlineStr">
        <is>
          <t>A 6093-2023</t>
        </is>
      </c>
      <c r="B9594" t="inlineStr">
        <is>
          <t>avverkningsanmälan</t>
        </is>
      </c>
      <c r="C9594" t="inlineStr">
        <is>
          <t>Föryngringsavverkning</t>
        </is>
      </c>
      <c r="D9594" s="1" t="n">
        <v>44964</v>
      </c>
      <c r="E9594" s="1" t="n">
        <v>46326</v>
      </c>
      <c r="F9594" t="inlineStr">
        <is>
          <t>GÄVLEBORGS LÄN</t>
        </is>
      </c>
      <c r="G9594" t="inlineStr">
        <is>
          <t>NORDANSTIG</t>
        </is>
      </c>
      <c r="H9594" t="inlineStr">
        <is>
          <t>Holmen skog AB</t>
        </is>
      </c>
      <c r="I9594" t="n">
        <v>1.5</v>
      </c>
      <c r="J9594" t="n">
        <v>0</v>
      </c>
      <c r="K9594" t="n">
        <v>0</v>
      </c>
      <c r="L9594" t="n">
        <v>0</v>
      </c>
      <c r="M9594" t="n">
        <v>0</v>
      </c>
      <c r="N9594" t="n">
        <v>0</v>
      </c>
      <c r="O9594" t="n">
        <v>0</v>
      </c>
      <c r="P9594" t="n">
        <v>0</v>
      </c>
      <c r="Q9594" t="n">
        <v>0</v>
      </c>
      <c r="R9594" t="n">
        <v>0</v>
      </c>
      <c r="S9594" t="n">
        <v>0</v>
      </c>
      <c r="T9594" t="n">
        <v>0</v>
      </c>
      <c r="U9594" t="n">
        <v>0</v>
      </c>
      <c r="V9594" s="2" t="inlineStr"/>
    </row>
    <row r="9595" ht="15" customHeight="1">
      <c r="A9595" t="inlineStr">
        <is>
          <t>A 38668-2026</t>
        </is>
      </c>
      <c r="B9595" t="inlineStr">
        <is>
          <t>avverkningsanmälan</t>
        </is>
      </c>
      <c r="C9595" t="inlineStr">
        <is>
          <t>Föryngringsavverkning</t>
        </is>
      </c>
      <c r="D9595" s="1" t="n">
        <v>46283</v>
      </c>
      <c r="E9595" s="1" t="n">
        <v>46326</v>
      </c>
      <c r="F9595" t="inlineStr">
        <is>
          <t>GÄVLEBORGS LÄN</t>
        </is>
      </c>
      <c r="G9595" t="inlineStr">
        <is>
          <t>OCKELBO</t>
        </is>
      </c>
      <c r="H9595" t="inlineStr">
        <is>
          <t>Bergvik skog väst AB</t>
        </is>
      </c>
      <c r="I9595" t="n">
        <v>10</v>
      </c>
      <c r="J9595" t="n">
        <v>0</v>
      </c>
      <c r="K9595" t="n">
        <v>0</v>
      </c>
      <c r="L9595" t="n">
        <v>0</v>
      </c>
      <c r="M9595" t="n">
        <v>0</v>
      </c>
      <c r="N9595" t="n">
        <v>0</v>
      </c>
      <c r="O9595" t="n">
        <v>0</v>
      </c>
      <c r="P9595" t="n">
        <v>0</v>
      </c>
      <c r="Q9595" t="n">
        <v>0</v>
      </c>
      <c r="R9595" t="n">
        <v>0</v>
      </c>
      <c r="S9595" t="n">
        <v>0</v>
      </c>
      <c r="T9595" t="n">
        <v>0</v>
      </c>
      <c r="U9595" t="n">
        <v>0</v>
      </c>
      <c r="V9595" s="2" t="inlineStr"/>
    </row>
    <row r="9596" ht="15" customHeight="1">
      <c r="A9596" t="inlineStr">
        <is>
          <t>A 32605-2026</t>
        </is>
      </c>
      <c r="B9596" t="inlineStr">
        <is>
          <t>avverkningsanmälan</t>
        </is>
      </c>
      <c r="C9596" t="inlineStr">
        <is>
          <t>Föryngringsavverkning</t>
        </is>
      </c>
      <c r="D9596" s="1" t="n">
        <v>46240</v>
      </c>
      <c r="E9596" s="1" t="n">
        <v>46326</v>
      </c>
      <c r="F9596" t="inlineStr">
        <is>
          <t>GÄVLEBORGS LÄN</t>
        </is>
      </c>
      <c r="G9596" t="inlineStr">
        <is>
          <t>BOLLNÄS</t>
        </is>
      </c>
      <c r="I9596" t="n">
        <v>2.6</v>
      </c>
      <c r="J9596" t="n">
        <v>0</v>
      </c>
      <c r="K9596" t="n">
        <v>0</v>
      </c>
      <c r="L9596" t="n">
        <v>0</v>
      </c>
      <c r="M9596" t="n">
        <v>0</v>
      </c>
      <c r="N9596" t="n">
        <v>0</v>
      </c>
      <c r="O9596" t="n">
        <v>0</v>
      </c>
      <c r="P9596" t="n">
        <v>0</v>
      </c>
      <c r="Q9596" t="n">
        <v>0</v>
      </c>
      <c r="R9596" t="n">
        <v>0</v>
      </c>
      <c r="S9596" t="n">
        <v>0</v>
      </c>
      <c r="T9596" t="n">
        <v>0</v>
      </c>
      <c r="U9596" t="n">
        <v>0</v>
      </c>
      <c r="V9596" s="2" t="inlineStr"/>
    </row>
    <row r="9597" ht="15" customHeight="1">
      <c r="A9597" t="inlineStr">
        <is>
          <t>A 72899-2021</t>
        </is>
      </c>
      <c r="B9597" t="inlineStr">
        <is>
          <t>avverkningsanmälan</t>
        </is>
      </c>
      <c r="C9597" t="inlineStr">
        <is>
          <t>Föryngringsavverkning</t>
        </is>
      </c>
      <c r="D9597" s="1" t="n">
        <v>44547</v>
      </c>
      <c r="E9597" s="1" t="n">
        <v>46326</v>
      </c>
      <c r="F9597" t="inlineStr">
        <is>
          <t>GÄVLEBORGS LÄN</t>
        </is>
      </c>
      <c r="G9597" t="inlineStr">
        <is>
          <t>HUDIKSVALL</t>
        </is>
      </c>
      <c r="I9597" t="n">
        <v>1.1</v>
      </c>
      <c r="J9597" t="n">
        <v>0</v>
      </c>
      <c r="K9597" t="n">
        <v>0</v>
      </c>
      <c r="L9597" t="n">
        <v>0</v>
      </c>
      <c r="M9597" t="n">
        <v>0</v>
      </c>
      <c r="N9597" t="n">
        <v>0</v>
      </c>
      <c r="O9597" t="n">
        <v>0</v>
      </c>
      <c r="P9597" t="n">
        <v>0</v>
      </c>
      <c r="Q9597" t="n">
        <v>0</v>
      </c>
      <c r="R9597" t="n">
        <v>0</v>
      </c>
      <c r="S9597" t="n">
        <v>0</v>
      </c>
      <c r="T9597" t="n">
        <v>0</v>
      </c>
      <c r="U9597" t="n">
        <v>0</v>
      </c>
      <c r="V9597" s="2" t="inlineStr"/>
    </row>
    <row r="9598" ht="15" customHeight="1">
      <c r="A9598" t="inlineStr">
        <is>
          <t>A 32653-2026</t>
        </is>
      </c>
      <c r="B9598" t="inlineStr">
        <is>
          <t>avverkningsanmälan</t>
        </is>
      </c>
      <c r="C9598" t="inlineStr">
        <is>
          <t>Föryngringsavverkning</t>
        </is>
      </c>
      <c r="D9598" s="1" t="n">
        <v>46240</v>
      </c>
      <c r="E9598" s="1" t="n">
        <v>46326</v>
      </c>
      <c r="F9598" t="inlineStr">
        <is>
          <t>GÄVLEBORGS LÄN</t>
        </is>
      </c>
      <c r="G9598" t="inlineStr">
        <is>
          <t>LJUSDAL</t>
        </is>
      </c>
      <c r="H9598" t="inlineStr">
        <is>
          <t>Allmännings- och besparingsskogar</t>
        </is>
      </c>
      <c r="I9598" t="n">
        <v>3.3</v>
      </c>
      <c r="J9598" t="n">
        <v>0</v>
      </c>
      <c r="K9598" t="n">
        <v>0</v>
      </c>
      <c r="L9598" t="n">
        <v>0</v>
      </c>
      <c r="M9598" t="n">
        <v>0</v>
      </c>
      <c r="N9598" t="n">
        <v>0</v>
      </c>
      <c r="O9598" t="n">
        <v>0</v>
      </c>
      <c r="P9598" t="n">
        <v>0</v>
      </c>
      <c r="Q9598" t="n">
        <v>0</v>
      </c>
      <c r="R9598" t="n">
        <v>0</v>
      </c>
      <c r="S9598" t="n">
        <v>0</v>
      </c>
      <c r="T9598" t="n">
        <v>0</v>
      </c>
      <c r="U9598" t="n">
        <v>0</v>
      </c>
      <c r="V9598" s="2" t="inlineStr"/>
    </row>
    <row r="9599" ht="15" customHeight="1">
      <c r="A9599" t="inlineStr">
        <is>
          <t>A 32557-2026</t>
        </is>
      </c>
      <c r="B9599" t="inlineStr">
        <is>
          <t>avverkningsanmälan</t>
        </is>
      </c>
      <c r="C9599" t="inlineStr">
        <is>
          <t>Föryngringsavverkning</t>
        </is>
      </c>
      <c r="D9599" s="1" t="n">
        <v>46239</v>
      </c>
      <c r="E9599" s="1" t="n">
        <v>46326</v>
      </c>
      <c r="F9599" t="inlineStr">
        <is>
          <t>GÄVLEBORGS LÄN</t>
        </is>
      </c>
      <c r="G9599" t="inlineStr">
        <is>
          <t>OVANÅKER</t>
        </is>
      </c>
      <c r="I9599" t="n">
        <v>2.3</v>
      </c>
      <c r="J9599" t="n">
        <v>0</v>
      </c>
      <c r="K9599" t="n">
        <v>0</v>
      </c>
      <c r="L9599" t="n">
        <v>0</v>
      </c>
      <c r="M9599" t="n">
        <v>0</v>
      </c>
      <c r="N9599" t="n">
        <v>0</v>
      </c>
      <c r="O9599" t="n">
        <v>0</v>
      </c>
      <c r="P9599" t="n">
        <v>0</v>
      </c>
      <c r="Q9599" t="n">
        <v>0</v>
      </c>
      <c r="R9599" t="n">
        <v>0</v>
      </c>
      <c r="S9599" t="n">
        <v>0</v>
      </c>
      <c r="T9599" t="n">
        <v>0</v>
      </c>
      <c r="U9599" t="n">
        <v>0</v>
      </c>
      <c r="V9599" s="2" t="inlineStr"/>
    </row>
    <row r="9600" ht="15" customHeight="1">
      <c r="A9600" t="inlineStr">
        <is>
          <t>A 26842-2026</t>
        </is>
      </c>
      <c r="B9600" t="inlineStr">
        <is>
          <t>avverkningsanmälan</t>
        </is>
      </c>
      <c r="C9600" t="inlineStr">
        <is>
          <t>Föryngringsavverkning</t>
        </is>
      </c>
      <c r="D9600" s="1" t="n">
        <v>46185</v>
      </c>
      <c r="E9600" s="1" t="n">
        <v>46326</v>
      </c>
      <c r="F9600" t="inlineStr">
        <is>
          <t>GÄVLEBORGS LÄN</t>
        </is>
      </c>
      <c r="G9600" t="inlineStr">
        <is>
          <t>NORDANSTIG</t>
        </is>
      </c>
      <c r="H9600" t="inlineStr">
        <is>
          <t>Holmen skog AB</t>
        </is>
      </c>
      <c r="I9600" t="n">
        <v>50.7</v>
      </c>
      <c r="J9600" t="n">
        <v>0</v>
      </c>
      <c r="K9600" t="n">
        <v>0</v>
      </c>
      <c r="L9600" t="n">
        <v>0</v>
      </c>
      <c r="M9600" t="n">
        <v>0</v>
      </c>
      <c r="N9600" t="n">
        <v>0</v>
      </c>
      <c r="O9600" t="n">
        <v>0</v>
      </c>
      <c r="P9600" t="n">
        <v>0</v>
      </c>
      <c r="Q9600" t="n">
        <v>0</v>
      </c>
      <c r="R9600" t="n">
        <v>0</v>
      </c>
      <c r="S9600" t="n">
        <v>0</v>
      </c>
      <c r="T9600" t="n">
        <v>0</v>
      </c>
      <c r="U9600" t="n">
        <v>0</v>
      </c>
      <c r="V9600" s="2" t="inlineStr"/>
    </row>
    <row r="9601" ht="15" customHeight="1">
      <c r="A9601" t="inlineStr">
        <is>
          <t>A 36607-2023</t>
        </is>
      </c>
      <c r="B9601" t="inlineStr">
        <is>
          <t>avverkningsanmälan</t>
        </is>
      </c>
      <c r="C9601" t="inlineStr">
        <is>
          <t>Föryngringsavverkning</t>
        </is>
      </c>
      <c r="D9601" s="1" t="n">
        <v>45153</v>
      </c>
      <c r="E9601" s="1" t="n">
        <v>46326</v>
      </c>
      <c r="F9601" t="inlineStr">
        <is>
          <t>GÄVLEBORGS LÄN</t>
        </is>
      </c>
      <c r="G9601" t="inlineStr">
        <is>
          <t>BOLLNÄS</t>
        </is>
      </c>
      <c r="I9601" t="n">
        <v>2.6</v>
      </c>
      <c r="J9601" t="n">
        <v>0</v>
      </c>
      <c r="K9601" t="n">
        <v>0</v>
      </c>
      <c r="L9601" t="n">
        <v>0</v>
      </c>
      <c r="M9601" t="n">
        <v>0</v>
      </c>
      <c r="N9601" t="n">
        <v>0</v>
      </c>
      <c r="O9601" t="n">
        <v>0</v>
      </c>
      <c r="P9601" t="n">
        <v>0</v>
      </c>
      <c r="Q9601" t="n">
        <v>0</v>
      </c>
      <c r="R9601" t="n">
        <v>0</v>
      </c>
      <c r="S9601" t="n">
        <v>0</v>
      </c>
      <c r="T9601" t="n">
        <v>0</v>
      </c>
      <c r="U9601" t="n">
        <v>0</v>
      </c>
      <c r="V9601" s="2" t="inlineStr"/>
    </row>
    <row r="9602" ht="15" customHeight="1">
      <c r="A9602" t="inlineStr">
        <is>
          <t>A 50242-2024</t>
        </is>
      </c>
      <c r="B9602" t="inlineStr">
        <is>
          <t>avverkningsanmälan</t>
        </is>
      </c>
      <c r="C9602" t="inlineStr">
        <is>
          <t>Föryngringsavverkning</t>
        </is>
      </c>
      <c r="D9602" s="1" t="n">
        <v>45600</v>
      </c>
      <c r="E9602" s="1" t="n">
        <v>46326</v>
      </c>
      <c r="F9602" t="inlineStr">
        <is>
          <t>GÄVLEBORGS LÄN</t>
        </is>
      </c>
      <c r="G9602" t="inlineStr">
        <is>
          <t>HUDIKSVALL</t>
        </is>
      </c>
      <c r="I9602" t="n">
        <v>3.9</v>
      </c>
      <c r="J9602" t="n">
        <v>0</v>
      </c>
      <c r="K9602" t="n">
        <v>0</v>
      </c>
      <c r="L9602" t="n">
        <v>0</v>
      </c>
      <c r="M9602" t="n">
        <v>0</v>
      </c>
      <c r="N9602" t="n">
        <v>0</v>
      </c>
      <c r="O9602" t="n">
        <v>0</v>
      </c>
      <c r="P9602" t="n">
        <v>0</v>
      </c>
      <c r="Q9602" t="n">
        <v>0</v>
      </c>
      <c r="R9602" t="n">
        <v>0</v>
      </c>
      <c r="S9602" t="n">
        <v>0</v>
      </c>
      <c r="T9602" t="n">
        <v>0</v>
      </c>
      <c r="U9602" t="n">
        <v>0</v>
      </c>
      <c r="V9602" s="2" t="inlineStr"/>
    </row>
    <row r="9603" ht="15" customHeight="1">
      <c r="A9603" t="inlineStr">
        <is>
          <t>A 26304-2022</t>
        </is>
      </c>
      <c r="B9603" t="inlineStr">
        <is>
          <t>avverkningsanmälan</t>
        </is>
      </c>
      <c r="C9603" t="inlineStr">
        <is>
          <t>Föryngringsavverkning</t>
        </is>
      </c>
      <c r="D9603" s="1" t="n">
        <v>44735</v>
      </c>
      <c r="E9603" s="1" t="n">
        <v>46326</v>
      </c>
      <c r="F9603" t="inlineStr">
        <is>
          <t>GÄVLEBORGS LÄN</t>
        </is>
      </c>
      <c r="G9603" t="inlineStr">
        <is>
          <t>BOLLNÄS</t>
        </is>
      </c>
      <c r="I9603" t="n">
        <v>2.3</v>
      </c>
      <c r="J9603" t="n">
        <v>0</v>
      </c>
      <c r="K9603" t="n">
        <v>0</v>
      </c>
      <c r="L9603" t="n">
        <v>0</v>
      </c>
      <c r="M9603" t="n">
        <v>0</v>
      </c>
      <c r="N9603" t="n">
        <v>0</v>
      </c>
      <c r="O9603" t="n">
        <v>0</v>
      </c>
      <c r="P9603" t="n">
        <v>0</v>
      </c>
      <c r="Q9603" t="n">
        <v>0</v>
      </c>
      <c r="R9603" t="n">
        <v>0</v>
      </c>
      <c r="S9603" t="n">
        <v>0</v>
      </c>
      <c r="T9603" t="n">
        <v>0</v>
      </c>
      <c r="U9603" t="n">
        <v>0</v>
      </c>
      <c r="V9603" s="2" t="inlineStr"/>
    </row>
    <row r="9604" ht="15" customHeight="1">
      <c r="A9604" t="inlineStr">
        <is>
          <t>A 39157-2026</t>
        </is>
      </c>
      <c r="B9604" t="inlineStr">
        <is>
          <t>avverkningsanmälan</t>
        </is>
      </c>
      <c r="C9604" t="inlineStr">
        <is>
          <t>Föryngringsavverkning</t>
        </is>
      </c>
      <c r="D9604" s="1" t="n">
        <v>46287</v>
      </c>
      <c r="E9604" s="1" t="n">
        <v>46326</v>
      </c>
      <c r="F9604" t="inlineStr">
        <is>
          <t>GÄVLEBORGS LÄN</t>
        </is>
      </c>
      <c r="G9604" t="inlineStr">
        <is>
          <t>SANDVIKEN</t>
        </is>
      </c>
      <c r="I9604" t="n">
        <v>1.5</v>
      </c>
      <c r="J9604" t="n">
        <v>0</v>
      </c>
      <c r="K9604" t="n">
        <v>0</v>
      </c>
      <c r="L9604" t="n">
        <v>0</v>
      </c>
      <c r="M9604" t="n">
        <v>0</v>
      </c>
      <c r="N9604" t="n">
        <v>0</v>
      </c>
      <c r="O9604" t="n">
        <v>0</v>
      </c>
      <c r="P9604" t="n">
        <v>0</v>
      </c>
      <c r="Q9604" t="n">
        <v>0</v>
      </c>
      <c r="R9604" t="n">
        <v>0</v>
      </c>
      <c r="S9604" t="n">
        <v>0</v>
      </c>
      <c r="T9604" t="n">
        <v>0</v>
      </c>
      <c r="U9604" t="n">
        <v>0</v>
      </c>
      <c r="V9604" s="2" t="inlineStr"/>
    </row>
    <row r="9605" ht="15" customHeight="1">
      <c r="A9605" t="inlineStr">
        <is>
          <t>A 25814-2023</t>
        </is>
      </c>
      <c r="B9605" t="inlineStr">
        <is>
          <t>avverkningsanmälan</t>
        </is>
      </c>
      <c r="C9605" t="inlineStr">
        <is>
          <t>Föryngringsavverkning</t>
        </is>
      </c>
      <c r="D9605" s="1" t="n">
        <v>45090</v>
      </c>
      <c r="E9605" s="1" t="n">
        <v>46326</v>
      </c>
      <c r="F9605" t="inlineStr">
        <is>
          <t>GÄVLEBORGS LÄN</t>
        </is>
      </c>
      <c r="G9605" t="inlineStr">
        <is>
          <t>GÄVLE</t>
        </is>
      </c>
      <c r="I9605" t="n">
        <v>0.9</v>
      </c>
      <c r="J9605" t="n">
        <v>0</v>
      </c>
      <c r="K9605" t="n">
        <v>0</v>
      </c>
      <c r="L9605" t="n">
        <v>0</v>
      </c>
      <c r="M9605" t="n">
        <v>0</v>
      </c>
      <c r="N9605" t="n">
        <v>0</v>
      </c>
      <c r="O9605" t="n">
        <v>0</v>
      </c>
      <c r="P9605" t="n">
        <v>0</v>
      </c>
      <c r="Q9605" t="n">
        <v>0</v>
      </c>
      <c r="R9605" t="n">
        <v>0</v>
      </c>
      <c r="S9605" t="n">
        <v>0</v>
      </c>
      <c r="T9605" t="n">
        <v>0</v>
      </c>
      <c r="U9605" t="n">
        <v>0</v>
      </c>
      <c r="V9605" s="2" t="inlineStr"/>
    </row>
    <row r="9606" ht="15" customHeight="1">
      <c r="A9606" t="inlineStr">
        <is>
          <t>A 21756-2024</t>
        </is>
      </c>
      <c r="B9606" t="inlineStr">
        <is>
          <t>avverkningsanmälan</t>
        </is>
      </c>
      <c r="C9606" t="inlineStr">
        <is>
          <t>Avverkning för annat ändamål</t>
        </is>
      </c>
      <c r="D9606" s="1" t="n">
        <v>45442</v>
      </c>
      <c r="E9606" s="1" t="n">
        <v>46326</v>
      </c>
      <c r="F9606" t="inlineStr">
        <is>
          <t>GÄVLEBORGS LÄN</t>
        </is>
      </c>
      <c r="G9606" t="inlineStr">
        <is>
          <t>LJUSDAL</t>
        </is>
      </c>
      <c r="I9606" t="n">
        <v>0.3</v>
      </c>
      <c r="J9606" t="n">
        <v>0</v>
      </c>
      <c r="K9606" t="n">
        <v>0</v>
      </c>
      <c r="L9606" t="n">
        <v>0</v>
      </c>
      <c r="M9606" t="n">
        <v>0</v>
      </c>
      <c r="N9606" t="n">
        <v>0</v>
      </c>
      <c r="O9606" t="n">
        <v>0</v>
      </c>
      <c r="P9606" t="n">
        <v>0</v>
      </c>
      <c r="Q9606" t="n">
        <v>0</v>
      </c>
      <c r="R9606" t="n">
        <v>0</v>
      </c>
      <c r="S9606" t="n">
        <v>0</v>
      </c>
      <c r="T9606" t="n">
        <v>0</v>
      </c>
      <c r="U9606" t="n">
        <v>0</v>
      </c>
      <c r="V9606" s="2" t="inlineStr"/>
    </row>
    <row r="9607" ht="15" customHeight="1">
      <c r="A9607" t="inlineStr">
        <is>
          <t>A 3899-2022</t>
        </is>
      </c>
      <c r="B9607" t="inlineStr">
        <is>
          <t>avverkningsanmälan</t>
        </is>
      </c>
      <c r="C9607" t="inlineStr">
        <is>
          <t>Föryngringsavverkning</t>
        </is>
      </c>
      <c r="D9607" s="1" t="n">
        <v>44587</v>
      </c>
      <c r="E9607" s="1" t="n">
        <v>46326</v>
      </c>
      <c r="F9607" t="inlineStr">
        <is>
          <t>GÄVLEBORGS LÄN</t>
        </is>
      </c>
      <c r="G9607" t="inlineStr">
        <is>
          <t>SANDVIKEN</t>
        </is>
      </c>
      <c r="H9607" t="inlineStr">
        <is>
          <t>Kyrkan</t>
        </is>
      </c>
      <c r="I9607" t="n">
        <v>3.2</v>
      </c>
      <c r="J9607" t="n">
        <v>0</v>
      </c>
      <c r="K9607" t="n">
        <v>0</v>
      </c>
      <c r="L9607" t="n">
        <v>0</v>
      </c>
      <c r="M9607" t="n">
        <v>0</v>
      </c>
      <c r="N9607" t="n">
        <v>0</v>
      </c>
      <c r="O9607" t="n">
        <v>0</v>
      </c>
      <c r="P9607" t="n">
        <v>0</v>
      </c>
      <c r="Q9607" t="n">
        <v>0</v>
      </c>
      <c r="R9607" t="n">
        <v>0</v>
      </c>
      <c r="S9607" t="n">
        <v>0</v>
      </c>
      <c r="T9607" t="n">
        <v>0</v>
      </c>
      <c r="U9607" t="n">
        <v>0</v>
      </c>
      <c r="V9607" s="2" t="inlineStr"/>
    </row>
    <row r="9608" ht="15" customHeight="1">
      <c r="A9608" t="inlineStr">
        <is>
          <t>A 36576-2022</t>
        </is>
      </c>
      <c r="B9608" t="inlineStr">
        <is>
          <t>avverkningsanmälan</t>
        </is>
      </c>
      <c r="C9608" t="inlineStr">
        <is>
          <t>Föryngringsavverkning</t>
        </is>
      </c>
      <c r="D9608" s="1" t="n">
        <v>44804</v>
      </c>
      <c r="E9608" s="1" t="n">
        <v>46326</v>
      </c>
      <c r="F9608" t="inlineStr">
        <is>
          <t>GÄVLEBORGS LÄN</t>
        </is>
      </c>
      <c r="G9608" t="inlineStr">
        <is>
          <t>OVANÅKER</t>
        </is>
      </c>
      <c r="I9608" t="n">
        <v>4.9</v>
      </c>
      <c r="J9608" t="n">
        <v>0</v>
      </c>
      <c r="K9608" t="n">
        <v>0</v>
      </c>
      <c r="L9608" t="n">
        <v>0</v>
      </c>
      <c r="M9608" t="n">
        <v>0</v>
      </c>
      <c r="N9608" t="n">
        <v>0</v>
      </c>
      <c r="O9608" t="n">
        <v>0</v>
      </c>
      <c r="P9608" t="n">
        <v>0</v>
      </c>
      <c r="Q9608" t="n">
        <v>0</v>
      </c>
      <c r="R9608" t="n">
        <v>0</v>
      </c>
      <c r="S9608" t="n">
        <v>0</v>
      </c>
      <c r="T9608" t="n">
        <v>0</v>
      </c>
      <c r="U9608" t="n">
        <v>0</v>
      </c>
      <c r="V9608" s="2" t="inlineStr"/>
    </row>
    <row r="9609" ht="15" customHeight="1">
      <c r="A9609" t="inlineStr">
        <is>
          <t>A 35679-2023</t>
        </is>
      </c>
      <c r="B9609" t="inlineStr">
        <is>
          <t>avverkningsanmälan</t>
        </is>
      </c>
      <c r="C9609" t="inlineStr">
        <is>
          <t>Föryngringsavverkning</t>
        </is>
      </c>
      <c r="D9609" s="1" t="n">
        <v>45147</v>
      </c>
      <c r="E9609" s="1" t="n">
        <v>46326</v>
      </c>
      <c r="F9609" t="inlineStr">
        <is>
          <t>GÄVLEBORGS LÄN</t>
        </is>
      </c>
      <c r="G9609" t="inlineStr">
        <is>
          <t>HUDIKSVALL</t>
        </is>
      </c>
      <c r="H9609" t="inlineStr">
        <is>
          <t>Holmen skog AB</t>
        </is>
      </c>
      <c r="I9609" t="n">
        <v>6.5</v>
      </c>
      <c r="J9609" t="n">
        <v>0</v>
      </c>
      <c r="K9609" t="n">
        <v>0</v>
      </c>
      <c r="L9609" t="n">
        <v>0</v>
      </c>
      <c r="M9609" t="n">
        <v>0</v>
      </c>
      <c r="N9609" t="n">
        <v>0</v>
      </c>
      <c r="O9609" t="n">
        <v>0</v>
      </c>
      <c r="P9609" t="n">
        <v>0</v>
      </c>
      <c r="Q9609" t="n">
        <v>0</v>
      </c>
      <c r="R9609" t="n">
        <v>0</v>
      </c>
      <c r="S9609" t="n">
        <v>0</v>
      </c>
      <c r="T9609" t="n">
        <v>0</v>
      </c>
      <c r="U9609" t="n">
        <v>0</v>
      </c>
      <c r="V9609" s="2" t="inlineStr"/>
    </row>
    <row r="9610" ht="15" customHeight="1">
      <c r="A9610" t="inlineStr">
        <is>
          <t>A 59799-2022</t>
        </is>
      </c>
      <c r="B9610" t="inlineStr">
        <is>
          <t>avverkningsanmälan</t>
        </is>
      </c>
      <c r="C9610" t="inlineStr">
        <is>
          <t>Föryngringsavverkning</t>
        </is>
      </c>
      <c r="D9610" s="1" t="n">
        <v>44908</v>
      </c>
      <c r="E9610" s="1" t="n">
        <v>46326</v>
      </c>
      <c r="F9610" t="inlineStr">
        <is>
          <t>GÄVLEBORGS LÄN</t>
        </is>
      </c>
      <c r="G9610" t="inlineStr">
        <is>
          <t>NORDANSTIG</t>
        </is>
      </c>
      <c r="H9610" t="inlineStr">
        <is>
          <t>Holmen skog AB</t>
        </is>
      </c>
      <c r="I9610" t="n">
        <v>0.5</v>
      </c>
      <c r="J9610" t="n">
        <v>0</v>
      </c>
      <c r="K9610" t="n">
        <v>0</v>
      </c>
      <c r="L9610" t="n">
        <v>0</v>
      </c>
      <c r="M9610" t="n">
        <v>0</v>
      </c>
      <c r="N9610" t="n">
        <v>0</v>
      </c>
      <c r="O9610" t="n">
        <v>0</v>
      </c>
      <c r="P9610" t="n">
        <v>0</v>
      </c>
      <c r="Q9610" t="n">
        <v>0</v>
      </c>
      <c r="R9610" t="n">
        <v>0</v>
      </c>
      <c r="S9610" t="n">
        <v>0</v>
      </c>
      <c r="T9610" t="n">
        <v>0</v>
      </c>
      <c r="U9610" t="n">
        <v>0</v>
      </c>
      <c r="V9610" s="2" t="inlineStr"/>
    </row>
    <row r="9611" ht="15" customHeight="1">
      <c r="A9611" t="inlineStr">
        <is>
          <t>A 19156-2023</t>
        </is>
      </c>
      <c r="B9611" t="inlineStr">
        <is>
          <t>avverkningsanmälan</t>
        </is>
      </c>
      <c r="C9611" t="inlineStr">
        <is>
          <t>Föryngringsavverkning</t>
        </is>
      </c>
      <c r="D9611" s="1" t="n">
        <v>45048</v>
      </c>
      <c r="E9611" s="1" t="n">
        <v>46326</v>
      </c>
      <c r="F9611" t="inlineStr">
        <is>
          <t>GÄVLEBORGS LÄN</t>
        </is>
      </c>
      <c r="G9611" t="inlineStr">
        <is>
          <t>HUDIKSVALL</t>
        </is>
      </c>
      <c r="I9611" t="n">
        <v>3.7</v>
      </c>
      <c r="J9611" t="n">
        <v>0</v>
      </c>
      <c r="K9611" t="n">
        <v>0</v>
      </c>
      <c r="L9611" t="n">
        <v>0</v>
      </c>
      <c r="M9611" t="n">
        <v>0</v>
      </c>
      <c r="N9611" t="n">
        <v>0</v>
      </c>
      <c r="O9611" t="n">
        <v>0</v>
      </c>
      <c r="P9611" t="n">
        <v>0</v>
      </c>
      <c r="Q9611" t="n">
        <v>0</v>
      </c>
      <c r="R9611" t="n">
        <v>0</v>
      </c>
      <c r="S9611" t="n">
        <v>0</v>
      </c>
      <c r="T9611" t="n">
        <v>0</v>
      </c>
      <c r="U9611" t="n">
        <v>0</v>
      </c>
      <c r="V9611" s="2" t="inlineStr"/>
    </row>
    <row r="9612" ht="15" customHeight="1">
      <c r="A9612" t="inlineStr">
        <is>
          <t>A 48148-2024</t>
        </is>
      </c>
      <c r="B9612" t="inlineStr">
        <is>
          <t>avverkningsanmälan</t>
        </is>
      </c>
      <c r="C9612" t="inlineStr">
        <is>
          <t>Föryngringsavverkning</t>
        </is>
      </c>
      <c r="D9612" s="1" t="n">
        <v>45589</v>
      </c>
      <c r="E9612" s="1" t="n">
        <v>46326</v>
      </c>
      <c r="F9612" t="inlineStr">
        <is>
          <t>GÄVLEBORGS LÄN</t>
        </is>
      </c>
      <c r="G9612" t="inlineStr">
        <is>
          <t>LJUSDAL</t>
        </is>
      </c>
      <c r="I9612" t="n">
        <v>2.9</v>
      </c>
      <c r="J9612" t="n">
        <v>0</v>
      </c>
      <c r="K9612" t="n">
        <v>0</v>
      </c>
      <c r="L9612" t="n">
        <v>0</v>
      </c>
      <c r="M9612" t="n">
        <v>0</v>
      </c>
      <c r="N9612" t="n">
        <v>0</v>
      </c>
      <c r="O9612" t="n">
        <v>0</v>
      </c>
      <c r="P9612" t="n">
        <v>0</v>
      </c>
      <c r="Q9612" t="n">
        <v>0</v>
      </c>
      <c r="R9612" t="n">
        <v>0</v>
      </c>
      <c r="S9612" t="n">
        <v>0</v>
      </c>
      <c r="T9612" t="n">
        <v>0</v>
      </c>
      <c r="U9612" t="n">
        <v>0</v>
      </c>
      <c r="V9612" s="2" t="inlineStr"/>
    </row>
    <row r="9613" ht="15" customHeight="1">
      <c r="A9613" t="inlineStr">
        <is>
          <t>A 4511-2024</t>
        </is>
      </c>
      <c r="B9613" t="inlineStr">
        <is>
          <t>avverkningsanmälan</t>
        </is>
      </c>
      <c r="C9613" t="inlineStr">
        <is>
          <t>Föryngringsavverkning</t>
        </is>
      </c>
      <c r="D9613" s="1" t="n">
        <v>45327</v>
      </c>
      <c r="E9613" s="1" t="n">
        <v>46326</v>
      </c>
      <c r="F9613" t="inlineStr">
        <is>
          <t>GÄVLEBORGS LÄN</t>
        </is>
      </c>
      <c r="G9613" t="inlineStr">
        <is>
          <t>SANDVIKEN</t>
        </is>
      </c>
      <c r="I9613" t="n">
        <v>1.1</v>
      </c>
      <c r="J9613" t="n">
        <v>0</v>
      </c>
      <c r="K9613" t="n">
        <v>0</v>
      </c>
      <c r="L9613" t="n">
        <v>0</v>
      </c>
      <c r="M9613" t="n">
        <v>0</v>
      </c>
      <c r="N9613" t="n">
        <v>0</v>
      </c>
      <c r="O9613" t="n">
        <v>0</v>
      </c>
      <c r="P9613" t="n">
        <v>0</v>
      </c>
      <c r="Q9613" t="n">
        <v>0</v>
      </c>
      <c r="R9613" t="n">
        <v>0</v>
      </c>
      <c r="S9613" t="n">
        <v>0</v>
      </c>
      <c r="T9613" t="n">
        <v>0</v>
      </c>
      <c r="U9613" t="n">
        <v>0</v>
      </c>
      <c r="V9613" s="2" t="inlineStr"/>
    </row>
    <row r="9614" ht="15" customHeight="1">
      <c r="A9614" t="inlineStr">
        <is>
          <t>A 33007-2026</t>
        </is>
      </c>
      <c r="B9614" t="inlineStr">
        <is>
          <t>avverkningsanmälan</t>
        </is>
      </c>
      <c r="C9614" t="inlineStr">
        <is>
          <t>Föryngringsavverkning</t>
        </is>
      </c>
      <c r="D9614" s="1" t="n">
        <v>46244</v>
      </c>
      <c r="E9614" s="1" t="n">
        <v>46326</v>
      </c>
      <c r="F9614" t="inlineStr">
        <is>
          <t>GÄVLEBORGS LÄN</t>
        </is>
      </c>
      <c r="G9614" t="inlineStr">
        <is>
          <t>SANDVIKEN</t>
        </is>
      </c>
      <c r="I9614" t="n">
        <v>1</v>
      </c>
      <c r="J9614" t="n">
        <v>0</v>
      </c>
      <c r="K9614" t="n">
        <v>0</v>
      </c>
      <c r="L9614" t="n">
        <v>0</v>
      </c>
      <c r="M9614" t="n">
        <v>0</v>
      </c>
      <c r="N9614" t="n">
        <v>0</v>
      </c>
      <c r="O9614" t="n">
        <v>0</v>
      </c>
      <c r="P9614" t="n">
        <v>0</v>
      </c>
      <c r="Q9614" t="n">
        <v>0</v>
      </c>
      <c r="R9614" t="n">
        <v>0</v>
      </c>
      <c r="S9614" t="n">
        <v>0</v>
      </c>
      <c r="T9614" t="n">
        <v>0</v>
      </c>
      <c r="U9614" t="n">
        <v>0</v>
      </c>
      <c r="V9614" s="2" t="inlineStr"/>
    </row>
    <row r="9615" ht="15" customHeight="1">
      <c r="A9615" t="inlineStr">
        <is>
          <t>A 35303-2023</t>
        </is>
      </c>
      <c r="B9615" t="inlineStr">
        <is>
          <t>avverkningsanmälan</t>
        </is>
      </c>
      <c r="C9615" t="inlineStr">
        <is>
          <t>Föryngringsavverkning</t>
        </is>
      </c>
      <c r="D9615" s="1" t="n">
        <v>45146</v>
      </c>
      <c r="E9615" s="1" t="n">
        <v>46326</v>
      </c>
      <c r="F9615" t="inlineStr">
        <is>
          <t>GÄVLEBORGS LÄN</t>
        </is>
      </c>
      <c r="G9615" t="inlineStr">
        <is>
          <t>HUDIKSVALL</t>
        </is>
      </c>
      <c r="H9615" t="inlineStr">
        <is>
          <t>Holmen skog AB</t>
        </is>
      </c>
      <c r="I9615" t="n">
        <v>1.1</v>
      </c>
      <c r="J9615" t="n">
        <v>0</v>
      </c>
      <c r="K9615" t="n">
        <v>0</v>
      </c>
      <c r="L9615" t="n">
        <v>0</v>
      </c>
      <c r="M9615" t="n">
        <v>0</v>
      </c>
      <c r="N9615" t="n">
        <v>0</v>
      </c>
      <c r="O9615" t="n">
        <v>0</v>
      </c>
      <c r="P9615" t="n">
        <v>0</v>
      </c>
      <c r="Q9615" t="n">
        <v>0</v>
      </c>
      <c r="R9615" t="n">
        <v>0</v>
      </c>
      <c r="S9615" t="n">
        <v>0</v>
      </c>
      <c r="T9615" t="n">
        <v>0</v>
      </c>
      <c r="U9615" t="n">
        <v>0</v>
      </c>
      <c r="V9615" s="2" t="inlineStr"/>
    </row>
    <row r="9616" ht="15" customHeight="1">
      <c r="A9616" t="inlineStr">
        <is>
          <t>A 38979-2026</t>
        </is>
      </c>
      <c r="B9616" t="inlineStr">
        <is>
          <t>avverkningsanmälan</t>
        </is>
      </c>
      <c r="C9616" t="inlineStr">
        <is>
          <t>Föryngringsavverkning</t>
        </is>
      </c>
      <c r="D9616" s="1" t="n">
        <v>46286</v>
      </c>
      <c r="E9616" s="1" t="n">
        <v>46326</v>
      </c>
      <c r="F9616" t="inlineStr">
        <is>
          <t>GÄVLEBORGS LÄN</t>
        </is>
      </c>
      <c r="G9616" t="inlineStr">
        <is>
          <t>GÄVLE</t>
        </is>
      </c>
      <c r="H9616" t="inlineStr">
        <is>
          <t>Bergvik skog öst AB</t>
        </is>
      </c>
      <c r="I9616" t="n">
        <v>3.7</v>
      </c>
      <c r="J9616" t="n">
        <v>0</v>
      </c>
      <c r="K9616" t="n">
        <v>0</v>
      </c>
      <c r="L9616" t="n">
        <v>0</v>
      </c>
      <c r="M9616" t="n">
        <v>0</v>
      </c>
      <c r="N9616" t="n">
        <v>0</v>
      </c>
      <c r="O9616" t="n">
        <v>0</v>
      </c>
      <c r="P9616" t="n">
        <v>0</v>
      </c>
      <c r="Q9616" t="n">
        <v>0</v>
      </c>
      <c r="R9616" t="n">
        <v>0</v>
      </c>
      <c r="S9616" t="n">
        <v>0</v>
      </c>
      <c r="T9616" t="n">
        <v>0</v>
      </c>
      <c r="U9616" t="n">
        <v>0</v>
      </c>
      <c r="V9616" s="2" t="inlineStr"/>
    </row>
    <row r="9617" ht="15" customHeight="1">
      <c r="A9617" t="inlineStr">
        <is>
          <t>A 29661-2026</t>
        </is>
      </c>
      <c r="B9617" t="inlineStr">
        <is>
          <t>avverkningsanmälan</t>
        </is>
      </c>
      <c r="C9617" t="inlineStr">
        <is>
          <t>Föryngringsavverkning</t>
        </is>
      </c>
      <c r="D9617" s="1" t="n">
        <v>46204</v>
      </c>
      <c r="E9617" s="1" t="n">
        <v>46326</v>
      </c>
      <c r="F9617" t="inlineStr">
        <is>
          <t>GÄVLEBORGS LÄN</t>
        </is>
      </c>
      <c r="G9617" t="inlineStr">
        <is>
          <t>SANDVIKEN</t>
        </is>
      </c>
      <c r="H9617" t="inlineStr">
        <is>
          <t>Bergvik skog öst AB</t>
        </is>
      </c>
      <c r="I9617" t="n">
        <v>2.5</v>
      </c>
      <c r="J9617" t="n">
        <v>0</v>
      </c>
      <c r="K9617" t="n">
        <v>0</v>
      </c>
      <c r="L9617" t="n">
        <v>0</v>
      </c>
      <c r="M9617" t="n">
        <v>0</v>
      </c>
      <c r="N9617" t="n">
        <v>0</v>
      </c>
      <c r="O9617" t="n">
        <v>0</v>
      </c>
      <c r="P9617" t="n">
        <v>0</v>
      </c>
      <c r="Q9617" t="n">
        <v>0</v>
      </c>
      <c r="R9617" t="n">
        <v>0</v>
      </c>
      <c r="S9617" t="n">
        <v>0</v>
      </c>
      <c r="T9617" t="n">
        <v>0</v>
      </c>
      <c r="U9617" t="n">
        <v>0</v>
      </c>
      <c r="V9617" s="2" t="inlineStr"/>
    </row>
    <row r="9618" ht="15" customHeight="1">
      <c r="A9618" t="inlineStr">
        <is>
          <t>A 14792-2023</t>
        </is>
      </c>
      <c r="B9618" t="inlineStr">
        <is>
          <t>avverkningsanmälan</t>
        </is>
      </c>
      <c r="C9618" t="inlineStr">
        <is>
          <t>Föryngringsavverkning</t>
        </is>
      </c>
      <c r="D9618" s="1" t="n">
        <v>45014</v>
      </c>
      <c r="E9618" s="1" t="n">
        <v>46326</v>
      </c>
      <c r="F9618" t="inlineStr">
        <is>
          <t>GÄVLEBORGS LÄN</t>
        </is>
      </c>
      <c r="G9618" t="inlineStr">
        <is>
          <t>GÄVLE</t>
        </is>
      </c>
      <c r="I9618" t="n">
        <v>1.1</v>
      </c>
      <c r="J9618" t="n">
        <v>0</v>
      </c>
      <c r="K9618" t="n">
        <v>0</v>
      </c>
      <c r="L9618" t="n">
        <v>0</v>
      </c>
      <c r="M9618" t="n">
        <v>0</v>
      </c>
      <c r="N9618" t="n">
        <v>0</v>
      </c>
      <c r="O9618" t="n">
        <v>0</v>
      </c>
      <c r="P9618" t="n">
        <v>0</v>
      </c>
      <c r="Q9618" t="n">
        <v>0</v>
      </c>
      <c r="R9618" t="n">
        <v>0</v>
      </c>
      <c r="S9618" t="n">
        <v>0</v>
      </c>
      <c r="T9618" t="n">
        <v>0</v>
      </c>
      <c r="U9618" t="n">
        <v>0</v>
      </c>
      <c r="V9618" s="2" t="inlineStr"/>
    </row>
    <row r="9619" ht="15" customHeight="1">
      <c r="A9619" t="inlineStr">
        <is>
          <t>A 18332-2024</t>
        </is>
      </c>
      <c r="B9619" t="inlineStr">
        <is>
          <t>avverkningsanmälan</t>
        </is>
      </c>
      <c r="C9619" t="inlineStr">
        <is>
          <t>Föryngringsavverkning</t>
        </is>
      </c>
      <c r="D9619" s="1" t="n">
        <v>45422</v>
      </c>
      <c r="E9619" s="1" t="n">
        <v>46326</v>
      </c>
      <c r="F9619" t="inlineStr">
        <is>
          <t>GÄVLEBORGS LÄN</t>
        </is>
      </c>
      <c r="G9619" t="inlineStr">
        <is>
          <t>NORDANSTIG</t>
        </is>
      </c>
      <c r="H9619" t="inlineStr">
        <is>
          <t>Holmen skog AB</t>
        </is>
      </c>
      <c r="I9619" t="n">
        <v>3.5</v>
      </c>
      <c r="J9619" t="n">
        <v>0</v>
      </c>
      <c r="K9619" t="n">
        <v>0</v>
      </c>
      <c r="L9619" t="n">
        <v>0</v>
      </c>
      <c r="M9619" t="n">
        <v>0</v>
      </c>
      <c r="N9619" t="n">
        <v>0</v>
      </c>
      <c r="O9619" t="n">
        <v>0</v>
      </c>
      <c r="P9619" t="n">
        <v>0</v>
      </c>
      <c r="Q9619" t="n">
        <v>0</v>
      </c>
      <c r="R9619" t="n">
        <v>0</v>
      </c>
      <c r="S9619" t="n">
        <v>0</v>
      </c>
      <c r="T9619" t="n">
        <v>0</v>
      </c>
      <c r="U9619" t="n">
        <v>0</v>
      </c>
      <c r="V9619" s="2" t="inlineStr"/>
    </row>
    <row r="9620" ht="15" customHeight="1">
      <c r="A9620" t="inlineStr">
        <is>
          <t>A 18334-2024</t>
        </is>
      </c>
      <c r="B9620" t="inlineStr">
        <is>
          <t>avverkningsanmälan</t>
        </is>
      </c>
      <c r="C9620" t="inlineStr">
        <is>
          <t>Föryngringsavverkning</t>
        </is>
      </c>
      <c r="D9620" s="1" t="n">
        <v>45422</v>
      </c>
      <c r="E9620" s="1" t="n">
        <v>46326</v>
      </c>
      <c r="F9620" t="inlineStr">
        <is>
          <t>GÄVLEBORGS LÄN</t>
        </is>
      </c>
      <c r="G9620" t="inlineStr">
        <is>
          <t>BOLLNÄS</t>
        </is>
      </c>
      <c r="I9620" t="n">
        <v>2</v>
      </c>
      <c r="J9620" t="n">
        <v>0</v>
      </c>
      <c r="K9620" t="n">
        <v>0</v>
      </c>
      <c r="L9620" t="n">
        <v>0</v>
      </c>
      <c r="M9620" t="n">
        <v>0</v>
      </c>
      <c r="N9620" t="n">
        <v>0</v>
      </c>
      <c r="O9620" t="n">
        <v>0</v>
      </c>
      <c r="P9620" t="n">
        <v>0</v>
      </c>
      <c r="Q9620" t="n">
        <v>0</v>
      </c>
      <c r="R9620" t="n">
        <v>0</v>
      </c>
      <c r="S9620" t="n">
        <v>0</v>
      </c>
      <c r="T9620" t="n">
        <v>0</v>
      </c>
      <c r="U9620" t="n">
        <v>0</v>
      </c>
      <c r="V9620" s="2" t="inlineStr"/>
    </row>
    <row r="9621" ht="15" customHeight="1">
      <c r="A9621" t="inlineStr">
        <is>
          <t>A 38878-2026</t>
        </is>
      </c>
      <c r="B9621" t="inlineStr">
        <is>
          <t>avverkningsanmälan</t>
        </is>
      </c>
      <c r="C9621" t="inlineStr">
        <is>
          <t>Föryngringsavverkning</t>
        </is>
      </c>
      <c r="D9621" s="1" t="n">
        <v>46286</v>
      </c>
      <c r="E9621" s="1" t="n">
        <v>46326</v>
      </c>
      <c r="F9621" t="inlineStr">
        <is>
          <t>GÄVLEBORGS LÄN</t>
        </is>
      </c>
      <c r="G9621" t="inlineStr">
        <is>
          <t>LJUSDAL</t>
        </is>
      </c>
      <c r="H9621" t="inlineStr">
        <is>
          <t>Övriga Aktiebolag</t>
        </is>
      </c>
      <c r="I9621" t="n">
        <v>3.4</v>
      </c>
      <c r="J9621" t="n">
        <v>0</v>
      </c>
      <c r="K9621" t="n">
        <v>0</v>
      </c>
      <c r="L9621" t="n">
        <v>0</v>
      </c>
      <c r="M9621" t="n">
        <v>0</v>
      </c>
      <c r="N9621" t="n">
        <v>0</v>
      </c>
      <c r="O9621" t="n">
        <v>0</v>
      </c>
      <c r="P9621" t="n">
        <v>0</v>
      </c>
      <c r="Q9621" t="n">
        <v>0</v>
      </c>
      <c r="R9621" t="n">
        <v>0</v>
      </c>
      <c r="S9621" t="n">
        <v>0</v>
      </c>
      <c r="T9621" t="n">
        <v>0</v>
      </c>
      <c r="U9621" t="n">
        <v>0</v>
      </c>
      <c r="V9621" s="2" t="inlineStr"/>
    </row>
    <row r="9622" ht="15" customHeight="1">
      <c r="A9622" t="inlineStr">
        <is>
          <t>A 32890-2026</t>
        </is>
      </c>
      <c r="B9622" t="inlineStr">
        <is>
          <t>avverkningsanmälan</t>
        </is>
      </c>
      <c r="C9622" t="inlineStr">
        <is>
          <t>Föryngringsavverkning</t>
        </is>
      </c>
      <c r="D9622" s="1" t="n">
        <v>46244</v>
      </c>
      <c r="E9622" s="1" t="n">
        <v>46326</v>
      </c>
      <c r="F9622" t="inlineStr">
        <is>
          <t>GÄVLEBORGS LÄN</t>
        </is>
      </c>
      <c r="G9622" t="inlineStr">
        <is>
          <t>GÄVLE</t>
        </is>
      </c>
      <c r="H9622" t="inlineStr">
        <is>
          <t>Bergvik skog öst AB</t>
        </is>
      </c>
      <c r="I9622" t="n">
        <v>2.6</v>
      </c>
      <c r="J9622" t="n">
        <v>0</v>
      </c>
      <c r="K9622" t="n">
        <v>0</v>
      </c>
      <c r="L9622" t="n">
        <v>0</v>
      </c>
      <c r="M9622" t="n">
        <v>0</v>
      </c>
      <c r="N9622" t="n">
        <v>0</v>
      </c>
      <c r="O9622" t="n">
        <v>0</v>
      </c>
      <c r="P9622" t="n">
        <v>0</v>
      </c>
      <c r="Q9622" t="n">
        <v>0</v>
      </c>
      <c r="R9622" t="n">
        <v>0</v>
      </c>
      <c r="S9622" t="n">
        <v>0</v>
      </c>
      <c r="T9622" t="n">
        <v>0</v>
      </c>
      <c r="U9622" t="n">
        <v>0</v>
      </c>
      <c r="V9622" s="2" t="inlineStr"/>
    </row>
    <row r="9623" ht="15" customHeight="1">
      <c r="A9623" t="inlineStr">
        <is>
          <t>A 39019-2026</t>
        </is>
      </c>
      <c r="B9623" t="inlineStr">
        <is>
          <t>avverkningsanmälan</t>
        </is>
      </c>
      <c r="C9623" t="inlineStr">
        <is>
          <t>Föryngringsavverkning</t>
        </is>
      </c>
      <c r="D9623" s="1" t="n">
        <v>46287</v>
      </c>
      <c r="E9623" s="1" t="n">
        <v>46326</v>
      </c>
      <c r="F9623" t="inlineStr">
        <is>
          <t>GÄVLEBORGS LÄN</t>
        </is>
      </c>
      <c r="G9623" t="inlineStr">
        <is>
          <t>LJUSDAL</t>
        </is>
      </c>
      <c r="I9623" t="n">
        <v>2.1</v>
      </c>
      <c r="J9623" t="n">
        <v>0</v>
      </c>
      <c r="K9623" t="n">
        <v>0</v>
      </c>
      <c r="L9623" t="n">
        <v>0</v>
      </c>
      <c r="M9623" t="n">
        <v>0</v>
      </c>
      <c r="N9623" t="n">
        <v>0</v>
      </c>
      <c r="O9623" t="n">
        <v>0</v>
      </c>
      <c r="P9623" t="n">
        <v>0</v>
      </c>
      <c r="Q9623" t="n">
        <v>0</v>
      </c>
      <c r="R9623" t="n">
        <v>0</v>
      </c>
      <c r="S9623" t="n">
        <v>0</v>
      </c>
      <c r="T9623" t="n">
        <v>0</v>
      </c>
      <c r="U9623" t="n">
        <v>0</v>
      </c>
      <c r="V9623" s="2" t="inlineStr"/>
    </row>
    <row r="9624" ht="15" customHeight="1">
      <c r="A9624" t="inlineStr">
        <is>
          <t>A 39031-2026</t>
        </is>
      </c>
      <c r="B9624" t="inlineStr">
        <is>
          <t>avverkningsanmälan</t>
        </is>
      </c>
      <c r="C9624" t="inlineStr">
        <is>
          <t>Föryngringsavverkning</t>
        </is>
      </c>
      <c r="D9624" s="1" t="n">
        <v>46287</v>
      </c>
      <c r="E9624" s="1" t="n">
        <v>46326</v>
      </c>
      <c r="F9624" t="inlineStr">
        <is>
          <t>GÄVLEBORGS LÄN</t>
        </is>
      </c>
      <c r="G9624" t="inlineStr">
        <is>
          <t>GÄVLE</t>
        </is>
      </c>
      <c r="H9624" t="inlineStr">
        <is>
          <t>Bergvik skog öst AB</t>
        </is>
      </c>
      <c r="I9624" t="n">
        <v>1.1</v>
      </c>
      <c r="J9624" t="n">
        <v>0</v>
      </c>
      <c r="K9624" t="n">
        <v>0</v>
      </c>
      <c r="L9624" t="n">
        <v>0</v>
      </c>
      <c r="M9624" t="n">
        <v>0</v>
      </c>
      <c r="N9624" t="n">
        <v>0</v>
      </c>
      <c r="O9624" t="n">
        <v>0</v>
      </c>
      <c r="P9624" t="n">
        <v>0</v>
      </c>
      <c r="Q9624" t="n">
        <v>0</v>
      </c>
      <c r="R9624" t="n">
        <v>0</v>
      </c>
      <c r="S9624" t="n">
        <v>0</v>
      </c>
      <c r="T9624" t="n">
        <v>0</v>
      </c>
      <c r="U9624" t="n">
        <v>0</v>
      </c>
      <c r="V9624" s="2" t="inlineStr"/>
    </row>
    <row r="9625" ht="15" customHeight="1">
      <c r="A9625" t="inlineStr">
        <is>
          <t>A 38796-2026</t>
        </is>
      </c>
      <c r="B9625" t="inlineStr">
        <is>
          <t>avverkningsanmälan</t>
        </is>
      </c>
      <c r="C9625" t="inlineStr">
        <is>
          <t>Föryngringsavverkning</t>
        </is>
      </c>
      <c r="D9625" s="1" t="n">
        <v>46286</v>
      </c>
      <c r="E9625" s="1" t="n">
        <v>46326</v>
      </c>
      <c r="F9625" t="inlineStr">
        <is>
          <t>GÄVLEBORGS LÄN</t>
        </is>
      </c>
      <c r="G9625" t="inlineStr">
        <is>
          <t>BOLLNÄS</t>
        </is>
      </c>
      <c r="I9625" t="n">
        <v>6.1</v>
      </c>
      <c r="J9625" t="n">
        <v>0</v>
      </c>
      <c r="K9625" t="n">
        <v>0</v>
      </c>
      <c r="L9625" t="n">
        <v>0</v>
      </c>
      <c r="M9625" t="n">
        <v>0</v>
      </c>
      <c r="N9625" t="n">
        <v>0</v>
      </c>
      <c r="O9625" t="n">
        <v>0</v>
      </c>
      <c r="P9625" t="n">
        <v>0</v>
      </c>
      <c r="Q9625" t="n">
        <v>0</v>
      </c>
      <c r="R9625" t="n">
        <v>0</v>
      </c>
      <c r="S9625" t="n">
        <v>0</v>
      </c>
      <c r="T9625" t="n">
        <v>0</v>
      </c>
      <c r="U9625" t="n">
        <v>0</v>
      </c>
      <c r="V9625" s="2" t="inlineStr"/>
    </row>
    <row r="9626" ht="15" customHeight="1">
      <c r="A9626" t="inlineStr">
        <is>
          <t>A 52842-2023</t>
        </is>
      </c>
      <c r="B9626" t="inlineStr">
        <is>
          <t>avverkningsanmälan</t>
        </is>
      </c>
      <c r="C9626" t="inlineStr">
        <is>
          <t>Föryngringsavverkning</t>
        </is>
      </c>
      <c r="D9626" s="1" t="n">
        <v>45226</v>
      </c>
      <c r="E9626" s="1" t="n">
        <v>46326</v>
      </c>
      <c r="F9626" t="inlineStr">
        <is>
          <t>GÄVLEBORGS LÄN</t>
        </is>
      </c>
      <c r="G9626" t="inlineStr">
        <is>
          <t>LJUSDAL</t>
        </is>
      </c>
      <c r="I9626" t="n">
        <v>1.3</v>
      </c>
      <c r="J9626" t="n">
        <v>0</v>
      </c>
      <c r="K9626" t="n">
        <v>0</v>
      </c>
      <c r="L9626" t="n">
        <v>0</v>
      </c>
      <c r="M9626" t="n">
        <v>0</v>
      </c>
      <c r="N9626" t="n">
        <v>0</v>
      </c>
      <c r="O9626" t="n">
        <v>0</v>
      </c>
      <c r="P9626" t="n">
        <v>0</v>
      </c>
      <c r="Q9626" t="n">
        <v>0</v>
      </c>
      <c r="R9626" t="n">
        <v>0</v>
      </c>
      <c r="S9626" t="n">
        <v>0</v>
      </c>
      <c r="T9626" t="n">
        <v>0</v>
      </c>
      <c r="U9626" t="n">
        <v>0</v>
      </c>
      <c r="V9626" s="2" t="inlineStr"/>
    </row>
    <row r="9627" ht="15" customHeight="1">
      <c r="A9627" t="inlineStr">
        <is>
          <t>A 32704-2026</t>
        </is>
      </c>
      <c r="B9627" t="inlineStr">
        <is>
          <t>avverkningsanmälan</t>
        </is>
      </c>
      <c r="C9627" t="inlineStr">
        <is>
          <t>Föryngringsavverkning</t>
        </is>
      </c>
      <c r="D9627" s="1" t="n">
        <v>46241</v>
      </c>
      <c r="E9627" s="1" t="n">
        <v>46326</v>
      </c>
      <c r="F9627" t="inlineStr">
        <is>
          <t>GÄVLEBORGS LÄN</t>
        </is>
      </c>
      <c r="G9627" t="inlineStr">
        <is>
          <t>BOLLNÄS</t>
        </is>
      </c>
      <c r="I9627" t="n">
        <v>1.5</v>
      </c>
      <c r="J9627" t="n">
        <v>0</v>
      </c>
      <c r="K9627" t="n">
        <v>0</v>
      </c>
      <c r="L9627" t="n">
        <v>0</v>
      </c>
      <c r="M9627" t="n">
        <v>0</v>
      </c>
      <c r="N9627" t="n">
        <v>0</v>
      </c>
      <c r="O9627" t="n">
        <v>0</v>
      </c>
      <c r="P9627" t="n">
        <v>0</v>
      </c>
      <c r="Q9627" t="n">
        <v>0</v>
      </c>
      <c r="R9627" t="n">
        <v>0</v>
      </c>
      <c r="S9627" t="n">
        <v>0</v>
      </c>
      <c r="T9627" t="n">
        <v>0</v>
      </c>
      <c r="U9627" t="n">
        <v>0</v>
      </c>
      <c r="V9627" s="2" t="inlineStr"/>
    </row>
    <row r="9628" ht="15" customHeight="1">
      <c r="A9628" t="inlineStr">
        <is>
          <t>A 32706-2026</t>
        </is>
      </c>
      <c r="B9628" t="inlineStr">
        <is>
          <t>avverkningsanmälan</t>
        </is>
      </c>
      <c r="C9628" t="inlineStr">
        <is>
          <t>Föryngringsavverkning</t>
        </is>
      </c>
      <c r="D9628" s="1" t="n">
        <v>46241</v>
      </c>
      <c r="E9628" s="1" t="n">
        <v>46326</v>
      </c>
      <c r="F9628" t="inlineStr">
        <is>
          <t>GÄVLEBORGS LÄN</t>
        </is>
      </c>
      <c r="G9628" t="inlineStr">
        <is>
          <t>OVANÅKER</t>
        </is>
      </c>
      <c r="H9628" t="inlineStr">
        <is>
          <t>Bergvik skog väst AB</t>
        </is>
      </c>
      <c r="I9628" t="n">
        <v>25.9</v>
      </c>
      <c r="J9628" t="n">
        <v>0</v>
      </c>
      <c r="K9628" t="n">
        <v>0</v>
      </c>
      <c r="L9628" t="n">
        <v>0</v>
      </c>
      <c r="M9628" t="n">
        <v>0</v>
      </c>
      <c r="N9628" t="n">
        <v>0</v>
      </c>
      <c r="O9628" t="n">
        <v>0</v>
      </c>
      <c r="P9628" t="n">
        <v>0</v>
      </c>
      <c r="Q9628" t="n">
        <v>0</v>
      </c>
      <c r="R9628" t="n">
        <v>0</v>
      </c>
      <c r="S9628" t="n">
        <v>0</v>
      </c>
      <c r="T9628" t="n">
        <v>0</v>
      </c>
      <c r="U9628" t="n">
        <v>0</v>
      </c>
      <c r="V9628" s="2" t="inlineStr"/>
    </row>
    <row r="9629" ht="15" customHeight="1">
      <c r="A9629" t="inlineStr">
        <is>
          <t>A 32758-2026</t>
        </is>
      </c>
      <c r="B9629" t="inlineStr">
        <is>
          <t>avverkningsanmälan</t>
        </is>
      </c>
      <c r="C9629" t="inlineStr">
        <is>
          <t>Föryngringsavverkning</t>
        </is>
      </c>
      <c r="D9629" s="1" t="n">
        <v>46241</v>
      </c>
      <c r="E9629" s="1" t="n">
        <v>46326</v>
      </c>
      <c r="F9629" t="inlineStr">
        <is>
          <t>GÄVLEBORGS LÄN</t>
        </is>
      </c>
      <c r="G9629" t="inlineStr">
        <is>
          <t>OVANÅKER</t>
        </is>
      </c>
      <c r="H9629" t="inlineStr">
        <is>
          <t>Bergvik skog väst AB</t>
        </is>
      </c>
      <c r="I9629" t="n">
        <v>7.6</v>
      </c>
      <c r="J9629" t="n">
        <v>0</v>
      </c>
      <c r="K9629" t="n">
        <v>0</v>
      </c>
      <c r="L9629" t="n">
        <v>0</v>
      </c>
      <c r="M9629" t="n">
        <v>0</v>
      </c>
      <c r="N9629" t="n">
        <v>0</v>
      </c>
      <c r="O9629" t="n">
        <v>0</v>
      </c>
      <c r="P9629" t="n">
        <v>0</v>
      </c>
      <c r="Q9629" t="n">
        <v>0</v>
      </c>
      <c r="R9629" t="n">
        <v>0</v>
      </c>
      <c r="S9629" t="n">
        <v>0</v>
      </c>
      <c r="T9629" t="n">
        <v>0</v>
      </c>
      <c r="U9629" t="n">
        <v>0</v>
      </c>
      <c r="V9629" s="2" t="inlineStr"/>
    </row>
    <row r="9630" ht="15" customHeight="1">
      <c r="A9630" t="inlineStr">
        <is>
          <t>A 4428-2025</t>
        </is>
      </c>
      <c r="B9630" t="inlineStr">
        <is>
          <t>avverkningsanmälan</t>
        </is>
      </c>
      <c r="C9630" t="inlineStr">
        <is>
          <t>Föryngringsavverkning</t>
        </is>
      </c>
      <c r="D9630" s="1" t="n">
        <v>45686</v>
      </c>
      <c r="E9630" s="1" t="n">
        <v>46326</v>
      </c>
      <c r="F9630" t="inlineStr">
        <is>
          <t>GÄVLEBORGS LÄN</t>
        </is>
      </c>
      <c r="G9630" t="inlineStr">
        <is>
          <t>HUDIKSVALL</t>
        </is>
      </c>
      <c r="H9630" t="inlineStr">
        <is>
          <t>Holmen skog AB</t>
        </is>
      </c>
      <c r="I9630" t="n">
        <v>3</v>
      </c>
      <c r="J9630" t="n">
        <v>0</v>
      </c>
      <c r="K9630" t="n">
        <v>0</v>
      </c>
      <c r="L9630" t="n">
        <v>0</v>
      </c>
      <c r="M9630" t="n">
        <v>0</v>
      </c>
      <c r="N9630" t="n">
        <v>0</v>
      </c>
      <c r="O9630" t="n">
        <v>0</v>
      </c>
      <c r="P9630" t="n">
        <v>0</v>
      </c>
      <c r="Q9630" t="n">
        <v>0</v>
      </c>
      <c r="R9630" t="n">
        <v>0</v>
      </c>
      <c r="S9630" t="n">
        <v>0</v>
      </c>
      <c r="T9630" t="n">
        <v>0</v>
      </c>
      <c r="U9630" t="n">
        <v>0</v>
      </c>
      <c r="V9630" s="2" t="inlineStr"/>
    </row>
    <row r="9631" ht="15" customHeight="1">
      <c r="A9631" t="inlineStr">
        <is>
          <t>A 41730-2023</t>
        </is>
      </c>
      <c r="B9631" t="inlineStr">
        <is>
          <t>avverkningsanmälan</t>
        </is>
      </c>
      <c r="C9631" t="inlineStr">
        <is>
          <t>Föryngringsavverkning</t>
        </is>
      </c>
      <c r="D9631" s="1" t="n">
        <v>45176</v>
      </c>
      <c r="E9631" s="1" t="n">
        <v>46326</v>
      </c>
      <c r="F9631" t="inlineStr">
        <is>
          <t>GÄVLEBORGS LÄN</t>
        </is>
      </c>
      <c r="G9631" t="inlineStr">
        <is>
          <t>BOLLNÄS</t>
        </is>
      </c>
      <c r="I9631" t="n">
        <v>1.4</v>
      </c>
      <c r="J9631" t="n">
        <v>0</v>
      </c>
      <c r="K9631" t="n">
        <v>0</v>
      </c>
      <c r="L9631" t="n">
        <v>0</v>
      </c>
      <c r="M9631" t="n">
        <v>0</v>
      </c>
      <c r="N9631" t="n">
        <v>0</v>
      </c>
      <c r="O9631" t="n">
        <v>0</v>
      </c>
      <c r="P9631" t="n">
        <v>0</v>
      </c>
      <c r="Q9631" t="n">
        <v>0</v>
      </c>
      <c r="R9631" t="n">
        <v>0</v>
      </c>
      <c r="S9631" t="n">
        <v>0</v>
      </c>
      <c r="T9631" t="n">
        <v>0</v>
      </c>
      <c r="U9631" t="n">
        <v>0</v>
      </c>
      <c r="V9631" s="2" t="inlineStr"/>
    </row>
    <row r="9632" ht="15" customHeight="1">
      <c r="A9632" t="inlineStr">
        <is>
          <t>A 41747-2023</t>
        </is>
      </c>
      <c r="B9632" t="inlineStr">
        <is>
          <t>avverkningsanmälan</t>
        </is>
      </c>
      <c r="C9632" t="inlineStr">
        <is>
          <t>Föryngringsavverkning</t>
        </is>
      </c>
      <c r="D9632" s="1" t="n">
        <v>45176</v>
      </c>
      <c r="E9632" s="1" t="n">
        <v>46326</v>
      </c>
      <c r="F9632" t="inlineStr">
        <is>
          <t>GÄVLEBORGS LÄN</t>
        </is>
      </c>
      <c r="G9632" t="inlineStr">
        <is>
          <t>HUDIKSVALL</t>
        </is>
      </c>
      <c r="H9632" t="inlineStr">
        <is>
          <t>Holmen skog AB</t>
        </is>
      </c>
      <c r="I9632" t="n">
        <v>0.5</v>
      </c>
      <c r="J9632" t="n">
        <v>0</v>
      </c>
      <c r="K9632" t="n">
        <v>0</v>
      </c>
      <c r="L9632" t="n">
        <v>0</v>
      </c>
      <c r="M9632" t="n">
        <v>0</v>
      </c>
      <c r="N9632" t="n">
        <v>0</v>
      </c>
      <c r="O9632" t="n">
        <v>0</v>
      </c>
      <c r="P9632" t="n">
        <v>0</v>
      </c>
      <c r="Q9632" t="n">
        <v>0</v>
      </c>
      <c r="R9632" t="n">
        <v>0</v>
      </c>
      <c r="S9632" t="n">
        <v>0</v>
      </c>
      <c r="T9632" t="n">
        <v>0</v>
      </c>
      <c r="U9632" t="n">
        <v>0</v>
      </c>
      <c r="V9632" s="2" t="inlineStr"/>
    </row>
    <row r="9633" ht="15" customHeight="1">
      <c r="A9633" t="inlineStr">
        <is>
          <t>A 32718-2026</t>
        </is>
      </c>
      <c r="B9633" t="inlineStr">
        <is>
          <t>avverkningsanmälan</t>
        </is>
      </c>
      <c r="C9633" t="inlineStr">
        <is>
          <t>Föryngringsavverkning</t>
        </is>
      </c>
      <c r="D9633" s="1" t="n">
        <v>46241</v>
      </c>
      <c r="E9633" s="1" t="n">
        <v>46326</v>
      </c>
      <c r="F9633" t="inlineStr">
        <is>
          <t>GÄVLEBORGS LÄN</t>
        </is>
      </c>
      <c r="G9633" t="inlineStr">
        <is>
          <t>OVANÅKER</t>
        </is>
      </c>
      <c r="I9633" t="n">
        <v>1.5</v>
      </c>
      <c r="J9633" t="n">
        <v>0</v>
      </c>
      <c r="K9633" t="n">
        <v>0</v>
      </c>
      <c r="L9633" t="n">
        <v>0</v>
      </c>
      <c r="M9633" t="n">
        <v>0</v>
      </c>
      <c r="N9633" t="n">
        <v>0</v>
      </c>
      <c r="O9633" t="n">
        <v>0</v>
      </c>
      <c r="P9633" t="n">
        <v>0</v>
      </c>
      <c r="Q9633" t="n">
        <v>0</v>
      </c>
      <c r="R9633" t="n">
        <v>0</v>
      </c>
      <c r="S9633" t="n">
        <v>0</v>
      </c>
      <c r="T9633" t="n">
        <v>0</v>
      </c>
      <c r="U9633" t="n">
        <v>0</v>
      </c>
      <c r="V9633" s="2" t="inlineStr"/>
    </row>
    <row r="9634" ht="15" customHeight="1">
      <c r="A9634" t="inlineStr">
        <is>
          <t>A 12079-2025</t>
        </is>
      </c>
      <c r="B9634" t="inlineStr">
        <is>
          <t>avverkningsanmälan</t>
        </is>
      </c>
      <c r="C9634" t="inlineStr">
        <is>
          <t>Föryngringsavverkning</t>
        </is>
      </c>
      <c r="D9634" s="1" t="n">
        <v>45728</v>
      </c>
      <c r="E9634" s="1" t="n">
        <v>46326</v>
      </c>
      <c r="F9634" t="inlineStr">
        <is>
          <t>GÄVLEBORGS LÄN</t>
        </is>
      </c>
      <c r="G9634" t="inlineStr">
        <is>
          <t>GÄVLE</t>
        </is>
      </c>
      <c r="I9634" t="n">
        <v>1</v>
      </c>
      <c r="J9634" t="n">
        <v>0</v>
      </c>
      <c r="K9634" t="n">
        <v>0</v>
      </c>
      <c r="L9634" t="n">
        <v>0</v>
      </c>
      <c r="M9634" t="n">
        <v>0</v>
      </c>
      <c r="N9634" t="n">
        <v>0</v>
      </c>
      <c r="O9634" t="n">
        <v>0</v>
      </c>
      <c r="P9634" t="n">
        <v>0</v>
      </c>
      <c r="Q9634" t="n">
        <v>0</v>
      </c>
      <c r="R9634" t="n">
        <v>0</v>
      </c>
      <c r="S9634" t="n">
        <v>0</v>
      </c>
      <c r="T9634" t="n">
        <v>0</v>
      </c>
      <c r="U9634" t="n">
        <v>0</v>
      </c>
      <c r="V9634" s="2" t="inlineStr"/>
    </row>
    <row r="9635" ht="15" customHeight="1">
      <c r="A9635" t="inlineStr">
        <is>
          <t>A 35201-2024</t>
        </is>
      </c>
      <c r="B9635" t="inlineStr">
        <is>
          <t>avverkningsanmälan</t>
        </is>
      </c>
      <c r="C9635" t="inlineStr">
        <is>
          <t>Föryngringsavverkning</t>
        </is>
      </c>
      <c r="D9635" s="1" t="n">
        <v>45530</v>
      </c>
      <c r="E9635" s="1" t="n">
        <v>46326</v>
      </c>
      <c r="F9635" t="inlineStr">
        <is>
          <t>GÄVLEBORGS LÄN</t>
        </is>
      </c>
      <c r="G9635" t="inlineStr">
        <is>
          <t>HUDIKSVALL</t>
        </is>
      </c>
      <c r="H9635" t="inlineStr">
        <is>
          <t>Holmen skog AB</t>
        </is>
      </c>
      <c r="I9635" t="n">
        <v>7.3</v>
      </c>
      <c r="J9635" t="n">
        <v>0</v>
      </c>
      <c r="K9635" t="n">
        <v>0</v>
      </c>
      <c r="L9635" t="n">
        <v>0</v>
      </c>
      <c r="M9635" t="n">
        <v>0</v>
      </c>
      <c r="N9635" t="n">
        <v>0</v>
      </c>
      <c r="O9635" t="n">
        <v>0</v>
      </c>
      <c r="P9635" t="n">
        <v>0</v>
      </c>
      <c r="Q9635" t="n">
        <v>0</v>
      </c>
      <c r="R9635" t="n">
        <v>0</v>
      </c>
      <c r="S9635" t="n">
        <v>0</v>
      </c>
      <c r="T9635" t="n">
        <v>0</v>
      </c>
      <c r="U9635" t="n">
        <v>0</v>
      </c>
      <c r="V9635" s="2" t="inlineStr"/>
    </row>
    <row r="9636" ht="15" customHeight="1">
      <c r="A9636" t="inlineStr">
        <is>
          <t>A 20513-2025</t>
        </is>
      </c>
      <c r="B9636" t="inlineStr">
        <is>
          <t>avverkningsanmälan</t>
        </is>
      </c>
      <c r="C9636" t="inlineStr">
        <is>
          <t>Föryngringsavverkning</t>
        </is>
      </c>
      <c r="D9636" s="1" t="n">
        <v>45775</v>
      </c>
      <c r="E9636" s="1" t="n">
        <v>46326</v>
      </c>
      <c r="F9636" t="inlineStr">
        <is>
          <t>GÄVLEBORGS LÄN</t>
        </is>
      </c>
      <c r="G9636" t="inlineStr">
        <is>
          <t>LJUSDAL</t>
        </is>
      </c>
      <c r="H9636" t="inlineStr">
        <is>
          <t>Sveaskog</t>
        </is>
      </c>
      <c r="I9636" t="n">
        <v>13.1</v>
      </c>
      <c r="J9636" t="n">
        <v>0</v>
      </c>
      <c r="K9636" t="n">
        <v>0</v>
      </c>
      <c r="L9636" t="n">
        <v>0</v>
      </c>
      <c r="M9636" t="n">
        <v>0</v>
      </c>
      <c r="N9636" t="n">
        <v>0</v>
      </c>
      <c r="O9636" t="n">
        <v>0</v>
      </c>
      <c r="P9636" t="n">
        <v>0</v>
      </c>
      <c r="Q9636" t="n">
        <v>0</v>
      </c>
      <c r="R9636" t="n">
        <v>0</v>
      </c>
      <c r="S9636" t="n">
        <v>0</v>
      </c>
      <c r="T9636" t="n">
        <v>0</v>
      </c>
      <c r="U9636" t="n">
        <v>0</v>
      </c>
      <c r="V9636" s="2" t="inlineStr"/>
    </row>
    <row r="9637" ht="15" customHeight="1">
      <c r="A9637" t="inlineStr">
        <is>
          <t>A 39227-2026</t>
        </is>
      </c>
      <c r="B9637" t="inlineStr">
        <is>
          <t>avverkningsanmälan</t>
        </is>
      </c>
      <c r="C9637" t="inlineStr">
        <is>
          <t>Föryngringsavverkning</t>
        </is>
      </c>
      <c r="D9637" s="1" t="n">
        <v>46287</v>
      </c>
      <c r="E9637" s="1" t="n">
        <v>46326</v>
      </c>
      <c r="F9637" t="inlineStr">
        <is>
          <t>GÄVLEBORGS LÄN</t>
        </is>
      </c>
      <c r="G9637" t="inlineStr">
        <is>
          <t>GÄVLE</t>
        </is>
      </c>
      <c r="H9637" t="inlineStr">
        <is>
          <t>Bergvik skog öst AB</t>
        </is>
      </c>
      <c r="I9637" t="n">
        <v>17.4</v>
      </c>
      <c r="J9637" t="n">
        <v>0</v>
      </c>
      <c r="K9637" t="n">
        <v>0</v>
      </c>
      <c r="L9637" t="n">
        <v>0</v>
      </c>
      <c r="M9637" t="n">
        <v>0</v>
      </c>
      <c r="N9637" t="n">
        <v>0</v>
      </c>
      <c r="O9637" t="n">
        <v>0</v>
      </c>
      <c r="P9637" t="n">
        <v>0</v>
      </c>
      <c r="Q9637" t="n">
        <v>0</v>
      </c>
      <c r="R9637" t="n">
        <v>0</v>
      </c>
      <c r="S9637" t="n">
        <v>0</v>
      </c>
      <c r="T9637" t="n">
        <v>0</v>
      </c>
      <c r="U9637" t="n">
        <v>0</v>
      </c>
      <c r="V9637" s="2" t="inlineStr"/>
    </row>
    <row r="9638" ht="15" customHeight="1">
      <c r="A9638" t="inlineStr">
        <is>
          <t>A 1594-2024</t>
        </is>
      </c>
      <c r="B9638" t="inlineStr">
        <is>
          <t>avverkningsanmälan</t>
        </is>
      </c>
      <c r="C9638" t="inlineStr">
        <is>
          <t>Föryngringsavverkning</t>
        </is>
      </c>
      <c r="D9638" s="1" t="n">
        <v>45306</v>
      </c>
      <c r="E9638" s="1" t="n">
        <v>46326</v>
      </c>
      <c r="F9638" t="inlineStr">
        <is>
          <t>GÄVLEBORGS LÄN</t>
        </is>
      </c>
      <c r="G9638" t="inlineStr">
        <is>
          <t>GÄVLE</t>
        </is>
      </c>
      <c r="I9638" t="n">
        <v>4</v>
      </c>
      <c r="J9638" t="n">
        <v>0</v>
      </c>
      <c r="K9638" t="n">
        <v>0</v>
      </c>
      <c r="L9638" t="n">
        <v>0</v>
      </c>
      <c r="M9638" t="n">
        <v>0</v>
      </c>
      <c r="N9638" t="n">
        <v>0</v>
      </c>
      <c r="O9638" t="n">
        <v>0</v>
      </c>
      <c r="P9638" t="n">
        <v>0</v>
      </c>
      <c r="Q9638" t="n">
        <v>0</v>
      </c>
      <c r="R9638" t="n">
        <v>0</v>
      </c>
      <c r="S9638" t="n">
        <v>0</v>
      </c>
      <c r="T9638" t="n">
        <v>0</v>
      </c>
      <c r="U9638" t="n">
        <v>0</v>
      </c>
      <c r="V9638" s="2" t="inlineStr"/>
    </row>
    <row r="9639" ht="15" customHeight="1">
      <c r="A9639" t="inlineStr">
        <is>
          <t>A 39120-2026</t>
        </is>
      </c>
      <c r="B9639" t="inlineStr">
        <is>
          <t>avverkningsanmälan</t>
        </is>
      </c>
      <c r="C9639" t="inlineStr">
        <is>
          <t>Föryngringsavverkning</t>
        </is>
      </c>
      <c r="D9639" s="1" t="n">
        <v>46287</v>
      </c>
      <c r="E9639" s="1" t="n">
        <v>46326</v>
      </c>
      <c r="F9639" t="inlineStr">
        <is>
          <t>GÄVLEBORGS LÄN</t>
        </is>
      </c>
      <c r="G9639" t="inlineStr">
        <is>
          <t>GÄVLE</t>
        </is>
      </c>
      <c r="H9639" t="inlineStr">
        <is>
          <t>Bergvik skog väst AB</t>
        </is>
      </c>
      <c r="I9639" t="n">
        <v>0.8</v>
      </c>
      <c r="J9639" t="n">
        <v>0</v>
      </c>
      <c r="K9639" t="n">
        <v>0</v>
      </c>
      <c r="L9639" t="n">
        <v>0</v>
      </c>
      <c r="M9639" t="n">
        <v>0</v>
      </c>
      <c r="N9639" t="n">
        <v>0</v>
      </c>
      <c r="O9639" t="n">
        <v>0</v>
      </c>
      <c r="P9639" t="n">
        <v>0</v>
      </c>
      <c r="Q9639" t="n">
        <v>0</v>
      </c>
      <c r="R9639" t="n">
        <v>0</v>
      </c>
      <c r="S9639" t="n">
        <v>0</v>
      </c>
      <c r="T9639" t="n">
        <v>0</v>
      </c>
      <c r="U9639" t="n">
        <v>0</v>
      </c>
      <c r="V9639" s="2" t="inlineStr"/>
    </row>
    <row r="9640" ht="15" customHeight="1">
      <c r="A9640" t="inlineStr">
        <is>
          <t>A 36204-2024</t>
        </is>
      </c>
      <c r="B9640" t="inlineStr">
        <is>
          <t>avverkningsanmälan</t>
        </is>
      </c>
      <c r="C9640" t="inlineStr">
        <is>
          <t>Föryngringsavverkning</t>
        </is>
      </c>
      <c r="D9640" s="1" t="n">
        <v>45534</v>
      </c>
      <c r="E9640" s="1" t="n">
        <v>46326</v>
      </c>
      <c r="F9640" t="inlineStr">
        <is>
          <t>GÄVLEBORGS LÄN</t>
        </is>
      </c>
      <c r="G9640" t="inlineStr">
        <is>
          <t>SÖDERHAMN</t>
        </is>
      </c>
      <c r="H9640" t="inlineStr">
        <is>
          <t>Bergvik skog väst AB</t>
        </is>
      </c>
      <c r="I9640" t="n">
        <v>0.6</v>
      </c>
      <c r="J9640" t="n">
        <v>0</v>
      </c>
      <c r="K9640" t="n">
        <v>0</v>
      </c>
      <c r="L9640" t="n">
        <v>0</v>
      </c>
      <c r="M9640" t="n">
        <v>0</v>
      </c>
      <c r="N9640" t="n">
        <v>0</v>
      </c>
      <c r="O9640" t="n">
        <v>0</v>
      </c>
      <c r="P9640" t="n">
        <v>0</v>
      </c>
      <c r="Q9640" t="n">
        <v>0</v>
      </c>
      <c r="R9640" t="n">
        <v>0</v>
      </c>
      <c r="S9640" t="n">
        <v>0</v>
      </c>
      <c r="T9640" t="n">
        <v>0</v>
      </c>
      <c r="U9640" t="n">
        <v>0</v>
      </c>
      <c r="V9640" s="2" t="inlineStr"/>
    </row>
    <row r="9641" ht="15" customHeight="1">
      <c r="A9641" t="inlineStr">
        <is>
          <t>A 38995-2026</t>
        </is>
      </c>
      <c r="B9641" t="inlineStr">
        <is>
          <t>avverkningsanmälan</t>
        </is>
      </c>
      <c r="C9641" t="inlineStr">
        <is>
          <t>Föryngringsavverkning</t>
        </is>
      </c>
      <c r="D9641" s="1" t="n">
        <v>46287</v>
      </c>
      <c r="E9641" s="1" t="n">
        <v>46326</v>
      </c>
      <c r="F9641" t="inlineStr">
        <is>
          <t>GÄVLEBORGS LÄN</t>
        </is>
      </c>
      <c r="G9641" t="inlineStr">
        <is>
          <t>SANDVIKEN</t>
        </is>
      </c>
      <c r="H9641" t="inlineStr">
        <is>
          <t>Sveaskog</t>
        </is>
      </c>
      <c r="I9641" t="n">
        <v>1</v>
      </c>
      <c r="J9641" t="n">
        <v>0</v>
      </c>
      <c r="K9641" t="n">
        <v>0</v>
      </c>
      <c r="L9641" t="n">
        <v>0</v>
      </c>
      <c r="M9641" t="n">
        <v>0</v>
      </c>
      <c r="N9641" t="n">
        <v>0</v>
      </c>
      <c r="O9641" t="n">
        <v>0</v>
      </c>
      <c r="P9641" t="n">
        <v>0</v>
      </c>
      <c r="Q9641" t="n">
        <v>0</v>
      </c>
      <c r="R9641" t="n">
        <v>0</v>
      </c>
      <c r="S9641" t="n">
        <v>0</v>
      </c>
      <c r="T9641" t="n">
        <v>0</v>
      </c>
      <c r="U9641" t="n">
        <v>0</v>
      </c>
      <c r="V9641" s="2" t="inlineStr"/>
    </row>
    <row r="9642" ht="15" customHeight="1">
      <c r="A9642" t="inlineStr">
        <is>
          <t>A 38997-2026</t>
        </is>
      </c>
      <c r="B9642" t="inlineStr">
        <is>
          <t>avverkningsanmälan</t>
        </is>
      </c>
      <c r="C9642" t="inlineStr">
        <is>
          <t>Föryngringsavverkning</t>
        </is>
      </c>
      <c r="D9642" s="1" t="n">
        <v>46287</v>
      </c>
      <c r="E9642" s="1" t="n">
        <v>46326</v>
      </c>
      <c r="F9642" t="inlineStr">
        <is>
          <t>GÄVLEBORGS LÄN</t>
        </is>
      </c>
      <c r="G9642" t="inlineStr">
        <is>
          <t>GÄVLE</t>
        </is>
      </c>
      <c r="H9642" t="inlineStr">
        <is>
          <t>Bergvik skog öst AB</t>
        </is>
      </c>
      <c r="I9642" t="n">
        <v>6.5</v>
      </c>
      <c r="J9642" t="n">
        <v>0</v>
      </c>
      <c r="K9642" t="n">
        <v>0</v>
      </c>
      <c r="L9642" t="n">
        <v>0</v>
      </c>
      <c r="M9642" t="n">
        <v>0</v>
      </c>
      <c r="N9642" t="n">
        <v>0</v>
      </c>
      <c r="O9642" t="n">
        <v>0</v>
      </c>
      <c r="P9642" t="n">
        <v>0</v>
      </c>
      <c r="Q9642" t="n">
        <v>0</v>
      </c>
      <c r="R9642" t="n">
        <v>0</v>
      </c>
      <c r="S9642" t="n">
        <v>0</v>
      </c>
      <c r="T9642" t="n">
        <v>0</v>
      </c>
      <c r="U9642" t="n">
        <v>0</v>
      </c>
      <c r="V9642" s="2" t="inlineStr"/>
    </row>
    <row r="9643" ht="15" customHeight="1">
      <c r="A9643" t="inlineStr">
        <is>
          <t>A 31613-2023</t>
        </is>
      </c>
      <c r="B9643" t="inlineStr">
        <is>
          <t>avverkningsanmälan</t>
        </is>
      </c>
      <c r="C9643" t="inlineStr">
        <is>
          <t>Avverkning för att bevara och utveckla /försöksver</t>
        </is>
      </c>
      <c r="D9643" s="1" t="n">
        <v>45117</v>
      </c>
      <c r="E9643" s="1" t="n">
        <v>46326</v>
      </c>
      <c r="F9643" t="inlineStr">
        <is>
          <t>GÄVLEBORGS LÄN</t>
        </is>
      </c>
      <c r="G9643" t="inlineStr">
        <is>
          <t>HOFORS</t>
        </is>
      </c>
      <c r="I9643" t="n">
        <v>1.2</v>
      </c>
      <c r="J9643" t="n">
        <v>0</v>
      </c>
      <c r="K9643" t="n">
        <v>0</v>
      </c>
      <c r="L9643" t="n">
        <v>0</v>
      </c>
      <c r="M9643" t="n">
        <v>0</v>
      </c>
      <c r="N9643" t="n">
        <v>0</v>
      </c>
      <c r="O9643" t="n">
        <v>0</v>
      </c>
      <c r="P9643" t="n">
        <v>0</v>
      </c>
      <c r="Q9643" t="n">
        <v>0</v>
      </c>
      <c r="R9643" t="n">
        <v>0</v>
      </c>
      <c r="S9643" t="n">
        <v>0</v>
      </c>
      <c r="T9643" t="n">
        <v>0</v>
      </c>
      <c r="U9643" t="n">
        <v>0</v>
      </c>
      <c r="V9643" s="2" t="inlineStr"/>
    </row>
    <row r="9644" ht="15" customHeight="1">
      <c r="A9644" t="inlineStr">
        <is>
          <t>A 15654-2025</t>
        </is>
      </c>
      <c r="B9644" t="inlineStr">
        <is>
          <t>avverkningsanmälan</t>
        </is>
      </c>
      <c r="C9644" t="inlineStr">
        <is>
          <t>Föryngringsavverkning</t>
        </is>
      </c>
      <c r="D9644" s="1" t="n">
        <v>45748</v>
      </c>
      <c r="E9644" s="1" t="n">
        <v>46326</v>
      </c>
      <c r="F9644" t="inlineStr">
        <is>
          <t>GÄVLEBORGS LÄN</t>
        </is>
      </c>
      <c r="G9644" t="inlineStr">
        <is>
          <t>BOLLNÄS</t>
        </is>
      </c>
      <c r="I9644" t="n">
        <v>0.6</v>
      </c>
      <c r="J9644" t="n">
        <v>0</v>
      </c>
      <c r="K9644" t="n">
        <v>0</v>
      </c>
      <c r="L9644" t="n">
        <v>0</v>
      </c>
      <c r="M9644" t="n">
        <v>0</v>
      </c>
      <c r="N9644" t="n">
        <v>0</v>
      </c>
      <c r="O9644" t="n">
        <v>0</v>
      </c>
      <c r="P9644" t="n">
        <v>0</v>
      </c>
      <c r="Q9644" t="n">
        <v>0</v>
      </c>
      <c r="R9644" t="n">
        <v>0</v>
      </c>
      <c r="S9644" t="n">
        <v>0</v>
      </c>
      <c r="T9644" t="n">
        <v>0</v>
      </c>
      <c r="U9644" t="n">
        <v>0</v>
      </c>
      <c r="V9644" s="2" t="inlineStr"/>
    </row>
    <row r="9645" ht="15" customHeight="1">
      <c r="A9645" t="inlineStr">
        <is>
          <t>A 40136-2023</t>
        </is>
      </c>
      <c r="B9645" t="inlineStr">
        <is>
          <t>avverkningsanmälan</t>
        </is>
      </c>
      <c r="C9645" t="inlineStr">
        <is>
          <t>Föryngringsavverkning</t>
        </is>
      </c>
      <c r="D9645" s="1" t="n">
        <v>45169</v>
      </c>
      <c r="E9645" s="1" t="n">
        <v>46326</v>
      </c>
      <c r="F9645" t="inlineStr">
        <is>
          <t>GÄVLEBORGS LÄN</t>
        </is>
      </c>
      <c r="G9645" t="inlineStr">
        <is>
          <t>HUDIKSVALL</t>
        </is>
      </c>
      <c r="H9645" t="inlineStr">
        <is>
          <t>Holmen skog AB</t>
        </is>
      </c>
      <c r="I9645" t="n">
        <v>6.3</v>
      </c>
      <c r="J9645" t="n">
        <v>0</v>
      </c>
      <c r="K9645" t="n">
        <v>0</v>
      </c>
      <c r="L9645" t="n">
        <v>0</v>
      </c>
      <c r="M9645" t="n">
        <v>0</v>
      </c>
      <c r="N9645" t="n">
        <v>0</v>
      </c>
      <c r="O9645" t="n">
        <v>0</v>
      </c>
      <c r="P9645" t="n">
        <v>0</v>
      </c>
      <c r="Q9645" t="n">
        <v>0</v>
      </c>
      <c r="R9645" t="n">
        <v>0</v>
      </c>
      <c r="S9645" t="n">
        <v>0</v>
      </c>
      <c r="T9645" t="n">
        <v>0</v>
      </c>
      <c r="U9645" t="n">
        <v>0</v>
      </c>
      <c r="V9645" s="2" t="inlineStr"/>
    </row>
    <row r="9646" ht="15" customHeight="1">
      <c r="A9646" t="inlineStr">
        <is>
          <t>A 2667-2025</t>
        </is>
      </c>
      <c r="B9646" t="inlineStr">
        <is>
          <t>avverkningsanmälan</t>
        </is>
      </c>
      <c r="C9646" t="inlineStr">
        <is>
          <t>Föryngringsavverkning</t>
        </is>
      </c>
      <c r="D9646" s="1" t="n">
        <v>45677</v>
      </c>
      <c r="E9646" s="1" t="n">
        <v>46326</v>
      </c>
      <c r="F9646" t="inlineStr">
        <is>
          <t>GÄVLEBORGS LÄN</t>
        </is>
      </c>
      <c r="G9646" t="inlineStr">
        <is>
          <t>BOLLNÄS</t>
        </is>
      </c>
      <c r="I9646" t="n">
        <v>2.3</v>
      </c>
      <c r="J9646" t="n">
        <v>0</v>
      </c>
      <c r="K9646" t="n">
        <v>0</v>
      </c>
      <c r="L9646" t="n">
        <v>0</v>
      </c>
      <c r="M9646" t="n">
        <v>0</v>
      </c>
      <c r="N9646" t="n">
        <v>0</v>
      </c>
      <c r="O9646" t="n">
        <v>0</v>
      </c>
      <c r="P9646" t="n">
        <v>0</v>
      </c>
      <c r="Q9646" t="n">
        <v>0</v>
      </c>
      <c r="R9646" t="n">
        <v>0</v>
      </c>
      <c r="S9646" t="n">
        <v>0</v>
      </c>
      <c r="T9646" t="n">
        <v>0</v>
      </c>
      <c r="U9646" t="n">
        <v>0</v>
      </c>
      <c r="V9646" s="2" t="inlineStr"/>
    </row>
    <row r="9647" ht="15" customHeight="1">
      <c r="A9647" t="inlineStr">
        <is>
          <t>A 44736-2024</t>
        </is>
      </c>
      <c r="B9647" t="inlineStr">
        <is>
          <t>avverkningsanmälan</t>
        </is>
      </c>
      <c r="C9647" t="inlineStr">
        <is>
          <t>Föryngringsavverkning</t>
        </is>
      </c>
      <c r="D9647" s="1" t="n">
        <v>45574</v>
      </c>
      <c r="E9647" s="1" t="n">
        <v>46326</v>
      </c>
      <c r="F9647" t="inlineStr">
        <is>
          <t>GÄVLEBORGS LÄN</t>
        </is>
      </c>
      <c r="G9647" t="inlineStr">
        <is>
          <t>HUDIKSVALL</t>
        </is>
      </c>
      <c r="I9647" t="n">
        <v>43.7</v>
      </c>
      <c r="J9647" t="n">
        <v>0</v>
      </c>
      <c r="K9647" t="n">
        <v>0</v>
      </c>
      <c r="L9647" t="n">
        <v>0</v>
      </c>
      <c r="M9647" t="n">
        <v>0</v>
      </c>
      <c r="N9647" t="n">
        <v>0</v>
      </c>
      <c r="O9647" t="n">
        <v>0</v>
      </c>
      <c r="P9647" t="n">
        <v>0</v>
      </c>
      <c r="Q9647" t="n">
        <v>0</v>
      </c>
      <c r="R9647" t="n">
        <v>0</v>
      </c>
      <c r="S9647" t="n">
        <v>0</v>
      </c>
      <c r="T9647" t="n">
        <v>0</v>
      </c>
      <c r="U9647" t="n">
        <v>0</v>
      </c>
      <c r="V9647" s="2" t="inlineStr"/>
    </row>
    <row r="9648" ht="15" customHeight="1">
      <c r="A9648" t="inlineStr">
        <is>
          <t>A 31571-2024</t>
        </is>
      </c>
      <c r="B9648" t="inlineStr">
        <is>
          <t>avverkningsanmälan</t>
        </is>
      </c>
      <c r="C9648" t="inlineStr">
        <is>
          <t>Föryngringsavverkning</t>
        </is>
      </c>
      <c r="D9648" s="1" t="n">
        <v>45506</v>
      </c>
      <c r="E9648" s="1" t="n">
        <v>46326</v>
      </c>
      <c r="F9648" t="inlineStr">
        <is>
          <t>GÄVLEBORGS LÄN</t>
        </is>
      </c>
      <c r="G9648" t="inlineStr">
        <is>
          <t>NORDANSTIG</t>
        </is>
      </c>
      <c r="H9648" t="inlineStr">
        <is>
          <t>Holmen skog AB</t>
        </is>
      </c>
      <c r="I9648" t="n">
        <v>5.7</v>
      </c>
      <c r="J9648" t="n">
        <v>0</v>
      </c>
      <c r="K9648" t="n">
        <v>0</v>
      </c>
      <c r="L9648" t="n">
        <v>0</v>
      </c>
      <c r="M9648" t="n">
        <v>0</v>
      </c>
      <c r="N9648" t="n">
        <v>0</v>
      </c>
      <c r="O9648" t="n">
        <v>0</v>
      </c>
      <c r="P9648" t="n">
        <v>0</v>
      </c>
      <c r="Q9648" t="n">
        <v>0</v>
      </c>
      <c r="R9648" t="n">
        <v>0</v>
      </c>
      <c r="S9648" t="n">
        <v>0</v>
      </c>
      <c r="T9648" t="n">
        <v>0</v>
      </c>
      <c r="U9648" t="n">
        <v>0</v>
      </c>
      <c r="V9648" s="2" t="inlineStr"/>
    </row>
    <row r="9649" ht="15" customHeight="1">
      <c r="A9649" t="inlineStr">
        <is>
          <t>A 5411-2022</t>
        </is>
      </c>
      <c r="B9649" t="inlineStr">
        <is>
          <t>avverkningsanmälan</t>
        </is>
      </c>
      <c r="C9649" t="inlineStr">
        <is>
          <t>Föryngringsavverkning</t>
        </is>
      </c>
      <c r="D9649" s="1" t="n">
        <v>44595</v>
      </c>
      <c r="E9649" s="1" t="n">
        <v>46326</v>
      </c>
      <c r="F9649" t="inlineStr">
        <is>
          <t>GÄVLEBORGS LÄN</t>
        </is>
      </c>
      <c r="G9649" t="inlineStr">
        <is>
          <t>NORDANSTIG</t>
        </is>
      </c>
      <c r="I9649" t="n">
        <v>3.5</v>
      </c>
      <c r="J9649" t="n">
        <v>0</v>
      </c>
      <c r="K9649" t="n">
        <v>0</v>
      </c>
      <c r="L9649" t="n">
        <v>0</v>
      </c>
      <c r="M9649" t="n">
        <v>0</v>
      </c>
      <c r="N9649" t="n">
        <v>0</v>
      </c>
      <c r="O9649" t="n">
        <v>0</v>
      </c>
      <c r="P9649" t="n">
        <v>0</v>
      </c>
      <c r="Q9649" t="n">
        <v>0</v>
      </c>
      <c r="R9649" t="n">
        <v>0</v>
      </c>
      <c r="S9649" t="n">
        <v>0</v>
      </c>
      <c r="T9649" t="n">
        <v>0</v>
      </c>
      <c r="U9649" t="n">
        <v>0</v>
      </c>
      <c r="V9649" s="2" t="inlineStr"/>
    </row>
    <row r="9650" ht="15" customHeight="1">
      <c r="A9650" t="inlineStr">
        <is>
          <t>A 32898-2026</t>
        </is>
      </c>
      <c r="B9650" t="inlineStr">
        <is>
          <t>avverkningsanmälan</t>
        </is>
      </c>
      <c r="C9650" t="inlineStr">
        <is>
          <t>Föryngringsavverkning</t>
        </is>
      </c>
      <c r="D9650" s="1" t="n">
        <v>46244</v>
      </c>
      <c r="E9650" s="1" t="n">
        <v>46326</v>
      </c>
      <c r="F9650" t="inlineStr">
        <is>
          <t>GÄVLEBORGS LÄN</t>
        </is>
      </c>
      <c r="G9650" t="inlineStr">
        <is>
          <t>BOLLNÄS</t>
        </is>
      </c>
      <c r="H9650" t="inlineStr">
        <is>
          <t>Bergvik skog väst AB</t>
        </is>
      </c>
      <c r="I9650" t="n">
        <v>2.2</v>
      </c>
      <c r="J9650" t="n">
        <v>0</v>
      </c>
      <c r="K9650" t="n">
        <v>0</v>
      </c>
      <c r="L9650" t="n">
        <v>0</v>
      </c>
      <c r="M9650" t="n">
        <v>0</v>
      </c>
      <c r="N9650" t="n">
        <v>0</v>
      </c>
      <c r="O9650" t="n">
        <v>0</v>
      </c>
      <c r="P9650" t="n">
        <v>0</v>
      </c>
      <c r="Q9650" t="n">
        <v>0</v>
      </c>
      <c r="R9650" t="n">
        <v>0</v>
      </c>
      <c r="S9650" t="n">
        <v>0</v>
      </c>
      <c r="T9650" t="n">
        <v>0</v>
      </c>
      <c r="U9650" t="n">
        <v>0</v>
      </c>
      <c r="V9650" s="2" t="inlineStr"/>
    </row>
    <row r="9651" ht="15" customHeight="1">
      <c r="A9651" t="inlineStr">
        <is>
          <t>A 22824-2024</t>
        </is>
      </c>
      <c r="B9651" t="inlineStr">
        <is>
          <t>avverkningsanmälan</t>
        </is>
      </c>
      <c r="C9651" t="inlineStr">
        <is>
          <t>Avverkning för att bevara och utveckla /försöksver</t>
        </is>
      </c>
      <c r="D9651" s="1" t="n">
        <v>45448</v>
      </c>
      <c r="E9651" s="1" t="n">
        <v>46326</v>
      </c>
      <c r="F9651" t="inlineStr">
        <is>
          <t>GÄVLEBORGS LÄN</t>
        </is>
      </c>
      <c r="G9651" t="inlineStr">
        <is>
          <t>OCKELBO</t>
        </is>
      </c>
      <c r="H9651" t="inlineStr">
        <is>
          <t>Bergvik skog väst AB</t>
        </is>
      </c>
      <c r="I9651" t="n">
        <v>0.1</v>
      </c>
      <c r="J9651" t="n">
        <v>0</v>
      </c>
      <c r="K9651" t="n">
        <v>0</v>
      </c>
      <c r="L9651" t="n">
        <v>0</v>
      </c>
      <c r="M9651" t="n">
        <v>0</v>
      </c>
      <c r="N9651" t="n">
        <v>0</v>
      </c>
      <c r="O9651" t="n">
        <v>0</v>
      </c>
      <c r="P9651" t="n">
        <v>0</v>
      </c>
      <c r="Q9651" t="n">
        <v>0</v>
      </c>
      <c r="R9651" t="n">
        <v>0</v>
      </c>
      <c r="S9651" t="n">
        <v>0</v>
      </c>
      <c r="T9651" t="n">
        <v>0</v>
      </c>
      <c r="U9651" t="n">
        <v>0</v>
      </c>
      <c r="V9651" s="2" t="inlineStr"/>
    </row>
    <row r="9652" ht="15" customHeight="1">
      <c r="A9652" t="inlineStr">
        <is>
          <t>A 22835-2024</t>
        </is>
      </c>
      <c r="B9652" t="inlineStr">
        <is>
          <t>avverkningsanmälan</t>
        </is>
      </c>
      <c r="C9652" t="inlineStr">
        <is>
          <t>Föryngringsavverkning</t>
        </is>
      </c>
      <c r="D9652" s="1" t="n">
        <v>45448</v>
      </c>
      <c r="E9652" s="1" t="n">
        <v>46326</v>
      </c>
      <c r="F9652" t="inlineStr">
        <is>
          <t>GÄVLEBORGS LÄN</t>
        </is>
      </c>
      <c r="G9652" t="inlineStr">
        <is>
          <t>BOLLNÄS</t>
        </is>
      </c>
      <c r="I9652" t="n">
        <v>1.1</v>
      </c>
      <c r="J9652" t="n">
        <v>0</v>
      </c>
      <c r="K9652" t="n">
        <v>0</v>
      </c>
      <c r="L9652" t="n">
        <v>0</v>
      </c>
      <c r="M9652" t="n">
        <v>0</v>
      </c>
      <c r="N9652" t="n">
        <v>0</v>
      </c>
      <c r="O9652" t="n">
        <v>0</v>
      </c>
      <c r="P9652" t="n">
        <v>0</v>
      </c>
      <c r="Q9652" t="n">
        <v>0</v>
      </c>
      <c r="R9652" t="n">
        <v>0</v>
      </c>
      <c r="S9652" t="n">
        <v>0</v>
      </c>
      <c r="T9652" t="n">
        <v>0</v>
      </c>
      <c r="U9652" t="n">
        <v>0</v>
      </c>
      <c r="V9652" s="2" t="inlineStr"/>
    </row>
    <row r="9653" ht="15" customHeight="1">
      <c r="A9653" t="inlineStr">
        <is>
          <t>A 48943-2024</t>
        </is>
      </c>
      <c r="B9653" t="inlineStr">
        <is>
          <t>avverkningsanmälan</t>
        </is>
      </c>
      <c r="C9653" t="inlineStr">
        <is>
          <t>Föryngringsavverkning</t>
        </is>
      </c>
      <c r="D9653" s="1" t="n">
        <v>45594</v>
      </c>
      <c r="E9653" s="1" t="n">
        <v>46326</v>
      </c>
      <c r="F9653" t="inlineStr">
        <is>
          <t>GÄVLEBORGS LÄN</t>
        </is>
      </c>
      <c r="G9653" t="inlineStr">
        <is>
          <t>SÖDERHAMN</t>
        </is>
      </c>
      <c r="I9653" t="n">
        <v>1.9</v>
      </c>
      <c r="J9653" t="n">
        <v>0</v>
      </c>
      <c r="K9653" t="n">
        <v>0</v>
      </c>
      <c r="L9653" t="n">
        <v>0</v>
      </c>
      <c r="M9653" t="n">
        <v>0</v>
      </c>
      <c r="N9653" t="n">
        <v>0</v>
      </c>
      <c r="O9653" t="n">
        <v>0</v>
      </c>
      <c r="P9653" t="n">
        <v>0</v>
      </c>
      <c r="Q9653" t="n">
        <v>0</v>
      </c>
      <c r="R9653" t="n">
        <v>0</v>
      </c>
      <c r="S9653" t="n">
        <v>0</v>
      </c>
      <c r="T9653" t="n">
        <v>0</v>
      </c>
      <c r="U9653" t="n">
        <v>0</v>
      </c>
      <c r="V9653" s="2" t="inlineStr"/>
    </row>
    <row r="9654" ht="15" customHeight="1">
      <c r="A9654" t="inlineStr">
        <is>
          <t>A 39083-2026</t>
        </is>
      </c>
      <c r="B9654" t="inlineStr">
        <is>
          <t>avverkningsanmälan</t>
        </is>
      </c>
      <c r="C9654" t="inlineStr">
        <is>
          <t>Föryngringsavverkning</t>
        </is>
      </c>
      <c r="D9654" s="1" t="n">
        <v>46287</v>
      </c>
      <c r="E9654" s="1" t="n">
        <v>46326</v>
      </c>
      <c r="F9654" t="inlineStr">
        <is>
          <t>GÄVLEBORGS LÄN</t>
        </is>
      </c>
      <c r="G9654" t="inlineStr">
        <is>
          <t>GÄVLE</t>
        </is>
      </c>
      <c r="H9654" t="inlineStr">
        <is>
          <t>Bergvik skog väst AB</t>
        </is>
      </c>
      <c r="I9654" t="n">
        <v>0.8</v>
      </c>
      <c r="J9654" t="n">
        <v>0</v>
      </c>
      <c r="K9654" t="n">
        <v>0</v>
      </c>
      <c r="L9654" t="n">
        <v>0</v>
      </c>
      <c r="M9654" t="n">
        <v>0</v>
      </c>
      <c r="N9654" t="n">
        <v>0</v>
      </c>
      <c r="O9654" t="n">
        <v>0</v>
      </c>
      <c r="P9654" t="n">
        <v>0</v>
      </c>
      <c r="Q9654" t="n">
        <v>0</v>
      </c>
      <c r="R9654" t="n">
        <v>0</v>
      </c>
      <c r="S9654" t="n">
        <v>0</v>
      </c>
      <c r="T9654" t="n">
        <v>0</v>
      </c>
      <c r="U9654" t="n">
        <v>0</v>
      </c>
      <c r="V9654" s="2" t="inlineStr"/>
    </row>
    <row r="9655" ht="15" customHeight="1">
      <c r="A9655" t="inlineStr">
        <is>
          <t>A 55450-2024</t>
        </is>
      </c>
      <c r="B9655" t="inlineStr">
        <is>
          <t>avverkningsanmälan</t>
        </is>
      </c>
      <c r="C9655" t="inlineStr">
        <is>
          <t>Föryngringsavverkning</t>
        </is>
      </c>
      <c r="D9655" s="1" t="n">
        <v>45622</v>
      </c>
      <c r="E9655" s="1" t="n">
        <v>46326</v>
      </c>
      <c r="F9655" t="inlineStr">
        <is>
          <t>GÄVLEBORGS LÄN</t>
        </is>
      </c>
      <c r="G9655" t="inlineStr">
        <is>
          <t>NORDANSTIG</t>
        </is>
      </c>
      <c r="H9655" t="inlineStr">
        <is>
          <t>Holmen skog AB</t>
        </is>
      </c>
      <c r="I9655" t="n">
        <v>3.2</v>
      </c>
      <c r="J9655" t="n">
        <v>0</v>
      </c>
      <c r="K9655" t="n">
        <v>0</v>
      </c>
      <c r="L9655" t="n">
        <v>0</v>
      </c>
      <c r="M9655" t="n">
        <v>0</v>
      </c>
      <c r="N9655" t="n">
        <v>0</v>
      </c>
      <c r="O9655" t="n">
        <v>0</v>
      </c>
      <c r="P9655" t="n">
        <v>0</v>
      </c>
      <c r="Q9655" t="n">
        <v>0</v>
      </c>
      <c r="R9655" t="n">
        <v>0</v>
      </c>
      <c r="S9655" t="n">
        <v>0</v>
      </c>
      <c r="T9655" t="n">
        <v>0</v>
      </c>
      <c r="U9655" t="n">
        <v>0</v>
      </c>
      <c r="V9655" s="2" t="inlineStr"/>
    </row>
    <row r="9656" ht="15" customHeight="1">
      <c r="A9656" t="inlineStr">
        <is>
          <t>A 25349-2022</t>
        </is>
      </c>
      <c r="B9656" t="inlineStr">
        <is>
          <t>avverkningsanmälan</t>
        </is>
      </c>
      <c r="C9656" t="inlineStr">
        <is>
          <t>Föryngringsavverkning</t>
        </is>
      </c>
      <c r="D9656" s="1" t="n">
        <v>44732</v>
      </c>
      <c r="E9656" s="1" t="n">
        <v>46326</v>
      </c>
      <c r="F9656" t="inlineStr">
        <is>
          <t>GÄVLEBORGS LÄN</t>
        </is>
      </c>
      <c r="G9656" t="inlineStr">
        <is>
          <t>HUDIKSVALL</t>
        </is>
      </c>
      <c r="I9656" t="n">
        <v>5.4</v>
      </c>
      <c r="J9656" t="n">
        <v>0</v>
      </c>
      <c r="K9656" t="n">
        <v>0</v>
      </c>
      <c r="L9656" t="n">
        <v>0</v>
      </c>
      <c r="M9656" t="n">
        <v>0</v>
      </c>
      <c r="N9656" t="n">
        <v>0</v>
      </c>
      <c r="O9656" t="n">
        <v>0</v>
      </c>
      <c r="P9656" t="n">
        <v>0</v>
      </c>
      <c r="Q9656" t="n">
        <v>0</v>
      </c>
      <c r="R9656" t="n">
        <v>0</v>
      </c>
      <c r="S9656" t="n">
        <v>0</v>
      </c>
      <c r="T9656" t="n">
        <v>0</v>
      </c>
      <c r="U9656" t="n">
        <v>0</v>
      </c>
      <c r="V9656" s="2" t="inlineStr"/>
    </row>
    <row r="9657" ht="15" customHeight="1">
      <c r="A9657" t="inlineStr">
        <is>
          <t>A 38887-2026</t>
        </is>
      </c>
      <c r="B9657" t="inlineStr">
        <is>
          <t>avverkningsanmälan</t>
        </is>
      </c>
      <c r="C9657" t="inlineStr">
        <is>
          <t>Föryngringsavverkning</t>
        </is>
      </c>
      <c r="D9657" s="1" t="n">
        <v>46286</v>
      </c>
      <c r="E9657" s="1" t="n">
        <v>46326</v>
      </c>
      <c r="F9657" t="inlineStr">
        <is>
          <t>GÄVLEBORGS LÄN</t>
        </is>
      </c>
      <c r="G9657" t="inlineStr">
        <is>
          <t>BOLLNÄS</t>
        </is>
      </c>
      <c r="I9657" t="n">
        <v>2.3</v>
      </c>
      <c r="J9657" t="n">
        <v>0</v>
      </c>
      <c r="K9657" t="n">
        <v>0</v>
      </c>
      <c r="L9657" t="n">
        <v>0</v>
      </c>
      <c r="M9657" t="n">
        <v>0</v>
      </c>
      <c r="N9657" t="n">
        <v>0</v>
      </c>
      <c r="O9657" t="n">
        <v>0</v>
      </c>
      <c r="P9657" t="n">
        <v>0</v>
      </c>
      <c r="Q9657" t="n">
        <v>0</v>
      </c>
      <c r="R9657" t="n">
        <v>0</v>
      </c>
      <c r="S9657" t="n">
        <v>0</v>
      </c>
      <c r="T9657" t="n">
        <v>0</v>
      </c>
      <c r="U9657" t="n">
        <v>0</v>
      </c>
      <c r="V9657" s="2" t="inlineStr"/>
    </row>
    <row r="9658" ht="15" customHeight="1">
      <c r="A9658" t="inlineStr">
        <is>
          <t>A 28114-2023</t>
        </is>
      </c>
      <c r="B9658" t="inlineStr">
        <is>
          <t>avverkningsanmälan</t>
        </is>
      </c>
      <c r="C9658" t="inlineStr">
        <is>
          <t>Föryngringsavverkning</t>
        </is>
      </c>
      <c r="D9658" s="1" t="n">
        <v>45099</v>
      </c>
      <c r="E9658" s="1" t="n">
        <v>46326</v>
      </c>
      <c r="F9658" t="inlineStr">
        <is>
          <t>GÄVLEBORGS LÄN</t>
        </is>
      </c>
      <c r="G9658" t="inlineStr">
        <is>
          <t>LJUSDAL</t>
        </is>
      </c>
      <c r="I9658" t="n">
        <v>2.6</v>
      </c>
      <c r="J9658" t="n">
        <v>0</v>
      </c>
      <c r="K9658" t="n">
        <v>0</v>
      </c>
      <c r="L9658" t="n">
        <v>0</v>
      </c>
      <c r="M9658" t="n">
        <v>0</v>
      </c>
      <c r="N9658" t="n">
        <v>0</v>
      </c>
      <c r="O9658" t="n">
        <v>0</v>
      </c>
      <c r="P9658" t="n">
        <v>0</v>
      </c>
      <c r="Q9658" t="n">
        <v>0</v>
      </c>
      <c r="R9658" t="n">
        <v>0</v>
      </c>
      <c r="S9658" t="n">
        <v>0</v>
      </c>
      <c r="T9658" t="n">
        <v>0</v>
      </c>
      <c r="U9658" t="n">
        <v>0</v>
      </c>
      <c r="V9658" s="2" t="inlineStr"/>
    </row>
    <row r="9659" ht="15" customHeight="1">
      <c r="A9659" t="inlineStr">
        <is>
          <t>A 55498-2024</t>
        </is>
      </c>
      <c r="B9659" t="inlineStr">
        <is>
          <t>avverkningsanmälan</t>
        </is>
      </c>
      <c r="C9659" t="inlineStr">
        <is>
          <t>Föryngringsavverkning</t>
        </is>
      </c>
      <c r="D9659" s="1" t="n">
        <v>45622</v>
      </c>
      <c r="E9659" s="1" t="n">
        <v>46326</v>
      </c>
      <c r="F9659" t="inlineStr">
        <is>
          <t>GÄVLEBORGS LÄN</t>
        </is>
      </c>
      <c r="G9659" t="inlineStr">
        <is>
          <t>NORDANSTIG</t>
        </is>
      </c>
      <c r="H9659" t="inlineStr">
        <is>
          <t>Holmen skog AB</t>
        </is>
      </c>
      <c r="I9659" t="n">
        <v>1.7</v>
      </c>
      <c r="J9659" t="n">
        <v>0</v>
      </c>
      <c r="K9659" t="n">
        <v>0</v>
      </c>
      <c r="L9659" t="n">
        <v>0</v>
      </c>
      <c r="M9659" t="n">
        <v>0</v>
      </c>
      <c r="N9659" t="n">
        <v>0</v>
      </c>
      <c r="O9659" t="n">
        <v>0</v>
      </c>
      <c r="P9659" t="n">
        <v>0</v>
      </c>
      <c r="Q9659" t="n">
        <v>0</v>
      </c>
      <c r="R9659" t="n">
        <v>0</v>
      </c>
      <c r="S9659" t="n">
        <v>0</v>
      </c>
      <c r="T9659" t="n">
        <v>0</v>
      </c>
      <c r="U9659" t="n">
        <v>0</v>
      </c>
      <c r="V9659" s="2" t="inlineStr"/>
    </row>
    <row r="9660" ht="15" customHeight="1">
      <c r="A9660" t="inlineStr">
        <is>
          <t>A 18706-2024</t>
        </is>
      </c>
      <c r="B9660" t="inlineStr">
        <is>
          <t>avverkningsanmälan</t>
        </is>
      </c>
      <c r="C9660" t="inlineStr">
        <is>
          <t>Föryngringsavverkning</t>
        </is>
      </c>
      <c r="D9660" s="1" t="n">
        <v>45426</v>
      </c>
      <c r="E9660" s="1" t="n">
        <v>46326</v>
      </c>
      <c r="F9660" t="inlineStr">
        <is>
          <t>GÄVLEBORGS LÄN</t>
        </is>
      </c>
      <c r="G9660" t="inlineStr">
        <is>
          <t>HUDIKSVALL</t>
        </is>
      </c>
      <c r="H9660" t="inlineStr">
        <is>
          <t>Holmen skog AB</t>
        </is>
      </c>
      <c r="I9660" t="n">
        <v>9.199999999999999</v>
      </c>
      <c r="J9660" t="n">
        <v>0</v>
      </c>
      <c r="K9660" t="n">
        <v>0</v>
      </c>
      <c r="L9660" t="n">
        <v>0</v>
      </c>
      <c r="M9660" t="n">
        <v>0</v>
      </c>
      <c r="N9660" t="n">
        <v>0</v>
      </c>
      <c r="O9660" t="n">
        <v>0</v>
      </c>
      <c r="P9660" t="n">
        <v>0</v>
      </c>
      <c r="Q9660" t="n">
        <v>0</v>
      </c>
      <c r="R9660" t="n">
        <v>0</v>
      </c>
      <c r="S9660" t="n">
        <v>0</v>
      </c>
      <c r="T9660" t="n">
        <v>0</v>
      </c>
      <c r="U9660" t="n">
        <v>0</v>
      </c>
      <c r="V9660" s="2" t="inlineStr"/>
    </row>
    <row r="9661" ht="15" customHeight="1">
      <c r="A9661" t="inlineStr">
        <is>
          <t>A 41957-2023</t>
        </is>
      </c>
      <c r="B9661" t="inlineStr">
        <is>
          <t>avverkningsanmälan</t>
        </is>
      </c>
      <c r="C9661" t="inlineStr">
        <is>
          <t>Föryngringsavverkning</t>
        </is>
      </c>
      <c r="D9661" s="1" t="n">
        <v>45177</v>
      </c>
      <c r="E9661" s="1" t="n">
        <v>46326</v>
      </c>
      <c r="F9661" t="inlineStr">
        <is>
          <t>GÄVLEBORGS LÄN</t>
        </is>
      </c>
      <c r="G9661" t="inlineStr">
        <is>
          <t>NORDANSTIG</t>
        </is>
      </c>
      <c r="H9661" t="inlineStr">
        <is>
          <t>Holmen skog AB</t>
        </is>
      </c>
      <c r="I9661" t="n">
        <v>1.5</v>
      </c>
      <c r="J9661" t="n">
        <v>0</v>
      </c>
      <c r="K9661" t="n">
        <v>0</v>
      </c>
      <c r="L9661" t="n">
        <v>0</v>
      </c>
      <c r="M9661" t="n">
        <v>0</v>
      </c>
      <c r="N9661" t="n">
        <v>0</v>
      </c>
      <c r="O9661" t="n">
        <v>0</v>
      </c>
      <c r="P9661" t="n">
        <v>0</v>
      </c>
      <c r="Q9661" t="n">
        <v>0</v>
      </c>
      <c r="R9661" t="n">
        <v>0</v>
      </c>
      <c r="S9661" t="n">
        <v>0</v>
      </c>
      <c r="T9661" t="n">
        <v>0</v>
      </c>
      <c r="U9661" t="n">
        <v>0</v>
      </c>
      <c r="V9661" s="2" t="inlineStr"/>
    </row>
    <row r="9662" ht="15" customHeight="1">
      <c r="A9662" t="inlineStr">
        <is>
          <t>A 38894-2026</t>
        </is>
      </c>
      <c r="B9662" t="inlineStr">
        <is>
          <t>avverkningsanmälan</t>
        </is>
      </c>
      <c r="C9662" t="inlineStr">
        <is>
          <t>Föryngringsavverkning</t>
        </is>
      </c>
      <c r="D9662" s="1" t="n">
        <v>46286</v>
      </c>
      <c r="E9662" s="1" t="n">
        <v>46326</v>
      </c>
      <c r="F9662" t="inlineStr">
        <is>
          <t>GÄVLEBORGS LÄN</t>
        </is>
      </c>
      <c r="G9662" t="inlineStr">
        <is>
          <t>BOLLNÄS</t>
        </is>
      </c>
      <c r="I9662" t="n">
        <v>2.3</v>
      </c>
      <c r="J9662" t="n">
        <v>0</v>
      </c>
      <c r="K9662" t="n">
        <v>0</v>
      </c>
      <c r="L9662" t="n">
        <v>0</v>
      </c>
      <c r="M9662" t="n">
        <v>0</v>
      </c>
      <c r="N9662" t="n">
        <v>0</v>
      </c>
      <c r="O9662" t="n">
        <v>0</v>
      </c>
      <c r="P9662" t="n">
        <v>0</v>
      </c>
      <c r="Q9662" t="n">
        <v>0</v>
      </c>
      <c r="R9662" t="n">
        <v>0</v>
      </c>
      <c r="S9662" t="n">
        <v>0</v>
      </c>
      <c r="T9662" t="n">
        <v>0</v>
      </c>
      <c r="U9662" t="n">
        <v>0</v>
      </c>
      <c r="V9662" s="2" t="inlineStr"/>
    </row>
    <row r="9663" ht="15" customHeight="1">
      <c r="A9663" t="inlineStr">
        <is>
          <t>A 61536-2022</t>
        </is>
      </c>
      <c r="B9663" t="inlineStr">
        <is>
          <t>avverkningsanmälan</t>
        </is>
      </c>
      <c r="C9663" t="inlineStr">
        <is>
          <t>Föryngringsavverkning</t>
        </is>
      </c>
      <c r="D9663" s="1" t="n">
        <v>44916</v>
      </c>
      <c r="E9663" s="1" t="n">
        <v>46326</v>
      </c>
      <c r="F9663" t="inlineStr">
        <is>
          <t>GÄVLEBORGS LÄN</t>
        </is>
      </c>
      <c r="G9663" t="inlineStr">
        <is>
          <t>HUDIKSVALL</t>
        </is>
      </c>
      <c r="I9663" t="n">
        <v>2.2</v>
      </c>
      <c r="J9663" t="n">
        <v>0</v>
      </c>
      <c r="K9663" t="n">
        <v>0</v>
      </c>
      <c r="L9663" t="n">
        <v>0</v>
      </c>
      <c r="M9663" t="n">
        <v>0</v>
      </c>
      <c r="N9663" t="n">
        <v>0</v>
      </c>
      <c r="O9663" t="n">
        <v>0</v>
      </c>
      <c r="P9663" t="n">
        <v>0</v>
      </c>
      <c r="Q9663" t="n">
        <v>0</v>
      </c>
      <c r="R9663" t="n">
        <v>0</v>
      </c>
      <c r="S9663" t="n">
        <v>0</v>
      </c>
      <c r="T9663" t="n">
        <v>0</v>
      </c>
      <c r="U9663" t="n">
        <v>0</v>
      </c>
      <c r="V9663" s="2" t="inlineStr"/>
    </row>
    <row r="9664" ht="15" customHeight="1">
      <c r="A9664" t="inlineStr">
        <is>
          <t>A 61592-2022</t>
        </is>
      </c>
      <c r="B9664" t="inlineStr">
        <is>
          <t>avverkningsanmälan</t>
        </is>
      </c>
      <c r="C9664" t="inlineStr">
        <is>
          <t>Avverkning för annat ändamål</t>
        </is>
      </c>
      <c r="D9664" s="1" t="n">
        <v>44916</v>
      </c>
      <c r="E9664" s="1" t="n">
        <v>46326</v>
      </c>
      <c r="F9664" t="inlineStr">
        <is>
          <t>GÄVLEBORGS LÄN</t>
        </is>
      </c>
      <c r="G9664" t="inlineStr">
        <is>
          <t>BOLLNÄS</t>
        </is>
      </c>
      <c r="I9664" t="n">
        <v>0.5</v>
      </c>
      <c r="J9664" t="n">
        <v>0</v>
      </c>
      <c r="K9664" t="n">
        <v>0</v>
      </c>
      <c r="L9664" t="n">
        <v>0</v>
      </c>
      <c r="M9664" t="n">
        <v>0</v>
      </c>
      <c r="N9664" t="n">
        <v>0</v>
      </c>
      <c r="O9664" t="n">
        <v>0</v>
      </c>
      <c r="P9664" t="n">
        <v>0</v>
      </c>
      <c r="Q9664" t="n">
        <v>0</v>
      </c>
      <c r="R9664" t="n">
        <v>0</v>
      </c>
      <c r="S9664" t="n">
        <v>0</v>
      </c>
      <c r="T9664" t="n">
        <v>0</v>
      </c>
      <c r="U9664" t="n">
        <v>0</v>
      </c>
      <c r="V9664" s="2" t="inlineStr"/>
    </row>
    <row r="9665" ht="15" customHeight="1">
      <c r="A9665" t="inlineStr">
        <is>
          <t>A 10069-2025</t>
        </is>
      </c>
      <c r="B9665" t="inlineStr">
        <is>
          <t>avverkningsanmälan</t>
        </is>
      </c>
      <c r="C9665" t="inlineStr">
        <is>
          <t>Föryngringsavverkning</t>
        </is>
      </c>
      <c r="D9665" s="1" t="n">
        <v>45719</v>
      </c>
      <c r="E9665" s="1" t="n">
        <v>46326</v>
      </c>
      <c r="F9665" t="inlineStr">
        <is>
          <t>GÄVLEBORGS LÄN</t>
        </is>
      </c>
      <c r="G9665" t="inlineStr">
        <is>
          <t>NORDANSTIG</t>
        </is>
      </c>
      <c r="H9665" t="inlineStr">
        <is>
          <t>Holmen skog AB</t>
        </is>
      </c>
      <c r="I9665" t="n">
        <v>4.6</v>
      </c>
      <c r="J9665" t="n">
        <v>0</v>
      </c>
      <c r="K9665" t="n">
        <v>0</v>
      </c>
      <c r="L9665" t="n">
        <v>0</v>
      </c>
      <c r="M9665" t="n">
        <v>0</v>
      </c>
      <c r="N9665" t="n">
        <v>0</v>
      </c>
      <c r="O9665" t="n">
        <v>0</v>
      </c>
      <c r="P9665" t="n">
        <v>0</v>
      </c>
      <c r="Q9665" t="n">
        <v>0</v>
      </c>
      <c r="R9665" t="n">
        <v>0</v>
      </c>
      <c r="S9665" t="n">
        <v>0</v>
      </c>
      <c r="T9665" t="n">
        <v>0</v>
      </c>
      <c r="U9665" t="n">
        <v>0</v>
      </c>
      <c r="V9665" s="2" t="inlineStr"/>
    </row>
    <row r="9666" ht="15" customHeight="1">
      <c r="A9666" t="inlineStr">
        <is>
          <t>A 38946-2026</t>
        </is>
      </c>
      <c r="B9666" t="inlineStr">
        <is>
          <t>avverkningsanmälan</t>
        </is>
      </c>
      <c r="C9666" t="inlineStr">
        <is>
          <t>Föryngringsavverkning</t>
        </is>
      </c>
      <c r="D9666" s="1" t="n">
        <v>46286</v>
      </c>
      <c r="E9666" s="1" t="n">
        <v>46326</v>
      </c>
      <c r="F9666" t="inlineStr">
        <is>
          <t>GÄVLEBORGS LÄN</t>
        </is>
      </c>
      <c r="G9666" t="inlineStr">
        <is>
          <t>HUDIKSVALL</t>
        </is>
      </c>
      <c r="I9666" t="n">
        <v>1.3</v>
      </c>
      <c r="J9666" t="n">
        <v>0</v>
      </c>
      <c r="K9666" t="n">
        <v>0</v>
      </c>
      <c r="L9666" t="n">
        <v>0</v>
      </c>
      <c r="M9666" t="n">
        <v>0</v>
      </c>
      <c r="N9666" t="n">
        <v>0</v>
      </c>
      <c r="O9666" t="n">
        <v>0</v>
      </c>
      <c r="P9666" t="n">
        <v>0</v>
      </c>
      <c r="Q9666" t="n">
        <v>0</v>
      </c>
      <c r="R9666" t="n">
        <v>0</v>
      </c>
      <c r="S9666" t="n">
        <v>0</v>
      </c>
      <c r="T9666" t="n">
        <v>0</v>
      </c>
      <c r="U9666" t="n">
        <v>0</v>
      </c>
      <c r="V9666" s="2" t="inlineStr"/>
    </row>
    <row r="9667" ht="15" customHeight="1">
      <c r="A9667" t="inlineStr">
        <is>
          <t>A 60839-2023</t>
        </is>
      </c>
      <c r="B9667" t="inlineStr">
        <is>
          <t>avverkningsanmälan</t>
        </is>
      </c>
      <c r="C9667" t="inlineStr">
        <is>
          <t>Föryngringsavverkning</t>
        </is>
      </c>
      <c r="D9667" s="1" t="n">
        <v>45260</v>
      </c>
      <c r="E9667" s="1" t="n">
        <v>46326</v>
      </c>
      <c r="F9667" t="inlineStr">
        <is>
          <t>GÄVLEBORGS LÄN</t>
        </is>
      </c>
      <c r="G9667" t="inlineStr">
        <is>
          <t>NORDANSTIG</t>
        </is>
      </c>
      <c r="I9667" t="n">
        <v>3.7</v>
      </c>
      <c r="J9667" t="n">
        <v>0</v>
      </c>
      <c r="K9667" t="n">
        <v>0</v>
      </c>
      <c r="L9667" t="n">
        <v>0</v>
      </c>
      <c r="M9667" t="n">
        <v>0</v>
      </c>
      <c r="N9667" t="n">
        <v>0</v>
      </c>
      <c r="O9667" t="n">
        <v>0</v>
      </c>
      <c r="P9667" t="n">
        <v>0</v>
      </c>
      <c r="Q9667" t="n">
        <v>0</v>
      </c>
      <c r="R9667" t="n">
        <v>0</v>
      </c>
      <c r="S9667" t="n">
        <v>0</v>
      </c>
      <c r="T9667" t="n">
        <v>0</v>
      </c>
      <c r="U9667" t="n">
        <v>0</v>
      </c>
      <c r="V9667" s="2" t="inlineStr"/>
    </row>
    <row r="9668" ht="15" customHeight="1">
      <c r="A9668" t="inlineStr">
        <is>
          <t>A 26528-2026</t>
        </is>
      </c>
      <c r="B9668" t="inlineStr">
        <is>
          <t>avverkningsanmälan</t>
        </is>
      </c>
      <c r="C9668" t="inlineStr">
        <is>
          <t>Föryngringsavverkning</t>
        </is>
      </c>
      <c r="D9668" s="1" t="n">
        <v>46183</v>
      </c>
      <c r="E9668" s="1" t="n">
        <v>46326</v>
      </c>
      <c r="F9668" t="inlineStr">
        <is>
          <t>GÄVLEBORGS LÄN</t>
        </is>
      </c>
      <c r="G9668" t="inlineStr">
        <is>
          <t>BOLLNÄS</t>
        </is>
      </c>
      <c r="I9668" t="n">
        <v>2</v>
      </c>
      <c r="J9668" t="n">
        <v>0</v>
      </c>
      <c r="K9668" t="n">
        <v>0</v>
      </c>
      <c r="L9668" t="n">
        <v>0</v>
      </c>
      <c r="M9668" t="n">
        <v>0</v>
      </c>
      <c r="N9668" t="n">
        <v>0</v>
      </c>
      <c r="O9668" t="n">
        <v>0</v>
      </c>
      <c r="P9668" t="n">
        <v>0</v>
      </c>
      <c r="Q9668" t="n">
        <v>0</v>
      </c>
      <c r="R9668" t="n">
        <v>0</v>
      </c>
      <c r="S9668" t="n">
        <v>0</v>
      </c>
      <c r="T9668" t="n">
        <v>0</v>
      </c>
      <c r="U9668" t="n">
        <v>0</v>
      </c>
      <c r="V9668" s="2" t="inlineStr"/>
    </row>
    <row r="9669" ht="15" customHeight="1">
      <c r="A9669" t="inlineStr">
        <is>
          <t>A 32888-2026</t>
        </is>
      </c>
      <c r="B9669" t="inlineStr">
        <is>
          <t>avverkningsanmälan</t>
        </is>
      </c>
      <c r="C9669" t="inlineStr">
        <is>
          <t>Föryngringsavverkning</t>
        </is>
      </c>
      <c r="D9669" s="1" t="n">
        <v>46244</v>
      </c>
      <c r="E9669" s="1" t="n">
        <v>46326</v>
      </c>
      <c r="F9669" t="inlineStr">
        <is>
          <t>GÄVLEBORGS LÄN</t>
        </is>
      </c>
      <c r="G9669" t="inlineStr">
        <is>
          <t>GÄVLE</t>
        </is>
      </c>
      <c r="H9669" t="inlineStr">
        <is>
          <t>Bergvik skog öst AB</t>
        </is>
      </c>
      <c r="I9669" t="n">
        <v>2.6</v>
      </c>
      <c r="J9669" t="n">
        <v>0</v>
      </c>
      <c r="K9669" t="n">
        <v>0</v>
      </c>
      <c r="L9669" t="n">
        <v>0</v>
      </c>
      <c r="M9669" t="n">
        <v>0</v>
      </c>
      <c r="N9669" t="n">
        <v>0</v>
      </c>
      <c r="O9669" t="n">
        <v>0</v>
      </c>
      <c r="P9669" t="n">
        <v>0</v>
      </c>
      <c r="Q9669" t="n">
        <v>0</v>
      </c>
      <c r="R9669" t="n">
        <v>0</v>
      </c>
      <c r="S9669" t="n">
        <v>0</v>
      </c>
      <c r="T9669" t="n">
        <v>0</v>
      </c>
      <c r="U9669" t="n">
        <v>0</v>
      </c>
      <c r="V9669" s="2" t="inlineStr"/>
    </row>
    <row r="9670" ht="15" customHeight="1">
      <c r="A9670" t="inlineStr">
        <is>
          <t>A 32917-2026</t>
        </is>
      </c>
      <c r="B9670" t="inlineStr">
        <is>
          <t>avverkningsanmälan</t>
        </is>
      </c>
      <c r="C9670" t="inlineStr">
        <is>
          <t>Föryngringsavverkning</t>
        </is>
      </c>
      <c r="D9670" s="1" t="n">
        <v>46244</v>
      </c>
      <c r="E9670" s="1" t="n">
        <v>46326</v>
      </c>
      <c r="F9670" t="inlineStr">
        <is>
          <t>GÄVLEBORGS LÄN</t>
        </is>
      </c>
      <c r="G9670" t="inlineStr">
        <is>
          <t>NORDANSTIG</t>
        </is>
      </c>
      <c r="I9670" t="n">
        <v>7.4</v>
      </c>
      <c r="J9670" t="n">
        <v>0</v>
      </c>
      <c r="K9670" t="n">
        <v>0</v>
      </c>
      <c r="L9670" t="n">
        <v>0</v>
      </c>
      <c r="M9670" t="n">
        <v>0</v>
      </c>
      <c r="N9670" t="n">
        <v>0</v>
      </c>
      <c r="O9670" t="n">
        <v>0</v>
      </c>
      <c r="P9670" t="n">
        <v>0</v>
      </c>
      <c r="Q9670" t="n">
        <v>0</v>
      </c>
      <c r="R9670" t="n">
        <v>0</v>
      </c>
      <c r="S9670" t="n">
        <v>0</v>
      </c>
      <c r="T9670" t="n">
        <v>0</v>
      </c>
      <c r="U9670" t="n">
        <v>0</v>
      </c>
      <c r="V9670" s="2" t="inlineStr"/>
    </row>
    <row r="9671" ht="15" customHeight="1">
      <c r="A9671" t="inlineStr">
        <is>
          <t>A 19887-2025</t>
        </is>
      </c>
      <c r="B9671" t="inlineStr">
        <is>
          <t>avverkningsanmälan</t>
        </is>
      </c>
      <c r="C9671" t="inlineStr">
        <is>
          <t>Föryngringsavverkning</t>
        </is>
      </c>
      <c r="D9671" s="1" t="n">
        <v>45771</v>
      </c>
      <c r="E9671" s="1" t="n">
        <v>46326</v>
      </c>
      <c r="F9671" t="inlineStr">
        <is>
          <t>GÄVLEBORGS LÄN</t>
        </is>
      </c>
      <c r="G9671" t="inlineStr">
        <is>
          <t>HUDIKSVALL</t>
        </is>
      </c>
      <c r="I9671" t="n">
        <v>1</v>
      </c>
      <c r="J9671" t="n">
        <v>0</v>
      </c>
      <c r="K9671" t="n">
        <v>0</v>
      </c>
      <c r="L9671" t="n">
        <v>0</v>
      </c>
      <c r="M9671" t="n">
        <v>0</v>
      </c>
      <c r="N9671" t="n">
        <v>0</v>
      </c>
      <c r="O9671" t="n">
        <v>0</v>
      </c>
      <c r="P9671" t="n">
        <v>0</v>
      </c>
      <c r="Q9671" t="n">
        <v>0</v>
      </c>
      <c r="R9671" t="n">
        <v>0</v>
      </c>
      <c r="S9671" t="n">
        <v>0</v>
      </c>
      <c r="T9671" t="n">
        <v>0</v>
      </c>
      <c r="U9671" t="n">
        <v>0</v>
      </c>
      <c r="V9671" s="2" t="inlineStr"/>
    </row>
    <row r="9672" ht="15" customHeight="1">
      <c r="A9672" t="inlineStr">
        <is>
          <t>A 32970-2026</t>
        </is>
      </c>
      <c r="B9672" t="inlineStr">
        <is>
          <t>avverkningsanmälan</t>
        </is>
      </c>
      <c r="C9672" t="inlineStr">
        <is>
          <t>Föryngringsavverkning</t>
        </is>
      </c>
      <c r="D9672" s="1" t="n">
        <v>46244</v>
      </c>
      <c r="E9672" s="1" t="n">
        <v>46326</v>
      </c>
      <c r="F9672" t="inlineStr">
        <is>
          <t>GÄVLEBORGS LÄN</t>
        </is>
      </c>
      <c r="G9672" t="inlineStr">
        <is>
          <t>OVANÅKER</t>
        </is>
      </c>
      <c r="I9672" t="n">
        <v>0.8</v>
      </c>
      <c r="J9672" t="n">
        <v>0</v>
      </c>
      <c r="K9672" t="n">
        <v>0</v>
      </c>
      <c r="L9672" t="n">
        <v>0</v>
      </c>
      <c r="M9672" t="n">
        <v>0</v>
      </c>
      <c r="N9672" t="n">
        <v>0</v>
      </c>
      <c r="O9672" t="n">
        <v>0</v>
      </c>
      <c r="P9672" t="n">
        <v>0</v>
      </c>
      <c r="Q9672" t="n">
        <v>0</v>
      </c>
      <c r="R9672" t="n">
        <v>0</v>
      </c>
      <c r="S9672" t="n">
        <v>0</v>
      </c>
      <c r="T9672" t="n">
        <v>0</v>
      </c>
      <c r="U9672" t="n">
        <v>0</v>
      </c>
      <c r="V9672" s="2" t="inlineStr"/>
    </row>
    <row r="9673" ht="15" customHeight="1">
      <c r="A9673" t="inlineStr">
        <is>
          <t>A 19269-2025</t>
        </is>
      </c>
      <c r="B9673" t="inlineStr">
        <is>
          <t>avverkningsanmälan</t>
        </is>
      </c>
      <c r="C9673" t="inlineStr">
        <is>
          <t>Föryngringsavverkning</t>
        </is>
      </c>
      <c r="D9673" s="1" t="n">
        <v>45769</v>
      </c>
      <c r="E9673" s="1" t="n">
        <v>46326</v>
      </c>
      <c r="F9673" t="inlineStr">
        <is>
          <t>GÄVLEBORGS LÄN</t>
        </is>
      </c>
      <c r="G9673" t="inlineStr">
        <is>
          <t>SANDVIKEN</t>
        </is>
      </c>
      <c r="I9673" t="n">
        <v>8</v>
      </c>
      <c r="J9673" t="n">
        <v>0</v>
      </c>
      <c r="K9673" t="n">
        <v>0</v>
      </c>
      <c r="L9673" t="n">
        <v>0</v>
      </c>
      <c r="M9673" t="n">
        <v>0</v>
      </c>
      <c r="N9673" t="n">
        <v>0</v>
      </c>
      <c r="O9673" t="n">
        <v>0</v>
      </c>
      <c r="P9673" t="n">
        <v>0</v>
      </c>
      <c r="Q9673" t="n">
        <v>0</v>
      </c>
      <c r="R9673" t="n">
        <v>0</v>
      </c>
      <c r="S9673" t="n">
        <v>0</v>
      </c>
      <c r="T9673" t="n">
        <v>0</v>
      </c>
      <c r="U9673" t="n">
        <v>0</v>
      </c>
      <c r="V9673" s="2" t="inlineStr"/>
    </row>
    <row r="9674" ht="15" customHeight="1">
      <c r="A9674" t="inlineStr">
        <is>
          <t>A 38815-2026</t>
        </is>
      </c>
      <c r="B9674" t="inlineStr">
        <is>
          <t>avverkningsanmälan</t>
        </is>
      </c>
      <c r="C9674" t="inlineStr">
        <is>
          <t>Föryngringsavverkning</t>
        </is>
      </c>
      <c r="D9674" s="1" t="n">
        <v>46286</v>
      </c>
      <c r="E9674" s="1" t="n">
        <v>46326</v>
      </c>
      <c r="F9674" t="inlineStr">
        <is>
          <t>GÄVLEBORGS LÄN</t>
        </is>
      </c>
      <c r="G9674" t="inlineStr">
        <is>
          <t>HUDIKSVALL</t>
        </is>
      </c>
      <c r="I9674" t="n">
        <v>0.6</v>
      </c>
      <c r="J9674" t="n">
        <v>0</v>
      </c>
      <c r="K9674" t="n">
        <v>0</v>
      </c>
      <c r="L9674" t="n">
        <v>0</v>
      </c>
      <c r="M9674" t="n">
        <v>0</v>
      </c>
      <c r="N9674" t="n">
        <v>0</v>
      </c>
      <c r="O9674" t="n">
        <v>0</v>
      </c>
      <c r="P9674" t="n">
        <v>0</v>
      </c>
      <c r="Q9674" t="n">
        <v>0</v>
      </c>
      <c r="R9674" t="n">
        <v>0</v>
      </c>
      <c r="S9674" t="n">
        <v>0</v>
      </c>
      <c r="T9674" t="n">
        <v>0</v>
      </c>
      <c r="U9674" t="n">
        <v>0</v>
      </c>
      <c r="V9674" s="2" t="inlineStr"/>
    </row>
    <row r="9675" ht="15" customHeight="1">
      <c r="A9675" t="inlineStr">
        <is>
          <t>A 19303-2025</t>
        </is>
      </c>
      <c r="B9675" t="inlineStr">
        <is>
          <t>avverkningsanmälan</t>
        </is>
      </c>
      <c r="C9675" t="inlineStr">
        <is>
          <t>Föryngringsavverkning</t>
        </is>
      </c>
      <c r="D9675" s="1" t="n">
        <v>45769</v>
      </c>
      <c r="E9675" s="1" t="n">
        <v>46326</v>
      </c>
      <c r="F9675" t="inlineStr">
        <is>
          <t>GÄVLEBORGS LÄN</t>
        </is>
      </c>
      <c r="G9675" t="inlineStr">
        <is>
          <t>OVANÅKER</t>
        </is>
      </c>
      <c r="I9675" t="n">
        <v>3</v>
      </c>
      <c r="J9675" t="n">
        <v>0</v>
      </c>
      <c r="K9675" t="n">
        <v>0</v>
      </c>
      <c r="L9675" t="n">
        <v>0</v>
      </c>
      <c r="M9675" t="n">
        <v>0</v>
      </c>
      <c r="N9675" t="n">
        <v>0</v>
      </c>
      <c r="O9675" t="n">
        <v>0</v>
      </c>
      <c r="P9675" t="n">
        <v>0</v>
      </c>
      <c r="Q9675" t="n">
        <v>0</v>
      </c>
      <c r="R9675" t="n">
        <v>0</v>
      </c>
      <c r="S9675" t="n">
        <v>0</v>
      </c>
      <c r="T9675" t="n">
        <v>0</v>
      </c>
      <c r="U9675" t="n">
        <v>0</v>
      </c>
      <c r="V9675" s="2" t="inlineStr"/>
    </row>
    <row r="9676" ht="15" customHeight="1">
      <c r="A9676" t="inlineStr">
        <is>
          <t>A 7129-2025</t>
        </is>
      </c>
      <c r="B9676" t="inlineStr">
        <is>
          <t>avverkningsanmälan</t>
        </is>
      </c>
      <c r="C9676" t="inlineStr">
        <is>
          <t>Föryngringsavverkning</t>
        </is>
      </c>
      <c r="D9676" s="1" t="n">
        <v>45702</v>
      </c>
      <c r="E9676" s="1" t="n">
        <v>46326</v>
      </c>
      <c r="F9676" t="inlineStr">
        <is>
          <t>GÄVLEBORGS LÄN</t>
        </is>
      </c>
      <c r="G9676" t="inlineStr">
        <is>
          <t>BOLLNÄS</t>
        </is>
      </c>
      <c r="I9676" t="n">
        <v>1.7</v>
      </c>
      <c r="J9676" t="n">
        <v>0</v>
      </c>
      <c r="K9676" t="n">
        <v>0</v>
      </c>
      <c r="L9676" t="n">
        <v>0</v>
      </c>
      <c r="M9676" t="n">
        <v>0</v>
      </c>
      <c r="N9676" t="n">
        <v>0</v>
      </c>
      <c r="O9676" t="n">
        <v>0</v>
      </c>
      <c r="P9676" t="n">
        <v>0</v>
      </c>
      <c r="Q9676" t="n">
        <v>0</v>
      </c>
      <c r="R9676" t="n">
        <v>0</v>
      </c>
      <c r="S9676" t="n">
        <v>0</v>
      </c>
      <c r="T9676" t="n">
        <v>0</v>
      </c>
      <c r="U9676" t="n">
        <v>0</v>
      </c>
      <c r="V9676" s="2" t="inlineStr"/>
    </row>
    <row r="9677" ht="15" customHeight="1">
      <c r="A9677" t="inlineStr">
        <is>
          <t>A 32887-2026</t>
        </is>
      </c>
      <c r="B9677" t="inlineStr">
        <is>
          <t>avverkningsanmälan</t>
        </is>
      </c>
      <c r="C9677" t="inlineStr">
        <is>
          <t>Föryngringsavverkning</t>
        </is>
      </c>
      <c r="D9677" s="1" t="n">
        <v>46244</v>
      </c>
      <c r="E9677" s="1" t="n">
        <v>46326</v>
      </c>
      <c r="F9677" t="inlineStr">
        <is>
          <t>GÄVLEBORGS LÄN</t>
        </is>
      </c>
      <c r="G9677" t="inlineStr">
        <is>
          <t>GÄVLE</t>
        </is>
      </c>
      <c r="H9677" t="inlineStr">
        <is>
          <t>Bergvik skog öst AB</t>
        </is>
      </c>
      <c r="I9677" t="n">
        <v>2.7</v>
      </c>
      <c r="J9677" t="n">
        <v>0</v>
      </c>
      <c r="K9677" t="n">
        <v>0</v>
      </c>
      <c r="L9677" t="n">
        <v>0</v>
      </c>
      <c r="M9677" t="n">
        <v>0</v>
      </c>
      <c r="N9677" t="n">
        <v>0</v>
      </c>
      <c r="O9677" t="n">
        <v>0</v>
      </c>
      <c r="P9677" t="n">
        <v>0</v>
      </c>
      <c r="Q9677" t="n">
        <v>0</v>
      </c>
      <c r="R9677" t="n">
        <v>0</v>
      </c>
      <c r="S9677" t="n">
        <v>0</v>
      </c>
      <c r="T9677" t="n">
        <v>0</v>
      </c>
      <c r="U9677" t="n">
        <v>0</v>
      </c>
      <c r="V9677" s="2" t="inlineStr"/>
    </row>
    <row r="9678" ht="15" customHeight="1">
      <c r="A9678" t="inlineStr">
        <is>
          <t>A 67088-2021</t>
        </is>
      </c>
      <c r="B9678" t="inlineStr">
        <is>
          <t>avverkningsanmälan</t>
        </is>
      </c>
      <c r="C9678" t="inlineStr">
        <is>
          <t>Föryngringsavverkning</t>
        </is>
      </c>
      <c r="D9678" s="1" t="n">
        <v>44522</v>
      </c>
      <c r="E9678" s="1" t="n">
        <v>46326</v>
      </c>
      <c r="F9678" t="inlineStr">
        <is>
          <t>GÄVLEBORGS LÄN</t>
        </is>
      </c>
      <c r="G9678" t="inlineStr">
        <is>
          <t>HUDIKSVALL</t>
        </is>
      </c>
      <c r="I9678" t="n">
        <v>2.3</v>
      </c>
      <c r="J9678" t="n">
        <v>0</v>
      </c>
      <c r="K9678" t="n">
        <v>0</v>
      </c>
      <c r="L9678" t="n">
        <v>0</v>
      </c>
      <c r="M9678" t="n">
        <v>0</v>
      </c>
      <c r="N9678" t="n">
        <v>0</v>
      </c>
      <c r="O9678" t="n">
        <v>0</v>
      </c>
      <c r="P9678" t="n">
        <v>0</v>
      </c>
      <c r="Q9678" t="n">
        <v>0</v>
      </c>
      <c r="R9678" t="n">
        <v>0</v>
      </c>
      <c r="S9678" t="n">
        <v>0</v>
      </c>
      <c r="T9678" t="n">
        <v>0</v>
      </c>
      <c r="U9678" t="n">
        <v>0</v>
      </c>
      <c r="V9678" s="2" t="inlineStr"/>
    </row>
    <row r="9679" ht="15" customHeight="1">
      <c r="A9679" t="inlineStr">
        <is>
          <t>A 39249-2024</t>
        </is>
      </c>
      <c r="B9679" t="inlineStr">
        <is>
          <t>avverkningsanmälan</t>
        </is>
      </c>
      <c r="C9679" t="inlineStr">
        <is>
          <t>Föryngringsavverkning</t>
        </is>
      </c>
      <c r="D9679" s="1" t="n">
        <v>45551</v>
      </c>
      <c r="E9679" s="1" t="n">
        <v>46326</v>
      </c>
      <c r="F9679" t="inlineStr">
        <is>
          <t>GÄVLEBORGS LÄN</t>
        </is>
      </c>
      <c r="G9679" t="inlineStr">
        <is>
          <t>OVANÅKER</t>
        </is>
      </c>
      <c r="I9679" t="n">
        <v>0.6</v>
      </c>
      <c r="J9679" t="n">
        <v>0</v>
      </c>
      <c r="K9679" t="n">
        <v>0</v>
      </c>
      <c r="L9679" t="n">
        <v>0</v>
      </c>
      <c r="M9679" t="n">
        <v>0</v>
      </c>
      <c r="N9679" t="n">
        <v>0</v>
      </c>
      <c r="O9679" t="n">
        <v>0</v>
      </c>
      <c r="P9679" t="n">
        <v>0</v>
      </c>
      <c r="Q9679" t="n">
        <v>0</v>
      </c>
      <c r="R9679" t="n">
        <v>0</v>
      </c>
      <c r="S9679" t="n">
        <v>0</v>
      </c>
      <c r="T9679" t="n">
        <v>0</v>
      </c>
      <c r="U9679" t="n">
        <v>0</v>
      </c>
      <c r="V9679" s="2" t="inlineStr"/>
    </row>
    <row r="9680" ht="15" customHeight="1">
      <c r="A9680" t="inlineStr">
        <is>
          <t>A 4559-2025</t>
        </is>
      </c>
      <c r="B9680" t="inlineStr">
        <is>
          <t>avverkningsanmälan</t>
        </is>
      </c>
      <c r="C9680" t="inlineStr">
        <is>
          <t>Föryngringsavverkning</t>
        </is>
      </c>
      <c r="D9680" s="1" t="n">
        <v>45687</v>
      </c>
      <c r="E9680" s="1" t="n">
        <v>46326</v>
      </c>
      <c r="F9680" t="inlineStr">
        <is>
          <t>GÄVLEBORGS LÄN</t>
        </is>
      </c>
      <c r="G9680" t="inlineStr">
        <is>
          <t>NORDANSTIG</t>
        </is>
      </c>
      <c r="I9680" t="n">
        <v>1.2</v>
      </c>
      <c r="J9680" t="n">
        <v>0</v>
      </c>
      <c r="K9680" t="n">
        <v>0</v>
      </c>
      <c r="L9680" t="n">
        <v>0</v>
      </c>
      <c r="M9680" t="n">
        <v>0</v>
      </c>
      <c r="N9680" t="n">
        <v>0</v>
      </c>
      <c r="O9680" t="n">
        <v>0</v>
      </c>
      <c r="P9680" t="n">
        <v>0</v>
      </c>
      <c r="Q9680" t="n">
        <v>0</v>
      </c>
      <c r="R9680" t="n">
        <v>0</v>
      </c>
      <c r="S9680" t="n">
        <v>0</v>
      </c>
      <c r="T9680" t="n">
        <v>0</v>
      </c>
      <c r="U9680" t="n">
        <v>0</v>
      </c>
      <c r="V9680" s="2" t="inlineStr"/>
    </row>
    <row r="9681" ht="15" customHeight="1">
      <c r="A9681" t="inlineStr">
        <is>
          <t>A 55570-2024</t>
        </is>
      </c>
      <c r="B9681" t="inlineStr">
        <is>
          <t>avverkningsanmälan</t>
        </is>
      </c>
      <c r="C9681" t="inlineStr">
        <is>
          <t>Föryngringsavverkning</t>
        </is>
      </c>
      <c r="D9681" s="1" t="n">
        <v>45622</v>
      </c>
      <c r="E9681" s="1" t="n">
        <v>46326</v>
      </c>
      <c r="F9681" t="inlineStr">
        <is>
          <t>GÄVLEBORGS LÄN</t>
        </is>
      </c>
      <c r="G9681" t="inlineStr">
        <is>
          <t>BOLLNÄS</t>
        </is>
      </c>
      <c r="I9681" t="n">
        <v>1.5</v>
      </c>
      <c r="J9681" t="n">
        <v>0</v>
      </c>
      <c r="K9681" t="n">
        <v>0</v>
      </c>
      <c r="L9681" t="n">
        <v>0</v>
      </c>
      <c r="M9681" t="n">
        <v>0</v>
      </c>
      <c r="N9681" t="n">
        <v>0</v>
      </c>
      <c r="O9681" t="n">
        <v>0</v>
      </c>
      <c r="P9681" t="n">
        <v>0</v>
      </c>
      <c r="Q9681" t="n">
        <v>0</v>
      </c>
      <c r="R9681" t="n">
        <v>0</v>
      </c>
      <c r="S9681" t="n">
        <v>0</v>
      </c>
      <c r="T9681" t="n">
        <v>0</v>
      </c>
      <c r="U9681" t="n">
        <v>0</v>
      </c>
      <c r="V9681" s="2" t="inlineStr"/>
    </row>
    <row r="9682" ht="15" customHeight="1">
      <c r="A9682" t="inlineStr">
        <is>
          <t>A 1143-2025</t>
        </is>
      </c>
      <c r="B9682" t="inlineStr">
        <is>
          <t>avverkningsanmälan</t>
        </is>
      </c>
      <c r="C9682" t="inlineStr">
        <is>
          <t>Föryngringsavverkning</t>
        </is>
      </c>
      <c r="D9682" s="1" t="n">
        <v>45666</v>
      </c>
      <c r="E9682" s="1" t="n">
        <v>46326</v>
      </c>
      <c r="F9682" t="inlineStr">
        <is>
          <t>GÄVLEBORGS LÄN</t>
        </is>
      </c>
      <c r="G9682" t="inlineStr">
        <is>
          <t>OCKELBO</t>
        </is>
      </c>
      <c r="I9682" t="n">
        <v>3.5</v>
      </c>
      <c r="J9682" t="n">
        <v>0</v>
      </c>
      <c r="K9682" t="n">
        <v>0</v>
      </c>
      <c r="L9682" t="n">
        <v>0</v>
      </c>
      <c r="M9682" t="n">
        <v>0</v>
      </c>
      <c r="N9682" t="n">
        <v>0</v>
      </c>
      <c r="O9682" t="n">
        <v>0</v>
      </c>
      <c r="P9682" t="n">
        <v>0</v>
      </c>
      <c r="Q9682" t="n">
        <v>0</v>
      </c>
      <c r="R9682" t="n">
        <v>0</v>
      </c>
      <c r="S9682" t="n">
        <v>0</v>
      </c>
      <c r="T9682" t="n">
        <v>0</v>
      </c>
      <c r="U9682" t="n">
        <v>0</v>
      </c>
      <c r="V9682" s="2" t="inlineStr"/>
    </row>
    <row r="9683" ht="15" customHeight="1">
      <c r="A9683" t="inlineStr">
        <is>
          <t>A 62983-2023</t>
        </is>
      </c>
      <c r="B9683" t="inlineStr">
        <is>
          <t>avverkningsanmälan</t>
        </is>
      </c>
      <c r="C9683" t="inlineStr">
        <is>
          <t>Föryngringsavverkning</t>
        </is>
      </c>
      <c r="D9683" s="1" t="n">
        <v>45272</v>
      </c>
      <c r="E9683" s="1" t="n">
        <v>46326</v>
      </c>
      <c r="F9683" t="inlineStr">
        <is>
          <t>GÄVLEBORGS LÄN</t>
        </is>
      </c>
      <c r="G9683" t="inlineStr">
        <is>
          <t>GÄVLE</t>
        </is>
      </c>
      <c r="I9683" t="n">
        <v>1.1</v>
      </c>
      <c r="J9683" t="n">
        <v>0</v>
      </c>
      <c r="K9683" t="n">
        <v>0</v>
      </c>
      <c r="L9683" t="n">
        <v>0</v>
      </c>
      <c r="M9683" t="n">
        <v>0</v>
      </c>
      <c r="N9683" t="n">
        <v>0</v>
      </c>
      <c r="O9683" t="n">
        <v>0</v>
      </c>
      <c r="P9683" t="n">
        <v>0</v>
      </c>
      <c r="Q9683" t="n">
        <v>0</v>
      </c>
      <c r="R9683" t="n">
        <v>0</v>
      </c>
      <c r="S9683" t="n">
        <v>0</v>
      </c>
      <c r="T9683" t="n">
        <v>0</v>
      </c>
      <c r="U9683" t="n">
        <v>0</v>
      </c>
      <c r="V9683" s="2" t="inlineStr"/>
    </row>
    <row r="9684" ht="15" customHeight="1">
      <c r="A9684" t="inlineStr">
        <is>
          <t>A 39155-2026</t>
        </is>
      </c>
      <c r="B9684" t="inlineStr">
        <is>
          <t>avverkningsanmälan</t>
        </is>
      </c>
      <c r="C9684" t="inlineStr">
        <is>
          <t>Föryngringsavverkning</t>
        </is>
      </c>
      <c r="D9684" s="1" t="n">
        <v>46287</v>
      </c>
      <c r="E9684" s="1" t="n">
        <v>46326</v>
      </c>
      <c r="F9684" t="inlineStr">
        <is>
          <t>GÄVLEBORGS LÄN</t>
        </is>
      </c>
      <c r="G9684" t="inlineStr">
        <is>
          <t>SANDVIKEN</t>
        </is>
      </c>
      <c r="I9684" t="n">
        <v>1.7</v>
      </c>
      <c r="J9684" t="n">
        <v>0</v>
      </c>
      <c r="K9684" t="n">
        <v>0</v>
      </c>
      <c r="L9684" t="n">
        <v>0</v>
      </c>
      <c r="M9684" t="n">
        <v>0</v>
      </c>
      <c r="N9684" t="n">
        <v>0</v>
      </c>
      <c r="O9684" t="n">
        <v>0</v>
      </c>
      <c r="P9684" t="n">
        <v>0</v>
      </c>
      <c r="Q9684" t="n">
        <v>0</v>
      </c>
      <c r="R9684" t="n">
        <v>0</v>
      </c>
      <c r="S9684" t="n">
        <v>0</v>
      </c>
      <c r="T9684" t="n">
        <v>0</v>
      </c>
      <c r="U9684" t="n">
        <v>0</v>
      </c>
      <c r="V9684" s="2" t="inlineStr"/>
    </row>
    <row r="9685" ht="15" customHeight="1">
      <c r="A9685" t="inlineStr">
        <is>
          <t>A 14402-2025</t>
        </is>
      </c>
      <c r="B9685" t="inlineStr">
        <is>
          <t>avverkningsanmälan</t>
        </is>
      </c>
      <c r="C9685" t="inlineStr">
        <is>
          <t>Föryngringsavverkning</t>
        </is>
      </c>
      <c r="D9685" s="1" t="n">
        <v>45741</v>
      </c>
      <c r="E9685" s="1" t="n">
        <v>46326</v>
      </c>
      <c r="F9685" t="inlineStr">
        <is>
          <t>GÄVLEBORGS LÄN</t>
        </is>
      </c>
      <c r="G9685" t="inlineStr">
        <is>
          <t>NORDANSTIG</t>
        </is>
      </c>
      <c r="I9685" t="n">
        <v>17.1</v>
      </c>
      <c r="J9685" t="n">
        <v>0</v>
      </c>
      <c r="K9685" t="n">
        <v>0</v>
      </c>
      <c r="L9685" t="n">
        <v>0</v>
      </c>
      <c r="M9685" t="n">
        <v>0</v>
      </c>
      <c r="N9685" t="n">
        <v>0</v>
      </c>
      <c r="O9685" t="n">
        <v>0</v>
      </c>
      <c r="P9685" t="n">
        <v>0</v>
      </c>
      <c r="Q9685" t="n">
        <v>0</v>
      </c>
      <c r="R9685" t="n">
        <v>0</v>
      </c>
      <c r="S9685" t="n">
        <v>0</v>
      </c>
      <c r="T9685" t="n">
        <v>0</v>
      </c>
      <c r="U9685" t="n">
        <v>0</v>
      </c>
      <c r="V9685" s="2" t="inlineStr"/>
    </row>
    <row r="9686" ht="15" customHeight="1">
      <c r="A9686" t="inlineStr">
        <is>
          <t>A 13465-2025</t>
        </is>
      </c>
      <c r="B9686" t="inlineStr">
        <is>
          <t>avverkningsanmälan</t>
        </is>
      </c>
      <c r="C9686" t="inlineStr">
        <is>
          <t>Avverkning för annat ändamål</t>
        </is>
      </c>
      <c r="D9686" s="1" t="n">
        <v>45736</v>
      </c>
      <c r="E9686" s="1" t="n">
        <v>46326</v>
      </c>
      <c r="F9686" t="inlineStr">
        <is>
          <t>GÄVLEBORGS LÄN</t>
        </is>
      </c>
      <c r="G9686" t="inlineStr">
        <is>
          <t>BOLLNÄS</t>
        </is>
      </c>
      <c r="I9686" t="n">
        <v>0.3</v>
      </c>
      <c r="J9686" t="n">
        <v>0</v>
      </c>
      <c r="K9686" t="n">
        <v>0</v>
      </c>
      <c r="L9686" t="n">
        <v>0</v>
      </c>
      <c r="M9686" t="n">
        <v>0</v>
      </c>
      <c r="N9686" t="n">
        <v>0</v>
      </c>
      <c r="O9686" t="n">
        <v>0</v>
      </c>
      <c r="P9686" t="n">
        <v>0</v>
      </c>
      <c r="Q9686" t="n">
        <v>0</v>
      </c>
      <c r="R9686" t="n">
        <v>0</v>
      </c>
      <c r="S9686" t="n">
        <v>0</v>
      </c>
      <c r="T9686" t="n">
        <v>0</v>
      </c>
      <c r="U9686" t="n">
        <v>0</v>
      </c>
      <c r="V9686" s="2" t="inlineStr"/>
    </row>
    <row r="9687" ht="15" customHeight="1">
      <c r="A9687" t="inlineStr">
        <is>
          <t>A 22237-2026</t>
        </is>
      </c>
      <c r="B9687" t="inlineStr">
        <is>
          <t>avverkningsanmälan</t>
        </is>
      </c>
      <c r="C9687" t="inlineStr">
        <is>
          <t>Föryngringsavverkning</t>
        </is>
      </c>
      <c r="D9687" s="1" t="n">
        <v>46154</v>
      </c>
      <c r="E9687" s="1" t="n">
        <v>46326</v>
      </c>
      <c r="F9687" t="inlineStr">
        <is>
          <t>GÄVLEBORGS LÄN</t>
        </is>
      </c>
      <c r="G9687" t="inlineStr">
        <is>
          <t>OVANÅKER</t>
        </is>
      </c>
      <c r="H9687" t="inlineStr">
        <is>
          <t>Bergvik skog väst AB</t>
        </is>
      </c>
      <c r="I9687" t="n">
        <v>1.2</v>
      </c>
      <c r="J9687" t="n">
        <v>0</v>
      </c>
      <c r="K9687" t="n">
        <v>0</v>
      </c>
      <c r="L9687" t="n">
        <v>0</v>
      </c>
      <c r="M9687" t="n">
        <v>0</v>
      </c>
      <c r="N9687" t="n">
        <v>0</v>
      </c>
      <c r="O9687" t="n">
        <v>0</v>
      </c>
      <c r="P9687" t="n">
        <v>0</v>
      </c>
      <c r="Q9687" t="n">
        <v>0</v>
      </c>
      <c r="R9687" t="n">
        <v>0</v>
      </c>
      <c r="S9687" t="n">
        <v>0</v>
      </c>
      <c r="T9687" t="n">
        <v>0</v>
      </c>
      <c r="U9687" t="n">
        <v>0</v>
      </c>
      <c r="V9687" s="2" t="inlineStr"/>
    </row>
    <row r="9688" ht="15" customHeight="1">
      <c r="A9688" t="inlineStr">
        <is>
          <t>A 27322-2026</t>
        </is>
      </c>
      <c r="B9688" t="inlineStr">
        <is>
          <t>avverkningsanmälan</t>
        </is>
      </c>
      <c r="C9688" t="inlineStr">
        <is>
          <t>Föryngringsavverkning</t>
        </is>
      </c>
      <c r="D9688" s="1" t="n">
        <v>46188</v>
      </c>
      <c r="E9688" s="1" t="n">
        <v>46326</v>
      </c>
      <c r="F9688" t="inlineStr">
        <is>
          <t>GÄVLEBORGS LÄN</t>
        </is>
      </c>
      <c r="G9688" t="inlineStr">
        <is>
          <t>BOLLNÄS</t>
        </is>
      </c>
      <c r="I9688" t="n">
        <v>6.4</v>
      </c>
      <c r="J9688" t="n">
        <v>0</v>
      </c>
      <c r="K9688" t="n">
        <v>0</v>
      </c>
      <c r="L9688" t="n">
        <v>0</v>
      </c>
      <c r="M9688" t="n">
        <v>0</v>
      </c>
      <c r="N9688" t="n">
        <v>0</v>
      </c>
      <c r="O9688" t="n">
        <v>0</v>
      </c>
      <c r="P9688" t="n">
        <v>0</v>
      </c>
      <c r="Q9688" t="n">
        <v>0</v>
      </c>
      <c r="R9688" t="n">
        <v>0</v>
      </c>
      <c r="S9688" t="n">
        <v>0</v>
      </c>
      <c r="T9688" t="n">
        <v>0</v>
      </c>
      <c r="U9688" t="n">
        <v>0</v>
      </c>
      <c r="V9688" s="2" t="inlineStr"/>
    </row>
    <row r="9689" ht="15" customHeight="1">
      <c r="A9689" t="inlineStr">
        <is>
          <t>A 204-2026</t>
        </is>
      </c>
      <c r="B9689" t="inlineStr">
        <is>
          <t>avverkningsanmälan</t>
        </is>
      </c>
      <c r="C9689" t="inlineStr">
        <is>
          <t>Föryngringsavverkning</t>
        </is>
      </c>
      <c r="D9689" s="1" t="n">
        <v>46026</v>
      </c>
      <c r="E9689" s="1" t="n">
        <v>46326</v>
      </c>
      <c r="F9689" t="inlineStr">
        <is>
          <t>GÄVLEBORGS LÄN</t>
        </is>
      </c>
      <c r="G9689" t="inlineStr">
        <is>
          <t>SÖDERHAMN</t>
        </is>
      </c>
      <c r="I9689" t="n">
        <v>5.2</v>
      </c>
      <c r="J9689" t="n">
        <v>0</v>
      </c>
      <c r="K9689" t="n">
        <v>0</v>
      </c>
      <c r="L9689" t="n">
        <v>0</v>
      </c>
      <c r="M9689" t="n">
        <v>0</v>
      </c>
      <c r="N9689" t="n">
        <v>0</v>
      </c>
      <c r="O9689" t="n">
        <v>0</v>
      </c>
      <c r="P9689" t="n">
        <v>0</v>
      </c>
      <c r="Q9689" t="n">
        <v>0</v>
      </c>
      <c r="R9689" t="n">
        <v>0</v>
      </c>
      <c r="S9689" t="n">
        <v>0</v>
      </c>
      <c r="T9689" t="n">
        <v>0</v>
      </c>
      <c r="U9689" t="n">
        <v>0</v>
      </c>
      <c r="V9689" s="2" t="inlineStr"/>
    </row>
    <row r="9690" ht="15" customHeight="1">
      <c r="A9690" t="inlineStr">
        <is>
          <t>A 32707-2026</t>
        </is>
      </c>
      <c r="B9690" t="inlineStr">
        <is>
          <t>avverkningsanmälan</t>
        </is>
      </c>
      <c r="C9690" t="inlineStr">
        <is>
          <t>Föryngringsavverkning</t>
        </is>
      </c>
      <c r="D9690" s="1" t="n">
        <v>46241</v>
      </c>
      <c r="E9690" s="1" t="n">
        <v>46326</v>
      </c>
      <c r="F9690" t="inlineStr">
        <is>
          <t>GÄVLEBORGS LÄN</t>
        </is>
      </c>
      <c r="G9690" t="inlineStr">
        <is>
          <t>OVANÅKER</t>
        </is>
      </c>
      <c r="H9690" t="inlineStr">
        <is>
          <t>Bergvik skog väst AB</t>
        </is>
      </c>
      <c r="I9690" t="n">
        <v>2.8</v>
      </c>
      <c r="J9690" t="n">
        <v>0</v>
      </c>
      <c r="K9690" t="n">
        <v>0</v>
      </c>
      <c r="L9690" t="n">
        <v>0</v>
      </c>
      <c r="M9690" t="n">
        <v>0</v>
      </c>
      <c r="N9690" t="n">
        <v>0</v>
      </c>
      <c r="O9690" t="n">
        <v>0</v>
      </c>
      <c r="P9690" t="n">
        <v>0</v>
      </c>
      <c r="Q9690" t="n">
        <v>0</v>
      </c>
      <c r="R9690" t="n">
        <v>0</v>
      </c>
      <c r="S9690" t="n">
        <v>0</v>
      </c>
      <c r="T9690" t="n">
        <v>0</v>
      </c>
      <c r="U9690" t="n">
        <v>0</v>
      </c>
      <c r="V9690" s="2" t="inlineStr"/>
    </row>
    <row r="9691" ht="15" customHeight="1">
      <c r="A9691" t="inlineStr">
        <is>
          <t>A 32711-2026</t>
        </is>
      </c>
      <c r="B9691" t="inlineStr">
        <is>
          <t>avverkningsanmälan</t>
        </is>
      </c>
      <c r="C9691" t="inlineStr">
        <is>
          <t>Föryngringsavverkning</t>
        </is>
      </c>
      <c r="D9691" s="1" t="n">
        <v>46241</v>
      </c>
      <c r="E9691" s="1" t="n">
        <v>46326</v>
      </c>
      <c r="F9691" t="inlineStr">
        <is>
          <t>GÄVLEBORGS LÄN</t>
        </is>
      </c>
      <c r="G9691" t="inlineStr">
        <is>
          <t>OVANÅKER</t>
        </is>
      </c>
      <c r="H9691" t="inlineStr">
        <is>
          <t>Bergvik skog väst AB</t>
        </is>
      </c>
      <c r="I9691" t="n">
        <v>10.9</v>
      </c>
      <c r="J9691" t="n">
        <v>0</v>
      </c>
      <c r="K9691" t="n">
        <v>0</v>
      </c>
      <c r="L9691" t="n">
        <v>0</v>
      </c>
      <c r="M9691" t="n">
        <v>0</v>
      </c>
      <c r="N9691" t="n">
        <v>0</v>
      </c>
      <c r="O9691" t="n">
        <v>0</v>
      </c>
      <c r="P9691" t="n">
        <v>0</v>
      </c>
      <c r="Q9691" t="n">
        <v>0</v>
      </c>
      <c r="R9691" t="n">
        <v>0</v>
      </c>
      <c r="S9691" t="n">
        <v>0</v>
      </c>
      <c r="T9691" t="n">
        <v>0</v>
      </c>
      <c r="U9691" t="n">
        <v>0</v>
      </c>
      <c r="V9691" s="2" t="inlineStr"/>
    </row>
    <row r="9692" ht="15" customHeight="1">
      <c r="A9692" t="inlineStr">
        <is>
          <t>A 5887-2026</t>
        </is>
      </c>
      <c r="B9692" t="inlineStr">
        <is>
          <t>avverkningsanmälan</t>
        </is>
      </c>
      <c r="C9692" t="inlineStr">
        <is>
          <t>Föryngringsavverkning</t>
        </is>
      </c>
      <c r="D9692" s="1" t="n">
        <v>46052</v>
      </c>
      <c r="E9692" s="1" t="n">
        <v>46326</v>
      </c>
      <c r="F9692" t="inlineStr">
        <is>
          <t>GÄVLEBORGS LÄN</t>
        </is>
      </c>
      <c r="G9692" t="inlineStr">
        <is>
          <t>OCKELBO</t>
        </is>
      </c>
      <c r="I9692" t="n">
        <v>3.9</v>
      </c>
      <c r="J9692" t="n">
        <v>0</v>
      </c>
      <c r="K9692" t="n">
        <v>0</v>
      </c>
      <c r="L9692" t="n">
        <v>0</v>
      </c>
      <c r="M9692" t="n">
        <v>0</v>
      </c>
      <c r="N9692" t="n">
        <v>0</v>
      </c>
      <c r="O9692" t="n">
        <v>0</v>
      </c>
      <c r="P9692" t="n">
        <v>0</v>
      </c>
      <c r="Q9692" t="n">
        <v>0</v>
      </c>
      <c r="R9692" t="n">
        <v>0</v>
      </c>
      <c r="S9692" t="n">
        <v>0</v>
      </c>
      <c r="T9692" t="n">
        <v>0</v>
      </c>
      <c r="U9692" t="n">
        <v>0</v>
      </c>
      <c r="V9692" s="2" t="inlineStr"/>
    </row>
    <row r="9693" ht="15" customHeight="1">
      <c r="A9693" t="inlineStr">
        <is>
          <t>A 52626-2022</t>
        </is>
      </c>
      <c r="B9693" t="inlineStr">
        <is>
          <t>avverkningsanmälan</t>
        </is>
      </c>
      <c r="C9693" t="inlineStr">
        <is>
          <t>Föryngringsavverkning</t>
        </is>
      </c>
      <c r="D9693" s="1" t="n">
        <v>44874</v>
      </c>
      <c r="E9693" s="1" t="n">
        <v>46326</v>
      </c>
      <c r="F9693" t="inlineStr">
        <is>
          <t>GÄVLEBORGS LÄN</t>
        </is>
      </c>
      <c r="G9693" t="inlineStr">
        <is>
          <t>LJUSDAL</t>
        </is>
      </c>
      <c r="H9693" t="inlineStr">
        <is>
          <t>Kyrkan</t>
        </is>
      </c>
      <c r="I9693" t="n">
        <v>3.4</v>
      </c>
      <c r="J9693" t="n">
        <v>0</v>
      </c>
      <c r="K9693" t="n">
        <v>0</v>
      </c>
      <c r="L9693" t="n">
        <v>0</v>
      </c>
      <c r="M9693" t="n">
        <v>0</v>
      </c>
      <c r="N9693" t="n">
        <v>0</v>
      </c>
      <c r="O9693" t="n">
        <v>0</v>
      </c>
      <c r="P9693" t="n">
        <v>0</v>
      </c>
      <c r="Q9693" t="n">
        <v>0</v>
      </c>
      <c r="R9693" t="n">
        <v>0</v>
      </c>
      <c r="S9693" t="n">
        <v>0</v>
      </c>
      <c r="T9693" t="n">
        <v>0</v>
      </c>
      <c r="U9693" t="n">
        <v>0</v>
      </c>
      <c r="V9693" s="2" t="inlineStr"/>
    </row>
    <row r="9694" ht="15" customHeight="1">
      <c r="A9694" t="inlineStr">
        <is>
          <t>A 39021-2026</t>
        </is>
      </c>
      <c r="B9694" t="inlineStr">
        <is>
          <t>avverkningsanmälan</t>
        </is>
      </c>
      <c r="C9694" t="inlineStr">
        <is>
          <t>Föryngringsavverkning</t>
        </is>
      </c>
      <c r="D9694" s="1" t="n">
        <v>46287</v>
      </c>
      <c r="E9694" s="1" t="n">
        <v>46326</v>
      </c>
      <c r="F9694" t="inlineStr">
        <is>
          <t>GÄVLEBORGS LÄN</t>
        </is>
      </c>
      <c r="G9694" t="inlineStr">
        <is>
          <t>GÄVLE</t>
        </is>
      </c>
      <c r="H9694" t="inlineStr">
        <is>
          <t>Bergvik skog öst AB</t>
        </is>
      </c>
      <c r="I9694" t="n">
        <v>1.3</v>
      </c>
      <c r="J9694" t="n">
        <v>0</v>
      </c>
      <c r="K9694" t="n">
        <v>0</v>
      </c>
      <c r="L9694" t="n">
        <v>0</v>
      </c>
      <c r="M9694" t="n">
        <v>0</v>
      </c>
      <c r="N9694" t="n">
        <v>0</v>
      </c>
      <c r="O9694" t="n">
        <v>0</v>
      </c>
      <c r="P9694" t="n">
        <v>0</v>
      </c>
      <c r="Q9694" t="n">
        <v>0</v>
      </c>
      <c r="R9694" t="n">
        <v>0</v>
      </c>
      <c r="S9694" t="n">
        <v>0</v>
      </c>
      <c r="T9694" t="n">
        <v>0</v>
      </c>
      <c r="U9694" t="n">
        <v>0</v>
      </c>
      <c r="V9694" s="2" t="inlineStr"/>
    </row>
    <row r="9695" ht="15" customHeight="1">
      <c r="A9695" t="inlineStr">
        <is>
          <t>A 26073-2024</t>
        </is>
      </c>
      <c r="B9695" t="inlineStr">
        <is>
          <t>avverkningsanmälan</t>
        </is>
      </c>
      <c r="C9695" t="inlineStr">
        <is>
          <t>Föryngringsavverkning</t>
        </is>
      </c>
      <c r="D9695" s="1" t="n">
        <v>45468</v>
      </c>
      <c r="E9695" s="1" t="n">
        <v>46326</v>
      </c>
      <c r="F9695" t="inlineStr">
        <is>
          <t>GÄVLEBORGS LÄN</t>
        </is>
      </c>
      <c r="G9695" t="inlineStr">
        <is>
          <t>LJUSDAL</t>
        </is>
      </c>
      <c r="I9695" t="n">
        <v>5.9</v>
      </c>
      <c r="J9695" t="n">
        <v>0</v>
      </c>
      <c r="K9695" t="n">
        <v>0</v>
      </c>
      <c r="L9695" t="n">
        <v>0</v>
      </c>
      <c r="M9695" t="n">
        <v>0</v>
      </c>
      <c r="N9695" t="n">
        <v>0</v>
      </c>
      <c r="O9695" t="n">
        <v>0</v>
      </c>
      <c r="P9695" t="n">
        <v>0</v>
      </c>
      <c r="Q9695" t="n">
        <v>0</v>
      </c>
      <c r="R9695" t="n">
        <v>0</v>
      </c>
      <c r="S9695" t="n">
        <v>0</v>
      </c>
      <c r="T9695" t="n">
        <v>0</v>
      </c>
      <c r="U9695" t="n">
        <v>0</v>
      </c>
      <c r="V9695" s="2" t="inlineStr"/>
    </row>
    <row r="9696" ht="15" customHeight="1">
      <c r="A9696" t="inlineStr">
        <is>
          <t>A 26078-2024</t>
        </is>
      </c>
      <c r="B9696" t="inlineStr">
        <is>
          <t>avverkningsanmälan</t>
        </is>
      </c>
      <c r="C9696" t="inlineStr">
        <is>
          <t>Föryngringsavverkning</t>
        </is>
      </c>
      <c r="D9696" s="1" t="n">
        <v>45468</v>
      </c>
      <c r="E9696" s="1" t="n">
        <v>46326</v>
      </c>
      <c r="F9696" t="inlineStr">
        <is>
          <t>GÄVLEBORGS LÄN</t>
        </is>
      </c>
      <c r="G9696" t="inlineStr">
        <is>
          <t>LJUSDAL</t>
        </is>
      </c>
      <c r="I9696" t="n">
        <v>4</v>
      </c>
      <c r="J9696" t="n">
        <v>0</v>
      </c>
      <c r="K9696" t="n">
        <v>0</v>
      </c>
      <c r="L9696" t="n">
        <v>0</v>
      </c>
      <c r="M9696" t="n">
        <v>0</v>
      </c>
      <c r="N9696" t="n">
        <v>0</v>
      </c>
      <c r="O9696" t="n">
        <v>0</v>
      </c>
      <c r="P9696" t="n">
        <v>0</v>
      </c>
      <c r="Q9696" t="n">
        <v>0</v>
      </c>
      <c r="R9696" t="n">
        <v>0</v>
      </c>
      <c r="S9696" t="n">
        <v>0</v>
      </c>
      <c r="T9696" t="n">
        <v>0</v>
      </c>
      <c r="U9696" t="n">
        <v>0</v>
      </c>
      <c r="V9696" s="2" t="inlineStr"/>
    </row>
    <row r="9697" ht="15" customHeight="1">
      <c r="A9697" t="inlineStr">
        <is>
          <t>A 32991-2026</t>
        </is>
      </c>
      <c r="B9697" t="inlineStr">
        <is>
          <t>avverkningsanmälan</t>
        </is>
      </c>
      <c r="C9697" t="inlineStr">
        <is>
          <t>Avverkning för annat ändamål</t>
        </is>
      </c>
      <c r="D9697" s="1" t="n">
        <v>46244</v>
      </c>
      <c r="E9697" s="1" t="n">
        <v>46326</v>
      </c>
      <c r="F9697" t="inlineStr">
        <is>
          <t>GÄVLEBORGS LÄN</t>
        </is>
      </c>
      <c r="G9697" t="inlineStr">
        <is>
          <t>OVANÅKER</t>
        </is>
      </c>
      <c r="H9697" t="inlineStr">
        <is>
          <t>Bergvik skog väst AB</t>
        </is>
      </c>
      <c r="I9697" t="n">
        <v>1.2</v>
      </c>
      <c r="J9697" t="n">
        <v>0</v>
      </c>
      <c r="K9697" t="n">
        <v>0</v>
      </c>
      <c r="L9697" t="n">
        <v>0</v>
      </c>
      <c r="M9697" t="n">
        <v>0</v>
      </c>
      <c r="N9697" t="n">
        <v>0</v>
      </c>
      <c r="O9697" t="n">
        <v>0</v>
      </c>
      <c r="P9697" t="n">
        <v>0</v>
      </c>
      <c r="Q9697" t="n">
        <v>0</v>
      </c>
      <c r="R9697" t="n">
        <v>0</v>
      </c>
      <c r="S9697" t="n">
        <v>0</v>
      </c>
      <c r="T9697" t="n">
        <v>0</v>
      </c>
      <c r="U9697" t="n">
        <v>0</v>
      </c>
      <c r="V9697" s="2" t="inlineStr"/>
    </row>
    <row r="9698" ht="15" customHeight="1">
      <c r="A9698" t="inlineStr">
        <is>
          <t>A 21805-2024</t>
        </is>
      </c>
      <c r="B9698" t="inlineStr">
        <is>
          <t>avverkningsanmälan</t>
        </is>
      </c>
      <c r="C9698" t="inlineStr">
        <is>
          <t>Föryngringsavverkning</t>
        </is>
      </c>
      <c r="D9698" s="1" t="n">
        <v>45442</v>
      </c>
      <c r="E9698" s="1" t="n">
        <v>46326</v>
      </c>
      <c r="F9698" t="inlineStr">
        <is>
          <t>GÄVLEBORGS LÄN</t>
        </is>
      </c>
      <c r="G9698" t="inlineStr">
        <is>
          <t>HUDIKSVALL</t>
        </is>
      </c>
      <c r="I9698" t="n">
        <v>2.8</v>
      </c>
      <c r="J9698" t="n">
        <v>0</v>
      </c>
      <c r="K9698" t="n">
        <v>0</v>
      </c>
      <c r="L9698" t="n">
        <v>0</v>
      </c>
      <c r="M9698" t="n">
        <v>0</v>
      </c>
      <c r="N9698" t="n">
        <v>0</v>
      </c>
      <c r="O9698" t="n">
        <v>0</v>
      </c>
      <c r="P9698" t="n">
        <v>0</v>
      </c>
      <c r="Q9698" t="n">
        <v>0</v>
      </c>
      <c r="R9698" t="n">
        <v>0</v>
      </c>
      <c r="S9698" t="n">
        <v>0</v>
      </c>
      <c r="T9698" t="n">
        <v>0</v>
      </c>
      <c r="U9698" t="n">
        <v>0</v>
      </c>
      <c r="V9698" s="2" t="inlineStr"/>
    </row>
    <row r="9699" ht="15" customHeight="1">
      <c r="A9699" t="inlineStr">
        <is>
          <t>A 48832-2022</t>
        </is>
      </c>
      <c r="B9699" t="inlineStr">
        <is>
          <t>avverkningsanmälan</t>
        </is>
      </c>
      <c r="C9699" t="inlineStr">
        <is>
          <t>Föryngringsavverkning</t>
        </is>
      </c>
      <c r="D9699" s="1" t="n">
        <v>44859</v>
      </c>
      <c r="E9699" s="1" t="n">
        <v>46326</v>
      </c>
      <c r="F9699" t="inlineStr">
        <is>
          <t>GÄVLEBORGS LÄN</t>
        </is>
      </c>
      <c r="G9699" t="inlineStr">
        <is>
          <t>NORDANSTIG</t>
        </is>
      </c>
      <c r="I9699" t="n">
        <v>1.9</v>
      </c>
      <c r="J9699" t="n">
        <v>0</v>
      </c>
      <c r="K9699" t="n">
        <v>0</v>
      </c>
      <c r="L9699" t="n">
        <v>0</v>
      </c>
      <c r="M9699" t="n">
        <v>0</v>
      </c>
      <c r="N9699" t="n">
        <v>0</v>
      </c>
      <c r="O9699" t="n">
        <v>0</v>
      </c>
      <c r="P9699" t="n">
        <v>0</v>
      </c>
      <c r="Q9699" t="n">
        <v>0</v>
      </c>
      <c r="R9699" t="n">
        <v>0</v>
      </c>
      <c r="S9699" t="n">
        <v>0</v>
      </c>
      <c r="T9699" t="n">
        <v>0</v>
      </c>
      <c r="U9699" t="n">
        <v>0</v>
      </c>
      <c r="V9699" s="2" t="inlineStr"/>
    </row>
    <row r="9700" ht="15" customHeight="1">
      <c r="A9700" t="inlineStr">
        <is>
          <t>A 33901-2024</t>
        </is>
      </c>
      <c r="B9700" t="inlineStr">
        <is>
          <t>avverkningsanmälan</t>
        </is>
      </c>
      <c r="C9700" t="inlineStr">
        <is>
          <t>Föryngringsavverkning</t>
        </is>
      </c>
      <c r="D9700" s="1" t="n">
        <v>45523</v>
      </c>
      <c r="E9700" s="1" t="n">
        <v>46326</v>
      </c>
      <c r="F9700" t="inlineStr">
        <is>
          <t>GÄVLEBORGS LÄN</t>
        </is>
      </c>
      <c r="G9700" t="inlineStr">
        <is>
          <t>GÄVLE</t>
        </is>
      </c>
      <c r="I9700" t="n">
        <v>1</v>
      </c>
      <c r="J9700" t="n">
        <v>0</v>
      </c>
      <c r="K9700" t="n">
        <v>0</v>
      </c>
      <c r="L9700" t="n">
        <v>0</v>
      </c>
      <c r="M9700" t="n">
        <v>0</v>
      </c>
      <c r="N9700" t="n">
        <v>0</v>
      </c>
      <c r="O9700" t="n">
        <v>0</v>
      </c>
      <c r="P9700" t="n">
        <v>0</v>
      </c>
      <c r="Q9700" t="n">
        <v>0</v>
      </c>
      <c r="R9700" t="n">
        <v>0</v>
      </c>
      <c r="S9700" t="n">
        <v>0</v>
      </c>
      <c r="T9700" t="n">
        <v>0</v>
      </c>
      <c r="U9700" t="n">
        <v>0</v>
      </c>
      <c r="V9700" s="2" t="inlineStr"/>
    </row>
    <row r="9701" ht="15" customHeight="1">
      <c r="A9701" t="inlineStr">
        <is>
          <t>A 18854-2025</t>
        </is>
      </c>
      <c r="B9701" t="inlineStr">
        <is>
          <t>avverkningsanmälan</t>
        </is>
      </c>
      <c r="C9701" t="inlineStr">
        <is>
          <t>Föryngringsavverkning</t>
        </is>
      </c>
      <c r="D9701" s="1" t="n">
        <v>45764</v>
      </c>
      <c r="E9701" s="1" t="n">
        <v>46326</v>
      </c>
      <c r="F9701" t="inlineStr">
        <is>
          <t>GÄVLEBORGS LÄN</t>
        </is>
      </c>
      <c r="G9701" t="inlineStr">
        <is>
          <t>LJUSDAL</t>
        </is>
      </c>
      <c r="H9701" t="inlineStr">
        <is>
          <t>Sveaskog</t>
        </is>
      </c>
      <c r="I9701" t="n">
        <v>6.5</v>
      </c>
      <c r="J9701" t="n">
        <v>0</v>
      </c>
      <c r="K9701" t="n">
        <v>0</v>
      </c>
      <c r="L9701" t="n">
        <v>0</v>
      </c>
      <c r="M9701" t="n">
        <v>0</v>
      </c>
      <c r="N9701" t="n">
        <v>0</v>
      </c>
      <c r="O9701" t="n">
        <v>0</v>
      </c>
      <c r="P9701" t="n">
        <v>0</v>
      </c>
      <c r="Q9701" t="n">
        <v>0</v>
      </c>
      <c r="R9701" t="n">
        <v>0</v>
      </c>
      <c r="S9701" t="n">
        <v>0</v>
      </c>
      <c r="T9701" t="n">
        <v>0</v>
      </c>
      <c r="U9701" t="n">
        <v>0</v>
      </c>
      <c r="V9701" s="2" t="inlineStr"/>
    </row>
    <row r="9702" ht="15" customHeight="1">
      <c r="A9702" t="inlineStr">
        <is>
          <t>A 38908-2026</t>
        </is>
      </c>
      <c r="B9702" t="inlineStr">
        <is>
          <t>avverkningsanmälan</t>
        </is>
      </c>
      <c r="C9702" t="inlineStr">
        <is>
          <t>Föryngringsavverkning</t>
        </is>
      </c>
      <c r="D9702" s="1" t="n">
        <v>46286</v>
      </c>
      <c r="E9702" s="1" t="n">
        <v>46326</v>
      </c>
      <c r="F9702" t="inlineStr">
        <is>
          <t>GÄVLEBORGS LÄN</t>
        </is>
      </c>
      <c r="G9702" t="inlineStr">
        <is>
          <t>OVANÅKER</t>
        </is>
      </c>
      <c r="H9702" t="inlineStr">
        <is>
          <t>Bergvik skog väst AB</t>
        </is>
      </c>
      <c r="I9702" t="n">
        <v>0.8</v>
      </c>
      <c r="J9702" t="n">
        <v>0</v>
      </c>
      <c r="K9702" t="n">
        <v>0</v>
      </c>
      <c r="L9702" t="n">
        <v>0</v>
      </c>
      <c r="M9702" t="n">
        <v>0</v>
      </c>
      <c r="N9702" t="n">
        <v>0</v>
      </c>
      <c r="O9702" t="n">
        <v>0</v>
      </c>
      <c r="P9702" t="n">
        <v>0</v>
      </c>
      <c r="Q9702" t="n">
        <v>0</v>
      </c>
      <c r="R9702" t="n">
        <v>0</v>
      </c>
      <c r="S9702" t="n">
        <v>0</v>
      </c>
      <c r="T9702" t="n">
        <v>0</v>
      </c>
      <c r="U9702" t="n">
        <v>0</v>
      </c>
      <c r="V9702" s="2" t="inlineStr"/>
    </row>
    <row r="9703" ht="15" customHeight="1">
      <c r="A9703" t="inlineStr">
        <is>
          <t>A 18909-2025</t>
        </is>
      </c>
      <c r="B9703" t="inlineStr">
        <is>
          <t>avverkningsanmälan</t>
        </is>
      </c>
      <c r="C9703" t="inlineStr">
        <is>
          <t>Föryngringsavverkning</t>
        </is>
      </c>
      <c r="D9703" s="1" t="n">
        <v>45764</v>
      </c>
      <c r="E9703" s="1" t="n">
        <v>46326</v>
      </c>
      <c r="F9703" t="inlineStr">
        <is>
          <t>GÄVLEBORGS LÄN</t>
        </is>
      </c>
      <c r="G9703" t="inlineStr">
        <is>
          <t>SÖDERHAMN</t>
        </is>
      </c>
      <c r="H9703" t="inlineStr">
        <is>
          <t>Kommuner</t>
        </is>
      </c>
      <c r="I9703" t="n">
        <v>4.1</v>
      </c>
      <c r="J9703" t="n">
        <v>0</v>
      </c>
      <c r="K9703" t="n">
        <v>0</v>
      </c>
      <c r="L9703" t="n">
        <v>0</v>
      </c>
      <c r="M9703" t="n">
        <v>0</v>
      </c>
      <c r="N9703" t="n">
        <v>0</v>
      </c>
      <c r="O9703" t="n">
        <v>0</v>
      </c>
      <c r="P9703" t="n">
        <v>0</v>
      </c>
      <c r="Q9703" t="n">
        <v>0</v>
      </c>
      <c r="R9703" t="n">
        <v>0</v>
      </c>
      <c r="S9703" t="n">
        <v>0</v>
      </c>
      <c r="T9703" t="n">
        <v>0</v>
      </c>
      <c r="U9703" t="n">
        <v>0</v>
      </c>
      <c r="V9703" s="2" t="inlineStr"/>
    </row>
    <row r="9704" ht="15" customHeight="1">
      <c r="A9704" t="inlineStr">
        <is>
          <t>A 61750-2023</t>
        </is>
      </c>
      <c r="B9704" t="inlineStr">
        <is>
          <t>avverkningsanmälan</t>
        </is>
      </c>
      <c r="C9704" t="inlineStr">
        <is>
          <t>Föryngringsavverkning</t>
        </is>
      </c>
      <c r="D9704" s="1" t="n">
        <v>45265</v>
      </c>
      <c r="E9704" s="1" t="n">
        <v>46326</v>
      </c>
      <c r="F9704" t="inlineStr">
        <is>
          <t>GÄVLEBORGS LÄN</t>
        </is>
      </c>
      <c r="G9704" t="inlineStr">
        <is>
          <t>OCKELBO</t>
        </is>
      </c>
      <c r="I9704" t="n">
        <v>11.2</v>
      </c>
      <c r="J9704" t="n">
        <v>0</v>
      </c>
      <c r="K9704" t="n">
        <v>0</v>
      </c>
      <c r="L9704" t="n">
        <v>0</v>
      </c>
      <c r="M9704" t="n">
        <v>0</v>
      </c>
      <c r="N9704" t="n">
        <v>0</v>
      </c>
      <c r="O9704" t="n">
        <v>0</v>
      </c>
      <c r="P9704" t="n">
        <v>0</v>
      </c>
      <c r="Q9704" t="n">
        <v>0</v>
      </c>
      <c r="R9704" t="n">
        <v>0</v>
      </c>
      <c r="S9704" t="n">
        <v>0</v>
      </c>
      <c r="T9704" t="n">
        <v>0</v>
      </c>
      <c r="U9704" t="n">
        <v>0</v>
      </c>
      <c r="V9704" s="2" t="inlineStr"/>
    </row>
    <row r="9705" ht="15" customHeight="1">
      <c r="A9705" t="inlineStr">
        <is>
          <t>A 32875-2026</t>
        </is>
      </c>
      <c r="B9705" t="inlineStr">
        <is>
          <t>avverkningsanmälan</t>
        </is>
      </c>
      <c r="C9705" t="inlineStr">
        <is>
          <t>Föryngringsavverkning</t>
        </is>
      </c>
      <c r="D9705" s="1" t="n">
        <v>46244</v>
      </c>
      <c r="E9705" s="1" t="n">
        <v>46326</v>
      </c>
      <c r="F9705" t="inlineStr">
        <is>
          <t>GÄVLEBORGS LÄN</t>
        </is>
      </c>
      <c r="G9705" t="inlineStr">
        <is>
          <t>SANDVIKEN</t>
        </is>
      </c>
      <c r="H9705" t="inlineStr">
        <is>
          <t>Kommuner</t>
        </is>
      </c>
      <c r="I9705" t="n">
        <v>1.4</v>
      </c>
      <c r="J9705" t="n">
        <v>0</v>
      </c>
      <c r="K9705" t="n">
        <v>0</v>
      </c>
      <c r="L9705" t="n">
        <v>0</v>
      </c>
      <c r="M9705" t="n">
        <v>0</v>
      </c>
      <c r="N9705" t="n">
        <v>0</v>
      </c>
      <c r="O9705" t="n">
        <v>0</v>
      </c>
      <c r="P9705" t="n">
        <v>0</v>
      </c>
      <c r="Q9705" t="n">
        <v>0</v>
      </c>
      <c r="R9705" t="n">
        <v>0</v>
      </c>
      <c r="S9705" t="n">
        <v>0</v>
      </c>
      <c r="T9705" t="n">
        <v>0</v>
      </c>
      <c r="U9705" t="n">
        <v>0</v>
      </c>
      <c r="V9705" s="2" t="inlineStr"/>
    </row>
    <row r="9706" ht="15" customHeight="1">
      <c r="A9706" t="inlineStr">
        <is>
          <t>A 16919-2025</t>
        </is>
      </c>
      <c r="B9706" t="inlineStr">
        <is>
          <t>avverkningsanmälan</t>
        </is>
      </c>
      <c r="C9706" t="inlineStr">
        <is>
          <t>Föryngringsavverkning</t>
        </is>
      </c>
      <c r="D9706" s="1" t="n">
        <v>45755</v>
      </c>
      <c r="E9706" s="1" t="n">
        <v>46326</v>
      </c>
      <c r="F9706" t="inlineStr">
        <is>
          <t>GÄVLEBORGS LÄN</t>
        </is>
      </c>
      <c r="G9706" t="inlineStr">
        <is>
          <t>BOLLNÄS</t>
        </is>
      </c>
      <c r="I9706" t="n">
        <v>0.9</v>
      </c>
      <c r="J9706" t="n">
        <v>0</v>
      </c>
      <c r="K9706" t="n">
        <v>0</v>
      </c>
      <c r="L9706" t="n">
        <v>0</v>
      </c>
      <c r="M9706" t="n">
        <v>0</v>
      </c>
      <c r="N9706" t="n">
        <v>0</v>
      </c>
      <c r="O9706" t="n">
        <v>0</v>
      </c>
      <c r="P9706" t="n">
        <v>0</v>
      </c>
      <c r="Q9706" t="n">
        <v>0</v>
      </c>
      <c r="R9706" t="n">
        <v>0</v>
      </c>
      <c r="S9706" t="n">
        <v>0</v>
      </c>
      <c r="T9706" t="n">
        <v>0</v>
      </c>
      <c r="U9706" t="n">
        <v>0</v>
      </c>
      <c r="V9706" s="2" t="inlineStr"/>
    </row>
    <row r="9707" ht="15" customHeight="1">
      <c r="A9707" t="inlineStr">
        <is>
          <t>A 16962-2025</t>
        </is>
      </c>
      <c r="B9707" t="inlineStr">
        <is>
          <t>avverkningsanmälan</t>
        </is>
      </c>
      <c r="C9707" t="inlineStr">
        <is>
          <t>Föryngringsavverkning</t>
        </is>
      </c>
      <c r="D9707" s="1" t="n">
        <v>45755</v>
      </c>
      <c r="E9707" s="1" t="n">
        <v>46326</v>
      </c>
      <c r="F9707" t="inlineStr">
        <is>
          <t>GÄVLEBORGS LÄN</t>
        </is>
      </c>
      <c r="G9707" t="inlineStr">
        <is>
          <t>LJUSDAL</t>
        </is>
      </c>
      <c r="H9707" t="inlineStr">
        <is>
          <t>Bergvik skog väst AB</t>
        </is>
      </c>
      <c r="I9707" t="n">
        <v>2</v>
      </c>
      <c r="J9707" t="n">
        <v>0</v>
      </c>
      <c r="K9707" t="n">
        <v>0</v>
      </c>
      <c r="L9707" t="n">
        <v>0</v>
      </c>
      <c r="M9707" t="n">
        <v>0</v>
      </c>
      <c r="N9707" t="n">
        <v>0</v>
      </c>
      <c r="O9707" t="n">
        <v>0</v>
      </c>
      <c r="P9707" t="n">
        <v>0</v>
      </c>
      <c r="Q9707" t="n">
        <v>0</v>
      </c>
      <c r="R9707" t="n">
        <v>0</v>
      </c>
      <c r="S9707" t="n">
        <v>0</v>
      </c>
      <c r="T9707" t="n">
        <v>0</v>
      </c>
      <c r="U9707" t="n">
        <v>0</v>
      </c>
      <c r="V9707" s="2" t="inlineStr"/>
    </row>
    <row r="9708" ht="15" customHeight="1">
      <c r="A9708" t="inlineStr">
        <is>
          <t>A 38895-2026</t>
        </is>
      </c>
      <c r="B9708" t="inlineStr">
        <is>
          <t>avverkningsanmälan</t>
        </is>
      </c>
      <c r="C9708" t="inlineStr">
        <is>
          <t>Föryngringsavverkning</t>
        </is>
      </c>
      <c r="D9708" s="1" t="n">
        <v>46286</v>
      </c>
      <c r="E9708" s="1" t="n">
        <v>46326</v>
      </c>
      <c r="F9708" t="inlineStr">
        <is>
          <t>GÄVLEBORGS LÄN</t>
        </is>
      </c>
      <c r="G9708" t="inlineStr">
        <is>
          <t>BOLLNÄS</t>
        </is>
      </c>
      <c r="I9708" t="n">
        <v>0.7</v>
      </c>
      <c r="J9708" t="n">
        <v>0</v>
      </c>
      <c r="K9708" t="n">
        <v>0</v>
      </c>
      <c r="L9708" t="n">
        <v>0</v>
      </c>
      <c r="M9708" t="n">
        <v>0</v>
      </c>
      <c r="N9708" t="n">
        <v>0</v>
      </c>
      <c r="O9708" t="n">
        <v>0</v>
      </c>
      <c r="P9708" t="n">
        <v>0</v>
      </c>
      <c r="Q9708" t="n">
        <v>0</v>
      </c>
      <c r="R9708" t="n">
        <v>0</v>
      </c>
      <c r="S9708" t="n">
        <v>0</v>
      </c>
      <c r="T9708" t="n">
        <v>0</v>
      </c>
      <c r="U9708" t="n">
        <v>0</v>
      </c>
      <c r="V9708" s="2" t="inlineStr"/>
    </row>
    <row r="9709" ht="15" customHeight="1">
      <c r="A9709" t="inlineStr">
        <is>
          <t>A 19894-2025</t>
        </is>
      </c>
      <c r="B9709" t="inlineStr">
        <is>
          <t>avverkningsanmälan</t>
        </is>
      </c>
      <c r="C9709" t="inlineStr">
        <is>
          <t>Föryngringsavverkning</t>
        </is>
      </c>
      <c r="D9709" s="1" t="n">
        <v>45771</v>
      </c>
      <c r="E9709" s="1" t="n">
        <v>46326</v>
      </c>
      <c r="F9709" t="inlineStr">
        <is>
          <t>GÄVLEBORGS LÄN</t>
        </is>
      </c>
      <c r="G9709" t="inlineStr">
        <is>
          <t>HUDIKSVALL</t>
        </is>
      </c>
      <c r="I9709" t="n">
        <v>1.4</v>
      </c>
      <c r="J9709" t="n">
        <v>0</v>
      </c>
      <c r="K9709" t="n">
        <v>0</v>
      </c>
      <c r="L9709" t="n">
        <v>0</v>
      </c>
      <c r="M9709" t="n">
        <v>0</v>
      </c>
      <c r="N9709" t="n">
        <v>0</v>
      </c>
      <c r="O9709" t="n">
        <v>0</v>
      </c>
      <c r="P9709" t="n">
        <v>0</v>
      </c>
      <c r="Q9709" t="n">
        <v>0</v>
      </c>
      <c r="R9709" t="n">
        <v>0</v>
      </c>
      <c r="S9709" t="n">
        <v>0</v>
      </c>
      <c r="T9709" t="n">
        <v>0</v>
      </c>
      <c r="U9709" t="n">
        <v>0</v>
      </c>
      <c r="V9709" s="2" t="inlineStr"/>
    </row>
    <row r="9710" ht="15" customHeight="1">
      <c r="A9710" t="inlineStr">
        <is>
          <t>A 32938-2026</t>
        </is>
      </c>
      <c r="B9710" t="inlineStr">
        <is>
          <t>avverkningsanmälan</t>
        </is>
      </c>
      <c r="C9710" t="inlineStr">
        <is>
          <t>Föryngringsavverkning</t>
        </is>
      </c>
      <c r="D9710" s="1" t="n">
        <v>46244</v>
      </c>
      <c r="E9710" s="1" t="n">
        <v>46326</v>
      </c>
      <c r="F9710" t="inlineStr">
        <is>
          <t>GÄVLEBORGS LÄN</t>
        </is>
      </c>
      <c r="G9710" t="inlineStr">
        <is>
          <t>NORDANSTIG</t>
        </is>
      </c>
      <c r="I9710" t="n">
        <v>4.1</v>
      </c>
      <c r="J9710" t="n">
        <v>0</v>
      </c>
      <c r="K9710" t="n">
        <v>0</v>
      </c>
      <c r="L9710" t="n">
        <v>0</v>
      </c>
      <c r="M9710" t="n">
        <v>0</v>
      </c>
      <c r="N9710" t="n">
        <v>0</v>
      </c>
      <c r="O9710" t="n">
        <v>0</v>
      </c>
      <c r="P9710" t="n">
        <v>0</v>
      </c>
      <c r="Q9710" t="n">
        <v>0</v>
      </c>
      <c r="R9710" t="n">
        <v>0</v>
      </c>
      <c r="S9710" t="n">
        <v>0</v>
      </c>
      <c r="T9710" t="n">
        <v>0</v>
      </c>
      <c r="U9710" t="n">
        <v>0</v>
      </c>
      <c r="V9710" s="2" t="inlineStr"/>
    </row>
    <row r="9711" ht="15" customHeight="1">
      <c r="A9711" t="inlineStr">
        <is>
          <t>A 33985-2023</t>
        </is>
      </c>
      <c r="B9711" t="inlineStr">
        <is>
          <t>avverkningsanmälan</t>
        </is>
      </c>
      <c r="C9711" t="inlineStr">
        <is>
          <t>Föryngringsavverkning</t>
        </is>
      </c>
      <c r="D9711" s="1" t="n">
        <v>45134</v>
      </c>
      <c r="E9711" s="1" t="n">
        <v>46326</v>
      </c>
      <c r="F9711" t="inlineStr">
        <is>
          <t>GÄVLEBORGS LÄN</t>
        </is>
      </c>
      <c r="G9711" t="inlineStr">
        <is>
          <t>OCKELBO</t>
        </is>
      </c>
      <c r="H9711" t="inlineStr">
        <is>
          <t>Bergvik skog väst AB</t>
        </is>
      </c>
      <c r="I9711" t="n">
        <v>4</v>
      </c>
      <c r="J9711" t="n">
        <v>0</v>
      </c>
      <c r="K9711" t="n">
        <v>0</v>
      </c>
      <c r="L9711" t="n">
        <v>0</v>
      </c>
      <c r="M9711" t="n">
        <v>0</v>
      </c>
      <c r="N9711" t="n">
        <v>0</v>
      </c>
      <c r="O9711" t="n">
        <v>0</v>
      </c>
      <c r="P9711" t="n">
        <v>0</v>
      </c>
      <c r="Q9711" t="n">
        <v>0</v>
      </c>
      <c r="R9711" t="n">
        <v>0</v>
      </c>
      <c r="S9711" t="n">
        <v>0</v>
      </c>
      <c r="T9711" t="n">
        <v>0</v>
      </c>
      <c r="U9711" t="n">
        <v>0</v>
      </c>
      <c r="V9711" s="2" t="inlineStr"/>
    </row>
    <row r="9712" ht="15" customHeight="1">
      <c r="A9712" t="inlineStr">
        <is>
          <t>A 38332-2024</t>
        </is>
      </c>
      <c r="B9712" t="inlineStr">
        <is>
          <t>avverkningsanmälan</t>
        </is>
      </c>
      <c r="C9712" t="inlineStr">
        <is>
          <t>Föryngringsavverkning</t>
        </is>
      </c>
      <c r="D9712" s="1" t="n">
        <v>45545</v>
      </c>
      <c r="E9712" s="1" t="n">
        <v>46326</v>
      </c>
      <c r="F9712" t="inlineStr">
        <is>
          <t>GÄVLEBORGS LÄN</t>
        </is>
      </c>
      <c r="G9712" t="inlineStr">
        <is>
          <t>NORDANSTIG</t>
        </is>
      </c>
      <c r="I9712" t="n">
        <v>11.5</v>
      </c>
      <c r="J9712" t="n">
        <v>0</v>
      </c>
      <c r="K9712" t="n">
        <v>0</v>
      </c>
      <c r="L9712" t="n">
        <v>0</v>
      </c>
      <c r="M9712" t="n">
        <v>0</v>
      </c>
      <c r="N9712" t="n">
        <v>0</v>
      </c>
      <c r="O9712" t="n">
        <v>0</v>
      </c>
      <c r="P9712" t="n">
        <v>0</v>
      </c>
      <c r="Q9712" t="n">
        <v>0</v>
      </c>
      <c r="R9712" t="n">
        <v>0</v>
      </c>
      <c r="S9712" t="n">
        <v>0</v>
      </c>
      <c r="T9712" t="n">
        <v>0</v>
      </c>
      <c r="U9712" t="n">
        <v>0</v>
      </c>
      <c r="V9712" s="2" t="inlineStr"/>
    </row>
    <row r="9713" ht="15" customHeight="1">
      <c r="A9713" t="inlineStr">
        <is>
          <t>A 30928-2023</t>
        </is>
      </c>
      <c r="B9713" t="inlineStr">
        <is>
          <t>avverkningsanmälan</t>
        </is>
      </c>
      <c r="C9713" t="inlineStr">
        <is>
          <t>Föryngringsavverkning</t>
        </is>
      </c>
      <c r="D9713" s="1" t="n">
        <v>45113</v>
      </c>
      <c r="E9713" s="1" t="n">
        <v>46326</v>
      </c>
      <c r="F9713" t="inlineStr">
        <is>
          <t>GÄVLEBORGS LÄN</t>
        </is>
      </c>
      <c r="G9713" t="inlineStr">
        <is>
          <t>SÖDERHAMN</t>
        </is>
      </c>
      <c r="I9713" t="n">
        <v>2.4</v>
      </c>
      <c r="J9713" t="n">
        <v>0</v>
      </c>
      <c r="K9713" t="n">
        <v>0</v>
      </c>
      <c r="L9713" t="n">
        <v>0</v>
      </c>
      <c r="M9713" t="n">
        <v>0</v>
      </c>
      <c r="N9713" t="n">
        <v>0</v>
      </c>
      <c r="O9713" t="n">
        <v>0</v>
      </c>
      <c r="P9713" t="n">
        <v>0</v>
      </c>
      <c r="Q9713" t="n">
        <v>0</v>
      </c>
      <c r="R9713" t="n">
        <v>0</v>
      </c>
      <c r="S9713" t="n">
        <v>0</v>
      </c>
      <c r="T9713" t="n">
        <v>0</v>
      </c>
      <c r="U9713" t="n">
        <v>0</v>
      </c>
      <c r="V9713" s="2" t="inlineStr"/>
    </row>
    <row r="9714" ht="15" customHeight="1">
      <c r="A9714" t="inlineStr">
        <is>
          <t>A 51880-2024</t>
        </is>
      </c>
      <c r="B9714" t="inlineStr">
        <is>
          <t>avverkningsanmälan</t>
        </is>
      </c>
      <c r="C9714" t="inlineStr">
        <is>
          <t>Föryngringsavverkning</t>
        </is>
      </c>
      <c r="D9714" s="1" t="n">
        <v>45607</v>
      </c>
      <c r="E9714" s="1" t="n">
        <v>46326</v>
      </c>
      <c r="F9714" t="inlineStr">
        <is>
          <t>GÄVLEBORGS LÄN</t>
        </is>
      </c>
      <c r="G9714" t="inlineStr">
        <is>
          <t>LJUSDAL</t>
        </is>
      </c>
      <c r="I9714" t="n">
        <v>0.9</v>
      </c>
      <c r="J9714" t="n">
        <v>0</v>
      </c>
      <c r="K9714" t="n">
        <v>0</v>
      </c>
      <c r="L9714" t="n">
        <v>0</v>
      </c>
      <c r="M9714" t="n">
        <v>0</v>
      </c>
      <c r="N9714" t="n">
        <v>0</v>
      </c>
      <c r="O9714" t="n">
        <v>0</v>
      </c>
      <c r="P9714" t="n">
        <v>0</v>
      </c>
      <c r="Q9714" t="n">
        <v>0</v>
      </c>
      <c r="R9714" t="n">
        <v>0</v>
      </c>
      <c r="S9714" t="n">
        <v>0</v>
      </c>
      <c r="T9714" t="n">
        <v>0</v>
      </c>
      <c r="U9714" t="n">
        <v>0</v>
      </c>
      <c r="V9714" s="2" t="inlineStr"/>
    </row>
    <row r="9715" ht="15" customHeight="1">
      <c r="A9715" t="inlineStr">
        <is>
          <t>A 30906-2024</t>
        </is>
      </c>
      <c r="B9715" t="inlineStr">
        <is>
          <t>avverkningsanmälan</t>
        </is>
      </c>
      <c r="C9715" t="inlineStr">
        <is>
          <t>Föryngringsavverkning</t>
        </is>
      </c>
      <c r="D9715" s="1" t="n">
        <v>45498</v>
      </c>
      <c r="E9715" s="1" t="n">
        <v>46326</v>
      </c>
      <c r="F9715" t="inlineStr">
        <is>
          <t>GÄVLEBORGS LÄN</t>
        </is>
      </c>
      <c r="G9715" t="inlineStr">
        <is>
          <t>OVANÅKER</t>
        </is>
      </c>
      <c r="H9715" t="inlineStr">
        <is>
          <t>Bergvik skog öst AB</t>
        </is>
      </c>
      <c r="I9715" t="n">
        <v>5.3</v>
      </c>
      <c r="J9715" t="n">
        <v>0</v>
      </c>
      <c r="K9715" t="n">
        <v>0</v>
      </c>
      <c r="L9715" t="n">
        <v>0</v>
      </c>
      <c r="M9715" t="n">
        <v>0</v>
      </c>
      <c r="N9715" t="n">
        <v>0</v>
      </c>
      <c r="O9715" t="n">
        <v>0</v>
      </c>
      <c r="P9715" t="n">
        <v>0</v>
      </c>
      <c r="Q9715" t="n">
        <v>0</v>
      </c>
      <c r="R9715" t="n">
        <v>0</v>
      </c>
      <c r="S9715" t="n">
        <v>0</v>
      </c>
      <c r="T9715" t="n">
        <v>0</v>
      </c>
      <c r="U9715" t="n">
        <v>0</v>
      </c>
      <c r="V9715" s="2" t="inlineStr"/>
    </row>
    <row r="9716" ht="15" customHeight="1">
      <c r="A9716" t="inlineStr">
        <is>
          <t>A 32717-2026</t>
        </is>
      </c>
      <c r="B9716" t="inlineStr">
        <is>
          <t>avverkningsanmälan</t>
        </is>
      </c>
      <c r="C9716" t="inlineStr">
        <is>
          <t>Föryngringsavverkning</t>
        </is>
      </c>
      <c r="D9716" s="1" t="n">
        <v>46241</v>
      </c>
      <c r="E9716" s="1" t="n">
        <v>46326</v>
      </c>
      <c r="F9716" t="inlineStr">
        <is>
          <t>GÄVLEBORGS LÄN</t>
        </is>
      </c>
      <c r="G9716" t="inlineStr">
        <is>
          <t>OVANÅKER</t>
        </is>
      </c>
      <c r="I9716" t="n">
        <v>3.7</v>
      </c>
      <c r="J9716" t="n">
        <v>0</v>
      </c>
      <c r="K9716" t="n">
        <v>0</v>
      </c>
      <c r="L9716" t="n">
        <v>0</v>
      </c>
      <c r="M9716" t="n">
        <v>0</v>
      </c>
      <c r="N9716" t="n">
        <v>0</v>
      </c>
      <c r="O9716" t="n">
        <v>0</v>
      </c>
      <c r="P9716" t="n">
        <v>0</v>
      </c>
      <c r="Q9716" t="n">
        <v>0</v>
      </c>
      <c r="R9716" t="n">
        <v>0</v>
      </c>
      <c r="S9716" t="n">
        <v>0</v>
      </c>
      <c r="T9716" t="n">
        <v>0</v>
      </c>
      <c r="U9716" t="n">
        <v>0</v>
      </c>
      <c r="V9716" s="2" t="inlineStr"/>
    </row>
    <row r="9717" ht="15" customHeight="1">
      <c r="A9717" t="inlineStr">
        <is>
          <t>A 13670-2024</t>
        </is>
      </c>
      <c r="B9717" t="inlineStr">
        <is>
          <t>avverkningsanmälan</t>
        </is>
      </c>
      <c r="C9717" t="inlineStr">
        <is>
          <t>Föryngringsavverkning</t>
        </is>
      </c>
      <c r="D9717" s="1" t="n">
        <v>45390</v>
      </c>
      <c r="E9717" s="1" t="n">
        <v>46326</v>
      </c>
      <c r="F9717" t="inlineStr">
        <is>
          <t>GÄVLEBORGS LÄN</t>
        </is>
      </c>
      <c r="G9717" t="inlineStr">
        <is>
          <t>HUDIKSVALL</t>
        </is>
      </c>
      <c r="H9717" t="inlineStr">
        <is>
          <t>Holmen skog AB</t>
        </is>
      </c>
      <c r="I9717" t="n">
        <v>3.3</v>
      </c>
      <c r="J9717" t="n">
        <v>0</v>
      </c>
      <c r="K9717" t="n">
        <v>0</v>
      </c>
      <c r="L9717" t="n">
        <v>0</v>
      </c>
      <c r="M9717" t="n">
        <v>0</v>
      </c>
      <c r="N9717" t="n">
        <v>0</v>
      </c>
      <c r="O9717" t="n">
        <v>0</v>
      </c>
      <c r="P9717" t="n">
        <v>0</v>
      </c>
      <c r="Q9717" t="n">
        <v>0</v>
      </c>
      <c r="R9717" t="n">
        <v>0</v>
      </c>
      <c r="S9717" t="n">
        <v>0</v>
      </c>
      <c r="T9717" t="n">
        <v>0</v>
      </c>
      <c r="U9717" t="n">
        <v>0</v>
      </c>
      <c r="V9717" s="2" t="inlineStr"/>
    </row>
    <row r="9718" ht="15" customHeight="1">
      <c r="A9718" t="inlineStr">
        <is>
          <t>A 40554-2022</t>
        </is>
      </c>
      <c r="B9718" t="inlineStr">
        <is>
          <t>avverkningsanmälan</t>
        </is>
      </c>
      <c r="C9718" t="inlineStr">
        <is>
          <t>Föryngringsavverkning</t>
        </is>
      </c>
      <c r="D9718" s="1" t="n">
        <v>44823</v>
      </c>
      <c r="E9718" s="1" t="n">
        <v>46326</v>
      </c>
      <c r="F9718" t="inlineStr">
        <is>
          <t>GÄVLEBORGS LÄN</t>
        </is>
      </c>
      <c r="G9718" t="inlineStr">
        <is>
          <t>LJUSDAL</t>
        </is>
      </c>
      <c r="H9718" t="inlineStr">
        <is>
          <t>Bergvik skog väst AB</t>
        </is>
      </c>
      <c r="I9718" t="n">
        <v>4</v>
      </c>
      <c r="J9718" t="n">
        <v>0</v>
      </c>
      <c r="K9718" t="n">
        <v>0</v>
      </c>
      <c r="L9718" t="n">
        <v>0</v>
      </c>
      <c r="M9718" t="n">
        <v>0</v>
      </c>
      <c r="N9718" t="n">
        <v>0</v>
      </c>
      <c r="O9718" t="n">
        <v>0</v>
      </c>
      <c r="P9718" t="n">
        <v>0</v>
      </c>
      <c r="Q9718" t="n">
        <v>0</v>
      </c>
      <c r="R9718" t="n">
        <v>0</v>
      </c>
      <c r="S9718" t="n">
        <v>0</v>
      </c>
      <c r="T9718" t="n">
        <v>0</v>
      </c>
      <c r="U9718" t="n">
        <v>0</v>
      </c>
      <c r="V9718" s="2" t="inlineStr"/>
    </row>
    <row r="9719" ht="15" customHeight="1">
      <c r="A9719" t="inlineStr">
        <is>
          <t>A 38717-2026</t>
        </is>
      </c>
      <c r="B9719" t="inlineStr">
        <is>
          <t>avverkningsanmälan</t>
        </is>
      </c>
      <c r="C9719" t="inlineStr">
        <is>
          <t>Avverkning för annat ändamål</t>
        </is>
      </c>
      <c r="D9719" s="1" t="n">
        <v>46284</v>
      </c>
      <c r="E9719" s="1" t="n">
        <v>46326</v>
      </c>
      <c r="F9719" t="inlineStr">
        <is>
          <t>GÄVLEBORGS LÄN</t>
        </is>
      </c>
      <c r="G9719" t="inlineStr">
        <is>
          <t>BOLLNÄS</t>
        </is>
      </c>
      <c r="I9719" t="n">
        <v>0.7</v>
      </c>
      <c r="J9719" t="n">
        <v>0</v>
      </c>
      <c r="K9719" t="n">
        <v>0</v>
      </c>
      <c r="L9719" t="n">
        <v>0</v>
      </c>
      <c r="M9719" t="n">
        <v>0</v>
      </c>
      <c r="N9719" t="n">
        <v>0</v>
      </c>
      <c r="O9719" t="n">
        <v>0</v>
      </c>
      <c r="P9719" t="n">
        <v>0</v>
      </c>
      <c r="Q9719" t="n">
        <v>0</v>
      </c>
      <c r="R9719" t="n">
        <v>0</v>
      </c>
      <c r="S9719" t="n">
        <v>0</v>
      </c>
      <c r="T9719" t="n">
        <v>0</v>
      </c>
      <c r="U9719" t="n">
        <v>0</v>
      </c>
      <c r="V9719" s="2" t="inlineStr"/>
    </row>
    <row r="9720" ht="15" customHeight="1">
      <c r="A9720" t="inlineStr">
        <is>
          <t>A 32726-2026</t>
        </is>
      </c>
      <c r="B9720" t="inlineStr">
        <is>
          <t>avverkningsanmälan</t>
        </is>
      </c>
      <c r="C9720" t="inlineStr">
        <is>
          <t>Föryngringsavverkning</t>
        </is>
      </c>
      <c r="D9720" s="1" t="n">
        <v>46241</v>
      </c>
      <c r="E9720" s="1" t="n">
        <v>46326</v>
      </c>
      <c r="F9720" t="inlineStr">
        <is>
          <t>GÄVLEBORGS LÄN</t>
        </is>
      </c>
      <c r="G9720" t="inlineStr">
        <is>
          <t>NORDANSTIG</t>
        </is>
      </c>
      <c r="I9720" t="n">
        <v>1.1</v>
      </c>
      <c r="J9720" t="n">
        <v>0</v>
      </c>
      <c r="K9720" t="n">
        <v>0</v>
      </c>
      <c r="L9720" t="n">
        <v>0</v>
      </c>
      <c r="M9720" t="n">
        <v>0</v>
      </c>
      <c r="N9720" t="n">
        <v>0</v>
      </c>
      <c r="O9720" t="n">
        <v>0</v>
      </c>
      <c r="P9720" t="n">
        <v>0</v>
      </c>
      <c r="Q9720" t="n">
        <v>0</v>
      </c>
      <c r="R9720" t="n">
        <v>0</v>
      </c>
      <c r="S9720" t="n">
        <v>0</v>
      </c>
      <c r="T9720" t="n">
        <v>0</v>
      </c>
      <c r="U9720" t="n">
        <v>0</v>
      </c>
      <c r="V9720" s="2" t="inlineStr"/>
    </row>
    <row r="9721" ht="15" customHeight="1">
      <c r="A9721" t="inlineStr">
        <is>
          <t>A 62089-2021</t>
        </is>
      </c>
      <c r="B9721" t="inlineStr">
        <is>
          <t>avverkningsanmälan</t>
        </is>
      </c>
      <c r="C9721" t="inlineStr">
        <is>
          <t>Föryngringsavverkning</t>
        </is>
      </c>
      <c r="D9721" s="1" t="n">
        <v>44502</v>
      </c>
      <c r="E9721" s="1" t="n">
        <v>46326</v>
      </c>
      <c r="F9721" t="inlineStr">
        <is>
          <t>GÄVLEBORGS LÄN</t>
        </is>
      </c>
      <c r="G9721" t="inlineStr">
        <is>
          <t>NORDANSTIG</t>
        </is>
      </c>
      <c r="I9721" t="n">
        <v>1.2</v>
      </c>
      <c r="J9721" t="n">
        <v>0</v>
      </c>
      <c r="K9721" t="n">
        <v>0</v>
      </c>
      <c r="L9721" t="n">
        <v>0</v>
      </c>
      <c r="M9721" t="n">
        <v>0</v>
      </c>
      <c r="N9721" t="n">
        <v>0</v>
      </c>
      <c r="O9721" t="n">
        <v>0</v>
      </c>
      <c r="P9721" t="n">
        <v>0</v>
      </c>
      <c r="Q9721" t="n">
        <v>0</v>
      </c>
      <c r="R9721" t="n">
        <v>0</v>
      </c>
      <c r="S9721" t="n">
        <v>0</v>
      </c>
      <c r="T9721" t="n">
        <v>0</v>
      </c>
      <c r="U9721" t="n">
        <v>0</v>
      </c>
      <c r="V9721" s="2" t="inlineStr"/>
    </row>
    <row r="9722" ht="15" customHeight="1">
      <c r="A9722" t="inlineStr">
        <is>
          <t>A 14986-2025</t>
        </is>
      </c>
      <c r="B9722" t="inlineStr">
        <is>
          <t>avverkningsanmälan</t>
        </is>
      </c>
      <c r="C9722" t="inlineStr">
        <is>
          <t>Föryngringsavverkning</t>
        </is>
      </c>
      <c r="D9722" s="1" t="n">
        <v>45743</v>
      </c>
      <c r="E9722" s="1" t="n">
        <v>46326</v>
      </c>
      <c r="F9722" t="inlineStr">
        <is>
          <t>GÄVLEBORGS LÄN</t>
        </is>
      </c>
      <c r="G9722" t="inlineStr">
        <is>
          <t>BOLLNÄS</t>
        </is>
      </c>
      <c r="H9722" t="inlineStr">
        <is>
          <t>Bergvik skog väst AB</t>
        </is>
      </c>
      <c r="I9722" t="n">
        <v>0.9</v>
      </c>
      <c r="J9722" t="n">
        <v>0</v>
      </c>
      <c r="K9722" t="n">
        <v>0</v>
      </c>
      <c r="L9722" t="n">
        <v>0</v>
      </c>
      <c r="M9722" t="n">
        <v>0</v>
      </c>
      <c r="N9722" t="n">
        <v>0</v>
      </c>
      <c r="O9722" t="n">
        <v>0</v>
      </c>
      <c r="P9722" t="n">
        <v>0</v>
      </c>
      <c r="Q9722" t="n">
        <v>0</v>
      </c>
      <c r="R9722" t="n">
        <v>0</v>
      </c>
      <c r="S9722" t="n">
        <v>0</v>
      </c>
      <c r="T9722" t="n">
        <v>0</v>
      </c>
      <c r="U9722" t="n">
        <v>0</v>
      </c>
      <c r="V9722" s="2" t="inlineStr"/>
    </row>
    <row r="9723" ht="15" customHeight="1">
      <c r="A9723" t="inlineStr">
        <is>
          <t>A 35964-2024</t>
        </is>
      </c>
      <c r="B9723" t="inlineStr">
        <is>
          <t>avverkningsanmälan</t>
        </is>
      </c>
      <c r="C9723" t="inlineStr">
        <is>
          <t>Föryngringsavverkning</t>
        </is>
      </c>
      <c r="D9723" s="1" t="n">
        <v>45533</v>
      </c>
      <c r="E9723" s="1" t="n">
        <v>46326</v>
      </c>
      <c r="F9723" t="inlineStr">
        <is>
          <t>GÄVLEBORGS LÄN</t>
        </is>
      </c>
      <c r="G9723" t="inlineStr">
        <is>
          <t>HUDIKSVALL</t>
        </is>
      </c>
      <c r="I9723" t="n">
        <v>2.1</v>
      </c>
      <c r="J9723" t="n">
        <v>0</v>
      </c>
      <c r="K9723" t="n">
        <v>0</v>
      </c>
      <c r="L9723" t="n">
        <v>0</v>
      </c>
      <c r="M9723" t="n">
        <v>0</v>
      </c>
      <c r="N9723" t="n">
        <v>0</v>
      </c>
      <c r="O9723" t="n">
        <v>0</v>
      </c>
      <c r="P9723" t="n">
        <v>0</v>
      </c>
      <c r="Q9723" t="n">
        <v>0</v>
      </c>
      <c r="R9723" t="n">
        <v>0</v>
      </c>
      <c r="S9723" t="n">
        <v>0</v>
      </c>
      <c r="T9723" t="n">
        <v>0</v>
      </c>
      <c r="U9723" t="n">
        <v>0</v>
      </c>
      <c r="V9723" s="2" t="inlineStr"/>
    </row>
    <row r="9724" ht="15" customHeight="1">
      <c r="A9724" t="inlineStr">
        <is>
          <t>A 35985-2024</t>
        </is>
      </c>
      <c r="B9724" t="inlineStr">
        <is>
          <t>avverkningsanmälan</t>
        </is>
      </c>
      <c r="C9724" t="inlineStr">
        <is>
          <t>Föryngringsavverkning</t>
        </is>
      </c>
      <c r="D9724" s="1" t="n">
        <v>45533</v>
      </c>
      <c r="E9724" s="1" t="n">
        <v>46326</v>
      </c>
      <c r="F9724" t="inlineStr">
        <is>
          <t>GÄVLEBORGS LÄN</t>
        </is>
      </c>
      <c r="G9724" t="inlineStr">
        <is>
          <t>HUDIKSVALL</t>
        </is>
      </c>
      <c r="I9724" t="n">
        <v>0.6</v>
      </c>
      <c r="J9724" t="n">
        <v>0</v>
      </c>
      <c r="K9724" t="n">
        <v>0</v>
      </c>
      <c r="L9724" t="n">
        <v>0</v>
      </c>
      <c r="M9724" t="n">
        <v>0</v>
      </c>
      <c r="N9724" t="n">
        <v>0</v>
      </c>
      <c r="O9724" t="n">
        <v>0</v>
      </c>
      <c r="P9724" t="n">
        <v>0</v>
      </c>
      <c r="Q9724" t="n">
        <v>0</v>
      </c>
      <c r="R9724" t="n">
        <v>0</v>
      </c>
      <c r="S9724" t="n">
        <v>0</v>
      </c>
      <c r="T9724" t="n">
        <v>0</v>
      </c>
      <c r="U9724" t="n">
        <v>0</v>
      </c>
      <c r="V9724" s="2" t="inlineStr"/>
    </row>
    <row r="9725" ht="15" customHeight="1">
      <c r="A9725" t="inlineStr">
        <is>
          <t>A 60345-2025</t>
        </is>
      </c>
      <c r="B9725" t="inlineStr">
        <is>
          <t>avverkningsanmälan</t>
        </is>
      </c>
      <c r="C9725" t="inlineStr">
        <is>
          <t>Föryngringsavverkning</t>
        </is>
      </c>
      <c r="D9725" s="1" t="n">
        <v>45995</v>
      </c>
      <c r="E9725" s="1" t="n">
        <v>46326</v>
      </c>
      <c r="F9725" t="inlineStr">
        <is>
          <t>GÄVLEBORGS LÄN</t>
        </is>
      </c>
      <c r="G9725" t="inlineStr">
        <is>
          <t>OVANÅKER</t>
        </is>
      </c>
      <c r="I9725" t="n">
        <v>1.9</v>
      </c>
      <c r="J9725" t="n">
        <v>0</v>
      </c>
      <c r="K9725" t="n">
        <v>0</v>
      </c>
      <c r="L9725" t="n">
        <v>0</v>
      </c>
      <c r="M9725" t="n">
        <v>0</v>
      </c>
      <c r="N9725" t="n">
        <v>0</v>
      </c>
      <c r="O9725" t="n">
        <v>0</v>
      </c>
      <c r="P9725" t="n">
        <v>0</v>
      </c>
      <c r="Q9725" t="n">
        <v>0</v>
      </c>
      <c r="R9725" t="n">
        <v>0</v>
      </c>
      <c r="S9725" t="n">
        <v>0</v>
      </c>
      <c r="T9725" t="n">
        <v>0</v>
      </c>
      <c r="U9725" t="n">
        <v>0</v>
      </c>
      <c r="V9725" s="2" t="inlineStr"/>
    </row>
    <row r="9726" ht="15" customHeight="1">
      <c r="A9726" t="inlineStr">
        <is>
          <t>A 39396-2026</t>
        </is>
      </c>
      <c r="B9726" t="inlineStr">
        <is>
          <t>avverkningsanmälan</t>
        </is>
      </c>
      <c r="C9726" t="inlineStr">
        <is>
          <t>Föryngringsavverkning</t>
        </is>
      </c>
      <c r="D9726" s="1" t="n">
        <v>46288</v>
      </c>
      <c r="E9726" s="1" t="n">
        <v>46326</v>
      </c>
      <c r="F9726" t="inlineStr">
        <is>
          <t>GÄVLEBORGS LÄN</t>
        </is>
      </c>
      <c r="G9726" t="inlineStr">
        <is>
          <t>SANDVIKEN</t>
        </is>
      </c>
      <c r="I9726" t="n">
        <v>0.7</v>
      </c>
      <c r="J9726" t="n">
        <v>0</v>
      </c>
      <c r="K9726" t="n">
        <v>0</v>
      </c>
      <c r="L9726" t="n">
        <v>0</v>
      </c>
      <c r="M9726" t="n">
        <v>0</v>
      </c>
      <c r="N9726" t="n">
        <v>0</v>
      </c>
      <c r="O9726" t="n">
        <v>0</v>
      </c>
      <c r="P9726" t="n">
        <v>0</v>
      </c>
      <c r="Q9726" t="n">
        <v>0</v>
      </c>
      <c r="R9726" t="n">
        <v>0</v>
      </c>
      <c r="S9726" t="n">
        <v>0</v>
      </c>
      <c r="T9726" t="n">
        <v>0</v>
      </c>
      <c r="U9726" t="n">
        <v>0</v>
      </c>
      <c r="V9726" s="2" t="inlineStr"/>
    </row>
    <row r="9727" ht="15" customHeight="1">
      <c r="A9727" t="inlineStr">
        <is>
          <t>A 48435-2024</t>
        </is>
      </c>
      <c r="B9727" t="inlineStr">
        <is>
          <t>avverkningsanmälan</t>
        </is>
      </c>
      <c r="C9727" t="inlineStr">
        <is>
          <t>Föryngringsavverkning</t>
        </is>
      </c>
      <c r="D9727" s="1" t="n">
        <v>45590</v>
      </c>
      <c r="E9727" s="1" t="n">
        <v>46326</v>
      </c>
      <c r="F9727" t="inlineStr">
        <is>
          <t>GÄVLEBORGS LÄN</t>
        </is>
      </c>
      <c r="G9727" t="inlineStr">
        <is>
          <t>SANDVIKEN</t>
        </is>
      </c>
      <c r="I9727" t="n">
        <v>6.7</v>
      </c>
      <c r="J9727" t="n">
        <v>0</v>
      </c>
      <c r="K9727" t="n">
        <v>0</v>
      </c>
      <c r="L9727" t="n">
        <v>0</v>
      </c>
      <c r="M9727" t="n">
        <v>0</v>
      </c>
      <c r="N9727" t="n">
        <v>0</v>
      </c>
      <c r="O9727" t="n">
        <v>0</v>
      </c>
      <c r="P9727" t="n">
        <v>0</v>
      </c>
      <c r="Q9727" t="n">
        <v>0</v>
      </c>
      <c r="R9727" t="n">
        <v>0</v>
      </c>
      <c r="S9727" t="n">
        <v>0</v>
      </c>
      <c r="T9727" t="n">
        <v>0</v>
      </c>
      <c r="U9727" t="n">
        <v>0</v>
      </c>
      <c r="V9727" s="2" t="inlineStr"/>
    </row>
    <row r="9728" ht="15" customHeight="1">
      <c r="A9728" t="inlineStr">
        <is>
          <t>A 32827-2023</t>
        </is>
      </c>
      <c r="B9728" t="inlineStr">
        <is>
          <t>avverkningsanmälan</t>
        </is>
      </c>
      <c r="C9728" t="inlineStr">
        <is>
          <t>Föryngringsavverkning</t>
        </is>
      </c>
      <c r="D9728" s="1" t="n">
        <v>45124</v>
      </c>
      <c r="E9728" s="1" t="n">
        <v>46326</v>
      </c>
      <c r="F9728" t="inlineStr">
        <is>
          <t>GÄVLEBORGS LÄN</t>
        </is>
      </c>
      <c r="G9728" t="inlineStr">
        <is>
          <t>NORDANSTIG</t>
        </is>
      </c>
      <c r="I9728" t="n">
        <v>1.7</v>
      </c>
      <c r="J9728" t="n">
        <v>0</v>
      </c>
      <c r="K9728" t="n">
        <v>0</v>
      </c>
      <c r="L9728" t="n">
        <v>0</v>
      </c>
      <c r="M9728" t="n">
        <v>0</v>
      </c>
      <c r="N9728" t="n">
        <v>0</v>
      </c>
      <c r="O9728" t="n">
        <v>0</v>
      </c>
      <c r="P9728" t="n">
        <v>0</v>
      </c>
      <c r="Q9728" t="n">
        <v>0</v>
      </c>
      <c r="R9728" t="n">
        <v>0</v>
      </c>
      <c r="S9728" t="n">
        <v>0</v>
      </c>
      <c r="T9728" t="n">
        <v>0</v>
      </c>
      <c r="U9728" t="n">
        <v>0</v>
      </c>
      <c r="V9728" s="2" t="inlineStr"/>
    </row>
    <row r="9729" ht="15" customHeight="1">
      <c r="A9729" t="inlineStr">
        <is>
          <t>A 33313-2026</t>
        </is>
      </c>
      <c r="B9729" t="inlineStr">
        <is>
          <t>avverkningsanmälan</t>
        </is>
      </c>
      <c r="C9729" t="inlineStr">
        <is>
          <t>Föryngringsavverkning</t>
        </is>
      </c>
      <c r="D9729" s="1" t="n">
        <v>46246</v>
      </c>
      <c r="E9729" s="1" t="n">
        <v>46326</v>
      </c>
      <c r="F9729" t="inlineStr">
        <is>
          <t>GÄVLEBORGS LÄN</t>
        </is>
      </c>
      <c r="G9729" t="inlineStr">
        <is>
          <t>HUDIKSVALL</t>
        </is>
      </c>
      <c r="I9729" t="n">
        <v>0.7</v>
      </c>
      <c r="J9729" t="n">
        <v>0</v>
      </c>
      <c r="K9729" t="n">
        <v>0</v>
      </c>
      <c r="L9729" t="n">
        <v>0</v>
      </c>
      <c r="M9729" t="n">
        <v>0</v>
      </c>
      <c r="N9729" t="n">
        <v>0</v>
      </c>
      <c r="O9729" t="n">
        <v>0</v>
      </c>
      <c r="P9729" t="n">
        <v>0</v>
      </c>
      <c r="Q9729" t="n">
        <v>0</v>
      </c>
      <c r="R9729" t="n">
        <v>0</v>
      </c>
      <c r="S9729" t="n">
        <v>0</v>
      </c>
      <c r="T9729" t="n">
        <v>0</v>
      </c>
      <c r="U9729" t="n">
        <v>0</v>
      </c>
      <c r="V9729" s="2" t="inlineStr"/>
    </row>
    <row r="9730" ht="15" customHeight="1">
      <c r="A9730" t="inlineStr">
        <is>
          <t>A 33535-2022</t>
        </is>
      </c>
      <c r="B9730" t="inlineStr">
        <is>
          <t>avverkningsanmälan</t>
        </is>
      </c>
      <c r="C9730" t="inlineStr">
        <is>
          <t>Föryngringsavverkning</t>
        </is>
      </c>
      <c r="D9730" s="1" t="n">
        <v>44789</v>
      </c>
      <c r="E9730" s="1" t="n">
        <v>46326</v>
      </c>
      <c r="F9730" t="inlineStr">
        <is>
          <t>GÄVLEBORGS LÄN</t>
        </is>
      </c>
      <c r="G9730" t="inlineStr">
        <is>
          <t>NORDANSTIG</t>
        </is>
      </c>
      <c r="I9730" t="n">
        <v>1.4</v>
      </c>
      <c r="J9730" t="n">
        <v>0</v>
      </c>
      <c r="K9730" t="n">
        <v>0</v>
      </c>
      <c r="L9730" t="n">
        <v>0</v>
      </c>
      <c r="M9730" t="n">
        <v>0</v>
      </c>
      <c r="N9730" t="n">
        <v>0</v>
      </c>
      <c r="O9730" t="n">
        <v>0</v>
      </c>
      <c r="P9730" t="n">
        <v>0</v>
      </c>
      <c r="Q9730" t="n">
        <v>0</v>
      </c>
      <c r="R9730" t="n">
        <v>0</v>
      </c>
      <c r="S9730" t="n">
        <v>0</v>
      </c>
      <c r="T9730" t="n">
        <v>0</v>
      </c>
      <c r="U9730" t="n">
        <v>0</v>
      </c>
      <c r="V9730" s="2" t="inlineStr"/>
    </row>
    <row r="9731" ht="15" customHeight="1">
      <c r="A9731" t="inlineStr">
        <is>
          <t>A 33559-2022</t>
        </is>
      </c>
      <c r="B9731" t="inlineStr">
        <is>
          <t>avverkningsanmälan</t>
        </is>
      </c>
      <c r="C9731" t="inlineStr">
        <is>
          <t>Föryngringsavverkning</t>
        </is>
      </c>
      <c r="D9731" s="1" t="n">
        <v>44789</v>
      </c>
      <c r="E9731" s="1" t="n">
        <v>46326</v>
      </c>
      <c r="F9731" t="inlineStr">
        <is>
          <t>GÄVLEBORGS LÄN</t>
        </is>
      </c>
      <c r="G9731" t="inlineStr">
        <is>
          <t>NORDANSTIG</t>
        </is>
      </c>
      <c r="I9731" t="n">
        <v>3.3</v>
      </c>
      <c r="J9731" t="n">
        <v>0</v>
      </c>
      <c r="K9731" t="n">
        <v>0</v>
      </c>
      <c r="L9731" t="n">
        <v>0</v>
      </c>
      <c r="M9731" t="n">
        <v>0</v>
      </c>
      <c r="N9731" t="n">
        <v>0</v>
      </c>
      <c r="O9731" t="n">
        <v>0</v>
      </c>
      <c r="P9731" t="n">
        <v>0</v>
      </c>
      <c r="Q9731" t="n">
        <v>0</v>
      </c>
      <c r="R9731" t="n">
        <v>0</v>
      </c>
      <c r="S9731" t="n">
        <v>0</v>
      </c>
      <c r="T9731" t="n">
        <v>0</v>
      </c>
      <c r="U9731" t="n">
        <v>0</v>
      </c>
      <c r="V9731" s="2" t="inlineStr"/>
    </row>
    <row r="9732" ht="15" customHeight="1">
      <c r="A9732" t="inlineStr">
        <is>
          <t>A 30078-2024</t>
        </is>
      </c>
      <c r="B9732" t="inlineStr">
        <is>
          <t>avverkningsanmälan</t>
        </is>
      </c>
      <c r="C9732" t="inlineStr">
        <is>
          <t>Föryngringsavverkning</t>
        </is>
      </c>
      <c r="D9732" s="1" t="n">
        <v>45489</v>
      </c>
      <c r="E9732" s="1" t="n">
        <v>46326</v>
      </c>
      <c r="F9732" t="inlineStr">
        <is>
          <t>GÄVLEBORGS LÄN</t>
        </is>
      </c>
      <c r="G9732" t="inlineStr">
        <is>
          <t>NORDANSTIG</t>
        </is>
      </c>
      <c r="H9732" t="inlineStr">
        <is>
          <t>Holmen skog AB</t>
        </is>
      </c>
      <c r="I9732" t="n">
        <v>4.7</v>
      </c>
      <c r="J9732" t="n">
        <v>0</v>
      </c>
      <c r="K9732" t="n">
        <v>0</v>
      </c>
      <c r="L9732" t="n">
        <v>0</v>
      </c>
      <c r="M9732" t="n">
        <v>0</v>
      </c>
      <c r="N9732" t="n">
        <v>0</v>
      </c>
      <c r="O9732" t="n">
        <v>0</v>
      </c>
      <c r="P9732" t="n">
        <v>0</v>
      </c>
      <c r="Q9732" t="n">
        <v>0</v>
      </c>
      <c r="R9732" t="n">
        <v>0</v>
      </c>
      <c r="S9732" t="n">
        <v>0</v>
      </c>
      <c r="T9732" t="n">
        <v>0</v>
      </c>
      <c r="U9732" t="n">
        <v>0</v>
      </c>
      <c r="V9732" s="2" t="inlineStr"/>
    </row>
    <row r="9733" ht="15" customHeight="1">
      <c r="A9733" t="inlineStr">
        <is>
          <t>A 884-2024</t>
        </is>
      </c>
      <c r="B9733" t="inlineStr">
        <is>
          <t>avverkningsanmälan</t>
        </is>
      </c>
      <c r="C9733" t="inlineStr">
        <is>
          <t>Föryngringsavverkning</t>
        </is>
      </c>
      <c r="D9733" s="1" t="n">
        <v>45301</v>
      </c>
      <c r="E9733" s="1" t="n">
        <v>46326</v>
      </c>
      <c r="F9733" t="inlineStr">
        <is>
          <t>GÄVLEBORGS LÄN</t>
        </is>
      </c>
      <c r="G9733" t="inlineStr">
        <is>
          <t>NORDANSTIG</t>
        </is>
      </c>
      <c r="I9733" t="n">
        <v>3.1</v>
      </c>
      <c r="J9733" t="n">
        <v>0</v>
      </c>
      <c r="K9733" t="n">
        <v>0</v>
      </c>
      <c r="L9733" t="n">
        <v>0</v>
      </c>
      <c r="M9733" t="n">
        <v>0</v>
      </c>
      <c r="N9733" t="n">
        <v>0</v>
      </c>
      <c r="O9733" t="n">
        <v>0</v>
      </c>
      <c r="P9733" t="n">
        <v>0</v>
      </c>
      <c r="Q9733" t="n">
        <v>0</v>
      </c>
      <c r="R9733" t="n">
        <v>0</v>
      </c>
      <c r="S9733" t="n">
        <v>0</v>
      </c>
      <c r="T9733" t="n">
        <v>0</v>
      </c>
      <c r="U9733" t="n">
        <v>0</v>
      </c>
      <c r="V9733" s="2" t="inlineStr"/>
    </row>
    <row r="9734" ht="15" customHeight="1">
      <c r="A9734" t="inlineStr">
        <is>
          <t>A 30116-2024</t>
        </is>
      </c>
      <c r="B9734" t="inlineStr">
        <is>
          <t>avverkningsanmälan</t>
        </is>
      </c>
      <c r="C9734" t="inlineStr">
        <is>
          <t>Föryngringsavverkning</t>
        </is>
      </c>
      <c r="D9734" s="1" t="n">
        <v>45489</v>
      </c>
      <c r="E9734" s="1" t="n">
        <v>46326</v>
      </c>
      <c r="F9734" t="inlineStr">
        <is>
          <t>GÄVLEBORGS LÄN</t>
        </is>
      </c>
      <c r="G9734" t="inlineStr">
        <is>
          <t>HUDIKSVALL</t>
        </is>
      </c>
      <c r="H9734" t="inlineStr">
        <is>
          <t>Holmen skog AB</t>
        </is>
      </c>
      <c r="I9734" t="n">
        <v>0.6</v>
      </c>
      <c r="J9734" t="n">
        <v>0</v>
      </c>
      <c r="K9734" t="n">
        <v>0</v>
      </c>
      <c r="L9734" t="n">
        <v>0</v>
      </c>
      <c r="M9734" t="n">
        <v>0</v>
      </c>
      <c r="N9734" t="n">
        <v>0</v>
      </c>
      <c r="O9734" t="n">
        <v>0</v>
      </c>
      <c r="P9734" t="n">
        <v>0</v>
      </c>
      <c r="Q9734" t="n">
        <v>0</v>
      </c>
      <c r="R9734" t="n">
        <v>0</v>
      </c>
      <c r="S9734" t="n">
        <v>0</v>
      </c>
      <c r="T9734" t="n">
        <v>0</v>
      </c>
      <c r="U9734" t="n">
        <v>0</v>
      </c>
      <c r="V9734" s="2" t="inlineStr"/>
    </row>
    <row r="9735" ht="15" customHeight="1">
      <c r="A9735" t="inlineStr">
        <is>
          <t>A 59571-2022</t>
        </is>
      </c>
      <c r="B9735" t="inlineStr">
        <is>
          <t>avverkningsanmälan</t>
        </is>
      </c>
      <c r="C9735" t="inlineStr">
        <is>
          <t>Föryngringsavverkning</t>
        </is>
      </c>
      <c r="D9735" s="1" t="n">
        <v>44907</v>
      </c>
      <c r="E9735" s="1" t="n">
        <v>46326</v>
      </c>
      <c r="F9735" t="inlineStr">
        <is>
          <t>GÄVLEBORGS LÄN</t>
        </is>
      </c>
      <c r="G9735" t="inlineStr">
        <is>
          <t>HUDIKSVALL</t>
        </is>
      </c>
      <c r="I9735" t="n">
        <v>0.8</v>
      </c>
      <c r="J9735" t="n">
        <v>0</v>
      </c>
      <c r="K9735" t="n">
        <v>0</v>
      </c>
      <c r="L9735" t="n">
        <v>0</v>
      </c>
      <c r="M9735" t="n">
        <v>0</v>
      </c>
      <c r="N9735" t="n">
        <v>0</v>
      </c>
      <c r="O9735" t="n">
        <v>0</v>
      </c>
      <c r="P9735" t="n">
        <v>0</v>
      </c>
      <c r="Q9735" t="n">
        <v>0</v>
      </c>
      <c r="R9735" t="n">
        <v>0</v>
      </c>
      <c r="S9735" t="n">
        <v>0</v>
      </c>
      <c r="T9735" t="n">
        <v>0</v>
      </c>
      <c r="U9735" t="n">
        <v>0</v>
      </c>
      <c r="V9735" s="2" t="inlineStr"/>
    </row>
    <row r="9736" ht="15" customHeight="1">
      <c r="A9736" t="inlineStr">
        <is>
          <t>A 39393-2026</t>
        </is>
      </c>
      <c r="B9736" t="inlineStr">
        <is>
          <t>avverkningsanmälan</t>
        </is>
      </c>
      <c r="C9736" t="inlineStr">
        <is>
          <t>Föryngringsavverkning</t>
        </is>
      </c>
      <c r="D9736" s="1" t="n">
        <v>46288</v>
      </c>
      <c r="E9736" s="1" t="n">
        <v>46326</v>
      </c>
      <c r="F9736" t="inlineStr">
        <is>
          <t>GÄVLEBORGS LÄN</t>
        </is>
      </c>
      <c r="G9736" t="inlineStr">
        <is>
          <t>SANDVIKEN</t>
        </is>
      </c>
      <c r="I9736" t="n">
        <v>1.5</v>
      </c>
      <c r="J9736" t="n">
        <v>0</v>
      </c>
      <c r="K9736" t="n">
        <v>0</v>
      </c>
      <c r="L9736" t="n">
        <v>0</v>
      </c>
      <c r="M9736" t="n">
        <v>0</v>
      </c>
      <c r="N9736" t="n">
        <v>0</v>
      </c>
      <c r="O9736" t="n">
        <v>0</v>
      </c>
      <c r="P9736" t="n">
        <v>0</v>
      </c>
      <c r="Q9736" t="n">
        <v>0</v>
      </c>
      <c r="R9736" t="n">
        <v>0</v>
      </c>
      <c r="S9736" t="n">
        <v>0</v>
      </c>
      <c r="T9736" t="n">
        <v>0</v>
      </c>
      <c r="U9736" t="n">
        <v>0</v>
      </c>
      <c r="V9736" s="2" t="inlineStr"/>
    </row>
    <row r="9737" ht="15" customHeight="1">
      <c r="A9737" t="inlineStr">
        <is>
          <t>A 39455-2026</t>
        </is>
      </c>
      <c r="B9737" t="inlineStr">
        <is>
          <t>avverkningsanmälan</t>
        </is>
      </c>
      <c r="C9737" t="inlineStr">
        <is>
          <t>Föryngringsavverkning</t>
        </is>
      </c>
      <c r="D9737" s="1" t="n">
        <v>46288</v>
      </c>
      <c r="E9737" s="1" t="n">
        <v>46326</v>
      </c>
      <c r="F9737" t="inlineStr">
        <is>
          <t>GÄVLEBORGS LÄN</t>
        </is>
      </c>
      <c r="G9737" t="inlineStr">
        <is>
          <t>OVANÅKER</t>
        </is>
      </c>
      <c r="I9737" t="n">
        <v>1.3</v>
      </c>
      <c r="J9737" t="n">
        <v>0</v>
      </c>
      <c r="K9737" t="n">
        <v>0</v>
      </c>
      <c r="L9737" t="n">
        <v>0</v>
      </c>
      <c r="M9737" t="n">
        <v>0</v>
      </c>
      <c r="N9737" t="n">
        <v>0</v>
      </c>
      <c r="O9737" t="n">
        <v>0</v>
      </c>
      <c r="P9737" t="n">
        <v>0</v>
      </c>
      <c r="Q9737" t="n">
        <v>0</v>
      </c>
      <c r="R9737" t="n">
        <v>0</v>
      </c>
      <c r="S9737" t="n">
        <v>0</v>
      </c>
      <c r="T9737" t="n">
        <v>0</v>
      </c>
      <c r="U9737" t="n">
        <v>0</v>
      </c>
      <c r="V9737" s="2" t="inlineStr"/>
    </row>
    <row r="9738" ht="15" customHeight="1">
      <c r="A9738" t="inlineStr">
        <is>
          <t>A 39475-2026</t>
        </is>
      </c>
      <c r="B9738" t="inlineStr">
        <is>
          <t>avverkningsanmälan</t>
        </is>
      </c>
      <c r="C9738" t="inlineStr">
        <is>
          <t>Föryngringsavverkning</t>
        </is>
      </c>
      <c r="D9738" s="1" t="n">
        <v>46289</v>
      </c>
      <c r="E9738" s="1" t="n">
        <v>46326</v>
      </c>
      <c r="F9738" t="inlineStr">
        <is>
          <t>GÄVLEBORGS LÄN</t>
        </is>
      </c>
      <c r="G9738" t="inlineStr">
        <is>
          <t>LJUSDAL</t>
        </is>
      </c>
      <c r="I9738" t="n">
        <v>1.4</v>
      </c>
      <c r="J9738" t="n">
        <v>0</v>
      </c>
      <c r="K9738" t="n">
        <v>0</v>
      </c>
      <c r="L9738" t="n">
        <v>0</v>
      </c>
      <c r="M9738" t="n">
        <v>0</v>
      </c>
      <c r="N9738" t="n">
        <v>0</v>
      </c>
      <c r="O9738" t="n">
        <v>0</v>
      </c>
      <c r="P9738" t="n">
        <v>0</v>
      </c>
      <c r="Q9738" t="n">
        <v>0</v>
      </c>
      <c r="R9738" t="n">
        <v>0</v>
      </c>
      <c r="S9738" t="n">
        <v>0</v>
      </c>
      <c r="T9738" t="n">
        <v>0</v>
      </c>
      <c r="U9738" t="n">
        <v>0</v>
      </c>
      <c r="V9738" s="2" t="inlineStr"/>
    </row>
    <row r="9739" ht="15" customHeight="1">
      <c r="A9739" t="inlineStr">
        <is>
          <t>A 39353-2026</t>
        </is>
      </c>
      <c r="B9739" t="inlineStr">
        <is>
          <t>avverkningsanmälan</t>
        </is>
      </c>
      <c r="C9739" t="inlineStr">
        <is>
          <t>Föryngringsavverkning</t>
        </is>
      </c>
      <c r="D9739" s="1" t="n">
        <v>46288</v>
      </c>
      <c r="E9739" s="1" t="n">
        <v>46326</v>
      </c>
      <c r="F9739" t="inlineStr">
        <is>
          <t>GÄVLEBORGS LÄN</t>
        </is>
      </c>
      <c r="G9739" t="inlineStr">
        <is>
          <t>HUDIKSVALL</t>
        </is>
      </c>
      <c r="H9739" t="inlineStr">
        <is>
          <t>Holmen skog AB</t>
        </is>
      </c>
      <c r="I9739" t="n">
        <v>10.9</v>
      </c>
      <c r="J9739" t="n">
        <v>0</v>
      </c>
      <c r="K9739" t="n">
        <v>0</v>
      </c>
      <c r="L9739" t="n">
        <v>0</v>
      </c>
      <c r="M9739" t="n">
        <v>0</v>
      </c>
      <c r="N9739" t="n">
        <v>0</v>
      </c>
      <c r="O9739" t="n">
        <v>0</v>
      </c>
      <c r="P9739" t="n">
        <v>0</v>
      </c>
      <c r="Q9739" t="n">
        <v>0</v>
      </c>
      <c r="R9739" t="n">
        <v>0</v>
      </c>
      <c r="S9739" t="n">
        <v>0</v>
      </c>
      <c r="T9739" t="n">
        <v>0</v>
      </c>
      <c r="U9739" t="n">
        <v>0</v>
      </c>
      <c r="V9739" s="2" t="inlineStr"/>
    </row>
    <row r="9740" ht="15" customHeight="1">
      <c r="A9740" t="inlineStr">
        <is>
          <t>A 39376-2026</t>
        </is>
      </c>
      <c r="B9740" t="inlineStr">
        <is>
          <t>avverkningsanmälan</t>
        </is>
      </c>
      <c r="C9740" t="inlineStr">
        <is>
          <t>Föryngringsavverkning</t>
        </is>
      </c>
      <c r="D9740" s="1" t="n">
        <v>46288</v>
      </c>
      <c r="E9740" s="1" t="n">
        <v>46326</v>
      </c>
      <c r="F9740" t="inlineStr">
        <is>
          <t>GÄVLEBORGS LÄN</t>
        </is>
      </c>
      <c r="G9740" t="inlineStr">
        <is>
          <t>NORDANSTIG</t>
        </is>
      </c>
      <c r="H9740" t="inlineStr">
        <is>
          <t>Holmen skog AB</t>
        </is>
      </c>
      <c r="I9740" t="n">
        <v>2</v>
      </c>
      <c r="J9740" t="n">
        <v>0</v>
      </c>
      <c r="K9740" t="n">
        <v>0</v>
      </c>
      <c r="L9740" t="n">
        <v>0</v>
      </c>
      <c r="M9740" t="n">
        <v>0</v>
      </c>
      <c r="N9740" t="n">
        <v>0</v>
      </c>
      <c r="O9740" t="n">
        <v>0</v>
      </c>
      <c r="P9740" t="n">
        <v>0</v>
      </c>
      <c r="Q9740" t="n">
        <v>0</v>
      </c>
      <c r="R9740" t="n">
        <v>0</v>
      </c>
      <c r="S9740" t="n">
        <v>0</v>
      </c>
      <c r="T9740" t="n">
        <v>0</v>
      </c>
      <c r="U9740" t="n">
        <v>0</v>
      </c>
      <c r="V9740" s="2" t="inlineStr"/>
    </row>
    <row r="9741" ht="15" customHeight="1">
      <c r="A9741" t="inlineStr">
        <is>
          <t>A 59043-2024</t>
        </is>
      </c>
      <c r="B9741" t="inlineStr">
        <is>
          <t>avverkningsanmälan</t>
        </is>
      </c>
      <c r="C9741" t="inlineStr">
        <is>
          <t>Föryngringsavverkning</t>
        </is>
      </c>
      <c r="D9741" s="1" t="n">
        <v>45636</v>
      </c>
      <c r="E9741" s="1" t="n">
        <v>46326</v>
      </c>
      <c r="F9741" t="inlineStr">
        <is>
          <t>GÄVLEBORGS LÄN</t>
        </is>
      </c>
      <c r="G9741" t="inlineStr">
        <is>
          <t>NORDANSTIG</t>
        </is>
      </c>
      <c r="I9741" t="n">
        <v>2.7</v>
      </c>
      <c r="J9741" t="n">
        <v>0</v>
      </c>
      <c r="K9741" t="n">
        <v>0</v>
      </c>
      <c r="L9741" t="n">
        <v>0</v>
      </c>
      <c r="M9741" t="n">
        <v>0</v>
      </c>
      <c r="N9741" t="n">
        <v>0</v>
      </c>
      <c r="O9741" t="n">
        <v>0</v>
      </c>
      <c r="P9741" t="n">
        <v>0</v>
      </c>
      <c r="Q9741" t="n">
        <v>0</v>
      </c>
      <c r="R9741" t="n">
        <v>0</v>
      </c>
      <c r="S9741" t="n">
        <v>0</v>
      </c>
      <c r="T9741" t="n">
        <v>0</v>
      </c>
      <c r="U9741" t="n">
        <v>0</v>
      </c>
      <c r="V9741" s="2" t="inlineStr"/>
    </row>
    <row r="9742" ht="15" customHeight="1">
      <c r="A9742" t="inlineStr">
        <is>
          <t>A 59637-2024</t>
        </is>
      </c>
      <c r="B9742" t="inlineStr">
        <is>
          <t>avverkningsanmälan</t>
        </is>
      </c>
      <c r="C9742" t="inlineStr">
        <is>
          <t>Föryngringsavverkning</t>
        </is>
      </c>
      <c r="D9742" s="1" t="n">
        <v>45639</v>
      </c>
      <c r="E9742" s="1" t="n">
        <v>46326</v>
      </c>
      <c r="F9742" t="inlineStr">
        <is>
          <t>GÄVLEBORGS LÄN</t>
        </is>
      </c>
      <c r="G9742" t="inlineStr">
        <is>
          <t>BOLLNÄS</t>
        </is>
      </c>
      <c r="I9742" t="n">
        <v>1.4</v>
      </c>
      <c r="J9742" t="n">
        <v>0</v>
      </c>
      <c r="K9742" t="n">
        <v>0</v>
      </c>
      <c r="L9742" t="n">
        <v>0</v>
      </c>
      <c r="M9742" t="n">
        <v>0</v>
      </c>
      <c r="N9742" t="n">
        <v>0</v>
      </c>
      <c r="O9742" t="n">
        <v>0</v>
      </c>
      <c r="P9742" t="n">
        <v>0</v>
      </c>
      <c r="Q9742" t="n">
        <v>0</v>
      </c>
      <c r="R9742" t="n">
        <v>0</v>
      </c>
      <c r="S9742" t="n">
        <v>0</v>
      </c>
      <c r="T9742" t="n">
        <v>0</v>
      </c>
      <c r="U9742" t="n">
        <v>0</v>
      </c>
      <c r="V9742" s="2" t="inlineStr"/>
    </row>
    <row r="9743" ht="15" customHeight="1">
      <c r="A9743" t="inlineStr">
        <is>
          <t>A 8153-2022</t>
        </is>
      </c>
      <c r="B9743" t="inlineStr">
        <is>
          <t>avverkningsanmälan</t>
        </is>
      </c>
      <c r="C9743" t="inlineStr">
        <is>
          <t>Föryngringsavverkning</t>
        </is>
      </c>
      <c r="D9743" s="1" t="n">
        <v>44609</v>
      </c>
      <c r="E9743" s="1" t="n">
        <v>46326</v>
      </c>
      <c r="F9743" t="inlineStr">
        <is>
          <t>GÄVLEBORGS LÄN</t>
        </is>
      </c>
      <c r="G9743" t="inlineStr">
        <is>
          <t>LJUSDAL</t>
        </is>
      </c>
      <c r="H9743" t="inlineStr">
        <is>
          <t>Holmen skog AB</t>
        </is>
      </c>
      <c r="I9743" t="n">
        <v>3.8</v>
      </c>
      <c r="J9743" t="n">
        <v>0</v>
      </c>
      <c r="K9743" t="n">
        <v>0</v>
      </c>
      <c r="L9743" t="n">
        <v>0</v>
      </c>
      <c r="M9743" t="n">
        <v>0</v>
      </c>
      <c r="N9743" t="n">
        <v>0</v>
      </c>
      <c r="O9743" t="n">
        <v>0</v>
      </c>
      <c r="P9743" t="n">
        <v>0</v>
      </c>
      <c r="Q9743" t="n">
        <v>0</v>
      </c>
      <c r="R9743" t="n">
        <v>0</v>
      </c>
      <c r="S9743" t="n">
        <v>0</v>
      </c>
      <c r="T9743" t="n">
        <v>0</v>
      </c>
      <c r="U9743" t="n">
        <v>0</v>
      </c>
      <c r="V9743" s="2" t="inlineStr"/>
    </row>
    <row r="9744" ht="15" customHeight="1">
      <c r="A9744" t="inlineStr">
        <is>
          <t>A 32151-2023</t>
        </is>
      </c>
      <c r="B9744" t="inlineStr">
        <is>
          <t>avverkningsanmälan</t>
        </is>
      </c>
      <c r="C9744" t="inlineStr">
        <is>
          <t>Föryngringsavverkning</t>
        </is>
      </c>
      <c r="D9744" s="1" t="n">
        <v>45119</v>
      </c>
      <c r="E9744" s="1" t="n">
        <v>46326</v>
      </c>
      <c r="F9744" t="inlineStr">
        <is>
          <t>GÄVLEBORGS LÄN</t>
        </is>
      </c>
      <c r="G9744" t="inlineStr">
        <is>
          <t>LJUSDAL</t>
        </is>
      </c>
      <c r="H9744" t="inlineStr">
        <is>
          <t>Bergvik skog väst AB</t>
        </is>
      </c>
      <c r="I9744" t="n">
        <v>1.9</v>
      </c>
      <c r="J9744" t="n">
        <v>0</v>
      </c>
      <c r="K9744" t="n">
        <v>0</v>
      </c>
      <c r="L9744" t="n">
        <v>0</v>
      </c>
      <c r="M9744" t="n">
        <v>0</v>
      </c>
      <c r="N9744" t="n">
        <v>0</v>
      </c>
      <c r="O9744" t="n">
        <v>0</v>
      </c>
      <c r="P9744" t="n">
        <v>0</v>
      </c>
      <c r="Q9744" t="n">
        <v>0</v>
      </c>
      <c r="R9744" t="n">
        <v>0</v>
      </c>
      <c r="S9744" t="n">
        <v>0</v>
      </c>
      <c r="T9744" t="n">
        <v>0</v>
      </c>
      <c r="U9744" t="n">
        <v>0</v>
      </c>
      <c r="V9744" s="2" t="inlineStr"/>
    </row>
    <row r="9745" ht="15" customHeight="1">
      <c r="A9745" t="inlineStr">
        <is>
          <t>A 2131-2025</t>
        </is>
      </c>
      <c r="B9745" t="inlineStr">
        <is>
          <t>avverkningsanmälan</t>
        </is>
      </c>
      <c r="C9745" t="inlineStr">
        <is>
          <t>Föryngringsavverkning</t>
        </is>
      </c>
      <c r="D9745" s="1" t="n">
        <v>45672</v>
      </c>
      <c r="E9745" s="1" t="n">
        <v>46326</v>
      </c>
      <c r="F9745" t="inlineStr">
        <is>
          <t>GÄVLEBORGS LÄN</t>
        </is>
      </c>
      <c r="G9745" t="inlineStr">
        <is>
          <t>SANDVIKEN</t>
        </is>
      </c>
      <c r="I9745" t="n">
        <v>1</v>
      </c>
      <c r="J9745" t="n">
        <v>0</v>
      </c>
      <c r="K9745" t="n">
        <v>0</v>
      </c>
      <c r="L9745" t="n">
        <v>0</v>
      </c>
      <c r="M9745" t="n">
        <v>0</v>
      </c>
      <c r="N9745" t="n">
        <v>0</v>
      </c>
      <c r="O9745" t="n">
        <v>0</v>
      </c>
      <c r="P9745" t="n">
        <v>0</v>
      </c>
      <c r="Q9745" t="n">
        <v>0</v>
      </c>
      <c r="R9745" t="n">
        <v>0</v>
      </c>
      <c r="S9745" t="n">
        <v>0</v>
      </c>
      <c r="T9745" t="n">
        <v>0</v>
      </c>
      <c r="U9745" t="n">
        <v>0</v>
      </c>
      <c r="V9745" s="2" t="inlineStr"/>
    </row>
    <row r="9746" ht="15" customHeight="1">
      <c r="A9746" t="inlineStr">
        <is>
          <t>A 2176-2025</t>
        </is>
      </c>
      <c r="B9746" t="inlineStr">
        <is>
          <t>avverkningsanmälan</t>
        </is>
      </c>
      <c r="C9746" t="inlineStr">
        <is>
          <t>Föryngringsavverkning</t>
        </is>
      </c>
      <c r="D9746" s="1" t="n">
        <v>45673</v>
      </c>
      <c r="E9746" s="1" t="n">
        <v>46326</v>
      </c>
      <c r="F9746" t="inlineStr">
        <is>
          <t>GÄVLEBORGS LÄN</t>
        </is>
      </c>
      <c r="G9746" t="inlineStr">
        <is>
          <t>OVANÅKER</t>
        </is>
      </c>
      <c r="I9746" t="n">
        <v>2.7</v>
      </c>
      <c r="J9746" t="n">
        <v>0</v>
      </c>
      <c r="K9746" t="n">
        <v>0</v>
      </c>
      <c r="L9746" t="n">
        <v>0</v>
      </c>
      <c r="M9746" t="n">
        <v>0</v>
      </c>
      <c r="N9746" t="n">
        <v>0</v>
      </c>
      <c r="O9746" t="n">
        <v>0</v>
      </c>
      <c r="P9746" t="n">
        <v>0</v>
      </c>
      <c r="Q9746" t="n">
        <v>0</v>
      </c>
      <c r="R9746" t="n">
        <v>0</v>
      </c>
      <c r="S9746" t="n">
        <v>0</v>
      </c>
      <c r="T9746" t="n">
        <v>0</v>
      </c>
      <c r="U9746" t="n">
        <v>0</v>
      </c>
      <c r="V9746" s="2" t="inlineStr"/>
    </row>
    <row r="9747" ht="15" customHeight="1">
      <c r="A9747" t="inlineStr">
        <is>
          <t>A 6870-2026</t>
        </is>
      </c>
      <c r="B9747" t="inlineStr">
        <is>
          <t>avverkningsanmälan</t>
        </is>
      </c>
      <c r="C9747" t="inlineStr">
        <is>
          <t>Föryngringsavverkning</t>
        </is>
      </c>
      <c r="D9747" s="1" t="n">
        <v>46057</v>
      </c>
      <c r="E9747" s="1" t="n">
        <v>46326</v>
      </c>
      <c r="F9747" t="inlineStr">
        <is>
          <t>GÄVLEBORGS LÄN</t>
        </is>
      </c>
      <c r="G9747" t="inlineStr">
        <is>
          <t>OVANÅKER</t>
        </is>
      </c>
      <c r="I9747" t="n">
        <v>0.7</v>
      </c>
      <c r="J9747" t="n">
        <v>0</v>
      </c>
      <c r="K9747" t="n">
        <v>0</v>
      </c>
      <c r="L9747" t="n">
        <v>0</v>
      </c>
      <c r="M9747" t="n">
        <v>0</v>
      </c>
      <c r="N9747" t="n">
        <v>0</v>
      </c>
      <c r="O9747" t="n">
        <v>0</v>
      </c>
      <c r="P9747" t="n">
        <v>0</v>
      </c>
      <c r="Q9747" t="n">
        <v>0</v>
      </c>
      <c r="R9747" t="n">
        <v>0</v>
      </c>
      <c r="S9747" t="n">
        <v>0</v>
      </c>
      <c r="T9747" t="n">
        <v>0</v>
      </c>
      <c r="U9747" t="n">
        <v>0</v>
      </c>
      <c r="V9747" s="2" t="inlineStr"/>
    </row>
    <row r="9748" ht="15" customHeight="1">
      <c r="A9748" t="inlineStr">
        <is>
          <t>A 41545-2024</t>
        </is>
      </c>
      <c r="B9748" t="inlineStr">
        <is>
          <t>avverkningsanmälan</t>
        </is>
      </c>
      <c r="C9748" t="inlineStr">
        <is>
          <t>Föryngringsavverkning</t>
        </is>
      </c>
      <c r="D9748" s="1" t="n">
        <v>45560</v>
      </c>
      <c r="E9748" s="1" t="n">
        <v>46326</v>
      </c>
      <c r="F9748" t="inlineStr">
        <is>
          <t>GÄVLEBORGS LÄN</t>
        </is>
      </c>
      <c r="G9748" t="inlineStr">
        <is>
          <t>OVANÅKER</t>
        </is>
      </c>
      <c r="I9748" t="n">
        <v>0.4</v>
      </c>
      <c r="J9748" t="n">
        <v>0</v>
      </c>
      <c r="K9748" t="n">
        <v>0</v>
      </c>
      <c r="L9748" t="n">
        <v>0</v>
      </c>
      <c r="M9748" t="n">
        <v>0</v>
      </c>
      <c r="N9748" t="n">
        <v>0</v>
      </c>
      <c r="O9748" t="n">
        <v>0</v>
      </c>
      <c r="P9748" t="n">
        <v>0</v>
      </c>
      <c r="Q9748" t="n">
        <v>0</v>
      </c>
      <c r="R9748" t="n">
        <v>0</v>
      </c>
      <c r="S9748" t="n">
        <v>0</v>
      </c>
      <c r="T9748" t="n">
        <v>0</v>
      </c>
      <c r="U9748" t="n">
        <v>0</v>
      </c>
      <c r="V9748" s="2" t="inlineStr"/>
    </row>
    <row r="9749" ht="15" customHeight="1">
      <c r="A9749" t="inlineStr">
        <is>
          <t>A 33225-2026</t>
        </is>
      </c>
      <c r="B9749" t="inlineStr">
        <is>
          <t>avverkningsanmälan</t>
        </is>
      </c>
      <c r="C9749" t="inlineStr">
        <is>
          <t>Föryngringsavverkning</t>
        </is>
      </c>
      <c r="D9749" s="1" t="n">
        <v>46246</v>
      </c>
      <c r="E9749" s="1" t="n">
        <v>46326</v>
      </c>
      <c r="F9749" t="inlineStr">
        <is>
          <t>GÄVLEBORGS LÄN</t>
        </is>
      </c>
      <c r="G9749" t="inlineStr">
        <is>
          <t>OVANÅKER</t>
        </is>
      </c>
      <c r="I9749" t="n">
        <v>3</v>
      </c>
      <c r="J9749" t="n">
        <v>0</v>
      </c>
      <c r="K9749" t="n">
        <v>0</v>
      </c>
      <c r="L9749" t="n">
        <v>0</v>
      </c>
      <c r="M9749" t="n">
        <v>0</v>
      </c>
      <c r="N9749" t="n">
        <v>0</v>
      </c>
      <c r="O9749" t="n">
        <v>0</v>
      </c>
      <c r="P9749" t="n">
        <v>0</v>
      </c>
      <c r="Q9749" t="n">
        <v>0</v>
      </c>
      <c r="R9749" t="n">
        <v>0</v>
      </c>
      <c r="S9749" t="n">
        <v>0</v>
      </c>
      <c r="T9749" t="n">
        <v>0</v>
      </c>
      <c r="U9749" t="n">
        <v>0</v>
      </c>
      <c r="V9749" s="2" t="inlineStr"/>
    </row>
    <row r="9750" ht="15" customHeight="1">
      <c r="A9750" t="inlineStr">
        <is>
          <t>A 33231-2026</t>
        </is>
      </c>
      <c r="B9750" t="inlineStr">
        <is>
          <t>avverkningsanmälan</t>
        </is>
      </c>
      <c r="C9750" t="inlineStr">
        <is>
          <t>Avverkning för annat ändamål</t>
        </is>
      </c>
      <c r="D9750" s="1" t="n">
        <v>46246</v>
      </c>
      <c r="E9750" s="1" t="n">
        <v>46326</v>
      </c>
      <c r="F9750" t="inlineStr">
        <is>
          <t>GÄVLEBORGS LÄN</t>
        </is>
      </c>
      <c r="G9750" t="inlineStr">
        <is>
          <t>GÄVLE</t>
        </is>
      </c>
      <c r="I9750" t="n">
        <v>1.4</v>
      </c>
      <c r="J9750" t="n">
        <v>0</v>
      </c>
      <c r="K9750" t="n">
        <v>0</v>
      </c>
      <c r="L9750" t="n">
        <v>0</v>
      </c>
      <c r="M9750" t="n">
        <v>0</v>
      </c>
      <c r="N9750" t="n">
        <v>0</v>
      </c>
      <c r="O9750" t="n">
        <v>0</v>
      </c>
      <c r="P9750" t="n">
        <v>0</v>
      </c>
      <c r="Q9750" t="n">
        <v>0</v>
      </c>
      <c r="R9750" t="n">
        <v>0</v>
      </c>
      <c r="S9750" t="n">
        <v>0</v>
      </c>
      <c r="T9750" t="n">
        <v>0</v>
      </c>
      <c r="U9750" t="n">
        <v>0</v>
      </c>
      <c r="V9750" s="2" t="inlineStr"/>
    </row>
    <row r="9751" ht="15" customHeight="1">
      <c r="A9751" t="inlineStr">
        <is>
          <t>A 63716-2021</t>
        </is>
      </c>
      <c r="B9751" t="inlineStr">
        <is>
          <t>avverkningsanmälan</t>
        </is>
      </c>
      <c r="C9751" t="inlineStr">
        <is>
          <t>Föryngringsavverkning</t>
        </is>
      </c>
      <c r="D9751" s="1" t="n">
        <v>44509</v>
      </c>
      <c r="E9751" s="1" t="n">
        <v>46326</v>
      </c>
      <c r="F9751" t="inlineStr">
        <is>
          <t>GÄVLEBORGS LÄN</t>
        </is>
      </c>
      <c r="G9751" t="inlineStr">
        <is>
          <t>BOLLNÄS</t>
        </is>
      </c>
      <c r="I9751" t="n">
        <v>3.8</v>
      </c>
      <c r="J9751" t="n">
        <v>0</v>
      </c>
      <c r="K9751" t="n">
        <v>0</v>
      </c>
      <c r="L9751" t="n">
        <v>0</v>
      </c>
      <c r="M9751" t="n">
        <v>0</v>
      </c>
      <c r="N9751" t="n">
        <v>0</v>
      </c>
      <c r="O9751" t="n">
        <v>0</v>
      </c>
      <c r="P9751" t="n">
        <v>0</v>
      </c>
      <c r="Q9751" t="n">
        <v>0</v>
      </c>
      <c r="R9751" t="n">
        <v>0</v>
      </c>
      <c r="S9751" t="n">
        <v>0</v>
      </c>
      <c r="T9751" t="n">
        <v>0</v>
      </c>
      <c r="U9751" t="n">
        <v>0</v>
      </c>
      <c r="V9751" s="2" t="inlineStr"/>
    </row>
    <row r="9752" ht="15" customHeight="1">
      <c r="A9752" t="inlineStr">
        <is>
          <t>A 33346-2026</t>
        </is>
      </c>
      <c r="B9752" t="inlineStr">
        <is>
          <t>avverkningsanmälan</t>
        </is>
      </c>
      <c r="C9752" t="inlineStr">
        <is>
          <t>Föryngringsavverkning</t>
        </is>
      </c>
      <c r="D9752" s="1" t="n">
        <v>46246</v>
      </c>
      <c r="E9752" s="1" t="n">
        <v>46326</v>
      </c>
      <c r="F9752" t="inlineStr">
        <is>
          <t>GÄVLEBORGS LÄN</t>
        </is>
      </c>
      <c r="G9752" t="inlineStr">
        <is>
          <t>GÄVLE</t>
        </is>
      </c>
      <c r="H9752" t="inlineStr">
        <is>
          <t>Bergvik skog öst AB</t>
        </is>
      </c>
      <c r="I9752" t="n">
        <v>1.1</v>
      </c>
      <c r="J9752" t="n">
        <v>0</v>
      </c>
      <c r="K9752" t="n">
        <v>0</v>
      </c>
      <c r="L9752" t="n">
        <v>0</v>
      </c>
      <c r="M9752" t="n">
        <v>0</v>
      </c>
      <c r="N9752" t="n">
        <v>0</v>
      </c>
      <c r="O9752" t="n">
        <v>0</v>
      </c>
      <c r="P9752" t="n">
        <v>0</v>
      </c>
      <c r="Q9752" t="n">
        <v>0</v>
      </c>
      <c r="R9752" t="n">
        <v>0</v>
      </c>
      <c r="S9752" t="n">
        <v>0</v>
      </c>
      <c r="T9752" t="n">
        <v>0</v>
      </c>
      <c r="U9752" t="n">
        <v>0</v>
      </c>
      <c r="V9752" s="2" t="inlineStr"/>
    </row>
    <row r="9753" ht="15" customHeight="1">
      <c r="A9753" t="inlineStr">
        <is>
          <t>A 33349-2026</t>
        </is>
      </c>
      <c r="B9753" t="inlineStr">
        <is>
          <t>avverkningsanmälan</t>
        </is>
      </c>
      <c r="C9753" t="inlineStr">
        <is>
          <t>Föryngringsavverkning</t>
        </is>
      </c>
      <c r="D9753" s="1" t="n">
        <v>46246</v>
      </c>
      <c r="E9753" s="1" t="n">
        <v>46326</v>
      </c>
      <c r="F9753" t="inlineStr">
        <is>
          <t>GÄVLEBORGS LÄN</t>
        </is>
      </c>
      <c r="G9753" t="inlineStr">
        <is>
          <t>GÄVLE</t>
        </is>
      </c>
      <c r="H9753" t="inlineStr">
        <is>
          <t>Bergvik skog öst AB</t>
        </is>
      </c>
      <c r="I9753" t="n">
        <v>0.4</v>
      </c>
      <c r="J9753" t="n">
        <v>0</v>
      </c>
      <c r="K9753" t="n">
        <v>0</v>
      </c>
      <c r="L9753" t="n">
        <v>0</v>
      </c>
      <c r="M9753" t="n">
        <v>0</v>
      </c>
      <c r="N9753" t="n">
        <v>0</v>
      </c>
      <c r="O9753" t="n">
        <v>0</v>
      </c>
      <c r="P9753" t="n">
        <v>0</v>
      </c>
      <c r="Q9753" t="n">
        <v>0</v>
      </c>
      <c r="R9753" t="n">
        <v>0</v>
      </c>
      <c r="S9753" t="n">
        <v>0</v>
      </c>
      <c r="T9753" t="n">
        <v>0</v>
      </c>
      <c r="U9753" t="n">
        <v>0</v>
      </c>
      <c r="V9753" s="2" t="inlineStr"/>
    </row>
    <row r="9754" ht="15" customHeight="1">
      <c r="A9754" t="inlineStr">
        <is>
          <t>A 39584-2026</t>
        </is>
      </c>
      <c r="B9754" t="inlineStr">
        <is>
          <t>avverkningsanmälan</t>
        </is>
      </c>
      <c r="C9754" t="inlineStr">
        <is>
          <t>Föryngringsavverkning</t>
        </is>
      </c>
      <c r="D9754" s="1" t="n">
        <v>46289</v>
      </c>
      <c r="E9754" s="1" t="n">
        <v>46326</v>
      </c>
      <c r="F9754" t="inlineStr">
        <is>
          <t>GÄVLEBORGS LÄN</t>
        </is>
      </c>
      <c r="G9754" t="inlineStr">
        <is>
          <t>NORDANSTIG</t>
        </is>
      </c>
      <c r="H9754" t="inlineStr">
        <is>
          <t>Holmen skog AB</t>
        </is>
      </c>
      <c r="I9754" t="n">
        <v>1.4</v>
      </c>
      <c r="J9754" t="n">
        <v>0</v>
      </c>
      <c r="K9754" t="n">
        <v>0</v>
      </c>
      <c r="L9754" t="n">
        <v>0</v>
      </c>
      <c r="M9754" t="n">
        <v>0</v>
      </c>
      <c r="N9754" t="n">
        <v>0</v>
      </c>
      <c r="O9754" t="n">
        <v>0</v>
      </c>
      <c r="P9754" t="n">
        <v>0</v>
      </c>
      <c r="Q9754" t="n">
        <v>0</v>
      </c>
      <c r="R9754" t="n">
        <v>0</v>
      </c>
      <c r="S9754" t="n">
        <v>0</v>
      </c>
      <c r="T9754" t="n">
        <v>0</v>
      </c>
      <c r="U9754" t="n">
        <v>0</v>
      </c>
      <c r="V9754" s="2" t="inlineStr"/>
    </row>
    <row r="9755" ht="15" customHeight="1">
      <c r="A9755" t="inlineStr">
        <is>
          <t>A 39681-2026</t>
        </is>
      </c>
      <c r="B9755" t="inlineStr">
        <is>
          <t>avverkningsanmälan</t>
        </is>
      </c>
      <c r="C9755" t="inlineStr">
        <is>
          <t>Föryngringsavverkning</t>
        </is>
      </c>
      <c r="D9755" s="1" t="n">
        <v>46289</v>
      </c>
      <c r="E9755" s="1" t="n">
        <v>46326</v>
      </c>
      <c r="F9755" t="inlineStr">
        <is>
          <t>GÄVLEBORGS LÄN</t>
        </is>
      </c>
      <c r="G9755" t="inlineStr">
        <is>
          <t>OCKELBO</t>
        </is>
      </c>
      <c r="H9755" t="inlineStr">
        <is>
          <t>Bergvik skog väst AB</t>
        </is>
      </c>
      <c r="I9755" t="n">
        <v>1.4</v>
      </c>
      <c r="J9755" t="n">
        <v>0</v>
      </c>
      <c r="K9755" t="n">
        <v>0</v>
      </c>
      <c r="L9755" t="n">
        <v>0</v>
      </c>
      <c r="M9755" t="n">
        <v>0</v>
      </c>
      <c r="N9755" t="n">
        <v>0</v>
      </c>
      <c r="O9755" t="n">
        <v>0</v>
      </c>
      <c r="P9755" t="n">
        <v>0</v>
      </c>
      <c r="Q9755" t="n">
        <v>0</v>
      </c>
      <c r="R9755" t="n">
        <v>0</v>
      </c>
      <c r="S9755" t="n">
        <v>0</v>
      </c>
      <c r="T9755" t="n">
        <v>0</v>
      </c>
      <c r="U9755" t="n">
        <v>0</v>
      </c>
      <c r="V9755" s="2" t="inlineStr"/>
    </row>
    <row r="9756" ht="15" customHeight="1">
      <c r="A9756" t="inlineStr">
        <is>
          <t>A 39684-2026</t>
        </is>
      </c>
      <c r="B9756" t="inlineStr">
        <is>
          <t>avverkningsanmälan</t>
        </is>
      </c>
      <c r="C9756" t="inlineStr">
        <is>
          <t>Föryngringsavverkning</t>
        </is>
      </c>
      <c r="D9756" s="1" t="n">
        <v>46289</v>
      </c>
      <c r="E9756" s="1" t="n">
        <v>46326</v>
      </c>
      <c r="F9756" t="inlineStr">
        <is>
          <t>GÄVLEBORGS LÄN</t>
        </is>
      </c>
      <c r="G9756" t="inlineStr">
        <is>
          <t>GÄVLE</t>
        </is>
      </c>
      <c r="H9756" t="inlineStr">
        <is>
          <t>Bergvik skog öst AB</t>
        </is>
      </c>
      <c r="I9756" t="n">
        <v>3.9</v>
      </c>
      <c r="J9756" t="n">
        <v>0</v>
      </c>
      <c r="K9756" t="n">
        <v>0</v>
      </c>
      <c r="L9756" t="n">
        <v>0</v>
      </c>
      <c r="M9756" t="n">
        <v>0</v>
      </c>
      <c r="N9756" t="n">
        <v>0</v>
      </c>
      <c r="O9756" t="n">
        <v>0</v>
      </c>
      <c r="P9756" t="n">
        <v>0</v>
      </c>
      <c r="Q9756" t="n">
        <v>0</v>
      </c>
      <c r="R9756" t="n">
        <v>0</v>
      </c>
      <c r="S9756" t="n">
        <v>0</v>
      </c>
      <c r="T9756" t="n">
        <v>0</v>
      </c>
      <c r="U9756" t="n">
        <v>0</v>
      </c>
      <c r="V9756" s="2" t="inlineStr"/>
    </row>
    <row r="9757" ht="15" customHeight="1">
      <c r="A9757" t="inlineStr">
        <is>
          <t>A 2620-2025</t>
        </is>
      </c>
      <c r="B9757" t="inlineStr">
        <is>
          <t>avverkningsanmälan</t>
        </is>
      </c>
      <c r="C9757" t="inlineStr">
        <is>
          <t>Föryngringsavverkning</t>
        </is>
      </c>
      <c r="D9757" s="1" t="n">
        <v>45675</v>
      </c>
      <c r="E9757" s="1" t="n">
        <v>46326</v>
      </c>
      <c r="F9757" t="inlineStr">
        <is>
          <t>GÄVLEBORGS LÄN</t>
        </is>
      </c>
      <c r="G9757" t="inlineStr">
        <is>
          <t>BOLLNÄS</t>
        </is>
      </c>
      <c r="I9757" t="n">
        <v>1.5</v>
      </c>
      <c r="J9757" t="n">
        <v>0</v>
      </c>
      <c r="K9757" t="n">
        <v>0</v>
      </c>
      <c r="L9757" t="n">
        <v>0</v>
      </c>
      <c r="M9757" t="n">
        <v>0</v>
      </c>
      <c r="N9757" t="n">
        <v>0</v>
      </c>
      <c r="O9757" t="n">
        <v>0</v>
      </c>
      <c r="P9757" t="n">
        <v>0</v>
      </c>
      <c r="Q9757" t="n">
        <v>0</v>
      </c>
      <c r="R9757" t="n">
        <v>0</v>
      </c>
      <c r="S9757" t="n">
        <v>0</v>
      </c>
      <c r="T9757" t="n">
        <v>0</v>
      </c>
      <c r="U9757" t="n">
        <v>0</v>
      </c>
      <c r="V9757" s="2" t="inlineStr"/>
    </row>
    <row r="9758" ht="15" customHeight="1">
      <c r="A9758" t="inlineStr">
        <is>
          <t>A 2663-2025</t>
        </is>
      </c>
      <c r="B9758" t="inlineStr">
        <is>
          <t>avverkningsanmälan</t>
        </is>
      </c>
      <c r="C9758" t="inlineStr">
        <is>
          <t>Föryngringsavverkning</t>
        </is>
      </c>
      <c r="D9758" s="1" t="n">
        <v>45676</v>
      </c>
      <c r="E9758" s="1" t="n">
        <v>46326</v>
      </c>
      <c r="F9758" t="inlineStr">
        <is>
          <t>GÄVLEBORGS LÄN</t>
        </is>
      </c>
      <c r="G9758" t="inlineStr">
        <is>
          <t>HUDIKSVALL</t>
        </is>
      </c>
      <c r="I9758" t="n">
        <v>0.9</v>
      </c>
      <c r="J9758" t="n">
        <v>0</v>
      </c>
      <c r="K9758" t="n">
        <v>0</v>
      </c>
      <c r="L9758" t="n">
        <v>0</v>
      </c>
      <c r="M9758" t="n">
        <v>0</v>
      </c>
      <c r="N9758" t="n">
        <v>0</v>
      </c>
      <c r="O9758" t="n">
        <v>0</v>
      </c>
      <c r="P9758" t="n">
        <v>0</v>
      </c>
      <c r="Q9758" t="n">
        <v>0</v>
      </c>
      <c r="R9758" t="n">
        <v>0</v>
      </c>
      <c r="S9758" t="n">
        <v>0</v>
      </c>
      <c r="T9758" t="n">
        <v>0</v>
      </c>
      <c r="U9758" t="n">
        <v>0</v>
      </c>
      <c r="V9758" s="2" t="inlineStr"/>
    </row>
    <row r="9759" ht="15" customHeight="1">
      <c r="A9759" t="inlineStr">
        <is>
          <t>A 50283-2024</t>
        </is>
      </c>
      <c r="B9759" t="inlineStr">
        <is>
          <t>avverkningsanmälan</t>
        </is>
      </c>
      <c r="C9759" t="inlineStr">
        <is>
          <t>Föryngringsavverkning</t>
        </is>
      </c>
      <c r="D9759" s="1" t="n">
        <v>45600</v>
      </c>
      <c r="E9759" s="1" t="n">
        <v>46326</v>
      </c>
      <c r="F9759" t="inlineStr">
        <is>
          <t>GÄVLEBORGS LÄN</t>
        </is>
      </c>
      <c r="G9759" t="inlineStr">
        <is>
          <t>SÖDERHAMN</t>
        </is>
      </c>
      <c r="I9759" t="n">
        <v>0.8</v>
      </c>
      <c r="J9759" t="n">
        <v>0</v>
      </c>
      <c r="K9759" t="n">
        <v>0</v>
      </c>
      <c r="L9759" t="n">
        <v>0</v>
      </c>
      <c r="M9759" t="n">
        <v>0</v>
      </c>
      <c r="N9759" t="n">
        <v>0</v>
      </c>
      <c r="O9759" t="n">
        <v>0</v>
      </c>
      <c r="P9759" t="n">
        <v>0</v>
      </c>
      <c r="Q9759" t="n">
        <v>0</v>
      </c>
      <c r="R9759" t="n">
        <v>0</v>
      </c>
      <c r="S9759" t="n">
        <v>0</v>
      </c>
      <c r="T9759" t="n">
        <v>0</v>
      </c>
      <c r="U9759" t="n">
        <v>0</v>
      </c>
      <c r="V9759" s="2" t="inlineStr"/>
    </row>
    <row r="9760" ht="15" customHeight="1">
      <c r="A9760" t="inlineStr">
        <is>
          <t>A 33348-2026</t>
        </is>
      </c>
      <c r="B9760" t="inlineStr">
        <is>
          <t>avverkningsanmälan</t>
        </is>
      </c>
      <c r="C9760" t="inlineStr">
        <is>
          <t>Föryngringsavverkning</t>
        </is>
      </c>
      <c r="D9760" s="1" t="n">
        <v>46246</v>
      </c>
      <c r="E9760" s="1" t="n">
        <v>46326</v>
      </c>
      <c r="F9760" t="inlineStr">
        <is>
          <t>GÄVLEBORGS LÄN</t>
        </is>
      </c>
      <c r="G9760" t="inlineStr">
        <is>
          <t>GÄVLE</t>
        </is>
      </c>
      <c r="H9760" t="inlineStr">
        <is>
          <t>Bergvik skog öst AB</t>
        </is>
      </c>
      <c r="I9760" t="n">
        <v>2.6</v>
      </c>
      <c r="J9760" t="n">
        <v>0</v>
      </c>
      <c r="K9760" t="n">
        <v>0</v>
      </c>
      <c r="L9760" t="n">
        <v>0</v>
      </c>
      <c r="M9760" t="n">
        <v>0</v>
      </c>
      <c r="N9760" t="n">
        <v>0</v>
      </c>
      <c r="O9760" t="n">
        <v>0</v>
      </c>
      <c r="P9760" t="n">
        <v>0</v>
      </c>
      <c r="Q9760" t="n">
        <v>0</v>
      </c>
      <c r="R9760" t="n">
        <v>0</v>
      </c>
      <c r="S9760" t="n">
        <v>0</v>
      </c>
      <c r="T9760" t="n">
        <v>0</v>
      </c>
      <c r="U9760" t="n">
        <v>0</v>
      </c>
      <c r="V9760" s="2" t="inlineStr"/>
    </row>
    <row r="9761" ht="15" customHeight="1">
      <c r="A9761" t="inlineStr">
        <is>
          <t>A 33350-2026</t>
        </is>
      </c>
      <c r="B9761" t="inlineStr">
        <is>
          <t>avverkningsanmälan</t>
        </is>
      </c>
      <c r="C9761" t="inlineStr">
        <is>
          <t>Föryngringsavverkning</t>
        </is>
      </c>
      <c r="D9761" s="1" t="n">
        <v>46246</v>
      </c>
      <c r="E9761" s="1" t="n">
        <v>46326</v>
      </c>
      <c r="F9761" t="inlineStr">
        <is>
          <t>GÄVLEBORGS LÄN</t>
        </is>
      </c>
      <c r="G9761" t="inlineStr">
        <is>
          <t>GÄVLE</t>
        </is>
      </c>
      <c r="H9761" t="inlineStr">
        <is>
          <t>Bergvik skog öst AB</t>
        </is>
      </c>
      <c r="I9761" t="n">
        <v>1.1</v>
      </c>
      <c r="J9761" t="n">
        <v>0</v>
      </c>
      <c r="K9761" t="n">
        <v>0</v>
      </c>
      <c r="L9761" t="n">
        <v>0</v>
      </c>
      <c r="M9761" t="n">
        <v>0</v>
      </c>
      <c r="N9761" t="n">
        <v>0</v>
      </c>
      <c r="O9761" t="n">
        <v>0</v>
      </c>
      <c r="P9761" t="n">
        <v>0</v>
      </c>
      <c r="Q9761" t="n">
        <v>0</v>
      </c>
      <c r="R9761" t="n">
        <v>0</v>
      </c>
      <c r="S9761" t="n">
        <v>0</v>
      </c>
      <c r="T9761" t="n">
        <v>0</v>
      </c>
      <c r="U9761" t="n">
        <v>0</v>
      </c>
      <c r="V9761" s="2" t="inlineStr"/>
    </row>
    <row r="9762" ht="15" customHeight="1">
      <c r="A9762" t="inlineStr">
        <is>
          <t>A 28326-2026</t>
        </is>
      </c>
      <c r="B9762" t="inlineStr">
        <is>
          <t>avverkningsanmälan</t>
        </is>
      </c>
      <c r="C9762" t="inlineStr">
        <is>
          <t>Föryngringsavverkning</t>
        </is>
      </c>
      <c r="D9762" s="1" t="n">
        <v>46196</v>
      </c>
      <c r="E9762" s="1" t="n">
        <v>46326</v>
      </c>
      <c r="F9762" t="inlineStr">
        <is>
          <t>GÄVLEBORGS LÄN</t>
        </is>
      </c>
      <c r="G9762" t="inlineStr">
        <is>
          <t>HUDIKSVALL</t>
        </is>
      </c>
      <c r="H9762" t="inlineStr">
        <is>
          <t>Holmen skog AB</t>
        </is>
      </c>
      <c r="I9762" t="n">
        <v>34.6</v>
      </c>
      <c r="J9762" t="n">
        <v>0</v>
      </c>
      <c r="K9762" t="n">
        <v>0</v>
      </c>
      <c r="L9762" t="n">
        <v>0</v>
      </c>
      <c r="M9762" t="n">
        <v>0</v>
      </c>
      <c r="N9762" t="n">
        <v>0</v>
      </c>
      <c r="O9762" t="n">
        <v>0</v>
      </c>
      <c r="P9762" t="n">
        <v>0</v>
      </c>
      <c r="Q9762" t="n">
        <v>0</v>
      </c>
      <c r="R9762" t="n">
        <v>0</v>
      </c>
      <c r="S9762" t="n">
        <v>0</v>
      </c>
      <c r="T9762" t="n">
        <v>0</v>
      </c>
      <c r="U9762" t="n">
        <v>0</v>
      </c>
      <c r="V9762" s="2" t="inlineStr"/>
    </row>
    <row r="9763" ht="15" customHeight="1">
      <c r="A9763" t="inlineStr">
        <is>
          <t>A 49518-2023</t>
        </is>
      </c>
      <c r="B9763" t="inlineStr">
        <is>
          <t>avverkningsanmälan</t>
        </is>
      </c>
      <c r="C9763" t="inlineStr">
        <is>
          <t>Föryngringsavverkning</t>
        </is>
      </c>
      <c r="D9763" s="1" t="n">
        <v>45211</v>
      </c>
      <c r="E9763" s="1" t="n">
        <v>46326</v>
      </c>
      <c r="F9763" t="inlineStr">
        <is>
          <t>GÄVLEBORGS LÄN</t>
        </is>
      </c>
      <c r="G9763" t="inlineStr">
        <is>
          <t>SANDVIKEN</t>
        </is>
      </c>
      <c r="I9763" t="n">
        <v>7.4</v>
      </c>
      <c r="J9763" t="n">
        <v>0</v>
      </c>
      <c r="K9763" t="n">
        <v>0</v>
      </c>
      <c r="L9763" t="n">
        <v>0</v>
      </c>
      <c r="M9763" t="n">
        <v>0</v>
      </c>
      <c r="N9763" t="n">
        <v>0</v>
      </c>
      <c r="O9763" t="n">
        <v>0</v>
      </c>
      <c r="P9763" t="n">
        <v>0</v>
      </c>
      <c r="Q9763" t="n">
        <v>0</v>
      </c>
      <c r="R9763" t="n">
        <v>0</v>
      </c>
      <c r="S9763" t="n">
        <v>0</v>
      </c>
      <c r="T9763" t="n">
        <v>0</v>
      </c>
      <c r="U9763" t="n">
        <v>0</v>
      </c>
      <c r="V9763" s="2" t="inlineStr"/>
    </row>
    <row r="9764" ht="15" customHeight="1">
      <c r="A9764" t="inlineStr">
        <is>
          <t>A 59522-2022</t>
        </is>
      </c>
      <c r="B9764" t="inlineStr">
        <is>
          <t>avverkningsanmälan</t>
        </is>
      </c>
      <c r="C9764" t="inlineStr">
        <is>
          <t>Föryngringsavverkning</t>
        </is>
      </c>
      <c r="D9764" s="1" t="n">
        <v>44907</v>
      </c>
      <c r="E9764" s="1" t="n">
        <v>46326</v>
      </c>
      <c r="F9764" t="inlineStr">
        <is>
          <t>GÄVLEBORGS LÄN</t>
        </is>
      </c>
      <c r="G9764" t="inlineStr">
        <is>
          <t>HUDIKSVALL</t>
        </is>
      </c>
      <c r="I9764" t="n">
        <v>0.7</v>
      </c>
      <c r="J9764" t="n">
        <v>0</v>
      </c>
      <c r="K9764" t="n">
        <v>0</v>
      </c>
      <c r="L9764" t="n">
        <v>0</v>
      </c>
      <c r="M9764" t="n">
        <v>0</v>
      </c>
      <c r="N9764" t="n">
        <v>0</v>
      </c>
      <c r="O9764" t="n">
        <v>0</v>
      </c>
      <c r="P9764" t="n">
        <v>0</v>
      </c>
      <c r="Q9764" t="n">
        <v>0</v>
      </c>
      <c r="R9764" t="n">
        <v>0</v>
      </c>
      <c r="S9764" t="n">
        <v>0</v>
      </c>
      <c r="T9764" t="n">
        <v>0</v>
      </c>
      <c r="U9764" t="n">
        <v>0</v>
      </c>
      <c r="V9764" s="2" t="inlineStr"/>
    </row>
    <row r="9765" ht="15" customHeight="1">
      <c r="A9765" t="inlineStr">
        <is>
          <t>A 4864-2023</t>
        </is>
      </c>
      <c r="B9765" t="inlineStr">
        <is>
          <t>avverkningsanmälan</t>
        </is>
      </c>
      <c r="C9765" t="inlineStr">
        <is>
          <t>Föryngringsavverkning</t>
        </is>
      </c>
      <c r="D9765" s="1" t="n">
        <v>44957</v>
      </c>
      <c r="E9765" s="1" t="n">
        <v>46326</v>
      </c>
      <c r="F9765" t="inlineStr">
        <is>
          <t>GÄVLEBORGS LÄN</t>
        </is>
      </c>
      <c r="G9765" t="inlineStr">
        <is>
          <t>LJUSDAL</t>
        </is>
      </c>
      <c r="I9765" t="n">
        <v>3.4</v>
      </c>
      <c r="J9765" t="n">
        <v>0</v>
      </c>
      <c r="K9765" t="n">
        <v>0</v>
      </c>
      <c r="L9765" t="n">
        <v>0</v>
      </c>
      <c r="M9765" t="n">
        <v>0</v>
      </c>
      <c r="N9765" t="n">
        <v>0</v>
      </c>
      <c r="O9765" t="n">
        <v>0</v>
      </c>
      <c r="P9765" t="n">
        <v>0</v>
      </c>
      <c r="Q9765" t="n">
        <v>0</v>
      </c>
      <c r="R9765" t="n">
        <v>0</v>
      </c>
      <c r="S9765" t="n">
        <v>0</v>
      </c>
      <c r="T9765" t="n">
        <v>0</v>
      </c>
      <c r="U9765" t="n">
        <v>0</v>
      </c>
      <c r="V9765" s="2" t="inlineStr"/>
    </row>
    <row r="9766" ht="15" customHeight="1">
      <c r="A9766" t="inlineStr">
        <is>
          <t>A 33072-2026</t>
        </is>
      </c>
      <c r="B9766" t="inlineStr">
        <is>
          <t>avverkningsanmälan</t>
        </is>
      </c>
      <c r="C9766" t="inlineStr">
        <is>
          <t>Föryngringsavverkning</t>
        </is>
      </c>
      <c r="D9766" s="1" t="n">
        <v>46245</v>
      </c>
      <c r="E9766" s="1" t="n">
        <v>46326</v>
      </c>
      <c r="F9766" t="inlineStr">
        <is>
          <t>GÄVLEBORGS LÄN</t>
        </is>
      </c>
      <c r="G9766" t="inlineStr">
        <is>
          <t>LJUSDAL</t>
        </is>
      </c>
      <c r="H9766" t="inlineStr">
        <is>
          <t>Sveaskog</t>
        </is>
      </c>
      <c r="I9766" t="n">
        <v>8.4</v>
      </c>
      <c r="J9766" t="n">
        <v>0</v>
      </c>
      <c r="K9766" t="n">
        <v>0</v>
      </c>
      <c r="L9766" t="n">
        <v>0</v>
      </c>
      <c r="M9766" t="n">
        <v>0</v>
      </c>
      <c r="N9766" t="n">
        <v>0</v>
      </c>
      <c r="O9766" t="n">
        <v>0</v>
      </c>
      <c r="P9766" t="n">
        <v>0</v>
      </c>
      <c r="Q9766" t="n">
        <v>0</v>
      </c>
      <c r="R9766" t="n">
        <v>0</v>
      </c>
      <c r="S9766" t="n">
        <v>0</v>
      </c>
      <c r="T9766" t="n">
        <v>0</v>
      </c>
      <c r="U9766" t="n">
        <v>0</v>
      </c>
      <c r="V9766" s="2" t="inlineStr"/>
    </row>
    <row r="9767" ht="15" customHeight="1">
      <c r="A9767" t="inlineStr">
        <is>
          <t>A 10593-2025</t>
        </is>
      </c>
      <c r="B9767" t="inlineStr">
        <is>
          <t>avverkningsanmälan</t>
        </is>
      </c>
      <c r="C9767" t="inlineStr">
        <is>
          <t>Föryngringsavverkning</t>
        </is>
      </c>
      <c r="D9767" s="1" t="n">
        <v>45721</v>
      </c>
      <c r="E9767" s="1" t="n">
        <v>46326</v>
      </c>
      <c r="F9767" t="inlineStr">
        <is>
          <t>GÄVLEBORGS LÄN</t>
        </is>
      </c>
      <c r="G9767" t="inlineStr">
        <is>
          <t>OVANÅKER</t>
        </is>
      </c>
      <c r="H9767" t="inlineStr">
        <is>
          <t>Bergvik skog öst AB</t>
        </is>
      </c>
      <c r="I9767" t="n">
        <v>2.9</v>
      </c>
      <c r="J9767" t="n">
        <v>0</v>
      </c>
      <c r="K9767" t="n">
        <v>0</v>
      </c>
      <c r="L9767" t="n">
        <v>0</v>
      </c>
      <c r="M9767" t="n">
        <v>0</v>
      </c>
      <c r="N9767" t="n">
        <v>0</v>
      </c>
      <c r="O9767" t="n">
        <v>0</v>
      </c>
      <c r="P9767" t="n">
        <v>0</v>
      </c>
      <c r="Q9767" t="n">
        <v>0</v>
      </c>
      <c r="R9767" t="n">
        <v>0</v>
      </c>
      <c r="S9767" t="n">
        <v>0</v>
      </c>
      <c r="T9767" t="n">
        <v>0</v>
      </c>
      <c r="U9767" t="n">
        <v>0</v>
      </c>
      <c r="V9767" s="2" t="inlineStr"/>
    </row>
    <row r="9768" ht="15" customHeight="1">
      <c r="A9768" t="inlineStr">
        <is>
          <t>A 3628-2023</t>
        </is>
      </c>
      <c r="B9768" t="inlineStr">
        <is>
          <t>avverkningsanmälan</t>
        </is>
      </c>
      <c r="C9768" t="inlineStr">
        <is>
          <t>Föryngringsavverkning</t>
        </is>
      </c>
      <c r="D9768" s="1" t="n">
        <v>44950</v>
      </c>
      <c r="E9768" s="1" t="n">
        <v>46326</v>
      </c>
      <c r="F9768" t="inlineStr">
        <is>
          <t>GÄVLEBORGS LÄN</t>
        </is>
      </c>
      <c r="G9768" t="inlineStr">
        <is>
          <t>OCKELBO</t>
        </is>
      </c>
      <c r="I9768" t="n">
        <v>0.5</v>
      </c>
      <c r="J9768" t="n">
        <v>0</v>
      </c>
      <c r="K9768" t="n">
        <v>0</v>
      </c>
      <c r="L9768" t="n">
        <v>0</v>
      </c>
      <c r="M9768" t="n">
        <v>0</v>
      </c>
      <c r="N9768" t="n">
        <v>0</v>
      </c>
      <c r="O9768" t="n">
        <v>0</v>
      </c>
      <c r="P9768" t="n">
        <v>0</v>
      </c>
      <c r="Q9768" t="n">
        <v>0</v>
      </c>
      <c r="R9768" t="n">
        <v>0</v>
      </c>
      <c r="S9768" t="n">
        <v>0</v>
      </c>
      <c r="T9768" t="n">
        <v>0</v>
      </c>
      <c r="U9768" t="n">
        <v>0</v>
      </c>
      <c r="V9768" s="2" t="inlineStr"/>
    </row>
    <row r="9769" ht="15" customHeight="1">
      <c r="A9769" t="inlineStr">
        <is>
          <t>A 549-2022</t>
        </is>
      </c>
      <c r="B9769" t="inlineStr">
        <is>
          <t>avverkningsanmälan</t>
        </is>
      </c>
      <c r="C9769" t="inlineStr">
        <is>
          <t>Föryngringsavverkning</t>
        </is>
      </c>
      <c r="D9769" s="1" t="n">
        <v>44566</v>
      </c>
      <c r="E9769" s="1" t="n">
        <v>46326</v>
      </c>
      <c r="F9769" t="inlineStr">
        <is>
          <t>GÄVLEBORGS LÄN</t>
        </is>
      </c>
      <c r="G9769" t="inlineStr">
        <is>
          <t>SANDVIKEN</t>
        </is>
      </c>
      <c r="I9769" t="n">
        <v>1.4</v>
      </c>
      <c r="J9769" t="n">
        <v>0</v>
      </c>
      <c r="K9769" t="n">
        <v>0</v>
      </c>
      <c r="L9769" t="n">
        <v>0</v>
      </c>
      <c r="M9769" t="n">
        <v>0</v>
      </c>
      <c r="N9769" t="n">
        <v>0</v>
      </c>
      <c r="O9769" t="n">
        <v>0</v>
      </c>
      <c r="P9769" t="n">
        <v>0</v>
      </c>
      <c r="Q9769" t="n">
        <v>0</v>
      </c>
      <c r="R9769" t="n">
        <v>0</v>
      </c>
      <c r="S9769" t="n">
        <v>0</v>
      </c>
      <c r="T9769" t="n">
        <v>0</v>
      </c>
      <c r="U9769" t="n">
        <v>0</v>
      </c>
      <c r="V9769" s="2" t="inlineStr"/>
    </row>
    <row r="9770" ht="15" customHeight="1">
      <c r="A9770" t="inlineStr">
        <is>
          <t>A 574-2022</t>
        </is>
      </c>
      <c r="B9770" t="inlineStr">
        <is>
          <t>avverkningsanmälan</t>
        </is>
      </c>
      <c r="C9770" t="inlineStr">
        <is>
          <t>Avverkning för annat ändamål</t>
        </is>
      </c>
      <c r="D9770" s="1" t="n">
        <v>44566</v>
      </c>
      <c r="E9770" s="1" t="n">
        <v>46326</v>
      </c>
      <c r="F9770" t="inlineStr">
        <is>
          <t>GÄVLEBORGS LÄN</t>
        </is>
      </c>
      <c r="G9770" t="inlineStr">
        <is>
          <t>LJUSDAL</t>
        </is>
      </c>
      <c r="I9770" t="n">
        <v>1.4</v>
      </c>
      <c r="J9770" t="n">
        <v>0</v>
      </c>
      <c r="K9770" t="n">
        <v>0</v>
      </c>
      <c r="L9770" t="n">
        <v>0</v>
      </c>
      <c r="M9770" t="n">
        <v>0</v>
      </c>
      <c r="N9770" t="n">
        <v>0</v>
      </c>
      <c r="O9770" t="n">
        <v>0</v>
      </c>
      <c r="P9770" t="n">
        <v>0</v>
      </c>
      <c r="Q9770" t="n">
        <v>0</v>
      </c>
      <c r="R9770" t="n">
        <v>0</v>
      </c>
      <c r="S9770" t="n">
        <v>0</v>
      </c>
      <c r="T9770" t="n">
        <v>0</v>
      </c>
      <c r="U9770" t="n">
        <v>0</v>
      </c>
      <c r="V9770" s="2" t="inlineStr"/>
    </row>
    <row r="9771" ht="15" customHeight="1">
      <c r="A9771" t="inlineStr">
        <is>
          <t>A 39308-2026</t>
        </is>
      </c>
      <c r="B9771" t="inlineStr">
        <is>
          <t>avverkningsanmälan</t>
        </is>
      </c>
      <c r="C9771" t="inlineStr">
        <is>
          <t>Föryngringsavverkning</t>
        </is>
      </c>
      <c r="D9771" s="1" t="n">
        <v>46288</v>
      </c>
      <c r="E9771" s="1" t="n">
        <v>46326</v>
      </c>
      <c r="F9771" t="inlineStr">
        <is>
          <t>GÄVLEBORGS LÄN</t>
        </is>
      </c>
      <c r="G9771" t="inlineStr">
        <is>
          <t>BOLLNÄS</t>
        </is>
      </c>
      <c r="I9771" t="n">
        <v>1.3</v>
      </c>
      <c r="J9771" t="n">
        <v>0</v>
      </c>
      <c r="K9771" t="n">
        <v>0</v>
      </c>
      <c r="L9771" t="n">
        <v>0</v>
      </c>
      <c r="M9771" t="n">
        <v>0</v>
      </c>
      <c r="N9771" t="n">
        <v>0</v>
      </c>
      <c r="O9771" t="n">
        <v>0</v>
      </c>
      <c r="P9771" t="n">
        <v>0</v>
      </c>
      <c r="Q9771" t="n">
        <v>0</v>
      </c>
      <c r="R9771" t="n">
        <v>0</v>
      </c>
      <c r="S9771" t="n">
        <v>0</v>
      </c>
      <c r="T9771" t="n">
        <v>0</v>
      </c>
      <c r="U9771" t="n">
        <v>0</v>
      </c>
      <c r="V9771" s="2" t="inlineStr"/>
    </row>
    <row r="9772" ht="15" customHeight="1">
      <c r="A9772" t="inlineStr">
        <is>
          <t>A 1515-2026</t>
        </is>
      </c>
      <c r="B9772" t="inlineStr">
        <is>
          <t>avverkningsanmälan</t>
        </is>
      </c>
      <c r="C9772" t="inlineStr">
        <is>
          <t>Föryngringsavverkning</t>
        </is>
      </c>
      <c r="D9772" s="1" t="n">
        <v>46034</v>
      </c>
      <c r="E9772" s="1" t="n">
        <v>46326</v>
      </c>
      <c r="F9772" t="inlineStr">
        <is>
          <t>GÄVLEBORGS LÄN</t>
        </is>
      </c>
      <c r="G9772" t="inlineStr">
        <is>
          <t>BOLLNÄS</t>
        </is>
      </c>
      <c r="I9772" t="n">
        <v>16</v>
      </c>
      <c r="J9772" t="n">
        <v>0</v>
      </c>
      <c r="K9772" t="n">
        <v>0</v>
      </c>
      <c r="L9772" t="n">
        <v>0</v>
      </c>
      <c r="M9772" t="n">
        <v>0</v>
      </c>
      <c r="N9772" t="n">
        <v>0</v>
      </c>
      <c r="O9772" t="n">
        <v>0</v>
      </c>
      <c r="P9772" t="n">
        <v>0</v>
      </c>
      <c r="Q9772" t="n">
        <v>0</v>
      </c>
      <c r="R9772" t="n">
        <v>0</v>
      </c>
      <c r="S9772" t="n">
        <v>0</v>
      </c>
      <c r="T9772" t="n">
        <v>0</v>
      </c>
      <c r="U9772" t="n">
        <v>0</v>
      </c>
      <c r="V9772" s="2" t="inlineStr"/>
    </row>
    <row r="9773" ht="15" customHeight="1">
      <c r="A9773" t="inlineStr">
        <is>
          <t>A 33270-2026</t>
        </is>
      </c>
      <c r="B9773" t="inlineStr">
        <is>
          <t>avverkningsanmälan</t>
        </is>
      </c>
      <c r="C9773" t="inlineStr">
        <is>
          <t>Föryngringsavverkning</t>
        </is>
      </c>
      <c r="D9773" s="1" t="n">
        <v>46246</v>
      </c>
      <c r="E9773" s="1" t="n">
        <v>46326</v>
      </c>
      <c r="F9773" t="inlineStr">
        <is>
          <t>GÄVLEBORGS LÄN</t>
        </is>
      </c>
      <c r="G9773" t="inlineStr">
        <is>
          <t>HUDIKSVALL</t>
        </is>
      </c>
      <c r="H9773" t="inlineStr">
        <is>
          <t>Holmen skog AB</t>
        </is>
      </c>
      <c r="I9773" t="n">
        <v>5.3</v>
      </c>
      <c r="J9773" t="n">
        <v>0</v>
      </c>
      <c r="K9773" t="n">
        <v>0</v>
      </c>
      <c r="L9773" t="n">
        <v>0</v>
      </c>
      <c r="M9773" t="n">
        <v>0</v>
      </c>
      <c r="N9773" t="n">
        <v>0</v>
      </c>
      <c r="O9773" t="n">
        <v>0</v>
      </c>
      <c r="P9773" t="n">
        <v>0</v>
      </c>
      <c r="Q9773" t="n">
        <v>0</v>
      </c>
      <c r="R9773" t="n">
        <v>0</v>
      </c>
      <c r="S9773" t="n">
        <v>0</v>
      </c>
      <c r="T9773" t="n">
        <v>0</v>
      </c>
      <c r="U9773" t="n">
        <v>0</v>
      </c>
      <c r="V9773" s="2" t="inlineStr"/>
    </row>
    <row r="9774" ht="15" customHeight="1">
      <c r="A9774" t="inlineStr">
        <is>
          <t>A 22559-2023</t>
        </is>
      </c>
      <c r="B9774" t="inlineStr">
        <is>
          <t>avverkningsanmälan</t>
        </is>
      </c>
      <c r="C9774" t="inlineStr">
        <is>
          <t>Föryngringsavverkning</t>
        </is>
      </c>
      <c r="D9774" s="1" t="n">
        <v>45071</v>
      </c>
      <c r="E9774" s="1" t="n">
        <v>46326</v>
      </c>
      <c r="F9774" t="inlineStr">
        <is>
          <t>GÄVLEBORGS LÄN</t>
        </is>
      </c>
      <c r="G9774" t="inlineStr">
        <is>
          <t>LJUSDAL</t>
        </is>
      </c>
      <c r="H9774" t="inlineStr">
        <is>
          <t>Holmen skog AB</t>
        </is>
      </c>
      <c r="I9774" t="n">
        <v>4.4</v>
      </c>
      <c r="J9774" t="n">
        <v>0</v>
      </c>
      <c r="K9774" t="n">
        <v>0</v>
      </c>
      <c r="L9774" t="n">
        <v>0</v>
      </c>
      <c r="M9774" t="n">
        <v>0</v>
      </c>
      <c r="N9774" t="n">
        <v>0</v>
      </c>
      <c r="O9774" t="n">
        <v>0</v>
      </c>
      <c r="P9774" t="n">
        <v>0</v>
      </c>
      <c r="Q9774" t="n">
        <v>0</v>
      </c>
      <c r="R9774" t="n">
        <v>0</v>
      </c>
      <c r="S9774" t="n">
        <v>0</v>
      </c>
      <c r="T9774" t="n">
        <v>0</v>
      </c>
      <c r="U9774" t="n">
        <v>0</v>
      </c>
      <c r="V9774" s="2" t="inlineStr"/>
    </row>
    <row r="9775" ht="15" customHeight="1">
      <c r="A9775" t="inlineStr">
        <is>
          <t>A 36656-2023</t>
        </is>
      </c>
      <c r="B9775" t="inlineStr">
        <is>
          <t>avverkningsanmälan</t>
        </is>
      </c>
      <c r="C9775" t="inlineStr">
        <is>
          <t>Föryngringsavverkning</t>
        </is>
      </c>
      <c r="D9775" s="1" t="n">
        <v>45153</v>
      </c>
      <c r="E9775" s="1" t="n">
        <v>46326</v>
      </c>
      <c r="F9775" t="inlineStr">
        <is>
          <t>GÄVLEBORGS LÄN</t>
        </is>
      </c>
      <c r="G9775" t="inlineStr">
        <is>
          <t>SANDVIKEN</t>
        </is>
      </c>
      <c r="I9775" t="n">
        <v>3.2</v>
      </c>
      <c r="J9775" t="n">
        <v>0</v>
      </c>
      <c r="K9775" t="n">
        <v>0</v>
      </c>
      <c r="L9775" t="n">
        <v>0</v>
      </c>
      <c r="M9775" t="n">
        <v>0</v>
      </c>
      <c r="N9775" t="n">
        <v>0</v>
      </c>
      <c r="O9775" t="n">
        <v>0</v>
      </c>
      <c r="P9775" t="n">
        <v>0</v>
      </c>
      <c r="Q9775" t="n">
        <v>0</v>
      </c>
      <c r="R9775" t="n">
        <v>0</v>
      </c>
      <c r="S9775" t="n">
        <v>0</v>
      </c>
      <c r="T9775" t="n">
        <v>0</v>
      </c>
      <c r="U9775" t="n">
        <v>0</v>
      </c>
      <c r="V9775" s="2" t="inlineStr"/>
    </row>
    <row r="9776" ht="15" customHeight="1">
      <c r="A9776" t="inlineStr">
        <is>
          <t>A 1445-2023</t>
        </is>
      </c>
      <c r="B9776" t="inlineStr">
        <is>
          <t>avverkningsanmälan</t>
        </is>
      </c>
      <c r="C9776" t="inlineStr">
        <is>
          <t>Föryngringsavverkning</t>
        </is>
      </c>
      <c r="D9776" s="1" t="n">
        <v>44937</v>
      </c>
      <c r="E9776" s="1" t="n">
        <v>46326</v>
      </c>
      <c r="F9776" t="inlineStr">
        <is>
          <t>GÄVLEBORGS LÄN</t>
        </is>
      </c>
      <c r="G9776" t="inlineStr">
        <is>
          <t>LJUSDAL</t>
        </is>
      </c>
      <c r="I9776" t="n">
        <v>2</v>
      </c>
      <c r="J9776" t="n">
        <v>0</v>
      </c>
      <c r="K9776" t="n">
        <v>0</v>
      </c>
      <c r="L9776" t="n">
        <v>0</v>
      </c>
      <c r="M9776" t="n">
        <v>0</v>
      </c>
      <c r="N9776" t="n">
        <v>0</v>
      </c>
      <c r="O9776" t="n">
        <v>0</v>
      </c>
      <c r="P9776" t="n">
        <v>0</v>
      </c>
      <c r="Q9776" t="n">
        <v>0</v>
      </c>
      <c r="R9776" t="n">
        <v>0</v>
      </c>
      <c r="S9776" t="n">
        <v>0</v>
      </c>
      <c r="T9776" t="n">
        <v>0</v>
      </c>
      <c r="U9776" t="n">
        <v>0</v>
      </c>
      <c r="V9776" s="2" t="inlineStr"/>
    </row>
    <row r="9777" ht="15" customHeight="1">
      <c r="A9777" t="inlineStr">
        <is>
          <t>A 18680-2025</t>
        </is>
      </c>
      <c r="B9777" t="inlineStr">
        <is>
          <t>avverkningsanmälan</t>
        </is>
      </c>
      <c r="C9777" t="inlineStr">
        <is>
          <t>Föryngringsavverkning</t>
        </is>
      </c>
      <c r="D9777" s="1" t="n">
        <v>45763</v>
      </c>
      <c r="E9777" s="1" t="n">
        <v>46326</v>
      </c>
      <c r="F9777" t="inlineStr">
        <is>
          <t>GÄVLEBORGS LÄN</t>
        </is>
      </c>
      <c r="G9777" t="inlineStr">
        <is>
          <t>NORDANSTIG</t>
        </is>
      </c>
      <c r="I9777" t="n">
        <v>9.4</v>
      </c>
      <c r="J9777" t="n">
        <v>0</v>
      </c>
      <c r="K9777" t="n">
        <v>0</v>
      </c>
      <c r="L9777" t="n">
        <v>0</v>
      </c>
      <c r="M9777" t="n">
        <v>0</v>
      </c>
      <c r="N9777" t="n">
        <v>0</v>
      </c>
      <c r="O9777" t="n">
        <v>0</v>
      </c>
      <c r="P9777" t="n">
        <v>0</v>
      </c>
      <c r="Q9777" t="n">
        <v>0</v>
      </c>
      <c r="R9777" t="n">
        <v>0</v>
      </c>
      <c r="S9777" t="n">
        <v>0</v>
      </c>
      <c r="T9777" t="n">
        <v>0</v>
      </c>
      <c r="U9777" t="n">
        <v>0</v>
      </c>
      <c r="V9777" s="2" t="inlineStr"/>
    </row>
    <row r="9778" ht="15" customHeight="1">
      <c r="A9778" t="inlineStr">
        <is>
          <t>A 15881-2025</t>
        </is>
      </c>
      <c r="B9778" t="inlineStr">
        <is>
          <t>avverkningsanmälan</t>
        </is>
      </c>
      <c r="C9778" t="inlineStr">
        <is>
          <t>Föryngringsavverkning</t>
        </is>
      </c>
      <c r="D9778" s="1" t="n">
        <v>45749</v>
      </c>
      <c r="E9778" s="1" t="n">
        <v>46326</v>
      </c>
      <c r="F9778" t="inlineStr">
        <is>
          <t>GÄVLEBORGS LÄN</t>
        </is>
      </c>
      <c r="G9778" t="inlineStr">
        <is>
          <t>SÖDERHAMN</t>
        </is>
      </c>
      <c r="I9778" t="n">
        <v>1</v>
      </c>
      <c r="J9778" t="n">
        <v>0</v>
      </c>
      <c r="K9778" t="n">
        <v>0</v>
      </c>
      <c r="L9778" t="n">
        <v>0</v>
      </c>
      <c r="M9778" t="n">
        <v>0</v>
      </c>
      <c r="N9778" t="n">
        <v>0</v>
      </c>
      <c r="O9778" t="n">
        <v>0</v>
      </c>
      <c r="P9778" t="n">
        <v>0</v>
      </c>
      <c r="Q9778" t="n">
        <v>0</v>
      </c>
      <c r="R9778" t="n">
        <v>0</v>
      </c>
      <c r="S9778" t="n">
        <v>0</v>
      </c>
      <c r="T9778" t="n">
        <v>0</v>
      </c>
      <c r="U9778" t="n">
        <v>0</v>
      </c>
      <c r="V9778" s="2" t="inlineStr"/>
    </row>
    <row r="9779" ht="15" customHeight="1">
      <c r="A9779" t="inlineStr">
        <is>
          <t>A 19509-2025</t>
        </is>
      </c>
      <c r="B9779" t="inlineStr">
        <is>
          <t>avverkningsanmälan</t>
        </is>
      </c>
      <c r="C9779" t="inlineStr">
        <is>
          <t>Föryngringsavverkning</t>
        </is>
      </c>
      <c r="D9779" s="1" t="n">
        <v>45770</v>
      </c>
      <c r="E9779" s="1" t="n">
        <v>46326</v>
      </c>
      <c r="F9779" t="inlineStr">
        <is>
          <t>GÄVLEBORGS LÄN</t>
        </is>
      </c>
      <c r="G9779" t="inlineStr">
        <is>
          <t>HUDIKSVALL</t>
        </is>
      </c>
      <c r="I9779" t="n">
        <v>13.7</v>
      </c>
      <c r="J9779" t="n">
        <v>0</v>
      </c>
      <c r="K9779" t="n">
        <v>0</v>
      </c>
      <c r="L9779" t="n">
        <v>0</v>
      </c>
      <c r="M9779" t="n">
        <v>0</v>
      </c>
      <c r="N9779" t="n">
        <v>0</v>
      </c>
      <c r="O9779" t="n">
        <v>0</v>
      </c>
      <c r="P9779" t="n">
        <v>0</v>
      </c>
      <c r="Q9779" t="n">
        <v>0</v>
      </c>
      <c r="R9779" t="n">
        <v>0</v>
      </c>
      <c r="S9779" t="n">
        <v>0</v>
      </c>
      <c r="T9779" t="n">
        <v>0</v>
      </c>
      <c r="U9779" t="n">
        <v>0</v>
      </c>
      <c r="V9779" s="2" t="inlineStr"/>
    </row>
    <row r="9780" ht="15" customHeight="1">
      <c r="A9780" t="inlineStr">
        <is>
          <t>A 16258-2023</t>
        </is>
      </c>
      <c r="B9780" t="inlineStr">
        <is>
          <t>avverkningsanmälan</t>
        </is>
      </c>
      <c r="C9780" t="inlineStr">
        <is>
          <t>Föryngringsavverkning</t>
        </is>
      </c>
      <c r="D9780" s="1" t="n">
        <v>45022</v>
      </c>
      <c r="E9780" s="1" t="n">
        <v>46326</v>
      </c>
      <c r="F9780" t="inlineStr">
        <is>
          <t>GÄVLEBORGS LÄN</t>
        </is>
      </c>
      <c r="G9780" t="inlineStr">
        <is>
          <t>SANDVIKEN</t>
        </is>
      </c>
      <c r="H9780" t="inlineStr">
        <is>
          <t>Bergvik skog väst AB</t>
        </is>
      </c>
      <c r="I9780" t="n">
        <v>5.2</v>
      </c>
      <c r="J9780" t="n">
        <v>0</v>
      </c>
      <c r="K9780" t="n">
        <v>0</v>
      </c>
      <c r="L9780" t="n">
        <v>0</v>
      </c>
      <c r="M9780" t="n">
        <v>0</v>
      </c>
      <c r="N9780" t="n">
        <v>0</v>
      </c>
      <c r="O9780" t="n">
        <v>0</v>
      </c>
      <c r="P9780" t="n">
        <v>0</v>
      </c>
      <c r="Q9780" t="n">
        <v>0</v>
      </c>
      <c r="R9780" t="n">
        <v>0</v>
      </c>
      <c r="S9780" t="n">
        <v>0</v>
      </c>
      <c r="T9780" t="n">
        <v>0</v>
      </c>
      <c r="U9780" t="n">
        <v>0</v>
      </c>
      <c r="V9780" s="2" t="inlineStr"/>
    </row>
    <row r="9781" ht="15" customHeight="1">
      <c r="A9781" t="inlineStr">
        <is>
          <t>A 20705-2025</t>
        </is>
      </c>
      <c r="B9781" t="inlineStr">
        <is>
          <t>avverkningsanmälan</t>
        </is>
      </c>
      <c r="C9781" t="inlineStr">
        <is>
          <t>Föryngringsavverkning</t>
        </is>
      </c>
      <c r="D9781" s="1" t="n">
        <v>45776</v>
      </c>
      <c r="E9781" s="1" t="n">
        <v>46326</v>
      </c>
      <c r="F9781" t="inlineStr">
        <is>
          <t>GÄVLEBORGS LÄN</t>
        </is>
      </c>
      <c r="G9781" t="inlineStr">
        <is>
          <t>BOLLNÄS</t>
        </is>
      </c>
      <c r="I9781" t="n">
        <v>1.2</v>
      </c>
      <c r="J9781" t="n">
        <v>0</v>
      </c>
      <c r="K9781" t="n">
        <v>0</v>
      </c>
      <c r="L9781" t="n">
        <v>0</v>
      </c>
      <c r="M9781" t="n">
        <v>0</v>
      </c>
      <c r="N9781" t="n">
        <v>0</v>
      </c>
      <c r="O9781" t="n">
        <v>0</v>
      </c>
      <c r="P9781" t="n">
        <v>0</v>
      </c>
      <c r="Q9781" t="n">
        <v>0</v>
      </c>
      <c r="R9781" t="n">
        <v>0</v>
      </c>
      <c r="S9781" t="n">
        <v>0</v>
      </c>
      <c r="T9781" t="n">
        <v>0</v>
      </c>
      <c r="U9781" t="n">
        <v>0</v>
      </c>
      <c r="V9781" s="2" t="inlineStr"/>
    </row>
    <row r="9782" ht="15" customHeight="1">
      <c r="A9782" t="inlineStr">
        <is>
          <t>A 20621-2025</t>
        </is>
      </c>
      <c r="B9782" t="inlineStr">
        <is>
          <t>avverkningsanmälan</t>
        </is>
      </c>
      <c r="C9782" t="inlineStr">
        <is>
          <t>Föryngringsavverkning</t>
        </is>
      </c>
      <c r="D9782" s="1" t="n">
        <v>45776</v>
      </c>
      <c r="E9782" s="1" t="n">
        <v>46326</v>
      </c>
      <c r="F9782" t="inlineStr">
        <is>
          <t>GÄVLEBORGS LÄN</t>
        </is>
      </c>
      <c r="G9782" t="inlineStr">
        <is>
          <t>GÄVLE</t>
        </is>
      </c>
      <c r="I9782" t="n">
        <v>0.8</v>
      </c>
      <c r="J9782" t="n">
        <v>0</v>
      </c>
      <c r="K9782" t="n">
        <v>0</v>
      </c>
      <c r="L9782" t="n">
        <v>0</v>
      </c>
      <c r="M9782" t="n">
        <v>0</v>
      </c>
      <c r="N9782" t="n">
        <v>0</v>
      </c>
      <c r="O9782" t="n">
        <v>0</v>
      </c>
      <c r="P9782" t="n">
        <v>0</v>
      </c>
      <c r="Q9782" t="n">
        <v>0</v>
      </c>
      <c r="R9782" t="n">
        <v>0</v>
      </c>
      <c r="S9782" t="n">
        <v>0</v>
      </c>
      <c r="T9782" t="n">
        <v>0</v>
      </c>
      <c r="U9782" t="n">
        <v>0</v>
      </c>
      <c r="V9782" s="2" t="inlineStr"/>
    </row>
    <row r="9783" ht="15" customHeight="1">
      <c r="A9783" t="inlineStr">
        <is>
          <t>A 39685-2026</t>
        </is>
      </c>
      <c r="B9783" t="inlineStr">
        <is>
          <t>avverkningsanmälan</t>
        </is>
      </c>
      <c r="C9783" t="inlineStr">
        <is>
          <t>Föryngringsavverkning</t>
        </is>
      </c>
      <c r="D9783" s="1" t="n">
        <v>46289</v>
      </c>
      <c r="E9783" s="1" t="n">
        <v>46326</v>
      </c>
      <c r="F9783" t="inlineStr">
        <is>
          <t>GÄVLEBORGS LÄN</t>
        </is>
      </c>
      <c r="G9783" t="inlineStr">
        <is>
          <t>GÄVLE</t>
        </is>
      </c>
      <c r="H9783" t="inlineStr">
        <is>
          <t>Bergvik skog öst AB</t>
        </is>
      </c>
      <c r="I9783" t="n">
        <v>0.9</v>
      </c>
      <c r="J9783" t="n">
        <v>0</v>
      </c>
      <c r="K9783" t="n">
        <v>0</v>
      </c>
      <c r="L9783" t="n">
        <v>0</v>
      </c>
      <c r="M9783" t="n">
        <v>0</v>
      </c>
      <c r="N9783" t="n">
        <v>0</v>
      </c>
      <c r="O9783" t="n">
        <v>0</v>
      </c>
      <c r="P9783" t="n">
        <v>0</v>
      </c>
      <c r="Q9783" t="n">
        <v>0</v>
      </c>
      <c r="R9783" t="n">
        <v>0</v>
      </c>
      <c r="S9783" t="n">
        <v>0</v>
      </c>
      <c r="T9783" t="n">
        <v>0</v>
      </c>
      <c r="U9783" t="n">
        <v>0</v>
      </c>
      <c r="V9783" s="2" t="inlineStr"/>
    </row>
    <row r="9784" ht="15" customHeight="1">
      <c r="A9784" t="inlineStr">
        <is>
          <t>A 39659-2026</t>
        </is>
      </c>
      <c r="B9784" t="inlineStr">
        <is>
          <t>avverkningsanmälan</t>
        </is>
      </c>
      <c r="C9784" t="inlineStr">
        <is>
          <t>Föryngringsavverkning</t>
        </is>
      </c>
      <c r="D9784" s="1" t="n">
        <v>46289</v>
      </c>
      <c r="E9784" s="1" t="n">
        <v>46326</v>
      </c>
      <c r="F9784" t="inlineStr">
        <is>
          <t>GÄVLEBORGS LÄN</t>
        </is>
      </c>
      <c r="G9784" t="inlineStr">
        <is>
          <t>LJUSDAL</t>
        </is>
      </c>
      <c r="I9784" t="n">
        <v>0.6</v>
      </c>
      <c r="J9784" t="n">
        <v>0</v>
      </c>
      <c r="K9784" t="n">
        <v>0</v>
      </c>
      <c r="L9784" t="n">
        <v>0</v>
      </c>
      <c r="M9784" t="n">
        <v>0</v>
      </c>
      <c r="N9784" t="n">
        <v>0</v>
      </c>
      <c r="O9784" t="n">
        <v>0</v>
      </c>
      <c r="P9784" t="n">
        <v>0</v>
      </c>
      <c r="Q9784" t="n">
        <v>0</v>
      </c>
      <c r="R9784" t="n">
        <v>0</v>
      </c>
      <c r="S9784" t="n">
        <v>0</v>
      </c>
      <c r="T9784" t="n">
        <v>0</v>
      </c>
      <c r="U9784" t="n">
        <v>0</v>
      </c>
      <c r="V9784" s="2" t="inlineStr"/>
    </row>
    <row r="9785" ht="15" customHeight="1">
      <c r="A9785" t="inlineStr">
        <is>
          <t>A 39529-2026</t>
        </is>
      </c>
      <c r="B9785" t="inlineStr">
        <is>
          <t>avverkningsanmälan</t>
        </is>
      </c>
      <c r="C9785" t="inlineStr">
        <is>
          <t>Föryngringsavverkning</t>
        </is>
      </c>
      <c r="D9785" s="1" t="n">
        <v>46289</v>
      </c>
      <c r="E9785" s="1" t="n">
        <v>46326</v>
      </c>
      <c r="F9785" t="inlineStr">
        <is>
          <t>GÄVLEBORGS LÄN</t>
        </is>
      </c>
      <c r="G9785" t="inlineStr">
        <is>
          <t>HOFORS</t>
        </is>
      </c>
      <c r="I9785" t="n">
        <v>3.3</v>
      </c>
      <c r="J9785" t="n">
        <v>0</v>
      </c>
      <c r="K9785" t="n">
        <v>0</v>
      </c>
      <c r="L9785" t="n">
        <v>0</v>
      </c>
      <c r="M9785" t="n">
        <v>0</v>
      </c>
      <c r="N9785" t="n">
        <v>0</v>
      </c>
      <c r="O9785" t="n">
        <v>0</v>
      </c>
      <c r="P9785" t="n">
        <v>0</v>
      </c>
      <c r="Q9785" t="n">
        <v>0</v>
      </c>
      <c r="R9785" t="n">
        <v>0</v>
      </c>
      <c r="S9785" t="n">
        <v>0</v>
      </c>
      <c r="T9785" t="n">
        <v>0</v>
      </c>
      <c r="U9785" t="n">
        <v>0</v>
      </c>
      <c r="V9785" s="2" t="inlineStr"/>
    </row>
    <row r="9786" ht="15" customHeight="1">
      <c r="A9786" t="inlineStr">
        <is>
          <t>A 39534-2026</t>
        </is>
      </c>
      <c r="B9786" t="inlineStr">
        <is>
          <t>avverkningsanmälan</t>
        </is>
      </c>
      <c r="C9786" t="inlineStr">
        <is>
          <t>Föryngringsavverkning</t>
        </is>
      </c>
      <c r="D9786" s="1" t="n">
        <v>46289</v>
      </c>
      <c r="E9786" s="1" t="n">
        <v>46326</v>
      </c>
      <c r="F9786" t="inlineStr">
        <is>
          <t>GÄVLEBORGS LÄN</t>
        </is>
      </c>
      <c r="G9786" t="inlineStr">
        <is>
          <t>GÄVLE</t>
        </is>
      </c>
      <c r="I9786" t="n">
        <v>7.1</v>
      </c>
      <c r="J9786" t="n">
        <v>0</v>
      </c>
      <c r="K9786" t="n">
        <v>0</v>
      </c>
      <c r="L9786" t="n">
        <v>0</v>
      </c>
      <c r="M9786" t="n">
        <v>0</v>
      </c>
      <c r="N9786" t="n">
        <v>0</v>
      </c>
      <c r="O9786" t="n">
        <v>0</v>
      </c>
      <c r="P9786" t="n">
        <v>0</v>
      </c>
      <c r="Q9786" t="n">
        <v>0</v>
      </c>
      <c r="R9786" t="n">
        <v>0</v>
      </c>
      <c r="S9786" t="n">
        <v>0</v>
      </c>
      <c r="T9786" t="n">
        <v>0</v>
      </c>
      <c r="U9786" t="n">
        <v>0</v>
      </c>
      <c r="V9786" s="2" t="inlineStr"/>
    </row>
    <row r="9787" ht="15" customHeight="1">
      <c r="A9787" t="inlineStr">
        <is>
          <t>A 39560-2026</t>
        </is>
      </c>
      <c r="B9787" t="inlineStr">
        <is>
          <t>avverkningsanmälan</t>
        </is>
      </c>
      <c r="C9787" t="inlineStr">
        <is>
          <t>Föryngringsavverkning</t>
        </is>
      </c>
      <c r="D9787" s="1" t="n">
        <v>46289</v>
      </c>
      <c r="E9787" s="1" t="n">
        <v>46326</v>
      </c>
      <c r="F9787" t="inlineStr">
        <is>
          <t>GÄVLEBORGS LÄN</t>
        </is>
      </c>
      <c r="G9787" t="inlineStr">
        <is>
          <t>LJUSDAL</t>
        </is>
      </c>
      <c r="H9787" t="inlineStr">
        <is>
          <t>Bergvik skog väst AB</t>
        </is>
      </c>
      <c r="I9787" t="n">
        <v>11.5</v>
      </c>
      <c r="J9787" t="n">
        <v>0</v>
      </c>
      <c r="K9787" t="n">
        <v>0</v>
      </c>
      <c r="L9787" t="n">
        <v>0</v>
      </c>
      <c r="M9787" t="n">
        <v>0</v>
      </c>
      <c r="N9787" t="n">
        <v>0</v>
      </c>
      <c r="O9787" t="n">
        <v>0</v>
      </c>
      <c r="P9787" t="n">
        <v>0</v>
      </c>
      <c r="Q9787" t="n">
        <v>0</v>
      </c>
      <c r="R9787" t="n">
        <v>0</v>
      </c>
      <c r="S9787" t="n">
        <v>0</v>
      </c>
      <c r="T9787" t="n">
        <v>0</v>
      </c>
      <c r="U9787" t="n">
        <v>0</v>
      </c>
      <c r="V9787" s="2" t="inlineStr"/>
    </row>
    <row r="9788" ht="15" customHeight="1">
      <c r="A9788" t="inlineStr">
        <is>
          <t>A 64043-2025</t>
        </is>
      </c>
      <c r="B9788" t="inlineStr">
        <is>
          <t>avverkningsanmälan</t>
        </is>
      </c>
      <c r="C9788" t="inlineStr">
        <is>
          <t>Föryngringsavverkning</t>
        </is>
      </c>
      <c r="D9788" s="1" t="n">
        <v>46021</v>
      </c>
      <c r="E9788" s="1" t="n">
        <v>46326</v>
      </c>
      <c r="F9788" t="inlineStr">
        <is>
          <t>GÄVLEBORGS LÄN</t>
        </is>
      </c>
      <c r="G9788" t="inlineStr">
        <is>
          <t>BOLLNÄS</t>
        </is>
      </c>
      <c r="I9788" t="n">
        <v>17.6</v>
      </c>
      <c r="J9788" t="n">
        <v>0</v>
      </c>
      <c r="K9788" t="n">
        <v>0</v>
      </c>
      <c r="L9788" t="n">
        <v>0</v>
      </c>
      <c r="M9788" t="n">
        <v>0</v>
      </c>
      <c r="N9788" t="n">
        <v>0</v>
      </c>
      <c r="O9788" t="n">
        <v>0</v>
      </c>
      <c r="P9788" t="n">
        <v>0</v>
      </c>
      <c r="Q9788" t="n">
        <v>0</v>
      </c>
      <c r="R9788" t="n">
        <v>0</v>
      </c>
      <c r="S9788" t="n">
        <v>0</v>
      </c>
      <c r="T9788" t="n">
        <v>0</v>
      </c>
      <c r="U9788" t="n">
        <v>0</v>
      </c>
      <c r="V9788" s="2" t="inlineStr"/>
    </row>
    <row r="9789" ht="15" customHeight="1">
      <c r="A9789" t="inlineStr">
        <is>
          <t>A 33310-2026</t>
        </is>
      </c>
      <c r="B9789" t="inlineStr">
        <is>
          <t>avverkningsanmälan</t>
        </is>
      </c>
      <c r="C9789" t="inlineStr">
        <is>
          <t>Föryngringsavverkning</t>
        </is>
      </c>
      <c r="D9789" s="1" t="n">
        <v>46246</v>
      </c>
      <c r="E9789" s="1" t="n">
        <v>46326</v>
      </c>
      <c r="F9789" t="inlineStr">
        <is>
          <t>GÄVLEBORGS LÄN</t>
        </is>
      </c>
      <c r="G9789" t="inlineStr">
        <is>
          <t>SANDVIKEN</t>
        </is>
      </c>
      <c r="H9789" t="inlineStr">
        <is>
          <t>Kommuner</t>
        </is>
      </c>
      <c r="I9789" t="n">
        <v>2.5</v>
      </c>
      <c r="J9789" t="n">
        <v>0</v>
      </c>
      <c r="K9789" t="n">
        <v>0</v>
      </c>
      <c r="L9789" t="n">
        <v>0</v>
      </c>
      <c r="M9789" t="n">
        <v>0</v>
      </c>
      <c r="N9789" t="n">
        <v>0</v>
      </c>
      <c r="O9789" t="n">
        <v>0</v>
      </c>
      <c r="P9789" t="n">
        <v>0</v>
      </c>
      <c r="Q9789" t="n">
        <v>0</v>
      </c>
      <c r="R9789" t="n">
        <v>0</v>
      </c>
      <c r="S9789" t="n">
        <v>0</v>
      </c>
      <c r="T9789" t="n">
        <v>0</v>
      </c>
      <c r="U9789" t="n">
        <v>0</v>
      </c>
      <c r="V9789" s="2" t="inlineStr"/>
    </row>
    <row r="9790" ht="15" customHeight="1">
      <c r="A9790" t="inlineStr">
        <is>
          <t>A 33176-2026</t>
        </is>
      </c>
      <c r="B9790" t="inlineStr">
        <is>
          <t>avverkningsanmälan</t>
        </is>
      </c>
      <c r="C9790" t="inlineStr">
        <is>
          <t>Föryngringsavverkning</t>
        </is>
      </c>
      <c r="D9790" s="1" t="n">
        <v>46245</v>
      </c>
      <c r="E9790" s="1" t="n">
        <v>46326</v>
      </c>
      <c r="F9790" t="inlineStr">
        <is>
          <t>GÄVLEBORGS LÄN</t>
        </is>
      </c>
      <c r="G9790" t="inlineStr">
        <is>
          <t>OCKELBO</t>
        </is>
      </c>
      <c r="H9790" t="inlineStr">
        <is>
          <t>Bergvik skog väst AB</t>
        </is>
      </c>
      <c r="I9790" t="n">
        <v>0.7</v>
      </c>
      <c r="J9790" t="n">
        <v>0</v>
      </c>
      <c r="K9790" t="n">
        <v>0</v>
      </c>
      <c r="L9790" t="n">
        <v>0</v>
      </c>
      <c r="M9790" t="n">
        <v>0</v>
      </c>
      <c r="N9790" t="n">
        <v>0</v>
      </c>
      <c r="O9790" t="n">
        <v>0</v>
      </c>
      <c r="P9790" t="n">
        <v>0</v>
      </c>
      <c r="Q9790" t="n">
        <v>0</v>
      </c>
      <c r="R9790" t="n">
        <v>0</v>
      </c>
      <c r="S9790" t="n">
        <v>0</v>
      </c>
      <c r="T9790" t="n">
        <v>0</v>
      </c>
      <c r="U9790" t="n">
        <v>0</v>
      </c>
      <c r="V9790" s="2" t="inlineStr"/>
    </row>
    <row r="9791" ht="15" customHeight="1">
      <c r="A9791" t="inlineStr">
        <is>
          <t>A 33265-2026</t>
        </is>
      </c>
      <c r="B9791" t="inlineStr">
        <is>
          <t>avverkningsanmälan</t>
        </is>
      </c>
      <c r="C9791" t="inlineStr">
        <is>
          <t>Föryngringsavverkning</t>
        </is>
      </c>
      <c r="D9791" s="1" t="n">
        <v>46246</v>
      </c>
      <c r="E9791" s="1" t="n">
        <v>46326</v>
      </c>
      <c r="F9791" t="inlineStr">
        <is>
          <t>GÄVLEBORGS LÄN</t>
        </is>
      </c>
      <c r="G9791" t="inlineStr">
        <is>
          <t>GÄVLE</t>
        </is>
      </c>
      <c r="I9791" t="n">
        <v>2.1</v>
      </c>
      <c r="J9791" t="n">
        <v>0</v>
      </c>
      <c r="K9791" t="n">
        <v>0</v>
      </c>
      <c r="L9791" t="n">
        <v>0</v>
      </c>
      <c r="M9791" t="n">
        <v>0</v>
      </c>
      <c r="N9791" t="n">
        <v>0</v>
      </c>
      <c r="O9791" t="n">
        <v>0</v>
      </c>
      <c r="P9791" t="n">
        <v>0</v>
      </c>
      <c r="Q9791" t="n">
        <v>0</v>
      </c>
      <c r="R9791" t="n">
        <v>0</v>
      </c>
      <c r="S9791" t="n">
        <v>0</v>
      </c>
      <c r="T9791" t="n">
        <v>0</v>
      </c>
      <c r="U9791" t="n">
        <v>0</v>
      </c>
      <c r="V9791" s="2" t="inlineStr"/>
    </row>
    <row r="9792" ht="15" customHeight="1">
      <c r="A9792" t="inlineStr">
        <is>
          <t>A 20927-2025</t>
        </is>
      </c>
      <c r="B9792" t="inlineStr">
        <is>
          <t>avverkningsanmälan</t>
        </is>
      </c>
      <c r="C9792" t="inlineStr">
        <is>
          <t>Föryngringsavverkning</t>
        </is>
      </c>
      <c r="D9792" s="1" t="n">
        <v>45777</v>
      </c>
      <c r="E9792" s="1" t="n">
        <v>46326</v>
      </c>
      <c r="F9792" t="inlineStr">
        <is>
          <t>GÄVLEBORGS LÄN</t>
        </is>
      </c>
      <c r="G9792" t="inlineStr">
        <is>
          <t>OVANÅKER</t>
        </is>
      </c>
      <c r="H9792" t="inlineStr">
        <is>
          <t>Sveaskog</t>
        </is>
      </c>
      <c r="I9792" t="n">
        <v>2.6</v>
      </c>
      <c r="J9792" t="n">
        <v>0</v>
      </c>
      <c r="K9792" t="n">
        <v>0</v>
      </c>
      <c r="L9792" t="n">
        <v>0</v>
      </c>
      <c r="M9792" t="n">
        <v>0</v>
      </c>
      <c r="N9792" t="n">
        <v>0</v>
      </c>
      <c r="O9792" t="n">
        <v>0</v>
      </c>
      <c r="P9792" t="n">
        <v>0</v>
      </c>
      <c r="Q9792" t="n">
        <v>0</v>
      </c>
      <c r="R9792" t="n">
        <v>0</v>
      </c>
      <c r="S9792" t="n">
        <v>0</v>
      </c>
      <c r="T9792" t="n">
        <v>0</v>
      </c>
      <c r="U9792" t="n">
        <v>0</v>
      </c>
      <c r="V9792" s="2" t="inlineStr"/>
    </row>
    <row r="9793" ht="15" customHeight="1">
      <c r="A9793" t="inlineStr">
        <is>
          <t>A 20932-2025</t>
        </is>
      </c>
      <c r="B9793" t="inlineStr">
        <is>
          <t>avverkningsanmälan</t>
        </is>
      </c>
      <c r="C9793" t="inlineStr">
        <is>
          <t>Föryngringsavverkning</t>
        </is>
      </c>
      <c r="D9793" s="1" t="n">
        <v>45777</v>
      </c>
      <c r="E9793" s="1" t="n">
        <v>46326</v>
      </c>
      <c r="F9793" t="inlineStr">
        <is>
          <t>GÄVLEBORGS LÄN</t>
        </is>
      </c>
      <c r="G9793" t="inlineStr">
        <is>
          <t>HUDIKSVALL</t>
        </is>
      </c>
      <c r="H9793" t="inlineStr">
        <is>
          <t>Holmen skog AB</t>
        </is>
      </c>
      <c r="I9793" t="n">
        <v>2.3</v>
      </c>
      <c r="J9793" t="n">
        <v>0</v>
      </c>
      <c r="K9793" t="n">
        <v>0</v>
      </c>
      <c r="L9793" t="n">
        <v>0</v>
      </c>
      <c r="M9793" t="n">
        <v>0</v>
      </c>
      <c r="N9793" t="n">
        <v>0</v>
      </c>
      <c r="O9793" t="n">
        <v>0</v>
      </c>
      <c r="P9793" t="n">
        <v>0</v>
      </c>
      <c r="Q9793" t="n">
        <v>0</v>
      </c>
      <c r="R9793" t="n">
        <v>0</v>
      </c>
      <c r="S9793" t="n">
        <v>0</v>
      </c>
      <c r="T9793" t="n">
        <v>0</v>
      </c>
      <c r="U9793" t="n">
        <v>0</v>
      </c>
      <c r="V9793" s="2" t="inlineStr"/>
    </row>
    <row r="9794" ht="15" customHeight="1">
      <c r="A9794" t="inlineStr">
        <is>
          <t>A 39568-2026</t>
        </is>
      </c>
      <c r="B9794" t="inlineStr">
        <is>
          <t>avverkningsanmälan</t>
        </is>
      </c>
      <c r="C9794" t="inlineStr">
        <is>
          <t>Föryngringsavverkning</t>
        </is>
      </c>
      <c r="D9794" s="1" t="n">
        <v>46289</v>
      </c>
      <c r="E9794" s="1" t="n">
        <v>46326</v>
      </c>
      <c r="F9794" t="inlineStr">
        <is>
          <t>GÄVLEBORGS LÄN</t>
        </is>
      </c>
      <c r="G9794" t="inlineStr">
        <is>
          <t>BOLLNÄS</t>
        </is>
      </c>
      <c r="I9794" t="n">
        <v>0.9</v>
      </c>
      <c r="J9794" t="n">
        <v>0</v>
      </c>
      <c r="K9794" t="n">
        <v>0</v>
      </c>
      <c r="L9794" t="n">
        <v>0</v>
      </c>
      <c r="M9794" t="n">
        <v>0</v>
      </c>
      <c r="N9794" t="n">
        <v>0</v>
      </c>
      <c r="O9794" t="n">
        <v>0</v>
      </c>
      <c r="P9794" t="n">
        <v>0</v>
      </c>
      <c r="Q9794" t="n">
        <v>0</v>
      </c>
      <c r="R9794" t="n">
        <v>0</v>
      </c>
      <c r="S9794" t="n">
        <v>0</v>
      </c>
      <c r="T9794" t="n">
        <v>0</v>
      </c>
      <c r="U9794" t="n">
        <v>0</v>
      </c>
      <c r="V9794" s="2" t="inlineStr"/>
    </row>
    <row r="9795" ht="15" customHeight="1">
      <c r="A9795" t="inlineStr">
        <is>
          <t>A 39570-2026</t>
        </is>
      </c>
      <c r="B9795" t="inlineStr">
        <is>
          <t>avverkningsanmälan</t>
        </is>
      </c>
      <c r="C9795" t="inlineStr">
        <is>
          <t>Föryngringsavverkning</t>
        </is>
      </c>
      <c r="D9795" s="1" t="n">
        <v>46289</v>
      </c>
      <c r="E9795" s="1" t="n">
        <v>46326</v>
      </c>
      <c r="F9795" t="inlineStr">
        <is>
          <t>GÄVLEBORGS LÄN</t>
        </is>
      </c>
      <c r="G9795" t="inlineStr">
        <is>
          <t>HUDIKSVALL</t>
        </is>
      </c>
      <c r="H9795" t="inlineStr">
        <is>
          <t>Holmen skog AB</t>
        </is>
      </c>
      <c r="I9795" t="n">
        <v>4.5</v>
      </c>
      <c r="J9795" t="n">
        <v>0</v>
      </c>
      <c r="K9795" t="n">
        <v>0</v>
      </c>
      <c r="L9795" t="n">
        <v>0</v>
      </c>
      <c r="M9795" t="n">
        <v>0</v>
      </c>
      <c r="N9795" t="n">
        <v>0</v>
      </c>
      <c r="O9795" t="n">
        <v>0</v>
      </c>
      <c r="P9795" t="n">
        <v>0</v>
      </c>
      <c r="Q9795" t="n">
        <v>0</v>
      </c>
      <c r="R9795" t="n">
        <v>0</v>
      </c>
      <c r="S9795" t="n">
        <v>0</v>
      </c>
      <c r="T9795" t="n">
        <v>0</v>
      </c>
      <c r="U9795" t="n">
        <v>0</v>
      </c>
      <c r="V9795" s="2" t="inlineStr"/>
    </row>
    <row r="9796" ht="15" customHeight="1">
      <c r="A9796" t="inlineStr">
        <is>
          <t>A 2673-2026</t>
        </is>
      </c>
      <c r="B9796" t="inlineStr">
        <is>
          <t>avverkningsanmälan</t>
        </is>
      </c>
      <c r="C9796" t="inlineStr">
        <is>
          <t>Föryngringsavverkning</t>
        </is>
      </c>
      <c r="D9796" s="1" t="n">
        <v>46037</v>
      </c>
      <c r="E9796" s="1" t="n">
        <v>46326</v>
      </c>
      <c r="F9796" t="inlineStr">
        <is>
          <t>GÄVLEBORGS LÄN</t>
        </is>
      </c>
      <c r="G9796" t="inlineStr">
        <is>
          <t>OVANÅKER</t>
        </is>
      </c>
      <c r="I9796" t="n">
        <v>1.3</v>
      </c>
      <c r="J9796" t="n">
        <v>0</v>
      </c>
      <c r="K9796" t="n">
        <v>0</v>
      </c>
      <c r="L9796" t="n">
        <v>0</v>
      </c>
      <c r="M9796" t="n">
        <v>0</v>
      </c>
      <c r="N9796" t="n">
        <v>0</v>
      </c>
      <c r="O9796" t="n">
        <v>0</v>
      </c>
      <c r="P9796" t="n">
        <v>0</v>
      </c>
      <c r="Q9796" t="n">
        <v>0</v>
      </c>
      <c r="R9796" t="n">
        <v>0</v>
      </c>
      <c r="S9796" t="n">
        <v>0</v>
      </c>
      <c r="T9796" t="n">
        <v>0</v>
      </c>
      <c r="U9796" t="n">
        <v>0</v>
      </c>
      <c r="V9796" s="2" t="inlineStr"/>
    </row>
    <row r="9797" ht="15" customHeight="1">
      <c r="A9797" t="inlineStr">
        <is>
          <t>A 33229-2026</t>
        </is>
      </c>
      <c r="B9797" t="inlineStr">
        <is>
          <t>avverkningsanmälan</t>
        </is>
      </c>
      <c r="C9797" t="inlineStr">
        <is>
          <t>Föryngringsavverkning</t>
        </is>
      </c>
      <c r="D9797" s="1" t="n">
        <v>46246</v>
      </c>
      <c r="E9797" s="1" t="n">
        <v>46326</v>
      </c>
      <c r="F9797" t="inlineStr">
        <is>
          <t>GÄVLEBORGS LÄN</t>
        </is>
      </c>
      <c r="G9797" t="inlineStr">
        <is>
          <t>OVANÅKER</t>
        </is>
      </c>
      <c r="I9797" t="n">
        <v>1.3</v>
      </c>
      <c r="J9797" t="n">
        <v>0</v>
      </c>
      <c r="K9797" t="n">
        <v>0</v>
      </c>
      <c r="L9797" t="n">
        <v>0</v>
      </c>
      <c r="M9797" t="n">
        <v>0</v>
      </c>
      <c r="N9797" t="n">
        <v>0</v>
      </c>
      <c r="O9797" t="n">
        <v>0</v>
      </c>
      <c r="P9797" t="n">
        <v>0</v>
      </c>
      <c r="Q9797" t="n">
        <v>0</v>
      </c>
      <c r="R9797" t="n">
        <v>0</v>
      </c>
      <c r="S9797" t="n">
        <v>0</v>
      </c>
      <c r="T9797" t="n">
        <v>0</v>
      </c>
      <c r="U9797" t="n">
        <v>0</v>
      </c>
      <c r="V9797" s="2" t="inlineStr"/>
    </row>
    <row r="9798" ht="15" customHeight="1">
      <c r="A9798" t="inlineStr">
        <is>
          <t>A 20876-2025</t>
        </is>
      </c>
      <c r="B9798" t="inlineStr">
        <is>
          <t>avverkningsanmälan</t>
        </is>
      </c>
      <c r="C9798" t="inlineStr">
        <is>
          <t>Föryngringsavverkning</t>
        </is>
      </c>
      <c r="D9798" s="1" t="n">
        <v>45777</v>
      </c>
      <c r="E9798" s="1" t="n">
        <v>46326</v>
      </c>
      <c r="F9798" t="inlineStr">
        <is>
          <t>GÄVLEBORGS LÄN</t>
        </is>
      </c>
      <c r="G9798" t="inlineStr">
        <is>
          <t>NORDANSTIG</t>
        </is>
      </c>
      <c r="H9798" t="inlineStr">
        <is>
          <t>Holmen skog AB</t>
        </is>
      </c>
      <c r="I9798" t="n">
        <v>5.5</v>
      </c>
      <c r="J9798" t="n">
        <v>0</v>
      </c>
      <c r="K9798" t="n">
        <v>0</v>
      </c>
      <c r="L9798" t="n">
        <v>0</v>
      </c>
      <c r="M9798" t="n">
        <v>0</v>
      </c>
      <c r="N9798" t="n">
        <v>0</v>
      </c>
      <c r="O9798" t="n">
        <v>0</v>
      </c>
      <c r="P9798" t="n">
        <v>0</v>
      </c>
      <c r="Q9798" t="n">
        <v>0</v>
      </c>
      <c r="R9798" t="n">
        <v>0</v>
      </c>
      <c r="S9798" t="n">
        <v>0</v>
      </c>
      <c r="T9798" t="n">
        <v>0</v>
      </c>
      <c r="U9798" t="n">
        <v>0</v>
      </c>
      <c r="V9798" s="2" t="inlineStr"/>
    </row>
    <row r="9799" ht="15" customHeight="1">
      <c r="A9799" t="inlineStr">
        <is>
          <t>A 33247-2026</t>
        </is>
      </c>
      <c r="B9799" t="inlineStr">
        <is>
          <t>avverkningsanmälan</t>
        </is>
      </c>
      <c r="C9799" t="inlineStr">
        <is>
          <t>Föryngringsavverkning</t>
        </is>
      </c>
      <c r="D9799" s="1" t="n">
        <v>46246</v>
      </c>
      <c r="E9799" s="1" t="n">
        <v>46326</v>
      </c>
      <c r="F9799" t="inlineStr">
        <is>
          <t>GÄVLEBORGS LÄN</t>
        </is>
      </c>
      <c r="G9799" t="inlineStr">
        <is>
          <t>HUDIKSVALL</t>
        </is>
      </c>
      <c r="H9799" t="inlineStr">
        <is>
          <t>Holmen skog AB</t>
        </is>
      </c>
      <c r="I9799" t="n">
        <v>12.3</v>
      </c>
      <c r="J9799" t="n">
        <v>0</v>
      </c>
      <c r="K9799" t="n">
        <v>0</v>
      </c>
      <c r="L9799" t="n">
        <v>0</v>
      </c>
      <c r="M9799" t="n">
        <v>0</v>
      </c>
      <c r="N9799" t="n">
        <v>0</v>
      </c>
      <c r="O9799" t="n">
        <v>0</v>
      </c>
      <c r="P9799" t="n">
        <v>0</v>
      </c>
      <c r="Q9799" t="n">
        <v>0</v>
      </c>
      <c r="R9799" t="n">
        <v>0</v>
      </c>
      <c r="S9799" t="n">
        <v>0</v>
      </c>
      <c r="T9799" t="n">
        <v>0</v>
      </c>
      <c r="U9799" t="n">
        <v>0</v>
      </c>
      <c r="V9799" s="2" t="inlineStr"/>
    </row>
    <row r="9800" ht="15" customHeight="1">
      <c r="A9800" t="inlineStr">
        <is>
          <t>A 39276-2026</t>
        </is>
      </c>
      <c r="B9800" t="inlineStr">
        <is>
          <t>avverkningsanmälan</t>
        </is>
      </c>
      <c r="C9800" t="inlineStr">
        <is>
          <t>Avverkning för annat ändamål</t>
        </is>
      </c>
      <c r="D9800" s="1" t="n">
        <v>46288</v>
      </c>
      <c r="E9800" s="1" t="n">
        <v>46326</v>
      </c>
      <c r="F9800" t="inlineStr">
        <is>
          <t>GÄVLEBORGS LÄN</t>
        </is>
      </c>
      <c r="G9800" t="inlineStr">
        <is>
          <t>LJUSDAL</t>
        </is>
      </c>
      <c r="H9800" t="inlineStr">
        <is>
          <t>Övriga Aktiebolag</t>
        </is>
      </c>
      <c r="I9800" t="n">
        <v>0.3</v>
      </c>
      <c r="J9800" t="n">
        <v>0</v>
      </c>
      <c r="K9800" t="n">
        <v>0</v>
      </c>
      <c r="L9800" t="n">
        <v>0</v>
      </c>
      <c r="M9800" t="n">
        <v>0</v>
      </c>
      <c r="N9800" t="n">
        <v>0</v>
      </c>
      <c r="O9800" t="n">
        <v>0</v>
      </c>
      <c r="P9800" t="n">
        <v>0</v>
      </c>
      <c r="Q9800" t="n">
        <v>0</v>
      </c>
      <c r="R9800" t="n">
        <v>0</v>
      </c>
      <c r="S9800" t="n">
        <v>0</v>
      </c>
      <c r="T9800" t="n">
        <v>0</v>
      </c>
      <c r="U9800" t="n">
        <v>0</v>
      </c>
      <c r="V9800" s="2" t="inlineStr"/>
    </row>
    <row r="9801" ht="15" customHeight="1">
      <c r="A9801" t="inlineStr">
        <is>
          <t>A 39314-2026</t>
        </is>
      </c>
      <c r="B9801" t="inlineStr">
        <is>
          <t>avverkningsanmälan</t>
        </is>
      </c>
      <c r="C9801" t="inlineStr">
        <is>
          <t>Föryngringsavverkning</t>
        </is>
      </c>
      <c r="D9801" s="1" t="n">
        <v>46288</v>
      </c>
      <c r="E9801" s="1" t="n">
        <v>46326</v>
      </c>
      <c r="F9801" t="inlineStr">
        <is>
          <t>GÄVLEBORGS LÄN</t>
        </is>
      </c>
      <c r="G9801" t="inlineStr">
        <is>
          <t>NORDANSTIG</t>
        </is>
      </c>
      <c r="H9801" t="inlineStr">
        <is>
          <t>Holmen skog AB</t>
        </is>
      </c>
      <c r="I9801" t="n">
        <v>14.6</v>
      </c>
      <c r="J9801" t="n">
        <v>0</v>
      </c>
      <c r="K9801" t="n">
        <v>0</v>
      </c>
      <c r="L9801" t="n">
        <v>0</v>
      </c>
      <c r="M9801" t="n">
        <v>0</v>
      </c>
      <c r="N9801" t="n">
        <v>0</v>
      </c>
      <c r="O9801" t="n">
        <v>0</v>
      </c>
      <c r="P9801" t="n">
        <v>0</v>
      </c>
      <c r="Q9801" t="n">
        <v>0</v>
      </c>
      <c r="R9801" t="n">
        <v>0</v>
      </c>
      <c r="S9801" t="n">
        <v>0</v>
      </c>
      <c r="T9801" t="n">
        <v>0</v>
      </c>
      <c r="U9801" t="n">
        <v>0</v>
      </c>
      <c r="V9801" s="2" t="inlineStr"/>
    </row>
    <row r="9802" ht="15" customHeight="1">
      <c r="A9802" t="inlineStr">
        <is>
          <t>A 21098-2025</t>
        </is>
      </c>
      <c r="B9802" t="inlineStr">
        <is>
          <t>avverkningsanmälan</t>
        </is>
      </c>
      <c r="C9802" t="inlineStr">
        <is>
          <t>Föryngringsavverkning</t>
        </is>
      </c>
      <c r="D9802" s="1" t="n">
        <v>45777</v>
      </c>
      <c r="E9802" s="1" t="n">
        <v>46326</v>
      </c>
      <c r="F9802" t="inlineStr">
        <is>
          <t>GÄVLEBORGS LÄN</t>
        </is>
      </c>
      <c r="G9802" t="inlineStr">
        <is>
          <t>LJUSDAL</t>
        </is>
      </c>
      <c r="H9802" t="inlineStr">
        <is>
          <t>Sveaskog</t>
        </is>
      </c>
      <c r="I9802" t="n">
        <v>30.7</v>
      </c>
      <c r="J9802" t="n">
        <v>0</v>
      </c>
      <c r="K9802" t="n">
        <v>0</v>
      </c>
      <c r="L9802" t="n">
        <v>0</v>
      </c>
      <c r="M9802" t="n">
        <v>0</v>
      </c>
      <c r="N9802" t="n">
        <v>0</v>
      </c>
      <c r="O9802" t="n">
        <v>0</v>
      </c>
      <c r="P9802" t="n">
        <v>0</v>
      </c>
      <c r="Q9802" t="n">
        <v>0</v>
      </c>
      <c r="R9802" t="n">
        <v>0</v>
      </c>
      <c r="S9802" t="n">
        <v>0</v>
      </c>
      <c r="T9802" t="n">
        <v>0</v>
      </c>
      <c r="U9802" t="n">
        <v>0</v>
      </c>
      <c r="V9802" s="2" t="inlineStr"/>
    </row>
    <row r="9803" ht="15" customHeight="1">
      <c r="A9803" t="inlineStr">
        <is>
          <t>A 20710-2025</t>
        </is>
      </c>
      <c r="B9803" t="inlineStr">
        <is>
          <t>avverkningsanmälan</t>
        </is>
      </c>
      <c r="C9803" t="inlineStr">
        <is>
          <t>Föryngringsavverkning</t>
        </is>
      </c>
      <c r="D9803" s="1" t="n">
        <v>45776</v>
      </c>
      <c r="E9803" s="1" t="n">
        <v>46326</v>
      </c>
      <c r="F9803" t="inlineStr">
        <is>
          <t>GÄVLEBORGS LÄN</t>
        </is>
      </c>
      <c r="G9803" t="inlineStr">
        <is>
          <t>BOLLNÄS</t>
        </is>
      </c>
      <c r="I9803" t="n">
        <v>0.4</v>
      </c>
      <c r="J9803" t="n">
        <v>0</v>
      </c>
      <c r="K9803" t="n">
        <v>0</v>
      </c>
      <c r="L9803" t="n">
        <v>0</v>
      </c>
      <c r="M9803" t="n">
        <v>0</v>
      </c>
      <c r="N9803" t="n">
        <v>0</v>
      </c>
      <c r="O9803" t="n">
        <v>0</v>
      </c>
      <c r="P9803" t="n">
        <v>0</v>
      </c>
      <c r="Q9803" t="n">
        <v>0</v>
      </c>
      <c r="R9803" t="n">
        <v>0</v>
      </c>
      <c r="S9803" t="n">
        <v>0</v>
      </c>
      <c r="T9803" t="n">
        <v>0</v>
      </c>
      <c r="U9803" t="n">
        <v>0</v>
      </c>
      <c r="V9803" s="2" t="inlineStr"/>
    </row>
    <row r="9804" ht="15" customHeight="1">
      <c r="A9804" t="inlineStr">
        <is>
          <t>A 12010-2026</t>
        </is>
      </c>
      <c r="B9804" t="inlineStr">
        <is>
          <t>avverkningsanmälan</t>
        </is>
      </c>
      <c r="C9804" t="inlineStr">
        <is>
          <t>Föryngringsavverkning</t>
        </is>
      </c>
      <c r="D9804" s="1" t="n">
        <v>46085</v>
      </c>
      <c r="E9804" s="1" t="n">
        <v>46326</v>
      </c>
      <c r="F9804" t="inlineStr">
        <is>
          <t>GÄVLEBORGS LÄN</t>
        </is>
      </c>
      <c r="G9804" t="inlineStr">
        <is>
          <t>BOLLNÄS</t>
        </is>
      </c>
      <c r="I9804" t="n">
        <v>3.3</v>
      </c>
      <c r="J9804" t="n">
        <v>0</v>
      </c>
      <c r="K9804" t="n">
        <v>0</v>
      </c>
      <c r="L9804" t="n">
        <v>0</v>
      </c>
      <c r="M9804" t="n">
        <v>0</v>
      </c>
      <c r="N9804" t="n">
        <v>0</v>
      </c>
      <c r="O9804" t="n">
        <v>0</v>
      </c>
      <c r="P9804" t="n">
        <v>0</v>
      </c>
      <c r="Q9804" t="n">
        <v>0</v>
      </c>
      <c r="R9804" t="n">
        <v>0</v>
      </c>
      <c r="S9804" t="n">
        <v>0</v>
      </c>
      <c r="T9804" t="n">
        <v>0</v>
      </c>
      <c r="U9804" t="n">
        <v>0</v>
      </c>
      <c r="V9804" s="2" t="inlineStr"/>
    </row>
    <row r="9805" ht="15" customHeight="1">
      <c r="A9805" t="inlineStr">
        <is>
          <t>A 33347-2026</t>
        </is>
      </c>
      <c r="B9805" t="inlineStr">
        <is>
          <t>avverkningsanmälan</t>
        </is>
      </c>
      <c r="C9805" t="inlineStr">
        <is>
          <t>Föryngringsavverkning</t>
        </is>
      </c>
      <c r="D9805" s="1" t="n">
        <v>46246</v>
      </c>
      <c r="E9805" s="1" t="n">
        <v>46326</v>
      </c>
      <c r="F9805" t="inlineStr">
        <is>
          <t>GÄVLEBORGS LÄN</t>
        </is>
      </c>
      <c r="G9805" t="inlineStr">
        <is>
          <t>GÄVLE</t>
        </is>
      </c>
      <c r="H9805" t="inlineStr">
        <is>
          <t>Bergvik skog öst AB</t>
        </is>
      </c>
      <c r="I9805" t="n">
        <v>4.2</v>
      </c>
      <c r="J9805" t="n">
        <v>0</v>
      </c>
      <c r="K9805" t="n">
        <v>0</v>
      </c>
      <c r="L9805" t="n">
        <v>0</v>
      </c>
      <c r="M9805" t="n">
        <v>0</v>
      </c>
      <c r="N9805" t="n">
        <v>0</v>
      </c>
      <c r="O9805" t="n">
        <v>0</v>
      </c>
      <c r="P9805" t="n">
        <v>0</v>
      </c>
      <c r="Q9805" t="n">
        <v>0</v>
      </c>
      <c r="R9805" t="n">
        <v>0</v>
      </c>
      <c r="S9805" t="n">
        <v>0</v>
      </c>
      <c r="T9805" t="n">
        <v>0</v>
      </c>
      <c r="U9805" t="n">
        <v>0</v>
      </c>
      <c r="V9805" s="2" t="inlineStr"/>
    </row>
    <row r="9806" ht="15" customHeight="1">
      <c r="A9806" t="inlineStr">
        <is>
          <t>A 14071-2026</t>
        </is>
      </c>
      <c r="B9806" t="inlineStr">
        <is>
          <t>avverkningsanmälan</t>
        </is>
      </c>
      <c r="C9806" t="inlineStr">
        <is>
          <t>Föryngringsavverkning</t>
        </is>
      </c>
      <c r="D9806" s="1" t="n">
        <v>46099</v>
      </c>
      <c r="E9806" s="1" t="n">
        <v>46326</v>
      </c>
      <c r="F9806" t="inlineStr">
        <is>
          <t>GÄVLEBORGS LÄN</t>
        </is>
      </c>
      <c r="G9806" t="inlineStr">
        <is>
          <t>OCKELBO</t>
        </is>
      </c>
      <c r="I9806" t="n">
        <v>1.1</v>
      </c>
      <c r="J9806" t="n">
        <v>0</v>
      </c>
      <c r="K9806" t="n">
        <v>0</v>
      </c>
      <c r="L9806" t="n">
        <v>0</v>
      </c>
      <c r="M9806" t="n">
        <v>0</v>
      </c>
      <c r="N9806" t="n">
        <v>0</v>
      </c>
      <c r="O9806" t="n">
        <v>0</v>
      </c>
      <c r="P9806" t="n">
        <v>0</v>
      </c>
      <c r="Q9806" t="n">
        <v>0</v>
      </c>
      <c r="R9806" t="n">
        <v>0</v>
      </c>
      <c r="S9806" t="n">
        <v>0</v>
      </c>
      <c r="T9806" t="n">
        <v>0</v>
      </c>
      <c r="U9806" t="n">
        <v>0</v>
      </c>
      <c r="V9806" s="2" t="inlineStr"/>
    </row>
    <row r="9807" ht="15" customHeight="1">
      <c r="A9807" t="inlineStr">
        <is>
          <t>A 45938-2024</t>
        </is>
      </c>
      <c r="B9807" t="inlineStr">
        <is>
          <t>avverkningsanmälan</t>
        </is>
      </c>
      <c r="C9807" t="inlineStr">
        <is>
          <t>Föryngringsavverkning</t>
        </is>
      </c>
      <c r="D9807" s="1" t="n">
        <v>45580</v>
      </c>
      <c r="E9807" s="1" t="n">
        <v>46326</v>
      </c>
      <c r="F9807" t="inlineStr">
        <is>
          <t>GÄVLEBORGS LÄN</t>
        </is>
      </c>
      <c r="G9807" t="inlineStr">
        <is>
          <t>GÄVLE</t>
        </is>
      </c>
      <c r="H9807" t="inlineStr">
        <is>
          <t>Bergvik skog öst AB</t>
        </is>
      </c>
      <c r="I9807" t="n">
        <v>5.3</v>
      </c>
      <c r="J9807" t="n">
        <v>0</v>
      </c>
      <c r="K9807" t="n">
        <v>0</v>
      </c>
      <c r="L9807" t="n">
        <v>0</v>
      </c>
      <c r="M9807" t="n">
        <v>0</v>
      </c>
      <c r="N9807" t="n">
        <v>0</v>
      </c>
      <c r="O9807" t="n">
        <v>0</v>
      </c>
      <c r="P9807" t="n">
        <v>0</v>
      </c>
      <c r="Q9807" t="n">
        <v>0</v>
      </c>
      <c r="R9807" t="n">
        <v>0</v>
      </c>
      <c r="S9807" t="n">
        <v>0</v>
      </c>
      <c r="T9807" t="n">
        <v>0</v>
      </c>
      <c r="U9807" t="n">
        <v>0</v>
      </c>
      <c r="V9807" s="2" t="inlineStr"/>
    </row>
    <row r="9808" ht="15" customHeight="1">
      <c r="A9808" t="inlineStr">
        <is>
          <t>A 39675-2026</t>
        </is>
      </c>
      <c r="B9808" t="inlineStr">
        <is>
          <t>avverkningsanmälan</t>
        </is>
      </c>
      <c r="C9808" t="inlineStr">
        <is>
          <t>Föryngringsavverkning</t>
        </is>
      </c>
      <c r="D9808" s="1" t="n">
        <v>46289</v>
      </c>
      <c r="E9808" s="1" t="n">
        <v>46326</v>
      </c>
      <c r="F9808" t="inlineStr">
        <is>
          <t>GÄVLEBORGS LÄN</t>
        </is>
      </c>
      <c r="G9808" t="inlineStr">
        <is>
          <t>NORDANSTIG</t>
        </is>
      </c>
      <c r="I9808" t="n">
        <v>1.1</v>
      </c>
      <c r="J9808" t="n">
        <v>0</v>
      </c>
      <c r="K9808" t="n">
        <v>0</v>
      </c>
      <c r="L9808" t="n">
        <v>0</v>
      </c>
      <c r="M9808" t="n">
        <v>0</v>
      </c>
      <c r="N9808" t="n">
        <v>0</v>
      </c>
      <c r="O9808" t="n">
        <v>0</v>
      </c>
      <c r="P9808" t="n">
        <v>0</v>
      </c>
      <c r="Q9808" t="n">
        <v>0</v>
      </c>
      <c r="R9808" t="n">
        <v>0</v>
      </c>
      <c r="S9808" t="n">
        <v>0</v>
      </c>
      <c r="T9808" t="n">
        <v>0</v>
      </c>
      <c r="U9808" t="n">
        <v>0</v>
      </c>
      <c r="V9808" s="2" t="inlineStr"/>
    </row>
    <row r="9809" ht="15" customHeight="1">
      <c r="A9809" t="inlineStr">
        <is>
          <t>A 39677-2026</t>
        </is>
      </c>
      <c r="B9809" t="inlineStr">
        <is>
          <t>avverkningsanmälan</t>
        </is>
      </c>
      <c r="C9809" t="inlineStr">
        <is>
          <t>Föryngringsavverkning</t>
        </is>
      </c>
      <c r="D9809" s="1" t="n">
        <v>46289</v>
      </c>
      <c r="E9809" s="1" t="n">
        <v>46326</v>
      </c>
      <c r="F9809" t="inlineStr">
        <is>
          <t>GÄVLEBORGS LÄN</t>
        </is>
      </c>
      <c r="G9809" t="inlineStr">
        <is>
          <t>HUDIKSVALL</t>
        </is>
      </c>
      <c r="I9809" t="n">
        <v>4.5</v>
      </c>
      <c r="J9809" t="n">
        <v>0</v>
      </c>
      <c r="K9809" t="n">
        <v>0</v>
      </c>
      <c r="L9809" t="n">
        <v>0</v>
      </c>
      <c r="M9809" t="n">
        <v>0</v>
      </c>
      <c r="N9809" t="n">
        <v>0</v>
      </c>
      <c r="O9809" t="n">
        <v>0</v>
      </c>
      <c r="P9809" t="n">
        <v>0</v>
      </c>
      <c r="Q9809" t="n">
        <v>0</v>
      </c>
      <c r="R9809" t="n">
        <v>0</v>
      </c>
      <c r="S9809" t="n">
        <v>0</v>
      </c>
      <c r="T9809" t="n">
        <v>0</v>
      </c>
      <c r="U9809" t="n">
        <v>0</v>
      </c>
      <c r="V9809" s="2" t="inlineStr"/>
    </row>
    <row r="9810" ht="15" customHeight="1">
      <c r="A9810" t="inlineStr">
        <is>
          <t>A 27414-2026</t>
        </is>
      </c>
      <c r="B9810" t="inlineStr">
        <is>
          <t>avverkningsanmälan</t>
        </is>
      </c>
      <c r="C9810" t="inlineStr">
        <is>
          <t>Föryngringsavverkning</t>
        </is>
      </c>
      <c r="D9810" s="1" t="n">
        <v>46189</v>
      </c>
      <c r="E9810" s="1" t="n">
        <v>46326</v>
      </c>
      <c r="F9810" t="inlineStr">
        <is>
          <t>GÄVLEBORGS LÄN</t>
        </is>
      </c>
      <c r="G9810" t="inlineStr">
        <is>
          <t>OVANÅKER</t>
        </is>
      </c>
      <c r="I9810" t="n">
        <v>7.7</v>
      </c>
      <c r="J9810" t="n">
        <v>0</v>
      </c>
      <c r="K9810" t="n">
        <v>0</v>
      </c>
      <c r="L9810" t="n">
        <v>0</v>
      </c>
      <c r="M9810" t="n">
        <v>0</v>
      </c>
      <c r="N9810" t="n">
        <v>0</v>
      </c>
      <c r="O9810" t="n">
        <v>0</v>
      </c>
      <c r="P9810" t="n">
        <v>0</v>
      </c>
      <c r="Q9810" t="n">
        <v>0</v>
      </c>
      <c r="R9810" t="n">
        <v>0</v>
      </c>
      <c r="S9810" t="n">
        <v>0</v>
      </c>
      <c r="T9810" t="n">
        <v>0</v>
      </c>
      <c r="U9810" t="n">
        <v>0</v>
      </c>
      <c r="V9810" s="2" t="inlineStr"/>
    </row>
    <row r="9811" ht="15" customHeight="1">
      <c r="A9811" t="inlineStr">
        <is>
          <t>A 20775-2025</t>
        </is>
      </c>
      <c r="B9811" t="inlineStr">
        <is>
          <t>avverkningsanmälan</t>
        </is>
      </c>
      <c r="C9811" t="inlineStr">
        <is>
          <t>Föryngringsavverkning</t>
        </is>
      </c>
      <c r="D9811" s="1" t="n">
        <v>45776</v>
      </c>
      <c r="E9811" s="1" t="n">
        <v>46326</v>
      </c>
      <c r="F9811" t="inlineStr">
        <is>
          <t>GÄVLEBORGS LÄN</t>
        </is>
      </c>
      <c r="G9811" t="inlineStr">
        <is>
          <t>OCKELBO</t>
        </is>
      </c>
      <c r="I9811" t="n">
        <v>1</v>
      </c>
      <c r="J9811" t="n">
        <v>0</v>
      </c>
      <c r="K9811" t="n">
        <v>0</v>
      </c>
      <c r="L9811" t="n">
        <v>0</v>
      </c>
      <c r="M9811" t="n">
        <v>0</v>
      </c>
      <c r="N9811" t="n">
        <v>0</v>
      </c>
      <c r="O9811" t="n">
        <v>0</v>
      </c>
      <c r="P9811" t="n">
        <v>0</v>
      </c>
      <c r="Q9811" t="n">
        <v>0</v>
      </c>
      <c r="R9811" t="n">
        <v>0</v>
      </c>
      <c r="S9811" t="n">
        <v>0</v>
      </c>
      <c r="T9811" t="n">
        <v>0</v>
      </c>
      <c r="U9811" t="n">
        <v>0</v>
      </c>
      <c r="V9811" s="2" t="inlineStr"/>
    </row>
    <row r="9812" ht="15" customHeight="1">
      <c r="A9812" t="inlineStr">
        <is>
          <t>A 6949-2025</t>
        </is>
      </c>
      <c r="B9812" t="inlineStr">
        <is>
          <t>avverkningsanmälan</t>
        </is>
      </c>
      <c r="C9812" t="inlineStr">
        <is>
          <t>Föryngringsavverkning</t>
        </is>
      </c>
      <c r="D9812" s="1" t="n">
        <v>45701</v>
      </c>
      <c r="E9812" s="1" t="n">
        <v>46326</v>
      </c>
      <c r="F9812" t="inlineStr">
        <is>
          <t>GÄVLEBORGS LÄN</t>
        </is>
      </c>
      <c r="G9812" t="inlineStr">
        <is>
          <t>HUDIKSVALL</t>
        </is>
      </c>
      <c r="I9812" t="n">
        <v>4.5</v>
      </c>
      <c r="J9812" t="n">
        <v>0</v>
      </c>
      <c r="K9812" t="n">
        <v>0</v>
      </c>
      <c r="L9812" t="n">
        <v>0</v>
      </c>
      <c r="M9812" t="n">
        <v>0</v>
      </c>
      <c r="N9812" t="n">
        <v>0</v>
      </c>
      <c r="O9812" t="n">
        <v>0</v>
      </c>
      <c r="P9812" t="n">
        <v>0</v>
      </c>
      <c r="Q9812" t="n">
        <v>0</v>
      </c>
      <c r="R9812" t="n">
        <v>0</v>
      </c>
      <c r="S9812" t="n">
        <v>0</v>
      </c>
      <c r="T9812" t="n">
        <v>0</v>
      </c>
      <c r="U9812" t="n">
        <v>0</v>
      </c>
      <c r="V9812" s="2" t="inlineStr"/>
    </row>
    <row r="9813" ht="15" customHeight="1">
      <c r="A9813" t="inlineStr">
        <is>
          <t>A 33068-2026</t>
        </is>
      </c>
      <c r="B9813" t="inlineStr">
        <is>
          <t>avverkningsanmälan</t>
        </is>
      </c>
      <c r="C9813" t="inlineStr">
        <is>
          <t>Föryngringsavverkning</t>
        </is>
      </c>
      <c r="D9813" s="1" t="n">
        <v>46245</v>
      </c>
      <c r="E9813" s="1" t="n">
        <v>46326</v>
      </c>
      <c r="F9813" t="inlineStr">
        <is>
          <t>GÄVLEBORGS LÄN</t>
        </is>
      </c>
      <c r="G9813" t="inlineStr">
        <is>
          <t>LJUSDAL</t>
        </is>
      </c>
      <c r="H9813" t="inlineStr">
        <is>
          <t>Sveaskog</t>
        </is>
      </c>
      <c r="I9813" t="n">
        <v>1.6</v>
      </c>
      <c r="J9813" t="n">
        <v>0</v>
      </c>
      <c r="K9813" t="n">
        <v>0</v>
      </c>
      <c r="L9813" t="n">
        <v>0</v>
      </c>
      <c r="M9813" t="n">
        <v>0</v>
      </c>
      <c r="N9813" t="n">
        <v>0</v>
      </c>
      <c r="O9813" t="n">
        <v>0</v>
      </c>
      <c r="P9813" t="n">
        <v>0</v>
      </c>
      <c r="Q9813" t="n">
        <v>0</v>
      </c>
      <c r="R9813" t="n">
        <v>0</v>
      </c>
      <c r="S9813" t="n">
        <v>0</v>
      </c>
      <c r="T9813" t="n">
        <v>0</v>
      </c>
      <c r="U9813" t="n">
        <v>0</v>
      </c>
      <c r="V9813" s="2" t="inlineStr"/>
    </row>
    <row r="9814" ht="15" customHeight="1">
      <c r="A9814" t="inlineStr">
        <is>
          <t>A 21252-2025</t>
        </is>
      </c>
      <c r="B9814" t="inlineStr">
        <is>
          <t>avverkningsanmälan</t>
        </is>
      </c>
      <c r="C9814" t="inlineStr">
        <is>
          <t>Föryngringsavverkning</t>
        </is>
      </c>
      <c r="D9814" s="1" t="n">
        <v>45779</v>
      </c>
      <c r="E9814" s="1" t="n">
        <v>46326</v>
      </c>
      <c r="F9814" t="inlineStr">
        <is>
          <t>GÄVLEBORGS LÄN</t>
        </is>
      </c>
      <c r="G9814" t="inlineStr">
        <is>
          <t>SÖDERHAMN</t>
        </is>
      </c>
      <c r="I9814" t="n">
        <v>0.6</v>
      </c>
      <c r="J9814" t="n">
        <v>0</v>
      </c>
      <c r="K9814" t="n">
        <v>0</v>
      </c>
      <c r="L9814" t="n">
        <v>0</v>
      </c>
      <c r="M9814" t="n">
        <v>0</v>
      </c>
      <c r="N9814" t="n">
        <v>0</v>
      </c>
      <c r="O9814" t="n">
        <v>0</v>
      </c>
      <c r="P9814" t="n">
        <v>0</v>
      </c>
      <c r="Q9814" t="n">
        <v>0</v>
      </c>
      <c r="R9814" t="n">
        <v>0</v>
      </c>
      <c r="S9814" t="n">
        <v>0</v>
      </c>
      <c r="T9814" t="n">
        <v>0</v>
      </c>
      <c r="U9814" t="n">
        <v>0</v>
      </c>
      <c r="V9814" s="2" t="inlineStr"/>
    </row>
    <row r="9815" ht="15" customHeight="1">
      <c r="A9815" t="inlineStr">
        <is>
          <t>A 39437-2026</t>
        </is>
      </c>
      <c r="B9815" t="inlineStr">
        <is>
          <t>avverkningsanmälan</t>
        </is>
      </c>
      <c r="C9815" t="inlineStr">
        <is>
          <t>Föryngringsavverkning</t>
        </is>
      </c>
      <c r="D9815" s="1" t="n">
        <v>46288</v>
      </c>
      <c r="E9815" s="1" t="n">
        <v>46326</v>
      </c>
      <c r="F9815" t="inlineStr">
        <is>
          <t>GÄVLEBORGS LÄN</t>
        </is>
      </c>
      <c r="G9815" t="inlineStr">
        <is>
          <t>GÄVLE</t>
        </is>
      </c>
      <c r="H9815" t="inlineStr">
        <is>
          <t>Bergvik skog väst AB</t>
        </is>
      </c>
      <c r="I9815" t="n">
        <v>1.7</v>
      </c>
      <c r="J9815" t="n">
        <v>0</v>
      </c>
      <c r="K9815" t="n">
        <v>0</v>
      </c>
      <c r="L9815" t="n">
        <v>0</v>
      </c>
      <c r="M9815" t="n">
        <v>0</v>
      </c>
      <c r="N9815" t="n">
        <v>0</v>
      </c>
      <c r="O9815" t="n">
        <v>0</v>
      </c>
      <c r="P9815" t="n">
        <v>0</v>
      </c>
      <c r="Q9815" t="n">
        <v>0</v>
      </c>
      <c r="R9815" t="n">
        <v>0</v>
      </c>
      <c r="S9815" t="n">
        <v>0</v>
      </c>
      <c r="T9815" t="n">
        <v>0</v>
      </c>
      <c r="U9815" t="n">
        <v>0</v>
      </c>
      <c r="V9815" s="2" t="inlineStr"/>
    </row>
    <row r="9816" ht="15" customHeight="1">
      <c r="A9816" t="inlineStr">
        <is>
          <t>A 33137-2026</t>
        </is>
      </c>
      <c r="B9816" t="inlineStr">
        <is>
          <t>avverkningsanmälan</t>
        </is>
      </c>
      <c r="C9816" t="inlineStr">
        <is>
          <t>Föryngringsavverkning</t>
        </is>
      </c>
      <c r="D9816" s="1" t="n">
        <v>46245</v>
      </c>
      <c r="E9816" s="1" t="n">
        <v>46326</v>
      </c>
      <c r="F9816" t="inlineStr">
        <is>
          <t>GÄVLEBORGS LÄN</t>
        </is>
      </c>
      <c r="G9816" t="inlineStr">
        <is>
          <t>HUDIKSVALL</t>
        </is>
      </c>
      <c r="I9816" t="n">
        <v>1.9</v>
      </c>
      <c r="J9816" t="n">
        <v>0</v>
      </c>
      <c r="K9816" t="n">
        <v>0</v>
      </c>
      <c r="L9816" t="n">
        <v>0</v>
      </c>
      <c r="M9816" t="n">
        <v>0</v>
      </c>
      <c r="N9816" t="n">
        <v>0</v>
      </c>
      <c r="O9816" t="n">
        <v>0</v>
      </c>
      <c r="P9816" t="n">
        <v>0</v>
      </c>
      <c r="Q9816" t="n">
        <v>0</v>
      </c>
      <c r="R9816" t="n">
        <v>0</v>
      </c>
      <c r="S9816" t="n">
        <v>0</v>
      </c>
      <c r="T9816" t="n">
        <v>0</v>
      </c>
      <c r="U9816" t="n">
        <v>0</v>
      </c>
      <c r="V9816" s="2" t="inlineStr"/>
    </row>
    <row r="9817" ht="15" customHeight="1">
      <c r="A9817" t="inlineStr">
        <is>
          <t>A 39592-2026</t>
        </is>
      </c>
      <c r="B9817" t="inlineStr">
        <is>
          <t>avverkningsanmälan</t>
        </is>
      </c>
      <c r="C9817" t="inlineStr">
        <is>
          <t>Föryngringsavverkning</t>
        </is>
      </c>
      <c r="D9817" s="1" t="n">
        <v>46289</v>
      </c>
      <c r="E9817" s="1" t="n">
        <v>46326</v>
      </c>
      <c r="F9817" t="inlineStr">
        <is>
          <t>GÄVLEBORGS LÄN</t>
        </is>
      </c>
      <c r="G9817" t="inlineStr">
        <is>
          <t>BOLLNÄS</t>
        </is>
      </c>
      <c r="H9817" t="inlineStr">
        <is>
          <t>Sveaskog</t>
        </is>
      </c>
      <c r="I9817" t="n">
        <v>3.7</v>
      </c>
      <c r="J9817" t="n">
        <v>0</v>
      </c>
      <c r="K9817" t="n">
        <v>0</v>
      </c>
      <c r="L9817" t="n">
        <v>0</v>
      </c>
      <c r="M9817" t="n">
        <v>0</v>
      </c>
      <c r="N9817" t="n">
        <v>0</v>
      </c>
      <c r="O9817" t="n">
        <v>0</v>
      </c>
      <c r="P9817" t="n">
        <v>0</v>
      </c>
      <c r="Q9817" t="n">
        <v>0</v>
      </c>
      <c r="R9817" t="n">
        <v>0</v>
      </c>
      <c r="S9817" t="n">
        <v>0</v>
      </c>
      <c r="T9817" t="n">
        <v>0</v>
      </c>
      <c r="U9817" t="n">
        <v>0</v>
      </c>
      <c r="V9817" s="2" t="inlineStr"/>
    </row>
    <row r="9818" ht="15" customHeight="1">
      <c r="A9818" t="inlineStr">
        <is>
          <t>A 33449-2026</t>
        </is>
      </c>
      <c r="B9818" t="inlineStr">
        <is>
          <t>avverkningsanmälan</t>
        </is>
      </c>
      <c r="C9818" t="inlineStr">
        <is>
          <t>Föryngringsavverkning</t>
        </is>
      </c>
      <c r="D9818" s="1" t="n">
        <v>46247</v>
      </c>
      <c r="E9818" s="1" t="n">
        <v>46326</v>
      </c>
      <c r="F9818" t="inlineStr">
        <is>
          <t>GÄVLEBORGS LÄN</t>
        </is>
      </c>
      <c r="G9818" t="inlineStr">
        <is>
          <t>LJUSDAL</t>
        </is>
      </c>
      <c r="H9818" t="inlineStr">
        <is>
          <t>Allmännings- och besparingsskogar</t>
        </is>
      </c>
      <c r="I9818" t="n">
        <v>3.5</v>
      </c>
      <c r="J9818" t="n">
        <v>0</v>
      </c>
      <c r="K9818" t="n">
        <v>0</v>
      </c>
      <c r="L9818" t="n">
        <v>0</v>
      </c>
      <c r="M9818" t="n">
        <v>0</v>
      </c>
      <c r="N9818" t="n">
        <v>0</v>
      </c>
      <c r="O9818" t="n">
        <v>0</v>
      </c>
      <c r="P9818" t="n">
        <v>0</v>
      </c>
      <c r="Q9818" t="n">
        <v>0</v>
      </c>
      <c r="R9818" t="n">
        <v>0</v>
      </c>
      <c r="S9818" t="n">
        <v>0</v>
      </c>
      <c r="T9818" t="n">
        <v>0</v>
      </c>
      <c r="U9818" t="n">
        <v>0</v>
      </c>
      <c r="V9818" s="2" t="inlineStr"/>
    </row>
    <row r="9819" ht="15" customHeight="1">
      <c r="A9819" t="inlineStr">
        <is>
          <t>A 33473-2026</t>
        </is>
      </c>
      <c r="B9819" t="inlineStr">
        <is>
          <t>avverkningsanmälan</t>
        </is>
      </c>
      <c r="C9819" t="inlineStr">
        <is>
          <t>Föryngringsavverkning</t>
        </is>
      </c>
      <c r="D9819" s="1" t="n">
        <v>46247</v>
      </c>
      <c r="E9819" s="1" t="n">
        <v>46326</v>
      </c>
      <c r="F9819" t="inlineStr">
        <is>
          <t>GÄVLEBORGS LÄN</t>
        </is>
      </c>
      <c r="G9819" t="inlineStr">
        <is>
          <t>LJUSDAL</t>
        </is>
      </c>
      <c r="H9819" t="inlineStr">
        <is>
          <t>Sveaskog</t>
        </is>
      </c>
      <c r="I9819" t="n">
        <v>5.7</v>
      </c>
      <c r="J9819" t="n">
        <v>0</v>
      </c>
      <c r="K9819" t="n">
        <v>0</v>
      </c>
      <c r="L9819" t="n">
        <v>0</v>
      </c>
      <c r="M9819" t="n">
        <v>0</v>
      </c>
      <c r="N9819" t="n">
        <v>0</v>
      </c>
      <c r="O9819" t="n">
        <v>0</v>
      </c>
      <c r="P9819" t="n">
        <v>0</v>
      </c>
      <c r="Q9819" t="n">
        <v>0</v>
      </c>
      <c r="R9819" t="n">
        <v>0</v>
      </c>
      <c r="S9819" t="n">
        <v>0</v>
      </c>
      <c r="T9819" t="n">
        <v>0</v>
      </c>
      <c r="U9819" t="n">
        <v>0</v>
      </c>
      <c r="V9819" s="2" t="inlineStr"/>
    </row>
    <row r="9820" ht="15" customHeight="1">
      <c r="A9820" t="inlineStr">
        <is>
          <t>A 21182-2025</t>
        </is>
      </c>
      <c r="B9820" t="inlineStr">
        <is>
          <t>avverkningsanmälan</t>
        </is>
      </c>
      <c r="C9820" t="inlineStr">
        <is>
          <t>Föryngringsavverkning</t>
        </is>
      </c>
      <c r="D9820" s="1" t="n">
        <v>45779</v>
      </c>
      <c r="E9820" s="1" t="n">
        <v>46326</v>
      </c>
      <c r="F9820" t="inlineStr">
        <is>
          <t>GÄVLEBORGS LÄN</t>
        </is>
      </c>
      <c r="G9820" t="inlineStr">
        <is>
          <t>SANDVIKEN</t>
        </is>
      </c>
      <c r="I9820" t="n">
        <v>0.6</v>
      </c>
      <c r="J9820" t="n">
        <v>0</v>
      </c>
      <c r="K9820" t="n">
        <v>0</v>
      </c>
      <c r="L9820" t="n">
        <v>0</v>
      </c>
      <c r="M9820" t="n">
        <v>0</v>
      </c>
      <c r="N9820" t="n">
        <v>0</v>
      </c>
      <c r="O9820" t="n">
        <v>0</v>
      </c>
      <c r="P9820" t="n">
        <v>0</v>
      </c>
      <c r="Q9820" t="n">
        <v>0</v>
      </c>
      <c r="R9820" t="n">
        <v>0</v>
      </c>
      <c r="S9820" t="n">
        <v>0</v>
      </c>
      <c r="T9820" t="n">
        <v>0</v>
      </c>
      <c r="U9820" t="n">
        <v>0</v>
      </c>
      <c r="V9820" s="2" t="inlineStr"/>
    </row>
    <row r="9821" ht="15" customHeight="1">
      <c r="A9821" t="inlineStr">
        <is>
          <t>A 33662-2026</t>
        </is>
      </c>
      <c r="B9821" t="inlineStr">
        <is>
          <t>avverkningsanmälan</t>
        </is>
      </c>
      <c r="C9821" t="inlineStr">
        <is>
          <t>Föryngringsavverkning</t>
        </is>
      </c>
      <c r="D9821" s="1" t="n">
        <v>46248</v>
      </c>
      <c r="E9821" s="1" t="n">
        <v>46326</v>
      </c>
      <c r="F9821" t="inlineStr">
        <is>
          <t>GÄVLEBORGS LÄN</t>
        </is>
      </c>
      <c r="G9821" t="inlineStr">
        <is>
          <t>GÄVLE</t>
        </is>
      </c>
      <c r="I9821" t="n">
        <v>1.7</v>
      </c>
      <c r="J9821" t="n">
        <v>0</v>
      </c>
      <c r="K9821" t="n">
        <v>0</v>
      </c>
      <c r="L9821" t="n">
        <v>0</v>
      </c>
      <c r="M9821" t="n">
        <v>0</v>
      </c>
      <c r="N9821" t="n">
        <v>0</v>
      </c>
      <c r="O9821" t="n">
        <v>0</v>
      </c>
      <c r="P9821" t="n">
        <v>0</v>
      </c>
      <c r="Q9821" t="n">
        <v>0</v>
      </c>
      <c r="R9821" t="n">
        <v>0</v>
      </c>
      <c r="S9821" t="n">
        <v>0</v>
      </c>
      <c r="T9821" t="n">
        <v>0</v>
      </c>
      <c r="U9821" t="n">
        <v>0</v>
      </c>
      <c r="V9821" s="2" t="inlineStr"/>
    </row>
    <row r="9822" ht="15" customHeight="1">
      <c r="A9822" t="inlineStr">
        <is>
          <t>A 33664-2026</t>
        </is>
      </c>
      <c r="B9822" t="inlineStr">
        <is>
          <t>avverkningsanmälan</t>
        </is>
      </c>
      <c r="C9822" t="inlineStr">
        <is>
          <t>Föryngringsavverkning</t>
        </is>
      </c>
      <c r="D9822" s="1" t="n">
        <v>46248</v>
      </c>
      <c r="E9822" s="1" t="n">
        <v>46326</v>
      </c>
      <c r="F9822" t="inlineStr">
        <is>
          <t>GÄVLEBORGS LÄN</t>
        </is>
      </c>
      <c r="G9822" t="inlineStr">
        <is>
          <t>GÄVLE</t>
        </is>
      </c>
      <c r="I9822" t="n">
        <v>3.2</v>
      </c>
      <c r="J9822" t="n">
        <v>0</v>
      </c>
      <c r="K9822" t="n">
        <v>0</v>
      </c>
      <c r="L9822" t="n">
        <v>0</v>
      </c>
      <c r="M9822" t="n">
        <v>0</v>
      </c>
      <c r="N9822" t="n">
        <v>0</v>
      </c>
      <c r="O9822" t="n">
        <v>0</v>
      </c>
      <c r="P9822" t="n">
        <v>0</v>
      </c>
      <c r="Q9822" t="n">
        <v>0</v>
      </c>
      <c r="R9822" t="n">
        <v>0</v>
      </c>
      <c r="S9822" t="n">
        <v>0</v>
      </c>
      <c r="T9822" t="n">
        <v>0</v>
      </c>
      <c r="U9822" t="n">
        <v>0</v>
      </c>
      <c r="V9822" s="2" t="inlineStr"/>
    </row>
    <row r="9823" ht="15" customHeight="1">
      <c r="A9823" t="inlineStr">
        <is>
          <t>A 21431-2025</t>
        </is>
      </c>
      <c r="B9823" t="inlineStr">
        <is>
          <t>avverkningsanmälan</t>
        </is>
      </c>
      <c r="C9823" t="inlineStr">
        <is>
          <t>Föryngringsavverkning</t>
        </is>
      </c>
      <c r="D9823" s="1" t="n">
        <v>45782</v>
      </c>
      <c r="E9823" s="1" t="n">
        <v>46326</v>
      </c>
      <c r="F9823" t="inlineStr">
        <is>
          <t>GÄVLEBORGS LÄN</t>
        </is>
      </c>
      <c r="G9823" t="inlineStr">
        <is>
          <t>GÄVLE</t>
        </is>
      </c>
      <c r="I9823" t="n">
        <v>1.8</v>
      </c>
      <c r="J9823" t="n">
        <v>0</v>
      </c>
      <c r="K9823" t="n">
        <v>0</v>
      </c>
      <c r="L9823" t="n">
        <v>0</v>
      </c>
      <c r="M9823" t="n">
        <v>0</v>
      </c>
      <c r="N9823" t="n">
        <v>0</v>
      </c>
      <c r="O9823" t="n">
        <v>0</v>
      </c>
      <c r="P9823" t="n">
        <v>0</v>
      </c>
      <c r="Q9823" t="n">
        <v>0</v>
      </c>
      <c r="R9823" t="n">
        <v>0</v>
      </c>
      <c r="S9823" t="n">
        <v>0</v>
      </c>
      <c r="T9823" t="n">
        <v>0</v>
      </c>
      <c r="U9823" t="n">
        <v>0</v>
      </c>
      <c r="V9823" s="2" t="inlineStr"/>
    </row>
    <row r="9824" ht="15" customHeight="1">
      <c r="A9824" t="inlineStr">
        <is>
          <t>A 31298-2024</t>
        </is>
      </c>
      <c r="B9824" t="inlineStr">
        <is>
          <t>avverkningsanmälan</t>
        </is>
      </c>
      <c r="C9824" t="inlineStr">
        <is>
          <t>Föryngringsavverkning</t>
        </is>
      </c>
      <c r="D9824" s="1" t="n">
        <v>45504</v>
      </c>
      <c r="E9824" s="1" t="n">
        <v>46326</v>
      </c>
      <c r="F9824" t="inlineStr">
        <is>
          <t>GÄVLEBORGS LÄN</t>
        </is>
      </c>
      <c r="G9824" t="inlineStr">
        <is>
          <t>OVANÅKER</t>
        </is>
      </c>
      <c r="I9824" t="n">
        <v>2.4</v>
      </c>
      <c r="J9824" t="n">
        <v>0</v>
      </c>
      <c r="K9824" t="n">
        <v>0</v>
      </c>
      <c r="L9824" t="n">
        <v>0</v>
      </c>
      <c r="M9824" t="n">
        <v>0</v>
      </c>
      <c r="N9824" t="n">
        <v>0</v>
      </c>
      <c r="O9824" t="n">
        <v>0</v>
      </c>
      <c r="P9824" t="n">
        <v>0</v>
      </c>
      <c r="Q9824" t="n">
        <v>0</v>
      </c>
      <c r="R9824" t="n">
        <v>0</v>
      </c>
      <c r="S9824" t="n">
        <v>0</v>
      </c>
      <c r="T9824" t="n">
        <v>0</v>
      </c>
      <c r="U9824" t="n">
        <v>0</v>
      </c>
      <c r="V9824" s="2" t="inlineStr"/>
    </row>
    <row r="9825" ht="15" customHeight="1">
      <c r="A9825" t="inlineStr">
        <is>
          <t>A 21734-2025</t>
        </is>
      </c>
      <c r="B9825" t="inlineStr">
        <is>
          <t>avverkningsanmälan</t>
        </is>
      </c>
      <c r="C9825" t="inlineStr">
        <is>
          <t>Föryngringsavverkning</t>
        </is>
      </c>
      <c r="D9825" s="1" t="n">
        <v>45783</v>
      </c>
      <c r="E9825" s="1" t="n">
        <v>46326</v>
      </c>
      <c r="F9825" t="inlineStr">
        <is>
          <t>GÄVLEBORGS LÄN</t>
        </is>
      </c>
      <c r="G9825" t="inlineStr">
        <is>
          <t>OVANÅKER</t>
        </is>
      </c>
      <c r="H9825" t="inlineStr">
        <is>
          <t>Bergvik skog öst AB</t>
        </is>
      </c>
      <c r="I9825" t="n">
        <v>1</v>
      </c>
      <c r="J9825" t="n">
        <v>0</v>
      </c>
      <c r="K9825" t="n">
        <v>0</v>
      </c>
      <c r="L9825" t="n">
        <v>0</v>
      </c>
      <c r="M9825" t="n">
        <v>0</v>
      </c>
      <c r="N9825" t="n">
        <v>0</v>
      </c>
      <c r="O9825" t="n">
        <v>0</v>
      </c>
      <c r="P9825" t="n">
        <v>0</v>
      </c>
      <c r="Q9825" t="n">
        <v>0</v>
      </c>
      <c r="R9825" t="n">
        <v>0</v>
      </c>
      <c r="S9825" t="n">
        <v>0</v>
      </c>
      <c r="T9825" t="n">
        <v>0</v>
      </c>
      <c r="U9825" t="n">
        <v>0</v>
      </c>
      <c r="V9825" s="2" t="inlineStr"/>
    </row>
    <row r="9826" ht="15" customHeight="1">
      <c r="A9826" t="inlineStr">
        <is>
          <t>A 21744-2025</t>
        </is>
      </c>
      <c r="B9826" t="inlineStr">
        <is>
          <t>avverkningsanmälan</t>
        </is>
      </c>
      <c r="C9826" t="inlineStr">
        <is>
          <t>Föryngringsavverkning</t>
        </is>
      </c>
      <c r="D9826" s="1" t="n">
        <v>45783</v>
      </c>
      <c r="E9826" s="1" t="n">
        <v>46326</v>
      </c>
      <c r="F9826" t="inlineStr">
        <is>
          <t>GÄVLEBORGS LÄN</t>
        </is>
      </c>
      <c r="G9826" t="inlineStr">
        <is>
          <t>OVANÅKER</t>
        </is>
      </c>
      <c r="H9826" t="inlineStr">
        <is>
          <t>Bergvik skog öst AB</t>
        </is>
      </c>
      <c r="I9826" t="n">
        <v>0.9</v>
      </c>
      <c r="J9826" t="n">
        <v>0</v>
      </c>
      <c r="K9826" t="n">
        <v>0</v>
      </c>
      <c r="L9826" t="n">
        <v>0</v>
      </c>
      <c r="M9826" t="n">
        <v>0</v>
      </c>
      <c r="N9826" t="n">
        <v>0</v>
      </c>
      <c r="O9826" t="n">
        <v>0</v>
      </c>
      <c r="P9826" t="n">
        <v>0</v>
      </c>
      <c r="Q9826" t="n">
        <v>0</v>
      </c>
      <c r="R9826" t="n">
        <v>0</v>
      </c>
      <c r="S9826" t="n">
        <v>0</v>
      </c>
      <c r="T9826" t="n">
        <v>0</v>
      </c>
      <c r="U9826" t="n">
        <v>0</v>
      </c>
      <c r="V9826" s="2" t="inlineStr"/>
    </row>
    <row r="9827" ht="15" customHeight="1">
      <c r="A9827" t="inlineStr">
        <is>
          <t>A 46800-2024</t>
        </is>
      </c>
      <c r="B9827" t="inlineStr">
        <is>
          <t>avverkningsanmälan</t>
        </is>
      </c>
      <c r="C9827" t="inlineStr">
        <is>
          <t>Föryngringsavverkning</t>
        </is>
      </c>
      <c r="D9827" s="1" t="n">
        <v>45583</v>
      </c>
      <c r="E9827" s="1" t="n">
        <v>46326</v>
      </c>
      <c r="F9827" t="inlineStr">
        <is>
          <t>GÄVLEBORGS LÄN</t>
        </is>
      </c>
      <c r="G9827" t="inlineStr">
        <is>
          <t>BOLLNÄS</t>
        </is>
      </c>
      <c r="I9827" t="n">
        <v>2.2</v>
      </c>
      <c r="J9827" t="n">
        <v>0</v>
      </c>
      <c r="K9827" t="n">
        <v>0</v>
      </c>
      <c r="L9827" t="n">
        <v>0</v>
      </c>
      <c r="M9827" t="n">
        <v>0</v>
      </c>
      <c r="N9827" t="n">
        <v>0</v>
      </c>
      <c r="O9827" t="n">
        <v>0</v>
      </c>
      <c r="P9827" t="n">
        <v>0</v>
      </c>
      <c r="Q9827" t="n">
        <v>0</v>
      </c>
      <c r="R9827" t="n">
        <v>0</v>
      </c>
      <c r="S9827" t="n">
        <v>0</v>
      </c>
      <c r="T9827" t="n">
        <v>0</v>
      </c>
      <c r="U9827" t="n">
        <v>0</v>
      </c>
      <c r="V9827" s="2" t="inlineStr"/>
    </row>
    <row r="9828" ht="15" customHeight="1">
      <c r="A9828" t="inlineStr">
        <is>
          <t>A 18707-2025</t>
        </is>
      </c>
      <c r="B9828" t="inlineStr">
        <is>
          <t>avverkningsanmälan</t>
        </is>
      </c>
      <c r="C9828" t="inlineStr">
        <is>
          <t>Föryngringsavverkning</t>
        </is>
      </c>
      <c r="D9828" s="1" t="n">
        <v>45763</v>
      </c>
      <c r="E9828" s="1" t="n">
        <v>46326</v>
      </c>
      <c r="F9828" t="inlineStr">
        <is>
          <t>GÄVLEBORGS LÄN</t>
        </is>
      </c>
      <c r="G9828" t="inlineStr">
        <is>
          <t>NORDANSTIG</t>
        </is>
      </c>
      <c r="H9828" t="inlineStr">
        <is>
          <t>Holmen skog AB</t>
        </is>
      </c>
      <c r="I9828" t="n">
        <v>1.8</v>
      </c>
      <c r="J9828" t="n">
        <v>0</v>
      </c>
      <c r="K9828" t="n">
        <v>0</v>
      </c>
      <c r="L9828" t="n">
        <v>0</v>
      </c>
      <c r="M9828" t="n">
        <v>0</v>
      </c>
      <c r="N9828" t="n">
        <v>0</v>
      </c>
      <c r="O9828" t="n">
        <v>0</v>
      </c>
      <c r="P9828" t="n">
        <v>0</v>
      </c>
      <c r="Q9828" t="n">
        <v>0</v>
      </c>
      <c r="R9828" t="n">
        <v>0</v>
      </c>
      <c r="S9828" t="n">
        <v>0</v>
      </c>
      <c r="T9828" t="n">
        <v>0</v>
      </c>
      <c r="U9828" t="n">
        <v>0</v>
      </c>
      <c r="V9828" s="2" t="inlineStr"/>
    </row>
    <row r="9829" ht="15" customHeight="1">
      <c r="A9829" t="inlineStr">
        <is>
          <t>A 7179-2025</t>
        </is>
      </c>
      <c r="B9829" t="inlineStr">
        <is>
          <t>avverkningsanmälan</t>
        </is>
      </c>
      <c r="C9829" t="inlineStr">
        <is>
          <t>Föryngringsavverkning</t>
        </is>
      </c>
      <c r="D9829" s="1" t="n">
        <v>45702</v>
      </c>
      <c r="E9829" s="1" t="n">
        <v>46326</v>
      </c>
      <c r="F9829" t="inlineStr">
        <is>
          <t>GÄVLEBORGS LÄN</t>
        </is>
      </c>
      <c r="G9829" t="inlineStr">
        <is>
          <t>LJUSDAL</t>
        </is>
      </c>
      <c r="H9829" t="inlineStr">
        <is>
          <t>Kommuner</t>
        </is>
      </c>
      <c r="I9829" t="n">
        <v>1.4</v>
      </c>
      <c r="J9829" t="n">
        <v>0</v>
      </c>
      <c r="K9829" t="n">
        <v>0</v>
      </c>
      <c r="L9829" t="n">
        <v>0</v>
      </c>
      <c r="M9829" t="n">
        <v>0</v>
      </c>
      <c r="N9829" t="n">
        <v>0</v>
      </c>
      <c r="O9829" t="n">
        <v>0</v>
      </c>
      <c r="P9829" t="n">
        <v>0</v>
      </c>
      <c r="Q9829" t="n">
        <v>0</v>
      </c>
      <c r="R9829" t="n">
        <v>0</v>
      </c>
      <c r="S9829" t="n">
        <v>0</v>
      </c>
      <c r="T9829" t="n">
        <v>0</v>
      </c>
      <c r="U9829" t="n">
        <v>0</v>
      </c>
      <c r="V9829" s="2" t="inlineStr"/>
    </row>
    <row r="9830" ht="15" customHeight="1">
      <c r="A9830" t="inlineStr">
        <is>
          <t>A 33869-2026</t>
        </is>
      </c>
      <c r="B9830" t="inlineStr">
        <is>
          <t>avverkningsanmälan</t>
        </is>
      </c>
      <c r="C9830" t="inlineStr">
        <is>
          <t>Föryngringsavverkning</t>
        </is>
      </c>
      <c r="D9830" s="1" t="n">
        <v>46251</v>
      </c>
      <c r="E9830" s="1" t="n">
        <v>46326</v>
      </c>
      <c r="F9830" t="inlineStr">
        <is>
          <t>GÄVLEBORGS LÄN</t>
        </is>
      </c>
      <c r="G9830" t="inlineStr">
        <is>
          <t>BOLLNÄS</t>
        </is>
      </c>
      <c r="I9830" t="n">
        <v>2.8</v>
      </c>
      <c r="J9830" t="n">
        <v>0</v>
      </c>
      <c r="K9830" t="n">
        <v>0</v>
      </c>
      <c r="L9830" t="n">
        <v>0</v>
      </c>
      <c r="M9830" t="n">
        <v>0</v>
      </c>
      <c r="N9830" t="n">
        <v>0</v>
      </c>
      <c r="O9830" t="n">
        <v>0</v>
      </c>
      <c r="P9830" t="n">
        <v>0</v>
      </c>
      <c r="Q9830" t="n">
        <v>0</v>
      </c>
      <c r="R9830" t="n">
        <v>0</v>
      </c>
      <c r="S9830" t="n">
        <v>0</v>
      </c>
      <c r="T9830" t="n">
        <v>0</v>
      </c>
      <c r="U9830" t="n">
        <v>0</v>
      </c>
      <c r="V9830" s="2" t="inlineStr"/>
    </row>
    <row r="9831" ht="15" customHeight="1">
      <c r="A9831" t="inlineStr">
        <is>
          <t>A 21393-2025</t>
        </is>
      </c>
      <c r="B9831" t="inlineStr">
        <is>
          <t>avverkningsanmälan</t>
        </is>
      </c>
      <c r="C9831" t="inlineStr">
        <is>
          <t>Föryngringsavverkning</t>
        </is>
      </c>
      <c r="D9831" s="1" t="n">
        <v>45782</v>
      </c>
      <c r="E9831" s="1" t="n">
        <v>46326</v>
      </c>
      <c r="F9831" t="inlineStr">
        <is>
          <t>GÄVLEBORGS LÄN</t>
        </is>
      </c>
      <c r="G9831" t="inlineStr">
        <is>
          <t>BOLLNÄS</t>
        </is>
      </c>
      <c r="I9831" t="n">
        <v>1.7</v>
      </c>
      <c r="J9831" t="n">
        <v>0</v>
      </c>
      <c r="K9831" t="n">
        <v>0</v>
      </c>
      <c r="L9831" t="n">
        <v>0</v>
      </c>
      <c r="M9831" t="n">
        <v>0</v>
      </c>
      <c r="N9831" t="n">
        <v>0</v>
      </c>
      <c r="O9831" t="n">
        <v>0</v>
      </c>
      <c r="P9831" t="n">
        <v>0</v>
      </c>
      <c r="Q9831" t="n">
        <v>0</v>
      </c>
      <c r="R9831" t="n">
        <v>0</v>
      </c>
      <c r="S9831" t="n">
        <v>0</v>
      </c>
      <c r="T9831" t="n">
        <v>0</v>
      </c>
      <c r="U9831" t="n">
        <v>0</v>
      </c>
      <c r="V9831" s="2" t="inlineStr"/>
    </row>
    <row r="9832" ht="15" customHeight="1">
      <c r="A9832" t="inlineStr">
        <is>
          <t>A 18716-2025</t>
        </is>
      </c>
      <c r="B9832" t="inlineStr">
        <is>
          <t>avverkningsanmälan</t>
        </is>
      </c>
      <c r="C9832" t="inlineStr">
        <is>
          <t>Föryngringsavverkning</t>
        </is>
      </c>
      <c r="D9832" s="1" t="n">
        <v>45763</v>
      </c>
      <c r="E9832" s="1" t="n">
        <v>46326</v>
      </c>
      <c r="F9832" t="inlineStr">
        <is>
          <t>GÄVLEBORGS LÄN</t>
        </is>
      </c>
      <c r="G9832" t="inlineStr">
        <is>
          <t>NORDANSTIG</t>
        </is>
      </c>
      <c r="H9832" t="inlineStr">
        <is>
          <t>Holmen skog AB</t>
        </is>
      </c>
      <c r="I9832" t="n">
        <v>1.7</v>
      </c>
      <c r="J9832" t="n">
        <v>0</v>
      </c>
      <c r="K9832" t="n">
        <v>0</v>
      </c>
      <c r="L9832" t="n">
        <v>0</v>
      </c>
      <c r="M9832" t="n">
        <v>0</v>
      </c>
      <c r="N9832" t="n">
        <v>0</v>
      </c>
      <c r="O9832" t="n">
        <v>0</v>
      </c>
      <c r="P9832" t="n">
        <v>0</v>
      </c>
      <c r="Q9832" t="n">
        <v>0</v>
      </c>
      <c r="R9832" t="n">
        <v>0</v>
      </c>
      <c r="S9832" t="n">
        <v>0</v>
      </c>
      <c r="T9832" t="n">
        <v>0</v>
      </c>
      <c r="U9832" t="n">
        <v>0</v>
      </c>
      <c r="V9832" s="2" t="inlineStr"/>
    </row>
    <row r="9833" ht="15" customHeight="1">
      <c r="A9833" t="inlineStr">
        <is>
          <t>A 33451-2026</t>
        </is>
      </c>
      <c r="B9833" t="inlineStr">
        <is>
          <t>avverkningsanmälan</t>
        </is>
      </c>
      <c r="C9833" t="inlineStr">
        <is>
          <t>Föryngringsavverkning</t>
        </is>
      </c>
      <c r="D9833" s="1" t="n">
        <v>46247</v>
      </c>
      <c r="E9833" s="1" t="n">
        <v>46326</v>
      </c>
      <c r="F9833" t="inlineStr">
        <is>
          <t>GÄVLEBORGS LÄN</t>
        </is>
      </c>
      <c r="G9833" t="inlineStr">
        <is>
          <t>LJUSDAL</t>
        </is>
      </c>
      <c r="H9833" t="inlineStr">
        <is>
          <t>Allmännings- och besparingsskogar</t>
        </is>
      </c>
      <c r="I9833" t="n">
        <v>1.9</v>
      </c>
      <c r="J9833" t="n">
        <v>0</v>
      </c>
      <c r="K9833" t="n">
        <v>0</v>
      </c>
      <c r="L9833" t="n">
        <v>0</v>
      </c>
      <c r="M9833" t="n">
        <v>0</v>
      </c>
      <c r="N9833" t="n">
        <v>0</v>
      </c>
      <c r="O9833" t="n">
        <v>0</v>
      </c>
      <c r="P9833" t="n">
        <v>0</v>
      </c>
      <c r="Q9833" t="n">
        <v>0</v>
      </c>
      <c r="R9833" t="n">
        <v>0</v>
      </c>
      <c r="S9833" t="n">
        <v>0</v>
      </c>
      <c r="T9833" t="n">
        <v>0</v>
      </c>
      <c r="U9833" t="n">
        <v>0</v>
      </c>
      <c r="V9833" s="2" t="inlineStr"/>
    </row>
    <row r="9834" ht="15" customHeight="1">
      <c r="A9834" t="inlineStr">
        <is>
          <t>A 33486-2026</t>
        </is>
      </c>
      <c r="B9834" t="inlineStr">
        <is>
          <t>avverkningsanmälan</t>
        </is>
      </c>
      <c r="C9834" t="inlineStr">
        <is>
          <t>Föryngringsavverkning</t>
        </is>
      </c>
      <c r="D9834" s="1" t="n">
        <v>46247</v>
      </c>
      <c r="E9834" s="1" t="n">
        <v>46326</v>
      </c>
      <c r="F9834" t="inlineStr">
        <is>
          <t>GÄVLEBORGS LÄN</t>
        </is>
      </c>
      <c r="G9834" t="inlineStr">
        <is>
          <t>LJUSDAL</t>
        </is>
      </c>
      <c r="H9834" t="inlineStr">
        <is>
          <t>Sveaskog</t>
        </is>
      </c>
      <c r="I9834" t="n">
        <v>1.2</v>
      </c>
      <c r="J9834" t="n">
        <v>0</v>
      </c>
      <c r="K9834" t="n">
        <v>0</v>
      </c>
      <c r="L9834" t="n">
        <v>0</v>
      </c>
      <c r="M9834" t="n">
        <v>0</v>
      </c>
      <c r="N9834" t="n">
        <v>0</v>
      </c>
      <c r="O9834" t="n">
        <v>0</v>
      </c>
      <c r="P9834" t="n">
        <v>0</v>
      </c>
      <c r="Q9834" t="n">
        <v>0</v>
      </c>
      <c r="R9834" t="n">
        <v>0</v>
      </c>
      <c r="S9834" t="n">
        <v>0</v>
      </c>
      <c r="T9834" t="n">
        <v>0</v>
      </c>
      <c r="U9834" t="n">
        <v>0</v>
      </c>
      <c r="V9834" s="2" t="inlineStr"/>
    </row>
    <row r="9835" ht="15" customHeight="1">
      <c r="A9835" t="inlineStr">
        <is>
          <t>A 21446-2025</t>
        </is>
      </c>
      <c r="B9835" t="inlineStr">
        <is>
          <t>avverkningsanmälan</t>
        </is>
      </c>
      <c r="C9835" t="inlineStr">
        <is>
          <t>Föryngringsavverkning</t>
        </is>
      </c>
      <c r="D9835" s="1" t="n">
        <v>45782</v>
      </c>
      <c r="E9835" s="1" t="n">
        <v>46326</v>
      </c>
      <c r="F9835" t="inlineStr">
        <is>
          <t>GÄVLEBORGS LÄN</t>
        </is>
      </c>
      <c r="G9835" t="inlineStr">
        <is>
          <t>OVANÅKER</t>
        </is>
      </c>
      <c r="H9835" t="inlineStr">
        <is>
          <t>Bergvik skog öst AB</t>
        </is>
      </c>
      <c r="I9835" t="n">
        <v>5.9</v>
      </c>
      <c r="J9835" t="n">
        <v>0</v>
      </c>
      <c r="K9835" t="n">
        <v>0</v>
      </c>
      <c r="L9835" t="n">
        <v>0</v>
      </c>
      <c r="M9835" t="n">
        <v>0</v>
      </c>
      <c r="N9835" t="n">
        <v>0</v>
      </c>
      <c r="O9835" t="n">
        <v>0</v>
      </c>
      <c r="P9835" t="n">
        <v>0</v>
      </c>
      <c r="Q9835" t="n">
        <v>0</v>
      </c>
      <c r="R9835" t="n">
        <v>0</v>
      </c>
      <c r="S9835" t="n">
        <v>0</v>
      </c>
      <c r="T9835" t="n">
        <v>0</v>
      </c>
      <c r="U9835" t="n">
        <v>0</v>
      </c>
      <c r="V9835" s="2" t="inlineStr"/>
    </row>
    <row r="9836" ht="15" customHeight="1">
      <c r="A9836" t="inlineStr">
        <is>
          <t>A 33520-2026</t>
        </is>
      </c>
      <c r="B9836" t="inlineStr">
        <is>
          <t>avverkningsanmälan</t>
        </is>
      </c>
      <c r="C9836" t="inlineStr">
        <is>
          <t>Föryngringsavverkning</t>
        </is>
      </c>
      <c r="D9836" s="1" t="n">
        <v>46248</v>
      </c>
      <c r="E9836" s="1" t="n">
        <v>46326</v>
      </c>
      <c r="F9836" t="inlineStr">
        <is>
          <t>GÄVLEBORGS LÄN</t>
        </is>
      </c>
      <c r="G9836" t="inlineStr">
        <is>
          <t>LJUSDAL</t>
        </is>
      </c>
      <c r="H9836" t="inlineStr">
        <is>
          <t>Sveaskog</t>
        </is>
      </c>
      <c r="I9836" t="n">
        <v>2</v>
      </c>
      <c r="J9836" t="n">
        <v>0</v>
      </c>
      <c r="K9836" t="n">
        <v>0</v>
      </c>
      <c r="L9836" t="n">
        <v>0</v>
      </c>
      <c r="M9836" t="n">
        <v>0</v>
      </c>
      <c r="N9836" t="n">
        <v>0</v>
      </c>
      <c r="O9836" t="n">
        <v>0</v>
      </c>
      <c r="P9836" t="n">
        <v>0</v>
      </c>
      <c r="Q9836" t="n">
        <v>0</v>
      </c>
      <c r="R9836" t="n">
        <v>0</v>
      </c>
      <c r="S9836" t="n">
        <v>0</v>
      </c>
      <c r="T9836" t="n">
        <v>0</v>
      </c>
      <c r="U9836" t="n">
        <v>0</v>
      </c>
      <c r="V9836" s="2" t="inlineStr"/>
    </row>
    <row r="9837" ht="15" customHeight="1">
      <c r="A9837" t="inlineStr">
        <is>
          <t>A 21725-2025</t>
        </is>
      </c>
      <c r="B9837" t="inlineStr">
        <is>
          <t>avverkningsanmälan</t>
        </is>
      </c>
      <c r="C9837" t="inlineStr">
        <is>
          <t>Föryngringsavverkning</t>
        </is>
      </c>
      <c r="D9837" s="1" t="n">
        <v>45783</v>
      </c>
      <c r="E9837" s="1" t="n">
        <v>46326</v>
      </c>
      <c r="F9837" t="inlineStr">
        <is>
          <t>GÄVLEBORGS LÄN</t>
        </is>
      </c>
      <c r="G9837" t="inlineStr">
        <is>
          <t>NORDANSTIG</t>
        </is>
      </c>
      <c r="I9837" t="n">
        <v>6.4</v>
      </c>
      <c r="J9837" t="n">
        <v>0</v>
      </c>
      <c r="K9837" t="n">
        <v>0</v>
      </c>
      <c r="L9837" t="n">
        <v>0</v>
      </c>
      <c r="M9837" t="n">
        <v>0</v>
      </c>
      <c r="N9837" t="n">
        <v>0</v>
      </c>
      <c r="O9837" t="n">
        <v>0</v>
      </c>
      <c r="P9837" t="n">
        <v>0</v>
      </c>
      <c r="Q9837" t="n">
        <v>0</v>
      </c>
      <c r="R9837" t="n">
        <v>0</v>
      </c>
      <c r="S9837" t="n">
        <v>0</v>
      </c>
      <c r="T9837" t="n">
        <v>0</v>
      </c>
      <c r="U9837" t="n">
        <v>0</v>
      </c>
      <c r="V9837" s="2" t="inlineStr"/>
    </row>
    <row r="9838" ht="15" customHeight="1">
      <c r="A9838" t="inlineStr">
        <is>
          <t>A 35086-2024</t>
        </is>
      </c>
      <c r="B9838" t="inlineStr">
        <is>
          <t>avverkningsanmälan</t>
        </is>
      </c>
      <c r="C9838" t="inlineStr">
        <is>
          <t>Föryngringsavverkning</t>
        </is>
      </c>
      <c r="D9838" s="1" t="n">
        <v>45527</v>
      </c>
      <c r="E9838" s="1" t="n">
        <v>46326</v>
      </c>
      <c r="F9838" t="inlineStr">
        <is>
          <t>GÄVLEBORGS LÄN</t>
        </is>
      </c>
      <c r="G9838" t="inlineStr">
        <is>
          <t>OVANÅKER</t>
        </is>
      </c>
      <c r="I9838" t="n">
        <v>2.1</v>
      </c>
      <c r="J9838" t="n">
        <v>0</v>
      </c>
      <c r="K9838" t="n">
        <v>0</v>
      </c>
      <c r="L9838" t="n">
        <v>0</v>
      </c>
      <c r="M9838" t="n">
        <v>0</v>
      </c>
      <c r="N9838" t="n">
        <v>0</v>
      </c>
      <c r="O9838" t="n">
        <v>0</v>
      </c>
      <c r="P9838" t="n">
        <v>0</v>
      </c>
      <c r="Q9838" t="n">
        <v>0</v>
      </c>
      <c r="R9838" t="n">
        <v>0</v>
      </c>
      <c r="S9838" t="n">
        <v>0</v>
      </c>
      <c r="T9838" t="n">
        <v>0</v>
      </c>
      <c r="U9838" t="n">
        <v>0</v>
      </c>
      <c r="V9838" s="2" t="inlineStr"/>
    </row>
    <row r="9839" ht="15" customHeight="1">
      <c r="A9839" t="inlineStr">
        <is>
          <t>A 1144-2024</t>
        </is>
      </c>
      <c r="B9839" t="inlineStr">
        <is>
          <t>avverkningsanmälan</t>
        </is>
      </c>
      <c r="C9839" t="inlineStr">
        <is>
          <t>Föryngringsavverkning</t>
        </is>
      </c>
      <c r="D9839" s="1" t="n">
        <v>45302</v>
      </c>
      <c r="E9839" s="1" t="n">
        <v>46326</v>
      </c>
      <c r="F9839" t="inlineStr">
        <is>
          <t>GÄVLEBORGS LÄN</t>
        </is>
      </c>
      <c r="G9839" t="inlineStr">
        <is>
          <t>HOFORS</t>
        </is>
      </c>
      <c r="I9839" t="n">
        <v>0.9</v>
      </c>
      <c r="J9839" t="n">
        <v>0</v>
      </c>
      <c r="K9839" t="n">
        <v>0</v>
      </c>
      <c r="L9839" t="n">
        <v>0</v>
      </c>
      <c r="M9839" t="n">
        <v>0</v>
      </c>
      <c r="N9839" t="n">
        <v>0</v>
      </c>
      <c r="O9839" t="n">
        <v>0</v>
      </c>
      <c r="P9839" t="n">
        <v>0</v>
      </c>
      <c r="Q9839" t="n">
        <v>0</v>
      </c>
      <c r="R9839" t="n">
        <v>0</v>
      </c>
      <c r="S9839" t="n">
        <v>0</v>
      </c>
      <c r="T9839" t="n">
        <v>0</v>
      </c>
      <c r="U9839" t="n">
        <v>0</v>
      </c>
      <c r="V9839" s="2" t="inlineStr"/>
    </row>
    <row r="9840" ht="15" customHeight="1">
      <c r="A9840" t="inlineStr">
        <is>
          <t>A 40117-2026</t>
        </is>
      </c>
      <c r="B9840" t="inlineStr">
        <is>
          <t>avverkningsanmälan</t>
        </is>
      </c>
      <c r="C9840" t="inlineStr">
        <is>
          <t>Föryngringsavverkning</t>
        </is>
      </c>
      <c r="D9840" s="1" t="n">
        <v>46293</v>
      </c>
      <c r="E9840" s="1" t="n">
        <v>46326</v>
      </c>
      <c r="F9840" t="inlineStr">
        <is>
          <t>GÄVLEBORGS LÄN</t>
        </is>
      </c>
      <c r="G9840" t="inlineStr">
        <is>
          <t>OCKELBO</t>
        </is>
      </c>
      <c r="H9840" t="inlineStr">
        <is>
          <t>Bergvik skog väst AB</t>
        </is>
      </c>
      <c r="I9840" t="n">
        <v>3</v>
      </c>
      <c r="J9840" t="n">
        <v>0</v>
      </c>
      <c r="K9840" t="n">
        <v>0</v>
      </c>
      <c r="L9840" t="n">
        <v>0</v>
      </c>
      <c r="M9840" t="n">
        <v>0</v>
      </c>
      <c r="N9840" t="n">
        <v>0</v>
      </c>
      <c r="O9840" t="n">
        <v>0</v>
      </c>
      <c r="P9840" t="n">
        <v>0</v>
      </c>
      <c r="Q9840" t="n">
        <v>0</v>
      </c>
      <c r="R9840" t="n">
        <v>0</v>
      </c>
      <c r="S9840" t="n">
        <v>0</v>
      </c>
      <c r="T9840" t="n">
        <v>0</v>
      </c>
      <c r="U9840" t="n">
        <v>0</v>
      </c>
      <c r="V9840" s="2" t="inlineStr"/>
    </row>
    <row r="9841" ht="15" customHeight="1">
      <c r="A9841" t="inlineStr">
        <is>
          <t>A 33518-2026</t>
        </is>
      </c>
      <c r="B9841" t="inlineStr">
        <is>
          <t>avverkningsanmälan</t>
        </is>
      </c>
      <c r="C9841" t="inlineStr">
        <is>
          <t>Föryngringsavverkning</t>
        </is>
      </c>
      <c r="D9841" s="1" t="n">
        <v>46248</v>
      </c>
      <c r="E9841" s="1" t="n">
        <v>46326</v>
      </c>
      <c r="F9841" t="inlineStr">
        <is>
          <t>GÄVLEBORGS LÄN</t>
        </is>
      </c>
      <c r="G9841" t="inlineStr">
        <is>
          <t>LJUSDAL</t>
        </is>
      </c>
      <c r="H9841" t="inlineStr">
        <is>
          <t>Sveaskog</t>
        </is>
      </c>
      <c r="I9841" t="n">
        <v>3.2</v>
      </c>
      <c r="J9841" t="n">
        <v>0</v>
      </c>
      <c r="K9841" t="n">
        <v>0</v>
      </c>
      <c r="L9841" t="n">
        <v>0</v>
      </c>
      <c r="M9841" t="n">
        <v>0</v>
      </c>
      <c r="N9841" t="n">
        <v>0</v>
      </c>
      <c r="O9841" t="n">
        <v>0</v>
      </c>
      <c r="P9841" t="n">
        <v>0</v>
      </c>
      <c r="Q9841" t="n">
        <v>0</v>
      </c>
      <c r="R9841" t="n">
        <v>0</v>
      </c>
      <c r="S9841" t="n">
        <v>0</v>
      </c>
      <c r="T9841" t="n">
        <v>0</v>
      </c>
      <c r="U9841" t="n">
        <v>0</v>
      </c>
      <c r="V9841" s="2" t="inlineStr"/>
    </row>
    <row r="9842" ht="15" customHeight="1">
      <c r="A9842" t="inlineStr">
        <is>
          <t>A 45782-2024</t>
        </is>
      </c>
      <c r="B9842" t="inlineStr">
        <is>
          <t>avverkningsanmälan</t>
        </is>
      </c>
      <c r="C9842" t="inlineStr">
        <is>
          <t>Föryngringsavverkning</t>
        </is>
      </c>
      <c r="D9842" s="1" t="n">
        <v>45579</v>
      </c>
      <c r="E9842" s="1" t="n">
        <v>46326</v>
      </c>
      <c r="F9842" t="inlineStr">
        <is>
          <t>GÄVLEBORGS LÄN</t>
        </is>
      </c>
      <c r="G9842" t="inlineStr">
        <is>
          <t>BOLLNÄS</t>
        </is>
      </c>
      <c r="I9842" t="n">
        <v>9.199999999999999</v>
      </c>
      <c r="J9842" t="n">
        <v>0</v>
      </c>
      <c r="K9842" t="n">
        <v>0</v>
      </c>
      <c r="L9842" t="n">
        <v>0</v>
      </c>
      <c r="M9842" t="n">
        <v>0</v>
      </c>
      <c r="N9842" t="n">
        <v>0</v>
      </c>
      <c r="O9842" t="n">
        <v>0</v>
      </c>
      <c r="P9842" t="n">
        <v>0</v>
      </c>
      <c r="Q9842" t="n">
        <v>0</v>
      </c>
      <c r="R9842" t="n">
        <v>0</v>
      </c>
      <c r="S9842" t="n">
        <v>0</v>
      </c>
      <c r="T9842" t="n">
        <v>0</v>
      </c>
      <c r="U9842" t="n">
        <v>0</v>
      </c>
      <c r="V9842" s="2" t="inlineStr"/>
    </row>
    <row r="9843" ht="15" customHeight="1">
      <c r="A9843" t="inlineStr">
        <is>
          <t>A 33521-2026</t>
        </is>
      </c>
      <c r="B9843" t="inlineStr">
        <is>
          <t>avverkningsanmälan</t>
        </is>
      </c>
      <c r="C9843" t="inlineStr">
        <is>
          <t>Föryngringsavverkning</t>
        </is>
      </c>
      <c r="D9843" s="1" t="n">
        <v>46248</v>
      </c>
      <c r="E9843" s="1" t="n">
        <v>46326</v>
      </c>
      <c r="F9843" t="inlineStr">
        <is>
          <t>GÄVLEBORGS LÄN</t>
        </is>
      </c>
      <c r="G9843" t="inlineStr">
        <is>
          <t>LJUSDAL</t>
        </is>
      </c>
      <c r="H9843" t="inlineStr">
        <is>
          <t>Sveaskog</t>
        </is>
      </c>
      <c r="I9843" t="n">
        <v>2.4</v>
      </c>
      <c r="J9843" t="n">
        <v>0</v>
      </c>
      <c r="K9843" t="n">
        <v>0</v>
      </c>
      <c r="L9843" t="n">
        <v>0</v>
      </c>
      <c r="M9843" t="n">
        <v>0</v>
      </c>
      <c r="N9843" t="n">
        <v>0</v>
      </c>
      <c r="O9843" t="n">
        <v>0</v>
      </c>
      <c r="P9843" t="n">
        <v>0</v>
      </c>
      <c r="Q9843" t="n">
        <v>0</v>
      </c>
      <c r="R9843" t="n">
        <v>0</v>
      </c>
      <c r="S9843" t="n">
        <v>0</v>
      </c>
      <c r="T9843" t="n">
        <v>0</v>
      </c>
      <c r="U9843" t="n">
        <v>0</v>
      </c>
      <c r="V9843" s="2" t="inlineStr"/>
    </row>
    <row r="9844" ht="15" customHeight="1">
      <c r="A9844" t="inlineStr">
        <is>
          <t>A 37459-2024</t>
        </is>
      </c>
      <c r="B9844" t="inlineStr">
        <is>
          <t>avverkningsanmälan</t>
        </is>
      </c>
      <c r="C9844" t="inlineStr">
        <is>
          <t>Föryngringsavverkning</t>
        </is>
      </c>
      <c r="D9844" s="1" t="n">
        <v>45540</v>
      </c>
      <c r="E9844" s="1" t="n">
        <v>46326</v>
      </c>
      <c r="F9844" t="inlineStr">
        <is>
          <t>GÄVLEBORGS LÄN</t>
        </is>
      </c>
      <c r="G9844" t="inlineStr">
        <is>
          <t>SANDVIKEN</t>
        </is>
      </c>
      <c r="I9844" t="n">
        <v>2.4</v>
      </c>
      <c r="J9844" t="n">
        <v>0</v>
      </c>
      <c r="K9844" t="n">
        <v>0</v>
      </c>
      <c r="L9844" t="n">
        <v>0</v>
      </c>
      <c r="M9844" t="n">
        <v>0</v>
      </c>
      <c r="N9844" t="n">
        <v>0</v>
      </c>
      <c r="O9844" t="n">
        <v>0</v>
      </c>
      <c r="P9844" t="n">
        <v>0</v>
      </c>
      <c r="Q9844" t="n">
        <v>0</v>
      </c>
      <c r="R9844" t="n">
        <v>0</v>
      </c>
      <c r="S9844" t="n">
        <v>0</v>
      </c>
      <c r="T9844" t="n">
        <v>0</v>
      </c>
      <c r="U9844" t="n">
        <v>0</v>
      </c>
      <c r="V9844" s="2" t="inlineStr"/>
    </row>
    <row r="9845" ht="15" customHeight="1">
      <c r="A9845" t="inlineStr">
        <is>
          <t>A 23288-2026</t>
        </is>
      </c>
      <c r="B9845" t="inlineStr">
        <is>
          <t>avverkningsanmälan</t>
        </is>
      </c>
      <c r="C9845" t="inlineStr">
        <is>
          <t>Föryngringsavverkning</t>
        </is>
      </c>
      <c r="D9845" s="1" t="n">
        <v>46162</v>
      </c>
      <c r="E9845" s="1" t="n">
        <v>46326</v>
      </c>
      <c r="F9845" t="inlineStr">
        <is>
          <t>GÄVLEBORGS LÄN</t>
        </is>
      </c>
      <c r="G9845" t="inlineStr">
        <is>
          <t>BOLLNÄS</t>
        </is>
      </c>
      <c r="I9845" t="n">
        <v>5.6</v>
      </c>
      <c r="J9845" t="n">
        <v>0</v>
      </c>
      <c r="K9845" t="n">
        <v>0</v>
      </c>
      <c r="L9845" t="n">
        <v>0</v>
      </c>
      <c r="M9845" t="n">
        <v>0</v>
      </c>
      <c r="N9845" t="n">
        <v>0</v>
      </c>
      <c r="O9845" t="n">
        <v>0</v>
      </c>
      <c r="P9845" t="n">
        <v>0</v>
      </c>
      <c r="Q9845" t="n">
        <v>0</v>
      </c>
      <c r="R9845" t="n">
        <v>0</v>
      </c>
      <c r="S9845" t="n">
        <v>0</v>
      </c>
      <c r="T9845" t="n">
        <v>0</v>
      </c>
      <c r="U9845" t="n">
        <v>0</v>
      </c>
      <c r="V9845" s="2" t="inlineStr"/>
    </row>
    <row r="9846" ht="15" customHeight="1">
      <c r="A9846" t="inlineStr">
        <is>
          <t>A 21394-2025</t>
        </is>
      </c>
      <c r="B9846" t="inlineStr">
        <is>
          <t>avverkningsanmälan</t>
        </is>
      </c>
      <c r="C9846" t="inlineStr">
        <is>
          <t>Föryngringsavverkning</t>
        </is>
      </c>
      <c r="D9846" s="1" t="n">
        <v>45782</v>
      </c>
      <c r="E9846" s="1" t="n">
        <v>46326</v>
      </c>
      <c r="F9846" t="inlineStr">
        <is>
          <t>GÄVLEBORGS LÄN</t>
        </is>
      </c>
      <c r="G9846" t="inlineStr">
        <is>
          <t>OVANÅKER</t>
        </is>
      </c>
      <c r="H9846" t="inlineStr">
        <is>
          <t>Bergvik skog öst AB</t>
        </is>
      </c>
      <c r="I9846" t="n">
        <v>2.6</v>
      </c>
      <c r="J9846" t="n">
        <v>0</v>
      </c>
      <c r="K9846" t="n">
        <v>0</v>
      </c>
      <c r="L9846" t="n">
        <v>0</v>
      </c>
      <c r="M9846" t="n">
        <v>0</v>
      </c>
      <c r="N9846" t="n">
        <v>0</v>
      </c>
      <c r="O9846" t="n">
        <v>0</v>
      </c>
      <c r="P9846" t="n">
        <v>0</v>
      </c>
      <c r="Q9846" t="n">
        <v>0</v>
      </c>
      <c r="R9846" t="n">
        <v>0</v>
      </c>
      <c r="S9846" t="n">
        <v>0</v>
      </c>
      <c r="T9846" t="n">
        <v>0</v>
      </c>
      <c r="U9846" t="n">
        <v>0</v>
      </c>
      <c r="V9846" s="2" t="inlineStr"/>
    </row>
    <row r="9847" ht="15" customHeight="1">
      <c r="A9847" t="inlineStr">
        <is>
          <t>A 21524-2025</t>
        </is>
      </c>
      <c r="B9847" t="inlineStr">
        <is>
          <t>avverkningsanmälan</t>
        </is>
      </c>
      <c r="C9847" t="inlineStr">
        <is>
          <t>Föryngringsavverkning</t>
        </is>
      </c>
      <c r="D9847" s="1" t="n">
        <v>45782</v>
      </c>
      <c r="E9847" s="1" t="n">
        <v>46326</v>
      </c>
      <c r="F9847" t="inlineStr">
        <is>
          <t>GÄVLEBORGS LÄN</t>
        </is>
      </c>
      <c r="G9847" t="inlineStr">
        <is>
          <t>HUDIKSVALL</t>
        </is>
      </c>
      <c r="I9847" t="n">
        <v>3.7</v>
      </c>
      <c r="J9847" t="n">
        <v>0</v>
      </c>
      <c r="K9847" t="n">
        <v>0</v>
      </c>
      <c r="L9847" t="n">
        <v>0</v>
      </c>
      <c r="M9847" t="n">
        <v>0</v>
      </c>
      <c r="N9847" t="n">
        <v>0</v>
      </c>
      <c r="O9847" t="n">
        <v>0</v>
      </c>
      <c r="P9847" t="n">
        <v>0</v>
      </c>
      <c r="Q9847" t="n">
        <v>0</v>
      </c>
      <c r="R9847" t="n">
        <v>0</v>
      </c>
      <c r="S9847" t="n">
        <v>0</v>
      </c>
      <c r="T9847" t="n">
        <v>0</v>
      </c>
      <c r="U9847" t="n">
        <v>0</v>
      </c>
      <c r="V9847" s="2" t="inlineStr"/>
    </row>
    <row r="9848" ht="15" customHeight="1">
      <c r="A9848" t="inlineStr">
        <is>
          <t>A 42722-2024</t>
        </is>
      </c>
      <c r="B9848" t="inlineStr">
        <is>
          <t>avverkningsanmälan</t>
        </is>
      </c>
      <c r="C9848" t="inlineStr">
        <is>
          <t>Föryngringsavverkning</t>
        </is>
      </c>
      <c r="D9848" s="1" t="n">
        <v>45566</v>
      </c>
      <c r="E9848" s="1" t="n">
        <v>46326</v>
      </c>
      <c r="F9848" t="inlineStr">
        <is>
          <t>GÄVLEBORGS LÄN</t>
        </is>
      </c>
      <c r="G9848" t="inlineStr">
        <is>
          <t>OVANÅKER</t>
        </is>
      </c>
      <c r="I9848" t="n">
        <v>5</v>
      </c>
      <c r="J9848" t="n">
        <v>0</v>
      </c>
      <c r="K9848" t="n">
        <v>0</v>
      </c>
      <c r="L9848" t="n">
        <v>0</v>
      </c>
      <c r="M9848" t="n">
        <v>0</v>
      </c>
      <c r="N9848" t="n">
        <v>0</v>
      </c>
      <c r="O9848" t="n">
        <v>0</v>
      </c>
      <c r="P9848" t="n">
        <v>0</v>
      </c>
      <c r="Q9848" t="n">
        <v>0</v>
      </c>
      <c r="R9848" t="n">
        <v>0</v>
      </c>
      <c r="S9848" t="n">
        <v>0</v>
      </c>
      <c r="T9848" t="n">
        <v>0</v>
      </c>
      <c r="U9848" t="n">
        <v>0</v>
      </c>
      <c r="V9848" s="2" t="inlineStr"/>
    </row>
    <row r="9849" ht="15" customHeight="1">
      <c r="A9849" t="inlineStr">
        <is>
          <t>A 12389-2023</t>
        </is>
      </c>
      <c r="B9849" t="inlineStr">
        <is>
          <t>avverkningsanmälan</t>
        </is>
      </c>
      <c r="C9849" t="inlineStr">
        <is>
          <t>Föryngringsavverkning</t>
        </is>
      </c>
      <c r="D9849" s="1" t="n">
        <v>44999</v>
      </c>
      <c r="E9849" s="1" t="n">
        <v>46326</v>
      </c>
      <c r="F9849" t="inlineStr">
        <is>
          <t>GÄVLEBORGS LÄN</t>
        </is>
      </c>
      <c r="G9849" t="inlineStr">
        <is>
          <t>NORDANSTIG</t>
        </is>
      </c>
      <c r="I9849" t="n">
        <v>1.3</v>
      </c>
      <c r="J9849" t="n">
        <v>0</v>
      </c>
      <c r="K9849" t="n">
        <v>0</v>
      </c>
      <c r="L9849" t="n">
        <v>0</v>
      </c>
      <c r="M9849" t="n">
        <v>0</v>
      </c>
      <c r="N9849" t="n">
        <v>0</v>
      </c>
      <c r="O9849" t="n">
        <v>0</v>
      </c>
      <c r="P9849" t="n">
        <v>0</v>
      </c>
      <c r="Q9849" t="n">
        <v>0</v>
      </c>
      <c r="R9849" t="n">
        <v>0</v>
      </c>
      <c r="S9849" t="n">
        <v>0</v>
      </c>
      <c r="T9849" t="n">
        <v>0</v>
      </c>
      <c r="U9849" t="n">
        <v>0</v>
      </c>
      <c r="V9849" s="2" t="inlineStr"/>
    </row>
    <row r="9850" ht="15" customHeight="1">
      <c r="A9850" t="inlineStr">
        <is>
          <t>A 28624-2025</t>
        </is>
      </c>
      <c r="B9850" t="inlineStr">
        <is>
          <t>avverkningsanmälan</t>
        </is>
      </c>
      <c r="C9850" t="inlineStr">
        <is>
          <t>Föryngringsavverkning</t>
        </is>
      </c>
      <c r="D9850" s="1" t="n">
        <v>45819</v>
      </c>
      <c r="E9850" s="1" t="n">
        <v>46326</v>
      </c>
      <c r="F9850" t="inlineStr">
        <is>
          <t>GÄVLEBORGS LÄN</t>
        </is>
      </c>
      <c r="G9850" t="inlineStr">
        <is>
          <t>GÄVLE</t>
        </is>
      </c>
      <c r="H9850" t="inlineStr">
        <is>
          <t>Bergvik skog väst AB</t>
        </is>
      </c>
      <c r="I9850" t="n">
        <v>1.6</v>
      </c>
      <c r="J9850" t="n">
        <v>0</v>
      </c>
      <c r="K9850" t="n">
        <v>0</v>
      </c>
      <c r="L9850" t="n">
        <v>0</v>
      </c>
      <c r="M9850" t="n">
        <v>0</v>
      </c>
      <c r="N9850" t="n">
        <v>0</v>
      </c>
      <c r="O9850" t="n">
        <v>0</v>
      </c>
      <c r="P9850" t="n">
        <v>0</v>
      </c>
      <c r="Q9850" t="n">
        <v>0</v>
      </c>
      <c r="R9850" t="n">
        <v>0</v>
      </c>
      <c r="S9850" t="n">
        <v>0</v>
      </c>
      <c r="T9850" t="n">
        <v>0</v>
      </c>
      <c r="U9850" t="n">
        <v>0</v>
      </c>
      <c r="V9850" s="2" t="inlineStr"/>
    </row>
    <row r="9851" ht="15" customHeight="1">
      <c r="A9851" t="inlineStr">
        <is>
          <t>A 21588-2025</t>
        </is>
      </c>
      <c r="B9851" t="inlineStr">
        <is>
          <t>avverkningsanmälan</t>
        </is>
      </c>
      <c r="C9851" t="inlineStr">
        <is>
          <t>Föryngringsavverkning</t>
        </is>
      </c>
      <c r="D9851" s="1" t="n">
        <v>45783</v>
      </c>
      <c r="E9851" s="1" t="n">
        <v>46326</v>
      </c>
      <c r="F9851" t="inlineStr">
        <is>
          <t>GÄVLEBORGS LÄN</t>
        </is>
      </c>
      <c r="G9851" t="inlineStr">
        <is>
          <t>LJUSDAL</t>
        </is>
      </c>
      <c r="I9851" t="n">
        <v>1.4</v>
      </c>
      <c r="J9851" t="n">
        <v>0</v>
      </c>
      <c r="K9851" t="n">
        <v>0</v>
      </c>
      <c r="L9851" t="n">
        <v>0</v>
      </c>
      <c r="M9851" t="n">
        <v>0</v>
      </c>
      <c r="N9851" t="n">
        <v>0</v>
      </c>
      <c r="O9851" t="n">
        <v>0</v>
      </c>
      <c r="P9851" t="n">
        <v>0</v>
      </c>
      <c r="Q9851" t="n">
        <v>0</v>
      </c>
      <c r="R9851" t="n">
        <v>0</v>
      </c>
      <c r="S9851" t="n">
        <v>0</v>
      </c>
      <c r="T9851" t="n">
        <v>0</v>
      </c>
      <c r="U9851" t="n">
        <v>0</v>
      </c>
      <c r="V9851" s="2" t="inlineStr"/>
    </row>
    <row r="9852" ht="15" customHeight="1">
      <c r="A9852" t="inlineStr">
        <is>
          <t>A 19135-2024</t>
        </is>
      </c>
      <c r="B9852" t="inlineStr">
        <is>
          <t>avverkningsanmälan</t>
        </is>
      </c>
      <c r="C9852" t="inlineStr">
        <is>
          <t>Föryngringsavverkning</t>
        </is>
      </c>
      <c r="D9852" s="1" t="n">
        <v>45428</v>
      </c>
      <c r="E9852" s="1" t="n">
        <v>46326</v>
      </c>
      <c r="F9852" t="inlineStr">
        <is>
          <t>GÄVLEBORGS LÄN</t>
        </is>
      </c>
      <c r="G9852" t="inlineStr">
        <is>
          <t>BOLLNÄS</t>
        </is>
      </c>
      <c r="I9852" t="n">
        <v>4.7</v>
      </c>
      <c r="J9852" t="n">
        <v>0</v>
      </c>
      <c r="K9852" t="n">
        <v>0</v>
      </c>
      <c r="L9852" t="n">
        <v>0</v>
      </c>
      <c r="M9852" t="n">
        <v>0</v>
      </c>
      <c r="N9852" t="n">
        <v>0</v>
      </c>
      <c r="O9852" t="n">
        <v>0</v>
      </c>
      <c r="P9852" t="n">
        <v>0</v>
      </c>
      <c r="Q9852" t="n">
        <v>0</v>
      </c>
      <c r="R9852" t="n">
        <v>0</v>
      </c>
      <c r="S9852" t="n">
        <v>0</v>
      </c>
      <c r="T9852" t="n">
        <v>0</v>
      </c>
      <c r="U9852" t="n">
        <v>0</v>
      </c>
      <c r="V9852" s="2" t="inlineStr"/>
    </row>
    <row r="9853" ht="15" customHeight="1">
      <c r="A9853" t="inlineStr">
        <is>
          <t>A 21562-2025</t>
        </is>
      </c>
      <c r="B9853" t="inlineStr">
        <is>
          <t>avverkningsanmälan</t>
        </is>
      </c>
      <c r="C9853" t="inlineStr">
        <is>
          <t>Avverkning för annat ändamål</t>
        </is>
      </c>
      <c r="D9853" s="1" t="n">
        <v>45782</v>
      </c>
      <c r="E9853" s="1" t="n">
        <v>46326</v>
      </c>
      <c r="F9853" t="inlineStr">
        <is>
          <t>GÄVLEBORGS LÄN</t>
        </is>
      </c>
      <c r="G9853" t="inlineStr">
        <is>
          <t>BOLLNÄS</t>
        </is>
      </c>
      <c r="H9853" t="inlineStr">
        <is>
          <t>Sveaskog</t>
        </is>
      </c>
      <c r="I9853" t="n">
        <v>0.4</v>
      </c>
      <c r="J9853" t="n">
        <v>0</v>
      </c>
      <c r="K9853" t="n">
        <v>0</v>
      </c>
      <c r="L9853" t="n">
        <v>0</v>
      </c>
      <c r="M9853" t="n">
        <v>0</v>
      </c>
      <c r="N9853" t="n">
        <v>0</v>
      </c>
      <c r="O9853" t="n">
        <v>0</v>
      </c>
      <c r="P9853" t="n">
        <v>0</v>
      </c>
      <c r="Q9853" t="n">
        <v>0</v>
      </c>
      <c r="R9853" t="n">
        <v>0</v>
      </c>
      <c r="S9853" t="n">
        <v>0</v>
      </c>
      <c r="T9853" t="n">
        <v>0</v>
      </c>
      <c r="U9853" t="n">
        <v>0</v>
      </c>
      <c r="V9853" s="2" t="inlineStr"/>
    </row>
    <row r="9854" ht="15" customHeight="1">
      <c r="A9854" t="inlineStr">
        <is>
          <t>A 40196-2026</t>
        </is>
      </c>
      <c r="B9854" t="inlineStr">
        <is>
          <t>avverkningsanmälan</t>
        </is>
      </c>
      <c r="C9854" t="inlineStr">
        <is>
          <t>Föryngringsavverkning</t>
        </is>
      </c>
      <c r="D9854" s="1" t="n">
        <v>46293</v>
      </c>
      <c r="E9854" s="1" t="n">
        <v>46326</v>
      </c>
      <c r="F9854" t="inlineStr">
        <is>
          <t>GÄVLEBORGS LÄN</t>
        </is>
      </c>
      <c r="G9854" t="inlineStr">
        <is>
          <t>OVANÅKER</t>
        </is>
      </c>
      <c r="I9854" t="n">
        <v>0.9</v>
      </c>
      <c r="J9854" t="n">
        <v>0</v>
      </c>
      <c r="K9854" t="n">
        <v>0</v>
      </c>
      <c r="L9854" t="n">
        <v>0</v>
      </c>
      <c r="M9854" t="n">
        <v>0</v>
      </c>
      <c r="N9854" t="n">
        <v>0</v>
      </c>
      <c r="O9854" t="n">
        <v>0</v>
      </c>
      <c r="P9854" t="n">
        <v>0</v>
      </c>
      <c r="Q9854" t="n">
        <v>0</v>
      </c>
      <c r="R9854" t="n">
        <v>0</v>
      </c>
      <c r="S9854" t="n">
        <v>0</v>
      </c>
      <c r="T9854" t="n">
        <v>0</v>
      </c>
      <c r="U9854" t="n">
        <v>0</v>
      </c>
      <c r="V9854" s="2" t="inlineStr"/>
    </row>
    <row r="9855" ht="15" customHeight="1">
      <c r="A9855" t="inlineStr">
        <is>
          <t>A 40200-2026</t>
        </is>
      </c>
      <c r="B9855" t="inlineStr">
        <is>
          <t>avverkningsanmälan</t>
        </is>
      </c>
      <c r="C9855" t="inlineStr">
        <is>
          <t>Föryngringsavverkning</t>
        </is>
      </c>
      <c r="D9855" s="1" t="n">
        <v>46293</v>
      </c>
      <c r="E9855" s="1" t="n">
        <v>46326</v>
      </c>
      <c r="F9855" t="inlineStr">
        <is>
          <t>GÄVLEBORGS LÄN</t>
        </is>
      </c>
      <c r="G9855" t="inlineStr">
        <is>
          <t>SÖDERHAMN</t>
        </is>
      </c>
      <c r="H9855" t="inlineStr">
        <is>
          <t>Bergvik skog väst AB</t>
        </is>
      </c>
      <c r="I9855" t="n">
        <v>2.3</v>
      </c>
      <c r="J9855" t="n">
        <v>0</v>
      </c>
      <c r="K9855" t="n">
        <v>0</v>
      </c>
      <c r="L9855" t="n">
        <v>0</v>
      </c>
      <c r="M9855" t="n">
        <v>0</v>
      </c>
      <c r="N9855" t="n">
        <v>0</v>
      </c>
      <c r="O9855" t="n">
        <v>0</v>
      </c>
      <c r="P9855" t="n">
        <v>0</v>
      </c>
      <c r="Q9855" t="n">
        <v>0</v>
      </c>
      <c r="R9855" t="n">
        <v>0</v>
      </c>
      <c r="S9855" t="n">
        <v>0</v>
      </c>
      <c r="T9855" t="n">
        <v>0</v>
      </c>
      <c r="U9855" t="n">
        <v>0</v>
      </c>
      <c r="V9855" s="2" t="inlineStr"/>
    </row>
    <row r="9856" ht="15" customHeight="1">
      <c r="A9856" t="inlineStr">
        <is>
          <t>A 21340-2025</t>
        </is>
      </c>
      <c r="B9856" t="inlineStr">
        <is>
          <t>avverkningsanmälan</t>
        </is>
      </c>
      <c r="C9856" t="inlineStr">
        <is>
          <t>Föryngringsavverkning</t>
        </is>
      </c>
      <c r="D9856" s="1" t="n">
        <v>45782</v>
      </c>
      <c r="E9856" s="1" t="n">
        <v>46326</v>
      </c>
      <c r="F9856" t="inlineStr">
        <is>
          <t>GÄVLEBORGS LÄN</t>
        </is>
      </c>
      <c r="G9856" t="inlineStr">
        <is>
          <t>HOFORS</t>
        </is>
      </c>
      <c r="I9856" t="n">
        <v>1</v>
      </c>
      <c r="J9856" t="n">
        <v>0</v>
      </c>
      <c r="K9856" t="n">
        <v>0</v>
      </c>
      <c r="L9856" t="n">
        <v>0</v>
      </c>
      <c r="M9856" t="n">
        <v>0</v>
      </c>
      <c r="N9856" t="n">
        <v>0</v>
      </c>
      <c r="O9856" t="n">
        <v>0</v>
      </c>
      <c r="P9856" t="n">
        <v>0</v>
      </c>
      <c r="Q9856" t="n">
        <v>0</v>
      </c>
      <c r="R9856" t="n">
        <v>0</v>
      </c>
      <c r="S9856" t="n">
        <v>0</v>
      </c>
      <c r="T9856" t="n">
        <v>0</v>
      </c>
      <c r="U9856" t="n">
        <v>0</v>
      </c>
      <c r="V9856" s="2" t="inlineStr"/>
    </row>
    <row r="9857" ht="15" customHeight="1">
      <c r="A9857" t="inlineStr">
        <is>
          <t>A 23780-2024</t>
        </is>
      </c>
      <c r="B9857" t="inlineStr">
        <is>
          <t>avverkningsanmälan</t>
        </is>
      </c>
      <c r="C9857" t="inlineStr">
        <is>
          <t>Föryngringsavverkning</t>
        </is>
      </c>
      <c r="D9857" s="1" t="n">
        <v>45455</v>
      </c>
      <c r="E9857" s="1" t="n">
        <v>46326</v>
      </c>
      <c r="F9857" t="inlineStr">
        <is>
          <t>GÄVLEBORGS LÄN</t>
        </is>
      </c>
      <c r="G9857" t="inlineStr">
        <is>
          <t>OCKELBO</t>
        </is>
      </c>
      <c r="I9857" t="n">
        <v>3.2</v>
      </c>
      <c r="J9857" t="n">
        <v>0</v>
      </c>
      <c r="K9857" t="n">
        <v>0</v>
      </c>
      <c r="L9857" t="n">
        <v>0</v>
      </c>
      <c r="M9857" t="n">
        <v>0</v>
      </c>
      <c r="N9857" t="n">
        <v>0</v>
      </c>
      <c r="O9857" t="n">
        <v>0</v>
      </c>
      <c r="P9857" t="n">
        <v>0</v>
      </c>
      <c r="Q9857" t="n">
        <v>0</v>
      </c>
      <c r="R9857" t="n">
        <v>0</v>
      </c>
      <c r="S9857" t="n">
        <v>0</v>
      </c>
      <c r="T9857" t="n">
        <v>0</v>
      </c>
      <c r="U9857" t="n">
        <v>0</v>
      </c>
      <c r="V9857" s="2" t="inlineStr"/>
    </row>
    <row r="9858" ht="15" customHeight="1">
      <c r="A9858" t="inlineStr">
        <is>
          <t>A 21873-2025</t>
        </is>
      </c>
      <c r="B9858" t="inlineStr">
        <is>
          <t>avverkningsanmälan</t>
        </is>
      </c>
      <c r="C9858" t="inlineStr">
        <is>
          <t>Föryngringsavverkning</t>
        </is>
      </c>
      <c r="D9858" s="1" t="n">
        <v>45784</v>
      </c>
      <c r="E9858" s="1" t="n">
        <v>46326</v>
      </c>
      <c r="F9858" t="inlineStr">
        <is>
          <t>GÄVLEBORGS LÄN</t>
        </is>
      </c>
      <c r="G9858" t="inlineStr">
        <is>
          <t>BOLLNÄS</t>
        </is>
      </c>
      <c r="I9858" t="n">
        <v>2.8</v>
      </c>
      <c r="J9858" t="n">
        <v>0</v>
      </c>
      <c r="K9858" t="n">
        <v>0</v>
      </c>
      <c r="L9858" t="n">
        <v>0</v>
      </c>
      <c r="M9858" t="n">
        <v>0</v>
      </c>
      <c r="N9858" t="n">
        <v>0</v>
      </c>
      <c r="O9858" t="n">
        <v>0</v>
      </c>
      <c r="P9858" t="n">
        <v>0</v>
      </c>
      <c r="Q9858" t="n">
        <v>0</v>
      </c>
      <c r="R9858" t="n">
        <v>0</v>
      </c>
      <c r="S9858" t="n">
        <v>0</v>
      </c>
      <c r="T9858" t="n">
        <v>0</v>
      </c>
      <c r="U9858" t="n">
        <v>0</v>
      </c>
      <c r="V9858" s="2" t="inlineStr"/>
    </row>
    <row r="9859" ht="15" customHeight="1">
      <c r="A9859" t="inlineStr">
        <is>
          <t>A 40212-2026</t>
        </is>
      </c>
      <c r="B9859" t="inlineStr">
        <is>
          <t>avverkningsanmälan</t>
        </is>
      </c>
      <c r="C9859" t="inlineStr">
        <is>
          <t>Föryngringsavverkning</t>
        </is>
      </c>
      <c r="D9859" s="1" t="n">
        <v>46293</v>
      </c>
      <c r="E9859" s="1" t="n">
        <v>46326</v>
      </c>
      <c r="F9859" t="inlineStr">
        <is>
          <t>GÄVLEBORGS LÄN</t>
        </is>
      </c>
      <c r="G9859" t="inlineStr">
        <is>
          <t>BOLLNÄS</t>
        </is>
      </c>
      <c r="I9859" t="n">
        <v>0.9</v>
      </c>
      <c r="J9859" t="n">
        <v>0</v>
      </c>
      <c r="K9859" t="n">
        <v>0</v>
      </c>
      <c r="L9859" t="n">
        <v>0</v>
      </c>
      <c r="M9859" t="n">
        <v>0</v>
      </c>
      <c r="N9859" t="n">
        <v>0</v>
      </c>
      <c r="O9859" t="n">
        <v>0</v>
      </c>
      <c r="P9859" t="n">
        <v>0</v>
      </c>
      <c r="Q9859" t="n">
        <v>0</v>
      </c>
      <c r="R9859" t="n">
        <v>0</v>
      </c>
      <c r="S9859" t="n">
        <v>0</v>
      </c>
      <c r="T9859" t="n">
        <v>0</v>
      </c>
      <c r="U9859" t="n">
        <v>0</v>
      </c>
      <c r="V9859" s="2" t="inlineStr"/>
    </row>
    <row r="9860" ht="15" customHeight="1">
      <c r="A9860" t="inlineStr">
        <is>
          <t>A 33199-2024</t>
        </is>
      </c>
      <c r="B9860" t="inlineStr">
        <is>
          <t>avverkningsanmälan</t>
        </is>
      </c>
      <c r="C9860" t="inlineStr">
        <is>
          <t>Föryngringsavverkning</t>
        </is>
      </c>
      <c r="D9860" s="1" t="n">
        <v>45518</v>
      </c>
      <c r="E9860" s="1" t="n">
        <v>46326</v>
      </c>
      <c r="F9860" t="inlineStr">
        <is>
          <t>GÄVLEBORGS LÄN</t>
        </is>
      </c>
      <c r="G9860" t="inlineStr">
        <is>
          <t>LJUSDAL</t>
        </is>
      </c>
      <c r="H9860" t="inlineStr">
        <is>
          <t>Bergvik skog väst AB</t>
        </is>
      </c>
      <c r="I9860" t="n">
        <v>2.4</v>
      </c>
      <c r="J9860" t="n">
        <v>0</v>
      </c>
      <c r="K9860" t="n">
        <v>0</v>
      </c>
      <c r="L9860" t="n">
        <v>0</v>
      </c>
      <c r="M9860" t="n">
        <v>0</v>
      </c>
      <c r="N9860" t="n">
        <v>0</v>
      </c>
      <c r="O9860" t="n">
        <v>0</v>
      </c>
      <c r="P9860" t="n">
        <v>0</v>
      </c>
      <c r="Q9860" t="n">
        <v>0</v>
      </c>
      <c r="R9860" t="n">
        <v>0</v>
      </c>
      <c r="S9860" t="n">
        <v>0</v>
      </c>
      <c r="T9860" t="n">
        <v>0</v>
      </c>
      <c r="U9860" t="n">
        <v>0</v>
      </c>
      <c r="V9860" s="2" t="inlineStr"/>
    </row>
    <row r="9861" ht="15" customHeight="1">
      <c r="A9861" t="inlineStr">
        <is>
          <t>A 36256-2024</t>
        </is>
      </c>
      <c r="B9861" t="inlineStr">
        <is>
          <t>avverkningsanmälan</t>
        </is>
      </c>
      <c r="C9861" t="inlineStr">
        <is>
          <t>Föryngringsavverkning</t>
        </is>
      </c>
      <c r="D9861" s="1" t="n">
        <v>45534</v>
      </c>
      <c r="E9861" s="1" t="n">
        <v>46326</v>
      </c>
      <c r="F9861" t="inlineStr">
        <is>
          <t>GÄVLEBORGS LÄN</t>
        </is>
      </c>
      <c r="G9861" t="inlineStr">
        <is>
          <t>BOLLNÄS</t>
        </is>
      </c>
      <c r="I9861" t="n">
        <v>3.1</v>
      </c>
      <c r="J9861" t="n">
        <v>0</v>
      </c>
      <c r="K9861" t="n">
        <v>0</v>
      </c>
      <c r="L9861" t="n">
        <v>0</v>
      </c>
      <c r="M9861" t="n">
        <v>0</v>
      </c>
      <c r="N9861" t="n">
        <v>0</v>
      </c>
      <c r="O9861" t="n">
        <v>0</v>
      </c>
      <c r="P9861" t="n">
        <v>0</v>
      </c>
      <c r="Q9861" t="n">
        <v>0</v>
      </c>
      <c r="R9861" t="n">
        <v>0</v>
      </c>
      <c r="S9861" t="n">
        <v>0</v>
      </c>
      <c r="T9861" t="n">
        <v>0</v>
      </c>
      <c r="U9861" t="n">
        <v>0</v>
      </c>
      <c r="V9861" s="2" t="inlineStr"/>
    </row>
    <row r="9862" ht="15" customHeight="1">
      <c r="A9862" t="inlineStr">
        <is>
          <t>A 33586-2026</t>
        </is>
      </c>
      <c r="B9862" t="inlineStr">
        <is>
          <t>avverkningsanmälan</t>
        </is>
      </c>
      <c r="C9862" t="inlineStr">
        <is>
          <t>Föryngringsavverkning</t>
        </is>
      </c>
      <c r="D9862" s="1" t="n">
        <v>46248</v>
      </c>
      <c r="E9862" s="1" t="n">
        <v>46326</v>
      </c>
      <c r="F9862" t="inlineStr">
        <is>
          <t>GÄVLEBORGS LÄN</t>
        </is>
      </c>
      <c r="G9862" t="inlineStr">
        <is>
          <t>GÄVLE</t>
        </is>
      </c>
      <c r="H9862" t="inlineStr">
        <is>
          <t>Bergvik skog öst AB</t>
        </is>
      </c>
      <c r="I9862" t="n">
        <v>1.4</v>
      </c>
      <c r="J9862" t="n">
        <v>0</v>
      </c>
      <c r="K9862" t="n">
        <v>0</v>
      </c>
      <c r="L9862" t="n">
        <v>0</v>
      </c>
      <c r="M9862" t="n">
        <v>0</v>
      </c>
      <c r="N9862" t="n">
        <v>0</v>
      </c>
      <c r="O9862" t="n">
        <v>0</v>
      </c>
      <c r="P9862" t="n">
        <v>0</v>
      </c>
      <c r="Q9862" t="n">
        <v>0</v>
      </c>
      <c r="R9862" t="n">
        <v>0</v>
      </c>
      <c r="S9862" t="n">
        <v>0</v>
      </c>
      <c r="T9862" t="n">
        <v>0</v>
      </c>
      <c r="U9862" t="n">
        <v>0</v>
      </c>
      <c r="V9862" s="2" t="inlineStr"/>
    </row>
    <row r="9863" ht="15" customHeight="1">
      <c r="A9863" t="inlineStr">
        <is>
          <t>A 33588-2026</t>
        </is>
      </c>
      <c r="B9863" t="inlineStr">
        <is>
          <t>avverkningsanmälan</t>
        </is>
      </c>
      <c r="C9863" t="inlineStr">
        <is>
          <t>Föryngringsavverkning</t>
        </is>
      </c>
      <c r="D9863" s="1" t="n">
        <v>46248</v>
      </c>
      <c r="E9863" s="1" t="n">
        <v>46326</v>
      </c>
      <c r="F9863" t="inlineStr">
        <is>
          <t>GÄVLEBORGS LÄN</t>
        </is>
      </c>
      <c r="G9863" t="inlineStr">
        <is>
          <t>BOLLNÄS</t>
        </is>
      </c>
      <c r="I9863" t="n">
        <v>1.5</v>
      </c>
      <c r="J9863" t="n">
        <v>0</v>
      </c>
      <c r="K9863" t="n">
        <v>0</v>
      </c>
      <c r="L9863" t="n">
        <v>0</v>
      </c>
      <c r="M9863" t="n">
        <v>0</v>
      </c>
      <c r="N9863" t="n">
        <v>0</v>
      </c>
      <c r="O9863" t="n">
        <v>0</v>
      </c>
      <c r="P9863" t="n">
        <v>0</v>
      </c>
      <c r="Q9863" t="n">
        <v>0</v>
      </c>
      <c r="R9863" t="n">
        <v>0</v>
      </c>
      <c r="S9863" t="n">
        <v>0</v>
      </c>
      <c r="T9863" t="n">
        <v>0</v>
      </c>
      <c r="U9863" t="n">
        <v>0</v>
      </c>
      <c r="V9863" s="2" t="inlineStr"/>
    </row>
    <row r="9864" ht="15" customHeight="1">
      <c r="A9864" t="inlineStr">
        <is>
          <t>A 42579-2024</t>
        </is>
      </c>
      <c r="B9864" t="inlineStr">
        <is>
          <t>avverkningsanmälan</t>
        </is>
      </c>
      <c r="C9864" t="inlineStr">
        <is>
          <t>Föryngringsavverkning</t>
        </is>
      </c>
      <c r="D9864" s="1" t="n">
        <v>45565</v>
      </c>
      <c r="E9864" s="1" t="n">
        <v>46326</v>
      </c>
      <c r="F9864" t="inlineStr">
        <is>
          <t>GÄVLEBORGS LÄN</t>
        </is>
      </c>
      <c r="G9864" t="inlineStr">
        <is>
          <t>BOLLNÄS</t>
        </is>
      </c>
      <c r="I9864" t="n">
        <v>7.9</v>
      </c>
      <c r="J9864" t="n">
        <v>0</v>
      </c>
      <c r="K9864" t="n">
        <v>0</v>
      </c>
      <c r="L9864" t="n">
        <v>0</v>
      </c>
      <c r="M9864" t="n">
        <v>0</v>
      </c>
      <c r="N9864" t="n">
        <v>0</v>
      </c>
      <c r="O9864" t="n">
        <v>0</v>
      </c>
      <c r="P9864" t="n">
        <v>0</v>
      </c>
      <c r="Q9864" t="n">
        <v>0</v>
      </c>
      <c r="R9864" t="n">
        <v>0</v>
      </c>
      <c r="S9864" t="n">
        <v>0</v>
      </c>
      <c r="T9864" t="n">
        <v>0</v>
      </c>
      <c r="U9864" t="n">
        <v>0</v>
      </c>
      <c r="V9864" s="2" t="inlineStr"/>
    </row>
    <row r="9865" ht="15" customHeight="1">
      <c r="A9865" t="inlineStr">
        <is>
          <t>A 48319-2023</t>
        </is>
      </c>
      <c r="B9865" t="inlineStr">
        <is>
          <t>avverkningsanmälan</t>
        </is>
      </c>
      <c r="C9865" t="inlineStr">
        <is>
          <t>Föryngringsavverkning</t>
        </is>
      </c>
      <c r="D9865" s="1" t="n">
        <v>45205</v>
      </c>
      <c r="E9865" s="1" t="n">
        <v>46326</v>
      </c>
      <c r="F9865" t="inlineStr">
        <is>
          <t>GÄVLEBORGS LÄN</t>
        </is>
      </c>
      <c r="G9865" t="inlineStr">
        <is>
          <t>SANDVIKEN</t>
        </is>
      </c>
      <c r="I9865" t="n">
        <v>1.7</v>
      </c>
      <c r="J9865" t="n">
        <v>0</v>
      </c>
      <c r="K9865" t="n">
        <v>0</v>
      </c>
      <c r="L9865" t="n">
        <v>0</v>
      </c>
      <c r="M9865" t="n">
        <v>0</v>
      </c>
      <c r="N9865" t="n">
        <v>0</v>
      </c>
      <c r="O9865" t="n">
        <v>0</v>
      </c>
      <c r="P9865" t="n">
        <v>0</v>
      </c>
      <c r="Q9865" t="n">
        <v>0</v>
      </c>
      <c r="R9865" t="n">
        <v>0</v>
      </c>
      <c r="S9865" t="n">
        <v>0</v>
      </c>
      <c r="T9865" t="n">
        <v>0</v>
      </c>
      <c r="U9865" t="n">
        <v>0</v>
      </c>
      <c r="V9865" s="2" t="inlineStr"/>
    </row>
    <row r="9866" ht="15" customHeight="1">
      <c r="A9866" t="inlineStr">
        <is>
          <t>A 30879-2024</t>
        </is>
      </c>
      <c r="B9866" t="inlineStr">
        <is>
          <t>avverkningsanmälan</t>
        </is>
      </c>
      <c r="C9866" t="inlineStr">
        <is>
          <t>Föryngringsavverkning</t>
        </is>
      </c>
      <c r="D9866" s="1" t="n">
        <v>45498</v>
      </c>
      <c r="E9866" s="1" t="n">
        <v>46326</v>
      </c>
      <c r="F9866" t="inlineStr">
        <is>
          <t>GÄVLEBORGS LÄN</t>
        </is>
      </c>
      <c r="G9866" t="inlineStr">
        <is>
          <t>NORDANSTIG</t>
        </is>
      </c>
      <c r="H9866" t="inlineStr">
        <is>
          <t>Holmen skog AB</t>
        </is>
      </c>
      <c r="I9866" t="n">
        <v>2</v>
      </c>
      <c r="J9866" t="n">
        <v>0</v>
      </c>
      <c r="K9866" t="n">
        <v>0</v>
      </c>
      <c r="L9866" t="n">
        <v>0</v>
      </c>
      <c r="M9866" t="n">
        <v>0</v>
      </c>
      <c r="N9866" t="n">
        <v>0</v>
      </c>
      <c r="O9866" t="n">
        <v>0</v>
      </c>
      <c r="P9866" t="n">
        <v>0</v>
      </c>
      <c r="Q9866" t="n">
        <v>0</v>
      </c>
      <c r="R9866" t="n">
        <v>0</v>
      </c>
      <c r="S9866" t="n">
        <v>0</v>
      </c>
      <c r="T9866" t="n">
        <v>0</v>
      </c>
      <c r="U9866" t="n">
        <v>0</v>
      </c>
      <c r="V9866" s="2" t="inlineStr"/>
    </row>
    <row r="9867" ht="15" customHeight="1">
      <c r="A9867" t="inlineStr">
        <is>
          <t>A 55446-2024</t>
        </is>
      </c>
      <c r="B9867" t="inlineStr">
        <is>
          <t>avverkningsanmälan</t>
        </is>
      </c>
      <c r="C9867" t="inlineStr">
        <is>
          <t>Föryngringsavverkning</t>
        </is>
      </c>
      <c r="D9867" s="1" t="n">
        <v>45622</v>
      </c>
      <c r="E9867" s="1" t="n">
        <v>46326</v>
      </c>
      <c r="F9867" t="inlineStr">
        <is>
          <t>GÄVLEBORGS LÄN</t>
        </is>
      </c>
      <c r="G9867" t="inlineStr">
        <is>
          <t>SANDVIKEN</t>
        </is>
      </c>
      <c r="I9867" t="n">
        <v>1.4</v>
      </c>
      <c r="J9867" t="n">
        <v>0</v>
      </c>
      <c r="K9867" t="n">
        <v>0</v>
      </c>
      <c r="L9867" t="n">
        <v>0</v>
      </c>
      <c r="M9867" t="n">
        <v>0</v>
      </c>
      <c r="N9867" t="n">
        <v>0</v>
      </c>
      <c r="O9867" t="n">
        <v>0</v>
      </c>
      <c r="P9867" t="n">
        <v>0</v>
      </c>
      <c r="Q9867" t="n">
        <v>0</v>
      </c>
      <c r="R9867" t="n">
        <v>0</v>
      </c>
      <c r="S9867" t="n">
        <v>0</v>
      </c>
      <c r="T9867" t="n">
        <v>0</v>
      </c>
      <c r="U9867" t="n">
        <v>0</v>
      </c>
      <c r="V9867" s="2" t="inlineStr"/>
    </row>
    <row r="9868" ht="15" customHeight="1">
      <c r="A9868" t="inlineStr">
        <is>
          <t>A 37916-2024</t>
        </is>
      </c>
      <c r="B9868" t="inlineStr">
        <is>
          <t>avverkningsanmälan</t>
        </is>
      </c>
      <c r="C9868" t="inlineStr">
        <is>
          <t>Föryngringsavverkning</t>
        </is>
      </c>
      <c r="D9868" s="1" t="n">
        <v>45544</v>
      </c>
      <c r="E9868" s="1" t="n">
        <v>46326</v>
      </c>
      <c r="F9868" t="inlineStr">
        <is>
          <t>GÄVLEBORGS LÄN</t>
        </is>
      </c>
      <c r="G9868" t="inlineStr">
        <is>
          <t>SÖDERHAMN</t>
        </is>
      </c>
      <c r="I9868" t="n">
        <v>2.6</v>
      </c>
      <c r="J9868" t="n">
        <v>0</v>
      </c>
      <c r="K9868" t="n">
        <v>0</v>
      </c>
      <c r="L9868" t="n">
        <v>0</v>
      </c>
      <c r="M9868" t="n">
        <v>0</v>
      </c>
      <c r="N9868" t="n">
        <v>0</v>
      </c>
      <c r="O9868" t="n">
        <v>0</v>
      </c>
      <c r="P9868" t="n">
        <v>0</v>
      </c>
      <c r="Q9868" t="n">
        <v>0</v>
      </c>
      <c r="R9868" t="n">
        <v>0</v>
      </c>
      <c r="S9868" t="n">
        <v>0</v>
      </c>
      <c r="T9868" t="n">
        <v>0</v>
      </c>
      <c r="U9868" t="n">
        <v>0</v>
      </c>
      <c r="V9868" s="2" t="inlineStr"/>
    </row>
    <row r="9869" ht="15" customHeight="1">
      <c r="A9869" t="inlineStr">
        <is>
          <t>A 47676-2024</t>
        </is>
      </c>
      <c r="B9869" t="inlineStr">
        <is>
          <t>avverkningsanmälan</t>
        </is>
      </c>
      <c r="C9869" t="inlineStr">
        <is>
          <t>Föryngringsavverkning</t>
        </is>
      </c>
      <c r="D9869" s="1" t="n">
        <v>45588</v>
      </c>
      <c r="E9869" s="1" t="n">
        <v>46326</v>
      </c>
      <c r="F9869" t="inlineStr">
        <is>
          <t>GÄVLEBORGS LÄN</t>
        </is>
      </c>
      <c r="G9869" t="inlineStr">
        <is>
          <t>SÖDERHAMN</t>
        </is>
      </c>
      <c r="I9869" t="n">
        <v>2.9</v>
      </c>
      <c r="J9869" t="n">
        <v>0</v>
      </c>
      <c r="K9869" t="n">
        <v>0</v>
      </c>
      <c r="L9869" t="n">
        <v>0</v>
      </c>
      <c r="M9869" t="n">
        <v>0</v>
      </c>
      <c r="N9869" t="n">
        <v>0</v>
      </c>
      <c r="O9869" t="n">
        <v>0</v>
      </c>
      <c r="P9869" t="n">
        <v>0</v>
      </c>
      <c r="Q9869" t="n">
        <v>0</v>
      </c>
      <c r="R9869" t="n">
        <v>0</v>
      </c>
      <c r="S9869" t="n">
        <v>0</v>
      </c>
      <c r="T9869" t="n">
        <v>0</v>
      </c>
      <c r="U9869" t="n">
        <v>0</v>
      </c>
      <c r="V9869" s="2" t="inlineStr"/>
    </row>
    <row r="9870" ht="15" customHeight="1">
      <c r="A9870" t="inlineStr">
        <is>
          <t>A 40185-2026</t>
        </is>
      </c>
      <c r="B9870" t="inlineStr">
        <is>
          <t>avverkningsanmälan</t>
        </is>
      </c>
      <c r="C9870" t="inlineStr">
        <is>
          <t>Föryngringsavverkning</t>
        </is>
      </c>
      <c r="D9870" s="1" t="n">
        <v>46293</v>
      </c>
      <c r="E9870" s="1" t="n">
        <v>46326</v>
      </c>
      <c r="F9870" t="inlineStr">
        <is>
          <t>GÄVLEBORGS LÄN</t>
        </is>
      </c>
      <c r="G9870" t="inlineStr">
        <is>
          <t>OCKELBO</t>
        </is>
      </c>
      <c r="H9870" t="inlineStr">
        <is>
          <t>Bergvik skog väst AB</t>
        </is>
      </c>
      <c r="I9870" t="n">
        <v>1.8</v>
      </c>
      <c r="J9870" t="n">
        <v>0</v>
      </c>
      <c r="K9870" t="n">
        <v>0</v>
      </c>
      <c r="L9870" t="n">
        <v>0</v>
      </c>
      <c r="M9870" t="n">
        <v>0</v>
      </c>
      <c r="N9870" t="n">
        <v>0</v>
      </c>
      <c r="O9870" t="n">
        <v>0</v>
      </c>
      <c r="P9870" t="n">
        <v>0</v>
      </c>
      <c r="Q9870" t="n">
        <v>0</v>
      </c>
      <c r="R9870" t="n">
        <v>0</v>
      </c>
      <c r="S9870" t="n">
        <v>0</v>
      </c>
      <c r="T9870" t="n">
        <v>0</v>
      </c>
      <c r="U9870" t="n">
        <v>0</v>
      </c>
      <c r="V9870" s="2" t="inlineStr"/>
    </row>
    <row r="9871" ht="15" customHeight="1">
      <c r="A9871" t="inlineStr">
        <is>
          <t>A 22194-2025</t>
        </is>
      </c>
      <c r="B9871" t="inlineStr">
        <is>
          <t>avverkningsanmälan</t>
        </is>
      </c>
      <c r="C9871" t="inlineStr">
        <is>
          <t>Föryngringsavverkning</t>
        </is>
      </c>
      <c r="D9871" s="1" t="n">
        <v>45785</v>
      </c>
      <c r="E9871" s="1" t="n">
        <v>46326</v>
      </c>
      <c r="F9871" t="inlineStr">
        <is>
          <t>GÄVLEBORGS LÄN</t>
        </is>
      </c>
      <c r="G9871" t="inlineStr">
        <is>
          <t>LJUSDAL</t>
        </is>
      </c>
      <c r="I9871" t="n">
        <v>0.7</v>
      </c>
      <c r="J9871" t="n">
        <v>0</v>
      </c>
      <c r="K9871" t="n">
        <v>0</v>
      </c>
      <c r="L9871" t="n">
        <v>0</v>
      </c>
      <c r="M9871" t="n">
        <v>0</v>
      </c>
      <c r="N9871" t="n">
        <v>0</v>
      </c>
      <c r="O9871" t="n">
        <v>0</v>
      </c>
      <c r="P9871" t="n">
        <v>0</v>
      </c>
      <c r="Q9871" t="n">
        <v>0</v>
      </c>
      <c r="R9871" t="n">
        <v>0</v>
      </c>
      <c r="S9871" t="n">
        <v>0</v>
      </c>
      <c r="T9871" t="n">
        <v>0</v>
      </c>
      <c r="U9871" t="n">
        <v>0</v>
      </c>
      <c r="V9871" s="2" t="inlineStr"/>
    </row>
    <row r="9872" ht="15" customHeight="1">
      <c r="A9872" t="inlineStr">
        <is>
          <t>A 63952-2023</t>
        </is>
      </c>
      <c r="B9872" t="inlineStr">
        <is>
          <t>avverkningsanmälan</t>
        </is>
      </c>
      <c r="C9872" t="inlineStr">
        <is>
          <t>Föryngringsavverkning</t>
        </is>
      </c>
      <c r="D9872" s="1" t="n">
        <v>45278</v>
      </c>
      <c r="E9872" s="1" t="n">
        <v>46326</v>
      </c>
      <c r="F9872" t="inlineStr">
        <is>
          <t>GÄVLEBORGS LÄN</t>
        </is>
      </c>
      <c r="G9872" t="inlineStr">
        <is>
          <t>HUDIKSVALL</t>
        </is>
      </c>
      <c r="H9872" t="inlineStr">
        <is>
          <t>Holmen skog AB</t>
        </is>
      </c>
      <c r="I9872" t="n">
        <v>7.2</v>
      </c>
      <c r="J9872" t="n">
        <v>0</v>
      </c>
      <c r="K9872" t="n">
        <v>0</v>
      </c>
      <c r="L9872" t="n">
        <v>0</v>
      </c>
      <c r="M9872" t="n">
        <v>0</v>
      </c>
      <c r="N9872" t="n">
        <v>0</v>
      </c>
      <c r="O9872" t="n">
        <v>0</v>
      </c>
      <c r="P9872" t="n">
        <v>0</v>
      </c>
      <c r="Q9872" t="n">
        <v>0</v>
      </c>
      <c r="R9872" t="n">
        <v>0</v>
      </c>
      <c r="S9872" t="n">
        <v>0</v>
      </c>
      <c r="T9872" t="n">
        <v>0</v>
      </c>
      <c r="U9872" t="n">
        <v>0</v>
      </c>
      <c r="V9872" s="2" t="inlineStr"/>
    </row>
    <row r="9873" ht="15" customHeight="1">
      <c r="A9873" t="inlineStr">
        <is>
          <t>A 3256-2025</t>
        </is>
      </c>
      <c r="B9873" t="inlineStr">
        <is>
          <t>avverkningsanmälan</t>
        </is>
      </c>
      <c r="C9873" t="inlineStr">
        <is>
          <t>Föryngringsavverkning</t>
        </is>
      </c>
      <c r="D9873" s="1" t="n">
        <v>45679</v>
      </c>
      <c r="E9873" s="1" t="n">
        <v>46326</v>
      </c>
      <c r="F9873" t="inlineStr">
        <is>
          <t>GÄVLEBORGS LÄN</t>
        </is>
      </c>
      <c r="G9873" t="inlineStr">
        <is>
          <t>SANDVIKEN</t>
        </is>
      </c>
      <c r="I9873" t="n">
        <v>2.2</v>
      </c>
      <c r="J9873" t="n">
        <v>0</v>
      </c>
      <c r="K9873" t="n">
        <v>0</v>
      </c>
      <c r="L9873" t="n">
        <v>0</v>
      </c>
      <c r="M9873" t="n">
        <v>0</v>
      </c>
      <c r="N9873" t="n">
        <v>0</v>
      </c>
      <c r="O9873" t="n">
        <v>0</v>
      </c>
      <c r="P9873" t="n">
        <v>0</v>
      </c>
      <c r="Q9873" t="n">
        <v>0</v>
      </c>
      <c r="R9873" t="n">
        <v>0</v>
      </c>
      <c r="S9873" t="n">
        <v>0</v>
      </c>
      <c r="T9873" t="n">
        <v>0</v>
      </c>
      <c r="U9873" t="n">
        <v>0</v>
      </c>
      <c r="V9873" s="2" t="inlineStr"/>
    </row>
    <row r="9874" ht="15" customHeight="1">
      <c r="A9874" t="inlineStr">
        <is>
          <t>A 48270-2024</t>
        </is>
      </c>
      <c r="B9874" t="inlineStr">
        <is>
          <t>avverkningsanmälan</t>
        </is>
      </c>
      <c r="C9874" t="inlineStr">
        <is>
          <t>Föryngringsavverkning</t>
        </is>
      </c>
      <c r="D9874" s="1" t="n">
        <v>45590</v>
      </c>
      <c r="E9874" s="1" t="n">
        <v>46326</v>
      </c>
      <c r="F9874" t="inlineStr">
        <is>
          <t>GÄVLEBORGS LÄN</t>
        </is>
      </c>
      <c r="G9874" t="inlineStr">
        <is>
          <t>BOLLNÄS</t>
        </is>
      </c>
      <c r="I9874" t="n">
        <v>1.1</v>
      </c>
      <c r="J9874" t="n">
        <v>0</v>
      </c>
      <c r="K9874" t="n">
        <v>0</v>
      </c>
      <c r="L9874" t="n">
        <v>0</v>
      </c>
      <c r="M9874" t="n">
        <v>0</v>
      </c>
      <c r="N9874" t="n">
        <v>0</v>
      </c>
      <c r="O9874" t="n">
        <v>0</v>
      </c>
      <c r="P9874" t="n">
        <v>0</v>
      </c>
      <c r="Q9874" t="n">
        <v>0</v>
      </c>
      <c r="R9874" t="n">
        <v>0</v>
      </c>
      <c r="S9874" t="n">
        <v>0</v>
      </c>
      <c r="T9874" t="n">
        <v>0</v>
      </c>
      <c r="U9874" t="n">
        <v>0</v>
      </c>
      <c r="V9874" s="2" t="inlineStr"/>
    </row>
    <row r="9875" ht="15" customHeight="1">
      <c r="A9875" t="inlineStr">
        <is>
          <t>A 23335-2024</t>
        </is>
      </c>
      <c r="B9875" t="inlineStr">
        <is>
          <t>avverkningsanmälan</t>
        </is>
      </c>
      <c r="C9875" t="inlineStr">
        <is>
          <t>Föryngringsavverkning</t>
        </is>
      </c>
      <c r="D9875" s="1" t="n">
        <v>45453</v>
      </c>
      <c r="E9875" s="1" t="n">
        <v>46326</v>
      </c>
      <c r="F9875" t="inlineStr">
        <is>
          <t>GÄVLEBORGS LÄN</t>
        </is>
      </c>
      <c r="G9875" t="inlineStr">
        <is>
          <t>BOLLNÄS</t>
        </is>
      </c>
      <c r="I9875" t="n">
        <v>2.7</v>
      </c>
      <c r="J9875" t="n">
        <v>0</v>
      </c>
      <c r="K9875" t="n">
        <v>0</v>
      </c>
      <c r="L9875" t="n">
        <v>0</v>
      </c>
      <c r="M9875" t="n">
        <v>0</v>
      </c>
      <c r="N9875" t="n">
        <v>0</v>
      </c>
      <c r="O9875" t="n">
        <v>0</v>
      </c>
      <c r="P9875" t="n">
        <v>0</v>
      </c>
      <c r="Q9875" t="n">
        <v>0</v>
      </c>
      <c r="R9875" t="n">
        <v>0</v>
      </c>
      <c r="S9875" t="n">
        <v>0</v>
      </c>
      <c r="T9875" t="n">
        <v>0</v>
      </c>
      <c r="U9875" t="n">
        <v>0</v>
      </c>
      <c r="V9875" s="2" t="inlineStr"/>
    </row>
    <row r="9876" ht="15" customHeight="1">
      <c r="A9876" t="inlineStr">
        <is>
          <t>A 27545-2024</t>
        </is>
      </c>
      <c r="B9876" t="inlineStr">
        <is>
          <t>avverkningsanmälan</t>
        </is>
      </c>
      <c r="C9876" t="inlineStr">
        <is>
          <t>Föryngringsavverkning</t>
        </is>
      </c>
      <c r="D9876" s="1" t="n">
        <v>45474</v>
      </c>
      <c r="E9876" s="1" t="n">
        <v>46326</v>
      </c>
      <c r="F9876" t="inlineStr">
        <is>
          <t>GÄVLEBORGS LÄN</t>
        </is>
      </c>
      <c r="G9876" t="inlineStr">
        <is>
          <t>HUDIKSVALL</t>
        </is>
      </c>
      <c r="I9876" t="n">
        <v>9.300000000000001</v>
      </c>
      <c r="J9876" t="n">
        <v>0</v>
      </c>
      <c r="K9876" t="n">
        <v>0</v>
      </c>
      <c r="L9876" t="n">
        <v>0</v>
      </c>
      <c r="M9876" t="n">
        <v>0</v>
      </c>
      <c r="N9876" t="n">
        <v>0</v>
      </c>
      <c r="O9876" t="n">
        <v>0</v>
      </c>
      <c r="P9876" t="n">
        <v>0</v>
      </c>
      <c r="Q9876" t="n">
        <v>0</v>
      </c>
      <c r="R9876" t="n">
        <v>0</v>
      </c>
      <c r="S9876" t="n">
        <v>0</v>
      </c>
      <c r="T9876" t="n">
        <v>0</v>
      </c>
      <c r="U9876" t="n">
        <v>0</v>
      </c>
      <c r="V9876" s="2" t="inlineStr"/>
    </row>
    <row r="9877" ht="15" customHeight="1">
      <c r="A9877" t="inlineStr">
        <is>
          <t>A 39962-2026</t>
        </is>
      </c>
      <c r="B9877" t="inlineStr">
        <is>
          <t>avverkningsanmälan</t>
        </is>
      </c>
      <c r="C9877" t="inlineStr">
        <is>
          <t>Föryngringsavverkning</t>
        </is>
      </c>
      <c r="D9877" s="1" t="n">
        <v>46291</v>
      </c>
      <c r="E9877" s="1" t="n">
        <v>46326</v>
      </c>
      <c r="F9877" t="inlineStr">
        <is>
          <t>GÄVLEBORGS LÄN</t>
        </is>
      </c>
      <c r="G9877" t="inlineStr">
        <is>
          <t>OVANÅKER</t>
        </is>
      </c>
      <c r="I9877" t="n">
        <v>2.6</v>
      </c>
      <c r="J9877" t="n">
        <v>0</v>
      </c>
      <c r="K9877" t="n">
        <v>0</v>
      </c>
      <c r="L9877" t="n">
        <v>0</v>
      </c>
      <c r="M9877" t="n">
        <v>0</v>
      </c>
      <c r="N9877" t="n">
        <v>0</v>
      </c>
      <c r="O9877" t="n">
        <v>0</v>
      </c>
      <c r="P9877" t="n">
        <v>0</v>
      </c>
      <c r="Q9877" t="n">
        <v>0</v>
      </c>
      <c r="R9877" t="n">
        <v>0</v>
      </c>
      <c r="S9877" t="n">
        <v>0</v>
      </c>
      <c r="T9877" t="n">
        <v>0</v>
      </c>
      <c r="U9877" t="n">
        <v>0</v>
      </c>
      <c r="V9877" s="2" t="inlineStr"/>
    </row>
    <row r="9878" ht="15" customHeight="1">
      <c r="A9878" t="inlineStr">
        <is>
          <t>A 19144-2024</t>
        </is>
      </c>
      <c r="B9878" t="inlineStr">
        <is>
          <t>avverkningsanmälan</t>
        </is>
      </c>
      <c r="C9878" t="inlineStr">
        <is>
          <t>Föryngringsavverkning</t>
        </is>
      </c>
      <c r="D9878" s="1" t="n">
        <v>45428</v>
      </c>
      <c r="E9878" s="1" t="n">
        <v>46326</v>
      </c>
      <c r="F9878" t="inlineStr">
        <is>
          <t>GÄVLEBORGS LÄN</t>
        </is>
      </c>
      <c r="G9878" t="inlineStr">
        <is>
          <t>BOLLNÄS</t>
        </is>
      </c>
      <c r="I9878" t="n">
        <v>3.2</v>
      </c>
      <c r="J9878" t="n">
        <v>0</v>
      </c>
      <c r="K9878" t="n">
        <v>0</v>
      </c>
      <c r="L9878" t="n">
        <v>0</v>
      </c>
      <c r="M9878" t="n">
        <v>0</v>
      </c>
      <c r="N9878" t="n">
        <v>0</v>
      </c>
      <c r="O9878" t="n">
        <v>0</v>
      </c>
      <c r="P9878" t="n">
        <v>0</v>
      </c>
      <c r="Q9878" t="n">
        <v>0</v>
      </c>
      <c r="R9878" t="n">
        <v>0</v>
      </c>
      <c r="S9878" t="n">
        <v>0</v>
      </c>
      <c r="T9878" t="n">
        <v>0</v>
      </c>
      <c r="U9878" t="n">
        <v>0</v>
      </c>
      <c r="V9878" s="2" t="inlineStr"/>
    </row>
    <row r="9879" ht="15" customHeight="1">
      <c r="A9879" t="inlineStr">
        <is>
          <t>A 31649-2024</t>
        </is>
      </c>
      <c r="B9879" t="inlineStr">
        <is>
          <t>avverkningsanmälan</t>
        </is>
      </c>
      <c r="C9879" t="inlineStr">
        <is>
          <t>Föryngringsavverkning</t>
        </is>
      </c>
      <c r="D9879" s="1" t="n">
        <v>45506</v>
      </c>
      <c r="E9879" s="1" t="n">
        <v>46326</v>
      </c>
      <c r="F9879" t="inlineStr">
        <is>
          <t>GÄVLEBORGS LÄN</t>
        </is>
      </c>
      <c r="G9879" t="inlineStr">
        <is>
          <t>BOLLNÄS</t>
        </is>
      </c>
      <c r="I9879" t="n">
        <v>2.3</v>
      </c>
      <c r="J9879" t="n">
        <v>0</v>
      </c>
      <c r="K9879" t="n">
        <v>0</v>
      </c>
      <c r="L9879" t="n">
        <v>0</v>
      </c>
      <c r="M9879" t="n">
        <v>0</v>
      </c>
      <c r="N9879" t="n">
        <v>0</v>
      </c>
      <c r="O9879" t="n">
        <v>0</v>
      </c>
      <c r="P9879" t="n">
        <v>0</v>
      </c>
      <c r="Q9879" t="n">
        <v>0</v>
      </c>
      <c r="R9879" t="n">
        <v>0</v>
      </c>
      <c r="S9879" t="n">
        <v>0</v>
      </c>
      <c r="T9879" t="n">
        <v>0</v>
      </c>
      <c r="U9879" t="n">
        <v>0</v>
      </c>
      <c r="V9879" s="2" t="inlineStr"/>
    </row>
    <row r="9880" ht="15" customHeight="1">
      <c r="A9880" t="inlineStr">
        <is>
          <t>A 22713-2024</t>
        </is>
      </c>
      <c r="B9880" t="inlineStr">
        <is>
          <t>avverkningsanmälan</t>
        </is>
      </c>
      <c r="C9880" t="inlineStr">
        <is>
          <t>Föryngringsavverkning</t>
        </is>
      </c>
      <c r="D9880" s="1" t="n">
        <v>45448</v>
      </c>
      <c r="E9880" s="1" t="n">
        <v>46326</v>
      </c>
      <c r="F9880" t="inlineStr">
        <is>
          <t>GÄVLEBORGS LÄN</t>
        </is>
      </c>
      <c r="G9880" t="inlineStr">
        <is>
          <t>LJUSDAL</t>
        </is>
      </c>
      <c r="I9880" t="n">
        <v>1.4</v>
      </c>
      <c r="J9880" t="n">
        <v>0</v>
      </c>
      <c r="K9880" t="n">
        <v>0</v>
      </c>
      <c r="L9880" t="n">
        <v>0</v>
      </c>
      <c r="M9880" t="n">
        <v>0</v>
      </c>
      <c r="N9880" t="n">
        <v>0</v>
      </c>
      <c r="O9880" t="n">
        <v>0</v>
      </c>
      <c r="P9880" t="n">
        <v>0</v>
      </c>
      <c r="Q9880" t="n">
        <v>0</v>
      </c>
      <c r="R9880" t="n">
        <v>0</v>
      </c>
      <c r="S9880" t="n">
        <v>0</v>
      </c>
      <c r="T9880" t="n">
        <v>0</v>
      </c>
      <c r="U9880" t="n">
        <v>0</v>
      </c>
      <c r="V9880" s="2" t="inlineStr"/>
    </row>
    <row r="9881" ht="15" customHeight="1">
      <c r="A9881" t="inlineStr">
        <is>
          <t>A 43504-2024</t>
        </is>
      </c>
      <c r="B9881" t="inlineStr">
        <is>
          <t>avverkningsanmälan</t>
        </is>
      </c>
      <c r="C9881" t="inlineStr">
        <is>
          <t>Föryngringsavverkning</t>
        </is>
      </c>
      <c r="D9881" s="1" t="n">
        <v>45569</v>
      </c>
      <c r="E9881" s="1" t="n">
        <v>46326</v>
      </c>
      <c r="F9881" t="inlineStr">
        <is>
          <t>GÄVLEBORGS LÄN</t>
        </is>
      </c>
      <c r="G9881" t="inlineStr">
        <is>
          <t>OVANÅKER</t>
        </is>
      </c>
      <c r="I9881" t="n">
        <v>6.5</v>
      </c>
      <c r="J9881" t="n">
        <v>0</v>
      </c>
      <c r="K9881" t="n">
        <v>0</v>
      </c>
      <c r="L9881" t="n">
        <v>0</v>
      </c>
      <c r="M9881" t="n">
        <v>0</v>
      </c>
      <c r="N9881" t="n">
        <v>0</v>
      </c>
      <c r="O9881" t="n">
        <v>0</v>
      </c>
      <c r="P9881" t="n">
        <v>0</v>
      </c>
      <c r="Q9881" t="n">
        <v>0</v>
      </c>
      <c r="R9881" t="n">
        <v>0</v>
      </c>
      <c r="S9881" t="n">
        <v>0</v>
      </c>
      <c r="T9881" t="n">
        <v>0</v>
      </c>
      <c r="U9881" t="n">
        <v>0</v>
      </c>
      <c r="V9881" s="2" t="inlineStr"/>
    </row>
    <row r="9882" ht="15" customHeight="1">
      <c r="A9882" t="inlineStr">
        <is>
          <t>A 40173-2026</t>
        </is>
      </c>
      <c r="B9882" t="inlineStr">
        <is>
          <t>avverkningsanmälan</t>
        </is>
      </c>
      <c r="C9882" t="inlineStr">
        <is>
          <t>Föryngringsavverkning</t>
        </is>
      </c>
      <c r="D9882" s="1" t="n">
        <v>46293</v>
      </c>
      <c r="E9882" s="1" t="n">
        <v>46326</v>
      </c>
      <c r="F9882" t="inlineStr">
        <is>
          <t>GÄVLEBORGS LÄN</t>
        </is>
      </c>
      <c r="G9882" t="inlineStr">
        <is>
          <t>GÄVLE</t>
        </is>
      </c>
      <c r="H9882" t="inlineStr">
        <is>
          <t>Bergvik skog öst AB</t>
        </is>
      </c>
      <c r="I9882" t="n">
        <v>2</v>
      </c>
      <c r="J9882" t="n">
        <v>0</v>
      </c>
      <c r="K9882" t="n">
        <v>0</v>
      </c>
      <c r="L9882" t="n">
        <v>0</v>
      </c>
      <c r="M9882" t="n">
        <v>0</v>
      </c>
      <c r="N9882" t="n">
        <v>0</v>
      </c>
      <c r="O9882" t="n">
        <v>0</v>
      </c>
      <c r="P9882" t="n">
        <v>0</v>
      </c>
      <c r="Q9882" t="n">
        <v>0</v>
      </c>
      <c r="R9882" t="n">
        <v>0</v>
      </c>
      <c r="S9882" t="n">
        <v>0</v>
      </c>
      <c r="T9882" t="n">
        <v>0</v>
      </c>
      <c r="U9882" t="n">
        <v>0</v>
      </c>
      <c r="V9882" s="2" t="inlineStr"/>
    </row>
    <row r="9883" ht="15" customHeight="1">
      <c r="A9883" t="inlineStr">
        <is>
          <t>A 22015-2025</t>
        </is>
      </c>
      <c r="B9883" t="inlineStr">
        <is>
          <t>avverkningsanmälan</t>
        </is>
      </c>
      <c r="C9883" t="inlineStr">
        <is>
          <t>Föryngringsavverkning</t>
        </is>
      </c>
      <c r="D9883" s="1" t="n">
        <v>45784</v>
      </c>
      <c r="E9883" s="1" t="n">
        <v>46326</v>
      </c>
      <c r="F9883" t="inlineStr">
        <is>
          <t>GÄVLEBORGS LÄN</t>
        </is>
      </c>
      <c r="G9883" t="inlineStr">
        <is>
          <t>HUDIKSVALL</t>
        </is>
      </c>
      <c r="H9883" t="inlineStr">
        <is>
          <t>Holmen skog AB</t>
        </is>
      </c>
      <c r="I9883" t="n">
        <v>14.3</v>
      </c>
      <c r="J9883" t="n">
        <v>0</v>
      </c>
      <c r="K9883" t="n">
        <v>0</v>
      </c>
      <c r="L9883" t="n">
        <v>0</v>
      </c>
      <c r="M9883" t="n">
        <v>0</v>
      </c>
      <c r="N9883" t="n">
        <v>0</v>
      </c>
      <c r="O9883" t="n">
        <v>0</v>
      </c>
      <c r="P9883" t="n">
        <v>0</v>
      </c>
      <c r="Q9883" t="n">
        <v>0</v>
      </c>
      <c r="R9883" t="n">
        <v>0</v>
      </c>
      <c r="S9883" t="n">
        <v>0</v>
      </c>
      <c r="T9883" t="n">
        <v>0</v>
      </c>
      <c r="U9883" t="n">
        <v>0</v>
      </c>
      <c r="V9883" s="2" t="inlineStr"/>
    </row>
    <row r="9884" ht="15" customHeight="1">
      <c r="A9884" t="inlineStr">
        <is>
          <t>A 40460-2024</t>
        </is>
      </c>
      <c r="B9884" t="inlineStr">
        <is>
          <t>avverkningsanmälan</t>
        </is>
      </c>
      <c r="C9884" t="inlineStr">
        <is>
          <t>Föryngringsavverkning</t>
        </is>
      </c>
      <c r="D9884" s="1" t="n">
        <v>45555</v>
      </c>
      <c r="E9884" s="1" t="n">
        <v>46326</v>
      </c>
      <c r="F9884" t="inlineStr">
        <is>
          <t>GÄVLEBORGS LÄN</t>
        </is>
      </c>
      <c r="G9884" t="inlineStr">
        <is>
          <t>SANDVIKEN</t>
        </is>
      </c>
      <c r="I9884" t="n">
        <v>2.4</v>
      </c>
      <c r="J9884" t="n">
        <v>0</v>
      </c>
      <c r="K9884" t="n">
        <v>0</v>
      </c>
      <c r="L9884" t="n">
        <v>0</v>
      </c>
      <c r="M9884" t="n">
        <v>0</v>
      </c>
      <c r="N9884" t="n">
        <v>0</v>
      </c>
      <c r="O9884" t="n">
        <v>0</v>
      </c>
      <c r="P9884" t="n">
        <v>0</v>
      </c>
      <c r="Q9884" t="n">
        <v>0</v>
      </c>
      <c r="R9884" t="n">
        <v>0</v>
      </c>
      <c r="S9884" t="n">
        <v>0</v>
      </c>
      <c r="T9884" t="n">
        <v>0</v>
      </c>
      <c r="U9884" t="n">
        <v>0</v>
      </c>
      <c r="V9884" s="2" t="inlineStr"/>
    </row>
    <row r="9885" ht="15" customHeight="1">
      <c r="A9885" t="inlineStr">
        <is>
          <t>A 42580-2024</t>
        </is>
      </c>
      <c r="B9885" t="inlineStr">
        <is>
          <t>avverkningsanmälan</t>
        </is>
      </c>
      <c r="C9885" t="inlineStr">
        <is>
          <t>Föryngringsavverkning</t>
        </is>
      </c>
      <c r="D9885" s="1" t="n">
        <v>45565</v>
      </c>
      <c r="E9885" s="1" t="n">
        <v>46326</v>
      </c>
      <c r="F9885" t="inlineStr">
        <is>
          <t>GÄVLEBORGS LÄN</t>
        </is>
      </c>
      <c r="G9885" t="inlineStr">
        <is>
          <t>BOLLNÄS</t>
        </is>
      </c>
      <c r="I9885" t="n">
        <v>7.9</v>
      </c>
      <c r="J9885" t="n">
        <v>0</v>
      </c>
      <c r="K9885" t="n">
        <v>0</v>
      </c>
      <c r="L9885" t="n">
        <v>0</v>
      </c>
      <c r="M9885" t="n">
        <v>0</v>
      </c>
      <c r="N9885" t="n">
        <v>0</v>
      </c>
      <c r="O9885" t="n">
        <v>0</v>
      </c>
      <c r="P9885" t="n">
        <v>0</v>
      </c>
      <c r="Q9885" t="n">
        <v>0</v>
      </c>
      <c r="R9885" t="n">
        <v>0</v>
      </c>
      <c r="S9885" t="n">
        <v>0</v>
      </c>
      <c r="T9885" t="n">
        <v>0</v>
      </c>
      <c r="U9885" t="n">
        <v>0</v>
      </c>
      <c r="V9885" s="2" t="inlineStr"/>
    </row>
    <row r="9886" ht="15" customHeight="1">
      <c r="A9886" t="inlineStr">
        <is>
          <t>A 7202-2025</t>
        </is>
      </c>
      <c r="B9886" t="inlineStr">
        <is>
          <t>avverkningsanmälan</t>
        </is>
      </c>
      <c r="C9886" t="inlineStr">
        <is>
          <t>Föryngringsavverkning</t>
        </is>
      </c>
      <c r="D9886" s="1" t="n">
        <v>45702</v>
      </c>
      <c r="E9886" s="1" t="n">
        <v>46326</v>
      </c>
      <c r="F9886" t="inlineStr">
        <is>
          <t>GÄVLEBORGS LÄN</t>
        </is>
      </c>
      <c r="G9886" t="inlineStr">
        <is>
          <t>GÄVLE</t>
        </is>
      </c>
      <c r="H9886" t="inlineStr">
        <is>
          <t>Bergvik skog öst AB</t>
        </is>
      </c>
      <c r="I9886" t="n">
        <v>1</v>
      </c>
      <c r="J9886" t="n">
        <v>0</v>
      </c>
      <c r="K9886" t="n">
        <v>0</v>
      </c>
      <c r="L9886" t="n">
        <v>0</v>
      </c>
      <c r="M9886" t="n">
        <v>0</v>
      </c>
      <c r="N9886" t="n">
        <v>0</v>
      </c>
      <c r="O9886" t="n">
        <v>0</v>
      </c>
      <c r="P9886" t="n">
        <v>0</v>
      </c>
      <c r="Q9886" t="n">
        <v>0</v>
      </c>
      <c r="R9886" t="n">
        <v>0</v>
      </c>
      <c r="S9886" t="n">
        <v>0</v>
      </c>
      <c r="T9886" t="n">
        <v>0</v>
      </c>
      <c r="U9886" t="n">
        <v>0</v>
      </c>
      <c r="V9886" s="2" t="inlineStr"/>
    </row>
    <row r="9887" ht="15" customHeight="1">
      <c r="A9887" t="inlineStr">
        <is>
          <t>A 15775-2025</t>
        </is>
      </c>
      <c r="B9887" t="inlineStr">
        <is>
          <t>avverkningsanmälan</t>
        </is>
      </c>
      <c r="C9887" t="inlineStr">
        <is>
          <t>Föryngringsavverkning</t>
        </is>
      </c>
      <c r="D9887" s="1" t="n">
        <v>45748</v>
      </c>
      <c r="E9887" s="1" t="n">
        <v>46326</v>
      </c>
      <c r="F9887" t="inlineStr">
        <is>
          <t>GÄVLEBORGS LÄN</t>
        </is>
      </c>
      <c r="G9887" t="inlineStr">
        <is>
          <t>HUDIKSVALL</t>
        </is>
      </c>
      <c r="H9887" t="inlineStr">
        <is>
          <t>Kommuner</t>
        </is>
      </c>
      <c r="I9887" t="n">
        <v>1.3</v>
      </c>
      <c r="J9887" t="n">
        <v>0</v>
      </c>
      <c r="K9887" t="n">
        <v>0</v>
      </c>
      <c r="L9887" t="n">
        <v>0</v>
      </c>
      <c r="M9887" t="n">
        <v>0</v>
      </c>
      <c r="N9887" t="n">
        <v>0</v>
      </c>
      <c r="O9887" t="n">
        <v>0</v>
      </c>
      <c r="P9887" t="n">
        <v>0</v>
      </c>
      <c r="Q9887" t="n">
        <v>0</v>
      </c>
      <c r="R9887" t="n">
        <v>0</v>
      </c>
      <c r="S9887" t="n">
        <v>0</v>
      </c>
      <c r="T9887" t="n">
        <v>0</v>
      </c>
      <c r="U9887" t="n">
        <v>0</v>
      </c>
      <c r="V9887" s="2" t="inlineStr"/>
    </row>
    <row r="9888" ht="15" customHeight="1">
      <c r="A9888" t="inlineStr">
        <is>
          <t>A 21928-2025</t>
        </is>
      </c>
      <c r="B9888" t="inlineStr">
        <is>
          <t>avverkningsanmälan</t>
        </is>
      </c>
      <c r="C9888" t="inlineStr">
        <is>
          <t>Föryngringsavverkning</t>
        </is>
      </c>
      <c r="D9888" s="1" t="n">
        <v>45784</v>
      </c>
      <c r="E9888" s="1" t="n">
        <v>46326</v>
      </c>
      <c r="F9888" t="inlineStr">
        <is>
          <t>GÄVLEBORGS LÄN</t>
        </is>
      </c>
      <c r="G9888" t="inlineStr">
        <is>
          <t>NORDANSTIG</t>
        </is>
      </c>
      <c r="I9888" t="n">
        <v>2.8</v>
      </c>
      <c r="J9888" t="n">
        <v>0</v>
      </c>
      <c r="K9888" t="n">
        <v>0</v>
      </c>
      <c r="L9888" t="n">
        <v>0</v>
      </c>
      <c r="M9888" t="n">
        <v>0</v>
      </c>
      <c r="N9888" t="n">
        <v>0</v>
      </c>
      <c r="O9888" t="n">
        <v>0</v>
      </c>
      <c r="P9888" t="n">
        <v>0</v>
      </c>
      <c r="Q9888" t="n">
        <v>0</v>
      </c>
      <c r="R9888" t="n">
        <v>0</v>
      </c>
      <c r="S9888" t="n">
        <v>0</v>
      </c>
      <c r="T9888" t="n">
        <v>0</v>
      </c>
      <c r="U9888" t="n">
        <v>0</v>
      </c>
      <c r="V9888" s="2" t="inlineStr"/>
    </row>
    <row r="9889" ht="15" customHeight="1">
      <c r="A9889" t="inlineStr">
        <is>
          <t>A 21940-2025</t>
        </is>
      </c>
      <c r="B9889" t="inlineStr">
        <is>
          <t>avverkningsanmälan</t>
        </is>
      </c>
      <c r="C9889" t="inlineStr">
        <is>
          <t>Föryngringsavverkning</t>
        </is>
      </c>
      <c r="D9889" s="1" t="n">
        <v>45784</v>
      </c>
      <c r="E9889" s="1" t="n">
        <v>46326</v>
      </c>
      <c r="F9889" t="inlineStr">
        <is>
          <t>GÄVLEBORGS LÄN</t>
        </is>
      </c>
      <c r="G9889" t="inlineStr">
        <is>
          <t>LJUSDAL</t>
        </is>
      </c>
      <c r="I9889" t="n">
        <v>4.1</v>
      </c>
      <c r="J9889" t="n">
        <v>0</v>
      </c>
      <c r="K9889" t="n">
        <v>0</v>
      </c>
      <c r="L9889" t="n">
        <v>0</v>
      </c>
      <c r="M9889" t="n">
        <v>0</v>
      </c>
      <c r="N9889" t="n">
        <v>0</v>
      </c>
      <c r="O9889" t="n">
        <v>0</v>
      </c>
      <c r="P9889" t="n">
        <v>0</v>
      </c>
      <c r="Q9889" t="n">
        <v>0</v>
      </c>
      <c r="R9889" t="n">
        <v>0</v>
      </c>
      <c r="S9889" t="n">
        <v>0</v>
      </c>
      <c r="T9889" t="n">
        <v>0</v>
      </c>
      <c r="U9889" t="n">
        <v>0</v>
      </c>
      <c r="V9889" s="2" t="inlineStr"/>
    </row>
    <row r="9890" ht="15" customHeight="1">
      <c r="A9890" t="inlineStr">
        <is>
          <t>A 52273-2024</t>
        </is>
      </c>
      <c r="B9890" t="inlineStr">
        <is>
          <t>avverkningsanmälan</t>
        </is>
      </c>
      <c r="C9890" t="inlineStr">
        <is>
          <t>Föryngringsavverkning</t>
        </is>
      </c>
      <c r="D9890" s="1" t="n">
        <v>45608</v>
      </c>
      <c r="E9890" s="1" t="n">
        <v>46326</v>
      </c>
      <c r="F9890" t="inlineStr">
        <is>
          <t>GÄVLEBORGS LÄN</t>
        </is>
      </c>
      <c r="G9890" t="inlineStr">
        <is>
          <t>OCKELBO</t>
        </is>
      </c>
      <c r="I9890" t="n">
        <v>2.9</v>
      </c>
      <c r="J9890" t="n">
        <v>0</v>
      </c>
      <c r="K9890" t="n">
        <v>0</v>
      </c>
      <c r="L9890" t="n">
        <v>0</v>
      </c>
      <c r="M9890" t="n">
        <v>0</v>
      </c>
      <c r="N9890" t="n">
        <v>0</v>
      </c>
      <c r="O9890" t="n">
        <v>0</v>
      </c>
      <c r="P9890" t="n">
        <v>0</v>
      </c>
      <c r="Q9890" t="n">
        <v>0</v>
      </c>
      <c r="R9890" t="n">
        <v>0</v>
      </c>
      <c r="S9890" t="n">
        <v>0</v>
      </c>
      <c r="T9890" t="n">
        <v>0</v>
      </c>
      <c r="U9890" t="n">
        <v>0</v>
      </c>
      <c r="V9890" s="2" t="inlineStr"/>
    </row>
    <row r="9891" ht="15" customHeight="1">
      <c r="A9891" t="inlineStr">
        <is>
          <t>A 52748-2024</t>
        </is>
      </c>
      <c r="B9891" t="inlineStr">
        <is>
          <t>avverkningsanmälan</t>
        </is>
      </c>
      <c r="C9891" t="inlineStr">
        <is>
          <t>Föryngringsavverkning</t>
        </is>
      </c>
      <c r="D9891" s="1" t="n">
        <v>45610</v>
      </c>
      <c r="E9891" s="1" t="n">
        <v>46326</v>
      </c>
      <c r="F9891" t="inlineStr">
        <is>
          <t>GÄVLEBORGS LÄN</t>
        </is>
      </c>
      <c r="G9891" t="inlineStr">
        <is>
          <t>BOLLNÄS</t>
        </is>
      </c>
      <c r="I9891" t="n">
        <v>1.5</v>
      </c>
      <c r="J9891" t="n">
        <v>0</v>
      </c>
      <c r="K9891" t="n">
        <v>0</v>
      </c>
      <c r="L9891" t="n">
        <v>0</v>
      </c>
      <c r="M9891" t="n">
        <v>0</v>
      </c>
      <c r="N9891" t="n">
        <v>0</v>
      </c>
      <c r="O9891" t="n">
        <v>0</v>
      </c>
      <c r="P9891" t="n">
        <v>0</v>
      </c>
      <c r="Q9891" t="n">
        <v>0</v>
      </c>
      <c r="R9891" t="n">
        <v>0</v>
      </c>
      <c r="S9891" t="n">
        <v>0</v>
      </c>
      <c r="T9891" t="n">
        <v>0</v>
      </c>
      <c r="U9891" t="n">
        <v>0</v>
      </c>
      <c r="V9891" s="2" t="inlineStr"/>
    </row>
    <row r="9892" ht="15" customHeight="1">
      <c r="A9892" t="inlineStr">
        <is>
          <t>A 56229-2024</t>
        </is>
      </c>
      <c r="B9892" t="inlineStr">
        <is>
          <t>avverkningsanmälan</t>
        </is>
      </c>
      <c r="C9892" t="inlineStr">
        <is>
          <t>Föryngringsavverkning</t>
        </is>
      </c>
      <c r="D9892" s="1" t="n">
        <v>45624</v>
      </c>
      <c r="E9892" s="1" t="n">
        <v>46326</v>
      </c>
      <c r="F9892" t="inlineStr">
        <is>
          <t>GÄVLEBORGS LÄN</t>
        </is>
      </c>
      <c r="G9892" t="inlineStr">
        <is>
          <t>BOLLNÄS</t>
        </is>
      </c>
      <c r="I9892" t="n">
        <v>2.3</v>
      </c>
      <c r="J9892" t="n">
        <v>0</v>
      </c>
      <c r="K9892" t="n">
        <v>0</v>
      </c>
      <c r="L9892" t="n">
        <v>0</v>
      </c>
      <c r="M9892" t="n">
        <v>0</v>
      </c>
      <c r="N9892" t="n">
        <v>0</v>
      </c>
      <c r="O9892" t="n">
        <v>0</v>
      </c>
      <c r="P9892" t="n">
        <v>0</v>
      </c>
      <c r="Q9892" t="n">
        <v>0</v>
      </c>
      <c r="R9892" t="n">
        <v>0</v>
      </c>
      <c r="S9892" t="n">
        <v>0</v>
      </c>
      <c r="T9892" t="n">
        <v>0</v>
      </c>
      <c r="U9892" t="n">
        <v>0</v>
      </c>
      <c r="V9892" s="2" t="inlineStr"/>
    </row>
    <row r="9893" ht="15" customHeight="1">
      <c r="A9893" t="inlineStr">
        <is>
          <t>A 41385-2024</t>
        </is>
      </c>
      <c r="B9893" t="inlineStr">
        <is>
          <t>avverkningsanmälan</t>
        </is>
      </c>
      <c r="C9893" t="inlineStr">
        <is>
          <t>Föryngringsavverkning</t>
        </is>
      </c>
      <c r="D9893" s="1" t="n">
        <v>45560</v>
      </c>
      <c r="E9893" s="1" t="n">
        <v>46326</v>
      </c>
      <c r="F9893" t="inlineStr">
        <is>
          <t>GÄVLEBORGS LÄN</t>
        </is>
      </c>
      <c r="G9893" t="inlineStr">
        <is>
          <t>LJUSDAL</t>
        </is>
      </c>
      <c r="I9893" t="n">
        <v>3.4</v>
      </c>
      <c r="J9893" t="n">
        <v>0</v>
      </c>
      <c r="K9893" t="n">
        <v>0</v>
      </c>
      <c r="L9893" t="n">
        <v>0</v>
      </c>
      <c r="M9893" t="n">
        <v>0</v>
      </c>
      <c r="N9893" t="n">
        <v>0</v>
      </c>
      <c r="O9893" t="n">
        <v>0</v>
      </c>
      <c r="P9893" t="n">
        <v>0</v>
      </c>
      <c r="Q9893" t="n">
        <v>0</v>
      </c>
      <c r="R9893" t="n">
        <v>0</v>
      </c>
      <c r="S9893" t="n">
        <v>0</v>
      </c>
      <c r="T9893" t="n">
        <v>0</v>
      </c>
      <c r="U9893" t="n">
        <v>0</v>
      </c>
      <c r="V9893" s="2" t="inlineStr"/>
    </row>
    <row r="9894" ht="15" customHeight="1">
      <c r="A9894" t="inlineStr">
        <is>
          <t>A 27048-2026</t>
        </is>
      </c>
      <c r="B9894" t="inlineStr">
        <is>
          <t>avverkningsanmälan</t>
        </is>
      </c>
      <c r="C9894" t="inlineStr">
        <is>
          <t>Föryngringsavverkning</t>
        </is>
      </c>
      <c r="D9894" s="1" t="n">
        <v>46185</v>
      </c>
      <c r="E9894" s="1" t="n">
        <v>46326</v>
      </c>
      <c r="F9894" t="inlineStr">
        <is>
          <t>GÄVLEBORGS LÄN</t>
        </is>
      </c>
      <c r="G9894" t="inlineStr">
        <is>
          <t>GÄVLE</t>
        </is>
      </c>
      <c r="H9894" t="inlineStr">
        <is>
          <t>Bergvik skog öst AB</t>
        </is>
      </c>
      <c r="I9894" t="n">
        <v>3.9</v>
      </c>
      <c r="J9894" t="n">
        <v>0</v>
      </c>
      <c r="K9894" t="n">
        <v>0</v>
      </c>
      <c r="L9894" t="n">
        <v>0</v>
      </c>
      <c r="M9894" t="n">
        <v>0</v>
      </c>
      <c r="N9894" t="n">
        <v>0</v>
      </c>
      <c r="O9894" t="n">
        <v>0</v>
      </c>
      <c r="P9894" t="n">
        <v>0</v>
      </c>
      <c r="Q9894" t="n">
        <v>0</v>
      </c>
      <c r="R9894" t="n">
        <v>0</v>
      </c>
      <c r="S9894" t="n">
        <v>0</v>
      </c>
      <c r="T9894" t="n">
        <v>0</v>
      </c>
      <c r="U9894" t="n">
        <v>0</v>
      </c>
      <c r="V9894" s="2" t="inlineStr"/>
    </row>
    <row r="9895" ht="15" customHeight="1">
      <c r="A9895" t="inlineStr">
        <is>
          <t>A 28083-2024</t>
        </is>
      </c>
      <c r="B9895" t="inlineStr">
        <is>
          <t>avverkningsanmälan</t>
        </is>
      </c>
      <c r="C9895" t="inlineStr">
        <is>
          <t>Föryngringsavverkning</t>
        </is>
      </c>
      <c r="D9895" s="1" t="n">
        <v>45476</v>
      </c>
      <c r="E9895" s="1" t="n">
        <v>46326</v>
      </c>
      <c r="F9895" t="inlineStr">
        <is>
          <t>GÄVLEBORGS LÄN</t>
        </is>
      </c>
      <c r="G9895" t="inlineStr">
        <is>
          <t>BOLLNÄS</t>
        </is>
      </c>
      <c r="I9895" t="n">
        <v>1</v>
      </c>
      <c r="J9895" t="n">
        <v>0</v>
      </c>
      <c r="K9895" t="n">
        <v>0</v>
      </c>
      <c r="L9895" t="n">
        <v>0</v>
      </c>
      <c r="M9895" t="n">
        <v>0</v>
      </c>
      <c r="N9895" t="n">
        <v>0</v>
      </c>
      <c r="O9895" t="n">
        <v>0</v>
      </c>
      <c r="P9895" t="n">
        <v>0</v>
      </c>
      <c r="Q9895" t="n">
        <v>0</v>
      </c>
      <c r="R9895" t="n">
        <v>0</v>
      </c>
      <c r="S9895" t="n">
        <v>0</v>
      </c>
      <c r="T9895" t="n">
        <v>0</v>
      </c>
      <c r="U9895" t="n">
        <v>0</v>
      </c>
      <c r="V9895" s="2" t="inlineStr"/>
    </row>
    <row r="9896" ht="15" customHeight="1">
      <c r="A9896" t="inlineStr">
        <is>
          <t>A 41525-2022</t>
        </is>
      </c>
      <c r="B9896" t="inlineStr">
        <is>
          <t>avverkningsanmälan</t>
        </is>
      </c>
      <c r="C9896" t="inlineStr">
        <is>
          <t>Föryngringsavverkning</t>
        </is>
      </c>
      <c r="D9896" s="1" t="n">
        <v>44827</v>
      </c>
      <c r="E9896" s="1" t="n">
        <v>46326</v>
      </c>
      <c r="F9896" t="inlineStr">
        <is>
          <t>GÄVLEBORGS LÄN</t>
        </is>
      </c>
      <c r="G9896" t="inlineStr">
        <is>
          <t>LJUSDAL</t>
        </is>
      </c>
      <c r="H9896" t="inlineStr">
        <is>
          <t>Holmen skog AB</t>
        </is>
      </c>
      <c r="I9896" t="n">
        <v>1.4</v>
      </c>
      <c r="J9896" t="n">
        <v>0</v>
      </c>
      <c r="K9896" t="n">
        <v>0</v>
      </c>
      <c r="L9896" t="n">
        <v>0</v>
      </c>
      <c r="M9896" t="n">
        <v>0</v>
      </c>
      <c r="N9896" t="n">
        <v>0</v>
      </c>
      <c r="O9896" t="n">
        <v>0</v>
      </c>
      <c r="P9896" t="n">
        <v>0</v>
      </c>
      <c r="Q9896" t="n">
        <v>0</v>
      </c>
      <c r="R9896" t="n">
        <v>0</v>
      </c>
      <c r="S9896" t="n">
        <v>0</v>
      </c>
      <c r="T9896" t="n">
        <v>0</v>
      </c>
      <c r="U9896" t="n">
        <v>0</v>
      </c>
      <c r="V9896" s="2" t="inlineStr"/>
    </row>
    <row r="9897" ht="15" customHeight="1">
      <c r="A9897" t="inlineStr">
        <is>
          <t>A 44344-2024</t>
        </is>
      </c>
      <c r="B9897" t="inlineStr">
        <is>
          <t>avverkningsanmälan</t>
        </is>
      </c>
      <c r="C9897" t="inlineStr">
        <is>
          <t>Föryngringsavverkning</t>
        </is>
      </c>
      <c r="D9897" s="1" t="n">
        <v>45573</v>
      </c>
      <c r="E9897" s="1" t="n">
        <v>46326</v>
      </c>
      <c r="F9897" t="inlineStr">
        <is>
          <t>GÄVLEBORGS LÄN</t>
        </is>
      </c>
      <c r="G9897" t="inlineStr">
        <is>
          <t>BOLLNÄS</t>
        </is>
      </c>
      <c r="I9897" t="n">
        <v>3.1</v>
      </c>
      <c r="J9897" t="n">
        <v>0</v>
      </c>
      <c r="K9897" t="n">
        <v>0</v>
      </c>
      <c r="L9897" t="n">
        <v>0</v>
      </c>
      <c r="M9897" t="n">
        <v>0</v>
      </c>
      <c r="N9897" t="n">
        <v>0</v>
      </c>
      <c r="O9897" t="n">
        <v>0</v>
      </c>
      <c r="P9897" t="n">
        <v>0</v>
      </c>
      <c r="Q9897" t="n">
        <v>0</v>
      </c>
      <c r="R9897" t="n">
        <v>0</v>
      </c>
      <c r="S9897" t="n">
        <v>0</v>
      </c>
      <c r="T9897" t="n">
        <v>0</v>
      </c>
      <c r="U9897" t="n">
        <v>0</v>
      </c>
      <c r="V9897" s="2" t="inlineStr"/>
    </row>
    <row r="9898" ht="15" customHeight="1">
      <c r="A9898" t="inlineStr">
        <is>
          <t>A 44120-2022</t>
        </is>
      </c>
      <c r="B9898" t="inlineStr">
        <is>
          <t>avverkningsanmälan</t>
        </is>
      </c>
      <c r="C9898" t="inlineStr">
        <is>
          <t>Föryngringsavverkning</t>
        </is>
      </c>
      <c r="D9898" s="1" t="n">
        <v>44839</v>
      </c>
      <c r="E9898" s="1" t="n">
        <v>46326</v>
      </c>
      <c r="F9898" t="inlineStr">
        <is>
          <t>GÄVLEBORGS LÄN</t>
        </is>
      </c>
      <c r="G9898" t="inlineStr">
        <is>
          <t>BOLLNÄS</t>
        </is>
      </c>
      <c r="I9898" t="n">
        <v>10.3</v>
      </c>
      <c r="J9898" t="n">
        <v>0</v>
      </c>
      <c r="K9898" t="n">
        <v>0</v>
      </c>
      <c r="L9898" t="n">
        <v>0</v>
      </c>
      <c r="M9898" t="n">
        <v>0</v>
      </c>
      <c r="N9898" t="n">
        <v>0</v>
      </c>
      <c r="O9898" t="n">
        <v>0</v>
      </c>
      <c r="P9898" t="n">
        <v>0</v>
      </c>
      <c r="Q9898" t="n">
        <v>0</v>
      </c>
      <c r="R9898" t="n">
        <v>0</v>
      </c>
      <c r="S9898" t="n">
        <v>0</v>
      </c>
      <c r="T9898" t="n">
        <v>0</v>
      </c>
      <c r="U9898" t="n">
        <v>0</v>
      </c>
      <c r="V9898" s="2" t="inlineStr"/>
    </row>
    <row r="9899" ht="15" customHeight="1">
      <c r="A9899" t="inlineStr">
        <is>
          <t>A 40104-2026</t>
        </is>
      </c>
      <c r="B9899" t="inlineStr">
        <is>
          <t>avverkningsanmälan</t>
        </is>
      </c>
      <c r="C9899" t="inlineStr">
        <is>
          <t>Föryngringsavverkning</t>
        </is>
      </c>
      <c r="D9899" s="1" t="n">
        <v>46293</v>
      </c>
      <c r="E9899" s="1" t="n">
        <v>46326</v>
      </c>
      <c r="F9899" t="inlineStr">
        <is>
          <t>GÄVLEBORGS LÄN</t>
        </is>
      </c>
      <c r="G9899" t="inlineStr">
        <is>
          <t>OCKELBO</t>
        </is>
      </c>
      <c r="H9899" t="inlineStr">
        <is>
          <t>Bergvik skog väst AB</t>
        </is>
      </c>
      <c r="I9899" t="n">
        <v>1.9</v>
      </c>
      <c r="J9899" t="n">
        <v>0</v>
      </c>
      <c r="K9899" t="n">
        <v>0</v>
      </c>
      <c r="L9899" t="n">
        <v>0</v>
      </c>
      <c r="M9899" t="n">
        <v>0</v>
      </c>
      <c r="N9899" t="n">
        <v>0</v>
      </c>
      <c r="O9899" t="n">
        <v>0</v>
      </c>
      <c r="P9899" t="n">
        <v>0</v>
      </c>
      <c r="Q9899" t="n">
        <v>0</v>
      </c>
      <c r="R9899" t="n">
        <v>0</v>
      </c>
      <c r="S9899" t="n">
        <v>0</v>
      </c>
      <c r="T9899" t="n">
        <v>0</v>
      </c>
      <c r="U9899" t="n">
        <v>0</v>
      </c>
      <c r="V9899" s="2" t="inlineStr"/>
    </row>
    <row r="9900" ht="15" customHeight="1">
      <c r="A9900" t="inlineStr">
        <is>
          <t>A 15042-2026</t>
        </is>
      </c>
      <c r="B9900" t="inlineStr">
        <is>
          <t>avverkningsanmälan</t>
        </is>
      </c>
      <c r="C9900" t="inlineStr">
        <is>
          <t>Föryngringsavverkning</t>
        </is>
      </c>
      <c r="D9900" s="1" t="n">
        <v>46104</v>
      </c>
      <c r="E9900" s="1" t="n">
        <v>46326</v>
      </c>
      <c r="F9900" t="inlineStr">
        <is>
          <t>GÄVLEBORGS LÄN</t>
        </is>
      </c>
      <c r="G9900" t="inlineStr">
        <is>
          <t>OCKELBO</t>
        </is>
      </c>
      <c r="H9900" t="inlineStr">
        <is>
          <t>Bergvik skog väst AB</t>
        </is>
      </c>
      <c r="I9900" t="n">
        <v>6.2</v>
      </c>
      <c r="J9900" t="n">
        <v>0</v>
      </c>
      <c r="K9900" t="n">
        <v>0</v>
      </c>
      <c r="L9900" t="n">
        <v>0</v>
      </c>
      <c r="M9900" t="n">
        <v>0</v>
      </c>
      <c r="N9900" t="n">
        <v>0</v>
      </c>
      <c r="O9900" t="n">
        <v>0</v>
      </c>
      <c r="P9900" t="n">
        <v>0</v>
      </c>
      <c r="Q9900" t="n">
        <v>0</v>
      </c>
      <c r="R9900" t="n">
        <v>0</v>
      </c>
      <c r="S9900" t="n">
        <v>0</v>
      </c>
      <c r="T9900" t="n">
        <v>0</v>
      </c>
      <c r="U9900" t="n">
        <v>0</v>
      </c>
      <c r="V9900" s="2" t="inlineStr"/>
    </row>
    <row r="9901" ht="15" customHeight="1">
      <c r="A9901" t="inlineStr">
        <is>
          <t>A 43750-2023</t>
        </is>
      </c>
      <c r="B9901" t="inlineStr">
        <is>
          <t>avverkningsanmälan</t>
        </is>
      </c>
      <c r="C9901" t="inlineStr">
        <is>
          <t>Föryngringsavverkning</t>
        </is>
      </c>
      <c r="D9901" s="1" t="n">
        <v>45187</v>
      </c>
      <c r="E9901" s="1" t="n">
        <v>46326</v>
      </c>
      <c r="F9901" t="inlineStr">
        <is>
          <t>GÄVLEBORGS LÄN</t>
        </is>
      </c>
      <c r="G9901" t="inlineStr">
        <is>
          <t>BOLLNÄS</t>
        </is>
      </c>
      <c r="I9901" t="n">
        <v>2.8</v>
      </c>
      <c r="J9901" t="n">
        <v>0</v>
      </c>
      <c r="K9901" t="n">
        <v>0</v>
      </c>
      <c r="L9901" t="n">
        <v>0</v>
      </c>
      <c r="M9901" t="n">
        <v>0</v>
      </c>
      <c r="N9901" t="n">
        <v>0</v>
      </c>
      <c r="O9901" t="n">
        <v>0</v>
      </c>
      <c r="P9901" t="n">
        <v>0</v>
      </c>
      <c r="Q9901" t="n">
        <v>0</v>
      </c>
      <c r="R9901" t="n">
        <v>0</v>
      </c>
      <c r="S9901" t="n">
        <v>0</v>
      </c>
      <c r="T9901" t="n">
        <v>0</v>
      </c>
      <c r="U9901" t="n">
        <v>0</v>
      </c>
      <c r="V9901" s="2" t="inlineStr"/>
    </row>
    <row r="9902" ht="15" customHeight="1">
      <c r="A9902" t="inlineStr">
        <is>
          <t>A 37071-2024</t>
        </is>
      </c>
      <c r="B9902" t="inlineStr">
        <is>
          <t>avverkningsanmälan</t>
        </is>
      </c>
      <c r="C9902" t="inlineStr">
        <is>
          <t>Föryngringsavverkning</t>
        </is>
      </c>
      <c r="D9902" s="1" t="n">
        <v>45539</v>
      </c>
      <c r="E9902" s="1" t="n">
        <v>46326</v>
      </c>
      <c r="F9902" t="inlineStr">
        <is>
          <t>GÄVLEBORGS LÄN</t>
        </is>
      </c>
      <c r="G9902" t="inlineStr">
        <is>
          <t>OVANÅKER</t>
        </is>
      </c>
      <c r="H9902" t="inlineStr">
        <is>
          <t>Bergvik skog väst AB</t>
        </is>
      </c>
      <c r="I9902" t="n">
        <v>2.7</v>
      </c>
      <c r="J9902" t="n">
        <v>0</v>
      </c>
      <c r="K9902" t="n">
        <v>0</v>
      </c>
      <c r="L9902" t="n">
        <v>0</v>
      </c>
      <c r="M9902" t="n">
        <v>0</v>
      </c>
      <c r="N9902" t="n">
        <v>0</v>
      </c>
      <c r="O9902" t="n">
        <v>0</v>
      </c>
      <c r="P9902" t="n">
        <v>0</v>
      </c>
      <c r="Q9902" t="n">
        <v>0</v>
      </c>
      <c r="R9902" t="n">
        <v>0</v>
      </c>
      <c r="S9902" t="n">
        <v>0</v>
      </c>
      <c r="T9902" t="n">
        <v>0</v>
      </c>
      <c r="U9902" t="n">
        <v>0</v>
      </c>
      <c r="V9902" s="2" t="inlineStr"/>
    </row>
    <row r="9903" ht="15" customHeight="1">
      <c r="A9903" t="inlineStr">
        <is>
          <t>A 37848-2024</t>
        </is>
      </c>
      <c r="B9903" t="inlineStr">
        <is>
          <t>avverkningsanmälan</t>
        </is>
      </c>
      <c r="C9903" t="inlineStr">
        <is>
          <t>Föryngringsavverkning</t>
        </is>
      </c>
      <c r="D9903" s="1" t="n">
        <v>45544</v>
      </c>
      <c r="E9903" s="1" t="n">
        <v>46326</v>
      </c>
      <c r="F9903" t="inlineStr">
        <is>
          <t>GÄVLEBORGS LÄN</t>
        </is>
      </c>
      <c r="G9903" t="inlineStr">
        <is>
          <t>OCKELBO</t>
        </is>
      </c>
      <c r="I9903" t="n">
        <v>1.4</v>
      </c>
      <c r="J9903" t="n">
        <v>0</v>
      </c>
      <c r="K9903" t="n">
        <v>0</v>
      </c>
      <c r="L9903" t="n">
        <v>0</v>
      </c>
      <c r="M9903" t="n">
        <v>0</v>
      </c>
      <c r="N9903" t="n">
        <v>0</v>
      </c>
      <c r="O9903" t="n">
        <v>0</v>
      </c>
      <c r="P9903" t="n">
        <v>0</v>
      </c>
      <c r="Q9903" t="n">
        <v>0</v>
      </c>
      <c r="R9903" t="n">
        <v>0</v>
      </c>
      <c r="S9903" t="n">
        <v>0</v>
      </c>
      <c r="T9903" t="n">
        <v>0</v>
      </c>
      <c r="U9903" t="n">
        <v>0</v>
      </c>
      <c r="V9903" s="2" t="inlineStr"/>
    </row>
    <row r="9904" ht="15" customHeight="1">
      <c r="A9904" t="inlineStr">
        <is>
          <t>A 22148-2025</t>
        </is>
      </c>
      <c r="B9904" t="inlineStr">
        <is>
          <t>avverkningsanmälan</t>
        </is>
      </c>
      <c r="C9904" t="inlineStr">
        <is>
          <t>Föryngringsavverkning</t>
        </is>
      </c>
      <c r="D9904" s="1" t="n">
        <v>45785</v>
      </c>
      <c r="E9904" s="1" t="n">
        <v>46326</v>
      </c>
      <c r="F9904" t="inlineStr">
        <is>
          <t>GÄVLEBORGS LÄN</t>
        </is>
      </c>
      <c r="G9904" t="inlineStr">
        <is>
          <t>HUDIKSVALL</t>
        </is>
      </c>
      <c r="I9904" t="n">
        <v>0.9</v>
      </c>
      <c r="J9904" t="n">
        <v>0</v>
      </c>
      <c r="K9904" t="n">
        <v>0</v>
      </c>
      <c r="L9904" t="n">
        <v>0</v>
      </c>
      <c r="M9904" t="n">
        <v>0</v>
      </c>
      <c r="N9904" t="n">
        <v>0</v>
      </c>
      <c r="O9904" t="n">
        <v>0</v>
      </c>
      <c r="P9904" t="n">
        <v>0</v>
      </c>
      <c r="Q9904" t="n">
        <v>0</v>
      </c>
      <c r="R9904" t="n">
        <v>0</v>
      </c>
      <c r="S9904" t="n">
        <v>0</v>
      </c>
      <c r="T9904" t="n">
        <v>0</v>
      </c>
      <c r="U9904" t="n">
        <v>0</v>
      </c>
      <c r="V9904" s="2" t="inlineStr"/>
    </row>
    <row r="9905" ht="15" customHeight="1">
      <c r="A9905" t="inlineStr">
        <is>
          <t>A 52165-2023</t>
        </is>
      </c>
      <c r="B9905" t="inlineStr">
        <is>
          <t>avverkningsanmälan</t>
        </is>
      </c>
      <c r="C9905" t="inlineStr">
        <is>
          <t>Föryngringsavverkning</t>
        </is>
      </c>
      <c r="D9905" s="1" t="n">
        <v>45224</v>
      </c>
      <c r="E9905" s="1" t="n">
        <v>46326</v>
      </c>
      <c r="F9905" t="inlineStr">
        <is>
          <t>GÄVLEBORGS LÄN</t>
        </is>
      </c>
      <c r="G9905" t="inlineStr">
        <is>
          <t>OVANÅKER</t>
        </is>
      </c>
      <c r="I9905" t="n">
        <v>1.5</v>
      </c>
      <c r="J9905" t="n">
        <v>0</v>
      </c>
      <c r="K9905" t="n">
        <v>0</v>
      </c>
      <c r="L9905" t="n">
        <v>0</v>
      </c>
      <c r="M9905" t="n">
        <v>0</v>
      </c>
      <c r="N9905" t="n">
        <v>0</v>
      </c>
      <c r="O9905" t="n">
        <v>0</v>
      </c>
      <c r="P9905" t="n">
        <v>0</v>
      </c>
      <c r="Q9905" t="n">
        <v>0</v>
      </c>
      <c r="R9905" t="n">
        <v>0</v>
      </c>
      <c r="S9905" t="n">
        <v>0</v>
      </c>
      <c r="T9905" t="n">
        <v>0</v>
      </c>
      <c r="U9905" t="n">
        <v>0</v>
      </c>
      <c r="V9905" s="2" t="inlineStr"/>
    </row>
    <row r="9906" ht="15" customHeight="1">
      <c r="A9906" t="inlineStr">
        <is>
          <t>A 58645-2024</t>
        </is>
      </c>
      <c r="B9906" t="inlineStr">
        <is>
          <t>avverkningsanmälan</t>
        </is>
      </c>
      <c r="C9906" t="inlineStr">
        <is>
          <t>Föryngringsavverkning</t>
        </is>
      </c>
      <c r="D9906" s="1" t="n">
        <v>45632</v>
      </c>
      <c r="E9906" s="1" t="n">
        <v>46326</v>
      </c>
      <c r="F9906" t="inlineStr">
        <is>
          <t>GÄVLEBORGS LÄN</t>
        </is>
      </c>
      <c r="G9906" t="inlineStr">
        <is>
          <t>OVANÅKER</t>
        </is>
      </c>
      <c r="I9906" t="n">
        <v>2.3</v>
      </c>
      <c r="J9906" t="n">
        <v>0</v>
      </c>
      <c r="K9906" t="n">
        <v>0</v>
      </c>
      <c r="L9906" t="n">
        <v>0</v>
      </c>
      <c r="M9906" t="n">
        <v>0</v>
      </c>
      <c r="N9906" t="n">
        <v>0</v>
      </c>
      <c r="O9906" t="n">
        <v>0</v>
      </c>
      <c r="P9906" t="n">
        <v>0</v>
      </c>
      <c r="Q9906" t="n">
        <v>0</v>
      </c>
      <c r="R9906" t="n">
        <v>0</v>
      </c>
      <c r="S9906" t="n">
        <v>0</v>
      </c>
      <c r="T9906" t="n">
        <v>0</v>
      </c>
      <c r="U9906" t="n">
        <v>0</v>
      </c>
      <c r="V9906" s="2" t="inlineStr"/>
    </row>
    <row r="9907" ht="15" customHeight="1">
      <c r="A9907" t="inlineStr">
        <is>
          <t>A 36059-2023</t>
        </is>
      </c>
      <c r="B9907" t="inlineStr">
        <is>
          <t>avverkningsanmälan</t>
        </is>
      </c>
      <c r="C9907" t="inlineStr">
        <is>
          <t>Föryngringsavverkning</t>
        </is>
      </c>
      <c r="D9907" s="1" t="n">
        <v>45149</v>
      </c>
      <c r="E9907" s="1" t="n">
        <v>46326</v>
      </c>
      <c r="F9907" t="inlineStr">
        <is>
          <t>GÄVLEBORGS LÄN</t>
        </is>
      </c>
      <c r="G9907" t="inlineStr">
        <is>
          <t>SÖDERHAMN</t>
        </is>
      </c>
      <c r="I9907" t="n">
        <v>6.2</v>
      </c>
      <c r="J9907" t="n">
        <v>0</v>
      </c>
      <c r="K9907" t="n">
        <v>0</v>
      </c>
      <c r="L9907" t="n">
        <v>0</v>
      </c>
      <c r="M9907" t="n">
        <v>0</v>
      </c>
      <c r="N9907" t="n">
        <v>0</v>
      </c>
      <c r="O9907" t="n">
        <v>0</v>
      </c>
      <c r="P9907" t="n">
        <v>0</v>
      </c>
      <c r="Q9907" t="n">
        <v>0</v>
      </c>
      <c r="R9907" t="n">
        <v>0</v>
      </c>
      <c r="S9907" t="n">
        <v>0</v>
      </c>
      <c r="T9907" t="n">
        <v>0</v>
      </c>
      <c r="U9907" t="n">
        <v>0</v>
      </c>
      <c r="V9907" s="2" t="inlineStr"/>
    </row>
    <row r="9908" ht="15" customHeight="1">
      <c r="A9908" t="inlineStr">
        <is>
          <t>A 41284-2023</t>
        </is>
      </c>
      <c r="B9908" t="inlineStr">
        <is>
          <t>avverkningsanmälan</t>
        </is>
      </c>
      <c r="C9908" t="inlineStr">
        <is>
          <t>Föryngringsavverkning</t>
        </is>
      </c>
      <c r="D9908" s="1" t="n">
        <v>45174</v>
      </c>
      <c r="E9908" s="1" t="n">
        <v>46326</v>
      </c>
      <c r="F9908" t="inlineStr">
        <is>
          <t>GÄVLEBORGS LÄN</t>
        </is>
      </c>
      <c r="G9908" t="inlineStr">
        <is>
          <t>SANDVIKEN</t>
        </is>
      </c>
      <c r="I9908" t="n">
        <v>1.5</v>
      </c>
      <c r="J9908" t="n">
        <v>0</v>
      </c>
      <c r="K9908" t="n">
        <v>0</v>
      </c>
      <c r="L9908" t="n">
        <v>0</v>
      </c>
      <c r="M9908" t="n">
        <v>0</v>
      </c>
      <c r="N9908" t="n">
        <v>0</v>
      </c>
      <c r="O9908" t="n">
        <v>0</v>
      </c>
      <c r="P9908" t="n">
        <v>0</v>
      </c>
      <c r="Q9908" t="n">
        <v>0</v>
      </c>
      <c r="R9908" t="n">
        <v>0</v>
      </c>
      <c r="S9908" t="n">
        <v>0</v>
      </c>
      <c r="T9908" t="n">
        <v>0</v>
      </c>
      <c r="U9908" t="n">
        <v>0</v>
      </c>
      <c r="V9908" s="2" t="inlineStr"/>
    </row>
    <row r="9909" ht="15" customHeight="1">
      <c r="A9909" t="inlineStr">
        <is>
          <t>A 59044-2023</t>
        </is>
      </c>
      <c r="B9909" t="inlineStr">
        <is>
          <t>avverkningsanmälan</t>
        </is>
      </c>
      <c r="C9909" t="inlineStr">
        <is>
          <t>Föryngringsavverkning</t>
        </is>
      </c>
      <c r="D9909" s="1" t="n">
        <v>45252</v>
      </c>
      <c r="E9909" s="1" t="n">
        <v>46326</v>
      </c>
      <c r="F9909" t="inlineStr">
        <is>
          <t>GÄVLEBORGS LÄN</t>
        </is>
      </c>
      <c r="G9909" t="inlineStr">
        <is>
          <t>GÄVLE</t>
        </is>
      </c>
      <c r="I9909" t="n">
        <v>1.8</v>
      </c>
      <c r="J9909" t="n">
        <v>0</v>
      </c>
      <c r="K9909" t="n">
        <v>0</v>
      </c>
      <c r="L9909" t="n">
        <v>0</v>
      </c>
      <c r="M9909" t="n">
        <v>0</v>
      </c>
      <c r="N9909" t="n">
        <v>0</v>
      </c>
      <c r="O9909" t="n">
        <v>0</v>
      </c>
      <c r="P9909" t="n">
        <v>0</v>
      </c>
      <c r="Q9909" t="n">
        <v>0</v>
      </c>
      <c r="R9909" t="n">
        <v>0</v>
      </c>
      <c r="S9909" t="n">
        <v>0</v>
      </c>
      <c r="T9909" t="n">
        <v>0</v>
      </c>
      <c r="U9909" t="n">
        <v>0</v>
      </c>
      <c r="V9909" s="2" t="inlineStr"/>
    </row>
    <row r="9910" ht="15" customHeight="1">
      <c r="A9910" t="inlineStr">
        <is>
          <t>A 60253-2023</t>
        </is>
      </c>
      <c r="B9910" t="inlineStr">
        <is>
          <t>avverkningsanmälan</t>
        </is>
      </c>
      <c r="C9910" t="inlineStr">
        <is>
          <t>Föryngringsavverkning</t>
        </is>
      </c>
      <c r="D9910" s="1" t="n">
        <v>45258</v>
      </c>
      <c r="E9910" s="1" t="n">
        <v>46326</v>
      </c>
      <c r="F9910" t="inlineStr">
        <is>
          <t>GÄVLEBORGS LÄN</t>
        </is>
      </c>
      <c r="G9910" t="inlineStr">
        <is>
          <t>OCKELBO</t>
        </is>
      </c>
      <c r="I9910" t="n">
        <v>1.3</v>
      </c>
      <c r="J9910" t="n">
        <v>0</v>
      </c>
      <c r="K9910" t="n">
        <v>0</v>
      </c>
      <c r="L9910" t="n">
        <v>0</v>
      </c>
      <c r="M9910" t="n">
        <v>0</v>
      </c>
      <c r="N9910" t="n">
        <v>0</v>
      </c>
      <c r="O9910" t="n">
        <v>0</v>
      </c>
      <c r="P9910" t="n">
        <v>0</v>
      </c>
      <c r="Q9910" t="n">
        <v>0</v>
      </c>
      <c r="R9910" t="n">
        <v>0</v>
      </c>
      <c r="S9910" t="n">
        <v>0</v>
      </c>
      <c r="T9910" t="n">
        <v>0</v>
      </c>
      <c r="U9910" t="n">
        <v>0</v>
      </c>
      <c r="V9910" s="2" t="inlineStr"/>
    </row>
    <row r="9911" ht="15" customHeight="1">
      <c r="A9911" t="inlineStr">
        <is>
          <t>A 39920-2026</t>
        </is>
      </c>
      <c r="B9911" t="inlineStr">
        <is>
          <t>avverkningsanmälan</t>
        </is>
      </c>
      <c r="C9911" t="inlineStr">
        <is>
          <t>Föryngringsavverkning</t>
        </is>
      </c>
      <c r="D9911" s="1" t="n">
        <v>46290</v>
      </c>
      <c r="E9911" s="1" t="n">
        <v>46326</v>
      </c>
      <c r="F9911" t="inlineStr">
        <is>
          <t>GÄVLEBORGS LÄN</t>
        </is>
      </c>
      <c r="G9911" t="inlineStr">
        <is>
          <t>OVANÅKER</t>
        </is>
      </c>
      <c r="H9911" t="inlineStr">
        <is>
          <t>Sveaskog</t>
        </is>
      </c>
      <c r="I9911" t="n">
        <v>9.5</v>
      </c>
      <c r="J9911" t="n">
        <v>0</v>
      </c>
      <c r="K9911" t="n">
        <v>0</v>
      </c>
      <c r="L9911" t="n">
        <v>0</v>
      </c>
      <c r="M9911" t="n">
        <v>0</v>
      </c>
      <c r="N9911" t="n">
        <v>0</v>
      </c>
      <c r="O9911" t="n">
        <v>0</v>
      </c>
      <c r="P9911" t="n">
        <v>0</v>
      </c>
      <c r="Q9911" t="n">
        <v>0</v>
      </c>
      <c r="R9911" t="n">
        <v>0</v>
      </c>
      <c r="S9911" t="n">
        <v>0</v>
      </c>
      <c r="T9911" t="n">
        <v>0</v>
      </c>
      <c r="U9911" t="n">
        <v>0</v>
      </c>
      <c r="V9911" s="2" t="inlineStr"/>
    </row>
    <row r="9912" ht="15" customHeight="1">
      <c r="A9912" t="inlineStr">
        <is>
          <t>A 25318-2026</t>
        </is>
      </c>
      <c r="B9912" t="inlineStr">
        <is>
          <t>avverkningsanmälan</t>
        </is>
      </c>
      <c r="C9912" t="inlineStr">
        <is>
          <t>Föryngringsavverkning</t>
        </is>
      </c>
      <c r="D9912" s="1" t="n">
        <v>46176</v>
      </c>
      <c r="E9912" s="1" t="n">
        <v>46326</v>
      </c>
      <c r="F9912" t="inlineStr">
        <is>
          <t>GÄVLEBORGS LÄN</t>
        </is>
      </c>
      <c r="G9912" t="inlineStr">
        <is>
          <t>HUDIKSVALL</t>
        </is>
      </c>
      <c r="I9912" t="n">
        <v>6.7</v>
      </c>
      <c r="J9912" t="n">
        <v>0</v>
      </c>
      <c r="K9912" t="n">
        <v>0</v>
      </c>
      <c r="L9912" t="n">
        <v>0</v>
      </c>
      <c r="M9912" t="n">
        <v>0</v>
      </c>
      <c r="N9912" t="n">
        <v>0</v>
      </c>
      <c r="O9912" t="n">
        <v>0</v>
      </c>
      <c r="P9912" t="n">
        <v>0</v>
      </c>
      <c r="Q9912" t="n">
        <v>0</v>
      </c>
      <c r="R9912" t="n">
        <v>0</v>
      </c>
      <c r="S9912" t="n">
        <v>0</v>
      </c>
      <c r="T9912" t="n">
        <v>0</v>
      </c>
      <c r="U9912" t="n">
        <v>0</v>
      </c>
      <c r="V9912" s="2" t="inlineStr"/>
    </row>
    <row r="9913" ht="15" customHeight="1">
      <c r="A9913" t="inlineStr">
        <is>
          <t>A 18189-2024</t>
        </is>
      </c>
      <c r="B9913" t="inlineStr">
        <is>
          <t>avverkningsanmälan</t>
        </is>
      </c>
      <c r="C9913" t="inlineStr">
        <is>
          <t>Föryngringsavverkning</t>
        </is>
      </c>
      <c r="D9913" s="1" t="n">
        <v>45420</v>
      </c>
      <c r="E9913" s="1" t="n">
        <v>46326</v>
      </c>
      <c r="F9913" t="inlineStr">
        <is>
          <t>GÄVLEBORGS LÄN</t>
        </is>
      </c>
      <c r="G9913" t="inlineStr">
        <is>
          <t>SÖDERHAMN</t>
        </is>
      </c>
      <c r="H9913" t="inlineStr">
        <is>
          <t>Bergvik skog väst AB</t>
        </is>
      </c>
      <c r="I9913" t="n">
        <v>1.1</v>
      </c>
      <c r="J9913" t="n">
        <v>0</v>
      </c>
      <c r="K9913" t="n">
        <v>0</v>
      </c>
      <c r="L9913" t="n">
        <v>0</v>
      </c>
      <c r="M9913" t="n">
        <v>0</v>
      </c>
      <c r="N9913" t="n">
        <v>0</v>
      </c>
      <c r="O9913" t="n">
        <v>0</v>
      </c>
      <c r="P9913" t="n">
        <v>0</v>
      </c>
      <c r="Q9913" t="n">
        <v>0</v>
      </c>
      <c r="R9913" t="n">
        <v>0</v>
      </c>
      <c r="S9913" t="n">
        <v>0</v>
      </c>
      <c r="T9913" t="n">
        <v>0</v>
      </c>
      <c r="U9913" t="n">
        <v>0</v>
      </c>
      <c r="V9913" s="2" t="inlineStr"/>
    </row>
    <row r="9914" ht="15" customHeight="1">
      <c r="A9914" t="inlineStr">
        <is>
          <t>A 22163-2025</t>
        </is>
      </c>
      <c r="B9914" t="inlineStr">
        <is>
          <t>avverkningsanmälan</t>
        </is>
      </c>
      <c r="C9914" t="inlineStr">
        <is>
          <t>Föryngringsavverkning</t>
        </is>
      </c>
      <c r="D9914" s="1" t="n">
        <v>45785</v>
      </c>
      <c r="E9914" s="1" t="n">
        <v>46326</v>
      </c>
      <c r="F9914" t="inlineStr">
        <is>
          <t>GÄVLEBORGS LÄN</t>
        </is>
      </c>
      <c r="G9914" t="inlineStr">
        <is>
          <t>LJUSDAL</t>
        </is>
      </c>
      <c r="I9914" t="n">
        <v>2.6</v>
      </c>
      <c r="J9914" t="n">
        <v>0</v>
      </c>
      <c r="K9914" t="n">
        <v>0</v>
      </c>
      <c r="L9914" t="n">
        <v>0</v>
      </c>
      <c r="M9914" t="n">
        <v>0</v>
      </c>
      <c r="N9914" t="n">
        <v>0</v>
      </c>
      <c r="O9914" t="n">
        <v>0</v>
      </c>
      <c r="P9914" t="n">
        <v>0</v>
      </c>
      <c r="Q9914" t="n">
        <v>0</v>
      </c>
      <c r="R9914" t="n">
        <v>0</v>
      </c>
      <c r="S9914" t="n">
        <v>0</v>
      </c>
      <c r="T9914" t="n">
        <v>0</v>
      </c>
      <c r="U9914" t="n">
        <v>0</v>
      </c>
      <c r="V9914" s="2" t="inlineStr"/>
    </row>
    <row r="9915" ht="15" customHeight="1">
      <c r="A9915" t="inlineStr">
        <is>
          <t>A 69521-2021</t>
        </is>
      </c>
      <c r="B9915" t="inlineStr">
        <is>
          <t>avverkningsanmälan</t>
        </is>
      </c>
      <c r="C9915" t="inlineStr">
        <is>
          <t>Föryngringsavverkning</t>
        </is>
      </c>
      <c r="D9915" s="1" t="n">
        <v>44531</v>
      </c>
      <c r="E9915" s="1" t="n">
        <v>46326</v>
      </c>
      <c r="F9915" t="inlineStr">
        <is>
          <t>GÄVLEBORGS LÄN</t>
        </is>
      </c>
      <c r="G9915" t="inlineStr">
        <is>
          <t>SANDVIKEN</t>
        </is>
      </c>
      <c r="I9915" t="n">
        <v>1.2</v>
      </c>
      <c r="J9915" t="n">
        <v>0</v>
      </c>
      <c r="K9915" t="n">
        <v>0</v>
      </c>
      <c r="L9915" t="n">
        <v>0</v>
      </c>
      <c r="M9915" t="n">
        <v>0</v>
      </c>
      <c r="N9915" t="n">
        <v>0</v>
      </c>
      <c r="O9915" t="n">
        <v>0</v>
      </c>
      <c r="P9915" t="n">
        <v>0</v>
      </c>
      <c r="Q9915" t="n">
        <v>0</v>
      </c>
      <c r="R9915" t="n">
        <v>0</v>
      </c>
      <c r="S9915" t="n">
        <v>0</v>
      </c>
      <c r="T9915" t="n">
        <v>0</v>
      </c>
      <c r="U9915" t="n">
        <v>0</v>
      </c>
      <c r="V9915" s="2" t="inlineStr"/>
    </row>
    <row r="9916" ht="15" customHeight="1">
      <c r="A9916" t="inlineStr">
        <is>
          <t>A 23093-2022</t>
        </is>
      </c>
      <c r="B9916" t="inlineStr">
        <is>
          <t>avverkningsanmälan</t>
        </is>
      </c>
      <c r="C9916" t="inlineStr">
        <is>
          <t>Föryngringsavverkning</t>
        </is>
      </c>
      <c r="D9916" s="1" t="n">
        <v>44719</v>
      </c>
      <c r="E9916" s="1" t="n">
        <v>46326</v>
      </c>
      <c r="F9916" t="inlineStr">
        <is>
          <t>GÄVLEBORGS LÄN</t>
        </is>
      </c>
      <c r="G9916" t="inlineStr">
        <is>
          <t>OVANÅKER</t>
        </is>
      </c>
      <c r="I9916" t="n">
        <v>3</v>
      </c>
      <c r="J9916" t="n">
        <v>0</v>
      </c>
      <c r="K9916" t="n">
        <v>0</v>
      </c>
      <c r="L9916" t="n">
        <v>0</v>
      </c>
      <c r="M9916" t="n">
        <v>0</v>
      </c>
      <c r="N9916" t="n">
        <v>0</v>
      </c>
      <c r="O9916" t="n">
        <v>0</v>
      </c>
      <c r="P9916" t="n">
        <v>0</v>
      </c>
      <c r="Q9916" t="n">
        <v>0</v>
      </c>
      <c r="R9916" t="n">
        <v>0</v>
      </c>
      <c r="S9916" t="n">
        <v>0</v>
      </c>
      <c r="T9916" t="n">
        <v>0</v>
      </c>
      <c r="U9916" t="n">
        <v>0</v>
      </c>
      <c r="V9916" s="2" t="inlineStr"/>
    </row>
    <row r="9917" ht="15" customHeight="1">
      <c r="A9917" t="inlineStr">
        <is>
          <t>A 56019-2023</t>
        </is>
      </c>
      <c r="B9917" t="inlineStr">
        <is>
          <t>avverkningsanmälan</t>
        </is>
      </c>
      <c r="C9917" t="inlineStr">
        <is>
          <t>Föryngringsavverkning</t>
        </is>
      </c>
      <c r="D9917" s="1" t="n">
        <v>45240</v>
      </c>
      <c r="E9917" s="1" t="n">
        <v>46326</v>
      </c>
      <c r="F9917" t="inlineStr">
        <is>
          <t>GÄVLEBORGS LÄN</t>
        </is>
      </c>
      <c r="G9917" t="inlineStr">
        <is>
          <t>SANDVIKEN</t>
        </is>
      </c>
      <c r="I9917" t="n">
        <v>3.3</v>
      </c>
      <c r="J9917" t="n">
        <v>0</v>
      </c>
      <c r="K9917" t="n">
        <v>0</v>
      </c>
      <c r="L9917" t="n">
        <v>0</v>
      </c>
      <c r="M9917" t="n">
        <v>0</v>
      </c>
      <c r="N9917" t="n">
        <v>0</v>
      </c>
      <c r="O9917" t="n">
        <v>0</v>
      </c>
      <c r="P9917" t="n">
        <v>0</v>
      </c>
      <c r="Q9917" t="n">
        <v>0</v>
      </c>
      <c r="R9917" t="n">
        <v>0</v>
      </c>
      <c r="S9917" t="n">
        <v>0</v>
      </c>
      <c r="T9917" t="n">
        <v>0</v>
      </c>
      <c r="U9917" t="n">
        <v>0</v>
      </c>
      <c r="V9917" s="2" t="inlineStr"/>
    </row>
    <row r="9918" ht="15" customHeight="1">
      <c r="A9918" t="inlineStr">
        <is>
          <t>A 22134-2025</t>
        </is>
      </c>
      <c r="B9918" t="inlineStr">
        <is>
          <t>avverkningsanmälan</t>
        </is>
      </c>
      <c r="C9918" t="inlineStr">
        <is>
          <t>Föryngringsavverkning</t>
        </is>
      </c>
      <c r="D9918" s="1" t="n">
        <v>45785</v>
      </c>
      <c r="E9918" s="1" t="n">
        <v>46326</v>
      </c>
      <c r="F9918" t="inlineStr">
        <is>
          <t>GÄVLEBORGS LÄN</t>
        </is>
      </c>
      <c r="G9918" t="inlineStr">
        <is>
          <t>BOLLNÄS</t>
        </is>
      </c>
      <c r="I9918" t="n">
        <v>3.3</v>
      </c>
      <c r="J9918" t="n">
        <v>0</v>
      </c>
      <c r="K9918" t="n">
        <v>0</v>
      </c>
      <c r="L9918" t="n">
        <v>0</v>
      </c>
      <c r="M9918" t="n">
        <v>0</v>
      </c>
      <c r="N9918" t="n">
        <v>0</v>
      </c>
      <c r="O9918" t="n">
        <v>0</v>
      </c>
      <c r="P9918" t="n">
        <v>0</v>
      </c>
      <c r="Q9918" t="n">
        <v>0</v>
      </c>
      <c r="R9918" t="n">
        <v>0</v>
      </c>
      <c r="S9918" t="n">
        <v>0</v>
      </c>
      <c r="T9918" t="n">
        <v>0</v>
      </c>
      <c r="U9918" t="n">
        <v>0</v>
      </c>
      <c r="V9918" s="2" t="inlineStr"/>
    </row>
    <row r="9919" ht="15" customHeight="1">
      <c r="A9919" t="inlineStr">
        <is>
          <t>A 40180-2026</t>
        </is>
      </c>
      <c r="B9919" t="inlineStr">
        <is>
          <t>avverkningsanmälan</t>
        </is>
      </c>
      <c r="C9919" t="inlineStr">
        <is>
          <t>Föryngringsavverkning</t>
        </is>
      </c>
      <c r="D9919" s="1" t="n">
        <v>46293</v>
      </c>
      <c r="E9919" s="1" t="n">
        <v>46326</v>
      </c>
      <c r="F9919" t="inlineStr">
        <is>
          <t>GÄVLEBORGS LÄN</t>
        </is>
      </c>
      <c r="G9919" t="inlineStr">
        <is>
          <t>GÄVLE</t>
        </is>
      </c>
      <c r="H9919" t="inlineStr">
        <is>
          <t>Bergvik skog öst AB</t>
        </is>
      </c>
      <c r="I9919" t="n">
        <v>0.3</v>
      </c>
      <c r="J9919" t="n">
        <v>0</v>
      </c>
      <c r="K9919" t="n">
        <v>0</v>
      </c>
      <c r="L9919" t="n">
        <v>0</v>
      </c>
      <c r="M9919" t="n">
        <v>0</v>
      </c>
      <c r="N9919" t="n">
        <v>0</v>
      </c>
      <c r="O9919" t="n">
        <v>0</v>
      </c>
      <c r="P9919" t="n">
        <v>0</v>
      </c>
      <c r="Q9919" t="n">
        <v>0</v>
      </c>
      <c r="R9919" t="n">
        <v>0</v>
      </c>
      <c r="S9919" t="n">
        <v>0</v>
      </c>
      <c r="T9919" t="n">
        <v>0</v>
      </c>
      <c r="U9919" t="n">
        <v>0</v>
      </c>
      <c r="V9919" s="2" t="inlineStr"/>
    </row>
    <row r="9920" ht="15" customHeight="1">
      <c r="A9920" t="inlineStr">
        <is>
          <t>A 55910-2024</t>
        </is>
      </c>
      <c r="B9920" t="inlineStr">
        <is>
          <t>avverkningsanmälan</t>
        </is>
      </c>
      <c r="C9920" t="inlineStr">
        <is>
          <t>Föryngringsavverkning</t>
        </is>
      </c>
      <c r="D9920" s="1" t="n">
        <v>45623</v>
      </c>
      <c r="E9920" s="1" t="n">
        <v>46326</v>
      </c>
      <c r="F9920" t="inlineStr">
        <is>
          <t>GÄVLEBORGS LÄN</t>
        </is>
      </c>
      <c r="G9920" t="inlineStr">
        <is>
          <t>OVANÅKER</t>
        </is>
      </c>
      <c r="I9920" t="n">
        <v>1.9</v>
      </c>
      <c r="J9920" t="n">
        <v>0</v>
      </c>
      <c r="K9920" t="n">
        <v>0</v>
      </c>
      <c r="L9920" t="n">
        <v>0</v>
      </c>
      <c r="M9920" t="n">
        <v>0</v>
      </c>
      <c r="N9920" t="n">
        <v>0</v>
      </c>
      <c r="O9920" t="n">
        <v>0</v>
      </c>
      <c r="P9920" t="n">
        <v>0</v>
      </c>
      <c r="Q9920" t="n">
        <v>0</v>
      </c>
      <c r="R9920" t="n">
        <v>0</v>
      </c>
      <c r="S9920" t="n">
        <v>0</v>
      </c>
      <c r="T9920" t="n">
        <v>0</v>
      </c>
      <c r="U9920" t="n">
        <v>0</v>
      </c>
      <c r="V9920" s="2" t="inlineStr"/>
    </row>
    <row r="9921" ht="15" customHeight="1">
      <c r="A9921" t="inlineStr">
        <is>
          <t>A 32470-2023</t>
        </is>
      </c>
      <c r="B9921" t="inlineStr">
        <is>
          <t>avverkningsanmälan</t>
        </is>
      </c>
      <c r="C9921" t="inlineStr">
        <is>
          <t>Föryngringsavverkning</t>
        </is>
      </c>
      <c r="D9921" s="1" t="n">
        <v>45120</v>
      </c>
      <c r="E9921" s="1" t="n">
        <v>46326</v>
      </c>
      <c r="F9921" t="inlineStr">
        <is>
          <t>GÄVLEBORGS LÄN</t>
        </is>
      </c>
      <c r="G9921" t="inlineStr">
        <is>
          <t>NORDANSTIG</t>
        </is>
      </c>
      <c r="I9921" t="n">
        <v>1.6</v>
      </c>
      <c r="J9921" t="n">
        <v>0</v>
      </c>
      <c r="K9921" t="n">
        <v>0</v>
      </c>
      <c r="L9921" t="n">
        <v>0</v>
      </c>
      <c r="M9921" t="n">
        <v>0</v>
      </c>
      <c r="N9921" t="n">
        <v>0</v>
      </c>
      <c r="O9921" t="n">
        <v>0</v>
      </c>
      <c r="P9921" t="n">
        <v>0</v>
      </c>
      <c r="Q9921" t="n">
        <v>0</v>
      </c>
      <c r="R9921" t="n">
        <v>0</v>
      </c>
      <c r="S9921" t="n">
        <v>0</v>
      </c>
      <c r="T9921" t="n">
        <v>0</v>
      </c>
      <c r="U9921" t="n">
        <v>0</v>
      </c>
      <c r="V9921" s="2" t="inlineStr"/>
    </row>
    <row r="9922" ht="15" customHeight="1">
      <c r="A9922" t="inlineStr">
        <is>
          <t>A 33383-2026</t>
        </is>
      </c>
      <c r="B9922" t="inlineStr">
        <is>
          <t>avverkningsanmälan</t>
        </is>
      </c>
      <c r="C9922" t="inlineStr">
        <is>
          <t>Föryngringsavverkning</t>
        </is>
      </c>
      <c r="D9922" s="1" t="n">
        <v>46247</v>
      </c>
      <c r="E9922" s="1" t="n">
        <v>46326</v>
      </c>
      <c r="F9922" t="inlineStr">
        <is>
          <t>GÄVLEBORGS LÄN</t>
        </is>
      </c>
      <c r="G9922" t="inlineStr">
        <is>
          <t>SANDVIKEN</t>
        </is>
      </c>
      <c r="H9922" t="inlineStr">
        <is>
          <t>Kommuner</t>
        </is>
      </c>
      <c r="I9922" t="n">
        <v>1.1</v>
      </c>
      <c r="J9922" t="n">
        <v>0</v>
      </c>
      <c r="K9922" t="n">
        <v>0</v>
      </c>
      <c r="L9922" t="n">
        <v>0</v>
      </c>
      <c r="M9922" t="n">
        <v>0</v>
      </c>
      <c r="N9922" t="n">
        <v>0</v>
      </c>
      <c r="O9922" t="n">
        <v>0</v>
      </c>
      <c r="P9922" t="n">
        <v>0</v>
      </c>
      <c r="Q9922" t="n">
        <v>0</v>
      </c>
      <c r="R9922" t="n">
        <v>0</v>
      </c>
      <c r="S9922" t="n">
        <v>0</v>
      </c>
      <c r="T9922" t="n">
        <v>0</v>
      </c>
      <c r="U9922" t="n">
        <v>0</v>
      </c>
      <c r="V9922" s="2" t="inlineStr"/>
    </row>
    <row r="9923" ht="15" customHeight="1">
      <c r="A9923" t="inlineStr">
        <is>
          <t>A 33585-2026</t>
        </is>
      </c>
      <c r="B9923" t="inlineStr">
        <is>
          <t>avverkningsanmälan</t>
        </is>
      </c>
      <c r="C9923" t="inlineStr">
        <is>
          <t>Föryngringsavverkning</t>
        </is>
      </c>
      <c r="D9923" s="1" t="n">
        <v>46248</v>
      </c>
      <c r="E9923" s="1" t="n">
        <v>46326</v>
      </c>
      <c r="F9923" t="inlineStr">
        <is>
          <t>GÄVLEBORGS LÄN</t>
        </is>
      </c>
      <c r="G9923" t="inlineStr">
        <is>
          <t>GÄVLE</t>
        </is>
      </c>
      <c r="H9923" t="inlineStr">
        <is>
          <t>Bergvik skog öst AB</t>
        </is>
      </c>
      <c r="I9923" t="n">
        <v>9.5</v>
      </c>
      <c r="J9923" t="n">
        <v>0</v>
      </c>
      <c r="K9923" t="n">
        <v>0</v>
      </c>
      <c r="L9923" t="n">
        <v>0</v>
      </c>
      <c r="M9923" t="n">
        <v>0</v>
      </c>
      <c r="N9923" t="n">
        <v>0</v>
      </c>
      <c r="O9923" t="n">
        <v>0</v>
      </c>
      <c r="P9923" t="n">
        <v>0</v>
      </c>
      <c r="Q9923" t="n">
        <v>0</v>
      </c>
      <c r="R9923" t="n">
        <v>0</v>
      </c>
      <c r="S9923" t="n">
        <v>0</v>
      </c>
      <c r="T9923" t="n">
        <v>0</v>
      </c>
      <c r="U9923" t="n">
        <v>0</v>
      </c>
      <c r="V9923" s="2" t="inlineStr"/>
    </row>
    <row r="9924" ht="15" customHeight="1">
      <c r="A9924" t="inlineStr">
        <is>
          <t>A 33589-2026</t>
        </is>
      </c>
      <c r="B9924" t="inlineStr">
        <is>
          <t>avverkningsanmälan</t>
        </is>
      </c>
      <c r="C9924" t="inlineStr">
        <is>
          <t>Föryngringsavverkning</t>
        </is>
      </c>
      <c r="D9924" s="1" t="n">
        <v>46248</v>
      </c>
      <c r="E9924" s="1" t="n">
        <v>46326</v>
      </c>
      <c r="F9924" t="inlineStr">
        <is>
          <t>GÄVLEBORGS LÄN</t>
        </is>
      </c>
      <c r="G9924" t="inlineStr">
        <is>
          <t>BOLLNÄS</t>
        </is>
      </c>
      <c r="I9924" t="n">
        <v>2.5</v>
      </c>
      <c r="J9924" t="n">
        <v>0</v>
      </c>
      <c r="K9924" t="n">
        <v>0</v>
      </c>
      <c r="L9924" t="n">
        <v>0</v>
      </c>
      <c r="M9924" t="n">
        <v>0</v>
      </c>
      <c r="N9924" t="n">
        <v>0</v>
      </c>
      <c r="O9924" t="n">
        <v>0</v>
      </c>
      <c r="P9924" t="n">
        <v>0</v>
      </c>
      <c r="Q9924" t="n">
        <v>0</v>
      </c>
      <c r="R9924" t="n">
        <v>0</v>
      </c>
      <c r="S9924" t="n">
        <v>0</v>
      </c>
      <c r="T9924" t="n">
        <v>0</v>
      </c>
      <c r="U9924" t="n">
        <v>0</v>
      </c>
      <c r="V9924" s="2" t="inlineStr"/>
    </row>
    <row r="9925" ht="15" customHeight="1">
      <c r="A9925" t="inlineStr">
        <is>
          <t>A 20897-2024</t>
        </is>
      </c>
      <c r="B9925" t="inlineStr">
        <is>
          <t>avverkningsanmälan</t>
        </is>
      </c>
      <c r="C9925" t="inlineStr">
        <is>
          <t>Föryngringsavverkning</t>
        </is>
      </c>
      <c r="D9925" s="1" t="n">
        <v>45439</v>
      </c>
      <c r="E9925" s="1" t="n">
        <v>46326</v>
      </c>
      <c r="F9925" t="inlineStr">
        <is>
          <t>GÄVLEBORGS LÄN</t>
        </is>
      </c>
      <c r="G9925" t="inlineStr">
        <is>
          <t>LJUSDAL</t>
        </is>
      </c>
      <c r="I9925" t="n">
        <v>4.6</v>
      </c>
      <c r="J9925" t="n">
        <v>0</v>
      </c>
      <c r="K9925" t="n">
        <v>0</v>
      </c>
      <c r="L9925" t="n">
        <v>0</v>
      </c>
      <c r="M9925" t="n">
        <v>0</v>
      </c>
      <c r="N9925" t="n">
        <v>0</v>
      </c>
      <c r="O9925" t="n">
        <v>0</v>
      </c>
      <c r="P9925" t="n">
        <v>0</v>
      </c>
      <c r="Q9925" t="n">
        <v>0</v>
      </c>
      <c r="R9925" t="n">
        <v>0</v>
      </c>
      <c r="S9925" t="n">
        <v>0</v>
      </c>
      <c r="T9925" t="n">
        <v>0</v>
      </c>
      <c r="U9925" t="n">
        <v>0</v>
      </c>
      <c r="V9925" s="2" t="inlineStr"/>
    </row>
    <row r="9926" ht="15" customHeight="1">
      <c r="A9926" t="inlineStr">
        <is>
          <t>A 21957-2025</t>
        </is>
      </c>
      <c r="B9926" t="inlineStr">
        <is>
          <t>avverkningsanmälan</t>
        </is>
      </c>
      <c r="C9926" t="inlineStr">
        <is>
          <t>Föryngringsavverkning</t>
        </is>
      </c>
      <c r="D9926" s="1" t="n">
        <v>45784</v>
      </c>
      <c r="E9926" s="1" t="n">
        <v>46326</v>
      </c>
      <c r="F9926" t="inlineStr">
        <is>
          <t>GÄVLEBORGS LÄN</t>
        </is>
      </c>
      <c r="G9926" t="inlineStr">
        <is>
          <t>LJUSDAL</t>
        </is>
      </c>
      <c r="I9926" t="n">
        <v>5.5</v>
      </c>
      <c r="J9926" t="n">
        <v>0</v>
      </c>
      <c r="K9926" t="n">
        <v>0</v>
      </c>
      <c r="L9926" t="n">
        <v>0</v>
      </c>
      <c r="M9926" t="n">
        <v>0</v>
      </c>
      <c r="N9926" t="n">
        <v>0</v>
      </c>
      <c r="O9926" t="n">
        <v>0</v>
      </c>
      <c r="P9926" t="n">
        <v>0</v>
      </c>
      <c r="Q9926" t="n">
        <v>0</v>
      </c>
      <c r="R9926" t="n">
        <v>0</v>
      </c>
      <c r="S9926" t="n">
        <v>0</v>
      </c>
      <c r="T9926" t="n">
        <v>0</v>
      </c>
      <c r="U9926" t="n">
        <v>0</v>
      </c>
      <c r="V9926" s="2" t="inlineStr"/>
    </row>
    <row r="9927" ht="15" customHeight="1">
      <c r="A9927" t="inlineStr">
        <is>
          <t>A 42950-2023</t>
        </is>
      </c>
      <c r="B9927" t="inlineStr">
        <is>
          <t>avverkningsanmälan</t>
        </is>
      </c>
      <c r="C9927" t="inlineStr">
        <is>
          <t>Föryngringsavverkning</t>
        </is>
      </c>
      <c r="D9927" s="1" t="n">
        <v>45178</v>
      </c>
      <c r="E9927" s="1" t="n">
        <v>46326</v>
      </c>
      <c r="F9927" t="inlineStr">
        <is>
          <t>GÄVLEBORGS LÄN</t>
        </is>
      </c>
      <c r="G9927" t="inlineStr">
        <is>
          <t>SANDVIKEN</t>
        </is>
      </c>
      <c r="H9927" t="inlineStr">
        <is>
          <t>Bergvik skog väst AB</t>
        </is>
      </c>
      <c r="I9927" t="n">
        <v>16.5</v>
      </c>
      <c r="J9927" t="n">
        <v>0</v>
      </c>
      <c r="K9927" t="n">
        <v>0</v>
      </c>
      <c r="L9927" t="n">
        <v>0</v>
      </c>
      <c r="M9927" t="n">
        <v>0</v>
      </c>
      <c r="N9927" t="n">
        <v>0</v>
      </c>
      <c r="O9927" t="n">
        <v>0</v>
      </c>
      <c r="P9927" t="n">
        <v>0</v>
      </c>
      <c r="Q9927" t="n">
        <v>0</v>
      </c>
      <c r="R9927" t="n">
        <v>0</v>
      </c>
      <c r="S9927" t="n">
        <v>0</v>
      </c>
      <c r="T9927" t="n">
        <v>0</v>
      </c>
      <c r="U9927" t="n">
        <v>0</v>
      </c>
      <c r="V9927" s="2" t="inlineStr"/>
    </row>
    <row r="9928" ht="15" customHeight="1">
      <c r="A9928" t="inlineStr">
        <is>
          <t>A 39851-2026</t>
        </is>
      </c>
      <c r="B9928" t="inlineStr">
        <is>
          <t>avverkningsanmälan</t>
        </is>
      </c>
      <c r="C9928" t="inlineStr">
        <is>
          <t>Föryngringsavverkning</t>
        </is>
      </c>
      <c r="D9928" s="1" t="n">
        <v>46290</v>
      </c>
      <c r="E9928" s="1" t="n">
        <v>46326</v>
      </c>
      <c r="F9928" t="inlineStr">
        <is>
          <t>GÄVLEBORGS LÄN</t>
        </is>
      </c>
      <c r="G9928" t="inlineStr">
        <is>
          <t>BOLLNÄS</t>
        </is>
      </c>
      <c r="H9928" t="inlineStr">
        <is>
          <t>Sveaskog</t>
        </is>
      </c>
      <c r="I9928" t="n">
        <v>4.5</v>
      </c>
      <c r="J9928" t="n">
        <v>0</v>
      </c>
      <c r="K9928" t="n">
        <v>0</v>
      </c>
      <c r="L9928" t="n">
        <v>0</v>
      </c>
      <c r="M9928" t="n">
        <v>0</v>
      </c>
      <c r="N9928" t="n">
        <v>0</v>
      </c>
      <c r="O9928" t="n">
        <v>0</v>
      </c>
      <c r="P9928" t="n">
        <v>0</v>
      </c>
      <c r="Q9928" t="n">
        <v>0</v>
      </c>
      <c r="R9928" t="n">
        <v>0</v>
      </c>
      <c r="S9928" t="n">
        <v>0</v>
      </c>
      <c r="T9928" t="n">
        <v>0</v>
      </c>
      <c r="U9928" t="n">
        <v>0</v>
      </c>
      <c r="V9928" s="2" t="inlineStr"/>
    </row>
    <row r="9929" ht="15" customHeight="1">
      <c r="A9929" t="inlineStr">
        <is>
          <t>A 35789-2024</t>
        </is>
      </c>
      <c r="B9929" t="inlineStr">
        <is>
          <t>avverkningsanmälan</t>
        </is>
      </c>
      <c r="C9929" t="inlineStr">
        <is>
          <t>Föryngringsavverkning</t>
        </is>
      </c>
      <c r="D9929" s="1" t="n">
        <v>45532</v>
      </c>
      <c r="E9929" s="1" t="n">
        <v>46326</v>
      </c>
      <c r="F9929" t="inlineStr">
        <is>
          <t>GÄVLEBORGS LÄN</t>
        </is>
      </c>
      <c r="G9929" t="inlineStr">
        <is>
          <t>LJUSDAL</t>
        </is>
      </c>
      <c r="I9929" t="n">
        <v>1.1</v>
      </c>
      <c r="J9929" t="n">
        <v>0</v>
      </c>
      <c r="K9929" t="n">
        <v>0</v>
      </c>
      <c r="L9929" t="n">
        <v>0</v>
      </c>
      <c r="M9929" t="n">
        <v>0</v>
      </c>
      <c r="N9929" t="n">
        <v>0</v>
      </c>
      <c r="O9929" t="n">
        <v>0</v>
      </c>
      <c r="P9929" t="n">
        <v>0</v>
      </c>
      <c r="Q9929" t="n">
        <v>0</v>
      </c>
      <c r="R9929" t="n">
        <v>0</v>
      </c>
      <c r="S9929" t="n">
        <v>0</v>
      </c>
      <c r="T9929" t="n">
        <v>0</v>
      </c>
      <c r="U9929" t="n">
        <v>0</v>
      </c>
      <c r="V9929" s="2" t="inlineStr"/>
    </row>
    <row r="9930" ht="15" customHeight="1">
      <c r="A9930" t="inlineStr">
        <is>
          <t>A 33947-2024</t>
        </is>
      </c>
      <c r="B9930" t="inlineStr">
        <is>
          <t>avverkningsanmälan</t>
        </is>
      </c>
      <c r="C9930" t="inlineStr">
        <is>
          <t>Föryngringsavverkning</t>
        </is>
      </c>
      <c r="D9930" s="1" t="n">
        <v>45523</v>
      </c>
      <c r="E9930" s="1" t="n">
        <v>46326</v>
      </c>
      <c r="F9930" t="inlineStr">
        <is>
          <t>GÄVLEBORGS LÄN</t>
        </is>
      </c>
      <c r="G9930" t="inlineStr">
        <is>
          <t>LJUSDAL</t>
        </is>
      </c>
      <c r="I9930" t="n">
        <v>2.8</v>
      </c>
      <c r="J9930" t="n">
        <v>0</v>
      </c>
      <c r="K9930" t="n">
        <v>0</v>
      </c>
      <c r="L9930" t="n">
        <v>0</v>
      </c>
      <c r="M9930" t="n">
        <v>0</v>
      </c>
      <c r="N9930" t="n">
        <v>0</v>
      </c>
      <c r="O9930" t="n">
        <v>0</v>
      </c>
      <c r="P9930" t="n">
        <v>0</v>
      </c>
      <c r="Q9930" t="n">
        <v>0</v>
      </c>
      <c r="R9930" t="n">
        <v>0</v>
      </c>
      <c r="S9930" t="n">
        <v>0</v>
      </c>
      <c r="T9930" t="n">
        <v>0</v>
      </c>
      <c r="U9930" t="n">
        <v>0</v>
      </c>
      <c r="V9930" s="2" t="inlineStr"/>
    </row>
    <row r="9931" ht="15" customHeight="1">
      <c r="A9931" t="inlineStr">
        <is>
          <t>A 41670-2024</t>
        </is>
      </c>
      <c r="B9931" t="inlineStr">
        <is>
          <t>avverkningsanmälan</t>
        </is>
      </c>
      <c r="C9931" t="inlineStr">
        <is>
          <t>Föryngringsavverkning</t>
        </is>
      </c>
      <c r="D9931" s="1" t="n">
        <v>45560</v>
      </c>
      <c r="E9931" s="1" t="n">
        <v>46326</v>
      </c>
      <c r="F9931" t="inlineStr">
        <is>
          <t>GÄVLEBORGS LÄN</t>
        </is>
      </c>
      <c r="G9931" t="inlineStr">
        <is>
          <t>BOLLNÄS</t>
        </is>
      </c>
      <c r="I9931" t="n">
        <v>11.5</v>
      </c>
      <c r="J9931" t="n">
        <v>0</v>
      </c>
      <c r="K9931" t="n">
        <v>0</v>
      </c>
      <c r="L9931" t="n">
        <v>0</v>
      </c>
      <c r="M9931" t="n">
        <v>0</v>
      </c>
      <c r="N9931" t="n">
        <v>0</v>
      </c>
      <c r="O9931" t="n">
        <v>0</v>
      </c>
      <c r="P9931" t="n">
        <v>0</v>
      </c>
      <c r="Q9931" t="n">
        <v>0</v>
      </c>
      <c r="R9931" t="n">
        <v>0</v>
      </c>
      <c r="S9931" t="n">
        <v>0</v>
      </c>
      <c r="T9931" t="n">
        <v>0</v>
      </c>
      <c r="U9931" t="n">
        <v>0</v>
      </c>
      <c r="V9931" s="2" t="inlineStr"/>
    </row>
    <row r="9932" ht="15" customHeight="1">
      <c r="A9932" t="inlineStr">
        <is>
          <t>A 5554-2024</t>
        </is>
      </c>
      <c r="B9932" t="inlineStr">
        <is>
          <t>avverkningsanmälan</t>
        </is>
      </c>
      <c r="C9932" t="inlineStr">
        <is>
          <t>Föryngringsavverkning</t>
        </is>
      </c>
      <c r="D9932" s="1" t="n">
        <v>45334</v>
      </c>
      <c r="E9932" s="1" t="n">
        <v>46326</v>
      </c>
      <c r="F9932" t="inlineStr">
        <is>
          <t>GÄVLEBORGS LÄN</t>
        </is>
      </c>
      <c r="G9932" t="inlineStr">
        <is>
          <t>HOFORS</t>
        </is>
      </c>
      <c r="I9932" t="n">
        <v>1</v>
      </c>
      <c r="J9932" t="n">
        <v>0</v>
      </c>
      <c r="K9932" t="n">
        <v>0</v>
      </c>
      <c r="L9932" t="n">
        <v>0</v>
      </c>
      <c r="M9932" t="n">
        <v>0</v>
      </c>
      <c r="N9932" t="n">
        <v>0</v>
      </c>
      <c r="O9932" t="n">
        <v>0</v>
      </c>
      <c r="P9932" t="n">
        <v>0</v>
      </c>
      <c r="Q9932" t="n">
        <v>0</v>
      </c>
      <c r="R9932" t="n">
        <v>0</v>
      </c>
      <c r="S9932" t="n">
        <v>0</v>
      </c>
      <c r="T9932" t="n">
        <v>0</v>
      </c>
      <c r="U9932" t="n">
        <v>0</v>
      </c>
      <c r="V9932" s="2" t="inlineStr"/>
    </row>
    <row r="9933" ht="15" customHeight="1">
      <c r="A9933" t="inlineStr">
        <is>
          <t>A 22622-2025</t>
        </is>
      </c>
      <c r="B9933" t="inlineStr">
        <is>
          <t>avverkningsanmälan</t>
        </is>
      </c>
      <c r="C9933" t="inlineStr">
        <is>
          <t>Föryngringsavverkning</t>
        </is>
      </c>
      <c r="D9933" s="1" t="n">
        <v>45789</v>
      </c>
      <c r="E9933" s="1" t="n">
        <v>46326</v>
      </c>
      <c r="F9933" t="inlineStr">
        <is>
          <t>GÄVLEBORGS LÄN</t>
        </is>
      </c>
      <c r="G9933" t="inlineStr">
        <is>
          <t>BOLLNÄS</t>
        </is>
      </c>
      <c r="I9933" t="n">
        <v>1</v>
      </c>
      <c r="J9933" t="n">
        <v>0</v>
      </c>
      <c r="K9933" t="n">
        <v>0</v>
      </c>
      <c r="L9933" t="n">
        <v>0</v>
      </c>
      <c r="M9933" t="n">
        <v>0</v>
      </c>
      <c r="N9933" t="n">
        <v>0</v>
      </c>
      <c r="O9933" t="n">
        <v>0</v>
      </c>
      <c r="P9933" t="n">
        <v>0</v>
      </c>
      <c r="Q9933" t="n">
        <v>0</v>
      </c>
      <c r="R9933" t="n">
        <v>0</v>
      </c>
      <c r="S9933" t="n">
        <v>0</v>
      </c>
      <c r="T9933" t="n">
        <v>0</v>
      </c>
      <c r="U9933" t="n">
        <v>0</v>
      </c>
      <c r="V9933" s="2" t="inlineStr"/>
    </row>
    <row r="9934" ht="15" customHeight="1">
      <c r="A9934" t="inlineStr">
        <is>
          <t>A 39999-2026</t>
        </is>
      </c>
      <c r="B9934" t="inlineStr">
        <is>
          <t>avverkningsanmälan</t>
        </is>
      </c>
      <c r="C9934" t="inlineStr">
        <is>
          <t>Föryngringsavverkning</t>
        </is>
      </c>
      <c r="D9934" s="1" t="n">
        <v>46293</v>
      </c>
      <c r="E9934" s="1" t="n">
        <v>46326</v>
      </c>
      <c r="F9934" t="inlineStr">
        <is>
          <t>GÄVLEBORGS LÄN</t>
        </is>
      </c>
      <c r="G9934" t="inlineStr">
        <is>
          <t>LJUSDAL</t>
        </is>
      </c>
      <c r="H9934" t="inlineStr">
        <is>
          <t>Allmännings- och besparingsskogar</t>
        </is>
      </c>
      <c r="I9934" t="n">
        <v>4.6</v>
      </c>
      <c r="J9934" t="n">
        <v>0</v>
      </c>
      <c r="K9934" t="n">
        <v>0</v>
      </c>
      <c r="L9934" t="n">
        <v>0</v>
      </c>
      <c r="M9934" t="n">
        <v>0</v>
      </c>
      <c r="N9934" t="n">
        <v>0</v>
      </c>
      <c r="O9934" t="n">
        <v>0</v>
      </c>
      <c r="P9934" t="n">
        <v>0</v>
      </c>
      <c r="Q9934" t="n">
        <v>0</v>
      </c>
      <c r="R9934" t="n">
        <v>0</v>
      </c>
      <c r="S9934" t="n">
        <v>0</v>
      </c>
      <c r="T9934" t="n">
        <v>0</v>
      </c>
      <c r="U9934" t="n">
        <v>0</v>
      </c>
      <c r="V9934" s="2" t="inlineStr"/>
    </row>
    <row r="9935" ht="15" customHeight="1">
      <c r="A9935" t="inlineStr">
        <is>
          <t>A 22454-2025</t>
        </is>
      </c>
      <c r="B9935" t="inlineStr">
        <is>
          <t>avverkningsanmälan</t>
        </is>
      </c>
      <c r="C9935" t="inlineStr">
        <is>
          <t>Föryngringsavverkning</t>
        </is>
      </c>
      <c r="D9935" s="1" t="n">
        <v>45786</v>
      </c>
      <c r="E9935" s="1" t="n">
        <v>46326</v>
      </c>
      <c r="F9935" t="inlineStr">
        <is>
          <t>GÄVLEBORGS LÄN</t>
        </is>
      </c>
      <c r="G9935" t="inlineStr">
        <is>
          <t>HUDIKSVALL</t>
        </is>
      </c>
      <c r="H9935" t="inlineStr">
        <is>
          <t>Holmen skog AB</t>
        </is>
      </c>
      <c r="I9935" t="n">
        <v>5.3</v>
      </c>
      <c r="J9935" t="n">
        <v>0</v>
      </c>
      <c r="K9935" t="n">
        <v>0</v>
      </c>
      <c r="L9935" t="n">
        <v>0</v>
      </c>
      <c r="M9935" t="n">
        <v>0</v>
      </c>
      <c r="N9935" t="n">
        <v>0</v>
      </c>
      <c r="O9935" t="n">
        <v>0</v>
      </c>
      <c r="P9935" t="n">
        <v>0</v>
      </c>
      <c r="Q9935" t="n">
        <v>0</v>
      </c>
      <c r="R9935" t="n">
        <v>0</v>
      </c>
      <c r="S9935" t="n">
        <v>0</v>
      </c>
      <c r="T9935" t="n">
        <v>0</v>
      </c>
      <c r="U9935" t="n">
        <v>0</v>
      </c>
      <c r="V9935" s="2" t="inlineStr"/>
    </row>
    <row r="9936" ht="15" customHeight="1">
      <c r="A9936" t="inlineStr">
        <is>
          <t>A 38146-2023</t>
        </is>
      </c>
      <c r="B9936" t="inlineStr">
        <is>
          <t>avverkningsanmälan</t>
        </is>
      </c>
      <c r="C9936" t="inlineStr">
        <is>
          <t>Föryngringsavverkning</t>
        </is>
      </c>
      <c r="D9936" s="1" t="n">
        <v>45161</v>
      </c>
      <c r="E9936" s="1" t="n">
        <v>46326</v>
      </c>
      <c r="F9936" t="inlineStr">
        <is>
          <t>GÄVLEBORGS LÄN</t>
        </is>
      </c>
      <c r="G9936" t="inlineStr">
        <is>
          <t>BOLLNÄS</t>
        </is>
      </c>
      <c r="H9936" t="inlineStr">
        <is>
          <t>Bergvik skog väst AB</t>
        </is>
      </c>
      <c r="I9936" t="n">
        <v>2.6</v>
      </c>
      <c r="J9936" t="n">
        <v>0</v>
      </c>
      <c r="K9936" t="n">
        <v>0</v>
      </c>
      <c r="L9936" t="n">
        <v>0</v>
      </c>
      <c r="M9936" t="n">
        <v>0</v>
      </c>
      <c r="N9936" t="n">
        <v>0</v>
      </c>
      <c r="O9936" t="n">
        <v>0</v>
      </c>
      <c r="P9936" t="n">
        <v>0</v>
      </c>
      <c r="Q9936" t="n">
        <v>0</v>
      </c>
      <c r="R9936" t="n">
        <v>0</v>
      </c>
      <c r="S9936" t="n">
        <v>0</v>
      </c>
      <c r="T9936" t="n">
        <v>0</v>
      </c>
      <c r="U9936" t="n">
        <v>0</v>
      </c>
      <c r="V9936" s="2" t="inlineStr"/>
    </row>
    <row r="9937" ht="15" customHeight="1">
      <c r="A9937" t="inlineStr">
        <is>
          <t>A 39729-2026</t>
        </is>
      </c>
      <c r="B9937" t="inlineStr">
        <is>
          <t>avverkningsanmälan</t>
        </is>
      </c>
      <c r="C9937" t="inlineStr">
        <is>
          <t>Föryngringsavverkning</t>
        </is>
      </c>
      <c r="D9937" s="1" t="n">
        <v>46290</v>
      </c>
      <c r="E9937" s="1" t="n">
        <v>46326</v>
      </c>
      <c r="F9937" t="inlineStr">
        <is>
          <t>GÄVLEBORGS LÄN</t>
        </is>
      </c>
      <c r="G9937" t="inlineStr">
        <is>
          <t>GÄVLE</t>
        </is>
      </c>
      <c r="H9937" t="inlineStr">
        <is>
          <t>Bergvik skog öst AB</t>
        </is>
      </c>
      <c r="I9937" t="n">
        <v>20.9</v>
      </c>
      <c r="J9937" t="n">
        <v>0</v>
      </c>
      <c r="K9937" t="n">
        <v>0</v>
      </c>
      <c r="L9937" t="n">
        <v>0</v>
      </c>
      <c r="M9937" t="n">
        <v>0</v>
      </c>
      <c r="N9937" t="n">
        <v>0</v>
      </c>
      <c r="O9937" t="n">
        <v>0</v>
      </c>
      <c r="P9937" t="n">
        <v>0</v>
      </c>
      <c r="Q9937" t="n">
        <v>0</v>
      </c>
      <c r="R9937" t="n">
        <v>0</v>
      </c>
      <c r="S9937" t="n">
        <v>0</v>
      </c>
      <c r="T9937" t="n">
        <v>0</v>
      </c>
      <c r="U9937" t="n">
        <v>0</v>
      </c>
      <c r="V9937" s="2" t="inlineStr"/>
    </row>
    <row r="9938" ht="15" customHeight="1">
      <c r="A9938" t="inlineStr">
        <is>
          <t>A 22312-2025</t>
        </is>
      </c>
      <c r="B9938" t="inlineStr">
        <is>
          <t>avverkningsanmälan</t>
        </is>
      </c>
      <c r="C9938" t="inlineStr">
        <is>
          <t>Föryngringsavverkning</t>
        </is>
      </c>
      <c r="D9938" s="1" t="n">
        <v>45786</v>
      </c>
      <c r="E9938" s="1" t="n">
        <v>46326</v>
      </c>
      <c r="F9938" t="inlineStr">
        <is>
          <t>GÄVLEBORGS LÄN</t>
        </is>
      </c>
      <c r="G9938" t="inlineStr">
        <is>
          <t>OVANÅKER</t>
        </is>
      </c>
      <c r="I9938" t="n">
        <v>1</v>
      </c>
      <c r="J9938" t="n">
        <v>0</v>
      </c>
      <c r="K9938" t="n">
        <v>0</v>
      </c>
      <c r="L9938" t="n">
        <v>0</v>
      </c>
      <c r="M9938" t="n">
        <v>0</v>
      </c>
      <c r="N9938" t="n">
        <v>0</v>
      </c>
      <c r="O9938" t="n">
        <v>0</v>
      </c>
      <c r="P9938" t="n">
        <v>0</v>
      </c>
      <c r="Q9938" t="n">
        <v>0</v>
      </c>
      <c r="R9938" t="n">
        <v>0</v>
      </c>
      <c r="S9938" t="n">
        <v>0</v>
      </c>
      <c r="T9938" t="n">
        <v>0</v>
      </c>
      <c r="U9938" t="n">
        <v>0</v>
      </c>
      <c r="V9938" s="2" t="inlineStr"/>
    </row>
    <row r="9939" ht="15" customHeight="1">
      <c r="A9939" t="inlineStr">
        <is>
          <t>A 39766-2026</t>
        </is>
      </c>
      <c r="B9939" t="inlineStr">
        <is>
          <t>avverkningsanmälan</t>
        </is>
      </c>
      <c r="C9939" t="inlineStr">
        <is>
          <t>Föryngringsavverkning</t>
        </is>
      </c>
      <c r="D9939" s="1" t="n">
        <v>46290</v>
      </c>
      <c r="E9939" s="1" t="n">
        <v>46326</v>
      </c>
      <c r="F9939" t="inlineStr">
        <is>
          <t>GÄVLEBORGS LÄN</t>
        </is>
      </c>
      <c r="G9939" t="inlineStr">
        <is>
          <t>GÄVLE</t>
        </is>
      </c>
      <c r="H9939" t="inlineStr">
        <is>
          <t>Bergvik skog väst AB</t>
        </is>
      </c>
      <c r="I9939" t="n">
        <v>0.4</v>
      </c>
      <c r="J9939" t="n">
        <v>0</v>
      </c>
      <c r="K9939" t="n">
        <v>0</v>
      </c>
      <c r="L9939" t="n">
        <v>0</v>
      </c>
      <c r="M9939" t="n">
        <v>0</v>
      </c>
      <c r="N9939" t="n">
        <v>0</v>
      </c>
      <c r="O9939" t="n">
        <v>0</v>
      </c>
      <c r="P9939" t="n">
        <v>0</v>
      </c>
      <c r="Q9939" t="n">
        <v>0</v>
      </c>
      <c r="R9939" t="n">
        <v>0</v>
      </c>
      <c r="S9939" t="n">
        <v>0</v>
      </c>
      <c r="T9939" t="n">
        <v>0</v>
      </c>
      <c r="U9939" t="n">
        <v>0</v>
      </c>
      <c r="V9939" s="2" t="inlineStr"/>
    </row>
    <row r="9940" ht="15" customHeight="1">
      <c r="A9940" t="inlineStr">
        <is>
          <t>A 40183-2026</t>
        </is>
      </c>
      <c r="B9940" t="inlineStr">
        <is>
          <t>avverkningsanmälan</t>
        </is>
      </c>
      <c r="C9940" t="inlineStr">
        <is>
          <t>Föryngringsavverkning</t>
        </is>
      </c>
      <c r="D9940" s="1" t="n">
        <v>46293</v>
      </c>
      <c r="E9940" s="1" t="n">
        <v>46326</v>
      </c>
      <c r="F9940" t="inlineStr">
        <is>
          <t>GÄVLEBORGS LÄN</t>
        </is>
      </c>
      <c r="G9940" t="inlineStr">
        <is>
          <t>SÖDERHAMN</t>
        </is>
      </c>
      <c r="H9940" t="inlineStr">
        <is>
          <t>Bergvik skog väst AB</t>
        </is>
      </c>
      <c r="I9940" t="n">
        <v>0.8</v>
      </c>
      <c r="J9940" t="n">
        <v>0</v>
      </c>
      <c r="K9940" t="n">
        <v>0</v>
      </c>
      <c r="L9940" t="n">
        <v>0</v>
      </c>
      <c r="M9940" t="n">
        <v>0</v>
      </c>
      <c r="N9940" t="n">
        <v>0</v>
      </c>
      <c r="O9940" t="n">
        <v>0</v>
      </c>
      <c r="P9940" t="n">
        <v>0</v>
      </c>
      <c r="Q9940" t="n">
        <v>0</v>
      </c>
      <c r="R9940" t="n">
        <v>0</v>
      </c>
      <c r="S9940" t="n">
        <v>0</v>
      </c>
      <c r="T9940" t="n">
        <v>0</v>
      </c>
      <c r="U9940" t="n">
        <v>0</v>
      </c>
      <c r="V9940" s="2" t="inlineStr"/>
    </row>
    <row r="9941" ht="15" customHeight="1">
      <c r="A9941" t="inlineStr">
        <is>
          <t>A 40187-2026</t>
        </is>
      </c>
      <c r="B9941" t="inlineStr">
        <is>
          <t>avverkningsanmälan</t>
        </is>
      </c>
      <c r="C9941" t="inlineStr">
        <is>
          <t>Föryngringsavverkning</t>
        </is>
      </c>
      <c r="D9941" s="1" t="n">
        <v>46293</v>
      </c>
      <c r="E9941" s="1" t="n">
        <v>46326</v>
      </c>
      <c r="F9941" t="inlineStr">
        <is>
          <t>GÄVLEBORGS LÄN</t>
        </is>
      </c>
      <c r="G9941" t="inlineStr">
        <is>
          <t>SÖDERHAMN</t>
        </is>
      </c>
      <c r="H9941" t="inlineStr">
        <is>
          <t>Bergvik skog väst AB</t>
        </is>
      </c>
      <c r="I9941" t="n">
        <v>2.8</v>
      </c>
      <c r="J9941" t="n">
        <v>0</v>
      </c>
      <c r="K9941" t="n">
        <v>0</v>
      </c>
      <c r="L9941" t="n">
        <v>0</v>
      </c>
      <c r="M9941" t="n">
        <v>0</v>
      </c>
      <c r="N9941" t="n">
        <v>0</v>
      </c>
      <c r="O9941" t="n">
        <v>0</v>
      </c>
      <c r="P9941" t="n">
        <v>0</v>
      </c>
      <c r="Q9941" t="n">
        <v>0</v>
      </c>
      <c r="R9941" t="n">
        <v>0</v>
      </c>
      <c r="S9941" t="n">
        <v>0</v>
      </c>
      <c r="T9941" t="n">
        <v>0</v>
      </c>
      <c r="U9941" t="n">
        <v>0</v>
      </c>
      <c r="V9941" s="2" t="inlineStr"/>
    </row>
    <row r="9942" ht="15" customHeight="1">
      <c r="A9942" t="inlineStr">
        <is>
          <t>A 22385-2025</t>
        </is>
      </c>
      <c r="B9942" t="inlineStr">
        <is>
          <t>avverkningsanmälan</t>
        </is>
      </c>
      <c r="C9942" t="inlineStr">
        <is>
          <t>Föryngringsavverkning</t>
        </is>
      </c>
      <c r="D9942" s="1" t="n">
        <v>45786</v>
      </c>
      <c r="E9942" s="1" t="n">
        <v>46326</v>
      </c>
      <c r="F9942" t="inlineStr">
        <is>
          <t>GÄVLEBORGS LÄN</t>
        </is>
      </c>
      <c r="G9942" t="inlineStr">
        <is>
          <t>OCKELBO</t>
        </is>
      </c>
      <c r="H9942" t="inlineStr">
        <is>
          <t>Bergvik skog väst AB</t>
        </is>
      </c>
      <c r="I9942" t="n">
        <v>1.2</v>
      </c>
      <c r="J9942" t="n">
        <v>0</v>
      </c>
      <c r="K9942" t="n">
        <v>0</v>
      </c>
      <c r="L9942" t="n">
        <v>0</v>
      </c>
      <c r="M9942" t="n">
        <v>0</v>
      </c>
      <c r="N9942" t="n">
        <v>0</v>
      </c>
      <c r="O9942" t="n">
        <v>0</v>
      </c>
      <c r="P9942" t="n">
        <v>0</v>
      </c>
      <c r="Q9942" t="n">
        <v>0</v>
      </c>
      <c r="R9942" t="n">
        <v>0</v>
      </c>
      <c r="S9942" t="n">
        <v>0</v>
      </c>
      <c r="T9942" t="n">
        <v>0</v>
      </c>
      <c r="U9942" t="n">
        <v>0</v>
      </c>
      <c r="V9942" s="2" t="inlineStr"/>
    </row>
    <row r="9943" ht="15" customHeight="1">
      <c r="A9943" t="inlineStr">
        <is>
          <t>A 22387-2025</t>
        </is>
      </c>
      <c r="B9943" t="inlineStr">
        <is>
          <t>avverkningsanmälan</t>
        </is>
      </c>
      <c r="C9943" t="inlineStr">
        <is>
          <t>Föryngringsavverkning</t>
        </is>
      </c>
      <c r="D9943" s="1" t="n">
        <v>45786</v>
      </c>
      <c r="E9943" s="1" t="n">
        <v>46326</v>
      </c>
      <c r="F9943" t="inlineStr">
        <is>
          <t>GÄVLEBORGS LÄN</t>
        </is>
      </c>
      <c r="G9943" t="inlineStr">
        <is>
          <t>OCKELBO</t>
        </is>
      </c>
      <c r="H9943" t="inlineStr">
        <is>
          <t>Bergvik skog väst AB</t>
        </is>
      </c>
      <c r="I9943" t="n">
        <v>0.9</v>
      </c>
      <c r="J9943" t="n">
        <v>0</v>
      </c>
      <c r="K9943" t="n">
        <v>0</v>
      </c>
      <c r="L9943" t="n">
        <v>0</v>
      </c>
      <c r="M9943" t="n">
        <v>0</v>
      </c>
      <c r="N9943" t="n">
        <v>0</v>
      </c>
      <c r="O9943" t="n">
        <v>0</v>
      </c>
      <c r="P9943" t="n">
        <v>0</v>
      </c>
      <c r="Q9943" t="n">
        <v>0</v>
      </c>
      <c r="R9943" t="n">
        <v>0</v>
      </c>
      <c r="S9943" t="n">
        <v>0</v>
      </c>
      <c r="T9943" t="n">
        <v>0</v>
      </c>
      <c r="U9943" t="n">
        <v>0</v>
      </c>
      <c r="V9943" s="2" t="inlineStr"/>
    </row>
    <row r="9944" ht="15" customHeight="1">
      <c r="A9944" t="inlineStr">
        <is>
          <t>A 40172-2026</t>
        </is>
      </c>
      <c r="B9944" t="inlineStr">
        <is>
          <t>avverkningsanmälan</t>
        </is>
      </c>
      <c r="C9944" t="inlineStr">
        <is>
          <t>Föryngringsavverkning</t>
        </is>
      </c>
      <c r="D9944" s="1" t="n">
        <v>46293</v>
      </c>
      <c r="E9944" s="1" t="n">
        <v>46326</v>
      </c>
      <c r="F9944" t="inlineStr">
        <is>
          <t>GÄVLEBORGS LÄN</t>
        </is>
      </c>
      <c r="G9944" t="inlineStr">
        <is>
          <t>NORDANSTIG</t>
        </is>
      </c>
      <c r="H9944" t="inlineStr">
        <is>
          <t>Holmen skog AB</t>
        </is>
      </c>
      <c r="I9944" t="n">
        <v>4.7</v>
      </c>
      <c r="J9944" t="n">
        <v>0</v>
      </c>
      <c r="K9944" t="n">
        <v>0</v>
      </c>
      <c r="L9944" t="n">
        <v>0</v>
      </c>
      <c r="M9944" t="n">
        <v>0</v>
      </c>
      <c r="N9944" t="n">
        <v>0</v>
      </c>
      <c r="O9944" t="n">
        <v>0</v>
      </c>
      <c r="P9944" t="n">
        <v>0</v>
      </c>
      <c r="Q9944" t="n">
        <v>0</v>
      </c>
      <c r="R9944" t="n">
        <v>0</v>
      </c>
      <c r="S9944" t="n">
        <v>0</v>
      </c>
      <c r="T9944" t="n">
        <v>0</v>
      </c>
      <c r="U9944" t="n">
        <v>0</v>
      </c>
      <c r="V9944" s="2" t="inlineStr"/>
    </row>
    <row r="9945" ht="15" customHeight="1">
      <c r="A9945" t="inlineStr">
        <is>
          <t>A 40190-2026</t>
        </is>
      </c>
      <c r="B9945" t="inlineStr">
        <is>
          <t>avverkningsanmälan</t>
        </is>
      </c>
      <c r="C9945" t="inlineStr">
        <is>
          <t>Föryngringsavverkning</t>
        </is>
      </c>
      <c r="D9945" s="1" t="n">
        <v>46293</v>
      </c>
      <c r="E9945" s="1" t="n">
        <v>46326</v>
      </c>
      <c r="F9945" t="inlineStr">
        <is>
          <t>GÄVLEBORGS LÄN</t>
        </is>
      </c>
      <c r="G9945" t="inlineStr">
        <is>
          <t>BOLLNÄS</t>
        </is>
      </c>
      <c r="I9945" t="n">
        <v>0.6</v>
      </c>
      <c r="J9945" t="n">
        <v>0</v>
      </c>
      <c r="K9945" t="n">
        <v>0</v>
      </c>
      <c r="L9945" t="n">
        <v>0</v>
      </c>
      <c r="M9945" t="n">
        <v>0</v>
      </c>
      <c r="N9945" t="n">
        <v>0</v>
      </c>
      <c r="O9945" t="n">
        <v>0</v>
      </c>
      <c r="P9945" t="n">
        <v>0</v>
      </c>
      <c r="Q9945" t="n">
        <v>0</v>
      </c>
      <c r="R9945" t="n">
        <v>0</v>
      </c>
      <c r="S9945" t="n">
        <v>0</v>
      </c>
      <c r="T9945" t="n">
        <v>0</v>
      </c>
      <c r="U9945" t="n">
        <v>0</v>
      </c>
      <c r="V9945" s="2" t="inlineStr"/>
    </row>
    <row r="9946" ht="15" customHeight="1">
      <c r="A9946" t="inlineStr">
        <is>
          <t>A 9209-2026</t>
        </is>
      </c>
      <c r="B9946" t="inlineStr">
        <is>
          <t>avverkningsanmälan</t>
        </is>
      </c>
      <c r="C9946" t="inlineStr">
        <is>
          <t>Föryngringsavverkning</t>
        </is>
      </c>
      <c r="D9946" s="1" t="n">
        <v>46070</v>
      </c>
      <c r="E9946" s="1" t="n">
        <v>46326</v>
      </c>
      <c r="F9946" t="inlineStr">
        <is>
          <t>GÄVLEBORGS LÄN</t>
        </is>
      </c>
      <c r="G9946" t="inlineStr">
        <is>
          <t>OVANÅKER</t>
        </is>
      </c>
      <c r="I9946" t="n">
        <v>1.6</v>
      </c>
      <c r="J9946" t="n">
        <v>0</v>
      </c>
      <c r="K9946" t="n">
        <v>0</v>
      </c>
      <c r="L9946" t="n">
        <v>0</v>
      </c>
      <c r="M9946" t="n">
        <v>0</v>
      </c>
      <c r="N9946" t="n">
        <v>0</v>
      </c>
      <c r="O9946" t="n">
        <v>0</v>
      </c>
      <c r="P9946" t="n">
        <v>0</v>
      </c>
      <c r="Q9946" t="n">
        <v>0</v>
      </c>
      <c r="R9946" t="n">
        <v>0</v>
      </c>
      <c r="S9946" t="n">
        <v>0</v>
      </c>
      <c r="T9946" t="n">
        <v>0</v>
      </c>
      <c r="U9946" t="n">
        <v>0</v>
      </c>
      <c r="V9946" s="2" t="inlineStr"/>
    </row>
    <row r="9947" ht="15" customHeight="1">
      <c r="A9947" t="inlineStr">
        <is>
          <t>A 33496-2026</t>
        </is>
      </c>
      <c r="B9947" t="inlineStr">
        <is>
          <t>avverkningsanmälan</t>
        </is>
      </c>
      <c r="C9947" t="inlineStr">
        <is>
          <t>Föryngringsavverkning</t>
        </is>
      </c>
      <c r="D9947" s="1" t="n">
        <v>46248</v>
      </c>
      <c r="E9947" s="1" t="n">
        <v>46326</v>
      </c>
      <c r="F9947" t="inlineStr">
        <is>
          <t>GÄVLEBORGS LÄN</t>
        </is>
      </c>
      <c r="G9947" t="inlineStr">
        <is>
          <t>BOLLNÄS</t>
        </is>
      </c>
      <c r="I9947" t="n">
        <v>1.3</v>
      </c>
      <c r="J9947" t="n">
        <v>0</v>
      </c>
      <c r="K9947" t="n">
        <v>0</v>
      </c>
      <c r="L9947" t="n">
        <v>0</v>
      </c>
      <c r="M9947" t="n">
        <v>0</v>
      </c>
      <c r="N9947" t="n">
        <v>0</v>
      </c>
      <c r="O9947" t="n">
        <v>0</v>
      </c>
      <c r="P9947" t="n">
        <v>0</v>
      </c>
      <c r="Q9947" t="n">
        <v>0</v>
      </c>
      <c r="R9947" t="n">
        <v>0</v>
      </c>
      <c r="S9947" t="n">
        <v>0</v>
      </c>
      <c r="T9947" t="n">
        <v>0</v>
      </c>
      <c r="U9947" t="n">
        <v>0</v>
      </c>
      <c r="V9947" s="2" t="inlineStr"/>
    </row>
    <row r="9948" ht="15" customHeight="1">
      <c r="A9948" t="inlineStr">
        <is>
          <t>A 39805-2026</t>
        </is>
      </c>
      <c r="B9948" t="inlineStr">
        <is>
          <t>avverkningsanmälan</t>
        </is>
      </c>
      <c r="C9948" t="inlineStr">
        <is>
          <t>Föryngringsavverkning</t>
        </is>
      </c>
      <c r="D9948" s="1" t="n">
        <v>46290</v>
      </c>
      <c r="E9948" s="1" t="n">
        <v>46326</v>
      </c>
      <c r="F9948" t="inlineStr">
        <is>
          <t>GÄVLEBORGS LÄN</t>
        </is>
      </c>
      <c r="G9948" t="inlineStr">
        <is>
          <t>GÄVLE</t>
        </is>
      </c>
      <c r="H9948" t="inlineStr">
        <is>
          <t>Bergvik skog väst AB</t>
        </is>
      </c>
      <c r="I9948" t="n">
        <v>7.4</v>
      </c>
      <c r="J9948" t="n">
        <v>0</v>
      </c>
      <c r="K9948" t="n">
        <v>0</v>
      </c>
      <c r="L9948" t="n">
        <v>0</v>
      </c>
      <c r="M9948" t="n">
        <v>0</v>
      </c>
      <c r="N9948" t="n">
        <v>0</v>
      </c>
      <c r="O9948" t="n">
        <v>0</v>
      </c>
      <c r="P9948" t="n">
        <v>0</v>
      </c>
      <c r="Q9948" t="n">
        <v>0</v>
      </c>
      <c r="R9948" t="n">
        <v>0</v>
      </c>
      <c r="S9948" t="n">
        <v>0</v>
      </c>
      <c r="T9948" t="n">
        <v>0</v>
      </c>
      <c r="U9948" t="n">
        <v>0</v>
      </c>
      <c r="V9948" s="2" t="inlineStr"/>
    </row>
    <row r="9949" ht="15" customHeight="1">
      <c r="A9949" t="inlineStr">
        <is>
          <t>A 22608-2025</t>
        </is>
      </c>
      <c r="B9949" t="inlineStr">
        <is>
          <t>avverkningsanmälan</t>
        </is>
      </c>
      <c r="C9949" t="inlineStr">
        <is>
          <t>Föryngringsavverkning</t>
        </is>
      </c>
      <c r="D9949" s="1" t="n">
        <v>45789</v>
      </c>
      <c r="E9949" s="1" t="n">
        <v>46326</v>
      </c>
      <c r="F9949" t="inlineStr">
        <is>
          <t>GÄVLEBORGS LÄN</t>
        </is>
      </c>
      <c r="G9949" t="inlineStr">
        <is>
          <t>HUDIKSVALL</t>
        </is>
      </c>
      <c r="H9949" t="inlineStr">
        <is>
          <t>Holmen skog AB</t>
        </is>
      </c>
      <c r="I9949" t="n">
        <v>6.2</v>
      </c>
      <c r="J9949" t="n">
        <v>0</v>
      </c>
      <c r="K9949" t="n">
        <v>0</v>
      </c>
      <c r="L9949" t="n">
        <v>0</v>
      </c>
      <c r="M9949" t="n">
        <v>0</v>
      </c>
      <c r="N9949" t="n">
        <v>0</v>
      </c>
      <c r="O9949" t="n">
        <v>0</v>
      </c>
      <c r="P9949" t="n">
        <v>0</v>
      </c>
      <c r="Q9949" t="n">
        <v>0</v>
      </c>
      <c r="R9949" t="n">
        <v>0</v>
      </c>
      <c r="S9949" t="n">
        <v>0</v>
      </c>
      <c r="T9949" t="n">
        <v>0</v>
      </c>
      <c r="U9949" t="n">
        <v>0</v>
      </c>
      <c r="V9949" s="2" t="inlineStr"/>
    </row>
    <row r="9950" ht="15" customHeight="1">
      <c r="A9950" t="inlineStr">
        <is>
          <t>A 22310-2025</t>
        </is>
      </c>
      <c r="B9950" t="inlineStr">
        <is>
          <t>avverkningsanmälan</t>
        </is>
      </c>
      <c r="C9950" t="inlineStr">
        <is>
          <t>Föryngringsavverkning</t>
        </is>
      </c>
      <c r="D9950" s="1" t="n">
        <v>45786</v>
      </c>
      <c r="E9950" s="1" t="n">
        <v>46326</v>
      </c>
      <c r="F9950" t="inlineStr">
        <is>
          <t>GÄVLEBORGS LÄN</t>
        </is>
      </c>
      <c r="G9950" t="inlineStr">
        <is>
          <t>NORDANSTIG</t>
        </is>
      </c>
      <c r="H9950" t="inlineStr">
        <is>
          <t>Holmen skog AB</t>
        </is>
      </c>
      <c r="I9950" t="n">
        <v>27.9</v>
      </c>
      <c r="J9950" t="n">
        <v>0</v>
      </c>
      <c r="K9950" t="n">
        <v>0</v>
      </c>
      <c r="L9950" t="n">
        <v>0</v>
      </c>
      <c r="M9950" t="n">
        <v>0</v>
      </c>
      <c r="N9950" t="n">
        <v>0</v>
      </c>
      <c r="O9950" t="n">
        <v>0</v>
      </c>
      <c r="P9950" t="n">
        <v>0</v>
      </c>
      <c r="Q9950" t="n">
        <v>0</v>
      </c>
      <c r="R9950" t="n">
        <v>0</v>
      </c>
      <c r="S9950" t="n">
        <v>0</v>
      </c>
      <c r="T9950" t="n">
        <v>0</v>
      </c>
      <c r="U9950" t="n">
        <v>0</v>
      </c>
      <c r="V9950" s="2" t="inlineStr"/>
    </row>
    <row r="9951" ht="15" customHeight="1">
      <c r="A9951" t="inlineStr">
        <is>
          <t>A 39885-2026</t>
        </is>
      </c>
      <c r="B9951" t="inlineStr">
        <is>
          <t>avverkningsanmälan</t>
        </is>
      </c>
      <c r="C9951" t="inlineStr">
        <is>
          <t>Föryngringsavverkning</t>
        </is>
      </c>
      <c r="D9951" s="1" t="n">
        <v>46290</v>
      </c>
      <c r="E9951" s="1" t="n">
        <v>46326</v>
      </c>
      <c r="F9951" t="inlineStr">
        <is>
          <t>GÄVLEBORGS LÄN</t>
        </is>
      </c>
      <c r="G9951" t="inlineStr">
        <is>
          <t>OVANÅKER</t>
        </is>
      </c>
      <c r="I9951" t="n">
        <v>3.6</v>
      </c>
      <c r="J9951" t="n">
        <v>0</v>
      </c>
      <c r="K9951" t="n">
        <v>0</v>
      </c>
      <c r="L9951" t="n">
        <v>0</v>
      </c>
      <c r="M9951" t="n">
        <v>0</v>
      </c>
      <c r="N9951" t="n">
        <v>0</v>
      </c>
      <c r="O9951" t="n">
        <v>0</v>
      </c>
      <c r="P9951" t="n">
        <v>0</v>
      </c>
      <c r="Q9951" t="n">
        <v>0</v>
      </c>
      <c r="R9951" t="n">
        <v>0</v>
      </c>
      <c r="S9951" t="n">
        <v>0</v>
      </c>
      <c r="T9951" t="n">
        <v>0</v>
      </c>
      <c r="U9951" t="n">
        <v>0</v>
      </c>
      <c r="V9951" s="2" t="inlineStr"/>
    </row>
    <row r="9952" ht="15" customHeight="1">
      <c r="A9952" t="inlineStr">
        <is>
          <t>A 39891-2026</t>
        </is>
      </c>
      <c r="B9952" t="inlineStr">
        <is>
          <t>avverkningsanmälan</t>
        </is>
      </c>
      <c r="C9952" t="inlineStr">
        <is>
          <t>Föryngringsavverkning</t>
        </is>
      </c>
      <c r="D9952" s="1" t="n">
        <v>46290</v>
      </c>
      <c r="E9952" s="1" t="n">
        <v>46326</v>
      </c>
      <c r="F9952" t="inlineStr">
        <is>
          <t>GÄVLEBORGS LÄN</t>
        </is>
      </c>
      <c r="G9952" t="inlineStr">
        <is>
          <t>GÄVLE</t>
        </is>
      </c>
      <c r="H9952" t="inlineStr">
        <is>
          <t>Bergvik skog väst AB</t>
        </is>
      </c>
      <c r="I9952" t="n">
        <v>2.3</v>
      </c>
      <c r="J9952" t="n">
        <v>0</v>
      </c>
      <c r="K9952" t="n">
        <v>0</v>
      </c>
      <c r="L9952" t="n">
        <v>0</v>
      </c>
      <c r="M9952" t="n">
        <v>0</v>
      </c>
      <c r="N9952" t="n">
        <v>0</v>
      </c>
      <c r="O9952" t="n">
        <v>0</v>
      </c>
      <c r="P9952" t="n">
        <v>0</v>
      </c>
      <c r="Q9952" t="n">
        <v>0</v>
      </c>
      <c r="R9952" t="n">
        <v>0</v>
      </c>
      <c r="S9952" t="n">
        <v>0</v>
      </c>
      <c r="T9952" t="n">
        <v>0</v>
      </c>
      <c r="U9952" t="n">
        <v>0</v>
      </c>
      <c r="V9952" s="2" t="inlineStr"/>
    </row>
    <row r="9953" ht="15" customHeight="1">
      <c r="A9953" t="inlineStr">
        <is>
          <t>A 22579-2025</t>
        </is>
      </c>
      <c r="B9953" t="inlineStr">
        <is>
          <t>avverkningsanmälan</t>
        </is>
      </c>
      <c r="C9953" t="inlineStr">
        <is>
          <t>Föryngringsavverkning</t>
        </is>
      </c>
      <c r="D9953" s="1" t="n">
        <v>45789</v>
      </c>
      <c r="E9953" s="1" t="n">
        <v>46326</v>
      </c>
      <c r="F9953" t="inlineStr">
        <is>
          <t>GÄVLEBORGS LÄN</t>
        </is>
      </c>
      <c r="G9953" t="inlineStr">
        <is>
          <t>HUDIKSVALL</t>
        </is>
      </c>
      <c r="I9953" t="n">
        <v>2</v>
      </c>
      <c r="J9953" t="n">
        <v>0</v>
      </c>
      <c r="K9953" t="n">
        <v>0</v>
      </c>
      <c r="L9953" t="n">
        <v>0</v>
      </c>
      <c r="M9953" t="n">
        <v>0</v>
      </c>
      <c r="N9953" t="n">
        <v>0</v>
      </c>
      <c r="O9953" t="n">
        <v>0</v>
      </c>
      <c r="P9953" t="n">
        <v>0</v>
      </c>
      <c r="Q9953" t="n">
        <v>0</v>
      </c>
      <c r="R9953" t="n">
        <v>0</v>
      </c>
      <c r="S9953" t="n">
        <v>0</v>
      </c>
      <c r="T9953" t="n">
        <v>0</v>
      </c>
      <c r="U9953" t="n">
        <v>0</v>
      </c>
      <c r="V9953" s="2" t="inlineStr"/>
    </row>
    <row r="9954" ht="15" customHeight="1">
      <c r="A9954" t="inlineStr">
        <is>
          <t>A 22319-2025</t>
        </is>
      </c>
      <c r="B9954" t="inlineStr">
        <is>
          <t>avverkningsanmälan</t>
        </is>
      </c>
      <c r="C9954" t="inlineStr">
        <is>
          <t>Föryngringsavverkning</t>
        </is>
      </c>
      <c r="D9954" s="1" t="n">
        <v>45786</v>
      </c>
      <c r="E9954" s="1" t="n">
        <v>46326</v>
      </c>
      <c r="F9954" t="inlineStr">
        <is>
          <t>GÄVLEBORGS LÄN</t>
        </is>
      </c>
      <c r="G9954" t="inlineStr">
        <is>
          <t>NORDANSTIG</t>
        </is>
      </c>
      <c r="H9954" t="inlineStr">
        <is>
          <t>Holmen skog AB</t>
        </is>
      </c>
      <c r="I9954" t="n">
        <v>4.3</v>
      </c>
      <c r="J9954" t="n">
        <v>0</v>
      </c>
      <c r="K9954" t="n">
        <v>0</v>
      </c>
      <c r="L9954" t="n">
        <v>0</v>
      </c>
      <c r="M9954" t="n">
        <v>0</v>
      </c>
      <c r="N9954" t="n">
        <v>0</v>
      </c>
      <c r="O9954" t="n">
        <v>0</v>
      </c>
      <c r="P9954" t="n">
        <v>0</v>
      </c>
      <c r="Q9954" t="n">
        <v>0</v>
      </c>
      <c r="R9954" t="n">
        <v>0</v>
      </c>
      <c r="S9954" t="n">
        <v>0</v>
      </c>
      <c r="T9954" t="n">
        <v>0</v>
      </c>
      <c r="U9954" t="n">
        <v>0</v>
      </c>
      <c r="V9954" s="2" t="inlineStr"/>
    </row>
    <row r="9955" ht="15" customHeight="1">
      <c r="A9955" t="inlineStr">
        <is>
          <t>A 22600-2025</t>
        </is>
      </c>
      <c r="B9955" t="inlineStr">
        <is>
          <t>avverkningsanmälan</t>
        </is>
      </c>
      <c r="C9955" t="inlineStr">
        <is>
          <t>Föryngringsavverkning</t>
        </is>
      </c>
      <c r="D9955" s="1" t="n">
        <v>45789</v>
      </c>
      <c r="E9955" s="1" t="n">
        <v>46326</v>
      </c>
      <c r="F9955" t="inlineStr">
        <is>
          <t>GÄVLEBORGS LÄN</t>
        </is>
      </c>
      <c r="G9955" t="inlineStr">
        <is>
          <t>HUDIKSVALL</t>
        </is>
      </c>
      <c r="H9955" t="inlineStr">
        <is>
          <t>Holmen skog AB</t>
        </is>
      </c>
      <c r="I9955" t="n">
        <v>4.9</v>
      </c>
      <c r="J9955" t="n">
        <v>0</v>
      </c>
      <c r="K9955" t="n">
        <v>0</v>
      </c>
      <c r="L9955" t="n">
        <v>0</v>
      </c>
      <c r="M9955" t="n">
        <v>0</v>
      </c>
      <c r="N9955" t="n">
        <v>0</v>
      </c>
      <c r="O9955" t="n">
        <v>0</v>
      </c>
      <c r="P9955" t="n">
        <v>0</v>
      </c>
      <c r="Q9955" t="n">
        <v>0</v>
      </c>
      <c r="R9955" t="n">
        <v>0</v>
      </c>
      <c r="S9955" t="n">
        <v>0</v>
      </c>
      <c r="T9955" t="n">
        <v>0</v>
      </c>
      <c r="U9955" t="n">
        <v>0</v>
      </c>
      <c r="V9955" s="2" t="inlineStr"/>
    </row>
    <row r="9956" ht="15" customHeight="1">
      <c r="A9956" t="inlineStr">
        <is>
          <t>A 40110-2026</t>
        </is>
      </c>
      <c r="B9956" t="inlineStr">
        <is>
          <t>avverkningsanmälan</t>
        </is>
      </c>
      <c r="C9956" t="inlineStr">
        <is>
          <t>Föryngringsavverkning</t>
        </is>
      </c>
      <c r="D9956" s="1" t="n">
        <v>46293</v>
      </c>
      <c r="E9956" s="1" t="n">
        <v>46326</v>
      </c>
      <c r="F9956" t="inlineStr">
        <is>
          <t>GÄVLEBORGS LÄN</t>
        </is>
      </c>
      <c r="G9956" t="inlineStr">
        <is>
          <t>NORDANSTIG</t>
        </is>
      </c>
      <c r="H9956" t="inlineStr">
        <is>
          <t>Holmen skog AB</t>
        </is>
      </c>
      <c r="I9956" t="n">
        <v>13.5</v>
      </c>
      <c r="J9956" t="n">
        <v>0</v>
      </c>
      <c r="K9956" t="n">
        <v>0</v>
      </c>
      <c r="L9956" t="n">
        <v>0</v>
      </c>
      <c r="M9956" t="n">
        <v>0</v>
      </c>
      <c r="N9956" t="n">
        <v>0</v>
      </c>
      <c r="O9956" t="n">
        <v>0</v>
      </c>
      <c r="P9956" t="n">
        <v>0</v>
      </c>
      <c r="Q9956" t="n">
        <v>0</v>
      </c>
      <c r="R9956" t="n">
        <v>0</v>
      </c>
      <c r="S9956" t="n">
        <v>0</v>
      </c>
      <c r="T9956" t="n">
        <v>0</v>
      </c>
      <c r="U9956" t="n">
        <v>0</v>
      </c>
      <c r="V9956" s="2" t="inlineStr"/>
    </row>
    <row r="9957" ht="15" customHeight="1">
      <c r="A9957" t="inlineStr">
        <is>
          <t>A 40111-2026</t>
        </is>
      </c>
      <c r="B9957" t="inlineStr">
        <is>
          <t>avverkningsanmälan</t>
        </is>
      </c>
      <c r="C9957" t="inlineStr">
        <is>
          <t>Föryngringsavverkning</t>
        </is>
      </c>
      <c r="D9957" s="1" t="n">
        <v>46293</v>
      </c>
      <c r="E9957" s="1" t="n">
        <v>46326</v>
      </c>
      <c r="F9957" t="inlineStr">
        <is>
          <t>GÄVLEBORGS LÄN</t>
        </is>
      </c>
      <c r="G9957" t="inlineStr">
        <is>
          <t>BOLLNÄS</t>
        </is>
      </c>
      <c r="H9957" t="inlineStr">
        <is>
          <t>Bergvik skog väst AB</t>
        </is>
      </c>
      <c r="I9957" t="n">
        <v>6.2</v>
      </c>
      <c r="J9957" t="n">
        <v>0</v>
      </c>
      <c r="K9957" t="n">
        <v>0</v>
      </c>
      <c r="L9957" t="n">
        <v>0</v>
      </c>
      <c r="M9957" t="n">
        <v>0</v>
      </c>
      <c r="N9957" t="n">
        <v>0</v>
      </c>
      <c r="O9957" t="n">
        <v>0</v>
      </c>
      <c r="P9957" t="n">
        <v>0</v>
      </c>
      <c r="Q9957" t="n">
        <v>0</v>
      </c>
      <c r="R9957" t="n">
        <v>0</v>
      </c>
      <c r="S9957" t="n">
        <v>0</v>
      </c>
      <c r="T9957" t="n">
        <v>0</v>
      </c>
      <c r="U9957" t="n">
        <v>0</v>
      </c>
      <c r="V9957" s="2" t="inlineStr"/>
    </row>
    <row r="9958" ht="15" customHeight="1">
      <c r="A9958" t="inlineStr">
        <is>
          <t>A 40114-2026</t>
        </is>
      </c>
      <c r="B9958" t="inlineStr">
        <is>
          <t>avverkningsanmälan</t>
        </is>
      </c>
      <c r="C9958" t="inlineStr">
        <is>
          <t>Föryngringsavverkning</t>
        </is>
      </c>
      <c r="D9958" s="1" t="n">
        <v>46293</v>
      </c>
      <c r="E9958" s="1" t="n">
        <v>46326</v>
      </c>
      <c r="F9958" t="inlineStr">
        <is>
          <t>GÄVLEBORGS LÄN</t>
        </is>
      </c>
      <c r="G9958" t="inlineStr">
        <is>
          <t>BOLLNÄS</t>
        </is>
      </c>
      <c r="H9958" t="inlineStr">
        <is>
          <t>Bergvik skog väst AB</t>
        </is>
      </c>
      <c r="I9958" t="n">
        <v>5.8</v>
      </c>
      <c r="J9958" t="n">
        <v>0</v>
      </c>
      <c r="K9958" t="n">
        <v>0</v>
      </c>
      <c r="L9958" t="n">
        <v>0</v>
      </c>
      <c r="M9958" t="n">
        <v>0</v>
      </c>
      <c r="N9958" t="n">
        <v>0</v>
      </c>
      <c r="O9958" t="n">
        <v>0</v>
      </c>
      <c r="P9958" t="n">
        <v>0</v>
      </c>
      <c r="Q9958" t="n">
        <v>0</v>
      </c>
      <c r="R9958" t="n">
        <v>0</v>
      </c>
      <c r="S9958" t="n">
        <v>0</v>
      </c>
      <c r="T9958" t="n">
        <v>0</v>
      </c>
      <c r="U9958" t="n">
        <v>0</v>
      </c>
      <c r="V9958" s="2" t="inlineStr"/>
    </row>
    <row r="9959" ht="15" customHeight="1">
      <c r="A9959" t="inlineStr">
        <is>
          <t>A 40118-2026</t>
        </is>
      </c>
      <c r="B9959" t="inlineStr">
        <is>
          <t>avverkningsanmälan</t>
        </is>
      </c>
      <c r="C9959" t="inlineStr">
        <is>
          <t>Föryngringsavverkning</t>
        </is>
      </c>
      <c r="D9959" s="1" t="n">
        <v>46293</v>
      </c>
      <c r="E9959" s="1" t="n">
        <v>46326</v>
      </c>
      <c r="F9959" t="inlineStr">
        <is>
          <t>GÄVLEBORGS LÄN</t>
        </is>
      </c>
      <c r="G9959" t="inlineStr">
        <is>
          <t>GÄVLE</t>
        </is>
      </c>
      <c r="H9959" t="inlineStr">
        <is>
          <t>Bergvik skog öst AB</t>
        </is>
      </c>
      <c r="I9959" t="n">
        <v>1.1</v>
      </c>
      <c r="J9959" t="n">
        <v>0</v>
      </c>
      <c r="K9959" t="n">
        <v>0</v>
      </c>
      <c r="L9959" t="n">
        <v>0</v>
      </c>
      <c r="M9959" t="n">
        <v>0</v>
      </c>
      <c r="N9959" t="n">
        <v>0</v>
      </c>
      <c r="O9959" t="n">
        <v>0</v>
      </c>
      <c r="P9959" t="n">
        <v>0</v>
      </c>
      <c r="Q9959" t="n">
        <v>0</v>
      </c>
      <c r="R9959" t="n">
        <v>0</v>
      </c>
      <c r="S9959" t="n">
        <v>0</v>
      </c>
      <c r="T9959" t="n">
        <v>0</v>
      </c>
      <c r="U9959" t="n">
        <v>0</v>
      </c>
      <c r="V9959" s="2" t="inlineStr"/>
    </row>
    <row r="9960" ht="15" customHeight="1">
      <c r="A9960" t="inlineStr">
        <is>
          <t>A 33545-2026</t>
        </is>
      </c>
      <c r="B9960" t="inlineStr">
        <is>
          <t>avverkningsanmälan</t>
        </is>
      </c>
      <c r="C9960" t="inlineStr">
        <is>
          <t>Föryngringsavverkning</t>
        </is>
      </c>
      <c r="D9960" s="1" t="n">
        <v>46248</v>
      </c>
      <c r="E9960" s="1" t="n">
        <v>46326</v>
      </c>
      <c r="F9960" t="inlineStr">
        <is>
          <t>GÄVLEBORGS LÄN</t>
        </is>
      </c>
      <c r="G9960" t="inlineStr">
        <is>
          <t>HUDIKSVALL</t>
        </is>
      </c>
      <c r="H9960" t="inlineStr">
        <is>
          <t>Holmen skog AB</t>
        </is>
      </c>
      <c r="I9960" t="n">
        <v>1.2</v>
      </c>
      <c r="J9960" t="n">
        <v>0</v>
      </c>
      <c r="K9960" t="n">
        <v>0</v>
      </c>
      <c r="L9960" t="n">
        <v>0</v>
      </c>
      <c r="M9960" t="n">
        <v>0</v>
      </c>
      <c r="N9960" t="n">
        <v>0</v>
      </c>
      <c r="O9960" t="n">
        <v>0</v>
      </c>
      <c r="P9960" t="n">
        <v>0</v>
      </c>
      <c r="Q9960" t="n">
        <v>0</v>
      </c>
      <c r="R9960" t="n">
        <v>0</v>
      </c>
      <c r="S9960" t="n">
        <v>0</v>
      </c>
      <c r="T9960" t="n">
        <v>0</v>
      </c>
      <c r="U9960" t="n">
        <v>0</v>
      </c>
      <c r="V9960" s="2" t="inlineStr"/>
    </row>
    <row r="9961" ht="15" customHeight="1">
      <c r="A9961" t="inlineStr">
        <is>
          <t>A 33623-2024</t>
        </is>
      </c>
      <c r="B9961" t="inlineStr">
        <is>
          <t>avverkningsanmälan</t>
        </is>
      </c>
      <c r="C9961" t="inlineStr">
        <is>
          <t>Föryngringsavverkning</t>
        </is>
      </c>
      <c r="D9961" s="1" t="n">
        <v>45520</v>
      </c>
      <c r="E9961" s="1" t="n">
        <v>46326</v>
      </c>
      <c r="F9961" t="inlineStr">
        <is>
          <t>GÄVLEBORGS LÄN</t>
        </is>
      </c>
      <c r="G9961" t="inlineStr">
        <is>
          <t>SANDVIKEN</t>
        </is>
      </c>
      <c r="I9961" t="n">
        <v>2.8</v>
      </c>
      <c r="J9961" t="n">
        <v>0</v>
      </c>
      <c r="K9961" t="n">
        <v>0</v>
      </c>
      <c r="L9961" t="n">
        <v>0</v>
      </c>
      <c r="M9961" t="n">
        <v>0</v>
      </c>
      <c r="N9961" t="n">
        <v>0</v>
      </c>
      <c r="O9961" t="n">
        <v>0</v>
      </c>
      <c r="P9961" t="n">
        <v>0</v>
      </c>
      <c r="Q9961" t="n">
        <v>0</v>
      </c>
      <c r="R9961" t="n">
        <v>0</v>
      </c>
      <c r="S9961" t="n">
        <v>0</v>
      </c>
      <c r="T9961" t="n">
        <v>0</v>
      </c>
      <c r="U9961" t="n">
        <v>0</v>
      </c>
      <c r="V9961" s="2" t="inlineStr"/>
    </row>
    <row r="9962" ht="15" customHeight="1">
      <c r="A9962" t="inlineStr">
        <is>
          <t>A 33390-2026</t>
        </is>
      </c>
      <c r="B9962" t="inlineStr">
        <is>
          <t>avverkningsanmälan</t>
        </is>
      </c>
      <c r="C9962" t="inlineStr">
        <is>
          <t>Föryngringsavverkning</t>
        </is>
      </c>
      <c r="D9962" s="1" t="n">
        <v>46247</v>
      </c>
      <c r="E9962" s="1" t="n">
        <v>46326</v>
      </c>
      <c r="F9962" t="inlineStr">
        <is>
          <t>GÄVLEBORGS LÄN</t>
        </is>
      </c>
      <c r="G9962" t="inlineStr">
        <is>
          <t>BOLLNÄS</t>
        </is>
      </c>
      <c r="H9962" t="inlineStr">
        <is>
          <t>Bergvik skog väst AB</t>
        </is>
      </c>
      <c r="I9962" t="n">
        <v>2.1</v>
      </c>
      <c r="J9962" t="n">
        <v>0</v>
      </c>
      <c r="K9962" t="n">
        <v>0</v>
      </c>
      <c r="L9962" t="n">
        <v>0</v>
      </c>
      <c r="M9962" t="n">
        <v>0</v>
      </c>
      <c r="N9962" t="n">
        <v>0</v>
      </c>
      <c r="O9962" t="n">
        <v>0</v>
      </c>
      <c r="P9962" t="n">
        <v>0</v>
      </c>
      <c r="Q9962" t="n">
        <v>0</v>
      </c>
      <c r="R9962" t="n">
        <v>0</v>
      </c>
      <c r="S9962" t="n">
        <v>0</v>
      </c>
      <c r="T9962" t="n">
        <v>0</v>
      </c>
      <c r="U9962" t="n">
        <v>0</v>
      </c>
      <c r="V9962" s="2" t="inlineStr"/>
    </row>
    <row r="9963" ht="15" customHeight="1">
      <c r="A9963" t="inlineStr">
        <is>
          <t>A 33391-2026</t>
        </is>
      </c>
      <c r="B9963" t="inlineStr">
        <is>
          <t>avverkningsanmälan</t>
        </is>
      </c>
      <c r="C9963" t="inlineStr">
        <is>
          <t>Föryngringsavverkning</t>
        </is>
      </c>
      <c r="D9963" s="1" t="n">
        <v>46247</v>
      </c>
      <c r="E9963" s="1" t="n">
        <v>46326</v>
      </c>
      <c r="F9963" t="inlineStr">
        <is>
          <t>GÄVLEBORGS LÄN</t>
        </is>
      </c>
      <c r="G9963" t="inlineStr">
        <is>
          <t>OVANÅKER</t>
        </is>
      </c>
      <c r="H9963" t="inlineStr">
        <is>
          <t>Bergvik skog väst AB</t>
        </is>
      </c>
      <c r="I9963" t="n">
        <v>11.4</v>
      </c>
      <c r="J9963" t="n">
        <v>0</v>
      </c>
      <c r="K9963" t="n">
        <v>0</v>
      </c>
      <c r="L9963" t="n">
        <v>0</v>
      </c>
      <c r="M9963" t="n">
        <v>0</v>
      </c>
      <c r="N9963" t="n">
        <v>0</v>
      </c>
      <c r="O9963" t="n">
        <v>0</v>
      </c>
      <c r="P9963" t="n">
        <v>0</v>
      </c>
      <c r="Q9963" t="n">
        <v>0</v>
      </c>
      <c r="R9963" t="n">
        <v>0</v>
      </c>
      <c r="S9963" t="n">
        <v>0</v>
      </c>
      <c r="T9963" t="n">
        <v>0</v>
      </c>
      <c r="U9963" t="n">
        <v>0</v>
      </c>
      <c r="V9963" s="2" t="inlineStr"/>
    </row>
    <row r="9964" ht="15" customHeight="1">
      <c r="A9964" t="inlineStr">
        <is>
          <t>A 67879-2021</t>
        </is>
      </c>
      <c r="B9964" t="inlineStr">
        <is>
          <t>avverkningsanmälan</t>
        </is>
      </c>
      <c r="C9964" t="inlineStr">
        <is>
          <t>Föryngringsavverkning</t>
        </is>
      </c>
      <c r="D9964" s="1" t="n">
        <v>44525</v>
      </c>
      <c r="E9964" s="1" t="n">
        <v>46326</v>
      </c>
      <c r="F9964" t="inlineStr">
        <is>
          <t>GÄVLEBORGS LÄN</t>
        </is>
      </c>
      <c r="G9964" t="inlineStr">
        <is>
          <t>NORDANSTIG</t>
        </is>
      </c>
      <c r="H9964" t="inlineStr">
        <is>
          <t>Holmen skog AB</t>
        </is>
      </c>
      <c r="I9964" t="n">
        <v>1.4</v>
      </c>
      <c r="J9964" t="n">
        <v>0</v>
      </c>
      <c r="K9964" t="n">
        <v>0</v>
      </c>
      <c r="L9964" t="n">
        <v>0</v>
      </c>
      <c r="M9964" t="n">
        <v>0</v>
      </c>
      <c r="N9964" t="n">
        <v>0</v>
      </c>
      <c r="O9964" t="n">
        <v>0</v>
      </c>
      <c r="P9964" t="n">
        <v>0</v>
      </c>
      <c r="Q9964" t="n">
        <v>0</v>
      </c>
      <c r="R9964" t="n">
        <v>0</v>
      </c>
      <c r="S9964" t="n">
        <v>0</v>
      </c>
      <c r="T9964" t="n">
        <v>0</v>
      </c>
      <c r="U9964" t="n">
        <v>0</v>
      </c>
      <c r="V9964" s="2" t="inlineStr"/>
    </row>
    <row r="9965" ht="15" customHeight="1">
      <c r="A9965" t="inlineStr">
        <is>
          <t>A 28584-2024</t>
        </is>
      </c>
      <c r="B9965" t="inlineStr">
        <is>
          <t>avverkningsanmälan</t>
        </is>
      </c>
      <c r="C9965" t="inlineStr">
        <is>
          <t>Föryngringsavverkning</t>
        </is>
      </c>
      <c r="D9965" s="1" t="n">
        <v>45478</v>
      </c>
      <c r="E9965" s="1" t="n">
        <v>46326</v>
      </c>
      <c r="F9965" t="inlineStr">
        <is>
          <t>GÄVLEBORGS LÄN</t>
        </is>
      </c>
      <c r="G9965" t="inlineStr">
        <is>
          <t>OCKELBO</t>
        </is>
      </c>
      <c r="H9965" t="inlineStr">
        <is>
          <t>Bergvik skog väst AB</t>
        </is>
      </c>
      <c r="I9965" t="n">
        <v>1.2</v>
      </c>
      <c r="J9965" t="n">
        <v>0</v>
      </c>
      <c r="K9965" t="n">
        <v>0</v>
      </c>
      <c r="L9965" t="n">
        <v>0</v>
      </c>
      <c r="M9965" t="n">
        <v>0</v>
      </c>
      <c r="N9965" t="n">
        <v>0</v>
      </c>
      <c r="O9965" t="n">
        <v>0</v>
      </c>
      <c r="P9965" t="n">
        <v>0</v>
      </c>
      <c r="Q9965" t="n">
        <v>0</v>
      </c>
      <c r="R9965" t="n">
        <v>0</v>
      </c>
      <c r="S9965" t="n">
        <v>0</v>
      </c>
      <c r="T9965" t="n">
        <v>0</v>
      </c>
      <c r="U9965" t="n">
        <v>0</v>
      </c>
      <c r="V9965" s="2" t="inlineStr"/>
    </row>
    <row r="9966" ht="15" customHeight="1">
      <c r="A9966" t="inlineStr">
        <is>
          <t>A 54323-2024</t>
        </is>
      </c>
      <c r="B9966" t="inlineStr">
        <is>
          <t>avverkningsanmälan</t>
        </is>
      </c>
      <c r="C9966" t="inlineStr">
        <is>
          <t>Föryngringsavverkning</t>
        </is>
      </c>
      <c r="D9966" s="1" t="n">
        <v>45617</v>
      </c>
      <c r="E9966" s="1" t="n">
        <v>46326</v>
      </c>
      <c r="F9966" t="inlineStr">
        <is>
          <t>GÄVLEBORGS LÄN</t>
        </is>
      </c>
      <c r="G9966" t="inlineStr">
        <is>
          <t>OCKELBO</t>
        </is>
      </c>
      <c r="H9966" t="inlineStr">
        <is>
          <t>Bergvik skog väst AB</t>
        </is>
      </c>
      <c r="I9966" t="n">
        <v>2.2</v>
      </c>
      <c r="J9966" t="n">
        <v>0</v>
      </c>
      <c r="K9966" t="n">
        <v>0</v>
      </c>
      <c r="L9966" t="n">
        <v>0</v>
      </c>
      <c r="M9966" t="n">
        <v>0</v>
      </c>
      <c r="N9966" t="n">
        <v>0</v>
      </c>
      <c r="O9966" t="n">
        <v>0</v>
      </c>
      <c r="P9966" t="n">
        <v>0</v>
      </c>
      <c r="Q9966" t="n">
        <v>0</v>
      </c>
      <c r="R9966" t="n">
        <v>0</v>
      </c>
      <c r="S9966" t="n">
        <v>0</v>
      </c>
      <c r="T9966" t="n">
        <v>0</v>
      </c>
      <c r="U9966" t="n">
        <v>0</v>
      </c>
      <c r="V9966" s="2" t="inlineStr"/>
    </row>
    <row r="9967" ht="15" customHeight="1">
      <c r="A9967" t="inlineStr">
        <is>
          <t>A 7451-2025</t>
        </is>
      </c>
      <c r="B9967" t="inlineStr">
        <is>
          <t>avverkningsanmälan</t>
        </is>
      </c>
      <c r="C9967" t="inlineStr">
        <is>
          <t>Föryngringsavverkning</t>
        </is>
      </c>
      <c r="D9967" s="1" t="n">
        <v>45705</v>
      </c>
      <c r="E9967" s="1" t="n">
        <v>46326</v>
      </c>
      <c r="F9967" t="inlineStr">
        <is>
          <t>GÄVLEBORGS LÄN</t>
        </is>
      </c>
      <c r="G9967" t="inlineStr">
        <is>
          <t>GÄVLE</t>
        </is>
      </c>
      <c r="H9967" t="inlineStr">
        <is>
          <t>Bergvik skog öst AB</t>
        </is>
      </c>
      <c r="I9967" t="n">
        <v>1</v>
      </c>
      <c r="J9967" t="n">
        <v>0</v>
      </c>
      <c r="K9967" t="n">
        <v>0</v>
      </c>
      <c r="L9967" t="n">
        <v>0</v>
      </c>
      <c r="M9967" t="n">
        <v>0</v>
      </c>
      <c r="N9967" t="n">
        <v>0</v>
      </c>
      <c r="O9967" t="n">
        <v>0</v>
      </c>
      <c r="P9967" t="n">
        <v>0</v>
      </c>
      <c r="Q9967" t="n">
        <v>0</v>
      </c>
      <c r="R9967" t="n">
        <v>0</v>
      </c>
      <c r="S9967" t="n">
        <v>0</v>
      </c>
      <c r="T9967" t="n">
        <v>0</v>
      </c>
      <c r="U9967" t="n">
        <v>0</v>
      </c>
      <c r="V9967" s="2" t="inlineStr"/>
    </row>
    <row r="9968" ht="15" customHeight="1">
      <c r="A9968" t="inlineStr">
        <is>
          <t>A 39702-2026</t>
        </is>
      </c>
      <c r="B9968" t="inlineStr">
        <is>
          <t>avverkningsanmälan</t>
        </is>
      </c>
      <c r="C9968" t="inlineStr">
        <is>
          <t>Föryngringsavverkning</t>
        </is>
      </c>
      <c r="D9968" s="1" t="n">
        <v>46290</v>
      </c>
      <c r="E9968" s="1" t="n">
        <v>46326</v>
      </c>
      <c r="F9968" t="inlineStr">
        <is>
          <t>GÄVLEBORGS LÄN</t>
        </is>
      </c>
      <c r="G9968" t="inlineStr">
        <is>
          <t>GÄVLE</t>
        </is>
      </c>
      <c r="H9968" t="inlineStr">
        <is>
          <t>Bergvik skog öst AB</t>
        </is>
      </c>
      <c r="I9968" t="n">
        <v>3.9</v>
      </c>
      <c r="J9968" t="n">
        <v>0</v>
      </c>
      <c r="K9968" t="n">
        <v>0</v>
      </c>
      <c r="L9968" t="n">
        <v>0</v>
      </c>
      <c r="M9968" t="n">
        <v>0</v>
      </c>
      <c r="N9968" t="n">
        <v>0</v>
      </c>
      <c r="O9968" t="n">
        <v>0</v>
      </c>
      <c r="P9968" t="n">
        <v>0</v>
      </c>
      <c r="Q9968" t="n">
        <v>0</v>
      </c>
      <c r="R9968" t="n">
        <v>0</v>
      </c>
      <c r="S9968" t="n">
        <v>0</v>
      </c>
      <c r="T9968" t="n">
        <v>0</v>
      </c>
      <c r="U9968" t="n">
        <v>0</v>
      </c>
      <c r="V9968" s="2" t="inlineStr"/>
    </row>
    <row r="9969" ht="15" customHeight="1">
      <c r="A9969" t="inlineStr">
        <is>
          <t>A 13878-2026</t>
        </is>
      </c>
      <c r="B9969" t="inlineStr">
        <is>
          <t>avverkningsanmälan</t>
        </is>
      </c>
      <c r="C9969" t="inlineStr">
        <is>
          <t>Föryngringsavverkning</t>
        </is>
      </c>
      <c r="D9969" s="1" t="n">
        <v>46098</v>
      </c>
      <c r="E9969" s="1" t="n">
        <v>46326</v>
      </c>
      <c r="F9969" t="inlineStr">
        <is>
          <t>GÄVLEBORGS LÄN</t>
        </is>
      </c>
      <c r="G9969" t="inlineStr">
        <is>
          <t>BOLLNÄS</t>
        </is>
      </c>
      <c r="I9969" t="n">
        <v>8.699999999999999</v>
      </c>
      <c r="J9969" t="n">
        <v>0</v>
      </c>
      <c r="K9969" t="n">
        <v>0</v>
      </c>
      <c r="L9969" t="n">
        <v>0</v>
      </c>
      <c r="M9969" t="n">
        <v>0</v>
      </c>
      <c r="N9969" t="n">
        <v>0</v>
      </c>
      <c r="O9969" t="n">
        <v>0</v>
      </c>
      <c r="P9969" t="n">
        <v>0</v>
      </c>
      <c r="Q9969" t="n">
        <v>0</v>
      </c>
      <c r="R9969" t="n">
        <v>0</v>
      </c>
      <c r="S9969" t="n">
        <v>0</v>
      </c>
      <c r="T9969" t="n">
        <v>0</v>
      </c>
      <c r="U9969" t="n">
        <v>0</v>
      </c>
      <c r="V9969" s="2" t="inlineStr"/>
    </row>
    <row r="9970" ht="15" customHeight="1">
      <c r="A9970" t="inlineStr">
        <is>
          <t>A 33365-2026</t>
        </is>
      </c>
      <c r="B9970" t="inlineStr">
        <is>
          <t>avverkningsanmälan</t>
        </is>
      </c>
      <c r="C9970" t="inlineStr">
        <is>
          <t>Föryngringsavverkning</t>
        </is>
      </c>
      <c r="D9970" s="1" t="n">
        <v>46247</v>
      </c>
      <c r="E9970" s="1" t="n">
        <v>46326</v>
      </c>
      <c r="F9970" t="inlineStr">
        <is>
          <t>GÄVLEBORGS LÄN</t>
        </is>
      </c>
      <c r="G9970" t="inlineStr">
        <is>
          <t>LJUSDAL</t>
        </is>
      </c>
      <c r="I9970" t="n">
        <v>2</v>
      </c>
      <c r="J9970" t="n">
        <v>0</v>
      </c>
      <c r="K9970" t="n">
        <v>0</v>
      </c>
      <c r="L9970" t="n">
        <v>0</v>
      </c>
      <c r="M9970" t="n">
        <v>0</v>
      </c>
      <c r="N9970" t="n">
        <v>0</v>
      </c>
      <c r="O9970" t="n">
        <v>0</v>
      </c>
      <c r="P9970" t="n">
        <v>0</v>
      </c>
      <c r="Q9970" t="n">
        <v>0</v>
      </c>
      <c r="R9970" t="n">
        <v>0</v>
      </c>
      <c r="S9970" t="n">
        <v>0</v>
      </c>
      <c r="T9970" t="n">
        <v>0</v>
      </c>
      <c r="U9970" t="n">
        <v>0</v>
      </c>
      <c r="V9970" s="2" t="inlineStr"/>
    </row>
    <row r="9971" ht="15" customHeight="1">
      <c r="A9971" t="inlineStr">
        <is>
          <t>A 28181-2022</t>
        </is>
      </c>
      <c r="B9971" t="inlineStr">
        <is>
          <t>avverkningsanmälan</t>
        </is>
      </c>
      <c r="C9971" t="inlineStr">
        <is>
          <t>Föryngringsavverkning</t>
        </is>
      </c>
      <c r="D9971" s="1" t="n">
        <v>44746</v>
      </c>
      <c r="E9971" s="1" t="n">
        <v>46326</v>
      </c>
      <c r="F9971" t="inlineStr">
        <is>
          <t>GÄVLEBORGS LÄN</t>
        </is>
      </c>
      <c r="G9971" t="inlineStr">
        <is>
          <t>OCKELBO</t>
        </is>
      </c>
      <c r="I9971" t="n">
        <v>1</v>
      </c>
      <c r="J9971" t="n">
        <v>0</v>
      </c>
      <c r="K9971" t="n">
        <v>0</v>
      </c>
      <c r="L9971" t="n">
        <v>0</v>
      </c>
      <c r="M9971" t="n">
        <v>0</v>
      </c>
      <c r="N9971" t="n">
        <v>0</v>
      </c>
      <c r="O9971" t="n">
        <v>0</v>
      </c>
      <c r="P9971" t="n">
        <v>0</v>
      </c>
      <c r="Q9971" t="n">
        <v>0</v>
      </c>
      <c r="R9971" t="n">
        <v>0</v>
      </c>
      <c r="S9971" t="n">
        <v>0</v>
      </c>
      <c r="T9971" t="n">
        <v>0</v>
      </c>
      <c r="U9971" t="n">
        <v>0</v>
      </c>
      <c r="V9971" s="2" t="inlineStr"/>
    </row>
    <row r="9972" ht="15" customHeight="1">
      <c r="A9972" t="inlineStr">
        <is>
          <t>A 33572-2026</t>
        </is>
      </c>
      <c r="B9972" t="inlineStr">
        <is>
          <t>avverkningsanmälan</t>
        </is>
      </c>
      <c r="C9972" t="inlineStr">
        <is>
          <t>Föryngringsavverkning</t>
        </is>
      </c>
      <c r="D9972" s="1" t="n">
        <v>46248</v>
      </c>
      <c r="E9972" s="1" t="n">
        <v>46326</v>
      </c>
      <c r="F9972" t="inlineStr">
        <is>
          <t>GÄVLEBORGS LÄN</t>
        </is>
      </c>
      <c r="G9972" t="inlineStr">
        <is>
          <t>HUDIKSVALL</t>
        </is>
      </c>
      <c r="H9972" t="inlineStr">
        <is>
          <t>Naturvårdsverket</t>
        </is>
      </c>
      <c r="I9972" t="n">
        <v>1.8</v>
      </c>
      <c r="J9972" t="n">
        <v>0</v>
      </c>
      <c r="K9972" t="n">
        <v>0</v>
      </c>
      <c r="L9972" t="n">
        <v>0</v>
      </c>
      <c r="M9972" t="n">
        <v>0</v>
      </c>
      <c r="N9972" t="n">
        <v>0</v>
      </c>
      <c r="O9972" t="n">
        <v>0</v>
      </c>
      <c r="P9972" t="n">
        <v>0</v>
      </c>
      <c r="Q9972" t="n">
        <v>0</v>
      </c>
      <c r="R9972" t="n">
        <v>0</v>
      </c>
      <c r="S9972" t="n">
        <v>0</v>
      </c>
      <c r="T9972" t="n">
        <v>0</v>
      </c>
      <c r="U9972" t="n">
        <v>0</v>
      </c>
      <c r="V9972" s="2" t="inlineStr"/>
    </row>
    <row r="9973" ht="15" customHeight="1">
      <c r="A9973" t="inlineStr">
        <is>
          <t>A 40123-2026</t>
        </is>
      </c>
      <c r="B9973" t="inlineStr">
        <is>
          <t>avverkningsanmälan</t>
        </is>
      </c>
      <c r="C9973" t="inlineStr">
        <is>
          <t>Föryngringsavverkning</t>
        </is>
      </c>
      <c r="D9973" s="1" t="n">
        <v>46293</v>
      </c>
      <c r="E9973" s="1" t="n">
        <v>46326</v>
      </c>
      <c r="F9973" t="inlineStr">
        <is>
          <t>GÄVLEBORGS LÄN</t>
        </is>
      </c>
      <c r="G9973" t="inlineStr">
        <is>
          <t>BOLLNÄS</t>
        </is>
      </c>
      <c r="H9973" t="inlineStr">
        <is>
          <t>Bergvik skog väst AB</t>
        </is>
      </c>
      <c r="I9973" t="n">
        <v>15</v>
      </c>
      <c r="J9973" t="n">
        <v>0</v>
      </c>
      <c r="K9973" t="n">
        <v>0</v>
      </c>
      <c r="L9973" t="n">
        <v>0</v>
      </c>
      <c r="M9973" t="n">
        <v>0</v>
      </c>
      <c r="N9973" t="n">
        <v>0</v>
      </c>
      <c r="O9973" t="n">
        <v>0</v>
      </c>
      <c r="P9973" t="n">
        <v>0</v>
      </c>
      <c r="Q9973" t="n">
        <v>0</v>
      </c>
      <c r="R9973" t="n">
        <v>0</v>
      </c>
      <c r="S9973" t="n">
        <v>0</v>
      </c>
      <c r="T9973" t="n">
        <v>0</v>
      </c>
      <c r="U9973" t="n">
        <v>0</v>
      </c>
      <c r="V9973" s="2" t="inlineStr"/>
    </row>
    <row r="9974" ht="15" customHeight="1">
      <c r="A9974" t="inlineStr">
        <is>
          <t>A 40052-2026</t>
        </is>
      </c>
      <c r="B9974" t="inlineStr">
        <is>
          <t>avverkningsanmälan</t>
        </is>
      </c>
      <c r="C9974" t="inlineStr">
        <is>
          <t>Föryngringsavverkning</t>
        </is>
      </c>
      <c r="D9974" s="1" t="n">
        <v>46293</v>
      </c>
      <c r="E9974" s="1" t="n">
        <v>46326</v>
      </c>
      <c r="F9974" t="inlineStr">
        <is>
          <t>GÄVLEBORGS LÄN</t>
        </is>
      </c>
      <c r="G9974" t="inlineStr">
        <is>
          <t>GÄVLE</t>
        </is>
      </c>
      <c r="H9974" t="inlineStr">
        <is>
          <t>Bergvik skog väst AB</t>
        </is>
      </c>
      <c r="I9974" t="n">
        <v>1.2</v>
      </c>
      <c r="J9974" t="n">
        <v>0</v>
      </c>
      <c r="K9974" t="n">
        <v>0</v>
      </c>
      <c r="L9974" t="n">
        <v>0</v>
      </c>
      <c r="M9974" t="n">
        <v>0</v>
      </c>
      <c r="N9974" t="n">
        <v>0</v>
      </c>
      <c r="O9974" t="n">
        <v>0</v>
      </c>
      <c r="P9974" t="n">
        <v>0</v>
      </c>
      <c r="Q9974" t="n">
        <v>0</v>
      </c>
      <c r="R9974" t="n">
        <v>0</v>
      </c>
      <c r="S9974" t="n">
        <v>0</v>
      </c>
      <c r="T9974" t="n">
        <v>0</v>
      </c>
      <c r="U9974" t="n">
        <v>0</v>
      </c>
      <c r="V9974" s="2" t="inlineStr"/>
    </row>
    <row r="9975" ht="15" customHeight="1">
      <c r="A9975" t="inlineStr">
        <is>
          <t>A 39875-2026</t>
        </is>
      </c>
      <c r="B9975" t="inlineStr">
        <is>
          <t>avverkningsanmälan</t>
        </is>
      </c>
      <c r="C9975" t="inlineStr">
        <is>
          <t>Föryngringsavverkning</t>
        </is>
      </c>
      <c r="D9975" s="1" t="n">
        <v>46290</v>
      </c>
      <c r="E9975" s="1" t="n">
        <v>46326</v>
      </c>
      <c r="F9975" t="inlineStr">
        <is>
          <t>GÄVLEBORGS LÄN</t>
        </is>
      </c>
      <c r="G9975" t="inlineStr">
        <is>
          <t>OVANÅKER</t>
        </is>
      </c>
      <c r="I9975" t="n">
        <v>3.9</v>
      </c>
      <c r="J9975" t="n">
        <v>0</v>
      </c>
      <c r="K9975" t="n">
        <v>0</v>
      </c>
      <c r="L9975" t="n">
        <v>0</v>
      </c>
      <c r="M9975" t="n">
        <v>0</v>
      </c>
      <c r="N9975" t="n">
        <v>0</v>
      </c>
      <c r="O9975" t="n">
        <v>0</v>
      </c>
      <c r="P9975" t="n">
        <v>0</v>
      </c>
      <c r="Q9975" t="n">
        <v>0</v>
      </c>
      <c r="R9975" t="n">
        <v>0</v>
      </c>
      <c r="S9975" t="n">
        <v>0</v>
      </c>
      <c r="T9975" t="n">
        <v>0</v>
      </c>
      <c r="U9975" t="n">
        <v>0</v>
      </c>
      <c r="V9975" s="2" t="inlineStr"/>
    </row>
    <row r="9976" ht="15" customHeight="1">
      <c r="A9976" t="inlineStr">
        <is>
          <t>A 40008-2026</t>
        </is>
      </c>
      <c r="B9976" t="inlineStr">
        <is>
          <t>avverkningsanmälan</t>
        </is>
      </c>
      <c r="C9976" t="inlineStr">
        <is>
          <t>Föryngringsavverkning</t>
        </is>
      </c>
      <c r="D9976" s="1" t="n">
        <v>46293</v>
      </c>
      <c r="E9976" s="1" t="n">
        <v>46326</v>
      </c>
      <c r="F9976" t="inlineStr">
        <is>
          <t>GÄVLEBORGS LÄN</t>
        </is>
      </c>
      <c r="G9976" t="inlineStr">
        <is>
          <t>LJUSDAL</t>
        </is>
      </c>
      <c r="H9976" t="inlineStr">
        <is>
          <t>Allmännings- och besparingsskogar</t>
        </is>
      </c>
      <c r="I9976" t="n">
        <v>3.9</v>
      </c>
      <c r="J9976" t="n">
        <v>0</v>
      </c>
      <c r="K9976" t="n">
        <v>0</v>
      </c>
      <c r="L9976" t="n">
        <v>0</v>
      </c>
      <c r="M9976" t="n">
        <v>0</v>
      </c>
      <c r="N9976" t="n">
        <v>0</v>
      </c>
      <c r="O9976" t="n">
        <v>0</v>
      </c>
      <c r="P9976" t="n">
        <v>0</v>
      </c>
      <c r="Q9976" t="n">
        <v>0</v>
      </c>
      <c r="R9976" t="n">
        <v>0</v>
      </c>
      <c r="S9976" t="n">
        <v>0</v>
      </c>
      <c r="T9976" t="n">
        <v>0</v>
      </c>
      <c r="U9976" t="n">
        <v>0</v>
      </c>
      <c r="V9976" s="2" t="inlineStr"/>
    </row>
    <row r="9977" ht="15" customHeight="1">
      <c r="A9977" t="inlineStr">
        <is>
          <t>A 6964-2025</t>
        </is>
      </c>
      <c r="B9977" t="inlineStr">
        <is>
          <t>avverkningsanmälan</t>
        </is>
      </c>
      <c r="C9977" t="inlineStr">
        <is>
          <t>Föryngringsavverkning</t>
        </is>
      </c>
      <c r="D9977" s="1" t="n">
        <v>45701</v>
      </c>
      <c r="E9977" s="1" t="n">
        <v>46326</v>
      </c>
      <c r="F9977" t="inlineStr">
        <is>
          <t>GÄVLEBORGS LÄN</t>
        </is>
      </c>
      <c r="G9977" t="inlineStr">
        <is>
          <t>LJUSDAL</t>
        </is>
      </c>
      <c r="I9977" t="n">
        <v>4.2</v>
      </c>
      <c r="J9977" t="n">
        <v>0</v>
      </c>
      <c r="K9977" t="n">
        <v>0</v>
      </c>
      <c r="L9977" t="n">
        <v>0</v>
      </c>
      <c r="M9977" t="n">
        <v>0</v>
      </c>
      <c r="N9977" t="n">
        <v>0</v>
      </c>
      <c r="O9977" t="n">
        <v>0</v>
      </c>
      <c r="P9977" t="n">
        <v>0</v>
      </c>
      <c r="Q9977" t="n">
        <v>0</v>
      </c>
      <c r="R9977" t="n">
        <v>0</v>
      </c>
      <c r="S9977" t="n">
        <v>0</v>
      </c>
      <c r="T9977" t="n">
        <v>0</v>
      </c>
      <c r="U9977" t="n">
        <v>0</v>
      </c>
      <c r="V9977" s="2" t="inlineStr"/>
    </row>
    <row r="9978" ht="15" customHeight="1">
      <c r="A9978" t="inlineStr">
        <is>
          <t>A 34429-2024</t>
        </is>
      </c>
      <c r="B9978" t="inlineStr">
        <is>
          <t>avverkningsanmälan</t>
        </is>
      </c>
      <c r="C9978" t="inlineStr">
        <is>
          <t>Föryngringsavverkning</t>
        </is>
      </c>
      <c r="D9978" s="1" t="n">
        <v>45525</v>
      </c>
      <c r="E9978" s="1" t="n">
        <v>46326</v>
      </c>
      <c r="F9978" t="inlineStr">
        <is>
          <t>GÄVLEBORGS LÄN</t>
        </is>
      </c>
      <c r="G9978" t="inlineStr">
        <is>
          <t>SANDVIKEN</t>
        </is>
      </c>
      <c r="H9978" t="inlineStr">
        <is>
          <t>Bergvik skog öst AB</t>
        </is>
      </c>
      <c r="I9978" t="n">
        <v>2.8</v>
      </c>
      <c r="J9978" t="n">
        <v>0</v>
      </c>
      <c r="K9978" t="n">
        <v>0</v>
      </c>
      <c r="L9978" t="n">
        <v>0</v>
      </c>
      <c r="M9978" t="n">
        <v>0</v>
      </c>
      <c r="N9978" t="n">
        <v>0</v>
      </c>
      <c r="O9978" t="n">
        <v>0</v>
      </c>
      <c r="P9978" t="n">
        <v>0</v>
      </c>
      <c r="Q9978" t="n">
        <v>0</v>
      </c>
      <c r="R9978" t="n">
        <v>0</v>
      </c>
      <c r="S9978" t="n">
        <v>0</v>
      </c>
      <c r="T9978" t="n">
        <v>0</v>
      </c>
      <c r="U9978" t="n">
        <v>0</v>
      </c>
      <c r="V9978" s="2" t="inlineStr"/>
    </row>
    <row r="9979" ht="15" customHeight="1">
      <c r="A9979" t="inlineStr">
        <is>
          <t>A 33471-2026</t>
        </is>
      </c>
      <c r="B9979" t="inlineStr">
        <is>
          <t>avverkningsanmälan</t>
        </is>
      </c>
      <c r="C9979" t="inlineStr">
        <is>
          <t>Föryngringsavverkning</t>
        </is>
      </c>
      <c r="D9979" s="1" t="n">
        <v>46247</v>
      </c>
      <c r="E9979" s="1" t="n">
        <v>46326</v>
      </c>
      <c r="F9979" t="inlineStr">
        <is>
          <t>GÄVLEBORGS LÄN</t>
        </is>
      </c>
      <c r="G9979" t="inlineStr">
        <is>
          <t>LJUSDAL</t>
        </is>
      </c>
      <c r="H9979" t="inlineStr">
        <is>
          <t>Sveaskog</t>
        </is>
      </c>
      <c r="I9979" t="n">
        <v>4.2</v>
      </c>
      <c r="J9979" t="n">
        <v>0</v>
      </c>
      <c r="K9979" t="n">
        <v>0</v>
      </c>
      <c r="L9979" t="n">
        <v>0</v>
      </c>
      <c r="M9979" t="n">
        <v>0</v>
      </c>
      <c r="N9979" t="n">
        <v>0</v>
      </c>
      <c r="O9979" t="n">
        <v>0</v>
      </c>
      <c r="P9979" t="n">
        <v>0</v>
      </c>
      <c r="Q9979" t="n">
        <v>0</v>
      </c>
      <c r="R9979" t="n">
        <v>0</v>
      </c>
      <c r="S9979" t="n">
        <v>0</v>
      </c>
      <c r="T9979" t="n">
        <v>0</v>
      </c>
      <c r="U9979" t="n">
        <v>0</v>
      </c>
      <c r="V9979" s="2" t="inlineStr"/>
    </row>
    <row r="9980" ht="15" customHeight="1">
      <c r="A9980" t="inlineStr">
        <is>
          <t>A 8580-2026</t>
        </is>
      </c>
      <c r="B9980" t="inlineStr">
        <is>
          <t>avverkningsanmälan</t>
        </is>
      </c>
      <c r="C9980" t="inlineStr">
        <is>
          <t>Föryngringsavverkning</t>
        </is>
      </c>
      <c r="D9980" s="1" t="n">
        <v>46065</v>
      </c>
      <c r="E9980" s="1" t="n">
        <v>46326</v>
      </c>
      <c r="F9980" t="inlineStr">
        <is>
          <t>GÄVLEBORGS LÄN</t>
        </is>
      </c>
      <c r="G9980" t="inlineStr">
        <is>
          <t>BOLLNÄS</t>
        </is>
      </c>
      <c r="H9980" t="inlineStr">
        <is>
          <t>Bergvik skog väst AB</t>
        </is>
      </c>
      <c r="I9980" t="n">
        <v>4.1</v>
      </c>
      <c r="J9980" t="n">
        <v>0</v>
      </c>
      <c r="K9980" t="n">
        <v>0</v>
      </c>
      <c r="L9980" t="n">
        <v>0</v>
      </c>
      <c r="M9980" t="n">
        <v>0</v>
      </c>
      <c r="N9980" t="n">
        <v>0</v>
      </c>
      <c r="O9980" t="n">
        <v>0</v>
      </c>
      <c r="P9980" t="n">
        <v>0</v>
      </c>
      <c r="Q9980" t="n">
        <v>0</v>
      </c>
      <c r="R9980" t="n">
        <v>0</v>
      </c>
      <c r="S9980" t="n">
        <v>0</v>
      </c>
      <c r="T9980" t="n">
        <v>0</v>
      </c>
      <c r="U9980" t="n">
        <v>0</v>
      </c>
      <c r="V9980" s="2" t="inlineStr"/>
    </row>
    <row r="9981" ht="15" customHeight="1">
      <c r="A9981" t="inlineStr">
        <is>
          <t>A 23467-2026</t>
        </is>
      </c>
      <c r="B9981" t="inlineStr">
        <is>
          <t>avverkningsanmälan</t>
        </is>
      </c>
      <c r="C9981" t="inlineStr">
        <is>
          <t>Föryngringsavverkning</t>
        </is>
      </c>
      <c r="D9981" s="1" t="n">
        <v>46163</v>
      </c>
      <c r="E9981" s="1" t="n">
        <v>46326</v>
      </c>
      <c r="F9981" t="inlineStr">
        <is>
          <t>GÄVLEBORGS LÄN</t>
        </is>
      </c>
      <c r="G9981" t="inlineStr">
        <is>
          <t>SÖDERHAMN</t>
        </is>
      </c>
      <c r="I9981" t="n">
        <v>1.3</v>
      </c>
      <c r="J9981" t="n">
        <v>0</v>
      </c>
      <c r="K9981" t="n">
        <v>0</v>
      </c>
      <c r="L9981" t="n">
        <v>0</v>
      </c>
      <c r="M9981" t="n">
        <v>0</v>
      </c>
      <c r="N9981" t="n">
        <v>0</v>
      </c>
      <c r="O9981" t="n">
        <v>0</v>
      </c>
      <c r="P9981" t="n">
        <v>0</v>
      </c>
      <c r="Q9981" t="n">
        <v>0</v>
      </c>
      <c r="R9981" t="n">
        <v>0</v>
      </c>
      <c r="S9981" t="n">
        <v>0</v>
      </c>
      <c r="T9981" t="n">
        <v>0</v>
      </c>
      <c r="U9981" t="n">
        <v>0</v>
      </c>
      <c r="V9981" s="2" t="inlineStr"/>
    </row>
    <row r="9982" ht="15" customHeight="1">
      <c r="A9982" t="inlineStr">
        <is>
          <t>A 31820-2026</t>
        </is>
      </c>
      <c r="B9982" t="inlineStr">
        <is>
          <t>avverkningsanmälan</t>
        </is>
      </c>
      <c r="C9982" t="inlineStr">
        <is>
          <t>Föryngringsavverkning</t>
        </is>
      </c>
      <c r="D9982" s="1" t="n">
        <v>46230</v>
      </c>
      <c r="E9982" s="1" t="n">
        <v>46326</v>
      </c>
      <c r="F9982" t="inlineStr">
        <is>
          <t>GÄVLEBORGS LÄN</t>
        </is>
      </c>
      <c r="G9982" t="inlineStr">
        <is>
          <t>OVANÅKER</t>
        </is>
      </c>
      <c r="H9982" t="inlineStr">
        <is>
          <t>Bergvik skog väst AB</t>
        </is>
      </c>
      <c r="I9982" t="n">
        <v>9</v>
      </c>
      <c r="J9982" t="n">
        <v>0</v>
      </c>
      <c r="K9982" t="n">
        <v>0</v>
      </c>
      <c r="L9982" t="n">
        <v>0</v>
      </c>
      <c r="M9982" t="n">
        <v>0</v>
      </c>
      <c r="N9982" t="n">
        <v>0</v>
      </c>
      <c r="O9982" t="n">
        <v>0</v>
      </c>
      <c r="P9982" t="n">
        <v>0</v>
      </c>
      <c r="Q9982" t="n">
        <v>0</v>
      </c>
      <c r="R9982" t="n">
        <v>0</v>
      </c>
      <c r="S9982" t="n">
        <v>0</v>
      </c>
      <c r="T9982" t="n">
        <v>0</v>
      </c>
      <c r="U9982" t="n">
        <v>0</v>
      </c>
      <c r="V9982" s="2" t="inlineStr"/>
    </row>
    <row r="9983" ht="15" customHeight="1">
      <c r="A9983" t="inlineStr">
        <is>
          <t>A 22611-2025</t>
        </is>
      </c>
      <c r="B9983" t="inlineStr">
        <is>
          <t>avverkningsanmälan</t>
        </is>
      </c>
      <c r="C9983" t="inlineStr">
        <is>
          <t>Föryngringsavverkning</t>
        </is>
      </c>
      <c r="D9983" s="1" t="n">
        <v>45789</v>
      </c>
      <c r="E9983" s="1" t="n">
        <v>46326</v>
      </c>
      <c r="F9983" t="inlineStr">
        <is>
          <t>GÄVLEBORGS LÄN</t>
        </is>
      </c>
      <c r="G9983" t="inlineStr">
        <is>
          <t>HUDIKSVALL</t>
        </is>
      </c>
      <c r="H9983" t="inlineStr">
        <is>
          <t>Holmen skog AB</t>
        </is>
      </c>
      <c r="I9983" t="n">
        <v>2.3</v>
      </c>
      <c r="J9983" t="n">
        <v>0</v>
      </c>
      <c r="K9983" t="n">
        <v>0</v>
      </c>
      <c r="L9983" t="n">
        <v>0</v>
      </c>
      <c r="M9983" t="n">
        <v>0</v>
      </c>
      <c r="N9983" t="n">
        <v>0</v>
      </c>
      <c r="O9983" t="n">
        <v>0</v>
      </c>
      <c r="P9983" t="n">
        <v>0</v>
      </c>
      <c r="Q9983" t="n">
        <v>0</v>
      </c>
      <c r="R9983" t="n">
        <v>0</v>
      </c>
      <c r="S9983" t="n">
        <v>0</v>
      </c>
      <c r="T9983" t="n">
        <v>0</v>
      </c>
      <c r="U9983" t="n">
        <v>0</v>
      </c>
      <c r="V9983" s="2" t="inlineStr"/>
    </row>
    <row r="9984" ht="15" customHeight="1">
      <c r="A9984" t="inlineStr">
        <is>
          <t>A 34036-2026</t>
        </is>
      </c>
      <c r="B9984" t="inlineStr">
        <is>
          <t>avverkningsanmälan</t>
        </is>
      </c>
      <c r="C9984" t="inlineStr">
        <is>
          <t>Föryngringsavverkning</t>
        </is>
      </c>
      <c r="D9984" s="1" t="n">
        <v>46252</v>
      </c>
      <c r="E9984" s="1" t="n">
        <v>46326</v>
      </c>
      <c r="F9984" t="inlineStr">
        <is>
          <t>GÄVLEBORGS LÄN</t>
        </is>
      </c>
      <c r="G9984" t="inlineStr">
        <is>
          <t>SANDVIKEN</t>
        </is>
      </c>
      <c r="I9984" t="n">
        <v>0.9</v>
      </c>
      <c r="J9984" t="n">
        <v>0</v>
      </c>
      <c r="K9984" t="n">
        <v>0</v>
      </c>
      <c r="L9984" t="n">
        <v>0</v>
      </c>
      <c r="M9984" t="n">
        <v>0</v>
      </c>
      <c r="N9984" t="n">
        <v>0</v>
      </c>
      <c r="O9984" t="n">
        <v>0</v>
      </c>
      <c r="P9984" t="n">
        <v>0</v>
      </c>
      <c r="Q9984" t="n">
        <v>0</v>
      </c>
      <c r="R9984" t="n">
        <v>0</v>
      </c>
      <c r="S9984" t="n">
        <v>0</v>
      </c>
      <c r="T9984" t="n">
        <v>0</v>
      </c>
      <c r="U9984" t="n">
        <v>0</v>
      </c>
      <c r="V9984" s="2" t="inlineStr"/>
    </row>
    <row r="9985" ht="15" customHeight="1">
      <c r="A9985" t="inlineStr">
        <is>
          <t>A 24889-2026</t>
        </is>
      </c>
      <c r="B9985" t="inlineStr">
        <is>
          <t>avverkningsanmälan</t>
        </is>
      </c>
      <c r="C9985" t="inlineStr">
        <is>
          <t>Föryngringsavverkning</t>
        </is>
      </c>
      <c r="D9985" s="1" t="n">
        <v>46174</v>
      </c>
      <c r="E9985" s="1" t="n">
        <v>46326</v>
      </c>
      <c r="F9985" t="inlineStr">
        <is>
          <t>GÄVLEBORGS LÄN</t>
        </is>
      </c>
      <c r="G9985" t="inlineStr">
        <is>
          <t>BOLLNÄS</t>
        </is>
      </c>
      <c r="I9985" t="n">
        <v>3.4</v>
      </c>
      <c r="J9985" t="n">
        <v>0</v>
      </c>
      <c r="K9985" t="n">
        <v>0</v>
      </c>
      <c r="L9985" t="n">
        <v>0</v>
      </c>
      <c r="M9985" t="n">
        <v>0</v>
      </c>
      <c r="N9985" t="n">
        <v>0</v>
      </c>
      <c r="O9985" t="n">
        <v>0</v>
      </c>
      <c r="P9985" t="n">
        <v>0</v>
      </c>
      <c r="Q9985" t="n">
        <v>0</v>
      </c>
      <c r="R9985" t="n">
        <v>0</v>
      </c>
      <c r="S9985" t="n">
        <v>0</v>
      </c>
      <c r="T9985" t="n">
        <v>0</v>
      </c>
      <c r="U9985" t="n">
        <v>0</v>
      </c>
      <c r="V9985" s="2" t="inlineStr"/>
    </row>
    <row r="9986" ht="15" customHeight="1">
      <c r="A9986" t="inlineStr">
        <is>
          <t>A 23268-2026</t>
        </is>
      </c>
      <c r="B9986" t="inlineStr">
        <is>
          <t>avverkningsanmälan</t>
        </is>
      </c>
      <c r="C9986" t="inlineStr">
        <is>
          <t>Föryngringsavverkning</t>
        </is>
      </c>
      <c r="D9986" s="1" t="n">
        <v>46162</v>
      </c>
      <c r="E9986" s="1" t="n">
        <v>46326</v>
      </c>
      <c r="F9986" t="inlineStr">
        <is>
          <t>GÄVLEBORGS LÄN</t>
        </is>
      </c>
      <c r="G9986" t="inlineStr">
        <is>
          <t>BOLLNÄS</t>
        </is>
      </c>
      <c r="I9986" t="n">
        <v>3.6</v>
      </c>
      <c r="J9986" t="n">
        <v>0</v>
      </c>
      <c r="K9986" t="n">
        <v>0</v>
      </c>
      <c r="L9986" t="n">
        <v>0</v>
      </c>
      <c r="M9986" t="n">
        <v>0</v>
      </c>
      <c r="N9986" t="n">
        <v>0</v>
      </c>
      <c r="O9986" t="n">
        <v>0</v>
      </c>
      <c r="P9986" t="n">
        <v>0</v>
      </c>
      <c r="Q9986" t="n">
        <v>0</v>
      </c>
      <c r="R9986" t="n">
        <v>0</v>
      </c>
      <c r="S9986" t="n">
        <v>0</v>
      </c>
      <c r="T9986" t="n">
        <v>0</v>
      </c>
      <c r="U9986" t="n">
        <v>0</v>
      </c>
      <c r="V9986" s="2" t="inlineStr"/>
    </row>
    <row r="9987" ht="15" customHeight="1">
      <c r="A9987" t="inlineStr">
        <is>
          <t>A 23272-2026</t>
        </is>
      </c>
      <c r="B9987" t="inlineStr">
        <is>
          <t>avverkningsanmälan</t>
        </is>
      </c>
      <c r="C9987" t="inlineStr">
        <is>
          <t>Föryngringsavverkning</t>
        </is>
      </c>
      <c r="D9987" s="1" t="n">
        <v>46162</v>
      </c>
      <c r="E9987" s="1" t="n">
        <v>46326</v>
      </c>
      <c r="F9987" t="inlineStr">
        <is>
          <t>GÄVLEBORGS LÄN</t>
        </is>
      </c>
      <c r="G9987" t="inlineStr">
        <is>
          <t>BOLLNÄS</t>
        </is>
      </c>
      <c r="I9987" t="n">
        <v>6.7</v>
      </c>
      <c r="J9987" t="n">
        <v>0</v>
      </c>
      <c r="K9987" t="n">
        <v>0</v>
      </c>
      <c r="L9987" t="n">
        <v>0</v>
      </c>
      <c r="M9987" t="n">
        <v>0</v>
      </c>
      <c r="N9987" t="n">
        <v>0</v>
      </c>
      <c r="O9987" t="n">
        <v>0</v>
      </c>
      <c r="P9987" t="n">
        <v>0</v>
      </c>
      <c r="Q9987" t="n">
        <v>0</v>
      </c>
      <c r="R9987" t="n">
        <v>0</v>
      </c>
      <c r="S9987" t="n">
        <v>0</v>
      </c>
      <c r="T9987" t="n">
        <v>0</v>
      </c>
      <c r="U9987" t="n">
        <v>0</v>
      </c>
      <c r="V9987" s="2" t="inlineStr"/>
    </row>
    <row r="9988" ht="15" customHeight="1">
      <c r="A9988" t="inlineStr">
        <is>
          <t>A 23278-2026</t>
        </is>
      </c>
      <c r="B9988" t="inlineStr">
        <is>
          <t>avverkningsanmälan</t>
        </is>
      </c>
      <c r="C9988" t="inlineStr">
        <is>
          <t>Föryngringsavverkning</t>
        </is>
      </c>
      <c r="D9988" s="1" t="n">
        <v>46162</v>
      </c>
      <c r="E9988" s="1" t="n">
        <v>46326</v>
      </c>
      <c r="F9988" t="inlineStr">
        <is>
          <t>GÄVLEBORGS LÄN</t>
        </is>
      </c>
      <c r="G9988" t="inlineStr">
        <is>
          <t>BOLLNÄS</t>
        </is>
      </c>
      <c r="I9988" t="n">
        <v>0.7</v>
      </c>
      <c r="J9988" t="n">
        <v>0</v>
      </c>
      <c r="K9988" t="n">
        <v>0</v>
      </c>
      <c r="L9988" t="n">
        <v>0</v>
      </c>
      <c r="M9988" t="n">
        <v>0</v>
      </c>
      <c r="N9988" t="n">
        <v>0</v>
      </c>
      <c r="O9988" t="n">
        <v>0</v>
      </c>
      <c r="P9988" t="n">
        <v>0</v>
      </c>
      <c r="Q9988" t="n">
        <v>0</v>
      </c>
      <c r="R9988" t="n">
        <v>0</v>
      </c>
      <c r="S9988" t="n">
        <v>0</v>
      </c>
      <c r="T9988" t="n">
        <v>0</v>
      </c>
      <c r="U9988" t="n">
        <v>0</v>
      </c>
      <c r="V9988" s="2" t="inlineStr"/>
    </row>
    <row r="9989" ht="15" customHeight="1">
      <c r="A9989" t="inlineStr">
        <is>
          <t>A 25209-2026</t>
        </is>
      </c>
      <c r="B9989" t="inlineStr">
        <is>
          <t>avverkningsanmälan</t>
        </is>
      </c>
      <c r="C9989" t="inlineStr">
        <is>
          <t>Föryngringsavverkning</t>
        </is>
      </c>
      <c r="D9989" s="1" t="n">
        <v>46175</v>
      </c>
      <c r="E9989" s="1" t="n">
        <v>46326</v>
      </c>
      <c r="F9989" t="inlineStr">
        <is>
          <t>GÄVLEBORGS LÄN</t>
        </is>
      </c>
      <c r="G9989" t="inlineStr">
        <is>
          <t>BOLLNÄS</t>
        </is>
      </c>
      <c r="I9989" t="n">
        <v>1.2</v>
      </c>
      <c r="J9989" t="n">
        <v>0</v>
      </c>
      <c r="K9989" t="n">
        <v>0</v>
      </c>
      <c r="L9989" t="n">
        <v>0</v>
      </c>
      <c r="M9989" t="n">
        <v>0</v>
      </c>
      <c r="N9989" t="n">
        <v>0</v>
      </c>
      <c r="O9989" t="n">
        <v>0</v>
      </c>
      <c r="P9989" t="n">
        <v>0</v>
      </c>
      <c r="Q9989" t="n">
        <v>0</v>
      </c>
      <c r="R9989" t="n">
        <v>0</v>
      </c>
      <c r="S9989" t="n">
        <v>0</v>
      </c>
      <c r="T9989" t="n">
        <v>0</v>
      </c>
      <c r="U9989" t="n">
        <v>0</v>
      </c>
      <c r="V9989" s="2" t="inlineStr"/>
    </row>
    <row r="9990" ht="15" customHeight="1">
      <c r="A9990" t="inlineStr">
        <is>
          <t>A 25218-2026</t>
        </is>
      </c>
      <c r="B9990" t="inlineStr">
        <is>
          <t>avverkningsanmälan</t>
        </is>
      </c>
      <c r="C9990" t="inlineStr">
        <is>
          <t>Föryngringsavverkning</t>
        </is>
      </c>
      <c r="D9990" s="1" t="n">
        <v>46175</v>
      </c>
      <c r="E9990" s="1" t="n">
        <v>46326</v>
      </c>
      <c r="F9990" t="inlineStr">
        <is>
          <t>GÄVLEBORGS LÄN</t>
        </is>
      </c>
      <c r="G9990" t="inlineStr">
        <is>
          <t>OVANÅKER</t>
        </is>
      </c>
      <c r="I9990" t="n">
        <v>9.4</v>
      </c>
      <c r="J9990" t="n">
        <v>0</v>
      </c>
      <c r="K9990" t="n">
        <v>0</v>
      </c>
      <c r="L9990" t="n">
        <v>0</v>
      </c>
      <c r="M9990" t="n">
        <v>0</v>
      </c>
      <c r="N9990" t="n">
        <v>0</v>
      </c>
      <c r="O9990" t="n">
        <v>0</v>
      </c>
      <c r="P9990" t="n">
        <v>0</v>
      </c>
      <c r="Q9990" t="n">
        <v>0</v>
      </c>
      <c r="R9990" t="n">
        <v>0</v>
      </c>
      <c r="S9990" t="n">
        <v>0</v>
      </c>
      <c r="T9990" t="n">
        <v>0</v>
      </c>
      <c r="U9990" t="n">
        <v>0</v>
      </c>
      <c r="V9990" s="2" t="inlineStr"/>
    </row>
    <row r="9991" ht="15" customHeight="1">
      <c r="A9991" t="inlineStr">
        <is>
          <t>A 24367-2026</t>
        </is>
      </c>
      <c r="B9991" t="inlineStr">
        <is>
          <t>avverkningsanmälan</t>
        </is>
      </c>
      <c r="C9991" t="inlineStr">
        <is>
          <t>Föryngringsavverkning</t>
        </is>
      </c>
      <c r="D9991" s="1" t="n">
        <v>46169</v>
      </c>
      <c r="E9991" s="1" t="n">
        <v>46326</v>
      </c>
      <c r="F9991" t="inlineStr">
        <is>
          <t>GÄVLEBORGS LÄN</t>
        </is>
      </c>
      <c r="G9991" t="inlineStr">
        <is>
          <t>GÄVLE</t>
        </is>
      </c>
      <c r="I9991" t="n">
        <v>1.5</v>
      </c>
      <c r="J9991" t="n">
        <v>0</v>
      </c>
      <c r="K9991" t="n">
        <v>0</v>
      </c>
      <c r="L9991" t="n">
        <v>0</v>
      </c>
      <c r="M9991" t="n">
        <v>0</v>
      </c>
      <c r="N9991" t="n">
        <v>0</v>
      </c>
      <c r="O9991" t="n">
        <v>0</v>
      </c>
      <c r="P9991" t="n">
        <v>0</v>
      </c>
      <c r="Q9991" t="n">
        <v>0</v>
      </c>
      <c r="R9991" t="n">
        <v>0</v>
      </c>
      <c r="S9991" t="n">
        <v>0</v>
      </c>
      <c r="T9991" t="n">
        <v>0</v>
      </c>
      <c r="U9991" t="n">
        <v>0</v>
      </c>
      <c r="V9991" s="2" t="inlineStr"/>
    </row>
    <row r="9992" ht="15" customHeight="1">
      <c r="A9992" t="inlineStr">
        <is>
          <t>A 29179-2026</t>
        </is>
      </c>
      <c r="B9992" t="inlineStr">
        <is>
          <t>avverkningsanmälan</t>
        </is>
      </c>
      <c r="C9992" t="inlineStr">
        <is>
          <t>Föryngringsavverkning</t>
        </is>
      </c>
      <c r="D9992" s="1" t="n">
        <v>46202</v>
      </c>
      <c r="E9992" s="1" t="n">
        <v>46326</v>
      </c>
      <c r="F9992" t="inlineStr">
        <is>
          <t>GÄVLEBORGS LÄN</t>
        </is>
      </c>
      <c r="G9992" t="inlineStr">
        <is>
          <t>LJUSDAL</t>
        </is>
      </c>
      <c r="H9992" t="inlineStr">
        <is>
          <t>Allmännings- och besparingsskogar</t>
        </is>
      </c>
      <c r="I9992" t="n">
        <v>1</v>
      </c>
      <c r="J9992" t="n">
        <v>0</v>
      </c>
      <c r="K9992" t="n">
        <v>0</v>
      </c>
      <c r="L9992" t="n">
        <v>0</v>
      </c>
      <c r="M9992" t="n">
        <v>0</v>
      </c>
      <c r="N9992" t="n">
        <v>0</v>
      </c>
      <c r="O9992" t="n">
        <v>0</v>
      </c>
      <c r="P9992" t="n">
        <v>0</v>
      </c>
      <c r="Q9992" t="n">
        <v>0</v>
      </c>
      <c r="R9992" t="n">
        <v>0</v>
      </c>
      <c r="S9992" t="n">
        <v>0</v>
      </c>
      <c r="T9992" t="n">
        <v>0</v>
      </c>
      <c r="U9992" t="n">
        <v>0</v>
      </c>
      <c r="V9992" s="2" t="inlineStr"/>
    </row>
    <row r="9993" ht="15" customHeight="1">
      <c r="A9993" t="inlineStr">
        <is>
          <t>A 33414-2022</t>
        </is>
      </c>
      <c r="B9993" t="inlineStr">
        <is>
          <t>avverkningsanmälan</t>
        </is>
      </c>
      <c r="C9993" t="inlineStr">
        <is>
          <t>Föryngringsavverkning</t>
        </is>
      </c>
      <c r="D9993" s="1" t="n">
        <v>44788</v>
      </c>
      <c r="E9993" s="1" t="n">
        <v>46326</v>
      </c>
      <c r="F9993" t="inlineStr">
        <is>
          <t>GÄVLEBORGS LÄN</t>
        </is>
      </c>
      <c r="G9993" t="inlineStr">
        <is>
          <t>NORDANSTIG</t>
        </is>
      </c>
      <c r="I9993" t="n">
        <v>0.8</v>
      </c>
      <c r="J9993" t="n">
        <v>0</v>
      </c>
      <c r="K9993" t="n">
        <v>0</v>
      </c>
      <c r="L9993" t="n">
        <v>0</v>
      </c>
      <c r="M9993" t="n">
        <v>0</v>
      </c>
      <c r="N9993" t="n">
        <v>0</v>
      </c>
      <c r="O9993" t="n">
        <v>0</v>
      </c>
      <c r="P9993" t="n">
        <v>0</v>
      </c>
      <c r="Q9993" t="n">
        <v>0</v>
      </c>
      <c r="R9993" t="n">
        <v>0</v>
      </c>
      <c r="S9993" t="n">
        <v>0</v>
      </c>
      <c r="T9993" t="n">
        <v>0</v>
      </c>
      <c r="U9993" t="n">
        <v>0</v>
      </c>
      <c r="V9993" s="2" t="inlineStr"/>
    </row>
    <row r="9994" ht="15" customHeight="1">
      <c r="A9994" t="inlineStr">
        <is>
          <t>A 17678-2025</t>
        </is>
      </c>
      <c r="B9994" t="inlineStr">
        <is>
          <t>avverkningsanmälan</t>
        </is>
      </c>
      <c r="C9994" t="inlineStr">
        <is>
          <t>Föryngringsavverkning</t>
        </is>
      </c>
      <c r="D9994" s="1" t="n">
        <v>45758</v>
      </c>
      <c r="E9994" s="1" t="n">
        <v>46326</v>
      </c>
      <c r="F9994" t="inlineStr">
        <is>
          <t>GÄVLEBORGS LÄN</t>
        </is>
      </c>
      <c r="G9994" t="inlineStr">
        <is>
          <t>NORDANSTIG</t>
        </is>
      </c>
      <c r="H9994" t="inlineStr">
        <is>
          <t>Holmen skog AB</t>
        </is>
      </c>
      <c r="I9994" t="n">
        <v>3.8</v>
      </c>
      <c r="J9994" t="n">
        <v>0</v>
      </c>
      <c r="K9994" t="n">
        <v>0</v>
      </c>
      <c r="L9994" t="n">
        <v>0</v>
      </c>
      <c r="M9994" t="n">
        <v>0</v>
      </c>
      <c r="N9994" t="n">
        <v>0</v>
      </c>
      <c r="O9994" t="n">
        <v>0</v>
      </c>
      <c r="P9994" t="n">
        <v>0</v>
      </c>
      <c r="Q9994" t="n">
        <v>0</v>
      </c>
      <c r="R9994" t="n">
        <v>0</v>
      </c>
      <c r="S9994" t="n">
        <v>0</v>
      </c>
      <c r="T9994" t="n">
        <v>0</v>
      </c>
      <c r="U9994" t="n">
        <v>0</v>
      </c>
      <c r="V9994" s="2" t="inlineStr"/>
    </row>
    <row r="9995" ht="15" customHeight="1">
      <c r="A9995" t="inlineStr">
        <is>
          <t>A 64036-2025</t>
        </is>
      </c>
      <c r="B9995" t="inlineStr">
        <is>
          <t>avverkningsanmälan</t>
        </is>
      </c>
      <c r="C9995" t="inlineStr">
        <is>
          <t>Föryngringsavverkning</t>
        </is>
      </c>
      <c r="D9995" s="1" t="n">
        <v>46021</v>
      </c>
      <c r="E9995" s="1" t="n">
        <v>46326</v>
      </c>
      <c r="F9995" t="inlineStr">
        <is>
          <t>GÄVLEBORGS LÄN</t>
        </is>
      </c>
      <c r="G9995" t="inlineStr">
        <is>
          <t>HOFORS</t>
        </is>
      </c>
      <c r="I9995" t="n">
        <v>2</v>
      </c>
      <c r="J9995" t="n">
        <v>0</v>
      </c>
      <c r="K9995" t="n">
        <v>0</v>
      </c>
      <c r="L9995" t="n">
        <v>0</v>
      </c>
      <c r="M9995" t="n">
        <v>0</v>
      </c>
      <c r="N9995" t="n">
        <v>0</v>
      </c>
      <c r="O9995" t="n">
        <v>0</v>
      </c>
      <c r="P9995" t="n">
        <v>0</v>
      </c>
      <c r="Q9995" t="n">
        <v>0</v>
      </c>
      <c r="R9995" t="n">
        <v>0</v>
      </c>
      <c r="S9995" t="n">
        <v>0</v>
      </c>
      <c r="T9995" t="n">
        <v>0</v>
      </c>
      <c r="U9995" t="n">
        <v>0</v>
      </c>
      <c r="V9995" s="2" t="inlineStr"/>
    </row>
    <row r="9996" ht="15" customHeight="1">
      <c r="A9996" t="inlineStr">
        <is>
          <t>A 39179-2026</t>
        </is>
      </c>
      <c r="B9996" t="inlineStr">
        <is>
          <t>avverkningsanmälan</t>
        </is>
      </c>
      <c r="C9996" t="inlineStr">
        <is>
          <t>Avverkning för annat ändamål</t>
        </is>
      </c>
      <c r="D9996" s="1" t="n">
        <v>46287</v>
      </c>
      <c r="E9996" s="1" t="n">
        <v>46326</v>
      </c>
      <c r="F9996" t="inlineStr">
        <is>
          <t>GÄVLEBORGS LÄN</t>
        </is>
      </c>
      <c r="G9996" t="inlineStr">
        <is>
          <t>LJUSDAL</t>
        </is>
      </c>
      <c r="I9996" t="n">
        <v>0.8</v>
      </c>
      <c r="J9996" t="n">
        <v>0</v>
      </c>
      <c r="K9996" t="n">
        <v>0</v>
      </c>
      <c r="L9996" t="n">
        <v>0</v>
      </c>
      <c r="M9996" t="n">
        <v>0</v>
      </c>
      <c r="N9996" t="n">
        <v>0</v>
      </c>
      <c r="O9996" t="n">
        <v>0</v>
      </c>
      <c r="P9996" t="n">
        <v>0</v>
      </c>
      <c r="Q9996" t="n">
        <v>0</v>
      </c>
      <c r="R9996" t="n">
        <v>0</v>
      </c>
      <c r="S9996" t="n">
        <v>0</v>
      </c>
      <c r="T9996" t="n">
        <v>0</v>
      </c>
      <c r="U9996" t="n">
        <v>0</v>
      </c>
      <c r="V9996" s="2" t="inlineStr"/>
    </row>
    <row r="9997" ht="15" customHeight="1">
      <c r="A9997" t="inlineStr">
        <is>
          <t>A 21821-2025</t>
        </is>
      </c>
      <c r="B9997" t="inlineStr">
        <is>
          <t>avverkningsanmälan</t>
        </is>
      </c>
      <c r="C9997" t="inlineStr">
        <is>
          <t>Föryngringsavverkning</t>
        </is>
      </c>
      <c r="D9997" s="1" t="n">
        <v>45783</v>
      </c>
      <c r="E9997" s="1" t="n">
        <v>46326</v>
      </c>
      <c r="F9997" t="inlineStr">
        <is>
          <t>GÄVLEBORGS LÄN</t>
        </is>
      </c>
      <c r="G9997" t="inlineStr">
        <is>
          <t>HUDIKSVALL</t>
        </is>
      </c>
      <c r="H9997" t="inlineStr">
        <is>
          <t>Holmen skog AB</t>
        </is>
      </c>
      <c r="I9997" t="n">
        <v>44.8</v>
      </c>
      <c r="J9997" t="n">
        <v>0</v>
      </c>
      <c r="K9997" t="n">
        <v>0</v>
      </c>
      <c r="L9997" t="n">
        <v>0</v>
      </c>
      <c r="M9997" t="n">
        <v>0</v>
      </c>
      <c r="N9997" t="n">
        <v>0</v>
      </c>
      <c r="O9997" t="n">
        <v>0</v>
      </c>
      <c r="P9997" t="n">
        <v>0</v>
      </c>
      <c r="Q9997" t="n">
        <v>0</v>
      </c>
      <c r="R9997" t="n">
        <v>0</v>
      </c>
      <c r="S9997" t="n">
        <v>0</v>
      </c>
      <c r="T9997" t="n">
        <v>0</v>
      </c>
      <c r="U9997" t="n">
        <v>0</v>
      </c>
      <c r="V9997" s="2" t="inlineStr"/>
    </row>
    <row r="9998" ht="15" customHeight="1">
      <c r="A9998" t="inlineStr">
        <is>
          <t>A 40505-2026</t>
        </is>
      </c>
      <c r="B9998" t="inlineStr">
        <is>
          <t>avverkningsanmälan</t>
        </is>
      </c>
      <c r="C9998" t="inlineStr">
        <is>
          <t>Föryngringsavverkning</t>
        </is>
      </c>
      <c r="D9998" s="1" t="n">
        <v>46295</v>
      </c>
      <c r="E9998" s="1" t="n">
        <v>46326</v>
      </c>
      <c r="F9998" t="inlineStr">
        <is>
          <t>GÄVLEBORGS LÄN</t>
        </is>
      </c>
      <c r="G9998" t="inlineStr">
        <is>
          <t>GÄVLE</t>
        </is>
      </c>
      <c r="H9998" t="inlineStr">
        <is>
          <t>Bergvik skog öst AB</t>
        </is>
      </c>
      <c r="I9998" t="n">
        <v>2.5</v>
      </c>
      <c r="J9998" t="n">
        <v>0</v>
      </c>
      <c r="K9998" t="n">
        <v>0</v>
      </c>
      <c r="L9998" t="n">
        <v>0</v>
      </c>
      <c r="M9998" t="n">
        <v>0</v>
      </c>
      <c r="N9998" t="n">
        <v>0</v>
      </c>
      <c r="O9998" t="n">
        <v>0</v>
      </c>
      <c r="P9998" t="n">
        <v>0</v>
      </c>
      <c r="Q9998" t="n">
        <v>0</v>
      </c>
      <c r="R9998" t="n">
        <v>0</v>
      </c>
      <c r="S9998" t="n">
        <v>0</v>
      </c>
      <c r="T9998" t="n">
        <v>0</v>
      </c>
      <c r="U9998" t="n">
        <v>0</v>
      </c>
      <c r="V9998" s="2" t="inlineStr"/>
    </row>
    <row r="9999" ht="15" customHeight="1">
      <c r="A9999" t="inlineStr">
        <is>
          <t>A 23340-2025</t>
        </is>
      </c>
      <c r="B9999" t="inlineStr">
        <is>
          <t>avverkningsanmälan</t>
        </is>
      </c>
      <c r="C9999" t="inlineStr">
        <is>
          <t>Föryngringsavverkning</t>
        </is>
      </c>
      <c r="D9999" s="1" t="n">
        <v>45791</v>
      </c>
      <c r="E9999" s="1" t="n">
        <v>46326</v>
      </c>
      <c r="F9999" t="inlineStr">
        <is>
          <t>GÄVLEBORGS LÄN</t>
        </is>
      </c>
      <c r="G9999" t="inlineStr">
        <is>
          <t>LJUSDAL</t>
        </is>
      </c>
      <c r="H9999" t="inlineStr">
        <is>
          <t>Bergvik skog väst AB</t>
        </is>
      </c>
      <c r="I9999" t="n">
        <v>1.9</v>
      </c>
      <c r="J9999" t="n">
        <v>0</v>
      </c>
      <c r="K9999" t="n">
        <v>0</v>
      </c>
      <c r="L9999" t="n">
        <v>0</v>
      </c>
      <c r="M9999" t="n">
        <v>0</v>
      </c>
      <c r="N9999" t="n">
        <v>0</v>
      </c>
      <c r="O9999" t="n">
        <v>0</v>
      </c>
      <c r="P9999" t="n">
        <v>0</v>
      </c>
      <c r="Q9999" t="n">
        <v>0</v>
      </c>
      <c r="R9999" t="n">
        <v>0</v>
      </c>
      <c r="S9999" t="n">
        <v>0</v>
      </c>
      <c r="T9999" t="n">
        <v>0</v>
      </c>
      <c r="U9999" t="n">
        <v>0</v>
      </c>
      <c r="V9999" s="2" t="inlineStr"/>
    </row>
    <row r="10000" ht="15" customHeight="1">
      <c r="A10000" t="inlineStr">
        <is>
          <t>A 23276-2026</t>
        </is>
      </c>
      <c r="B10000" t="inlineStr">
        <is>
          <t>avverkningsanmälan</t>
        </is>
      </c>
      <c r="C10000" t="inlineStr">
        <is>
          <t>Föryngringsavverkning</t>
        </is>
      </c>
      <c r="D10000" s="1" t="n">
        <v>46162</v>
      </c>
      <c r="E10000" s="1" t="n">
        <v>46326</v>
      </c>
      <c r="F10000" t="inlineStr">
        <is>
          <t>GÄVLEBORGS LÄN</t>
        </is>
      </c>
      <c r="G10000" t="inlineStr">
        <is>
          <t>BOLLNÄS</t>
        </is>
      </c>
      <c r="I10000" t="n">
        <v>7.1</v>
      </c>
      <c r="J10000" t="n">
        <v>0</v>
      </c>
      <c r="K10000" t="n">
        <v>0</v>
      </c>
      <c r="L10000" t="n">
        <v>0</v>
      </c>
      <c r="M10000" t="n">
        <v>0</v>
      </c>
      <c r="N10000" t="n">
        <v>0</v>
      </c>
      <c r="O10000" t="n">
        <v>0</v>
      </c>
      <c r="P10000" t="n">
        <v>0</v>
      </c>
      <c r="Q10000" t="n">
        <v>0</v>
      </c>
      <c r="R10000" t="n">
        <v>0</v>
      </c>
      <c r="S10000" t="n">
        <v>0</v>
      </c>
      <c r="T10000" t="n">
        <v>0</v>
      </c>
      <c r="U10000" t="n">
        <v>0</v>
      </c>
      <c r="V10000" s="2" t="inlineStr"/>
    </row>
    <row r="10001" ht="15" customHeight="1">
      <c r="A10001" t="inlineStr">
        <is>
          <t>A 23277-2026</t>
        </is>
      </c>
      <c r="B10001" t="inlineStr">
        <is>
          <t>avverkningsanmälan</t>
        </is>
      </c>
      <c r="C10001" t="inlineStr">
        <is>
          <t>Föryngringsavverkning</t>
        </is>
      </c>
      <c r="D10001" s="1" t="n">
        <v>46162</v>
      </c>
      <c r="E10001" s="1" t="n">
        <v>46326</v>
      </c>
      <c r="F10001" t="inlineStr">
        <is>
          <t>GÄVLEBORGS LÄN</t>
        </is>
      </c>
      <c r="G10001" t="inlineStr">
        <is>
          <t>BOLLNÄS</t>
        </is>
      </c>
      <c r="I10001" t="n">
        <v>0.7</v>
      </c>
      <c r="J10001" t="n">
        <v>0</v>
      </c>
      <c r="K10001" t="n">
        <v>0</v>
      </c>
      <c r="L10001" t="n">
        <v>0</v>
      </c>
      <c r="M10001" t="n">
        <v>0</v>
      </c>
      <c r="N10001" t="n">
        <v>0</v>
      </c>
      <c r="O10001" t="n">
        <v>0</v>
      </c>
      <c r="P10001" t="n">
        <v>0</v>
      </c>
      <c r="Q10001" t="n">
        <v>0</v>
      </c>
      <c r="R10001" t="n">
        <v>0</v>
      </c>
      <c r="S10001" t="n">
        <v>0</v>
      </c>
      <c r="T10001" t="n">
        <v>0</v>
      </c>
      <c r="U10001" t="n">
        <v>0</v>
      </c>
      <c r="V10001" s="2" t="inlineStr"/>
    </row>
    <row r="10002" ht="15" customHeight="1">
      <c r="A10002" t="inlineStr">
        <is>
          <t>A 10876-2026</t>
        </is>
      </c>
      <c r="B10002" t="inlineStr">
        <is>
          <t>avverkningsanmälan</t>
        </is>
      </c>
      <c r="C10002" t="inlineStr">
        <is>
          <t>Föryngringsavverkning</t>
        </is>
      </c>
      <c r="D10002" s="1" t="n">
        <v>46078</v>
      </c>
      <c r="E10002" s="1" t="n">
        <v>46326</v>
      </c>
      <c r="F10002" t="inlineStr">
        <is>
          <t>GÄVLEBORGS LÄN</t>
        </is>
      </c>
      <c r="G10002" t="inlineStr">
        <is>
          <t>SÖDERHAMN</t>
        </is>
      </c>
      <c r="I10002" t="n">
        <v>1.8</v>
      </c>
      <c r="J10002" t="n">
        <v>0</v>
      </c>
      <c r="K10002" t="n">
        <v>0</v>
      </c>
      <c r="L10002" t="n">
        <v>0</v>
      </c>
      <c r="M10002" t="n">
        <v>0</v>
      </c>
      <c r="N10002" t="n">
        <v>0</v>
      </c>
      <c r="O10002" t="n">
        <v>0</v>
      </c>
      <c r="P10002" t="n">
        <v>0</v>
      </c>
      <c r="Q10002" t="n">
        <v>0</v>
      </c>
      <c r="R10002" t="n">
        <v>0</v>
      </c>
      <c r="S10002" t="n">
        <v>0</v>
      </c>
      <c r="T10002" t="n">
        <v>0</v>
      </c>
      <c r="U10002" t="n">
        <v>0</v>
      </c>
      <c r="V10002" s="2" t="inlineStr"/>
    </row>
    <row r="10003" ht="15" customHeight="1">
      <c r="A10003" t="inlineStr">
        <is>
          <t>A 20208-2025</t>
        </is>
      </c>
      <c r="B10003" t="inlineStr">
        <is>
          <t>avverkningsanmälan</t>
        </is>
      </c>
      <c r="C10003" t="inlineStr">
        <is>
          <t>Föryngringsavverkning</t>
        </is>
      </c>
      <c r="D10003" s="1" t="n">
        <v>45772</v>
      </c>
      <c r="E10003" s="1" t="n">
        <v>46326</v>
      </c>
      <c r="F10003" t="inlineStr">
        <is>
          <t>GÄVLEBORGS LÄN</t>
        </is>
      </c>
      <c r="G10003" t="inlineStr">
        <is>
          <t>HUDIKSVALL</t>
        </is>
      </c>
      <c r="I10003" t="n">
        <v>10.1</v>
      </c>
      <c r="J10003" t="n">
        <v>0</v>
      </c>
      <c r="K10003" t="n">
        <v>0</v>
      </c>
      <c r="L10003" t="n">
        <v>0</v>
      </c>
      <c r="M10003" t="n">
        <v>0</v>
      </c>
      <c r="N10003" t="n">
        <v>0</v>
      </c>
      <c r="O10003" t="n">
        <v>0</v>
      </c>
      <c r="P10003" t="n">
        <v>0</v>
      </c>
      <c r="Q10003" t="n">
        <v>0</v>
      </c>
      <c r="R10003" t="n">
        <v>0</v>
      </c>
      <c r="S10003" t="n">
        <v>0</v>
      </c>
      <c r="T10003" t="n">
        <v>0</v>
      </c>
      <c r="U10003" t="n">
        <v>0</v>
      </c>
      <c r="V10003" s="2" t="inlineStr"/>
    </row>
    <row r="10004" ht="15" customHeight="1">
      <c r="A10004" t="inlineStr">
        <is>
          <t>A 1473-2026</t>
        </is>
      </c>
      <c r="B10004" t="inlineStr">
        <is>
          <t>avverkningsanmälan</t>
        </is>
      </c>
      <c r="C10004" t="inlineStr">
        <is>
          <t>Föryngringsavverkning</t>
        </is>
      </c>
      <c r="D10004" s="1" t="n">
        <v>46033</v>
      </c>
      <c r="E10004" s="1" t="n">
        <v>46326</v>
      </c>
      <c r="F10004" t="inlineStr">
        <is>
          <t>GÄVLEBORGS LÄN</t>
        </is>
      </c>
      <c r="G10004" t="inlineStr">
        <is>
          <t>OVANÅKER</t>
        </is>
      </c>
      <c r="I10004" t="n">
        <v>31.2</v>
      </c>
      <c r="J10004" t="n">
        <v>0</v>
      </c>
      <c r="K10004" t="n">
        <v>0</v>
      </c>
      <c r="L10004" t="n">
        <v>0</v>
      </c>
      <c r="M10004" t="n">
        <v>0</v>
      </c>
      <c r="N10004" t="n">
        <v>0</v>
      </c>
      <c r="O10004" t="n">
        <v>0</v>
      </c>
      <c r="P10004" t="n">
        <v>0</v>
      </c>
      <c r="Q10004" t="n">
        <v>0</v>
      </c>
      <c r="R10004" t="n">
        <v>0</v>
      </c>
      <c r="S10004" t="n">
        <v>0</v>
      </c>
      <c r="T10004" t="n">
        <v>0</v>
      </c>
      <c r="U10004" t="n">
        <v>0</v>
      </c>
      <c r="V10004" s="2" t="inlineStr"/>
    </row>
    <row r="10005" ht="15" customHeight="1">
      <c r="A10005" t="inlineStr">
        <is>
          <t>A 3151-2026</t>
        </is>
      </c>
      <c r="B10005" t="inlineStr">
        <is>
          <t>avverkningsanmälan</t>
        </is>
      </c>
      <c r="C10005" t="inlineStr">
        <is>
          <t>Föryngringsavverkning</t>
        </is>
      </c>
      <c r="D10005" s="1" t="n">
        <v>46041</v>
      </c>
      <c r="E10005" s="1" t="n">
        <v>46326</v>
      </c>
      <c r="F10005" t="inlineStr">
        <is>
          <t>GÄVLEBORGS LÄN</t>
        </is>
      </c>
      <c r="G10005" t="inlineStr">
        <is>
          <t>OVANÅKER</t>
        </is>
      </c>
      <c r="I10005" t="n">
        <v>6.9</v>
      </c>
      <c r="J10005" t="n">
        <v>0</v>
      </c>
      <c r="K10005" t="n">
        <v>0</v>
      </c>
      <c r="L10005" t="n">
        <v>0</v>
      </c>
      <c r="M10005" t="n">
        <v>0</v>
      </c>
      <c r="N10005" t="n">
        <v>0</v>
      </c>
      <c r="O10005" t="n">
        <v>0</v>
      </c>
      <c r="P10005" t="n">
        <v>0</v>
      </c>
      <c r="Q10005" t="n">
        <v>0</v>
      </c>
      <c r="R10005" t="n">
        <v>0</v>
      </c>
      <c r="S10005" t="n">
        <v>0</v>
      </c>
      <c r="T10005" t="n">
        <v>0</v>
      </c>
      <c r="U10005" t="n">
        <v>0</v>
      </c>
      <c r="V10005" s="2" t="inlineStr"/>
    </row>
    <row r="10006" ht="15" customHeight="1">
      <c r="A10006" t="inlineStr">
        <is>
          <t>A 34045-2026</t>
        </is>
      </c>
      <c r="B10006" t="inlineStr">
        <is>
          <t>avverkningsanmälan</t>
        </is>
      </c>
      <c r="C10006" t="inlineStr">
        <is>
          <t>Föryngringsavverkning</t>
        </is>
      </c>
      <c r="D10006" s="1" t="n">
        <v>46252</v>
      </c>
      <c r="E10006" s="1" t="n">
        <v>46326</v>
      </c>
      <c r="F10006" t="inlineStr">
        <is>
          <t>GÄVLEBORGS LÄN</t>
        </is>
      </c>
      <c r="G10006" t="inlineStr">
        <is>
          <t>LJUSDAL</t>
        </is>
      </c>
      <c r="H10006" t="inlineStr">
        <is>
          <t>Sveaskog</t>
        </is>
      </c>
      <c r="I10006" t="n">
        <v>0.6</v>
      </c>
      <c r="J10006" t="n">
        <v>0</v>
      </c>
      <c r="K10006" t="n">
        <v>0</v>
      </c>
      <c r="L10006" t="n">
        <v>0</v>
      </c>
      <c r="M10006" t="n">
        <v>0</v>
      </c>
      <c r="N10006" t="n">
        <v>0</v>
      </c>
      <c r="O10006" t="n">
        <v>0</v>
      </c>
      <c r="P10006" t="n">
        <v>0</v>
      </c>
      <c r="Q10006" t="n">
        <v>0</v>
      </c>
      <c r="R10006" t="n">
        <v>0</v>
      </c>
      <c r="S10006" t="n">
        <v>0</v>
      </c>
      <c r="T10006" t="n">
        <v>0</v>
      </c>
      <c r="U10006" t="n">
        <v>0</v>
      </c>
      <c r="V10006" s="2" t="inlineStr"/>
    </row>
    <row r="10007" ht="15" customHeight="1">
      <c r="A10007" t="inlineStr">
        <is>
          <t>A 23072-2025</t>
        </is>
      </c>
      <c r="B10007" t="inlineStr">
        <is>
          <t>avverkningsanmälan</t>
        </is>
      </c>
      <c r="C10007" t="inlineStr">
        <is>
          <t>Föryngringsavverkning</t>
        </is>
      </c>
      <c r="D10007" s="1" t="n">
        <v>45790</v>
      </c>
      <c r="E10007" s="1" t="n">
        <v>46326</v>
      </c>
      <c r="F10007" t="inlineStr">
        <is>
          <t>GÄVLEBORGS LÄN</t>
        </is>
      </c>
      <c r="G10007" t="inlineStr">
        <is>
          <t>NORDANSTIG</t>
        </is>
      </c>
      <c r="I10007" t="n">
        <v>2.2</v>
      </c>
      <c r="J10007" t="n">
        <v>0</v>
      </c>
      <c r="K10007" t="n">
        <v>0</v>
      </c>
      <c r="L10007" t="n">
        <v>0</v>
      </c>
      <c r="M10007" t="n">
        <v>0</v>
      </c>
      <c r="N10007" t="n">
        <v>0</v>
      </c>
      <c r="O10007" t="n">
        <v>0</v>
      </c>
      <c r="P10007" t="n">
        <v>0</v>
      </c>
      <c r="Q10007" t="n">
        <v>0</v>
      </c>
      <c r="R10007" t="n">
        <v>0</v>
      </c>
      <c r="S10007" t="n">
        <v>0</v>
      </c>
      <c r="T10007" t="n">
        <v>0</v>
      </c>
      <c r="U10007" t="n">
        <v>0</v>
      </c>
      <c r="V10007" s="2" t="inlineStr"/>
    </row>
    <row r="10008" ht="15" customHeight="1">
      <c r="A10008" t="inlineStr">
        <is>
          <t>A 23119-2025</t>
        </is>
      </c>
      <c r="B10008" t="inlineStr">
        <is>
          <t>avverkningsanmälan</t>
        </is>
      </c>
      <c r="C10008" t="inlineStr">
        <is>
          <t>Föryngringsavverkning</t>
        </is>
      </c>
      <c r="D10008" s="1" t="n">
        <v>45791</v>
      </c>
      <c r="E10008" s="1" t="n">
        <v>46326</v>
      </c>
      <c r="F10008" t="inlineStr">
        <is>
          <t>GÄVLEBORGS LÄN</t>
        </is>
      </c>
      <c r="G10008" t="inlineStr">
        <is>
          <t>NORDANSTIG</t>
        </is>
      </c>
      <c r="I10008" t="n">
        <v>3.7</v>
      </c>
      <c r="J10008" t="n">
        <v>0</v>
      </c>
      <c r="K10008" t="n">
        <v>0</v>
      </c>
      <c r="L10008" t="n">
        <v>0</v>
      </c>
      <c r="M10008" t="n">
        <v>0</v>
      </c>
      <c r="N10008" t="n">
        <v>0</v>
      </c>
      <c r="O10008" t="n">
        <v>0</v>
      </c>
      <c r="P10008" t="n">
        <v>0</v>
      </c>
      <c r="Q10008" t="n">
        <v>0</v>
      </c>
      <c r="R10008" t="n">
        <v>0</v>
      </c>
      <c r="S10008" t="n">
        <v>0</v>
      </c>
      <c r="T10008" t="n">
        <v>0</v>
      </c>
      <c r="U10008" t="n">
        <v>0</v>
      </c>
      <c r="V10008" s="2" t="inlineStr"/>
    </row>
    <row r="10009" ht="15" customHeight="1">
      <c r="A10009" t="inlineStr">
        <is>
          <t>A 24853-2026</t>
        </is>
      </c>
      <c r="B10009" t="inlineStr">
        <is>
          <t>avverkningsanmälan</t>
        </is>
      </c>
      <c r="C10009" t="inlineStr">
        <is>
          <t>Föryngringsavverkning</t>
        </is>
      </c>
      <c r="D10009" s="1" t="n">
        <v>46174</v>
      </c>
      <c r="E10009" s="1" t="n">
        <v>46326</v>
      </c>
      <c r="F10009" t="inlineStr">
        <is>
          <t>GÄVLEBORGS LÄN</t>
        </is>
      </c>
      <c r="G10009" t="inlineStr">
        <is>
          <t>HUDIKSVALL</t>
        </is>
      </c>
      <c r="I10009" t="n">
        <v>1</v>
      </c>
      <c r="J10009" t="n">
        <v>0</v>
      </c>
      <c r="K10009" t="n">
        <v>0</v>
      </c>
      <c r="L10009" t="n">
        <v>0</v>
      </c>
      <c r="M10009" t="n">
        <v>0</v>
      </c>
      <c r="N10009" t="n">
        <v>0</v>
      </c>
      <c r="O10009" t="n">
        <v>0</v>
      </c>
      <c r="P10009" t="n">
        <v>0</v>
      </c>
      <c r="Q10009" t="n">
        <v>0</v>
      </c>
      <c r="R10009" t="n">
        <v>0</v>
      </c>
      <c r="S10009" t="n">
        <v>0</v>
      </c>
      <c r="T10009" t="n">
        <v>0</v>
      </c>
      <c r="U10009" t="n">
        <v>0</v>
      </c>
      <c r="V10009" s="2" t="inlineStr"/>
    </row>
    <row r="10010" ht="15" customHeight="1">
      <c r="A10010" t="inlineStr">
        <is>
          <t>A 24953-2026</t>
        </is>
      </c>
      <c r="B10010" t="inlineStr">
        <is>
          <t>avverkningsanmälan</t>
        </is>
      </c>
      <c r="C10010" t="inlineStr">
        <is>
          <t>Föryngringsavverkning</t>
        </is>
      </c>
      <c r="D10010" s="1" t="n">
        <v>46174</v>
      </c>
      <c r="E10010" s="1" t="n">
        <v>46326</v>
      </c>
      <c r="F10010" t="inlineStr">
        <is>
          <t>GÄVLEBORGS LÄN</t>
        </is>
      </c>
      <c r="G10010" t="inlineStr">
        <is>
          <t>BOLLNÄS</t>
        </is>
      </c>
      <c r="H10010" t="inlineStr">
        <is>
          <t>Kommuner</t>
        </is>
      </c>
      <c r="I10010" t="n">
        <v>1.4</v>
      </c>
      <c r="J10010" t="n">
        <v>0</v>
      </c>
      <c r="K10010" t="n">
        <v>0</v>
      </c>
      <c r="L10010" t="n">
        <v>0</v>
      </c>
      <c r="M10010" t="n">
        <v>0</v>
      </c>
      <c r="N10010" t="n">
        <v>0</v>
      </c>
      <c r="O10010" t="n">
        <v>0</v>
      </c>
      <c r="P10010" t="n">
        <v>0</v>
      </c>
      <c r="Q10010" t="n">
        <v>0</v>
      </c>
      <c r="R10010" t="n">
        <v>0</v>
      </c>
      <c r="S10010" t="n">
        <v>0</v>
      </c>
      <c r="T10010" t="n">
        <v>0</v>
      </c>
      <c r="U10010" t="n">
        <v>0</v>
      </c>
      <c r="V10010" s="2" t="inlineStr"/>
    </row>
    <row r="10011" ht="15" customHeight="1">
      <c r="A10011" t="inlineStr">
        <is>
          <t>A 38881-2026</t>
        </is>
      </c>
      <c r="B10011" t="inlineStr">
        <is>
          <t>avverkningsanmälan</t>
        </is>
      </c>
      <c r="C10011" t="inlineStr">
        <is>
          <t>Föryngringsavverkning</t>
        </is>
      </c>
      <c r="D10011" s="1" t="n">
        <v>46286</v>
      </c>
      <c r="E10011" s="1" t="n">
        <v>46326</v>
      </c>
      <c r="F10011" t="inlineStr">
        <is>
          <t>GÄVLEBORGS LÄN</t>
        </is>
      </c>
      <c r="G10011" t="inlineStr">
        <is>
          <t>BOLLNÄS</t>
        </is>
      </c>
      <c r="H10011" t="inlineStr">
        <is>
          <t>Kyrkan</t>
        </is>
      </c>
      <c r="I10011" t="n">
        <v>7.2</v>
      </c>
      <c r="J10011" t="n">
        <v>0</v>
      </c>
      <c r="K10011" t="n">
        <v>0</v>
      </c>
      <c r="L10011" t="n">
        <v>0</v>
      </c>
      <c r="M10011" t="n">
        <v>0</v>
      </c>
      <c r="N10011" t="n">
        <v>0</v>
      </c>
      <c r="O10011" t="n">
        <v>0</v>
      </c>
      <c r="P10011" t="n">
        <v>0</v>
      </c>
      <c r="Q10011" t="n">
        <v>0</v>
      </c>
      <c r="R10011" t="n">
        <v>0</v>
      </c>
      <c r="S10011" t="n">
        <v>0</v>
      </c>
      <c r="T10011" t="n">
        <v>0</v>
      </c>
      <c r="U10011" t="n">
        <v>0</v>
      </c>
      <c r="V10011" s="2" t="inlineStr"/>
    </row>
    <row r="10012" ht="15" customHeight="1">
      <c r="A10012" t="inlineStr">
        <is>
          <t>A 40507-2026</t>
        </is>
      </c>
      <c r="B10012" t="inlineStr">
        <is>
          <t>avverkningsanmälan</t>
        </is>
      </c>
      <c r="C10012" t="inlineStr">
        <is>
          <t>Föryngringsavverkning</t>
        </is>
      </c>
      <c r="D10012" s="1" t="n">
        <v>46295</v>
      </c>
      <c r="E10012" s="1" t="n">
        <v>46326</v>
      </c>
      <c r="F10012" t="inlineStr">
        <is>
          <t>GÄVLEBORGS LÄN</t>
        </is>
      </c>
      <c r="G10012" t="inlineStr">
        <is>
          <t>GÄVLE</t>
        </is>
      </c>
      <c r="H10012" t="inlineStr">
        <is>
          <t>Bergvik skog öst AB</t>
        </is>
      </c>
      <c r="I10012" t="n">
        <v>1.7</v>
      </c>
      <c r="J10012" t="n">
        <v>0</v>
      </c>
      <c r="K10012" t="n">
        <v>0</v>
      </c>
      <c r="L10012" t="n">
        <v>0</v>
      </c>
      <c r="M10012" t="n">
        <v>0</v>
      </c>
      <c r="N10012" t="n">
        <v>0</v>
      </c>
      <c r="O10012" t="n">
        <v>0</v>
      </c>
      <c r="P10012" t="n">
        <v>0</v>
      </c>
      <c r="Q10012" t="n">
        <v>0</v>
      </c>
      <c r="R10012" t="n">
        <v>0</v>
      </c>
      <c r="S10012" t="n">
        <v>0</v>
      </c>
      <c r="T10012" t="n">
        <v>0</v>
      </c>
      <c r="U10012" t="n">
        <v>0</v>
      </c>
      <c r="V10012" s="2" t="inlineStr"/>
    </row>
    <row r="10013" ht="15" customHeight="1">
      <c r="A10013" t="inlineStr">
        <is>
          <t>A 44041-2022</t>
        </is>
      </c>
      <c r="B10013" t="inlineStr">
        <is>
          <t>avverkningsanmälan</t>
        </is>
      </c>
      <c r="C10013" t="inlineStr">
        <is>
          <t>Föryngringsavverkning</t>
        </is>
      </c>
      <c r="D10013" s="1" t="n">
        <v>44838</v>
      </c>
      <c r="E10013" s="1" t="n">
        <v>46326</v>
      </c>
      <c r="F10013" t="inlineStr">
        <is>
          <t>GÄVLEBORGS LÄN</t>
        </is>
      </c>
      <c r="G10013" t="inlineStr">
        <is>
          <t>LJUSDAL</t>
        </is>
      </c>
      <c r="H10013" t="inlineStr">
        <is>
          <t>Naturvårdsverket</t>
        </is>
      </c>
      <c r="I10013" t="n">
        <v>2.5</v>
      </c>
      <c r="J10013" t="n">
        <v>0</v>
      </c>
      <c r="K10013" t="n">
        <v>0</v>
      </c>
      <c r="L10013" t="n">
        <v>0</v>
      </c>
      <c r="M10013" t="n">
        <v>0</v>
      </c>
      <c r="N10013" t="n">
        <v>0</v>
      </c>
      <c r="O10013" t="n">
        <v>0</v>
      </c>
      <c r="P10013" t="n">
        <v>0</v>
      </c>
      <c r="Q10013" t="n">
        <v>0</v>
      </c>
      <c r="R10013" t="n">
        <v>0</v>
      </c>
      <c r="S10013" t="n">
        <v>0</v>
      </c>
      <c r="T10013" t="n">
        <v>0</v>
      </c>
      <c r="U10013" t="n">
        <v>0</v>
      </c>
      <c r="V10013" s="2" t="inlineStr"/>
    </row>
    <row r="10014" ht="15" customHeight="1">
      <c r="A10014" t="inlineStr">
        <is>
          <t>A 23242-2025</t>
        </is>
      </c>
      <c r="B10014" t="inlineStr">
        <is>
          <t>avverkningsanmälan</t>
        </is>
      </c>
      <c r="C10014" t="inlineStr">
        <is>
          <t>Föryngringsavverkning</t>
        </is>
      </c>
      <c r="D10014" s="1" t="n">
        <v>45791</v>
      </c>
      <c r="E10014" s="1" t="n">
        <v>46326</v>
      </c>
      <c r="F10014" t="inlineStr">
        <is>
          <t>GÄVLEBORGS LÄN</t>
        </is>
      </c>
      <c r="G10014" t="inlineStr">
        <is>
          <t>OVANÅKER</t>
        </is>
      </c>
      <c r="I10014" t="n">
        <v>0.7</v>
      </c>
      <c r="J10014" t="n">
        <v>0</v>
      </c>
      <c r="K10014" t="n">
        <v>0</v>
      </c>
      <c r="L10014" t="n">
        <v>0</v>
      </c>
      <c r="M10014" t="n">
        <v>0</v>
      </c>
      <c r="N10014" t="n">
        <v>0</v>
      </c>
      <c r="O10014" t="n">
        <v>0</v>
      </c>
      <c r="P10014" t="n">
        <v>0</v>
      </c>
      <c r="Q10014" t="n">
        <v>0</v>
      </c>
      <c r="R10014" t="n">
        <v>0</v>
      </c>
      <c r="S10014" t="n">
        <v>0</v>
      </c>
      <c r="T10014" t="n">
        <v>0</v>
      </c>
      <c r="U10014" t="n">
        <v>0</v>
      </c>
      <c r="V10014" s="2" t="inlineStr"/>
    </row>
    <row r="10015" ht="15" customHeight="1">
      <c r="A10015" t="inlineStr">
        <is>
          <t>A 33719-2026</t>
        </is>
      </c>
      <c r="B10015" t="inlineStr">
        <is>
          <t>avverkningsanmälan</t>
        </is>
      </c>
      <c r="C10015" t="inlineStr">
        <is>
          <t>Föryngringsavverkning</t>
        </is>
      </c>
      <c r="D10015" s="1" t="n">
        <v>46251</v>
      </c>
      <c r="E10015" s="1" t="n">
        <v>46326</v>
      </c>
      <c r="F10015" t="inlineStr">
        <is>
          <t>GÄVLEBORGS LÄN</t>
        </is>
      </c>
      <c r="G10015" t="inlineStr">
        <is>
          <t>GÄVLE</t>
        </is>
      </c>
      <c r="H10015" t="inlineStr">
        <is>
          <t>Bergvik skog öst AB</t>
        </is>
      </c>
      <c r="I10015" t="n">
        <v>2.2</v>
      </c>
      <c r="J10015" t="n">
        <v>0</v>
      </c>
      <c r="K10015" t="n">
        <v>0</v>
      </c>
      <c r="L10015" t="n">
        <v>0</v>
      </c>
      <c r="M10015" t="n">
        <v>0</v>
      </c>
      <c r="N10015" t="n">
        <v>0</v>
      </c>
      <c r="O10015" t="n">
        <v>0</v>
      </c>
      <c r="P10015" t="n">
        <v>0</v>
      </c>
      <c r="Q10015" t="n">
        <v>0</v>
      </c>
      <c r="R10015" t="n">
        <v>0</v>
      </c>
      <c r="S10015" t="n">
        <v>0</v>
      </c>
      <c r="T10015" t="n">
        <v>0</v>
      </c>
      <c r="U10015" t="n">
        <v>0</v>
      </c>
      <c r="V10015" s="2" t="inlineStr"/>
    </row>
    <row r="10016" ht="15" customHeight="1">
      <c r="A10016" t="inlineStr">
        <is>
          <t>A 33740-2026</t>
        </is>
      </c>
      <c r="B10016" t="inlineStr">
        <is>
          <t>avverkningsanmälan</t>
        </is>
      </c>
      <c r="C10016" t="inlineStr">
        <is>
          <t>Föryngringsavverkning</t>
        </is>
      </c>
      <c r="D10016" s="1" t="n">
        <v>46251</v>
      </c>
      <c r="E10016" s="1" t="n">
        <v>46326</v>
      </c>
      <c r="F10016" t="inlineStr">
        <is>
          <t>GÄVLEBORGS LÄN</t>
        </is>
      </c>
      <c r="G10016" t="inlineStr">
        <is>
          <t>BOLLNÄS</t>
        </is>
      </c>
      <c r="I10016" t="n">
        <v>3</v>
      </c>
      <c r="J10016" t="n">
        <v>0</v>
      </c>
      <c r="K10016" t="n">
        <v>0</v>
      </c>
      <c r="L10016" t="n">
        <v>0</v>
      </c>
      <c r="M10016" t="n">
        <v>0</v>
      </c>
      <c r="N10016" t="n">
        <v>0</v>
      </c>
      <c r="O10016" t="n">
        <v>0</v>
      </c>
      <c r="P10016" t="n">
        <v>0</v>
      </c>
      <c r="Q10016" t="n">
        <v>0</v>
      </c>
      <c r="R10016" t="n">
        <v>0</v>
      </c>
      <c r="S10016" t="n">
        <v>0</v>
      </c>
      <c r="T10016" t="n">
        <v>0</v>
      </c>
      <c r="U10016" t="n">
        <v>0</v>
      </c>
      <c r="V10016" s="2" t="inlineStr"/>
    </row>
    <row r="10017" ht="15" customHeight="1">
      <c r="A10017" t="inlineStr">
        <is>
          <t>A 23265-2025</t>
        </is>
      </c>
      <c r="B10017" t="inlineStr">
        <is>
          <t>avverkningsanmälan</t>
        </is>
      </c>
      <c r="C10017" t="inlineStr">
        <is>
          <t>Föryngringsavverkning</t>
        </is>
      </c>
      <c r="D10017" s="1" t="n">
        <v>45791</v>
      </c>
      <c r="E10017" s="1" t="n">
        <v>46326</v>
      </c>
      <c r="F10017" t="inlineStr">
        <is>
          <t>GÄVLEBORGS LÄN</t>
        </is>
      </c>
      <c r="G10017" t="inlineStr">
        <is>
          <t>SÖDERHAMN</t>
        </is>
      </c>
      <c r="H10017" t="inlineStr">
        <is>
          <t>Bergvik skog väst AB</t>
        </is>
      </c>
      <c r="I10017" t="n">
        <v>0.5</v>
      </c>
      <c r="J10017" t="n">
        <v>0</v>
      </c>
      <c r="K10017" t="n">
        <v>0</v>
      </c>
      <c r="L10017" t="n">
        <v>0</v>
      </c>
      <c r="M10017" t="n">
        <v>0</v>
      </c>
      <c r="N10017" t="n">
        <v>0</v>
      </c>
      <c r="O10017" t="n">
        <v>0</v>
      </c>
      <c r="P10017" t="n">
        <v>0</v>
      </c>
      <c r="Q10017" t="n">
        <v>0</v>
      </c>
      <c r="R10017" t="n">
        <v>0</v>
      </c>
      <c r="S10017" t="n">
        <v>0</v>
      </c>
      <c r="T10017" t="n">
        <v>0</v>
      </c>
      <c r="U10017" t="n">
        <v>0</v>
      </c>
      <c r="V10017" s="2" t="inlineStr"/>
    </row>
    <row r="10018" ht="15" customHeight="1">
      <c r="A10018" t="inlineStr">
        <is>
          <t>A 33884-2026</t>
        </is>
      </c>
      <c r="B10018" t="inlineStr">
        <is>
          <t>avverkningsanmälan</t>
        </is>
      </c>
      <c r="C10018" t="inlineStr">
        <is>
          <t>Föryngringsavverkning</t>
        </is>
      </c>
      <c r="D10018" s="1" t="n">
        <v>46251</v>
      </c>
      <c r="E10018" s="1" t="n">
        <v>46326</v>
      </c>
      <c r="F10018" t="inlineStr">
        <is>
          <t>GÄVLEBORGS LÄN</t>
        </is>
      </c>
      <c r="G10018" t="inlineStr">
        <is>
          <t>NORDANSTIG</t>
        </is>
      </c>
      <c r="H10018" t="inlineStr">
        <is>
          <t>Holmen skog AB</t>
        </is>
      </c>
      <c r="I10018" t="n">
        <v>0.7</v>
      </c>
      <c r="J10018" t="n">
        <v>0</v>
      </c>
      <c r="K10018" t="n">
        <v>0</v>
      </c>
      <c r="L10018" t="n">
        <v>0</v>
      </c>
      <c r="M10018" t="n">
        <v>0</v>
      </c>
      <c r="N10018" t="n">
        <v>0</v>
      </c>
      <c r="O10018" t="n">
        <v>0</v>
      </c>
      <c r="P10018" t="n">
        <v>0</v>
      </c>
      <c r="Q10018" t="n">
        <v>0</v>
      </c>
      <c r="R10018" t="n">
        <v>0</v>
      </c>
      <c r="S10018" t="n">
        <v>0</v>
      </c>
      <c r="T10018" t="n">
        <v>0</v>
      </c>
      <c r="U10018" t="n">
        <v>0</v>
      </c>
      <c r="V10018" s="2" t="inlineStr"/>
    </row>
    <row r="10019" ht="15" customHeight="1">
      <c r="A10019" t="inlineStr">
        <is>
          <t>A 22832-2025</t>
        </is>
      </c>
      <c r="B10019" t="inlineStr">
        <is>
          <t>avverkningsanmälan</t>
        </is>
      </c>
      <c r="C10019" t="inlineStr">
        <is>
          <t>Föryngringsavverkning</t>
        </is>
      </c>
      <c r="D10019" s="1" t="n">
        <v>45789</v>
      </c>
      <c r="E10019" s="1" t="n">
        <v>46326</v>
      </c>
      <c r="F10019" t="inlineStr">
        <is>
          <t>GÄVLEBORGS LÄN</t>
        </is>
      </c>
      <c r="G10019" t="inlineStr">
        <is>
          <t>HUDIKSVALL</t>
        </is>
      </c>
      <c r="H10019" t="inlineStr">
        <is>
          <t>Holmen skog AB</t>
        </is>
      </c>
      <c r="I10019" t="n">
        <v>82.3</v>
      </c>
      <c r="J10019" t="n">
        <v>0</v>
      </c>
      <c r="K10019" t="n">
        <v>0</v>
      </c>
      <c r="L10019" t="n">
        <v>0</v>
      </c>
      <c r="M10019" t="n">
        <v>0</v>
      </c>
      <c r="N10019" t="n">
        <v>0</v>
      </c>
      <c r="O10019" t="n">
        <v>0</v>
      </c>
      <c r="P10019" t="n">
        <v>0</v>
      </c>
      <c r="Q10019" t="n">
        <v>0</v>
      </c>
      <c r="R10019" t="n">
        <v>0</v>
      </c>
      <c r="S10019" t="n">
        <v>0</v>
      </c>
      <c r="T10019" t="n">
        <v>0</v>
      </c>
      <c r="U10019" t="n">
        <v>0</v>
      </c>
      <c r="V10019" s="2" t="inlineStr"/>
    </row>
    <row r="10020" ht="15" customHeight="1">
      <c r="A10020" t="inlineStr">
        <is>
          <t>A 23291-2025</t>
        </is>
      </c>
      <c r="B10020" t="inlineStr">
        <is>
          <t>avverkningsanmälan</t>
        </is>
      </c>
      <c r="C10020" t="inlineStr">
        <is>
          <t>Föryngringsavverkning</t>
        </is>
      </c>
      <c r="D10020" s="1" t="n">
        <v>45791</v>
      </c>
      <c r="E10020" s="1" t="n">
        <v>46326</v>
      </c>
      <c r="F10020" t="inlineStr">
        <is>
          <t>GÄVLEBORGS LÄN</t>
        </is>
      </c>
      <c r="G10020" t="inlineStr">
        <is>
          <t>GÄVLE</t>
        </is>
      </c>
      <c r="H10020" t="inlineStr">
        <is>
          <t>Bergvik skog väst AB</t>
        </is>
      </c>
      <c r="I10020" t="n">
        <v>0.6</v>
      </c>
      <c r="J10020" t="n">
        <v>0</v>
      </c>
      <c r="K10020" t="n">
        <v>0</v>
      </c>
      <c r="L10020" t="n">
        <v>0</v>
      </c>
      <c r="M10020" t="n">
        <v>0</v>
      </c>
      <c r="N10020" t="n">
        <v>0</v>
      </c>
      <c r="O10020" t="n">
        <v>0</v>
      </c>
      <c r="P10020" t="n">
        <v>0</v>
      </c>
      <c r="Q10020" t="n">
        <v>0</v>
      </c>
      <c r="R10020" t="n">
        <v>0</v>
      </c>
      <c r="S10020" t="n">
        <v>0</v>
      </c>
      <c r="T10020" t="n">
        <v>0</v>
      </c>
      <c r="U10020" t="n">
        <v>0</v>
      </c>
      <c r="V10020" s="2" t="inlineStr"/>
    </row>
    <row r="10021" ht="15" customHeight="1">
      <c r="A10021" t="inlineStr">
        <is>
          <t>A 40262-2026</t>
        </is>
      </c>
      <c r="B10021" t="inlineStr">
        <is>
          <t>avverkningsanmälan</t>
        </is>
      </c>
      <c r="C10021" t="inlineStr">
        <is>
          <t>Föryngringsavverkning</t>
        </is>
      </c>
      <c r="D10021" s="1" t="n">
        <v>46294</v>
      </c>
      <c r="E10021" s="1" t="n">
        <v>46326</v>
      </c>
      <c r="F10021" t="inlineStr">
        <is>
          <t>GÄVLEBORGS LÄN</t>
        </is>
      </c>
      <c r="G10021" t="inlineStr">
        <is>
          <t>LJUSDAL</t>
        </is>
      </c>
      <c r="H10021" t="inlineStr">
        <is>
          <t>Allmännings- och besparingsskogar</t>
        </is>
      </c>
      <c r="I10021" t="n">
        <v>25.4</v>
      </c>
      <c r="J10021" t="n">
        <v>0</v>
      </c>
      <c r="K10021" t="n">
        <v>0</v>
      </c>
      <c r="L10021" t="n">
        <v>0</v>
      </c>
      <c r="M10021" t="n">
        <v>0</v>
      </c>
      <c r="N10021" t="n">
        <v>0</v>
      </c>
      <c r="O10021" t="n">
        <v>0</v>
      </c>
      <c r="P10021" t="n">
        <v>0</v>
      </c>
      <c r="Q10021" t="n">
        <v>0</v>
      </c>
      <c r="R10021" t="n">
        <v>0</v>
      </c>
      <c r="S10021" t="n">
        <v>0</v>
      </c>
      <c r="T10021" t="n">
        <v>0</v>
      </c>
      <c r="U10021" t="n">
        <v>0</v>
      </c>
      <c r="V10021" s="2" t="inlineStr"/>
    </row>
    <row r="10022" ht="15" customHeight="1">
      <c r="A10022" t="inlineStr">
        <is>
          <t>A 14532-2026</t>
        </is>
      </c>
      <c r="B10022" t="inlineStr">
        <is>
          <t>avverkningsanmälan</t>
        </is>
      </c>
      <c r="C10022" t="inlineStr">
        <is>
          <t>Föryngringsavverkning</t>
        </is>
      </c>
      <c r="D10022" s="1" t="n">
        <v>46100</v>
      </c>
      <c r="E10022" s="1" t="n">
        <v>46326</v>
      </c>
      <c r="F10022" t="inlineStr">
        <is>
          <t>GÄVLEBORGS LÄN</t>
        </is>
      </c>
      <c r="G10022" t="inlineStr">
        <is>
          <t>NORDANSTIG</t>
        </is>
      </c>
      <c r="I10022" t="n">
        <v>0.9</v>
      </c>
      <c r="J10022" t="n">
        <v>0</v>
      </c>
      <c r="K10022" t="n">
        <v>0</v>
      </c>
      <c r="L10022" t="n">
        <v>0</v>
      </c>
      <c r="M10022" t="n">
        <v>0</v>
      </c>
      <c r="N10022" t="n">
        <v>0</v>
      </c>
      <c r="O10022" t="n">
        <v>0</v>
      </c>
      <c r="P10022" t="n">
        <v>0</v>
      </c>
      <c r="Q10022" t="n">
        <v>0</v>
      </c>
      <c r="R10022" t="n">
        <v>0</v>
      </c>
      <c r="S10022" t="n">
        <v>0</v>
      </c>
      <c r="T10022" t="n">
        <v>0</v>
      </c>
      <c r="U10022" t="n">
        <v>0</v>
      </c>
      <c r="V10022" s="2" t="inlineStr"/>
    </row>
    <row r="10023" ht="15" customHeight="1">
      <c r="A10023" t="inlineStr">
        <is>
          <t>A 33826-2026</t>
        </is>
      </c>
      <c r="B10023" t="inlineStr">
        <is>
          <t>avverkningsanmälan</t>
        </is>
      </c>
      <c r="C10023" t="inlineStr">
        <is>
          <t>Föryngringsavverkning</t>
        </is>
      </c>
      <c r="D10023" s="1" t="n">
        <v>46251</v>
      </c>
      <c r="E10023" s="1" t="n">
        <v>46326</v>
      </c>
      <c r="F10023" t="inlineStr">
        <is>
          <t>GÄVLEBORGS LÄN</t>
        </is>
      </c>
      <c r="G10023" t="inlineStr">
        <is>
          <t>HUDIKSVALL</t>
        </is>
      </c>
      <c r="I10023" t="n">
        <v>1.1</v>
      </c>
      <c r="J10023" t="n">
        <v>0</v>
      </c>
      <c r="K10023" t="n">
        <v>0</v>
      </c>
      <c r="L10023" t="n">
        <v>0</v>
      </c>
      <c r="M10023" t="n">
        <v>0</v>
      </c>
      <c r="N10023" t="n">
        <v>0</v>
      </c>
      <c r="O10023" t="n">
        <v>0</v>
      </c>
      <c r="P10023" t="n">
        <v>0</v>
      </c>
      <c r="Q10023" t="n">
        <v>0</v>
      </c>
      <c r="R10023" t="n">
        <v>0</v>
      </c>
      <c r="S10023" t="n">
        <v>0</v>
      </c>
      <c r="T10023" t="n">
        <v>0</v>
      </c>
      <c r="U10023" t="n">
        <v>0</v>
      </c>
      <c r="V10023" s="2" t="inlineStr"/>
    </row>
    <row r="10024" ht="15" customHeight="1">
      <c r="A10024" t="inlineStr">
        <is>
          <t>A 23353-2025</t>
        </is>
      </c>
      <c r="B10024" t="inlineStr">
        <is>
          <t>avverkningsanmälan</t>
        </is>
      </c>
      <c r="C10024" t="inlineStr">
        <is>
          <t>Föryngringsavverkning</t>
        </is>
      </c>
      <c r="D10024" s="1" t="n">
        <v>45791</v>
      </c>
      <c r="E10024" s="1" t="n">
        <v>46326</v>
      </c>
      <c r="F10024" t="inlineStr">
        <is>
          <t>GÄVLEBORGS LÄN</t>
        </is>
      </c>
      <c r="G10024" t="inlineStr">
        <is>
          <t>LJUSDAL</t>
        </is>
      </c>
      <c r="H10024" t="inlineStr">
        <is>
          <t>Bergvik skog väst AB</t>
        </is>
      </c>
      <c r="I10024" t="n">
        <v>3</v>
      </c>
      <c r="J10024" t="n">
        <v>0</v>
      </c>
      <c r="K10024" t="n">
        <v>0</v>
      </c>
      <c r="L10024" t="n">
        <v>0</v>
      </c>
      <c r="M10024" t="n">
        <v>0</v>
      </c>
      <c r="N10024" t="n">
        <v>0</v>
      </c>
      <c r="O10024" t="n">
        <v>0</v>
      </c>
      <c r="P10024" t="n">
        <v>0</v>
      </c>
      <c r="Q10024" t="n">
        <v>0</v>
      </c>
      <c r="R10024" t="n">
        <v>0</v>
      </c>
      <c r="S10024" t="n">
        <v>0</v>
      </c>
      <c r="T10024" t="n">
        <v>0</v>
      </c>
      <c r="U10024" t="n">
        <v>0</v>
      </c>
      <c r="V10024" s="2" t="inlineStr"/>
    </row>
    <row r="10025" ht="15" customHeight="1">
      <c r="A10025" t="inlineStr">
        <is>
          <t>A 40290-2026</t>
        </is>
      </c>
      <c r="B10025" t="inlineStr">
        <is>
          <t>avverkningsanmälan</t>
        </is>
      </c>
      <c r="C10025" t="inlineStr">
        <is>
          <t>Föryngringsavverkning</t>
        </is>
      </c>
      <c r="D10025" s="1" t="n">
        <v>46294</v>
      </c>
      <c r="E10025" s="1" t="n">
        <v>46326</v>
      </c>
      <c r="F10025" t="inlineStr">
        <is>
          <t>GÄVLEBORGS LÄN</t>
        </is>
      </c>
      <c r="G10025" t="inlineStr">
        <is>
          <t>OVANÅKER</t>
        </is>
      </c>
      <c r="H10025" t="inlineStr">
        <is>
          <t>Bergvik skog väst AB</t>
        </is>
      </c>
      <c r="I10025" t="n">
        <v>3.5</v>
      </c>
      <c r="J10025" t="n">
        <v>0</v>
      </c>
      <c r="K10025" t="n">
        <v>0</v>
      </c>
      <c r="L10025" t="n">
        <v>0</v>
      </c>
      <c r="M10025" t="n">
        <v>0</v>
      </c>
      <c r="N10025" t="n">
        <v>0</v>
      </c>
      <c r="O10025" t="n">
        <v>0</v>
      </c>
      <c r="P10025" t="n">
        <v>0</v>
      </c>
      <c r="Q10025" t="n">
        <v>0</v>
      </c>
      <c r="R10025" t="n">
        <v>0</v>
      </c>
      <c r="S10025" t="n">
        <v>0</v>
      </c>
      <c r="T10025" t="n">
        <v>0</v>
      </c>
      <c r="U10025" t="n">
        <v>0</v>
      </c>
      <c r="V10025" s="2" t="inlineStr"/>
    </row>
    <row r="10026" ht="15" customHeight="1">
      <c r="A10026" t="inlineStr">
        <is>
          <t>A 20689-2025</t>
        </is>
      </c>
      <c r="B10026" t="inlineStr">
        <is>
          <t>avverkningsanmälan</t>
        </is>
      </c>
      <c r="C10026" t="inlineStr">
        <is>
          <t>Föryngringsavverkning</t>
        </is>
      </c>
      <c r="D10026" s="1" t="n">
        <v>45776</v>
      </c>
      <c r="E10026" s="1" t="n">
        <v>46326</v>
      </c>
      <c r="F10026" t="inlineStr">
        <is>
          <t>GÄVLEBORGS LÄN</t>
        </is>
      </c>
      <c r="G10026" t="inlineStr">
        <is>
          <t>OCKELBO</t>
        </is>
      </c>
      <c r="H10026" t="inlineStr">
        <is>
          <t>Bergvik skog väst AB</t>
        </is>
      </c>
      <c r="I10026" t="n">
        <v>16.2</v>
      </c>
      <c r="J10026" t="n">
        <v>0</v>
      </c>
      <c r="K10026" t="n">
        <v>0</v>
      </c>
      <c r="L10026" t="n">
        <v>0</v>
      </c>
      <c r="M10026" t="n">
        <v>0</v>
      </c>
      <c r="N10026" t="n">
        <v>0</v>
      </c>
      <c r="O10026" t="n">
        <v>0</v>
      </c>
      <c r="P10026" t="n">
        <v>0</v>
      </c>
      <c r="Q10026" t="n">
        <v>0</v>
      </c>
      <c r="R10026" t="n">
        <v>0</v>
      </c>
      <c r="S10026" t="n">
        <v>0</v>
      </c>
      <c r="T10026" t="n">
        <v>0</v>
      </c>
      <c r="U10026" t="n">
        <v>0</v>
      </c>
      <c r="V10026" s="2" t="inlineStr"/>
    </row>
    <row r="10027" ht="15" customHeight="1">
      <c r="A10027" t="inlineStr">
        <is>
          <t>A 40315-2026</t>
        </is>
      </c>
      <c r="B10027" t="inlineStr">
        <is>
          <t>avverkningsanmälan</t>
        </is>
      </c>
      <c r="C10027" t="inlineStr">
        <is>
          <t>Föryngringsavverkning</t>
        </is>
      </c>
      <c r="D10027" s="1" t="n">
        <v>46294</v>
      </c>
      <c r="E10027" s="1" t="n">
        <v>46326</v>
      </c>
      <c r="F10027" t="inlineStr">
        <is>
          <t>GÄVLEBORGS LÄN</t>
        </is>
      </c>
      <c r="G10027" t="inlineStr">
        <is>
          <t>HUDIKSVALL</t>
        </is>
      </c>
      <c r="I10027" t="n">
        <v>2.2</v>
      </c>
      <c r="J10027" t="n">
        <v>0</v>
      </c>
      <c r="K10027" t="n">
        <v>0</v>
      </c>
      <c r="L10027" t="n">
        <v>0</v>
      </c>
      <c r="M10027" t="n">
        <v>0</v>
      </c>
      <c r="N10027" t="n">
        <v>0</v>
      </c>
      <c r="O10027" t="n">
        <v>0</v>
      </c>
      <c r="P10027" t="n">
        <v>0</v>
      </c>
      <c r="Q10027" t="n">
        <v>0</v>
      </c>
      <c r="R10027" t="n">
        <v>0</v>
      </c>
      <c r="S10027" t="n">
        <v>0</v>
      </c>
      <c r="T10027" t="n">
        <v>0</v>
      </c>
      <c r="U10027" t="n">
        <v>0</v>
      </c>
      <c r="V10027" s="2" t="inlineStr"/>
    </row>
    <row r="10028" ht="15" customHeight="1">
      <c r="A10028" t="inlineStr">
        <is>
          <t>A 23307-2025</t>
        </is>
      </c>
      <c r="B10028" t="inlineStr">
        <is>
          <t>avverkningsanmälan</t>
        </is>
      </c>
      <c r="C10028" t="inlineStr">
        <is>
          <t>Föryngringsavverkning</t>
        </is>
      </c>
      <c r="D10028" s="1" t="n">
        <v>45791</v>
      </c>
      <c r="E10028" s="1" t="n">
        <v>46326</v>
      </c>
      <c r="F10028" t="inlineStr">
        <is>
          <t>GÄVLEBORGS LÄN</t>
        </is>
      </c>
      <c r="G10028" t="inlineStr">
        <is>
          <t>SÖDERHAMN</t>
        </is>
      </c>
      <c r="H10028" t="inlineStr">
        <is>
          <t>Bergvik skog väst AB</t>
        </is>
      </c>
      <c r="I10028" t="n">
        <v>13.5</v>
      </c>
      <c r="J10028" t="n">
        <v>0</v>
      </c>
      <c r="K10028" t="n">
        <v>0</v>
      </c>
      <c r="L10028" t="n">
        <v>0</v>
      </c>
      <c r="M10028" t="n">
        <v>0</v>
      </c>
      <c r="N10028" t="n">
        <v>0</v>
      </c>
      <c r="O10028" t="n">
        <v>0</v>
      </c>
      <c r="P10028" t="n">
        <v>0</v>
      </c>
      <c r="Q10028" t="n">
        <v>0</v>
      </c>
      <c r="R10028" t="n">
        <v>0</v>
      </c>
      <c r="S10028" t="n">
        <v>0</v>
      </c>
      <c r="T10028" t="n">
        <v>0</v>
      </c>
      <c r="U10028" t="n">
        <v>0</v>
      </c>
      <c r="V10028" s="2" t="inlineStr"/>
    </row>
    <row r="10029" ht="15" customHeight="1">
      <c r="A10029" t="inlineStr">
        <is>
          <t>A 23332-2025</t>
        </is>
      </c>
      <c r="B10029" t="inlineStr">
        <is>
          <t>avverkningsanmälan</t>
        </is>
      </c>
      <c r="C10029" t="inlineStr">
        <is>
          <t>Föryngringsavverkning</t>
        </is>
      </c>
      <c r="D10029" s="1" t="n">
        <v>45791</v>
      </c>
      <c r="E10029" s="1" t="n">
        <v>46326</v>
      </c>
      <c r="F10029" t="inlineStr">
        <is>
          <t>GÄVLEBORGS LÄN</t>
        </is>
      </c>
      <c r="G10029" t="inlineStr">
        <is>
          <t>SÖDERHAMN</t>
        </is>
      </c>
      <c r="H10029" t="inlineStr">
        <is>
          <t>Bergvik skog väst AB</t>
        </is>
      </c>
      <c r="I10029" t="n">
        <v>3.8</v>
      </c>
      <c r="J10029" t="n">
        <v>0</v>
      </c>
      <c r="K10029" t="n">
        <v>0</v>
      </c>
      <c r="L10029" t="n">
        <v>0</v>
      </c>
      <c r="M10029" t="n">
        <v>0</v>
      </c>
      <c r="N10029" t="n">
        <v>0</v>
      </c>
      <c r="O10029" t="n">
        <v>0</v>
      </c>
      <c r="P10029" t="n">
        <v>0</v>
      </c>
      <c r="Q10029" t="n">
        <v>0</v>
      </c>
      <c r="R10029" t="n">
        <v>0</v>
      </c>
      <c r="S10029" t="n">
        <v>0</v>
      </c>
      <c r="T10029" t="n">
        <v>0</v>
      </c>
      <c r="U10029" t="n">
        <v>0</v>
      </c>
      <c r="V10029" s="2" t="inlineStr"/>
    </row>
    <row r="10030" ht="15" customHeight="1">
      <c r="A10030" t="inlineStr">
        <is>
          <t>A 23350-2025</t>
        </is>
      </c>
      <c r="B10030" t="inlineStr">
        <is>
          <t>avverkningsanmälan</t>
        </is>
      </c>
      <c r="C10030" t="inlineStr">
        <is>
          <t>Föryngringsavverkning</t>
        </is>
      </c>
      <c r="D10030" s="1" t="n">
        <v>45791</v>
      </c>
      <c r="E10030" s="1" t="n">
        <v>46326</v>
      </c>
      <c r="F10030" t="inlineStr">
        <is>
          <t>GÄVLEBORGS LÄN</t>
        </is>
      </c>
      <c r="G10030" t="inlineStr">
        <is>
          <t>LJUSDAL</t>
        </is>
      </c>
      <c r="H10030" t="inlineStr">
        <is>
          <t>Bergvik skog väst AB</t>
        </is>
      </c>
      <c r="I10030" t="n">
        <v>2.6</v>
      </c>
      <c r="J10030" t="n">
        <v>0</v>
      </c>
      <c r="K10030" t="n">
        <v>0</v>
      </c>
      <c r="L10030" t="n">
        <v>0</v>
      </c>
      <c r="M10030" t="n">
        <v>0</v>
      </c>
      <c r="N10030" t="n">
        <v>0</v>
      </c>
      <c r="O10030" t="n">
        <v>0</v>
      </c>
      <c r="P10030" t="n">
        <v>0</v>
      </c>
      <c r="Q10030" t="n">
        <v>0</v>
      </c>
      <c r="R10030" t="n">
        <v>0</v>
      </c>
      <c r="S10030" t="n">
        <v>0</v>
      </c>
      <c r="T10030" t="n">
        <v>0</v>
      </c>
      <c r="U10030" t="n">
        <v>0</v>
      </c>
      <c r="V10030" s="2" t="inlineStr"/>
    </row>
    <row r="10031" ht="15" customHeight="1">
      <c r="A10031" t="inlineStr">
        <is>
          <t>A 23154-2025</t>
        </is>
      </c>
      <c r="B10031" t="inlineStr">
        <is>
          <t>avverkningsanmälan</t>
        </is>
      </c>
      <c r="C10031" t="inlineStr">
        <is>
          <t>Föryngringsavverkning</t>
        </is>
      </c>
      <c r="D10031" s="1" t="n">
        <v>45791</v>
      </c>
      <c r="E10031" s="1" t="n">
        <v>46326</v>
      </c>
      <c r="F10031" t="inlineStr">
        <is>
          <t>GÄVLEBORGS LÄN</t>
        </is>
      </c>
      <c r="G10031" t="inlineStr">
        <is>
          <t>NORDANSTIG</t>
        </is>
      </c>
      <c r="I10031" t="n">
        <v>0.6</v>
      </c>
      <c r="J10031" t="n">
        <v>0</v>
      </c>
      <c r="K10031" t="n">
        <v>0</v>
      </c>
      <c r="L10031" t="n">
        <v>0</v>
      </c>
      <c r="M10031" t="n">
        <v>0</v>
      </c>
      <c r="N10031" t="n">
        <v>0</v>
      </c>
      <c r="O10031" t="n">
        <v>0</v>
      </c>
      <c r="P10031" t="n">
        <v>0</v>
      </c>
      <c r="Q10031" t="n">
        <v>0</v>
      </c>
      <c r="R10031" t="n">
        <v>0</v>
      </c>
      <c r="S10031" t="n">
        <v>0</v>
      </c>
      <c r="T10031" t="n">
        <v>0</v>
      </c>
      <c r="U10031" t="n">
        <v>0</v>
      </c>
      <c r="V10031" s="2" t="inlineStr"/>
    </row>
    <row r="10032" ht="15" customHeight="1">
      <c r="A10032" t="inlineStr">
        <is>
          <t>A 23232-2025</t>
        </is>
      </c>
      <c r="B10032" t="inlineStr">
        <is>
          <t>avverkningsanmälan</t>
        </is>
      </c>
      <c r="C10032" t="inlineStr">
        <is>
          <t>Föryngringsavverkning</t>
        </is>
      </c>
      <c r="D10032" s="1" t="n">
        <v>45791</v>
      </c>
      <c r="E10032" s="1" t="n">
        <v>46326</v>
      </c>
      <c r="F10032" t="inlineStr">
        <is>
          <t>GÄVLEBORGS LÄN</t>
        </is>
      </c>
      <c r="G10032" t="inlineStr">
        <is>
          <t>GÄVLE</t>
        </is>
      </c>
      <c r="I10032" t="n">
        <v>10</v>
      </c>
      <c r="J10032" t="n">
        <v>0</v>
      </c>
      <c r="K10032" t="n">
        <v>0</v>
      </c>
      <c r="L10032" t="n">
        <v>0</v>
      </c>
      <c r="M10032" t="n">
        <v>0</v>
      </c>
      <c r="N10032" t="n">
        <v>0</v>
      </c>
      <c r="O10032" t="n">
        <v>0</v>
      </c>
      <c r="P10032" t="n">
        <v>0</v>
      </c>
      <c r="Q10032" t="n">
        <v>0</v>
      </c>
      <c r="R10032" t="n">
        <v>0</v>
      </c>
      <c r="S10032" t="n">
        <v>0</v>
      </c>
      <c r="T10032" t="n">
        <v>0</v>
      </c>
      <c r="U10032" t="n">
        <v>0</v>
      </c>
      <c r="V10032" s="2" t="inlineStr"/>
    </row>
    <row r="10033" ht="15" customHeight="1">
      <c r="A10033" t="inlineStr">
        <is>
          <t>A 34001-2026</t>
        </is>
      </c>
      <c r="B10033" t="inlineStr">
        <is>
          <t>avverkningsanmälan</t>
        </is>
      </c>
      <c r="C10033" t="inlineStr">
        <is>
          <t>Föryngringsavverkning</t>
        </is>
      </c>
      <c r="D10033" s="1" t="n">
        <v>46252</v>
      </c>
      <c r="E10033" s="1" t="n">
        <v>46326</v>
      </c>
      <c r="F10033" t="inlineStr">
        <is>
          <t>GÄVLEBORGS LÄN</t>
        </is>
      </c>
      <c r="G10033" t="inlineStr">
        <is>
          <t>SÖDERHAMN</t>
        </is>
      </c>
      <c r="I10033" t="n">
        <v>1.2</v>
      </c>
      <c r="J10033" t="n">
        <v>0</v>
      </c>
      <c r="K10033" t="n">
        <v>0</v>
      </c>
      <c r="L10033" t="n">
        <v>0</v>
      </c>
      <c r="M10033" t="n">
        <v>0</v>
      </c>
      <c r="N10033" t="n">
        <v>0</v>
      </c>
      <c r="O10033" t="n">
        <v>0</v>
      </c>
      <c r="P10033" t="n">
        <v>0</v>
      </c>
      <c r="Q10033" t="n">
        <v>0</v>
      </c>
      <c r="R10033" t="n">
        <v>0</v>
      </c>
      <c r="S10033" t="n">
        <v>0</v>
      </c>
      <c r="T10033" t="n">
        <v>0</v>
      </c>
      <c r="U10033" t="n">
        <v>0</v>
      </c>
      <c r="V10033" s="2" t="inlineStr"/>
    </row>
    <row r="10034" ht="15" customHeight="1">
      <c r="A10034" t="inlineStr">
        <is>
          <t>A 34034-2026</t>
        </is>
      </c>
      <c r="B10034" t="inlineStr">
        <is>
          <t>avverkningsanmälan</t>
        </is>
      </c>
      <c r="C10034" t="inlineStr">
        <is>
          <t>Föryngringsavverkning</t>
        </is>
      </c>
      <c r="D10034" s="1" t="n">
        <v>46252</v>
      </c>
      <c r="E10034" s="1" t="n">
        <v>46326</v>
      </c>
      <c r="F10034" t="inlineStr">
        <is>
          <t>GÄVLEBORGS LÄN</t>
        </is>
      </c>
      <c r="G10034" t="inlineStr">
        <is>
          <t>HUDIKSVALL</t>
        </is>
      </c>
      <c r="I10034" t="n">
        <v>0.8</v>
      </c>
      <c r="J10034" t="n">
        <v>0</v>
      </c>
      <c r="K10034" t="n">
        <v>0</v>
      </c>
      <c r="L10034" t="n">
        <v>0</v>
      </c>
      <c r="M10034" t="n">
        <v>0</v>
      </c>
      <c r="N10034" t="n">
        <v>0</v>
      </c>
      <c r="O10034" t="n">
        <v>0</v>
      </c>
      <c r="P10034" t="n">
        <v>0</v>
      </c>
      <c r="Q10034" t="n">
        <v>0</v>
      </c>
      <c r="R10034" t="n">
        <v>0</v>
      </c>
      <c r="S10034" t="n">
        <v>0</v>
      </c>
      <c r="T10034" t="n">
        <v>0</v>
      </c>
      <c r="U10034" t="n">
        <v>0</v>
      </c>
      <c r="V10034" s="2" t="inlineStr"/>
    </row>
    <row r="10035" ht="15" customHeight="1">
      <c r="A10035" t="inlineStr">
        <is>
          <t>A 22879-2025</t>
        </is>
      </c>
      <c r="B10035" t="inlineStr">
        <is>
          <t>avverkningsanmälan</t>
        </is>
      </c>
      <c r="C10035" t="inlineStr">
        <is>
          <t>Föryngringsavverkning</t>
        </is>
      </c>
      <c r="D10035" s="1" t="n">
        <v>45790</v>
      </c>
      <c r="E10035" s="1" t="n">
        <v>46326</v>
      </c>
      <c r="F10035" t="inlineStr">
        <is>
          <t>GÄVLEBORGS LÄN</t>
        </is>
      </c>
      <c r="G10035" t="inlineStr">
        <is>
          <t>GÄVLE</t>
        </is>
      </c>
      <c r="I10035" t="n">
        <v>3.9</v>
      </c>
      <c r="J10035" t="n">
        <v>0</v>
      </c>
      <c r="K10035" t="n">
        <v>0</v>
      </c>
      <c r="L10035" t="n">
        <v>0</v>
      </c>
      <c r="M10035" t="n">
        <v>0</v>
      </c>
      <c r="N10035" t="n">
        <v>0</v>
      </c>
      <c r="O10035" t="n">
        <v>0</v>
      </c>
      <c r="P10035" t="n">
        <v>0</v>
      </c>
      <c r="Q10035" t="n">
        <v>0</v>
      </c>
      <c r="R10035" t="n">
        <v>0</v>
      </c>
      <c r="S10035" t="n">
        <v>0</v>
      </c>
      <c r="T10035" t="n">
        <v>0</v>
      </c>
      <c r="U10035" t="n">
        <v>0</v>
      </c>
      <c r="V10035" s="2" t="inlineStr"/>
    </row>
    <row r="10036" ht="15" customHeight="1">
      <c r="A10036" t="inlineStr">
        <is>
          <t>A 23122-2025</t>
        </is>
      </c>
      <c r="B10036" t="inlineStr">
        <is>
          <t>avverkningsanmälan</t>
        </is>
      </c>
      <c r="C10036" t="inlineStr">
        <is>
          <t>Föryngringsavverkning</t>
        </is>
      </c>
      <c r="D10036" s="1" t="n">
        <v>45791</v>
      </c>
      <c r="E10036" s="1" t="n">
        <v>46326</v>
      </c>
      <c r="F10036" t="inlineStr">
        <is>
          <t>GÄVLEBORGS LÄN</t>
        </is>
      </c>
      <c r="G10036" t="inlineStr">
        <is>
          <t>NORDANSTIG</t>
        </is>
      </c>
      <c r="I10036" t="n">
        <v>2</v>
      </c>
      <c r="J10036" t="n">
        <v>0</v>
      </c>
      <c r="K10036" t="n">
        <v>0</v>
      </c>
      <c r="L10036" t="n">
        <v>0</v>
      </c>
      <c r="M10036" t="n">
        <v>0</v>
      </c>
      <c r="N10036" t="n">
        <v>0</v>
      </c>
      <c r="O10036" t="n">
        <v>0</v>
      </c>
      <c r="P10036" t="n">
        <v>0</v>
      </c>
      <c r="Q10036" t="n">
        <v>0</v>
      </c>
      <c r="R10036" t="n">
        <v>0</v>
      </c>
      <c r="S10036" t="n">
        <v>0</v>
      </c>
      <c r="T10036" t="n">
        <v>0</v>
      </c>
      <c r="U10036" t="n">
        <v>0</v>
      </c>
      <c r="V10036" s="2" t="inlineStr"/>
    </row>
    <row r="10037" ht="15" customHeight="1">
      <c r="A10037" t="inlineStr">
        <is>
          <t>A 40504-2026</t>
        </is>
      </c>
      <c r="B10037" t="inlineStr">
        <is>
          <t>avverkningsanmälan</t>
        </is>
      </c>
      <c r="C10037" t="inlineStr">
        <is>
          <t>Föryngringsavverkning</t>
        </is>
      </c>
      <c r="D10037" s="1" t="n">
        <v>46295</v>
      </c>
      <c r="E10037" s="1" t="n">
        <v>46326</v>
      </c>
      <c r="F10037" t="inlineStr">
        <is>
          <t>GÄVLEBORGS LÄN</t>
        </is>
      </c>
      <c r="G10037" t="inlineStr">
        <is>
          <t>GÄVLE</t>
        </is>
      </c>
      <c r="H10037" t="inlineStr">
        <is>
          <t>Bergvik skog öst AB</t>
        </is>
      </c>
      <c r="I10037" t="n">
        <v>5.2</v>
      </c>
      <c r="J10037" t="n">
        <v>0</v>
      </c>
      <c r="K10037" t="n">
        <v>0</v>
      </c>
      <c r="L10037" t="n">
        <v>0</v>
      </c>
      <c r="M10037" t="n">
        <v>0</v>
      </c>
      <c r="N10037" t="n">
        <v>0</v>
      </c>
      <c r="O10037" t="n">
        <v>0</v>
      </c>
      <c r="P10037" t="n">
        <v>0</v>
      </c>
      <c r="Q10037" t="n">
        <v>0</v>
      </c>
      <c r="R10037" t="n">
        <v>0</v>
      </c>
      <c r="S10037" t="n">
        <v>0</v>
      </c>
      <c r="T10037" t="n">
        <v>0</v>
      </c>
      <c r="U10037" t="n">
        <v>0</v>
      </c>
      <c r="V10037" s="2" t="inlineStr"/>
    </row>
    <row r="10038" ht="15" customHeight="1">
      <c r="A10038" t="inlineStr">
        <is>
          <t>A 9359-2024</t>
        </is>
      </c>
      <c r="B10038" t="inlineStr">
        <is>
          <t>avverkningsanmälan</t>
        </is>
      </c>
      <c r="C10038" t="inlineStr">
        <is>
          <t>Föryngringsavverkning</t>
        </is>
      </c>
      <c r="D10038" s="1" t="n">
        <v>45359</v>
      </c>
      <c r="E10038" s="1" t="n">
        <v>46326</v>
      </c>
      <c r="F10038" t="inlineStr">
        <is>
          <t>GÄVLEBORGS LÄN</t>
        </is>
      </c>
      <c r="G10038" t="inlineStr">
        <is>
          <t>LJUSDAL</t>
        </is>
      </c>
      <c r="I10038" t="n">
        <v>1</v>
      </c>
      <c r="J10038" t="n">
        <v>0</v>
      </c>
      <c r="K10038" t="n">
        <v>0</v>
      </c>
      <c r="L10038" t="n">
        <v>0</v>
      </c>
      <c r="M10038" t="n">
        <v>0</v>
      </c>
      <c r="N10038" t="n">
        <v>0</v>
      </c>
      <c r="O10038" t="n">
        <v>0</v>
      </c>
      <c r="P10038" t="n">
        <v>0</v>
      </c>
      <c r="Q10038" t="n">
        <v>0</v>
      </c>
      <c r="R10038" t="n">
        <v>0</v>
      </c>
      <c r="S10038" t="n">
        <v>0</v>
      </c>
      <c r="T10038" t="n">
        <v>0</v>
      </c>
      <c r="U10038" t="n">
        <v>0</v>
      </c>
      <c r="V10038" s="2" t="inlineStr"/>
    </row>
    <row r="10039" ht="15" customHeight="1">
      <c r="A10039" t="inlineStr">
        <is>
          <t>A 16616-2025</t>
        </is>
      </c>
      <c r="B10039" t="inlineStr">
        <is>
          <t>avverkningsanmälan</t>
        </is>
      </c>
      <c r="C10039" t="inlineStr">
        <is>
          <t>Föryngringsavverkning</t>
        </is>
      </c>
      <c r="D10039" s="1" t="n">
        <v>45754</v>
      </c>
      <c r="E10039" s="1" t="n">
        <v>46326</v>
      </c>
      <c r="F10039" t="inlineStr">
        <is>
          <t>GÄVLEBORGS LÄN</t>
        </is>
      </c>
      <c r="G10039" t="inlineStr">
        <is>
          <t>NORDANSTIG</t>
        </is>
      </c>
      <c r="H10039" t="inlineStr">
        <is>
          <t>Holmen skog AB</t>
        </is>
      </c>
      <c r="I10039" t="n">
        <v>2.5</v>
      </c>
      <c r="J10039" t="n">
        <v>0</v>
      </c>
      <c r="K10039" t="n">
        <v>0</v>
      </c>
      <c r="L10039" t="n">
        <v>0</v>
      </c>
      <c r="M10039" t="n">
        <v>0</v>
      </c>
      <c r="N10039" t="n">
        <v>0</v>
      </c>
      <c r="O10039" t="n">
        <v>0</v>
      </c>
      <c r="P10039" t="n">
        <v>0</v>
      </c>
      <c r="Q10039" t="n">
        <v>0</v>
      </c>
      <c r="R10039" t="n">
        <v>0</v>
      </c>
      <c r="S10039" t="n">
        <v>0</v>
      </c>
      <c r="T10039" t="n">
        <v>0</v>
      </c>
      <c r="U10039" t="n">
        <v>0</v>
      </c>
      <c r="V10039" s="2" t="inlineStr"/>
    </row>
    <row r="10040" ht="15" customHeight="1">
      <c r="A10040" t="inlineStr">
        <is>
          <t>A 33803-2026</t>
        </is>
      </c>
      <c r="B10040" t="inlineStr">
        <is>
          <t>avverkningsanmälan</t>
        </is>
      </c>
      <c r="C10040" t="inlineStr">
        <is>
          <t>Föryngringsavverkning</t>
        </is>
      </c>
      <c r="D10040" s="1" t="n">
        <v>46251</v>
      </c>
      <c r="E10040" s="1" t="n">
        <v>46326</v>
      </c>
      <c r="F10040" t="inlineStr">
        <is>
          <t>GÄVLEBORGS LÄN</t>
        </is>
      </c>
      <c r="G10040" t="inlineStr">
        <is>
          <t>OVANÅKER</t>
        </is>
      </c>
      <c r="I10040" t="n">
        <v>1.7</v>
      </c>
      <c r="J10040" t="n">
        <v>0</v>
      </c>
      <c r="K10040" t="n">
        <v>0</v>
      </c>
      <c r="L10040" t="n">
        <v>0</v>
      </c>
      <c r="M10040" t="n">
        <v>0</v>
      </c>
      <c r="N10040" t="n">
        <v>0</v>
      </c>
      <c r="O10040" t="n">
        <v>0</v>
      </c>
      <c r="P10040" t="n">
        <v>0</v>
      </c>
      <c r="Q10040" t="n">
        <v>0</v>
      </c>
      <c r="R10040" t="n">
        <v>0</v>
      </c>
      <c r="S10040" t="n">
        <v>0</v>
      </c>
      <c r="T10040" t="n">
        <v>0</v>
      </c>
      <c r="U10040" t="n">
        <v>0</v>
      </c>
      <c r="V10040" s="2" t="inlineStr"/>
    </row>
    <row r="10041" ht="15" customHeight="1">
      <c r="A10041" t="inlineStr">
        <is>
          <t>A 23324-2025</t>
        </is>
      </c>
      <c r="B10041" t="inlineStr">
        <is>
          <t>avverkningsanmälan</t>
        </is>
      </c>
      <c r="C10041" t="inlineStr">
        <is>
          <t>Föryngringsavverkning</t>
        </is>
      </c>
      <c r="D10041" s="1" t="n">
        <v>45791</v>
      </c>
      <c r="E10041" s="1" t="n">
        <v>46326</v>
      </c>
      <c r="F10041" t="inlineStr">
        <is>
          <t>GÄVLEBORGS LÄN</t>
        </is>
      </c>
      <c r="G10041" t="inlineStr">
        <is>
          <t>GÄVLE</t>
        </is>
      </c>
      <c r="I10041" t="n">
        <v>6.2</v>
      </c>
      <c r="J10041" t="n">
        <v>0</v>
      </c>
      <c r="K10041" t="n">
        <v>0</v>
      </c>
      <c r="L10041" t="n">
        <v>0</v>
      </c>
      <c r="M10041" t="n">
        <v>0</v>
      </c>
      <c r="N10041" t="n">
        <v>0</v>
      </c>
      <c r="O10041" t="n">
        <v>0</v>
      </c>
      <c r="P10041" t="n">
        <v>0</v>
      </c>
      <c r="Q10041" t="n">
        <v>0</v>
      </c>
      <c r="R10041" t="n">
        <v>0</v>
      </c>
      <c r="S10041" t="n">
        <v>0</v>
      </c>
      <c r="T10041" t="n">
        <v>0</v>
      </c>
      <c r="U10041" t="n">
        <v>0</v>
      </c>
      <c r="V10041" s="2" t="inlineStr"/>
    </row>
    <row r="10042" ht="15" customHeight="1">
      <c r="A10042" t="inlineStr">
        <is>
          <t>A 22927-2025</t>
        </is>
      </c>
      <c r="B10042" t="inlineStr">
        <is>
          <t>avverkningsanmälan</t>
        </is>
      </c>
      <c r="C10042" t="inlineStr">
        <is>
          <t>Föryngringsavverkning</t>
        </is>
      </c>
      <c r="D10042" s="1" t="n">
        <v>45790</v>
      </c>
      <c r="E10042" s="1" t="n">
        <v>46326</v>
      </c>
      <c r="F10042" t="inlineStr">
        <is>
          <t>GÄVLEBORGS LÄN</t>
        </is>
      </c>
      <c r="G10042" t="inlineStr">
        <is>
          <t>BOLLNÄS</t>
        </is>
      </c>
      <c r="H10042" t="inlineStr">
        <is>
          <t>Bergvik skog väst AB</t>
        </is>
      </c>
      <c r="I10042" t="n">
        <v>0.8</v>
      </c>
      <c r="J10042" t="n">
        <v>0</v>
      </c>
      <c r="K10042" t="n">
        <v>0</v>
      </c>
      <c r="L10042" t="n">
        <v>0</v>
      </c>
      <c r="M10042" t="n">
        <v>0</v>
      </c>
      <c r="N10042" t="n">
        <v>0</v>
      </c>
      <c r="O10042" t="n">
        <v>0</v>
      </c>
      <c r="P10042" t="n">
        <v>0</v>
      </c>
      <c r="Q10042" t="n">
        <v>0</v>
      </c>
      <c r="R10042" t="n">
        <v>0</v>
      </c>
      <c r="S10042" t="n">
        <v>0</v>
      </c>
      <c r="T10042" t="n">
        <v>0</v>
      </c>
      <c r="U10042" t="n">
        <v>0</v>
      </c>
      <c r="V10042" s="2" t="inlineStr"/>
    </row>
    <row r="10043" ht="15" customHeight="1">
      <c r="A10043" t="inlineStr">
        <is>
          <t>A 2292-2026</t>
        </is>
      </c>
      <c r="B10043" t="inlineStr">
        <is>
          <t>avverkningsanmälan</t>
        </is>
      </c>
      <c r="C10043" t="inlineStr">
        <is>
          <t>Föryngringsavverkning</t>
        </is>
      </c>
      <c r="D10043" s="1" t="n">
        <v>46036</v>
      </c>
      <c r="E10043" s="1" t="n">
        <v>46326</v>
      </c>
      <c r="F10043" t="inlineStr">
        <is>
          <t>GÄVLEBORGS LÄN</t>
        </is>
      </c>
      <c r="G10043" t="inlineStr">
        <is>
          <t>BOLLNÄS</t>
        </is>
      </c>
      <c r="I10043" t="n">
        <v>13</v>
      </c>
      <c r="J10043" t="n">
        <v>0</v>
      </c>
      <c r="K10043" t="n">
        <v>0</v>
      </c>
      <c r="L10043" t="n">
        <v>0</v>
      </c>
      <c r="M10043" t="n">
        <v>0</v>
      </c>
      <c r="N10043" t="n">
        <v>0</v>
      </c>
      <c r="O10043" t="n">
        <v>0</v>
      </c>
      <c r="P10043" t="n">
        <v>0</v>
      </c>
      <c r="Q10043" t="n">
        <v>0</v>
      </c>
      <c r="R10043" t="n">
        <v>0</v>
      </c>
      <c r="S10043" t="n">
        <v>0</v>
      </c>
      <c r="T10043" t="n">
        <v>0</v>
      </c>
      <c r="U10043" t="n">
        <v>0</v>
      </c>
      <c r="V10043" s="2" t="inlineStr"/>
    </row>
    <row r="10044" ht="15" customHeight="1">
      <c r="A10044" t="inlineStr">
        <is>
          <t>A 2403-2026</t>
        </is>
      </c>
      <c r="B10044" t="inlineStr">
        <is>
          <t>avverkningsanmälan</t>
        </is>
      </c>
      <c r="C10044" t="inlineStr">
        <is>
          <t>Föryngringsavverkning</t>
        </is>
      </c>
      <c r="D10044" s="1" t="n">
        <v>46036</v>
      </c>
      <c r="E10044" s="1" t="n">
        <v>46326</v>
      </c>
      <c r="F10044" t="inlineStr">
        <is>
          <t>GÄVLEBORGS LÄN</t>
        </is>
      </c>
      <c r="G10044" t="inlineStr">
        <is>
          <t>BOLLNÄS</t>
        </is>
      </c>
      <c r="I10044" t="n">
        <v>8.6</v>
      </c>
      <c r="J10044" t="n">
        <v>0</v>
      </c>
      <c r="K10044" t="n">
        <v>0</v>
      </c>
      <c r="L10044" t="n">
        <v>0</v>
      </c>
      <c r="M10044" t="n">
        <v>0</v>
      </c>
      <c r="N10044" t="n">
        <v>0</v>
      </c>
      <c r="O10044" t="n">
        <v>0</v>
      </c>
      <c r="P10044" t="n">
        <v>0</v>
      </c>
      <c r="Q10044" t="n">
        <v>0</v>
      </c>
      <c r="R10044" t="n">
        <v>0</v>
      </c>
      <c r="S10044" t="n">
        <v>0</v>
      </c>
      <c r="T10044" t="n">
        <v>0</v>
      </c>
      <c r="U10044" t="n">
        <v>0</v>
      </c>
      <c r="V10044" s="2" t="inlineStr"/>
    </row>
    <row r="10045" ht="15" customHeight="1">
      <c r="A10045" t="inlineStr">
        <is>
          <t>A 34012-2026</t>
        </is>
      </c>
      <c r="B10045" t="inlineStr">
        <is>
          <t>avverkningsanmälan</t>
        </is>
      </c>
      <c r="C10045" t="inlineStr">
        <is>
          <t>Föryngringsavverkning</t>
        </is>
      </c>
      <c r="D10045" s="1" t="n">
        <v>46252</v>
      </c>
      <c r="E10045" s="1" t="n">
        <v>46326</v>
      </c>
      <c r="F10045" t="inlineStr">
        <is>
          <t>GÄVLEBORGS LÄN</t>
        </is>
      </c>
      <c r="G10045" t="inlineStr">
        <is>
          <t>SÖDERHAMN</t>
        </is>
      </c>
      <c r="I10045" t="n">
        <v>0.7</v>
      </c>
      <c r="J10045" t="n">
        <v>0</v>
      </c>
      <c r="K10045" t="n">
        <v>0</v>
      </c>
      <c r="L10045" t="n">
        <v>0</v>
      </c>
      <c r="M10045" t="n">
        <v>0</v>
      </c>
      <c r="N10045" t="n">
        <v>0</v>
      </c>
      <c r="O10045" t="n">
        <v>0</v>
      </c>
      <c r="P10045" t="n">
        <v>0</v>
      </c>
      <c r="Q10045" t="n">
        <v>0</v>
      </c>
      <c r="R10045" t="n">
        <v>0</v>
      </c>
      <c r="S10045" t="n">
        <v>0</v>
      </c>
      <c r="T10045" t="n">
        <v>0</v>
      </c>
      <c r="U10045" t="n">
        <v>0</v>
      </c>
      <c r="V10045" s="2" t="inlineStr"/>
    </row>
    <row r="10046" ht="15" customHeight="1">
      <c r="A10046" t="inlineStr">
        <is>
          <t>A 5178-2026</t>
        </is>
      </c>
      <c r="B10046" t="inlineStr">
        <is>
          <t>avverkningsanmälan</t>
        </is>
      </c>
      <c r="C10046" t="inlineStr">
        <is>
          <t>Föryngringsavverkning</t>
        </is>
      </c>
      <c r="D10046" s="1" t="n">
        <v>46049</v>
      </c>
      <c r="E10046" s="1" t="n">
        <v>46326</v>
      </c>
      <c r="F10046" t="inlineStr">
        <is>
          <t>GÄVLEBORGS LÄN</t>
        </is>
      </c>
      <c r="G10046" t="inlineStr">
        <is>
          <t>BOLLNÄS</t>
        </is>
      </c>
      <c r="I10046" t="n">
        <v>6</v>
      </c>
      <c r="J10046" t="n">
        <v>0</v>
      </c>
      <c r="K10046" t="n">
        <v>0</v>
      </c>
      <c r="L10046" t="n">
        <v>0</v>
      </c>
      <c r="M10046" t="n">
        <v>0</v>
      </c>
      <c r="N10046" t="n">
        <v>0</v>
      </c>
      <c r="O10046" t="n">
        <v>0</v>
      </c>
      <c r="P10046" t="n">
        <v>0</v>
      </c>
      <c r="Q10046" t="n">
        <v>0</v>
      </c>
      <c r="R10046" t="n">
        <v>0</v>
      </c>
      <c r="S10046" t="n">
        <v>0</v>
      </c>
      <c r="T10046" t="n">
        <v>0</v>
      </c>
      <c r="U10046" t="n">
        <v>0</v>
      </c>
      <c r="V10046" s="2" t="inlineStr"/>
    </row>
    <row r="10047" ht="15" customHeight="1">
      <c r="A10047" t="inlineStr">
        <is>
          <t>A 5898-2026</t>
        </is>
      </c>
      <c r="B10047" t="inlineStr">
        <is>
          <t>avverkningsanmälan</t>
        </is>
      </c>
      <c r="C10047" t="inlineStr">
        <is>
          <t>Föryngringsavverkning</t>
        </is>
      </c>
      <c r="D10047" s="1" t="n">
        <v>46052</v>
      </c>
      <c r="E10047" s="1" t="n">
        <v>46326</v>
      </c>
      <c r="F10047" t="inlineStr">
        <is>
          <t>GÄVLEBORGS LÄN</t>
        </is>
      </c>
      <c r="G10047" t="inlineStr">
        <is>
          <t>OCKELBO</t>
        </is>
      </c>
      <c r="I10047" t="n">
        <v>1.9</v>
      </c>
      <c r="J10047" t="n">
        <v>0</v>
      </c>
      <c r="K10047" t="n">
        <v>0</v>
      </c>
      <c r="L10047" t="n">
        <v>0</v>
      </c>
      <c r="M10047" t="n">
        <v>0</v>
      </c>
      <c r="N10047" t="n">
        <v>0</v>
      </c>
      <c r="O10047" t="n">
        <v>0</v>
      </c>
      <c r="P10047" t="n">
        <v>0</v>
      </c>
      <c r="Q10047" t="n">
        <v>0</v>
      </c>
      <c r="R10047" t="n">
        <v>0</v>
      </c>
      <c r="S10047" t="n">
        <v>0</v>
      </c>
      <c r="T10047" t="n">
        <v>0</v>
      </c>
      <c r="U10047" t="n">
        <v>0</v>
      </c>
      <c r="V10047" s="2" t="inlineStr"/>
    </row>
    <row r="10048" ht="15" customHeight="1">
      <c r="A10048" t="inlineStr">
        <is>
          <t>A 28349-2026</t>
        </is>
      </c>
      <c r="B10048" t="inlineStr">
        <is>
          <t>avverkningsanmälan</t>
        </is>
      </c>
      <c r="C10048" t="inlineStr">
        <is>
          <t>Föryngringsavverkning</t>
        </is>
      </c>
      <c r="D10048" s="1" t="n">
        <v>46196</v>
      </c>
      <c r="E10048" s="1" t="n">
        <v>46326</v>
      </c>
      <c r="F10048" t="inlineStr">
        <is>
          <t>GÄVLEBORGS LÄN</t>
        </is>
      </c>
      <c r="G10048" t="inlineStr">
        <is>
          <t>SANDVIKEN</t>
        </is>
      </c>
      <c r="H10048" t="inlineStr">
        <is>
          <t>Bergvik skog öst AB</t>
        </is>
      </c>
      <c r="I10048" t="n">
        <v>7</v>
      </c>
      <c r="J10048" t="n">
        <v>0</v>
      </c>
      <c r="K10048" t="n">
        <v>0</v>
      </c>
      <c r="L10048" t="n">
        <v>0</v>
      </c>
      <c r="M10048" t="n">
        <v>0</v>
      </c>
      <c r="N10048" t="n">
        <v>0</v>
      </c>
      <c r="O10048" t="n">
        <v>0</v>
      </c>
      <c r="P10048" t="n">
        <v>0</v>
      </c>
      <c r="Q10048" t="n">
        <v>0</v>
      </c>
      <c r="R10048" t="n">
        <v>0</v>
      </c>
      <c r="S10048" t="n">
        <v>0</v>
      </c>
      <c r="T10048" t="n">
        <v>0</v>
      </c>
      <c r="U10048" t="n">
        <v>0</v>
      </c>
      <c r="V10048" s="2" t="inlineStr"/>
    </row>
    <row r="10049" ht="15" customHeight="1">
      <c r="A10049" t="inlineStr">
        <is>
          <t>A 9187-2026</t>
        </is>
      </c>
      <c r="B10049" t="inlineStr">
        <is>
          <t>avverkningsanmälan</t>
        </is>
      </c>
      <c r="C10049" t="inlineStr">
        <is>
          <t>Föryngringsavverkning</t>
        </is>
      </c>
      <c r="D10049" s="1" t="n">
        <v>46070</v>
      </c>
      <c r="E10049" s="1" t="n">
        <v>46326</v>
      </c>
      <c r="F10049" t="inlineStr">
        <is>
          <t>GÄVLEBORGS LÄN</t>
        </is>
      </c>
      <c r="G10049" t="inlineStr">
        <is>
          <t>BOLLNÄS</t>
        </is>
      </c>
      <c r="I10049" t="n">
        <v>0.9</v>
      </c>
      <c r="J10049" t="n">
        <v>0</v>
      </c>
      <c r="K10049" t="n">
        <v>0</v>
      </c>
      <c r="L10049" t="n">
        <v>0</v>
      </c>
      <c r="M10049" t="n">
        <v>0</v>
      </c>
      <c r="N10049" t="n">
        <v>0</v>
      </c>
      <c r="O10049" t="n">
        <v>0</v>
      </c>
      <c r="P10049" t="n">
        <v>0</v>
      </c>
      <c r="Q10049" t="n">
        <v>0</v>
      </c>
      <c r="R10049" t="n">
        <v>0</v>
      </c>
      <c r="S10049" t="n">
        <v>0</v>
      </c>
      <c r="T10049" t="n">
        <v>0</v>
      </c>
      <c r="U10049" t="n">
        <v>0</v>
      </c>
      <c r="V10049" s="2" t="inlineStr"/>
    </row>
    <row r="10050" ht="15" customHeight="1">
      <c r="A10050" t="inlineStr">
        <is>
          <t>A 14289-2026</t>
        </is>
      </c>
      <c r="B10050" t="inlineStr">
        <is>
          <t>avverkningsanmälan</t>
        </is>
      </c>
      <c r="C10050" t="inlineStr">
        <is>
          <t>Föryngringsavverkning</t>
        </is>
      </c>
      <c r="D10050" s="1" t="n">
        <v>46099</v>
      </c>
      <c r="E10050" s="1" t="n">
        <v>46326</v>
      </c>
      <c r="F10050" t="inlineStr">
        <is>
          <t>GÄVLEBORGS LÄN</t>
        </is>
      </c>
      <c r="G10050" t="inlineStr">
        <is>
          <t>OVANÅKER</t>
        </is>
      </c>
      <c r="I10050" t="n">
        <v>3.4</v>
      </c>
      <c r="J10050" t="n">
        <v>0</v>
      </c>
      <c r="K10050" t="n">
        <v>0</v>
      </c>
      <c r="L10050" t="n">
        <v>0</v>
      </c>
      <c r="M10050" t="n">
        <v>0</v>
      </c>
      <c r="N10050" t="n">
        <v>0</v>
      </c>
      <c r="O10050" t="n">
        <v>0</v>
      </c>
      <c r="P10050" t="n">
        <v>0</v>
      </c>
      <c r="Q10050" t="n">
        <v>0</v>
      </c>
      <c r="R10050" t="n">
        <v>0</v>
      </c>
      <c r="S10050" t="n">
        <v>0</v>
      </c>
      <c r="T10050" t="n">
        <v>0</v>
      </c>
      <c r="U10050" t="n">
        <v>0</v>
      </c>
      <c r="V10050" s="2" t="inlineStr"/>
    </row>
    <row r="10051" ht="15" customHeight="1">
      <c r="A10051" t="inlineStr">
        <is>
          <t>A 2361-2026</t>
        </is>
      </c>
      <c r="B10051" t="inlineStr">
        <is>
          <t>avverkningsanmälan</t>
        </is>
      </c>
      <c r="C10051" t="inlineStr">
        <is>
          <t>Föryngringsavverkning</t>
        </is>
      </c>
      <c r="D10051" s="1" t="n">
        <v>46036</v>
      </c>
      <c r="E10051" s="1" t="n">
        <v>46326</v>
      </c>
      <c r="F10051" t="inlineStr">
        <is>
          <t>GÄVLEBORGS LÄN</t>
        </is>
      </c>
      <c r="G10051" t="inlineStr">
        <is>
          <t>BOLLNÄS</t>
        </is>
      </c>
      <c r="I10051" t="n">
        <v>1.9</v>
      </c>
      <c r="J10051" t="n">
        <v>0</v>
      </c>
      <c r="K10051" t="n">
        <v>0</v>
      </c>
      <c r="L10051" t="n">
        <v>0</v>
      </c>
      <c r="M10051" t="n">
        <v>0</v>
      </c>
      <c r="N10051" t="n">
        <v>0</v>
      </c>
      <c r="O10051" t="n">
        <v>0</v>
      </c>
      <c r="P10051" t="n">
        <v>0</v>
      </c>
      <c r="Q10051" t="n">
        <v>0</v>
      </c>
      <c r="R10051" t="n">
        <v>0</v>
      </c>
      <c r="S10051" t="n">
        <v>0</v>
      </c>
      <c r="T10051" t="n">
        <v>0</v>
      </c>
      <c r="U10051" t="n">
        <v>0</v>
      </c>
      <c r="V10051" s="2" t="inlineStr"/>
    </row>
    <row r="10052" ht="15" customHeight="1">
      <c r="A10052" t="inlineStr">
        <is>
          <t>A 2985-2026</t>
        </is>
      </c>
      <c r="B10052" t="inlineStr">
        <is>
          <t>avverkningsanmälan</t>
        </is>
      </c>
      <c r="C10052" t="inlineStr">
        <is>
          <t>Föryngringsavverkning</t>
        </is>
      </c>
      <c r="D10052" s="1" t="n">
        <v>46038</v>
      </c>
      <c r="E10052" s="1" t="n">
        <v>46326</v>
      </c>
      <c r="F10052" t="inlineStr">
        <is>
          <t>GÄVLEBORGS LÄN</t>
        </is>
      </c>
      <c r="G10052" t="inlineStr">
        <is>
          <t>BOLLNÄS</t>
        </is>
      </c>
      <c r="I10052" t="n">
        <v>1.4</v>
      </c>
      <c r="J10052" t="n">
        <v>0</v>
      </c>
      <c r="K10052" t="n">
        <v>0</v>
      </c>
      <c r="L10052" t="n">
        <v>0</v>
      </c>
      <c r="M10052" t="n">
        <v>0</v>
      </c>
      <c r="N10052" t="n">
        <v>0</v>
      </c>
      <c r="O10052" t="n">
        <v>0</v>
      </c>
      <c r="P10052" t="n">
        <v>0</v>
      </c>
      <c r="Q10052" t="n">
        <v>0</v>
      </c>
      <c r="R10052" t="n">
        <v>0</v>
      </c>
      <c r="S10052" t="n">
        <v>0</v>
      </c>
      <c r="T10052" t="n">
        <v>0</v>
      </c>
      <c r="U10052" t="n">
        <v>0</v>
      </c>
      <c r="V10052" s="2" t="inlineStr"/>
    </row>
    <row r="10053" ht="15" customHeight="1">
      <c r="A10053" t="inlineStr">
        <is>
          <t>A 34033-2026</t>
        </is>
      </c>
      <c r="B10053" t="inlineStr">
        <is>
          <t>avverkningsanmälan</t>
        </is>
      </c>
      <c r="C10053" t="inlineStr">
        <is>
          <t>Föryngringsavverkning</t>
        </is>
      </c>
      <c r="D10053" s="1" t="n">
        <v>46252</v>
      </c>
      <c r="E10053" s="1" t="n">
        <v>46326</v>
      </c>
      <c r="F10053" t="inlineStr">
        <is>
          <t>GÄVLEBORGS LÄN</t>
        </is>
      </c>
      <c r="G10053" t="inlineStr">
        <is>
          <t>GÄVLE</t>
        </is>
      </c>
      <c r="I10053" t="n">
        <v>1.2</v>
      </c>
      <c r="J10053" t="n">
        <v>0</v>
      </c>
      <c r="K10053" t="n">
        <v>0</v>
      </c>
      <c r="L10053" t="n">
        <v>0</v>
      </c>
      <c r="M10053" t="n">
        <v>0</v>
      </c>
      <c r="N10053" t="n">
        <v>0</v>
      </c>
      <c r="O10053" t="n">
        <v>0</v>
      </c>
      <c r="P10053" t="n">
        <v>0</v>
      </c>
      <c r="Q10053" t="n">
        <v>0</v>
      </c>
      <c r="R10053" t="n">
        <v>0</v>
      </c>
      <c r="S10053" t="n">
        <v>0</v>
      </c>
      <c r="T10053" t="n">
        <v>0</v>
      </c>
      <c r="U10053" t="n">
        <v>0</v>
      </c>
      <c r="V10053" s="2" t="inlineStr"/>
    </row>
    <row r="10054" ht="15" customHeight="1">
      <c r="A10054" t="inlineStr">
        <is>
          <t>A 31087-2026</t>
        </is>
      </c>
      <c r="B10054" t="inlineStr">
        <is>
          <t>avverkningsanmälan</t>
        </is>
      </c>
      <c r="C10054" t="inlineStr">
        <is>
          <t>Föryngringsavverkning</t>
        </is>
      </c>
      <c r="D10054" s="1" t="n">
        <v>46216</v>
      </c>
      <c r="E10054" s="1" t="n">
        <v>46326</v>
      </c>
      <c r="F10054" t="inlineStr">
        <is>
          <t>GÄVLEBORGS LÄN</t>
        </is>
      </c>
      <c r="G10054" t="inlineStr">
        <is>
          <t>HOFORS</t>
        </is>
      </c>
      <c r="H10054" t="inlineStr">
        <is>
          <t>Kommuner</t>
        </is>
      </c>
      <c r="I10054" t="n">
        <v>1.5</v>
      </c>
      <c r="J10054" t="n">
        <v>0</v>
      </c>
      <c r="K10054" t="n">
        <v>0</v>
      </c>
      <c r="L10054" t="n">
        <v>0</v>
      </c>
      <c r="M10054" t="n">
        <v>0</v>
      </c>
      <c r="N10054" t="n">
        <v>0</v>
      </c>
      <c r="O10054" t="n">
        <v>0</v>
      </c>
      <c r="P10054" t="n">
        <v>0</v>
      </c>
      <c r="Q10054" t="n">
        <v>0</v>
      </c>
      <c r="R10054" t="n">
        <v>0</v>
      </c>
      <c r="S10054" t="n">
        <v>0</v>
      </c>
      <c r="T10054" t="n">
        <v>0</v>
      </c>
      <c r="U10054" t="n">
        <v>0</v>
      </c>
      <c r="V10054" s="2" t="inlineStr"/>
    </row>
    <row r="10055" ht="15" customHeight="1">
      <c r="A10055" t="inlineStr">
        <is>
          <t>A 33708-2026</t>
        </is>
      </c>
      <c r="B10055" t="inlineStr">
        <is>
          <t>avverkningsanmälan</t>
        </is>
      </c>
      <c r="C10055" t="inlineStr">
        <is>
          <t>Föryngringsavverkning</t>
        </is>
      </c>
      <c r="D10055" s="1" t="n">
        <v>46251</v>
      </c>
      <c r="E10055" s="1" t="n">
        <v>46326</v>
      </c>
      <c r="F10055" t="inlineStr">
        <is>
          <t>GÄVLEBORGS LÄN</t>
        </is>
      </c>
      <c r="G10055" t="inlineStr">
        <is>
          <t>HUDIKSVALL</t>
        </is>
      </c>
      <c r="I10055" t="n">
        <v>3.5</v>
      </c>
      <c r="J10055" t="n">
        <v>0</v>
      </c>
      <c r="K10055" t="n">
        <v>0</v>
      </c>
      <c r="L10055" t="n">
        <v>0</v>
      </c>
      <c r="M10055" t="n">
        <v>0</v>
      </c>
      <c r="N10055" t="n">
        <v>0</v>
      </c>
      <c r="O10055" t="n">
        <v>0</v>
      </c>
      <c r="P10055" t="n">
        <v>0</v>
      </c>
      <c r="Q10055" t="n">
        <v>0</v>
      </c>
      <c r="R10055" t="n">
        <v>0</v>
      </c>
      <c r="S10055" t="n">
        <v>0</v>
      </c>
      <c r="T10055" t="n">
        <v>0</v>
      </c>
      <c r="U10055" t="n">
        <v>0</v>
      </c>
      <c r="V10055" s="2" t="inlineStr"/>
    </row>
    <row r="10056" ht="15" customHeight="1">
      <c r="A10056" t="inlineStr">
        <is>
          <t>A 20137-2023</t>
        </is>
      </c>
      <c r="B10056" t="inlineStr">
        <is>
          <t>avverkningsanmälan</t>
        </is>
      </c>
      <c r="C10056" t="inlineStr">
        <is>
          <t>Avverkning för annat ändamål</t>
        </is>
      </c>
      <c r="D10056" s="1" t="n">
        <v>45055</v>
      </c>
      <c r="E10056" s="1" t="n">
        <v>46326</v>
      </c>
      <c r="F10056" t="inlineStr">
        <is>
          <t>GÄVLEBORGS LÄN</t>
        </is>
      </c>
      <c r="G10056" t="inlineStr">
        <is>
          <t>NORDANSTIG</t>
        </is>
      </c>
      <c r="I10056" t="n">
        <v>3.4</v>
      </c>
      <c r="J10056" t="n">
        <v>0</v>
      </c>
      <c r="K10056" t="n">
        <v>0</v>
      </c>
      <c r="L10056" t="n">
        <v>0</v>
      </c>
      <c r="M10056" t="n">
        <v>0</v>
      </c>
      <c r="N10056" t="n">
        <v>0</v>
      </c>
      <c r="O10056" t="n">
        <v>0</v>
      </c>
      <c r="P10056" t="n">
        <v>0</v>
      </c>
      <c r="Q10056" t="n">
        <v>0</v>
      </c>
      <c r="R10056" t="n">
        <v>0</v>
      </c>
      <c r="S10056" t="n">
        <v>0</v>
      </c>
      <c r="T10056" t="n">
        <v>0</v>
      </c>
      <c r="U10056" t="n">
        <v>0</v>
      </c>
      <c r="V10056" s="2" t="inlineStr"/>
    </row>
    <row r="10057" ht="15" customHeight="1">
      <c r="A10057" t="inlineStr">
        <is>
          <t>A 50161-2024</t>
        </is>
      </c>
      <c r="B10057" t="inlineStr">
        <is>
          <t>avverkningsanmälan</t>
        </is>
      </c>
      <c r="C10057" t="inlineStr">
        <is>
          <t>Avverkning för annat ändamål</t>
        </is>
      </c>
      <c r="D10057" s="1" t="n">
        <v>45600</v>
      </c>
      <c r="E10057" s="1" t="n">
        <v>46326</v>
      </c>
      <c r="F10057" t="inlineStr">
        <is>
          <t>GÄVLEBORGS LÄN</t>
        </is>
      </c>
      <c r="G10057" t="inlineStr">
        <is>
          <t>HUDIKSVALL</t>
        </is>
      </c>
      <c r="I10057" t="n">
        <v>2.3</v>
      </c>
      <c r="J10057" t="n">
        <v>0</v>
      </c>
      <c r="K10057" t="n">
        <v>0</v>
      </c>
      <c r="L10057" t="n">
        <v>0</v>
      </c>
      <c r="M10057" t="n">
        <v>0</v>
      </c>
      <c r="N10057" t="n">
        <v>0</v>
      </c>
      <c r="O10057" t="n">
        <v>0</v>
      </c>
      <c r="P10057" t="n">
        <v>0</v>
      </c>
      <c r="Q10057" t="n">
        <v>0</v>
      </c>
      <c r="R10057" t="n">
        <v>0</v>
      </c>
      <c r="S10057" t="n">
        <v>0</v>
      </c>
      <c r="T10057" t="n">
        <v>0</v>
      </c>
      <c r="U10057" t="n">
        <v>0</v>
      </c>
      <c r="V10057" s="2" t="inlineStr"/>
    </row>
    <row r="10058" ht="15" customHeight="1">
      <c r="A10058" t="inlineStr">
        <is>
          <t>A 28777-2026</t>
        </is>
      </c>
      <c r="B10058" t="inlineStr">
        <is>
          <t>avverkningsanmälan</t>
        </is>
      </c>
      <c r="C10058" t="inlineStr">
        <is>
          <t>Föryngringsavverkning</t>
        </is>
      </c>
      <c r="D10058" s="1" t="n">
        <v>46198</v>
      </c>
      <c r="E10058" s="1" t="n">
        <v>46326</v>
      </c>
      <c r="F10058" t="inlineStr">
        <is>
          <t>GÄVLEBORGS LÄN</t>
        </is>
      </c>
      <c r="G10058" t="inlineStr">
        <is>
          <t>NORDANSTIG</t>
        </is>
      </c>
      <c r="H10058" t="inlineStr">
        <is>
          <t>Holmen skog AB</t>
        </is>
      </c>
      <c r="I10058" t="n">
        <v>0.6</v>
      </c>
      <c r="J10058" t="n">
        <v>0</v>
      </c>
      <c r="K10058" t="n">
        <v>0</v>
      </c>
      <c r="L10058" t="n">
        <v>0</v>
      </c>
      <c r="M10058" t="n">
        <v>0</v>
      </c>
      <c r="N10058" t="n">
        <v>0</v>
      </c>
      <c r="O10058" t="n">
        <v>0</v>
      </c>
      <c r="P10058" t="n">
        <v>0</v>
      </c>
      <c r="Q10058" t="n">
        <v>0</v>
      </c>
      <c r="R10058" t="n">
        <v>0</v>
      </c>
      <c r="S10058" t="n">
        <v>0</v>
      </c>
      <c r="T10058" t="n">
        <v>0</v>
      </c>
      <c r="U10058" t="n">
        <v>0</v>
      </c>
      <c r="V10058" s="2" t="inlineStr"/>
    </row>
    <row r="10059" ht="15" customHeight="1">
      <c r="A10059" t="inlineStr">
        <is>
          <t>A 55615-2025</t>
        </is>
      </c>
      <c r="B10059" t="inlineStr">
        <is>
          <t>avverkningsanmälan</t>
        </is>
      </c>
      <c r="C10059" t="inlineStr">
        <is>
          <t>Föryngringsavverkning</t>
        </is>
      </c>
      <c r="D10059" s="1" t="n">
        <v>45971</v>
      </c>
      <c r="E10059" s="1" t="n">
        <v>46326</v>
      </c>
      <c r="F10059" t="inlineStr">
        <is>
          <t>GÄVLEBORGS LÄN</t>
        </is>
      </c>
      <c r="G10059" t="inlineStr">
        <is>
          <t>HUDIKSVALL</t>
        </is>
      </c>
      <c r="I10059" t="n">
        <v>1.9</v>
      </c>
      <c r="J10059" t="n">
        <v>0</v>
      </c>
      <c r="K10059" t="n">
        <v>0</v>
      </c>
      <c r="L10059" t="n">
        <v>0</v>
      </c>
      <c r="M10059" t="n">
        <v>0</v>
      </c>
      <c r="N10059" t="n">
        <v>0</v>
      </c>
      <c r="O10059" t="n">
        <v>0</v>
      </c>
      <c r="P10059" t="n">
        <v>0</v>
      </c>
      <c r="Q10059" t="n">
        <v>0</v>
      </c>
      <c r="R10059" t="n">
        <v>0</v>
      </c>
      <c r="S10059" t="n">
        <v>0</v>
      </c>
      <c r="T10059" t="n">
        <v>0</v>
      </c>
      <c r="U10059" t="n">
        <v>0</v>
      </c>
      <c r="V10059" s="2" t="inlineStr"/>
    </row>
    <row r="10060" ht="15" customHeight="1">
      <c r="A10060" t="inlineStr">
        <is>
          <t>A 1647-2026</t>
        </is>
      </c>
      <c r="B10060" t="inlineStr">
        <is>
          <t>avverkningsanmälan</t>
        </is>
      </c>
      <c r="C10060" t="inlineStr">
        <is>
          <t>Föryngringsavverkning</t>
        </is>
      </c>
      <c r="D10060" s="1" t="n">
        <v>46034</v>
      </c>
      <c r="E10060" s="1" t="n">
        <v>46326</v>
      </c>
      <c r="F10060" t="inlineStr">
        <is>
          <t>GÄVLEBORGS LÄN</t>
        </is>
      </c>
      <c r="G10060" t="inlineStr">
        <is>
          <t>BOLLNÄS</t>
        </is>
      </c>
      <c r="I10060" t="n">
        <v>6.1</v>
      </c>
      <c r="J10060" t="n">
        <v>0</v>
      </c>
      <c r="K10060" t="n">
        <v>0</v>
      </c>
      <c r="L10060" t="n">
        <v>0</v>
      </c>
      <c r="M10060" t="n">
        <v>0</v>
      </c>
      <c r="N10060" t="n">
        <v>0</v>
      </c>
      <c r="O10060" t="n">
        <v>0</v>
      </c>
      <c r="P10060" t="n">
        <v>0</v>
      </c>
      <c r="Q10060" t="n">
        <v>0</v>
      </c>
      <c r="R10060" t="n">
        <v>0</v>
      </c>
      <c r="S10060" t="n">
        <v>0</v>
      </c>
      <c r="T10060" t="n">
        <v>0</v>
      </c>
      <c r="U10060" t="n">
        <v>0</v>
      </c>
      <c r="V10060" s="2" t="inlineStr"/>
    </row>
    <row r="10061" ht="15" customHeight="1">
      <c r="A10061" t="inlineStr">
        <is>
          <t>A 22923-2025</t>
        </is>
      </c>
      <c r="B10061" t="inlineStr">
        <is>
          <t>avverkningsanmälan</t>
        </is>
      </c>
      <c r="C10061" t="inlineStr">
        <is>
          <t>Föryngringsavverkning</t>
        </is>
      </c>
      <c r="D10061" s="1" t="n">
        <v>45790</v>
      </c>
      <c r="E10061" s="1" t="n">
        <v>46326</v>
      </c>
      <c r="F10061" t="inlineStr">
        <is>
          <t>GÄVLEBORGS LÄN</t>
        </is>
      </c>
      <c r="G10061" t="inlineStr">
        <is>
          <t>GÄVLE</t>
        </is>
      </c>
      <c r="I10061" t="n">
        <v>20.8</v>
      </c>
      <c r="J10061" t="n">
        <v>0</v>
      </c>
      <c r="K10061" t="n">
        <v>0</v>
      </c>
      <c r="L10061" t="n">
        <v>0</v>
      </c>
      <c r="M10061" t="n">
        <v>0</v>
      </c>
      <c r="N10061" t="n">
        <v>0</v>
      </c>
      <c r="O10061" t="n">
        <v>0</v>
      </c>
      <c r="P10061" t="n">
        <v>0</v>
      </c>
      <c r="Q10061" t="n">
        <v>0</v>
      </c>
      <c r="R10061" t="n">
        <v>0</v>
      </c>
      <c r="S10061" t="n">
        <v>0</v>
      </c>
      <c r="T10061" t="n">
        <v>0</v>
      </c>
      <c r="U10061" t="n">
        <v>0</v>
      </c>
      <c r="V10061" s="2" t="inlineStr"/>
    </row>
    <row r="10062" ht="15" customHeight="1">
      <c r="A10062" t="inlineStr">
        <is>
          <t>A 23004-2025</t>
        </is>
      </c>
      <c r="B10062" t="inlineStr">
        <is>
          <t>avverkningsanmälan</t>
        </is>
      </c>
      <c r="C10062" t="inlineStr">
        <is>
          <t>Avverkning för att bevara och utveckla /försöksver</t>
        </is>
      </c>
      <c r="D10062" s="1" t="n">
        <v>45790</v>
      </c>
      <c r="E10062" s="1" t="n">
        <v>46326</v>
      </c>
      <c r="F10062" t="inlineStr">
        <is>
          <t>GÄVLEBORGS LÄN</t>
        </is>
      </c>
      <c r="G10062" t="inlineStr">
        <is>
          <t>OCKELBO</t>
        </is>
      </c>
      <c r="I10062" t="n">
        <v>1.4</v>
      </c>
      <c r="J10062" t="n">
        <v>0</v>
      </c>
      <c r="K10062" t="n">
        <v>0</v>
      </c>
      <c r="L10062" t="n">
        <v>0</v>
      </c>
      <c r="M10062" t="n">
        <v>0</v>
      </c>
      <c r="N10062" t="n">
        <v>0</v>
      </c>
      <c r="O10062" t="n">
        <v>0</v>
      </c>
      <c r="P10062" t="n">
        <v>0</v>
      </c>
      <c r="Q10062" t="n">
        <v>0</v>
      </c>
      <c r="R10062" t="n">
        <v>0</v>
      </c>
      <c r="S10062" t="n">
        <v>0</v>
      </c>
      <c r="T10062" t="n">
        <v>0</v>
      </c>
      <c r="U10062" t="n">
        <v>0</v>
      </c>
      <c r="V10062" s="2" t="inlineStr"/>
    </row>
    <row r="10063" ht="15" customHeight="1">
      <c r="A10063" t="inlineStr">
        <is>
          <t>A 23036-2025</t>
        </is>
      </c>
      <c r="B10063" t="inlineStr">
        <is>
          <t>avverkningsanmälan</t>
        </is>
      </c>
      <c r="C10063" t="inlineStr">
        <is>
          <t>Föryngringsavverkning</t>
        </is>
      </c>
      <c r="D10063" s="1" t="n">
        <v>45790</v>
      </c>
      <c r="E10063" s="1" t="n">
        <v>46326</v>
      </c>
      <c r="F10063" t="inlineStr">
        <is>
          <t>GÄVLEBORGS LÄN</t>
        </is>
      </c>
      <c r="G10063" t="inlineStr">
        <is>
          <t>LJUSDAL</t>
        </is>
      </c>
      <c r="I10063" t="n">
        <v>2.2</v>
      </c>
      <c r="J10063" t="n">
        <v>0</v>
      </c>
      <c r="K10063" t="n">
        <v>0</v>
      </c>
      <c r="L10063" t="n">
        <v>0</v>
      </c>
      <c r="M10063" t="n">
        <v>0</v>
      </c>
      <c r="N10063" t="n">
        <v>0</v>
      </c>
      <c r="O10063" t="n">
        <v>0</v>
      </c>
      <c r="P10063" t="n">
        <v>0</v>
      </c>
      <c r="Q10063" t="n">
        <v>0</v>
      </c>
      <c r="R10063" t="n">
        <v>0</v>
      </c>
      <c r="S10063" t="n">
        <v>0</v>
      </c>
      <c r="T10063" t="n">
        <v>0</v>
      </c>
      <c r="U10063" t="n">
        <v>0</v>
      </c>
      <c r="V10063" s="2" t="inlineStr"/>
    </row>
    <row r="10064" ht="15" customHeight="1">
      <c r="A10064" t="inlineStr">
        <is>
          <t>A 40253-2026</t>
        </is>
      </c>
      <c r="B10064" t="inlineStr">
        <is>
          <t>avverkningsanmälan</t>
        </is>
      </c>
      <c r="C10064" t="inlineStr">
        <is>
          <t>Föryngringsavverkning</t>
        </is>
      </c>
      <c r="D10064" s="1" t="n">
        <v>46294</v>
      </c>
      <c r="E10064" s="1" t="n">
        <v>46326</v>
      </c>
      <c r="F10064" t="inlineStr">
        <is>
          <t>GÄVLEBORGS LÄN</t>
        </is>
      </c>
      <c r="G10064" t="inlineStr">
        <is>
          <t>SÖDERHAMN</t>
        </is>
      </c>
      <c r="H10064" t="inlineStr">
        <is>
          <t>Bergvik skog väst AB</t>
        </is>
      </c>
      <c r="I10064" t="n">
        <v>6.3</v>
      </c>
      <c r="J10064" t="n">
        <v>0</v>
      </c>
      <c r="K10064" t="n">
        <v>0</v>
      </c>
      <c r="L10064" t="n">
        <v>0</v>
      </c>
      <c r="M10064" t="n">
        <v>0</v>
      </c>
      <c r="N10064" t="n">
        <v>0</v>
      </c>
      <c r="O10064" t="n">
        <v>0</v>
      </c>
      <c r="P10064" t="n">
        <v>0</v>
      </c>
      <c r="Q10064" t="n">
        <v>0</v>
      </c>
      <c r="R10064" t="n">
        <v>0</v>
      </c>
      <c r="S10064" t="n">
        <v>0</v>
      </c>
      <c r="T10064" t="n">
        <v>0</v>
      </c>
      <c r="U10064" t="n">
        <v>0</v>
      </c>
      <c r="V10064" s="2" t="inlineStr"/>
    </row>
    <row r="10065" ht="15" customHeight="1">
      <c r="A10065" t="inlineStr">
        <is>
          <t>A 23016-2025</t>
        </is>
      </c>
      <c r="B10065" t="inlineStr">
        <is>
          <t>avverkningsanmälan</t>
        </is>
      </c>
      <c r="C10065" t="inlineStr">
        <is>
          <t>Föryngringsavverkning</t>
        </is>
      </c>
      <c r="D10065" s="1" t="n">
        <v>45790</v>
      </c>
      <c r="E10065" s="1" t="n">
        <v>46326</v>
      </c>
      <c r="F10065" t="inlineStr">
        <is>
          <t>GÄVLEBORGS LÄN</t>
        </is>
      </c>
      <c r="G10065" t="inlineStr">
        <is>
          <t>LJUSDAL</t>
        </is>
      </c>
      <c r="I10065" t="n">
        <v>3.7</v>
      </c>
      <c r="J10065" t="n">
        <v>0</v>
      </c>
      <c r="K10065" t="n">
        <v>0</v>
      </c>
      <c r="L10065" t="n">
        <v>0</v>
      </c>
      <c r="M10065" t="n">
        <v>0</v>
      </c>
      <c r="N10065" t="n">
        <v>0</v>
      </c>
      <c r="O10065" t="n">
        <v>0</v>
      </c>
      <c r="P10065" t="n">
        <v>0</v>
      </c>
      <c r="Q10065" t="n">
        <v>0</v>
      </c>
      <c r="R10065" t="n">
        <v>0</v>
      </c>
      <c r="S10065" t="n">
        <v>0</v>
      </c>
      <c r="T10065" t="n">
        <v>0</v>
      </c>
      <c r="U10065" t="n">
        <v>0</v>
      </c>
      <c r="V10065" s="2" t="inlineStr"/>
    </row>
    <row r="10066" ht="15" customHeight="1">
      <c r="A10066" t="inlineStr">
        <is>
          <t>A 40348-2026</t>
        </is>
      </c>
      <c r="B10066" t="inlineStr">
        <is>
          <t>avverkningsanmälan</t>
        </is>
      </c>
      <c r="C10066" t="inlineStr">
        <is>
          <t>Föryngringsavverkning</t>
        </is>
      </c>
      <c r="D10066" s="1" t="n">
        <v>46294</v>
      </c>
      <c r="E10066" s="1" t="n">
        <v>46326</v>
      </c>
      <c r="F10066" t="inlineStr">
        <is>
          <t>GÄVLEBORGS LÄN</t>
        </is>
      </c>
      <c r="G10066" t="inlineStr">
        <is>
          <t>NORDANSTIG</t>
        </is>
      </c>
      <c r="H10066" t="inlineStr">
        <is>
          <t>Holmen skog AB</t>
        </is>
      </c>
      <c r="I10066" t="n">
        <v>3</v>
      </c>
      <c r="J10066" t="n">
        <v>0</v>
      </c>
      <c r="K10066" t="n">
        <v>0</v>
      </c>
      <c r="L10066" t="n">
        <v>0</v>
      </c>
      <c r="M10066" t="n">
        <v>0</v>
      </c>
      <c r="N10066" t="n">
        <v>0</v>
      </c>
      <c r="O10066" t="n">
        <v>0</v>
      </c>
      <c r="P10066" t="n">
        <v>0</v>
      </c>
      <c r="Q10066" t="n">
        <v>0</v>
      </c>
      <c r="R10066" t="n">
        <v>0</v>
      </c>
      <c r="S10066" t="n">
        <v>0</v>
      </c>
      <c r="T10066" t="n">
        <v>0</v>
      </c>
      <c r="U10066" t="n">
        <v>0</v>
      </c>
      <c r="V10066" s="2" t="inlineStr"/>
    </row>
    <row r="10067" ht="15" customHeight="1">
      <c r="A10067" t="inlineStr">
        <is>
          <t>A 40373-2026</t>
        </is>
      </c>
      <c r="B10067" t="inlineStr">
        <is>
          <t>avverkningsanmälan</t>
        </is>
      </c>
      <c r="C10067" t="inlineStr">
        <is>
          <t>Föryngringsavverkning</t>
        </is>
      </c>
      <c r="D10067" s="1" t="n">
        <v>46294</v>
      </c>
      <c r="E10067" s="1" t="n">
        <v>46326</v>
      </c>
      <c r="F10067" t="inlineStr">
        <is>
          <t>GÄVLEBORGS LÄN</t>
        </is>
      </c>
      <c r="G10067" t="inlineStr">
        <is>
          <t>OVANÅKER</t>
        </is>
      </c>
      <c r="H10067" t="inlineStr">
        <is>
          <t>Bergvik skog väst AB</t>
        </is>
      </c>
      <c r="I10067" t="n">
        <v>7.9</v>
      </c>
      <c r="J10067" t="n">
        <v>0</v>
      </c>
      <c r="K10067" t="n">
        <v>0</v>
      </c>
      <c r="L10067" t="n">
        <v>0</v>
      </c>
      <c r="M10067" t="n">
        <v>0</v>
      </c>
      <c r="N10067" t="n">
        <v>0</v>
      </c>
      <c r="O10067" t="n">
        <v>0</v>
      </c>
      <c r="P10067" t="n">
        <v>0</v>
      </c>
      <c r="Q10067" t="n">
        <v>0</v>
      </c>
      <c r="R10067" t="n">
        <v>0</v>
      </c>
      <c r="S10067" t="n">
        <v>0</v>
      </c>
      <c r="T10067" t="n">
        <v>0</v>
      </c>
      <c r="U10067" t="n">
        <v>0</v>
      </c>
      <c r="V10067" s="2" t="inlineStr"/>
    </row>
    <row r="10068" ht="15" customHeight="1">
      <c r="A10068" t="inlineStr">
        <is>
          <t>A 55011-2024</t>
        </is>
      </c>
      <c r="B10068" t="inlineStr">
        <is>
          <t>avverkningsanmälan</t>
        </is>
      </c>
      <c r="C10068" t="inlineStr">
        <is>
          <t>Föryngringsavverkning</t>
        </is>
      </c>
      <c r="D10068" s="1" t="n">
        <v>45621</v>
      </c>
      <c r="E10068" s="1" t="n">
        <v>46326</v>
      </c>
      <c r="F10068" t="inlineStr">
        <is>
          <t>GÄVLEBORGS LÄN</t>
        </is>
      </c>
      <c r="G10068" t="inlineStr">
        <is>
          <t>OCKELBO</t>
        </is>
      </c>
      <c r="I10068" t="n">
        <v>0.8</v>
      </c>
      <c r="J10068" t="n">
        <v>0</v>
      </c>
      <c r="K10068" t="n">
        <v>0</v>
      </c>
      <c r="L10068" t="n">
        <v>0</v>
      </c>
      <c r="M10068" t="n">
        <v>0</v>
      </c>
      <c r="N10068" t="n">
        <v>0</v>
      </c>
      <c r="O10068" t="n">
        <v>0</v>
      </c>
      <c r="P10068" t="n">
        <v>0</v>
      </c>
      <c r="Q10068" t="n">
        <v>0</v>
      </c>
      <c r="R10068" t="n">
        <v>0</v>
      </c>
      <c r="S10068" t="n">
        <v>0</v>
      </c>
      <c r="T10068" t="n">
        <v>0</v>
      </c>
      <c r="U10068" t="n">
        <v>0</v>
      </c>
      <c r="V10068" s="2" t="inlineStr"/>
    </row>
    <row r="10069" ht="15" customHeight="1">
      <c r="A10069" t="inlineStr">
        <is>
          <t>A 14244-2026</t>
        </is>
      </c>
      <c r="B10069" t="inlineStr">
        <is>
          <t>avverkningsanmälan</t>
        </is>
      </c>
      <c r="C10069" t="inlineStr">
        <is>
          <t>Föryngringsavverkning</t>
        </is>
      </c>
      <c r="D10069" s="1" t="n">
        <v>46099</v>
      </c>
      <c r="E10069" s="1" t="n">
        <v>46326</v>
      </c>
      <c r="F10069" t="inlineStr">
        <is>
          <t>GÄVLEBORGS LÄN</t>
        </is>
      </c>
      <c r="G10069" t="inlineStr">
        <is>
          <t>NORDANSTIG</t>
        </is>
      </c>
      <c r="H10069" t="inlineStr">
        <is>
          <t>Holmen skog AB</t>
        </is>
      </c>
      <c r="I10069" t="n">
        <v>3.8</v>
      </c>
      <c r="J10069" t="n">
        <v>0</v>
      </c>
      <c r="K10069" t="n">
        <v>0</v>
      </c>
      <c r="L10069" t="n">
        <v>0</v>
      </c>
      <c r="M10069" t="n">
        <v>0</v>
      </c>
      <c r="N10069" t="n">
        <v>0</v>
      </c>
      <c r="O10069" t="n">
        <v>0</v>
      </c>
      <c r="P10069" t="n">
        <v>0</v>
      </c>
      <c r="Q10069" t="n">
        <v>0</v>
      </c>
      <c r="R10069" t="n">
        <v>0</v>
      </c>
      <c r="S10069" t="n">
        <v>0</v>
      </c>
      <c r="T10069" t="n">
        <v>0</v>
      </c>
      <c r="U10069" t="n">
        <v>0</v>
      </c>
      <c r="V10069" s="2" t="inlineStr"/>
    </row>
    <row r="10070" ht="15" customHeight="1">
      <c r="A10070" t="inlineStr">
        <is>
          <t>A 16051-2026</t>
        </is>
      </c>
      <c r="B10070" t="inlineStr">
        <is>
          <t>avverkningsanmälan</t>
        </is>
      </c>
      <c r="C10070" t="inlineStr">
        <is>
          <t>Föryngringsavverkning</t>
        </is>
      </c>
      <c r="D10070" s="1" t="n">
        <v>46108</v>
      </c>
      <c r="E10070" s="1" t="n">
        <v>46326</v>
      </c>
      <c r="F10070" t="inlineStr">
        <is>
          <t>GÄVLEBORGS LÄN</t>
        </is>
      </c>
      <c r="G10070" t="inlineStr">
        <is>
          <t>BOLLNÄS</t>
        </is>
      </c>
      <c r="I10070" t="n">
        <v>14.9</v>
      </c>
      <c r="J10070" t="n">
        <v>0</v>
      </c>
      <c r="K10070" t="n">
        <v>0</v>
      </c>
      <c r="L10070" t="n">
        <v>0</v>
      </c>
      <c r="M10070" t="n">
        <v>0</v>
      </c>
      <c r="N10070" t="n">
        <v>0</v>
      </c>
      <c r="O10070" t="n">
        <v>0</v>
      </c>
      <c r="P10070" t="n">
        <v>0</v>
      </c>
      <c r="Q10070" t="n">
        <v>0</v>
      </c>
      <c r="R10070" t="n">
        <v>0</v>
      </c>
      <c r="S10070" t="n">
        <v>0</v>
      </c>
      <c r="T10070" t="n">
        <v>0</v>
      </c>
      <c r="U10070" t="n">
        <v>0</v>
      </c>
      <c r="V10070" s="2" t="inlineStr"/>
    </row>
    <row r="10071" ht="15" customHeight="1">
      <c r="A10071" t="inlineStr">
        <is>
          <t>A 23885-2026</t>
        </is>
      </c>
      <c r="B10071" t="inlineStr">
        <is>
          <t>avverkningsanmälan</t>
        </is>
      </c>
      <c r="C10071" t="inlineStr">
        <is>
          <t>Föryngringsavverkning</t>
        </is>
      </c>
      <c r="D10071" s="1" t="n">
        <v>46167</v>
      </c>
      <c r="E10071" s="1" t="n">
        <v>46326</v>
      </c>
      <c r="F10071" t="inlineStr">
        <is>
          <t>GÄVLEBORGS LÄN</t>
        </is>
      </c>
      <c r="G10071" t="inlineStr">
        <is>
          <t>BOLLNÄS</t>
        </is>
      </c>
      <c r="I10071" t="n">
        <v>16.3</v>
      </c>
      <c r="J10071" t="n">
        <v>0</v>
      </c>
      <c r="K10071" t="n">
        <v>0</v>
      </c>
      <c r="L10071" t="n">
        <v>0</v>
      </c>
      <c r="M10071" t="n">
        <v>0</v>
      </c>
      <c r="N10071" t="n">
        <v>0</v>
      </c>
      <c r="O10071" t="n">
        <v>0</v>
      </c>
      <c r="P10071" t="n">
        <v>0</v>
      </c>
      <c r="Q10071" t="n">
        <v>0</v>
      </c>
      <c r="R10071" t="n">
        <v>0</v>
      </c>
      <c r="S10071" t="n">
        <v>0</v>
      </c>
      <c r="T10071" t="n">
        <v>0</v>
      </c>
      <c r="U10071" t="n">
        <v>0</v>
      </c>
      <c r="V10071" s="2" t="inlineStr"/>
    </row>
    <row r="10072" ht="15" customHeight="1">
      <c r="A10072" t="inlineStr">
        <is>
          <t>A 22193-2026</t>
        </is>
      </c>
      <c r="B10072" t="inlineStr">
        <is>
          <t>avverkningsanmälan</t>
        </is>
      </c>
      <c r="C10072" t="inlineStr">
        <is>
          <t>Föryngringsavverkning</t>
        </is>
      </c>
      <c r="D10072" s="1" t="n">
        <v>46153</v>
      </c>
      <c r="E10072" s="1" t="n">
        <v>46326</v>
      </c>
      <c r="F10072" t="inlineStr">
        <is>
          <t>GÄVLEBORGS LÄN</t>
        </is>
      </c>
      <c r="G10072" t="inlineStr">
        <is>
          <t>BOLLNÄS</t>
        </is>
      </c>
      <c r="I10072" t="n">
        <v>3.3</v>
      </c>
      <c r="J10072" t="n">
        <v>0</v>
      </c>
      <c r="K10072" t="n">
        <v>0</v>
      </c>
      <c r="L10072" t="n">
        <v>0</v>
      </c>
      <c r="M10072" t="n">
        <v>0</v>
      </c>
      <c r="N10072" t="n">
        <v>0</v>
      </c>
      <c r="O10072" t="n">
        <v>0</v>
      </c>
      <c r="P10072" t="n">
        <v>0</v>
      </c>
      <c r="Q10072" t="n">
        <v>0</v>
      </c>
      <c r="R10072" t="n">
        <v>0</v>
      </c>
      <c r="S10072" t="n">
        <v>0</v>
      </c>
      <c r="T10072" t="n">
        <v>0</v>
      </c>
      <c r="U10072" t="n">
        <v>0</v>
      </c>
      <c r="V10072" s="2" t="inlineStr"/>
    </row>
    <row r="10073" ht="15" customHeight="1">
      <c r="A10073" t="inlineStr">
        <is>
          <t>A 23880-2025</t>
        </is>
      </c>
      <c r="B10073" t="inlineStr">
        <is>
          <t>avverkningsanmälan</t>
        </is>
      </c>
      <c r="C10073" t="inlineStr">
        <is>
          <t>Föryngringsavverkning</t>
        </is>
      </c>
      <c r="D10073" s="1" t="n">
        <v>45793</v>
      </c>
      <c r="E10073" s="1" t="n">
        <v>46326</v>
      </c>
      <c r="F10073" t="inlineStr">
        <is>
          <t>GÄVLEBORGS LÄN</t>
        </is>
      </c>
      <c r="G10073" t="inlineStr">
        <is>
          <t>BOLLNÄS</t>
        </is>
      </c>
      <c r="I10073" t="n">
        <v>0.9</v>
      </c>
      <c r="J10073" t="n">
        <v>0</v>
      </c>
      <c r="K10073" t="n">
        <v>0</v>
      </c>
      <c r="L10073" t="n">
        <v>0</v>
      </c>
      <c r="M10073" t="n">
        <v>0</v>
      </c>
      <c r="N10073" t="n">
        <v>0</v>
      </c>
      <c r="O10073" t="n">
        <v>0</v>
      </c>
      <c r="P10073" t="n">
        <v>0</v>
      </c>
      <c r="Q10073" t="n">
        <v>0</v>
      </c>
      <c r="R10073" t="n">
        <v>0</v>
      </c>
      <c r="S10073" t="n">
        <v>0</v>
      </c>
      <c r="T10073" t="n">
        <v>0</v>
      </c>
      <c r="U10073" t="n">
        <v>0</v>
      </c>
      <c r="V10073" s="2" t="inlineStr"/>
    </row>
    <row r="10074" ht="15" customHeight="1">
      <c r="A10074" t="inlineStr">
        <is>
          <t>A 40437-2026</t>
        </is>
      </c>
      <c r="B10074" t="inlineStr">
        <is>
          <t>avverkningsanmälan</t>
        </is>
      </c>
      <c r="C10074" t="inlineStr">
        <is>
          <t>Föryngringsavverkning</t>
        </is>
      </c>
      <c r="D10074" s="1" t="n">
        <v>46294</v>
      </c>
      <c r="E10074" s="1" t="n">
        <v>46326</v>
      </c>
      <c r="F10074" t="inlineStr">
        <is>
          <t>GÄVLEBORGS LÄN</t>
        </is>
      </c>
      <c r="G10074" t="inlineStr">
        <is>
          <t>SÖDERHAMN</t>
        </is>
      </c>
      <c r="H10074" t="inlineStr">
        <is>
          <t>Bergvik skog väst AB</t>
        </is>
      </c>
      <c r="I10074" t="n">
        <v>9.4</v>
      </c>
      <c r="J10074" t="n">
        <v>0</v>
      </c>
      <c r="K10074" t="n">
        <v>0</v>
      </c>
      <c r="L10074" t="n">
        <v>0</v>
      </c>
      <c r="M10074" t="n">
        <v>0</v>
      </c>
      <c r="N10074" t="n">
        <v>0</v>
      </c>
      <c r="O10074" t="n">
        <v>0</v>
      </c>
      <c r="P10074" t="n">
        <v>0</v>
      </c>
      <c r="Q10074" t="n">
        <v>0</v>
      </c>
      <c r="R10074" t="n">
        <v>0</v>
      </c>
      <c r="S10074" t="n">
        <v>0</v>
      </c>
      <c r="T10074" t="n">
        <v>0</v>
      </c>
      <c r="U10074" t="n">
        <v>0</v>
      </c>
      <c r="V10074" s="2" t="inlineStr"/>
    </row>
    <row r="10075" ht="15" customHeight="1">
      <c r="A10075" t="inlineStr">
        <is>
          <t>A 40383-2026</t>
        </is>
      </c>
      <c r="B10075" t="inlineStr">
        <is>
          <t>avverkningsanmälan</t>
        </is>
      </c>
      <c r="C10075" t="inlineStr">
        <is>
          <t>Avverkning för att bevara och utveckla /försöksver</t>
        </is>
      </c>
      <c r="D10075" s="1" t="n">
        <v>46294</v>
      </c>
      <c r="E10075" s="1" t="n">
        <v>46326</v>
      </c>
      <c r="F10075" t="inlineStr">
        <is>
          <t>GÄVLEBORGS LÄN</t>
        </is>
      </c>
      <c r="G10075" t="inlineStr">
        <is>
          <t>BOLLNÄS</t>
        </is>
      </c>
      <c r="H10075" t="inlineStr">
        <is>
          <t>Sveaskog</t>
        </is>
      </c>
      <c r="I10075" t="n">
        <v>1.5</v>
      </c>
      <c r="J10075" t="n">
        <v>0</v>
      </c>
      <c r="K10075" t="n">
        <v>0</v>
      </c>
      <c r="L10075" t="n">
        <v>0</v>
      </c>
      <c r="M10075" t="n">
        <v>0</v>
      </c>
      <c r="N10075" t="n">
        <v>0</v>
      </c>
      <c r="O10075" t="n">
        <v>0</v>
      </c>
      <c r="P10075" t="n">
        <v>0</v>
      </c>
      <c r="Q10075" t="n">
        <v>0</v>
      </c>
      <c r="R10075" t="n">
        <v>0</v>
      </c>
      <c r="S10075" t="n">
        <v>0</v>
      </c>
      <c r="T10075" t="n">
        <v>0</v>
      </c>
      <c r="U10075" t="n">
        <v>0</v>
      </c>
      <c r="V10075" s="2" t="inlineStr"/>
    </row>
    <row r="10076" ht="15" customHeight="1">
      <c r="A10076" t="inlineStr">
        <is>
          <t>A 23273-2026</t>
        </is>
      </c>
      <c r="B10076" t="inlineStr">
        <is>
          <t>avverkningsanmälan</t>
        </is>
      </c>
      <c r="C10076" t="inlineStr">
        <is>
          <t>Föryngringsavverkning</t>
        </is>
      </c>
      <c r="D10076" s="1" t="n">
        <v>46162</v>
      </c>
      <c r="E10076" s="1" t="n">
        <v>46326</v>
      </c>
      <c r="F10076" t="inlineStr">
        <is>
          <t>GÄVLEBORGS LÄN</t>
        </is>
      </c>
      <c r="G10076" t="inlineStr">
        <is>
          <t>BOLLNÄS</t>
        </is>
      </c>
      <c r="I10076" t="n">
        <v>1.3</v>
      </c>
      <c r="J10076" t="n">
        <v>0</v>
      </c>
      <c r="K10076" t="n">
        <v>0</v>
      </c>
      <c r="L10076" t="n">
        <v>0</v>
      </c>
      <c r="M10076" t="n">
        <v>0</v>
      </c>
      <c r="N10076" t="n">
        <v>0</v>
      </c>
      <c r="O10076" t="n">
        <v>0</v>
      </c>
      <c r="P10076" t="n">
        <v>0</v>
      </c>
      <c r="Q10076" t="n">
        <v>0</v>
      </c>
      <c r="R10076" t="n">
        <v>0</v>
      </c>
      <c r="S10076" t="n">
        <v>0</v>
      </c>
      <c r="T10076" t="n">
        <v>0</v>
      </c>
      <c r="U10076" t="n">
        <v>0</v>
      </c>
      <c r="V10076" s="2" t="inlineStr"/>
    </row>
    <row r="10077" ht="15" customHeight="1">
      <c r="A10077" t="inlineStr">
        <is>
          <t>A 23291-2026</t>
        </is>
      </c>
      <c r="B10077" t="inlineStr">
        <is>
          <t>avverkningsanmälan</t>
        </is>
      </c>
      <c r="C10077" t="inlineStr">
        <is>
          <t>Föryngringsavverkning</t>
        </is>
      </c>
      <c r="D10077" s="1" t="n">
        <v>46162</v>
      </c>
      <c r="E10077" s="1" t="n">
        <v>46326</v>
      </c>
      <c r="F10077" t="inlineStr">
        <is>
          <t>GÄVLEBORGS LÄN</t>
        </is>
      </c>
      <c r="G10077" t="inlineStr">
        <is>
          <t>BOLLNÄS</t>
        </is>
      </c>
      <c r="I10077" t="n">
        <v>0.7</v>
      </c>
      <c r="J10077" t="n">
        <v>0</v>
      </c>
      <c r="K10077" t="n">
        <v>0</v>
      </c>
      <c r="L10077" t="n">
        <v>0</v>
      </c>
      <c r="M10077" t="n">
        <v>0</v>
      </c>
      <c r="N10077" t="n">
        <v>0</v>
      </c>
      <c r="O10077" t="n">
        <v>0</v>
      </c>
      <c r="P10077" t="n">
        <v>0</v>
      </c>
      <c r="Q10077" t="n">
        <v>0</v>
      </c>
      <c r="R10077" t="n">
        <v>0</v>
      </c>
      <c r="S10077" t="n">
        <v>0</v>
      </c>
      <c r="T10077" t="n">
        <v>0</v>
      </c>
      <c r="U10077" t="n">
        <v>0</v>
      </c>
      <c r="V10077" s="2" t="inlineStr"/>
    </row>
    <row r="10078" ht="15" customHeight="1">
      <c r="A10078" t="inlineStr">
        <is>
          <t>A 27533-2026</t>
        </is>
      </c>
      <c r="B10078" t="inlineStr">
        <is>
          <t>avverkningsanmälan</t>
        </is>
      </c>
      <c r="C10078" t="inlineStr">
        <is>
          <t>Föryngringsavverkning</t>
        </is>
      </c>
      <c r="D10078" s="1" t="n">
        <v>46190</v>
      </c>
      <c r="E10078" s="1" t="n">
        <v>46326</v>
      </c>
      <c r="F10078" t="inlineStr">
        <is>
          <t>GÄVLEBORGS LÄN</t>
        </is>
      </c>
      <c r="G10078" t="inlineStr">
        <is>
          <t>SANDVIKEN</t>
        </is>
      </c>
      <c r="H10078" t="inlineStr">
        <is>
          <t>Bergvik skog öst AB</t>
        </is>
      </c>
      <c r="I10078" t="n">
        <v>2.6</v>
      </c>
      <c r="J10078" t="n">
        <v>0</v>
      </c>
      <c r="K10078" t="n">
        <v>0</v>
      </c>
      <c r="L10078" t="n">
        <v>0</v>
      </c>
      <c r="M10078" t="n">
        <v>0</v>
      </c>
      <c r="N10078" t="n">
        <v>0</v>
      </c>
      <c r="O10078" t="n">
        <v>0</v>
      </c>
      <c r="P10078" t="n">
        <v>0</v>
      </c>
      <c r="Q10078" t="n">
        <v>0</v>
      </c>
      <c r="R10078" t="n">
        <v>0</v>
      </c>
      <c r="S10078" t="n">
        <v>0</v>
      </c>
      <c r="T10078" t="n">
        <v>0</v>
      </c>
      <c r="U10078" t="n">
        <v>0</v>
      </c>
      <c r="V10078" s="2" t="inlineStr"/>
    </row>
    <row r="10079" ht="15" customHeight="1">
      <c r="A10079" t="inlineStr">
        <is>
          <t>A 47820-2024</t>
        </is>
      </c>
      <c r="B10079" t="inlineStr">
        <is>
          <t>avverkningsanmälan</t>
        </is>
      </c>
      <c r="C10079" t="inlineStr">
        <is>
          <t>Föryngringsavverkning</t>
        </is>
      </c>
      <c r="D10079" s="1" t="n">
        <v>45588</v>
      </c>
      <c r="E10079" s="1" t="n">
        <v>46326</v>
      </c>
      <c r="F10079" t="inlineStr">
        <is>
          <t>GÄVLEBORGS LÄN</t>
        </is>
      </c>
      <c r="G10079" t="inlineStr">
        <is>
          <t>BOLLNÄS</t>
        </is>
      </c>
      <c r="I10079" t="n">
        <v>1.7</v>
      </c>
      <c r="J10079" t="n">
        <v>0</v>
      </c>
      <c r="K10079" t="n">
        <v>0</v>
      </c>
      <c r="L10079" t="n">
        <v>0</v>
      </c>
      <c r="M10079" t="n">
        <v>0</v>
      </c>
      <c r="N10079" t="n">
        <v>0</v>
      </c>
      <c r="O10079" t="n">
        <v>0</v>
      </c>
      <c r="P10079" t="n">
        <v>0</v>
      </c>
      <c r="Q10079" t="n">
        <v>0</v>
      </c>
      <c r="R10079" t="n">
        <v>0</v>
      </c>
      <c r="S10079" t="n">
        <v>0</v>
      </c>
      <c r="T10079" t="n">
        <v>0</v>
      </c>
      <c r="U10079" t="n">
        <v>0</v>
      </c>
      <c r="V10079" s="2" t="inlineStr"/>
    </row>
    <row r="10080" ht="15" customHeight="1">
      <c r="A10080" t="inlineStr">
        <is>
          <t>A 47894-2024</t>
        </is>
      </c>
      <c r="B10080" t="inlineStr">
        <is>
          <t>avverkningsanmälan</t>
        </is>
      </c>
      <c r="C10080" t="inlineStr">
        <is>
          <t>Föryngringsavverkning</t>
        </is>
      </c>
      <c r="D10080" s="1" t="n">
        <v>45588</v>
      </c>
      <c r="E10080" s="1" t="n">
        <v>46326</v>
      </c>
      <c r="F10080" t="inlineStr">
        <is>
          <t>GÄVLEBORGS LÄN</t>
        </is>
      </c>
      <c r="G10080" t="inlineStr">
        <is>
          <t>BOLLNÄS</t>
        </is>
      </c>
      <c r="I10080" t="n">
        <v>0.7</v>
      </c>
      <c r="J10080" t="n">
        <v>0</v>
      </c>
      <c r="K10080" t="n">
        <v>0</v>
      </c>
      <c r="L10080" t="n">
        <v>0</v>
      </c>
      <c r="M10080" t="n">
        <v>0</v>
      </c>
      <c r="N10080" t="n">
        <v>0</v>
      </c>
      <c r="O10080" t="n">
        <v>0</v>
      </c>
      <c r="P10080" t="n">
        <v>0</v>
      </c>
      <c r="Q10080" t="n">
        <v>0</v>
      </c>
      <c r="R10080" t="n">
        <v>0</v>
      </c>
      <c r="S10080" t="n">
        <v>0</v>
      </c>
      <c r="T10080" t="n">
        <v>0</v>
      </c>
      <c r="U10080" t="n">
        <v>0</v>
      </c>
      <c r="V10080" s="2" t="inlineStr"/>
    </row>
    <row r="10081" ht="15" customHeight="1">
      <c r="A10081" t="inlineStr">
        <is>
          <t>A 50480-2024</t>
        </is>
      </c>
      <c r="B10081" t="inlineStr">
        <is>
          <t>avverkningsanmälan</t>
        </is>
      </c>
      <c r="C10081" t="inlineStr">
        <is>
          <t>Föryngringsavverkning</t>
        </is>
      </c>
      <c r="D10081" s="1" t="n">
        <v>45601</v>
      </c>
      <c r="E10081" s="1" t="n">
        <v>46326</v>
      </c>
      <c r="F10081" t="inlineStr">
        <is>
          <t>GÄVLEBORGS LÄN</t>
        </is>
      </c>
      <c r="G10081" t="inlineStr">
        <is>
          <t>OVANÅKER</t>
        </is>
      </c>
      <c r="I10081" t="n">
        <v>3.8</v>
      </c>
      <c r="J10081" t="n">
        <v>0</v>
      </c>
      <c r="K10081" t="n">
        <v>0</v>
      </c>
      <c r="L10081" t="n">
        <v>0</v>
      </c>
      <c r="M10081" t="n">
        <v>0</v>
      </c>
      <c r="N10081" t="n">
        <v>0</v>
      </c>
      <c r="O10081" t="n">
        <v>0</v>
      </c>
      <c r="P10081" t="n">
        <v>0</v>
      </c>
      <c r="Q10081" t="n">
        <v>0</v>
      </c>
      <c r="R10081" t="n">
        <v>0</v>
      </c>
      <c r="S10081" t="n">
        <v>0</v>
      </c>
      <c r="T10081" t="n">
        <v>0</v>
      </c>
      <c r="U10081" t="n">
        <v>0</v>
      </c>
      <c r="V10081" s="2" t="inlineStr"/>
    </row>
    <row r="10082" ht="15" customHeight="1">
      <c r="A10082" t="inlineStr">
        <is>
          <t>A 8519-2025</t>
        </is>
      </c>
      <c r="B10082" t="inlineStr">
        <is>
          <t>avverkningsanmälan</t>
        </is>
      </c>
      <c r="C10082" t="inlineStr">
        <is>
          <t>Föryngringsavverkning</t>
        </is>
      </c>
      <c r="D10082" s="1" t="n">
        <v>45709</v>
      </c>
      <c r="E10082" s="1" t="n">
        <v>46326</v>
      </c>
      <c r="F10082" t="inlineStr">
        <is>
          <t>GÄVLEBORGS LÄN</t>
        </is>
      </c>
      <c r="G10082" t="inlineStr">
        <is>
          <t>BOLLNÄS</t>
        </is>
      </c>
      <c r="I10082" t="n">
        <v>1.7</v>
      </c>
      <c r="J10082" t="n">
        <v>0</v>
      </c>
      <c r="K10082" t="n">
        <v>0</v>
      </c>
      <c r="L10082" t="n">
        <v>0</v>
      </c>
      <c r="M10082" t="n">
        <v>0</v>
      </c>
      <c r="N10082" t="n">
        <v>0</v>
      </c>
      <c r="O10082" t="n">
        <v>0</v>
      </c>
      <c r="P10082" t="n">
        <v>0</v>
      </c>
      <c r="Q10082" t="n">
        <v>0</v>
      </c>
      <c r="R10082" t="n">
        <v>0</v>
      </c>
      <c r="S10082" t="n">
        <v>0</v>
      </c>
      <c r="T10082" t="n">
        <v>0</v>
      </c>
      <c r="U10082" t="n">
        <v>0</v>
      </c>
      <c r="V10082" s="2" t="inlineStr"/>
    </row>
    <row r="10083" ht="15" customHeight="1">
      <c r="A10083" t="inlineStr">
        <is>
          <t>A 23791-2025</t>
        </is>
      </c>
      <c r="B10083" t="inlineStr">
        <is>
          <t>avverkningsanmälan</t>
        </is>
      </c>
      <c r="C10083" t="inlineStr">
        <is>
          <t>Föryngringsavverkning</t>
        </is>
      </c>
      <c r="D10083" s="1" t="n">
        <v>45793</v>
      </c>
      <c r="E10083" s="1" t="n">
        <v>46326</v>
      </c>
      <c r="F10083" t="inlineStr">
        <is>
          <t>GÄVLEBORGS LÄN</t>
        </is>
      </c>
      <c r="G10083" t="inlineStr">
        <is>
          <t>NORDANSTIG</t>
        </is>
      </c>
      <c r="H10083" t="inlineStr">
        <is>
          <t>Holmen skog AB</t>
        </is>
      </c>
      <c r="I10083" t="n">
        <v>0.9</v>
      </c>
      <c r="J10083" t="n">
        <v>0</v>
      </c>
      <c r="K10083" t="n">
        <v>0</v>
      </c>
      <c r="L10083" t="n">
        <v>0</v>
      </c>
      <c r="M10083" t="n">
        <v>0</v>
      </c>
      <c r="N10083" t="n">
        <v>0</v>
      </c>
      <c r="O10083" t="n">
        <v>0</v>
      </c>
      <c r="P10083" t="n">
        <v>0</v>
      </c>
      <c r="Q10083" t="n">
        <v>0</v>
      </c>
      <c r="R10083" t="n">
        <v>0</v>
      </c>
      <c r="S10083" t="n">
        <v>0</v>
      </c>
      <c r="T10083" t="n">
        <v>0</v>
      </c>
      <c r="U10083" t="n">
        <v>0</v>
      </c>
      <c r="V10083" s="2" t="inlineStr"/>
    </row>
    <row r="10084" ht="15" customHeight="1">
      <c r="A10084" t="inlineStr">
        <is>
          <t>A 23883-2025</t>
        </is>
      </c>
      <c r="B10084" t="inlineStr">
        <is>
          <t>avverkningsanmälan</t>
        </is>
      </c>
      <c r="C10084" t="inlineStr">
        <is>
          <t>Föryngringsavverkning</t>
        </is>
      </c>
      <c r="D10084" s="1" t="n">
        <v>45793</v>
      </c>
      <c r="E10084" s="1" t="n">
        <v>46326</v>
      </c>
      <c r="F10084" t="inlineStr">
        <is>
          <t>GÄVLEBORGS LÄN</t>
        </is>
      </c>
      <c r="G10084" t="inlineStr">
        <is>
          <t>BOLLNÄS</t>
        </is>
      </c>
      <c r="I10084" t="n">
        <v>1.7</v>
      </c>
      <c r="J10084" t="n">
        <v>0</v>
      </c>
      <c r="K10084" t="n">
        <v>0</v>
      </c>
      <c r="L10084" t="n">
        <v>0</v>
      </c>
      <c r="M10084" t="n">
        <v>0</v>
      </c>
      <c r="N10084" t="n">
        <v>0</v>
      </c>
      <c r="O10084" t="n">
        <v>0</v>
      </c>
      <c r="P10084" t="n">
        <v>0</v>
      </c>
      <c r="Q10084" t="n">
        <v>0</v>
      </c>
      <c r="R10084" t="n">
        <v>0</v>
      </c>
      <c r="S10084" t="n">
        <v>0</v>
      </c>
      <c r="T10084" t="n">
        <v>0</v>
      </c>
      <c r="U10084" t="n">
        <v>0</v>
      </c>
      <c r="V10084" s="2" t="inlineStr"/>
    </row>
    <row r="10085" ht="15" customHeight="1">
      <c r="A10085" t="inlineStr">
        <is>
          <t>A 26085-2024</t>
        </is>
      </c>
      <c r="B10085" t="inlineStr">
        <is>
          <t>avverkningsanmälan</t>
        </is>
      </c>
      <c r="C10085" t="inlineStr">
        <is>
          <t>Föryngringsavverkning</t>
        </is>
      </c>
      <c r="D10085" s="1" t="n">
        <v>45468</v>
      </c>
      <c r="E10085" s="1" t="n">
        <v>46326</v>
      </c>
      <c r="F10085" t="inlineStr">
        <is>
          <t>GÄVLEBORGS LÄN</t>
        </is>
      </c>
      <c r="G10085" t="inlineStr">
        <is>
          <t>OCKELBO</t>
        </is>
      </c>
      <c r="I10085" t="n">
        <v>0.9</v>
      </c>
      <c r="J10085" t="n">
        <v>0</v>
      </c>
      <c r="K10085" t="n">
        <v>0</v>
      </c>
      <c r="L10085" t="n">
        <v>0</v>
      </c>
      <c r="M10085" t="n">
        <v>0</v>
      </c>
      <c r="N10085" t="n">
        <v>0</v>
      </c>
      <c r="O10085" t="n">
        <v>0</v>
      </c>
      <c r="P10085" t="n">
        <v>0</v>
      </c>
      <c r="Q10085" t="n">
        <v>0</v>
      </c>
      <c r="R10085" t="n">
        <v>0</v>
      </c>
      <c r="S10085" t="n">
        <v>0</v>
      </c>
      <c r="T10085" t="n">
        <v>0</v>
      </c>
      <c r="U10085" t="n">
        <v>0</v>
      </c>
      <c r="V10085" s="2" t="inlineStr"/>
    </row>
    <row r="10086" ht="15" customHeight="1">
      <c r="A10086" t="inlineStr">
        <is>
          <t>A 48803-2024</t>
        </is>
      </c>
      <c r="B10086" t="inlineStr">
        <is>
          <t>avverkningsanmälan</t>
        </is>
      </c>
      <c r="C10086" t="inlineStr">
        <is>
          <t>Föryngringsavverkning</t>
        </is>
      </c>
      <c r="D10086" s="1" t="n">
        <v>45593</v>
      </c>
      <c r="E10086" s="1" t="n">
        <v>46326</v>
      </c>
      <c r="F10086" t="inlineStr">
        <is>
          <t>GÄVLEBORGS LÄN</t>
        </is>
      </c>
      <c r="G10086" t="inlineStr">
        <is>
          <t>OCKELBO</t>
        </is>
      </c>
      <c r="I10086" t="n">
        <v>9.4</v>
      </c>
      <c r="J10086" t="n">
        <v>0</v>
      </c>
      <c r="K10086" t="n">
        <v>0</v>
      </c>
      <c r="L10086" t="n">
        <v>0</v>
      </c>
      <c r="M10086" t="n">
        <v>0</v>
      </c>
      <c r="N10086" t="n">
        <v>0</v>
      </c>
      <c r="O10086" t="n">
        <v>0</v>
      </c>
      <c r="P10086" t="n">
        <v>0</v>
      </c>
      <c r="Q10086" t="n">
        <v>0</v>
      </c>
      <c r="R10086" t="n">
        <v>0</v>
      </c>
      <c r="S10086" t="n">
        <v>0</v>
      </c>
      <c r="T10086" t="n">
        <v>0</v>
      </c>
      <c r="U10086" t="n">
        <v>0</v>
      </c>
      <c r="V10086" s="2" t="inlineStr"/>
    </row>
    <row r="10087" ht="15" customHeight="1">
      <c r="A10087" t="inlineStr">
        <is>
          <t>A 54803-2023</t>
        </is>
      </c>
      <c r="B10087" t="inlineStr">
        <is>
          <t>avverkningsanmälan</t>
        </is>
      </c>
      <c r="C10087" t="inlineStr">
        <is>
          <t>Föryngringsavverkning</t>
        </is>
      </c>
      <c r="D10087" s="1" t="n">
        <v>45236</v>
      </c>
      <c r="E10087" s="1" t="n">
        <v>46326</v>
      </c>
      <c r="F10087" t="inlineStr">
        <is>
          <t>GÄVLEBORGS LÄN</t>
        </is>
      </c>
      <c r="G10087" t="inlineStr">
        <is>
          <t>NORDANSTIG</t>
        </is>
      </c>
      <c r="H10087" t="inlineStr">
        <is>
          <t>Holmen skog AB</t>
        </is>
      </c>
      <c r="I10087" t="n">
        <v>2.5</v>
      </c>
      <c r="J10087" t="n">
        <v>0</v>
      </c>
      <c r="K10087" t="n">
        <v>0</v>
      </c>
      <c r="L10087" t="n">
        <v>0</v>
      </c>
      <c r="M10087" t="n">
        <v>0</v>
      </c>
      <c r="N10087" t="n">
        <v>0</v>
      </c>
      <c r="O10087" t="n">
        <v>0</v>
      </c>
      <c r="P10087" t="n">
        <v>0</v>
      </c>
      <c r="Q10087" t="n">
        <v>0</v>
      </c>
      <c r="R10087" t="n">
        <v>0</v>
      </c>
      <c r="S10087" t="n">
        <v>0</v>
      </c>
      <c r="T10087" t="n">
        <v>0</v>
      </c>
      <c r="U10087" t="n">
        <v>0</v>
      </c>
      <c r="V10087" s="2" t="inlineStr"/>
    </row>
    <row r="10088" ht="15" customHeight="1">
      <c r="A10088" t="inlineStr">
        <is>
          <t>A 255-2025</t>
        </is>
      </c>
      <c r="B10088" t="inlineStr">
        <is>
          <t>avverkningsanmälan</t>
        </is>
      </c>
      <c r="C10088" t="inlineStr">
        <is>
          <t>Föryngringsavverkning</t>
        </is>
      </c>
      <c r="D10088" s="1" t="n">
        <v>45660</v>
      </c>
      <c r="E10088" s="1" t="n">
        <v>46326</v>
      </c>
      <c r="F10088" t="inlineStr">
        <is>
          <t>GÄVLEBORGS LÄN</t>
        </is>
      </c>
      <c r="G10088" t="inlineStr">
        <is>
          <t>GÄVLE</t>
        </is>
      </c>
      <c r="H10088" t="inlineStr">
        <is>
          <t>Bergvik skog väst AB</t>
        </is>
      </c>
      <c r="I10088" t="n">
        <v>3.7</v>
      </c>
      <c r="J10088" t="n">
        <v>0</v>
      </c>
      <c r="K10088" t="n">
        <v>0</v>
      </c>
      <c r="L10088" t="n">
        <v>0</v>
      </c>
      <c r="M10088" t="n">
        <v>0</v>
      </c>
      <c r="N10088" t="n">
        <v>0</v>
      </c>
      <c r="O10088" t="n">
        <v>0</v>
      </c>
      <c r="P10088" t="n">
        <v>0</v>
      </c>
      <c r="Q10088" t="n">
        <v>0</v>
      </c>
      <c r="R10088" t="n">
        <v>0</v>
      </c>
      <c r="S10088" t="n">
        <v>0</v>
      </c>
      <c r="T10088" t="n">
        <v>0</v>
      </c>
      <c r="U10088" t="n">
        <v>0</v>
      </c>
      <c r="V10088" s="2" t="inlineStr"/>
    </row>
    <row r="10089" ht="15" customHeight="1">
      <c r="A10089" t="inlineStr">
        <is>
          <t>A 23424-2025</t>
        </is>
      </c>
      <c r="B10089" t="inlineStr">
        <is>
          <t>avverkningsanmälan</t>
        </is>
      </c>
      <c r="C10089" t="inlineStr">
        <is>
          <t>Föryngringsavverkning</t>
        </is>
      </c>
      <c r="D10089" s="1" t="n">
        <v>45792</v>
      </c>
      <c r="E10089" s="1" t="n">
        <v>46326</v>
      </c>
      <c r="F10089" t="inlineStr">
        <is>
          <t>GÄVLEBORGS LÄN</t>
        </is>
      </c>
      <c r="G10089" t="inlineStr">
        <is>
          <t>OVANÅKER</t>
        </is>
      </c>
      <c r="H10089" t="inlineStr">
        <is>
          <t>Bergvik skog väst AB</t>
        </is>
      </c>
      <c r="I10089" t="n">
        <v>0.4</v>
      </c>
      <c r="J10089" t="n">
        <v>0</v>
      </c>
      <c r="K10089" t="n">
        <v>0</v>
      </c>
      <c r="L10089" t="n">
        <v>0</v>
      </c>
      <c r="M10089" t="n">
        <v>0</v>
      </c>
      <c r="N10089" t="n">
        <v>0</v>
      </c>
      <c r="O10089" t="n">
        <v>0</v>
      </c>
      <c r="P10089" t="n">
        <v>0</v>
      </c>
      <c r="Q10089" t="n">
        <v>0</v>
      </c>
      <c r="R10089" t="n">
        <v>0</v>
      </c>
      <c r="S10089" t="n">
        <v>0</v>
      </c>
      <c r="T10089" t="n">
        <v>0</v>
      </c>
      <c r="U10089" t="n">
        <v>0</v>
      </c>
      <c r="V10089" s="2" t="inlineStr"/>
    </row>
    <row r="10090" ht="15" customHeight="1">
      <c r="A10090" t="inlineStr">
        <is>
          <t>A 23594-2025</t>
        </is>
      </c>
      <c r="B10090" t="inlineStr">
        <is>
          <t>avverkningsanmälan</t>
        </is>
      </c>
      <c r="C10090" t="inlineStr">
        <is>
          <t>Föryngringsavverkning</t>
        </is>
      </c>
      <c r="D10090" s="1" t="n">
        <v>45792</v>
      </c>
      <c r="E10090" s="1" t="n">
        <v>46326</v>
      </c>
      <c r="F10090" t="inlineStr">
        <is>
          <t>GÄVLEBORGS LÄN</t>
        </is>
      </c>
      <c r="G10090" t="inlineStr">
        <is>
          <t>LJUSDAL</t>
        </is>
      </c>
      <c r="H10090" t="inlineStr">
        <is>
          <t>Bergvik skog väst AB</t>
        </is>
      </c>
      <c r="I10090" t="n">
        <v>10.6</v>
      </c>
      <c r="J10090" t="n">
        <v>0</v>
      </c>
      <c r="K10090" t="n">
        <v>0</v>
      </c>
      <c r="L10090" t="n">
        <v>0</v>
      </c>
      <c r="M10090" t="n">
        <v>0</v>
      </c>
      <c r="N10090" t="n">
        <v>0</v>
      </c>
      <c r="O10090" t="n">
        <v>0</v>
      </c>
      <c r="P10090" t="n">
        <v>0</v>
      </c>
      <c r="Q10090" t="n">
        <v>0</v>
      </c>
      <c r="R10090" t="n">
        <v>0</v>
      </c>
      <c r="S10090" t="n">
        <v>0</v>
      </c>
      <c r="T10090" t="n">
        <v>0</v>
      </c>
      <c r="U10090" t="n">
        <v>0</v>
      </c>
      <c r="V10090" s="2" t="inlineStr"/>
    </row>
    <row r="10091" ht="15" customHeight="1">
      <c r="A10091" t="inlineStr">
        <is>
          <t>A 10485-2024</t>
        </is>
      </c>
      <c r="B10091" t="inlineStr">
        <is>
          <t>avverkningsanmälan</t>
        </is>
      </c>
      <c r="C10091" t="inlineStr">
        <is>
          <t>Föryngringsavverkning</t>
        </is>
      </c>
      <c r="D10091" s="1" t="n">
        <v>45366</v>
      </c>
      <c r="E10091" s="1" t="n">
        <v>46326</v>
      </c>
      <c r="F10091" t="inlineStr">
        <is>
          <t>GÄVLEBORGS LÄN</t>
        </is>
      </c>
      <c r="G10091" t="inlineStr">
        <is>
          <t>BOLLNÄS</t>
        </is>
      </c>
      <c r="I10091" t="n">
        <v>1.8</v>
      </c>
      <c r="J10091" t="n">
        <v>0</v>
      </c>
      <c r="K10091" t="n">
        <v>0</v>
      </c>
      <c r="L10091" t="n">
        <v>0</v>
      </c>
      <c r="M10091" t="n">
        <v>0</v>
      </c>
      <c r="N10091" t="n">
        <v>0</v>
      </c>
      <c r="O10091" t="n">
        <v>0</v>
      </c>
      <c r="P10091" t="n">
        <v>0</v>
      </c>
      <c r="Q10091" t="n">
        <v>0</v>
      </c>
      <c r="R10091" t="n">
        <v>0</v>
      </c>
      <c r="S10091" t="n">
        <v>0</v>
      </c>
      <c r="T10091" t="n">
        <v>0</v>
      </c>
      <c r="U10091" t="n">
        <v>0</v>
      </c>
      <c r="V10091" s="2" t="inlineStr"/>
    </row>
    <row r="10092" ht="15" customHeight="1">
      <c r="A10092" t="inlineStr">
        <is>
          <t>A 23623-2025</t>
        </is>
      </c>
      <c r="B10092" t="inlineStr">
        <is>
          <t>avverkningsanmälan</t>
        </is>
      </c>
      <c r="C10092" t="inlineStr">
        <is>
          <t>Föryngringsavverkning</t>
        </is>
      </c>
      <c r="D10092" s="1" t="n">
        <v>45792</v>
      </c>
      <c r="E10092" s="1" t="n">
        <v>46326</v>
      </c>
      <c r="F10092" t="inlineStr">
        <is>
          <t>GÄVLEBORGS LÄN</t>
        </is>
      </c>
      <c r="G10092" t="inlineStr">
        <is>
          <t>NORDANSTIG</t>
        </is>
      </c>
      <c r="I10092" t="n">
        <v>12.9</v>
      </c>
      <c r="J10092" t="n">
        <v>0</v>
      </c>
      <c r="K10092" t="n">
        <v>0</v>
      </c>
      <c r="L10092" t="n">
        <v>0</v>
      </c>
      <c r="M10092" t="n">
        <v>0</v>
      </c>
      <c r="N10092" t="n">
        <v>0</v>
      </c>
      <c r="O10092" t="n">
        <v>0</v>
      </c>
      <c r="P10092" t="n">
        <v>0</v>
      </c>
      <c r="Q10092" t="n">
        <v>0</v>
      </c>
      <c r="R10092" t="n">
        <v>0</v>
      </c>
      <c r="S10092" t="n">
        <v>0</v>
      </c>
      <c r="T10092" t="n">
        <v>0</v>
      </c>
      <c r="U10092" t="n">
        <v>0</v>
      </c>
      <c r="V10092" s="2" t="inlineStr"/>
    </row>
    <row r="10093" ht="15" customHeight="1">
      <c r="A10093" t="inlineStr">
        <is>
          <t>A 23666-2025</t>
        </is>
      </c>
      <c r="B10093" t="inlineStr">
        <is>
          <t>avverkningsanmälan</t>
        </is>
      </c>
      <c r="C10093" t="inlineStr">
        <is>
          <t>Föryngringsavverkning</t>
        </is>
      </c>
      <c r="D10093" s="1" t="n">
        <v>45792</v>
      </c>
      <c r="E10093" s="1" t="n">
        <v>46326</v>
      </c>
      <c r="F10093" t="inlineStr">
        <is>
          <t>GÄVLEBORGS LÄN</t>
        </is>
      </c>
      <c r="G10093" t="inlineStr">
        <is>
          <t>HOFORS</t>
        </is>
      </c>
      <c r="I10093" t="n">
        <v>0.4</v>
      </c>
      <c r="J10093" t="n">
        <v>0</v>
      </c>
      <c r="K10093" t="n">
        <v>0</v>
      </c>
      <c r="L10093" t="n">
        <v>0</v>
      </c>
      <c r="M10093" t="n">
        <v>0</v>
      </c>
      <c r="N10093" t="n">
        <v>0</v>
      </c>
      <c r="O10093" t="n">
        <v>0</v>
      </c>
      <c r="P10093" t="n">
        <v>0</v>
      </c>
      <c r="Q10093" t="n">
        <v>0</v>
      </c>
      <c r="R10093" t="n">
        <v>0</v>
      </c>
      <c r="S10093" t="n">
        <v>0</v>
      </c>
      <c r="T10093" t="n">
        <v>0</v>
      </c>
      <c r="U10093" t="n">
        <v>0</v>
      </c>
      <c r="V10093" s="2" t="inlineStr"/>
    </row>
    <row r="10094" ht="15" customHeight="1">
      <c r="A10094" t="inlineStr">
        <is>
          <t>A 15682-2024</t>
        </is>
      </c>
      <c r="B10094" t="inlineStr">
        <is>
          <t>avverkningsanmälan</t>
        </is>
      </c>
      <c r="C10094" t="inlineStr">
        <is>
          <t>Föryngringsavverkning</t>
        </is>
      </c>
      <c r="D10094" s="1" t="n">
        <v>45404</v>
      </c>
      <c r="E10094" s="1" t="n">
        <v>46326</v>
      </c>
      <c r="F10094" t="inlineStr">
        <is>
          <t>GÄVLEBORGS LÄN</t>
        </is>
      </c>
      <c r="G10094" t="inlineStr">
        <is>
          <t>SANDVIKEN</t>
        </is>
      </c>
      <c r="I10094" t="n">
        <v>1.7</v>
      </c>
      <c r="J10094" t="n">
        <v>0</v>
      </c>
      <c r="K10094" t="n">
        <v>0</v>
      </c>
      <c r="L10094" t="n">
        <v>0</v>
      </c>
      <c r="M10094" t="n">
        <v>0</v>
      </c>
      <c r="N10094" t="n">
        <v>0</v>
      </c>
      <c r="O10094" t="n">
        <v>0</v>
      </c>
      <c r="P10094" t="n">
        <v>0</v>
      </c>
      <c r="Q10094" t="n">
        <v>0</v>
      </c>
      <c r="R10094" t="n">
        <v>0</v>
      </c>
      <c r="S10094" t="n">
        <v>0</v>
      </c>
      <c r="T10094" t="n">
        <v>0</v>
      </c>
      <c r="U10094" t="n">
        <v>0</v>
      </c>
      <c r="V10094" s="2" t="inlineStr"/>
    </row>
    <row r="10095" ht="15" customHeight="1">
      <c r="A10095" t="inlineStr">
        <is>
          <t>A 25455-2026</t>
        </is>
      </c>
      <c r="B10095" t="inlineStr">
        <is>
          <t>avverkningsanmälan</t>
        </is>
      </c>
      <c r="C10095" t="inlineStr">
        <is>
          <t>Föryngringsavverkning</t>
        </is>
      </c>
      <c r="D10095" s="1" t="n">
        <v>46177</v>
      </c>
      <c r="E10095" s="1" t="n">
        <v>46326</v>
      </c>
      <c r="F10095" t="inlineStr">
        <is>
          <t>GÄVLEBORGS LÄN</t>
        </is>
      </c>
      <c r="G10095" t="inlineStr">
        <is>
          <t>BOLLNÄS</t>
        </is>
      </c>
      <c r="I10095" t="n">
        <v>1</v>
      </c>
      <c r="J10095" t="n">
        <v>0</v>
      </c>
      <c r="K10095" t="n">
        <v>0</v>
      </c>
      <c r="L10095" t="n">
        <v>0</v>
      </c>
      <c r="M10095" t="n">
        <v>0</v>
      </c>
      <c r="N10095" t="n">
        <v>0</v>
      </c>
      <c r="O10095" t="n">
        <v>0</v>
      </c>
      <c r="P10095" t="n">
        <v>0</v>
      </c>
      <c r="Q10095" t="n">
        <v>0</v>
      </c>
      <c r="R10095" t="n">
        <v>0</v>
      </c>
      <c r="S10095" t="n">
        <v>0</v>
      </c>
      <c r="T10095" t="n">
        <v>0</v>
      </c>
      <c r="U10095" t="n">
        <v>0</v>
      </c>
      <c r="V10095" s="2" t="inlineStr"/>
    </row>
    <row r="10096" ht="15" customHeight="1">
      <c r="A10096" t="inlineStr">
        <is>
          <t>A 9031-2026</t>
        </is>
      </c>
      <c r="B10096" t="inlineStr">
        <is>
          <t>avverkningsanmälan</t>
        </is>
      </c>
      <c r="C10096" t="inlineStr">
        <is>
          <t>Föryngringsavverkning</t>
        </is>
      </c>
      <c r="D10096" s="1" t="n">
        <v>46069</v>
      </c>
      <c r="E10096" s="1" t="n">
        <v>46326</v>
      </c>
      <c r="F10096" t="inlineStr">
        <is>
          <t>GÄVLEBORGS LÄN</t>
        </is>
      </c>
      <c r="G10096" t="inlineStr">
        <is>
          <t>NORDANSTIG</t>
        </is>
      </c>
      <c r="I10096" t="n">
        <v>2.4</v>
      </c>
      <c r="J10096" t="n">
        <v>0</v>
      </c>
      <c r="K10096" t="n">
        <v>0</v>
      </c>
      <c r="L10096" t="n">
        <v>0</v>
      </c>
      <c r="M10096" t="n">
        <v>0</v>
      </c>
      <c r="N10096" t="n">
        <v>0</v>
      </c>
      <c r="O10096" t="n">
        <v>0</v>
      </c>
      <c r="P10096" t="n">
        <v>0</v>
      </c>
      <c r="Q10096" t="n">
        <v>0</v>
      </c>
      <c r="R10096" t="n">
        <v>0</v>
      </c>
      <c r="S10096" t="n">
        <v>0</v>
      </c>
      <c r="T10096" t="n">
        <v>0</v>
      </c>
      <c r="U10096" t="n">
        <v>0</v>
      </c>
      <c r="V10096" s="2" t="inlineStr"/>
    </row>
    <row r="10097" ht="15" customHeight="1">
      <c r="A10097" t="inlineStr">
        <is>
          <t>A 4300-2026</t>
        </is>
      </c>
      <c r="B10097" t="inlineStr">
        <is>
          <t>avverkningsanmälan</t>
        </is>
      </c>
      <c r="C10097" t="inlineStr">
        <is>
          <t>Föryngringsavverkning</t>
        </is>
      </c>
      <c r="D10097" s="1" t="n">
        <v>46045</v>
      </c>
      <c r="E10097" s="1" t="n">
        <v>46326</v>
      </c>
      <c r="F10097" t="inlineStr">
        <is>
          <t>GÄVLEBORGS LÄN</t>
        </is>
      </c>
      <c r="G10097" t="inlineStr">
        <is>
          <t>BOLLNÄS</t>
        </is>
      </c>
      <c r="I10097" t="n">
        <v>8.699999999999999</v>
      </c>
      <c r="J10097" t="n">
        <v>0</v>
      </c>
      <c r="K10097" t="n">
        <v>0</v>
      </c>
      <c r="L10097" t="n">
        <v>0</v>
      </c>
      <c r="M10097" t="n">
        <v>0</v>
      </c>
      <c r="N10097" t="n">
        <v>0</v>
      </c>
      <c r="O10097" t="n">
        <v>0</v>
      </c>
      <c r="P10097" t="n">
        <v>0</v>
      </c>
      <c r="Q10097" t="n">
        <v>0</v>
      </c>
      <c r="R10097" t="n">
        <v>0</v>
      </c>
      <c r="S10097" t="n">
        <v>0</v>
      </c>
      <c r="T10097" t="n">
        <v>0</v>
      </c>
      <c r="U10097" t="n">
        <v>0</v>
      </c>
      <c r="V10097" s="2" t="inlineStr"/>
    </row>
    <row r="10098" ht="15" customHeight="1">
      <c r="A10098" t="inlineStr">
        <is>
          <t>A 34043-2026</t>
        </is>
      </c>
      <c r="B10098" t="inlineStr">
        <is>
          <t>avverkningsanmälan</t>
        </is>
      </c>
      <c r="C10098" t="inlineStr">
        <is>
          <t>Föryngringsavverkning</t>
        </is>
      </c>
      <c r="D10098" s="1" t="n">
        <v>46252</v>
      </c>
      <c r="E10098" s="1" t="n">
        <v>46326</v>
      </c>
      <c r="F10098" t="inlineStr">
        <is>
          <t>GÄVLEBORGS LÄN</t>
        </is>
      </c>
      <c r="G10098" t="inlineStr">
        <is>
          <t>LJUSDAL</t>
        </is>
      </c>
      <c r="H10098" t="inlineStr">
        <is>
          <t>Sveaskog</t>
        </is>
      </c>
      <c r="I10098" t="n">
        <v>4.9</v>
      </c>
      <c r="J10098" t="n">
        <v>0</v>
      </c>
      <c r="K10098" t="n">
        <v>0</v>
      </c>
      <c r="L10098" t="n">
        <v>0</v>
      </c>
      <c r="M10098" t="n">
        <v>0</v>
      </c>
      <c r="N10098" t="n">
        <v>0</v>
      </c>
      <c r="O10098" t="n">
        <v>0</v>
      </c>
      <c r="P10098" t="n">
        <v>0</v>
      </c>
      <c r="Q10098" t="n">
        <v>0</v>
      </c>
      <c r="R10098" t="n">
        <v>0</v>
      </c>
      <c r="S10098" t="n">
        <v>0</v>
      </c>
      <c r="T10098" t="n">
        <v>0</v>
      </c>
      <c r="U10098" t="n">
        <v>0</v>
      </c>
      <c r="V10098" s="2" t="inlineStr"/>
    </row>
    <row r="10099" ht="15" customHeight="1">
      <c r="A10099" t="inlineStr">
        <is>
          <t>A 23603-2025</t>
        </is>
      </c>
      <c r="B10099" t="inlineStr">
        <is>
          <t>avverkningsanmälan</t>
        </is>
      </c>
      <c r="C10099" t="inlineStr">
        <is>
          <t>Föryngringsavverkning</t>
        </is>
      </c>
      <c r="D10099" s="1" t="n">
        <v>45792</v>
      </c>
      <c r="E10099" s="1" t="n">
        <v>46326</v>
      </c>
      <c r="F10099" t="inlineStr">
        <is>
          <t>GÄVLEBORGS LÄN</t>
        </is>
      </c>
      <c r="G10099" t="inlineStr">
        <is>
          <t>LJUSDAL</t>
        </is>
      </c>
      <c r="H10099" t="inlineStr">
        <is>
          <t>Bergvik skog väst AB</t>
        </is>
      </c>
      <c r="I10099" t="n">
        <v>5.6</v>
      </c>
      <c r="J10099" t="n">
        <v>0</v>
      </c>
      <c r="K10099" t="n">
        <v>0</v>
      </c>
      <c r="L10099" t="n">
        <v>0</v>
      </c>
      <c r="M10099" t="n">
        <v>0</v>
      </c>
      <c r="N10099" t="n">
        <v>0</v>
      </c>
      <c r="O10099" t="n">
        <v>0</v>
      </c>
      <c r="P10099" t="n">
        <v>0</v>
      </c>
      <c r="Q10099" t="n">
        <v>0</v>
      </c>
      <c r="R10099" t="n">
        <v>0</v>
      </c>
      <c r="S10099" t="n">
        <v>0</v>
      </c>
      <c r="T10099" t="n">
        <v>0</v>
      </c>
      <c r="U10099" t="n">
        <v>0</v>
      </c>
      <c r="V10099" s="2" t="inlineStr"/>
    </row>
    <row r="10100" ht="15" customHeight="1">
      <c r="A10100" t="inlineStr">
        <is>
          <t>A 23788-2025</t>
        </is>
      </c>
      <c r="B10100" t="inlineStr">
        <is>
          <t>avverkningsanmälan</t>
        </is>
      </c>
      <c r="C10100" t="inlineStr">
        <is>
          <t>Föryngringsavverkning</t>
        </is>
      </c>
      <c r="D10100" s="1" t="n">
        <v>45793</v>
      </c>
      <c r="E10100" s="1" t="n">
        <v>46326</v>
      </c>
      <c r="F10100" t="inlineStr">
        <is>
          <t>GÄVLEBORGS LÄN</t>
        </is>
      </c>
      <c r="G10100" t="inlineStr">
        <is>
          <t>NORDANSTIG</t>
        </is>
      </c>
      <c r="H10100" t="inlineStr">
        <is>
          <t>Holmen skog AB</t>
        </is>
      </c>
      <c r="I10100" t="n">
        <v>2.8</v>
      </c>
      <c r="J10100" t="n">
        <v>0</v>
      </c>
      <c r="K10100" t="n">
        <v>0</v>
      </c>
      <c r="L10100" t="n">
        <v>0</v>
      </c>
      <c r="M10100" t="n">
        <v>0</v>
      </c>
      <c r="N10100" t="n">
        <v>0</v>
      </c>
      <c r="O10100" t="n">
        <v>0</v>
      </c>
      <c r="P10100" t="n">
        <v>0</v>
      </c>
      <c r="Q10100" t="n">
        <v>0</v>
      </c>
      <c r="R10100" t="n">
        <v>0</v>
      </c>
      <c r="S10100" t="n">
        <v>0</v>
      </c>
      <c r="T10100" t="n">
        <v>0</v>
      </c>
      <c r="U10100" t="n">
        <v>0</v>
      </c>
      <c r="V10100" s="2" t="inlineStr"/>
    </row>
    <row r="10101" ht="15" customHeight="1">
      <c r="A10101" t="inlineStr">
        <is>
          <t>A 56755-2022</t>
        </is>
      </c>
      <c r="B10101" t="inlineStr">
        <is>
          <t>avverkningsanmälan</t>
        </is>
      </c>
      <c r="C10101" t="inlineStr">
        <is>
          <t>Föryngringsavverkning</t>
        </is>
      </c>
      <c r="D10101" s="1" t="n">
        <v>44894</v>
      </c>
      <c r="E10101" s="1" t="n">
        <v>46326</v>
      </c>
      <c r="F10101" t="inlineStr">
        <is>
          <t>GÄVLEBORGS LÄN</t>
        </is>
      </c>
      <c r="G10101" t="inlineStr">
        <is>
          <t>BOLLNÄS</t>
        </is>
      </c>
      <c r="I10101" t="n">
        <v>0.7</v>
      </c>
      <c r="J10101" t="n">
        <v>0</v>
      </c>
      <c r="K10101" t="n">
        <v>0</v>
      </c>
      <c r="L10101" t="n">
        <v>0</v>
      </c>
      <c r="M10101" t="n">
        <v>0</v>
      </c>
      <c r="N10101" t="n">
        <v>0</v>
      </c>
      <c r="O10101" t="n">
        <v>0</v>
      </c>
      <c r="P10101" t="n">
        <v>0</v>
      </c>
      <c r="Q10101" t="n">
        <v>0</v>
      </c>
      <c r="R10101" t="n">
        <v>0</v>
      </c>
      <c r="S10101" t="n">
        <v>0</v>
      </c>
      <c r="T10101" t="n">
        <v>0</v>
      </c>
      <c r="U10101" t="n">
        <v>0</v>
      </c>
      <c r="V10101" s="2" t="inlineStr"/>
    </row>
    <row r="10102" ht="15" customHeight="1">
      <c r="A10102" t="inlineStr">
        <is>
          <t>A 62738-2023</t>
        </is>
      </c>
      <c r="B10102" t="inlineStr">
        <is>
          <t>avverkningsanmälan</t>
        </is>
      </c>
      <c r="C10102" t="inlineStr">
        <is>
          <t>Avverkning för annat ändamål</t>
        </is>
      </c>
      <c r="D10102" s="1" t="n">
        <v>45268</v>
      </c>
      <c r="E10102" s="1" t="n">
        <v>46326</v>
      </c>
      <c r="F10102" t="inlineStr">
        <is>
          <t>GÄVLEBORGS LÄN</t>
        </is>
      </c>
      <c r="G10102" t="inlineStr">
        <is>
          <t>OVANÅKER</t>
        </is>
      </c>
      <c r="I10102" t="n">
        <v>0.6</v>
      </c>
      <c r="J10102" t="n">
        <v>0</v>
      </c>
      <c r="K10102" t="n">
        <v>0</v>
      </c>
      <c r="L10102" t="n">
        <v>0</v>
      </c>
      <c r="M10102" t="n">
        <v>0</v>
      </c>
      <c r="N10102" t="n">
        <v>0</v>
      </c>
      <c r="O10102" t="n">
        <v>0</v>
      </c>
      <c r="P10102" t="n">
        <v>0</v>
      </c>
      <c r="Q10102" t="n">
        <v>0</v>
      </c>
      <c r="R10102" t="n">
        <v>0</v>
      </c>
      <c r="S10102" t="n">
        <v>0</v>
      </c>
      <c r="T10102" t="n">
        <v>0</v>
      </c>
      <c r="U10102" t="n">
        <v>0</v>
      </c>
      <c r="V10102" s="2" t="inlineStr"/>
    </row>
    <row r="10103" ht="15" customHeight="1">
      <c r="A10103" t="inlineStr">
        <is>
          <t>A 7569-2022</t>
        </is>
      </c>
      <c r="B10103" t="inlineStr">
        <is>
          <t>avverkningsanmälan</t>
        </is>
      </c>
      <c r="C10103" t="inlineStr">
        <is>
          <t>Avverkning för annat ändamål</t>
        </is>
      </c>
      <c r="D10103" s="1" t="n">
        <v>44607</v>
      </c>
      <c r="E10103" s="1" t="n">
        <v>46326</v>
      </c>
      <c r="F10103" t="inlineStr">
        <is>
          <t>GÄVLEBORGS LÄN</t>
        </is>
      </c>
      <c r="G10103" t="inlineStr">
        <is>
          <t>OVANÅKER</t>
        </is>
      </c>
      <c r="I10103" t="n">
        <v>0.9</v>
      </c>
      <c r="J10103" t="n">
        <v>0</v>
      </c>
      <c r="K10103" t="n">
        <v>0</v>
      </c>
      <c r="L10103" t="n">
        <v>0</v>
      </c>
      <c r="M10103" t="n">
        <v>0</v>
      </c>
      <c r="N10103" t="n">
        <v>0</v>
      </c>
      <c r="O10103" t="n">
        <v>0</v>
      </c>
      <c r="P10103" t="n">
        <v>0</v>
      </c>
      <c r="Q10103" t="n">
        <v>0</v>
      </c>
      <c r="R10103" t="n">
        <v>0</v>
      </c>
      <c r="S10103" t="n">
        <v>0</v>
      </c>
      <c r="T10103" t="n">
        <v>0</v>
      </c>
      <c r="U10103" t="n">
        <v>0</v>
      </c>
      <c r="V10103" s="2" t="inlineStr"/>
    </row>
    <row r="10104" ht="15" customHeight="1">
      <c r="A10104" t="inlineStr">
        <is>
          <t>A 48666-2022</t>
        </is>
      </c>
      <c r="B10104" t="inlineStr">
        <is>
          <t>avverkningsanmälan</t>
        </is>
      </c>
      <c r="C10104" t="inlineStr">
        <is>
          <t>Föryngringsavverkning</t>
        </is>
      </c>
      <c r="D10104" s="1" t="n">
        <v>44859</v>
      </c>
      <c r="E10104" s="1" t="n">
        <v>46326</v>
      </c>
      <c r="F10104" t="inlineStr">
        <is>
          <t>GÄVLEBORGS LÄN</t>
        </is>
      </c>
      <c r="G10104" t="inlineStr">
        <is>
          <t>BOLLNÄS</t>
        </is>
      </c>
      <c r="I10104" t="n">
        <v>0.7</v>
      </c>
      <c r="J10104" t="n">
        <v>0</v>
      </c>
      <c r="K10104" t="n">
        <v>0</v>
      </c>
      <c r="L10104" t="n">
        <v>0</v>
      </c>
      <c r="M10104" t="n">
        <v>0</v>
      </c>
      <c r="N10104" t="n">
        <v>0</v>
      </c>
      <c r="O10104" t="n">
        <v>0</v>
      </c>
      <c r="P10104" t="n">
        <v>0</v>
      </c>
      <c r="Q10104" t="n">
        <v>0</v>
      </c>
      <c r="R10104" t="n">
        <v>0</v>
      </c>
      <c r="S10104" t="n">
        <v>0</v>
      </c>
      <c r="T10104" t="n">
        <v>0</v>
      </c>
      <c r="U10104" t="n">
        <v>0</v>
      </c>
      <c r="V10104" s="2" t="inlineStr"/>
    </row>
    <row r="10105" ht="15" customHeight="1">
      <c r="A10105" t="inlineStr">
        <is>
          <t>A 46795-2024</t>
        </is>
      </c>
      <c r="B10105" t="inlineStr">
        <is>
          <t>avverkningsanmälan</t>
        </is>
      </c>
      <c r="C10105" t="inlineStr">
        <is>
          <t>Föryngringsavverkning</t>
        </is>
      </c>
      <c r="D10105" s="1" t="n">
        <v>45583</v>
      </c>
      <c r="E10105" s="1" t="n">
        <v>46326</v>
      </c>
      <c r="F10105" t="inlineStr">
        <is>
          <t>GÄVLEBORGS LÄN</t>
        </is>
      </c>
      <c r="G10105" t="inlineStr">
        <is>
          <t>BOLLNÄS</t>
        </is>
      </c>
      <c r="I10105" t="n">
        <v>1.7</v>
      </c>
      <c r="J10105" t="n">
        <v>0</v>
      </c>
      <c r="K10105" t="n">
        <v>0</v>
      </c>
      <c r="L10105" t="n">
        <v>0</v>
      </c>
      <c r="M10105" t="n">
        <v>0</v>
      </c>
      <c r="N10105" t="n">
        <v>0</v>
      </c>
      <c r="O10105" t="n">
        <v>0</v>
      </c>
      <c r="P10105" t="n">
        <v>0</v>
      </c>
      <c r="Q10105" t="n">
        <v>0</v>
      </c>
      <c r="R10105" t="n">
        <v>0</v>
      </c>
      <c r="S10105" t="n">
        <v>0</v>
      </c>
      <c r="T10105" t="n">
        <v>0</v>
      </c>
      <c r="U10105" t="n">
        <v>0</v>
      </c>
      <c r="V10105" s="2" t="inlineStr"/>
    </row>
    <row r="10106" ht="15" customHeight="1">
      <c r="A10106" t="inlineStr">
        <is>
          <t>A 49883-2023</t>
        </is>
      </c>
      <c r="B10106" t="inlineStr">
        <is>
          <t>avverkningsanmälan</t>
        </is>
      </c>
      <c r="C10106" t="inlineStr">
        <is>
          <t>Föryngringsavverkning</t>
        </is>
      </c>
      <c r="D10106" s="1" t="n">
        <v>45213</v>
      </c>
      <c r="E10106" s="1" t="n">
        <v>46326</v>
      </c>
      <c r="F10106" t="inlineStr">
        <is>
          <t>GÄVLEBORGS LÄN</t>
        </is>
      </c>
      <c r="G10106" t="inlineStr">
        <is>
          <t>BOLLNÄS</t>
        </is>
      </c>
      <c r="I10106" t="n">
        <v>1.8</v>
      </c>
      <c r="J10106" t="n">
        <v>0</v>
      </c>
      <c r="K10106" t="n">
        <v>0</v>
      </c>
      <c r="L10106" t="n">
        <v>0</v>
      </c>
      <c r="M10106" t="n">
        <v>0</v>
      </c>
      <c r="N10106" t="n">
        <v>0</v>
      </c>
      <c r="O10106" t="n">
        <v>0</v>
      </c>
      <c r="P10106" t="n">
        <v>0</v>
      </c>
      <c r="Q10106" t="n">
        <v>0</v>
      </c>
      <c r="R10106" t="n">
        <v>0</v>
      </c>
      <c r="S10106" t="n">
        <v>0</v>
      </c>
      <c r="T10106" t="n">
        <v>0</v>
      </c>
      <c r="U10106" t="n">
        <v>0</v>
      </c>
      <c r="V10106" s="2" t="inlineStr"/>
    </row>
    <row r="10107" ht="15" customHeight="1">
      <c r="A10107" t="inlineStr">
        <is>
          <t>A 4420-2024</t>
        </is>
      </c>
      <c r="B10107" t="inlineStr">
        <is>
          <t>avverkningsanmälan</t>
        </is>
      </c>
      <c r="C10107" t="inlineStr">
        <is>
          <t>Avverkning för annat ändamål</t>
        </is>
      </c>
      <c r="D10107" s="1" t="n">
        <v>45327</v>
      </c>
      <c r="E10107" s="1" t="n">
        <v>46326</v>
      </c>
      <c r="F10107" t="inlineStr">
        <is>
          <t>GÄVLEBORGS LÄN</t>
        </is>
      </c>
      <c r="G10107" t="inlineStr">
        <is>
          <t>LJUSDAL</t>
        </is>
      </c>
      <c r="H10107" t="inlineStr">
        <is>
          <t>Holmen skog AB</t>
        </is>
      </c>
      <c r="I10107" t="n">
        <v>3.6</v>
      </c>
      <c r="J10107" t="n">
        <v>0</v>
      </c>
      <c r="K10107" t="n">
        <v>0</v>
      </c>
      <c r="L10107" t="n">
        <v>0</v>
      </c>
      <c r="M10107" t="n">
        <v>0</v>
      </c>
      <c r="N10107" t="n">
        <v>0</v>
      </c>
      <c r="O10107" t="n">
        <v>0</v>
      </c>
      <c r="P10107" t="n">
        <v>0</v>
      </c>
      <c r="Q10107" t="n">
        <v>0</v>
      </c>
      <c r="R10107" t="n">
        <v>0</v>
      </c>
      <c r="S10107" t="n">
        <v>0</v>
      </c>
      <c r="T10107" t="n">
        <v>0</v>
      </c>
      <c r="U10107" t="n">
        <v>0</v>
      </c>
      <c r="V10107" s="2" t="inlineStr"/>
    </row>
    <row r="10108" ht="15" customHeight="1">
      <c r="A10108" t="inlineStr">
        <is>
          <t>A 47145-2023</t>
        </is>
      </c>
      <c r="B10108" t="inlineStr">
        <is>
          <t>avverkningsanmälan</t>
        </is>
      </c>
      <c r="C10108" t="inlineStr">
        <is>
          <t>Föryngringsavverkning</t>
        </is>
      </c>
      <c r="D10108" s="1" t="n">
        <v>45201</v>
      </c>
      <c r="E10108" s="1" t="n">
        <v>46326</v>
      </c>
      <c r="F10108" t="inlineStr">
        <is>
          <t>GÄVLEBORGS LÄN</t>
        </is>
      </c>
      <c r="G10108" t="inlineStr">
        <is>
          <t>HUDIKSVALL</t>
        </is>
      </c>
      <c r="I10108" t="n">
        <v>1</v>
      </c>
      <c r="J10108" t="n">
        <v>0</v>
      </c>
      <c r="K10108" t="n">
        <v>0</v>
      </c>
      <c r="L10108" t="n">
        <v>0</v>
      </c>
      <c r="M10108" t="n">
        <v>0</v>
      </c>
      <c r="N10108" t="n">
        <v>0</v>
      </c>
      <c r="O10108" t="n">
        <v>0</v>
      </c>
      <c r="P10108" t="n">
        <v>0</v>
      </c>
      <c r="Q10108" t="n">
        <v>0</v>
      </c>
      <c r="R10108" t="n">
        <v>0</v>
      </c>
      <c r="S10108" t="n">
        <v>0</v>
      </c>
      <c r="T10108" t="n">
        <v>0</v>
      </c>
      <c r="U10108" t="n">
        <v>0</v>
      </c>
      <c r="V10108" s="2" t="inlineStr"/>
    </row>
    <row r="10109" ht="15" customHeight="1">
      <c r="A10109" t="inlineStr">
        <is>
          <t>A 23882-2025</t>
        </is>
      </c>
      <c r="B10109" t="inlineStr">
        <is>
          <t>avverkningsanmälan</t>
        </is>
      </c>
      <c r="C10109" t="inlineStr">
        <is>
          <t>Föryngringsavverkning</t>
        </is>
      </c>
      <c r="D10109" s="1" t="n">
        <v>45793</v>
      </c>
      <c r="E10109" s="1" t="n">
        <v>46326</v>
      </c>
      <c r="F10109" t="inlineStr">
        <is>
          <t>GÄVLEBORGS LÄN</t>
        </is>
      </c>
      <c r="G10109" t="inlineStr">
        <is>
          <t>BOLLNÄS</t>
        </is>
      </c>
      <c r="I10109" t="n">
        <v>3.7</v>
      </c>
      <c r="J10109" t="n">
        <v>0</v>
      </c>
      <c r="K10109" t="n">
        <v>0</v>
      </c>
      <c r="L10109" t="n">
        <v>0</v>
      </c>
      <c r="M10109" t="n">
        <v>0</v>
      </c>
      <c r="N10109" t="n">
        <v>0</v>
      </c>
      <c r="O10109" t="n">
        <v>0</v>
      </c>
      <c r="P10109" t="n">
        <v>0</v>
      </c>
      <c r="Q10109" t="n">
        <v>0</v>
      </c>
      <c r="R10109" t="n">
        <v>0</v>
      </c>
      <c r="S10109" t="n">
        <v>0</v>
      </c>
      <c r="T10109" t="n">
        <v>0</v>
      </c>
      <c r="U10109" t="n">
        <v>0</v>
      </c>
      <c r="V10109" s="2" t="inlineStr"/>
    </row>
    <row r="10110" ht="15" customHeight="1">
      <c r="A10110" t="inlineStr">
        <is>
          <t>A 44289-2023</t>
        </is>
      </c>
      <c r="B10110" t="inlineStr">
        <is>
          <t>avverkningsanmälan</t>
        </is>
      </c>
      <c r="C10110" t="inlineStr">
        <is>
          <t>Föryngringsavverkning</t>
        </is>
      </c>
      <c r="D10110" s="1" t="n">
        <v>45188</v>
      </c>
      <c r="E10110" s="1" t="n">
        <v>46326</v>
      </c>
      <c r="F10110" t="inlineStr">
        <is>
          <t>GÄVLEBORGS LÄN</t>
        </is>
      </c>
      <c r="G10110" t="inlineStr">
        <is>
          <t>SANDVIKEN</t>
        </is>
      </c>
      <c r="I10110" t="n">
        <v>1.5</v>
      </c>
      <c r="J10110" t="n">
        <v>0</v>
      </c>
      <c r="K10110" t="n">
        <v>0</v>
      </c>
      <c r="L10110" t="n">
        <v>0</v>
      </c>
      <c r="M10110" t="n">
        <v>0</v>
      </c>
      <c r="N10110" t="n">
        <v>0</v>
      </c>
      <c r="O10110" t="n">
        <v>0</v>
      </c>
      <c r="P10110" t="n">
        <v>0</v>
      </c>
      <c r="Q10110" t="n">
        <v>0</v>
      </c>
      <c r="R10110" t="n">
        <v>0</v>
      </c>
      <c r="S10110" t="n">
        <v>0</v>
      </c>
      <c r="T10110" t="n">
        <v>0</v>
      </c>
      <c r="U10110" t="n">
        <v>0</v>
      </c>
      <c r="V10110" s="2" t="inlineStr"/>
    </row>
    <row r="10111" ht="15" customHeight="1">
      <c r="A10111" t="inlineStr">
        <is>
          <t>A 34032-2026</t>
        </is>
      </c>
      <c r="B10111" t="inlineStr">
        <is>
          <t>avverkningsanmälan</t>
        </is>
      </c>
      <c r="C10111" t="inlineStr">
        <is>
          <t>Föryngringsavverkning</t>
        </is>
      </c>
      <c r="D10111" s="1" t="n">
        <v>46252</v>
      </c>
      <c r="E10111" s="1" t="n">
        <v>46326</v>
      </c>
      <c r="F10111" t="inlineStr">
        <is>
          <t>GÄVLEBORGS LÄN</t>
        </is>
      </c>
      <c r="G10111" t="inlineStr">
        <is>
          <t>HUDIKSVALL</t>
        </is>
      </c>
      <c r="I10111" t="n">
        <v>2.3</v>
      </c>
      <c r="J10111" t="n">
        <v>0</v>
      </c>
      <c r="K10111" t="n">
        <v>0</v>
      </c>
      <c r="L10111" t="n">
        <v>0</v>
      </c>
      <c r="M10111" t="n">
        <v>0</v>
      </c>
      <c r="N10111" t="n">
        <v>0</v>
      </c>
      <c r="O10111" t="n">
        <v>0</v>
      </c>
      <c r="P10111" t="n">
        <v>0</v>
      </c>
      <c r="Q10111" t="n">
        <v>0</v>
      </c>
      <c r="R10111" t="n">
        <v>0</v>
      </c>
      <c r="S10111" t="n">
        <v>0</v>
      </c>
      <c r="T10111" t="n">
        <v>0</v>
      </c>
      <c r="U10111" t="n">
        <v>0</v>
      </c>
      <c r="V10111" s="2" t="inlineStr"/>
    </row>
    <row r="10112" ht="15" customHeight="1">
      <c r="A10112" t="inlineStr">
        <is>
          <t>A 16752-2025</t>
        </is>
      </c>
      <c r="B10112" t="inlineStr">
        <is>
          <t>avverkningsanmälan</t>
        </is>
      </c>
      <c r="C10112" t="inlineStr">
        <is>
          <t>Föryngringsavverkning</t>
        </is>
      </c>
      <c r="D10112" s="1" t="n">
        <v>45754</v>
      </c>
      <c r="E10112" s="1" t="n">
        <v>46326</v>
      </c>
      <c r="F10112" t="inlineStr">
        <is>
          <t>GÄVLEBORGS LÄN</t>
        </is>
      </c>
      <c r="G10112" t="inlineStr">
        <is>
          <t>OCKELBO</t>
        </is>
      </c>
      <c r="I10112" t="n">
        <v>4.5</v>
      </c>
      <c r="J10112" t="n">
        <v>0</v>
      </c>
      <c r="K10112" t="n">
        <v>0</v>
      </c>
      <c r="L10112" t="n">
        <v>0</v>
      </c>
      <c r="M10112" t="n">
        <v>0</v>
      </c>
      <c r="N10112" t="n">
        <v>0</v>
      </c>
      <c r="O10112" t="n">
        <v>0</v>
      </c>
      <c r="P10112" t="n">
        <v>0</v>
      </c>
      <c r="Q10112" t="n">
        <v>0</v>
      </c>
      <c r="R10112" t="n">
        <v>0</v>
      </c>
      <c r="S10112" t="n">
        <v>0</v>
      </c>
      <c r="T10112" t="n">
        <v>0</v>
      </c>
      <c r="U10112" t="n">
        <v>0</v>
      </c>
      <c r="V10112" s="2" t="inlineStr"/>
    </row>
    <row r="10113" ht="15" customHeight="1">
      <c r="A10113" t="inlineStr">
        <is>
          <t>A 27872-2024</t>
        </is>
      </c>
      <c r="B10113" t="inlineStr">
        <is>
          <t>avverkningsanmälan</t>
        </is>
      </c>
      <c r="C10113" t="inlineStr">
        <is>
          <t>Föryngringsavverkning</t>
        </is>
      </c>
      <c r="D10113" s="1" t="n">
        <v>45475</v>
      </c>
      <c r="E10113" s="1" t="n">
        <v>46326</v>
      </c>
      <c r="F10113" t="inlineStr">
        <is>
          <t>GÄVLEBORGS LÄN</t>
        </is>
      </c>
      <c r="G10113" t="inlineStr">
        <is>
          <t>SANDVIKEN</t>
        </is>
      </c>
      <c r="I10113" t="n">
        <v>2.8</v>
      </c>
      <c r="J10113" t="n">
        <v>0</v>
      </c>
      <c r="K10113" t="n">
        <v>0</v>
      </c>
      <c r="L10113" t="n">
        <v>0</v>
      </c>
      <c r="M10113" t="n">
        <v>0</v>
      </c>
      <c r="N10113" t="n">
        <v>0</v>
      </c>
      <c r="O10113" t="n">
        <v>0</v>
      </c>
      <c r="P10113" t="n">
        <v>0</v>
      </c>
      <c r="Q10113" t="n">
        <v>0</v>
      </c>
      <c r="R10113" t="n">
        <v>0</v>
      </c>
      <c r="S10113" t="n">
        <v>0</v>
      </c>
      <c r="T10113" t="n">
        <v>0</v>
      </c>
      <c r="U10113" t="n">
        <v>0</v>
      </c>
      <c r="V10113" s="2" t="inlineStr"/>
    </row>
    <row r="10114" ht="15" customHeight="1">
      <c r="A10114" t="inlineStr">
        <is>
          <t>A 55941-2024</t>
        </is>
      </c>
      <c r="B10114" t="inlineStr">
        <is>
          <t>avverkningsanmälan</t>
        </is>
      </c>
      <c r="C10114" t="inlineStr">
        <is>
          <t>Föryngringsavverkning</t>
        </is>
      </c>
      <c r="D10114" s="1" t="n">
        <v>45623</v>
      </c>
      <c r="E10114" s="1" t="n">
        <v>46326</v>
      </c>
      <c r="F10114" t="inlineStr">
        <is>
          <t>GÄVLEBORGS LÄN</t>
        </is>
      </c>
      <c r="G10114" t="inlineStr">
        <is>
          <t>BOLLNÄS</t>
        </is>
      </c>
      <c r="I10114" t="n">
        <v>2.2</v>
      </c>
      <c r="J10114" t="n">
        <v>0</v>
      </c>
      <c r="K10114" t="n">
        <v>0</v>
      </c>
      <c r="L10114" t="n">
        <v>0</v>
      </c>
      <c r="M10114" t="n">
        <v>0</v>
      </c>
      <c r="N10114" t="n">
        <v>0</v>
      </c>
      <c r="O10114" t="n">
        <v>0</v>
      </c>
      <c r="P10114" t="n">
        <v>0</v>
      </c>
      <c r="Q10114" t="n">
        <v>0</v>
      </c>
      <c r="R10114" t="n">
        <v>0</v>
      </c>
      <c r="S10114" t="n">
        <v>0</v>
      </c>
      <c r="T10114" t="n">
        <v>0</v>
      </c>
      <c r="U10114" t="n">
        <v>0</v>
      </c>
      <c r="V10114" s="2" t="inlineStr"/>
    </row>
    <row r="10115" ht="15" customHeight="1">
      <c r="A10115" t="inlineStr">
        <is>
          <t>A 31894-2026</t>
        </is>
      </c>
      <c r="B10115" t="inlineStr">
        <is>
          <t>avverkningsanmälan</t>
        </is>
      </c>
      <c r="C10115" t="inlineStr">
        <is>
          <t>Avverkning för annat ändamål</t>
        </is>
      </c>
      <c r="D10115" s="1" t="n">
        <v>46231</v>
      </c>
      <c r="E10115" s="1" t="n">
        <v>46326</v>
      </c>
      <c r="F10115" t="inlineStr">
        <is>
          <t>GÄVLEBORGS LÄN</t>
        </is>
      </c>
      <c r="G10115" t="inlineStr">
        <is>
          <t>NORDANSTIG</t>
        </is>
      </c>
      <c r="I10115" t="n">
        <v>0.7</v>
      </c>
      <c r="J10115" t="n">
        <v>0</v>
      </c>
      <c r="K10115" t="n">
        <v>0</v>
      </c>
      <c r="L10115" t="n">
        <v>0</v>
      </c>
      <c r="M10115" t="n">
        <v>0</v>
      </c>
      <c r="N10115" t="n">
        <v>0</v>
      </c>
      <c r="O10115" t="n">
        <v>0</v>
      </c>
      <c r="P10115" t="n">
        <v>0</v>
      </c>
      <c r="Q10115" t="n">
        <v>0</v>
      </c>
      <c r="R10115" t="n">
        <v>0</v>
      </c>
      <c r="S10115" t="n">
        <v>0</v>
      </c>
      <c r="T10115" t="n">
        <v>0</v>
      </c>
      <c r="U10115" t="n">
        <v>0</v>
      </c>
      <c r="V10115" s="2" t="inlineStr"/>
    </row>
    <row r="10116" ht="15" customHeight="1">
      <c r="A10116" t="inlineStr">
        <is>
          <t>A 33742-2026</t>
        </is>
      </c>
      <c r="B10116" t="inlineStr">
        <is>
          <t>avverkningsanmälan</t>
        </is>
      </c>
      <c r="C10116" t="inlineStr">
        <is>
          <t>Föryngringsavverkning</t>
        </is>
      </c>
      <c r="D10116" s="1" t="n">
        <v>46251</v>
      </c>
      <c r="E10116" s="1" t="n">
        <v>46326</v>
      </c>
      <c r="F10116" t="inlineStr">
        <is>
          <t>GÄVLEBORGS LÄN</t>
        </is>
      </c>
      <c r="G10116" t="inlineStr">
        <is>
          <t>BOLLNÄS</t>
        </is>
      </c>
      <c r="I10116" t="n">
        <v>3.6</v>
      </c>
      <c r="J10116" t="n">
        <v>0</v>
      </c>
      <c r="K10116" t="n">
        <v>0</v>
      </c>
      <c r="L10116" t="n">
        <v>0</v>
      </c>
      <c r="M10116" t="n">
        <v>0</v>
      </c>
      <c r="N10116" t="n">
        <v>0</v>
      </c>
      <c r="O10116" t="n">
        <v>0</v>
      </c>
      <c r="P10116" t="n">
        <v>0</v>
      </c>
      <c r="Q10116" t="n">
        <v>0</v>
      </c>
      <c r="R10116" t="n">
        <v>0</v>
      </c>
      <c r="S10116" t="n">
        <v>0</v>
      </c>
      <c r="T10116" t="n">
        <v>0</v>
      </c>
      <c r="U10116" t="n">
        <v>0</v>
      </c>
      <c r="V10116" s="2" t="inlineStr"/>
    </row>
    <row r="10117" ht="15" customHeight="1">
      <c r="A10117" t="inlineStr">
        <is>
          <t>A 4164-2024</t>
        </is>
      </c>
      <c r="B10117" t="inlineStr">
        <is>
          <t>avverkningsanmälan</t>
        </is>
      </c>
      <c r="C10117" t="inlineStr">
        <is>
          <t>Föryngringsavverkning</t>
        </is>
      </c>
      <c r="D10117" s="1" t="n">
        <v>45323</v>
      </c>
      <c r="E10117" s="1" t="n">
        <v>46326</v>
      </c>
      <c r="F10117" t="inlineStr">
        <is>
          <t>GÄVLEBORGS LÄN</t>
        </is>
      </c>
      <c r="G10117" t="inlineStr">
        <is>
          <t>HUDIKSVALL</t>
        </is>
      </c>
      <c r="I10117" t="n">
        <v>2.7</v>
      </c>
      <c r="J10117" t="n">
        <v>0</v>
      </c>
      <c r="K10117" t="n">
        <v>0</v>
      </c>
      <c r="L10117" t="n">
        <v>0</v>
      </c>
      <c r="M10117" t="n">
        <v>0</v>
      </c>
      <c r="N10117" t="n">
        <v>0</v>
      </c>
      <c r="O10117" t="n">
        <v>0</v>
      </c>
      <c r="P10117" t="n">
        <v>0</v>
      </c>
      <c r="Q10117" t="n">
        <v>0</v>
      </c>
      <c r="R10117" t="n">
        <v>0</v>
      </c>
      <c r="S10117" t="n">
        <v>0</v>
      </c>
      <c r="T10117" t="n">
        <v>0</v>
      </c>
      <c r="U10117" t="n">
        <v>0</v>
      </c>
      <c r="V10117" s="2" t="inlineStr"/>
    </row>
    <row r="10118" ht="15" customHeight="1">
      <c r="A10118" t="inlineStr">
        <is>
          <t>A 33970-2026</t>
        </is>
      </c>
      <c r="B10118" t="inlineStr">
        <is>
          <t>avverkningsanmälan</t>
        </is>
      </c>
      <c r="C10118" t="inlineStr">
        <is>
          <t>Föryngringsavverkning</t>
        </is>
      </c>
      <c r="D10118" s="1" t="n">
        <v>46252</v>
      </c>
      <c r="E10118" s="1" t="n">
        <v>46326</v>
      </c>
      <c r="F10118" t="inlineStr">
        <is>
          <t>GÄVLEBORGS LÄN</t>
        </is>
      </c>
      <c r="G10118" t="inlineStr">
        <is>
          <t>HUDIKSVALL</t>
        </is>
      </c>
      <c r="I10118" t="n">
        <v>7.6</v>
      </c>
      <c r="J10118" t="n">
        <v>0</v>
      </c>
      <c r="K10118" t="n">
        <v>0</v>
      </c>
      <c r="L10118" t="n">
        <v>0</v>
      </c>
      <c r="M10118" t="n">
        <v>0</v>
      </c>
      <c r="N10118" t="n">
        <v>0</v>
      </c>
      <c r="O10118" t="n">
        <v>0</v>
      </c>
      <c r="P10118" t="n">
        <v>0</v>
      </c>
      <c r="Q10118" t="n">
        <v>0</v>
      </c>
      <c r="R10118" t="n">
        <v>0</v>
      </c>
      <c r="S10118" t="n">
        <v>0</v>
      </c>
      <c r="T10118" t="n">
        <v>0</v>
      </c>
      <c r="U10118" t="n">
        <v>0</v>
      </c>
      <c r="V10118" s="2" t="inlineStr"/>
    </row>
    <row r="10119" ht="15" customHeight="1">
      <c r="A10119" t="inlineStr">
        <is>
          <t>A 38594-2024</t>
        </is>
      </c>
      <c r="B10119" t="inlineStr">
        <is>
          <t>avverkningsanmälan</t>
        </is>
      </c>
      <c r="C10119" t="inlineStr">
        <is>
          <t>Föryngringsavverkning</t>
        </is>
      </c>
      <c r="D10119" s="1" t="n">
        <v>45546</v>
      </c>
      <c r="E10119" s="1" t="n">
        <v>46326</v>
      </c>
      <c r="F10119" t="inlineStr">
        <is>
          <t>GÄVLEBORGS LÄN</t>
        </is>
      </c>
      <c r="G10119" t="inlineStr">
        <is>
          <t>BOLLNÄS</t>
        </is>
      </c>
      <c r="I10119" t="n">
        <v>1.4</v>
      </c>
      <c r="J10119" t="n">
        <v>0</v>
      </c>
      <c r="K10119" t="n">
        <v>0</v>
      </c>
      <c r="L10119" t="n">
        <v>0</v>
      </c>
      <c r="M10119" t="n">
        <v>0</v>
      </c>
      <c r="N10119" t="n">
        <v>0</v>
      </c>
      <c r="O10119" t="n">
        <v>0</v>
      </c>
      <c r="P10119" t="n">
        <v>0</v>
      </c>
      <c r="Q10119" t="n">
        <v>0</v>
      </c>
      <c r="R10119" t="n">
        <v>0</v>
      </c>
      <c r="S10119" t="n">
        <v>0</v>
      </c>
      <c r="T10119" t="n">
        <v>0</v>
      </c>
      <c r="U10119" t="n">
        <v>0</v>
      </c>
      <c r="V10119" s="2" t="inlineStr"/>
    </row>
    <row r="10120" ht="15" customHeight="1">
      <c r="A10120" t="inlineStr">
        <is>
          <t>A 26631-2024</t>
        </is>
      </c>
      <c r="B10120" t="inlineStr">
        <is>
          <t>avverkningsanmälan</t>
        </is>
      </c>
      <c r="C10120" t="inlineStr">
        <is>
          <t>Föryngringsavverkning</t>
        </is>
      </c>
      <c r="D10120" s="1" t="n">
        <v>45469</v>
      </c>
      <c r="E10120" s="1" t="n">
        <v>46326</v>
      </c>
      <c r="F10120" t="inlineStr">
        <is>
          <t>GÄVLEBORGS LÄN</t>
        </is>
      </c>
      <c r="G10120" t="inlineStr">
        <is>
          <t>LJUSDAL</t>
        </is>
      </c>
      <c r="I10120" t="n">
        <v>0.9</v>
      </c>
      <c r="J10120" t="n">
        <v>0</v>
      </c>
      <c r="K10120" t="n">
        <v>0</v>
      </c>
      <c r="L10120" t="n">
        <v>0</v>
      </c>
      <c r="M10120" t="n">
        <v>0</v>
      </c>
      <c r="N10120" t="n">
        <v>0</v>
      </c>
      <c r="O10120" t="n">
        <v>0</v>
      </c>
      <c r="P10120" t="n">
        <v>0</v>
      </c>
      <c r="Q10120" t="n">
        <v>0</v>
      </c>
      <c r="R10120" t="n">
        <v>0</v>
      </c>
      <c r="S10120" t="n">
        <v>0</v>
      </c>
      <c r="T10120" t="n">
        <v>0</v>
      </c>
      <c r="U10120" t="n">
        <v>0</v>
      </c>
      <c r="V10120" s="2" t="inlineStr"/>
    </row>
    <row r="10121" ht="15" customHeight="1">
      <c r="A10121" t="inlineStr">
        <is>
          <t>A 1105-2025</t>
        </is>
      </c>
      <c r="B10121" t="inlineStr">
        <is>
          <t>avverkningsanmälan</t>
        </is>
      </c>
      <c r="C10121" t="inlineStr">
        <is>
          <t>Föryngringsavverkning</t>
        </is>
      </c>
      <c r="D10121" s="1" t="n">
        <v>45666</v>
      </c>
      <c r="E10121" s="1" t="n">
        <v>46326</v>
      </c>
      <c r="F10121" t="inlineStr">
        <is>
          <t>GÄVLEBORGS LÄN</t>
        </is>
      </c>
      <c r="G10121" t="inlineStr">
        <is>
          <t>HUDIKSVALL</t>
        </is>
      </c>
      <c r="I10121" t="n">
        <v>1.5</v>
      </c>
      <c r="J10121" t="n">
        <v>0</v>
      </c>
      <c r="K10121" t="n">
        <v>0</v>
      </c>
      <c r="L10121" t="n">
        <v>0</v>
      </c>
      <c r="M10121" t="n">
        <v>0</v>
      </c>
      <c r="N10121" t="n">
        <v>0</v>
      </c>
      <c r="O10121" t="n">
        <v>0</v>
      </c>
      <c r="P10121" t="n">
        <v>0</v>
      </c>
      <c r="Q10121" t="n">
        <v>0</v>
      </c>
      <c r="R10121" t="n">
        <v>0</v>
      </c>
      <c r="S10121" t="n">
        <v>0</v>
      </c>
      <c r="T10121" t="n">
        <v>0</v>
      </c>
      <c r="U10121" t="n">
        <v>0</v>
      </c>
      <c r="V10121" s="2" t="inlineStr"/>
    </row>
    <row r="10122" ht="15" customHeight="1">
      <c r="A10122" t="inlineStr">
        <is>
          <t>A 17376-2024</t>
        </is>
      </c>
      <c r="B10122" t="inlineStr">
        <is>
          <t>avverkningsanmälan</t>
        </is>
      </c>
      <c r="C10122" t="inlineStr">
        <is>
          <t>Föryngringsavverkning</t>
        </is>
      </c>
      <c r="D10122" s="1" t="n">
        <v>45414</v>
      </c>
      <c r="E10122" s="1" t="n">
        <v>46326</v>
      </c>
      <c r="F10122" t="inlineStr">
        <is>
          <t>GÄVLEBORGS LÄN</t>
        </is>
      </c>
      <c r="G10122" t="inlineStr">
        <is>
          <t>BOLLNÄS</t>
        </is>
      </c>
      <c r="I10122" t="n">
        <v>1.1</v>
      </c>
      <c r="J10122" t="n">
        <v>0</v>
      </c>
      <c r="K10122" t="n">
        <v>0</v>
      </c>
      <c r="L10122" t="n">
        <v>0</v>
      </c>
      <c r="M10122" t="n">
        <v>0</v>
      </c>
      <c r="N10122" t="n">
        <v>0</v>
      </c>
      <c r="O10122" t="n">
        <v>0</v>
      </c>
      <c r="P10122" t="n">
        <v>0</v>
      </c>
      <c r="Q10122" t="n">
        <v>0</v>
      </c>
      <c r="R10122" t="n">
        <v>0</v>
      </c>
      <c r="S10122" t="n">
        <v>0</v>
      </c>
      <c r="T10122" t="n">
        <v>0</v>
      </c>
      <c r="U10122" t="n">
        <v>0</v>
      </c>
      <c r="V10122" s="2" t="inlineStr"/>
    </row>
    <row r="10123" ht="15" customHeight="1">
      <c r="A10123" t="inlineStr">
        <is>
          <t>A 39862-2023</t>
        </is>
      </c>
      <c r="B10123" t="inlineStr">
        <is>
          <t>avverkningsanmälan</t>
        </is>
      </c>
      <c r="C10123" t="inlineStr">
        <is>
          <t>Föryngringsavverkning</t>
        </is>
      </c>
      <c r="D10123" s="1" t="n">
        <v>45168</v>
      </c>
      <c r="E10123" s="1" t="n">
        <v>46326</v>
      </c>
      <c r="F10123" t="inlineStr">
        <is>
          <t>GÄVLEBORGS LÄN</t>
        </is>
      </c>
      <c r="G10123" t="inlineStr">
        <is>
          <t>OVANÅKER</t>
        </is>
      </c>
      <c r="I10123" t="n">
        <v>1.2</v>
      </c>
      <c r="J10123" t="n">
        <v>0</v>
      </c>
      <c r="K10123" t="n">
        <v>0</v>
      </c>
      <c r="L10123" t="n">
        <v>0</v>
      </c>
      <c r="M10123" t="n">
        <v>0</v>
      </c>
      <c r="N10123" t="n">
        <v>0</v>
      </c>
      <c r="O10123" t="n">
        <v>0</v>
      </c>
      <c r="P10123" t="n">
        <v>0</v>
      </c>
      <c r="Q10123" t="n">
        <v>0</v>
      </c>
      <c r="R10123" t="n">
        <v>0</v>
      </c>
      <c r="S10123" t="n">
        <v>0</v>
      </c>
      <c r="T10123" t="n">
        <v>0</v>
      </c>
      <c r="U10123" t="n">
        <v>0</v>
      </c>
      <c r="V10123" s="2" t="inlineStr"/>
    </row>
    <row r="10124" ht="15" customHeight="1">
      <c r="A10124" t="inlineStr">
        <is>
          <t>A 60957-2023</t>
        </is>
      </c>
      <c r="B10124" t="inlineStr">
        <is>
          <t>avverkningsanmälan</t>
        </is>
      </c>
      <c r="C10124" t="inlineStr">
        <is>
          <t>Föryngringsavverkning</t>
        </is>
      </c>
      <c r="D10124" s="1" t="n">
        <v>45261</v>
      </c>
      <c r="E10124" s="1" t="n">
        <v>46326</v>
      </c>
      <c r="F10124" t="inlineStr">
        <is>
          <t>GÄVLEBORGS LÄN</t>
        </is>
      </c>
      <c r="G10124" t="inlineStr">
        <is>
          <t>LJUSDAL</t>
        </is>
      </c>
      <c r="I10124" t="n">
        <v>1.4</v>
      </c>
      <c r="J10124" t="n">
        <v>0</v>
      </c>
      <c r="K10124" t="n">
        <v>0</v>
      </c>
      <c r="L10124" t="n">
        <v>0</v>
      </c>
      <c r="M10124" t="n">
        <v>0</v>
      </c>
      <c r="N10124" t="n">
        <v>0</v>
      </c>
      <c r="O10124" t="n">
        <v>0</v>
      </c>
      <c r="P10124" t="n">
        <v>0</v>
      </c>
      <c r="Q10124" t="n">
        <v>0</v>
      </c>
      <c r="R10124" t="n">
        <v>0</v>
      </c>
      <c r="S10124" t="n">
        <v>0</v>
      </c>
      <c r="T10124" t="n">
        <v>0</v>
      </c>
      <c r="U10124" t="n">
        <v>0</v>
      </c>
      <c r="V10124" s="2" t="inlineStr"/>
    </row>
    <row r="10125" ht="15" customHeight="1">
      <c r="A10125" t="inlineStr">
        <is>
          <t>A 40350-2026</t>
        </is>
      </c>
      <c r="B10125" t="inlineStr">
        <is>
          <t>avverkningsanmälan</t>
        </is>
      </c>
      <c r="C10125" t="inlineStr">
        <is>
          <t>Föryngringsavverkning</t>
        </is>
      </c>
      <c r="D10125" s="1" t="n">
        <v>46294</v>
      </c>
      <c r="E10125" s="1" t="n">
        <v>46326</v>
      </c>
      <c r="F10125" t="inlineStr">
        <is>
          <t>GÄVLEBORGS LÄN</t>
        </is>
      </c>
      <c r="G10125" t="inlineStr">
        <is>
          <t>OVANÅKER</t>
        </is>
      </c>
      <c r="I10125" t="n">
        <v>5.1</v>
      </c>
      <c r="J10125" t="n">
        <v>0</v>
      </c>
      <c r="K10125" t="n">
        <v>0</v>
      </c>
      <c r="L10125" t="n">
        <v>0</v>
      </c>
      <c r="M10125" t="n">
        <v>0</v>
      </c>
      <c r="N10125" t="n">
        <v>0</v>
      </c>
      <c r="O10125" t="n">
        <v>0</v>
      </c>
      <c r="P10125" t="n">
        <v>0</v>
      </c>
      <c r="Q10125" t="n">
        <v>0</v>
      </c>
      <c r="R10125" t="n">
        <v>0</v>
      </c>
      <c r="S10125" t="n">
        <v>0</v>
      </c>
      <c r="T10125" t="n">
        <v>0</v>
      </c>
      <c r="U10125" t="n">
        <v>0</v>
      </c>
      <c r="V10125" s="2" t="inlineStr"/>
    </row>
    <row r="10126" ht="15" customHeight="1">
      <c r="A10126" t="inlineStr">
        <is>
          <t>A 7884-2026</t>
        </is>
      </c>
      <c r="B10126" t="inlineStr">
        <is>
          <t>avverkningsanmälan</t>
        </is>
      </c>
      <c r="C10126" t="inlineStr">
        <is>
          <t>Föryngringsavverkning</t>
        </is>
      </c>
      <c r="D10126" s="1" t="n">
        <v>46063</v>
      </c>
      <c r="E10126" s="1" t="n">
        <v>46326</v>
      </c>
      <c r="F10126" t="inlineStr">
        <is>
          <t>GÄVLEBORGS LÄN</t>
        </is>
      </c>
      <c r="G10126" t="inlineStr">
        <is>
          <t>BOLLNÄS</t>
        </is>
      </c>
      <c r="H10126" t="inlineStr">
        <is>
          <t>Bergvik skog väst AB</t>
        </is>
      </c>
      <c r="I10126" t="n">
        <v>7.6</v>
      </c>
      <c r="J10126" t="n">
        <v>0</v>
      </c>
      <c r="K10126" t="n">
        <v>0</v>
      </c>
      <c r="L10126" t="n">
        <v>0</v>
      </c>
      <c r="M10126" t="n">
        <v>0</v>
      </c>
      <c r="N10126" t="n">
        <v>0</v>
      </c>
      <c r="O10126" t="n">
        <v>0</v>
      </c>
      <c r="P10126" t="n">
        <v>0</v>
      </c>
      <c r="Q10126" t="n">
        <v>0</v>
      </c>
      <c r="R10126" t="n">
        <v>0</v>
      </c>
      <c r="S10126" t="n">
        <v>0</v>
      </c>
      <c r="T10126" t="n">
        <v>0</v>
      </c>
      <c r="U10126" t="n">
        <v>0</v>
      </c>
      <c r="V10126" s="2" t="inlineStr"/>
    </row>
    <row r="10127" ht="15" customHeight="1">
      <c r="A10127" t="inlineStr">
        <is>
          <t>A 33877-2026</t>
        </is>
      </c>
      <c r="B10127" t="inlineStr">
        <is>
          <t>avverkningsanmälan</t>
        </is>
      </c>
      <c r="C10127" t="inlineStr">
        <is>
          <t>Föryngringsavverkning</t>
        </is>
      </c>
      <c r="D10127" s="1" t="n">
        <v>46251</v>
      </c>
      <c r="E10127" s="1" t="n">
        <v>46326</v>
      </c>
      <c r="F10127" t="inlineStr">
        <is>
          <t>GÄVLEBORGS LÄN</t>
        </is>
      </c>
      <c r="G10127" t="inlineStr">
        <is>
          <t>SANDVIKEN</t>
        </is>
      </c>
      <c r="H10127" t="inlineStr">
        <is>
          <t>Sveaskog</t>
        </is>
      </c>
      <c r="I10127" t="n">
        <v>1.3</v>
      </c>
      <c r="J10127" t="n">
        <v>0</v>
      </c>
      <c r="K10127" t="n">
        <v>0</v>
      </c>
      <c r="L10127" t="n">
        <v>0</v>
      </c>
      <c r="M10127" t="n">
        <v>0</v>
      </c>
      <c r="N10127" t="n">
        <v>0</v>
      </c>
      <c r="O10127" t="n">
        <v>0</v>
      </c>
      <c r="P10127" t="n">
        <v>0</v>
      </c>
      <c r="Q10127" t="n">
        <v>0</v>
      </c>
      <c r="R10127" t="n">
        <v>0</v>
      </c>
      <c r="S10127" t="n">
        <v>0</v>
      </c>
      <c r="T10127" t="n">
        <v>0</v>
      </c>
      <c r="U10127" t="n">
        <v>0</v>
      </c>
      <c r="V10127" s="2" t="inlineStr"/>
    </row>
    <row r="10128" ht="15" customHeight="1">
      <c r="A10128" t="inlineStr">
        <is>
          <t>A 64579-2023</t>
        </is>
      </c>
      <c r="B10128" t="inlineStr">
        <is>
          <t>avverkningsanmälan</t>
        </is>
      </c>
      <c r="C10128" t="inlineStr">
        <is>
          <t>Avverkning för annat ändamål</t>
        </is>
      </c>
      <c r="D10128" s="1" t="n">
        <v>45281</v>
      </c>
      <c r="E10128" s="1" t="n">
        <v>46326</v>
      </c>
      <c r="F10128" t="inlineStr">
        <is>
          <t>GÄVLEBORGS LÄN</t>
        </is>
      </c>
      <c r="G10128" t="inlineStr">
        <is>
          <t>HUDIKSVALL</t>
        </is>
      </c>
      <c r="I10128" t="n">
        <v>1.4</v>
      </c>
      <c r="J10128" t="n">
        <v>0</v>
      </c>
      <c r="K10128" t="n">
        <v>0</v>
      </c>
      <c r="L10128" t="n">
        <v>0</v>
      </c>
      <c r="M10128" t="n">
        <v>0</v>
      </c>
      <c r="N10128" t="n">
        <v>0</v>
      </c>
      <c r="O10128" t="n">
        <v>0</v>
      </c>
      <c r="P10128" t="n">
        <v>0</v>
      </c>
      <c r="Q10128" t="n">
        <v>0</v>
      </c>
      <c r="R10128" t="n">
        <v>0</v>
      </c>
      <c r="S10128" t="n">
        <v>0</v>
      </c>
      <c r="T10128" t="n">
        <v>0</v>
      </c>
      <c r="U10128" t="n">
        <v>0</v>
      </c>
      <c r="V10128" s="2" t="inlineStr"/>
    </row>
    <row r="10129" ht="15" customHeight="1">
      <c r="A10129" t="inlineStr">
        <is>
          <t>A 40252-2026</t>
        </is>
      </c>
      <c r="B10129" t="inlineStr">
        <is>
          <t>avverkningsanmälan</t>
        </is>
      </c>
      <c r="C10129" t="inlineStr">
        <is>
          <t>Föryngringsavverkning</t>
        </is>
      </c>
      <c r="D10129" s="1" t="n">
        <v>46294</v>
      </c>
      <c r="E10129" s="1" t="n">
        <v>46326</v>
      </c>
      <c r="F10129" t="inlineStr">
        <is>
          <t>GÄVLEBORGS LÄN</t>
        </is>
      </c>
      <c r="G10129" t="inlineStr">
        <is>
          <t>LJUSDAL</t>
        </is>
      </c>
      <c r="H10129" t="inlineStr">
        <is>
          <t>Holmen skog AB</t>
        </is>
      </c>
      <c r="I10129" t="n">
        <v>10</v>
      </c>
      <c r="J10129" t="n">
        <v>0</v>
      </c>
      <c r="K10129" t="n">
        <v>0</v>
      </c>
      <c r="L10129" t="n">
        <v>0</v>
      </c>
      <c r="M10129" t="n">
        <v>0</v>
      </c>
      <c r="N10129" t="n">
        <v>0</v>
      </c>
      <c r="O10129" t="n">
        <v>0</v>
      </c>
      <c r="P10129" t="n">
        <v>0</v>
      </c>
      <c r="Q10129" t="n">
        <v>0</v>
      </c>
      <c r="R10129" t="n">
        <v>0</v>
      </c>
      <c r="S10129" t="n">
        <v>0</v>
      </c>
      <c r="T10129" t="n">
        <v>0</v>
      </c>
      <c r="U10129" t="n">
        <v>0</v>
      </c>
      <c r="V10129" s="2" t="inlineStr"/>
    </row>
    <row r="10130" ht="15" customHeight="1">
      <c r="A10130" t="inlineStr">
        <is>
          <t>A 24398-2025</t>
        </is>
      </c>
      <c r="B10130" t="inlineStr">
        <is>
          <t>avverkningsanmälan</t>
        </is>
      </c>
      <c r="C10130" t="inlineStr">
        <is>
          <t>Föryngringsavverkning</t>
        </is>
      </c>
      <c r="D10130" s="1" t="n">
        <v>45797</v>
      </c>
      <c r="E10130" s="1" t="n">
        <v>46326</v>
      </c>
      <c r="F10130" t="inlineStr">
        <is>
          <t>GÄVLEBORGS LÄN</t>
        </is>
      </c>
      <c r="G10130" t="inlineStr">
        <is>
          <t>LJUSDAL</t>
        </is>
      </c>
      <c r="I10130" t="n">
        <v>3.5</v>
      </c>
      <c r="J10130" t="n">
        <v>0</v>
      </c>
      <c r="K10130" t="n">
        <v>0</v>
      </c>
      <c r="L10130" t="n">
        <v>0</v>
      </c>
      <c r="M10130" t="n">
        <v>0</v>
      </c>
      <c r="N10130" t="n">
        <v>0</v>
      </c>
      <c r="O10130" t="n">
        <v>0</v>
      </c>
      <c r="P10130" t="n">
        <v>0</v>
      </c>
      <c r="Q10130" t="n">
        <v>0</v>
      </c>
      <c r="R10130" t="n">
        <v>0</v>
      </c>
      <c r="S10130" t="n">
        <v>0</v>
      </c>
      <c r="T10130" t="n">
        <v>0</v>
      </c>
      <c r="U10130" t="n">
        <v>0</v>
      </c>
      <c r="V10130" s="2" t="inlineStr"/>
    </row>
    <row r="10131" ht="15" customHeight="1">
      <c r="A10131" t="inlineStr">
        <is>
          <t>A 8408-2026</t>
        </is>
      </c>
      <c r="B10131" t="inlineStr">
        <is>
          <t>avverkningsanmälan</t>
        </is>
      </c>
      <c r="C10131" t="inlineStr">
        <is>
          <t>Föryngringsavverkning</t>
        </is>
      </c>
      <c r="D10131" s="1" t="n">
        <v>46065</v>
      </c>
      <c r="E10131" s="1" t="n">
        <v>46326</v>
      </c>
      <c r="F10131" t="inlineStr">
        <is>
          <t>GÄVLEBORGS LÄN</t>
        </is>
      </c>
      <c r="G10131" t="inlineStr">
        <is>
          <t>OCKELBO</t>
        </is>
      </c>
      <c r="H10131" t="inlineStr">
        <is>
          <t>Bergvik skog väst AB</t>
        </is>
      </c>
      <c r="I10131" t="n">
        <v>1.9</v>
      </c>
      <c r="J10131" t="n">
        <v>0</v>
      </c>
      <c r="K10131" t="n">
        <v>0</v>
      </c>
      <c r="L10131" t="n">
        <v>0</v>
      </c>
      <c r="M10131" t="n">
        <v>0</v>
      </c>
      <c r="N10131" t="n">
        <v>0</v>
      </c>
      <c r="O10131" t="n">
        <v>0</v>
      </c>
      <c r="P10131" t="n">
        <v>0</v>
      </c>
      <c r="Q10131" t="n">
        <v>0</v>
      </c>
      <c r="R10131" t="n">
        <v>0</v>
      </c>
      <c r="S10131" t="n">
        <v>0</v>
      </c>
      <c r="T10131" t="n">
        <v>0</v>
      </c>
      <c r="U10131" t="n">
        <v>0</v>
      </c>
      <c r="V10131" s="2" t="inlineStr"/>
    </row>
    <row r="10132" ht="15" customHeight="1">
      <c r="A10132" t="inlineStr">
        <is>
          <t>A 9542-2026</t>
        </is>
      </c>
      <c r="B10132" t="inlineStr">
        <is>
          <t>avverkningsanmälan</t>
        </is>
      </c>
      <c r="C10132" t="inlineStr">
        <is>
          <t>Föryngringsavverkning</t>
        </is>
      </c>
      <c r="D10132" s="1" t="n">
        <v>46071</v>
      </c>
      <c r="E10132" s="1" t="n">
        <v>46326</v>
      </c>
      <c r="F10132" t="inlineStr">
        <is>
          <t>GÄVLEBORGS LÄN</t>
        </is>
      </c>
      <c r="G10132" t="inlineStr">
        <is>
          <t>OCKELBO</t>
        </is>
      </c>
      <c r="I10132" t="n">
        <v>1.2</v>
      </c>
      <c r="J10132" t="n">
        <v>0</v>
      </c>
      <c r="K10132" t="n">
        <v>0</v>
      </c>
      <c r="L10132" t="n">
        <v>0</v>
      </c>
      <c r="M10132" t="n">
        <v>0</v>
      </c>
      <c r="N10132" t="n">
        <v>0</v>
      </c>
      <c r="O10132" t="n">
        <v>0</v>
      </c>
      <c r="P10132" t="n">
        <v>0</v>
      </c>
      <c r="Q10132" t="n">
        <v>0</v>
      </c>
      <c r="R10132" t="n">
        <v>0</v>
      </c>
      <c r="S10132" t="n">
        <v>0</v>
      </c>
      <c r="T10132" t="n">
        <v>0</v>
      </c>
      <c r="U10132" t="n">
        <v>0</v>
      </c>
      <c r="V10132" s="2" t="inlineStr"/>
    </row>
    <row r="10133" ht="15" customHeight="1">
      <c r="A10133" t="inlineStr">
        <is>
          <t>A 14974-2026</t>
        </is>
      </c>
      <c r="B10133" t="inlineStr">
        <is>
          <t>avverkningsanmälan</t>
        </is>
      </c>
      <c r="C10133" t="inlineStr">
        <is>
          <t>Föryngringsavverkning</t>
        </is>
      </c>
      <c r="D10133" s="1" t="n">
        <v>46104</v>
      </c>
      <c r="E10133" s="1" t="n">
        <v>46326</v>
      </c>
      <c r="F10133" t="inlineStr">
        <is>
          <t>GÄVLEBORGS LÄN</t>
        </is>
      </c>
      <c r="G10133" t="inlineStr">
        <is>
          <t>GÄVLE</t>
        </is>
      </c>
      <c r="I10133" t="n">
        <v>1.7</v>
      </c>
      <c r="J10133" t="n">
        <v>0</v>
      </c>
      <c r="K10133" t="n">
        <v>0</v>
      </c>
      <c r="L10133" t="n">
        <v>0</v>
      </c>
      <c r="M10133" t="n">
        <v>0</v>
      </c>
      <c r="N10133" t="n">
        <v>0</v>
      </c>
      <c r="O10133" t="n">
        <v>0</v>
      </c>
      <c r="P10133" t="n">
        <v>0</v>
      </c>
      <c r="Q10133" t="n">
        <v>0</v>
      </c>
      <c r="R10133" t="n">
        <v>0</v>
      </c>
      <c r="S10133" t="n">
        <v>0</v>
      </c>
      <c r="T10133" t="n">
        <v>0</v>
      </c>
      <c r="U10133" t="n">
        <v>0</v>
      </c>
      <c r="V10133" s="2" t="inlineStr"/>
    </row>
    <row r="10134" ht="15" customHeight="1">
      <c r="A10134" t="inlineStr">
        <is>
          <t>A 19926-2026</t>
        </is>
      </c>
      <c r="B10134" t="inlineStr">
        <is>
          <t>avverkningsanmälan</t>
        </is>
      </c>
      <c r="C10134" t="inlineStr">
        <is>
          <t>Föryngringsavverkning</t>
        </is>
      </c>
      <c r="D10134" s="1" t="n">
        <v>46136</v>
      </c>
      <c r="E10134" s="1" t="n">
        <v>46326</v>
      </c>
      <c r="F10134" t="inlineStr">
        <is>
          <t>GÄVLEBORGS LÄN</t>
        </is>
      </c>
      <c r="G10134" t="inlineStr">
        <is>
          <t>BOLLNÄS</t>
        </is>
      </c>
      <c r="I10134" t="n">
        <v>1.8</v>
      </c>
      <c r="J10134" t="n">
        <v>0</v>
      </c>
      <c r="K10134" t="n">
        <v>0</v>
      </c>
      <c r="L10134" t="n">
        <v>0</v>
      </c>
      <c r="M10134" t="n">
        <v>0</v>
      </c>
      <c r="N10134" t="n">
        <v>0</v>
      </c>
      <c r="O10134" t="n">
        <v>0</v>
      </c>
      <c r="P10134" t="n">
        <v>0</v>
      </c>
      <c r="Q10134" t="n">
        <v>0</v>
      </c>
      <c r="R10134" t="n">
        <v>0</v>
      </c>
      <c r="S10134" t="n">
        <v>0</v>
      </c>
      <c r="T10134" t="n">
        <v>0</v>
      </c>
      <c r="U10134" t="n">
        <v>0</v>
      </c>
      <c r="V10134" s="2" t="inlineStr"/>
    </row>
    <row r="10135" ht="15" customHeight="1">
      <c r="A10135" t="inlineStr">
        <is>
          <t>A 23117-2026</t>
        </is>
      </c>
      <c r="B10135" t="inlineStr">
        <is>
          <t>avverkningsanmälan</t>
        </is>
      </c>
      <c r="C10135" t="inlineStr">
        <is>
          <t>Föryngringsavverkning</t>
        </is>
      </c>
      <c r="D10135" s="1" t="n">
        <v>46161</v>
      </c>
      <c r="E10135" s="1" t="n">
        <v>46326</v>
      </c>
      <c r="F10135" t="inlineStr">
        <is>
          <t>GÄVLEBORGS LÄN</t>
        </is>
      </c>
      <c r="G10135" t="inlineStr">
        <is>
          <t>GÄVLE</t>
        </is>
      </c>
      <c r="H10135" t="inlineStr">
        <is>
          <t>Bergvik skog öst AB</t>
        </is>
      </c>
      <c r="I10135" t="n">
        <v>8</v>
      </c>
      <c r="J10135" t="n">
        <v>0</v>
      </c>
      <c r="K10135" t="n">
        <v>0</v>
      </c>
      <c r="L10135" t="n">
        <v>0</v>
      </c>
      <c r="M10135" t="n">
        <v>0</v>
      </c>
      <c r="N10135" t="n">
        <v>0</v>
      </c>
      <c r="O10135" t="n">
        <v>0</v>
      </c>
      <c r="P10135" t="n">
        <v>0</v>
      </c>
      <c r="Q10135" t="n">
        <v>0</v>
      </c>
      <c r="R10135" t="n">
        <v>0</v>
      </c>
      <c r="S10135" t="n">
        <v>0</v>
      </c>
      <c r="T10135" t="n">
        <v>0</v>
      </c>
      <c r="U10135" t="n">
        <v>0</v>
      </c>
      <c r="V10135" s="2" t="inlineStr"/>
    </row>
    <row r="10136" ht="15" customHeight="1">
      <c r="A10136" t="inlineStr">
        <is>
          <t>A 19643-2026</t>
        </is>
      </c>
      <c r="B10136" t="inlineStr">
        <is>
          <t>avverkningsanmälan</t>
        </is>
      </c>
      <c r="C10136" t="inlineStr">
        <is>
          <t>Föryngringsavverkning</t>
        </is>
      </c>
      <c r="D10136" s="1" t="n">
        <v>46134</v>
      </c>
      <c r="E10136" s="1" t="n">
        <v>46326</v>
      </c>
      <c r="F10136" t="inlineStr">
        <is>
          <t>GÄVLEBORGS LÄN</t>
        </is>
      </c>
      <c r="G10136" t="inlineStr">
        <is>
          <t>BOLLNÄS</t>
        </is>
      </c>
      <c r="I10136" t="n">
        <v>3</v>
      </c>
      <c r="J10136" t="n">
        <v>0</v>
      </c>
      <c r="K10136" t="n">
        <v>0</v>
      </c>
      <c r="L10136" t="n">
        <v>0</v>
      </c>
      <c r="M10136" t="n">
        <v>0</v>
      </c>
      <c r="N10136" t="n">
        <v>0</v>
      </c>
      <c r="O10136" t="n">
        <v>0</v>
      </c>
      <c r="P10136" t="n">
        <v>0</v>
      </c>
      <c r="Q10136" t="n">
        <v>0</v>
      </c>
      <c r="R10136" t="n">
        <v>0</v>
      </c>
      <c r="S10136" t="n">
        <v>0</v>
      </c>
      <c r="T10136" t="n">
        <v>0</v>
      </c>
      <c r="U10136" t="n">
        <v>0</v>
      </c>
      <c r="V10136" s="2" t="inlineStr"/>
    </row>
    <row r="10137" ht="15" customHeight="1">
      <c r="A10137" t="inlineStr">
        <is>
          <t>A 23897-2026</t>
        </is>
      </c>
      <c r="B10137" t="inlineStr">
        <is>
          <t>avverkningsanmälan</t>
        </is>
      </c>
      <c r="C10137" t="inlineStr">
        <is>
          <t>Föryngringsavverkning</t>
        </is>
      </c>
      <c r="D10137" s="1" t="n">
        <v>46167</v>
      </c>
      <c r="E10137" s="1" t="n">
        <v>46326</v>
      </c>
      <c r="F10137" t="inlineStr">
        <is>
          <t>GÄVLEBORGS LÄN</t>
        </is>
      </c>
      <c r="G10137" t="inlineStr">
        <is>
          <t>BOLLNÄS</t>
        </is>
      </c>
      <c r="I10137" t="n">
        <v>3.2</v>
      </c>
      <c r="J10137" t="n">
        <v>0</v>
      </c>
      <c r="K10137" t="n">
        <v>0</v>
      </c>
      <c r="L10137" t="n">
        <v>0</v>
      </c>
      <c r="M10137" t="n">
        <v>0</v>
      </c>
      <c r="N10137" t="n">
        <v>0</v>
      </c>
      <c r="O10137" t="n">
        <v>0</v>
      </c>
      <c r="P10137" t="n">
        <v>0</v>
      </c>
      <c r="Q10137" t="n">
        <v>0</v>
      </c>
      <c r="R10137" t="n">
        <v>0</v>
      </c>
      <c r="S10137" t="n">
        <v>0</v>
      </c>
      <c r="T10137" t="n">
        <v>0</v>
      </c>
      <c r="U10137" t="n">
        <v>0</v>
      </c>
      <c r="V10137" s="2" t="inlineStr"/>
    </row>
    <row r="10138" ht="15" customHeight="1">
      <c r="A10138" t="inlineStr">
        <is>
          <t>A 15403-2022</t>
        </is>
      </c>
      <c r="B10138" t="inlineStr">
        <is>
          <t>avverkningsanmälan</t>
        </is>
      </c>
      <c r="C10138" t="inlineStr">
        <is>
          <t>Föryngringsavverkning</t>
        </is>
      </c>
      <c r="D10138" s="1" t="n">
        <v>44659</v>
      </c>
      <c r="E10138" s="1" t="n">
        <v>46326</v>
      </c>
      <c r="F10138" t="inlineStr">
        <is>
          <t>GÄVLEBORGS LÄN</t>
        </is>
      </c>
      <c r="G10138" t="inlineStr">
        <is>
          <t>OCKELBO</t>
        </is>
      </c>
      <c r="I10138" t="n">
        <v>1.6</v>
      </c>
      <c r="J10138" t="n">
        <v>0</v>
      </c>
      <c r="K10138" t="n">
        <v>0</v>
      </c>
      <c r="L10138" t="n">
        <v>0</v>
      </c>
      <c r="M10138" t="n">
        <v>0</v>
      </c>
      <c r="N10138" t="n">
        <v>0</v>
      </c>
      <c r="O10138" t="n">
        <v>0</v>
      </c>
      <c r="P10138" t="n">
        <v>0</v>
      </c>
      <c r="Q10138" t="n">
        <v>0</v>
      </c>
      <c r="R10138" t="n">
        <v>0</v>
      </c>
      <c r="S10138" t="n">
        <v>0</v>
      </c>
      <c r="T10138" t="n">
        <v>0</v>
      </c>
      <c r="U10138" t="n">
        <v>0</v>
      </c>
      <c r="V10138" s="2" t="inlineStr"/>
    </row>
    <row r="10139" ht="15" customHeight="1">
      <c r="A10139" t="inlineStr">
        <is>
          <t>A 40593-2026</t>
        </is>
      </c>
      <c r="B10139" t="inlineStr">
        <is>
          <t>avverkningsanmälan</t>
        </is>
      </c>
      <c r="C10139" t="inlineStr">
        <is>
          <t>Föryngringsavverkning</t>
        </is>
      </c>
      <c r="D10139" s="1" t="n">
        <v>46295</v>
      </c>
      <c r="E10139" s="1" t="n">
        <v>46326</v>
      </c>
      <c r="F10139" t="inlineStr">
        <is>
          <t>GÄVLEBORGS LÄN</t>
        </is>
      </c>
      <c r="G10139" t="inlineStr">
        <is>
          <t>LJUSDAL</t>
        </is>
      </c>
      <c r="H10139" t="inlineStr">
        <is>
          <t>Sveaskog</t>
        </is>
      </c>
      <c r="I10139" t="n">
        <v>3</v>
      </c>
      <c r="J10139" t="n">
        <v>0</v>
      </c>
      <c r="K10139" t="n">
        <v>0</v>
      </c>
      <c r="L10139" t="n">
        <v>0</v>
      </c>
      <c r="M10139" t="n">
        <v>0</v>
      </c>
      <c r="N10139" t="n">
        <v>0</v>
      </c>
      <c r="O10139" t="n">
        <v>0</v>
      </c>
      <c r="P10139" t="n">
        <v>0</v>
      </c>
      <c r="Q10139" t="n">
        <v>0</v>
      </c>
      <c r="R10139" t="n">
        <v>0</v>
      </c>
      <c r="S10139" t="n">
        <v>0</v>
      </c>
      <c r="T10139" t="n">
        <v>0</v>
      </c>
      <c r="U10139" t="n">
        <v>0</v>
      </c>
      <c r="V10139" s="2" t="inlineStr"/>
    </row>
    <row r="10140" ht="15" customHeight="1">
      <c r="A10140" t="inlineStr">
        <is>
          <t>A 20166-2022</t>
        </is>
      </c>
      <c r="B10140" t="inlineStr">
        <is>
          <t>avverkningsanmälan</t>
        </is>
      </c>
      <c r="C10140" t="inlineStr">
        <is>
          <t>Föryngringsavverkning</t>
        </is>
      </c>
      <c r="D10140" s="1" t="n">
        <v>44698</v>
      </c>
      <c r="E10140" s="1" t="n">
        <v>46326</v>
      </c>
      <c r="F10140" t="inlineStr">
        <is>
          <t>GÄVLEBORGS LÄN</t>
        </is>
      </c>
      <c r="G10140" t="inlineStr">
        <is>
          <t>SÖDERHAMN</t>
        </is>
      </c>
      <c r="I10140" t="n">
        <v>0.7</v>
      </c>
      <c r="J10140" t="n">
        <v>0</v>
      </c>
      <c r="K10140" t="n">
        <v>0</v>
      </c>
      <c r="L10140" t="n">
        <v>0</v>
      </c>
      <c r="M10140" t="n">
        <v>0</v>
      </c>
      <c r="N10140" t="n">
        <v>0</v>
      </c>
      <c r="O10140" t="n">
        <v>0</v>
      </c>
      <c r="P10140" t="n">
        <v>0</v>
      </c>
      <c r="Q10140" t="n">
        <v>0</v>
      </c>
      <c r="R10140" t="n">
        <v>0</v>
      </c>
      <c r="S10140" t="n">
        <v>0</v>
      </c>
      <c r="T10140" t="n">
        <v>0</v>
      </c>
      <c r="U10140" t="n">
        <v>0</v>
      </c>
      <c r="V10140" s="2" t="inlineStr"/>
    </row>
    <row r="10141" ht="15" customHeight="1">
      <c r="A10141" t="inlineStr">
        <is>
          <t>A 25187-2023</t>
        </is>
      </c>
      <c r="B10141" t="inlineStr">
        <is>
          <t>avverkningsanmälan</t>
        </is>
      </c>
      <c r="C10141" t="inlineStr">
        <is>
          <t>Föryngringsavverkning</t>
        </is>
      </c>
      <c r="D10141" s="1" t="n">
        <v>45086</v>
      </c>
      <c r="E10141" s="1" t="n">
        <v>46326</v>
      </c>
      <c r="F10141" t="inlineStr">
        <is>
          <t>GÄVLEBORGS LÄN</t>
        </is>
      </c>
      <c r="G10141" t="inlineStr">
        <is>
          <t>OVANÅKER</t>
        </is>
      </c>
      <c r="I10141" t="n">
        <v>1.5</v>
      </c>
      <c r="J10141" t="n">
        <v>0</v>
      </c>
      <c r="K10141" t="n">
        <v>0</v>
      </c>
      <c r="L10141" t="n">
        <v>0</v>
      </c>
      <c r="M10141" t="n">
        <v>0</v>
      </c>
      <c r="N10141" t="n">
        <v>0</v>
      </c>
      <c r="O10141" t="n">
        <v>0</v>
      </c>
      <c r="P10141" t="n">
        <v>0</v>
      </c>
      <c r="Q10141" t="n">
        <v>0</v>
      </c>
      <c r="R10141" t="n">
        <v>0</v>
      </c>
      <c r="S10141" t="n">
        <v>0</v>
      </c>
      <c r="T10141" t="n">
        <v>0</v>
      </c>
      <c r="U10141" t="n">
        <v>0</v>
      </c>
      <c r="V10141" s="2" t="inlineStr"/>
    </row>
    <row r="10142" ht="15" customHeight="1">
      <c r="A10142" t="inlineStr">
        <is>
          <t>A 53624-2024</t>
        </is>
      </c>
      <c r="B10142" t="inlineStr">
        <is>
          <t>avverkningsanmälan</t>
        </is>
      </c>
      <c r="C10142" t="inlineStr">
        <is>
          <t>Avverkning för annat ändamål</t>
        </is>
      </c>
      <c r="D10142" s="1" t="n">
        <v>45614</v>
      </c>
      <c r="E10142" s="1" t="n">
        <v>46326</v>
      </c>
      <c r="F10142" t="inlineStr">
        <is>
          <t>GÄVLEBORGS LÄN</t>
        </is>
      </c>
      <c r="G10142" t="inlineStr">
        <is>
          <t>HUDIKSVALL</t>
        </is>
      </c>
      <c r="I10142" t="n">
        <v>1.8</v>
      </c>
      <c r="J10142" t="n">
        <v>0</v>
      </c>
      <c r="K10142" t="n">
        <v>0</v>
      </c>
      <c r="L10142" t="n">
        <v>0</v>
      </c>
      <c r="M10142" t="n">
        <v>0</v>
      </c>
      <c r="N10142" t="n">
        <v>0</v>
      </c>
      <c r="O10142" t="n">
        <v>0</v>
      </c>
      <c r="P10142" t="n">
        <v>0</v>
      </c>
      <c r="Q10142" t="n">
        <v>0</v>
      </c>
      <c r="R10142" t="n">
        <v>0</v>
      </c>
      <c r="S10142" t="n">
        <v>0</v>
      </c>
      <c r="T10142" t="n">
        <v>0</v>
      </c>
      <c r="U10142" t="n">
        <v>0</v>
      </c>
      <c r="V10142" s="2" t="inlineStr"/>
    </row>
    <row r="10143" ht="15" customHeight="1">
      <c r="A10143" t="inlineStr">
        <is>
          <t>A 24314-2025</t>
        </is>
      </c>
      <c r="B10143" t="inlineStr">
        <is>
          <t>avverkningsanmälan</t>
        </is>
      </c>
      <c r="C10143" t="inlineStr">
        <is>
          <t>Föryngringsavverkning</t>
        </is>
      </c>
      <c r="D10143" s="1" t="n">
        <v>45797</v>
      </c>
      <c r="E10143" s="1" t="n">
        <v>46326</v>
      </c>
      <c r="F10143" t="inlineStr">
        <is>
          <t>GÄVLEBORGS LÄN</t>
        </is>
      </c>
      <c r="G10143" t="inlineStr">
        <is>
          <t>BOLLNÄS</t>
        </is>
      </c>
      <c r="I10143" t="n">
        <v>3.9</v>
      </c>
      <c r="J10143" t="n">
        <v>0</v>
      </c>
      <c r="K10143" t="n">
        <v>0</v>
      </c>
      <c r="L10143" t="n">
        <v>0</v>
      </c>
      <c r="M10143" t="n">
        <v>0</v>
      </c>
      <c r="N10143" t="n">
        <v>0</v>
      </c>
      <c r="O10143" t="n">
        <v>0</v>
      </c>
      <c r="P10143" t="n">
        <v>0</v>
      </c>
      <c r="Q10143" t="n">
        <v>0</v>
      </c>
      <c r="R10143" t="n">
        <v>0</v>
      </c>
      <c r="S10143" t="n">
        <v>0</v>
      </c>
      <c r="T10143" t="n">
        <v>0</v>
      </c>
      <c r="U10143" t="n">
        <v>0</v>
      </c>
      <c r="V10143" s="2" t="inlineStr"/>
    </row>
    <row r="10144" ht="15" customHeight="1">
      <c r="A10144" t="inlineStr">
        <is>
          <t>A 22601-2026</t>
        </is>
      </c>
      <c r="B10144" t="inlineStr">
        <is>
          <t>avverkningsanmälan</t>
        </is>
      </c>
      <c r="C10144" t="inlineStr">
        <is>
          <t>Föryngringsavverkning</t>
        </is>
      </c>
      <c r="D10144" s="1" t="n">
        <v>46155</v>
      </c>
      <c r="E10144" s="1" t="n">
        <v>46326</v>
      </c>
      <c r="F10144" t="inlineStr">
        <is>
          <t>GÄVLEBORGS LÄN</t>
        </is>
      </c>
      <c r="G10144" t="inlineStr">
        <is>
          <t>BOLLNÄS</t>
        </is>
      </c>
      <c r="I10144" t="n">
        <v>3.2</v>
      </c>
      <c r="J10144" t="n">
        <v>0</v>
      </c>
      <c r="K10144" t="n">
        <v>0</v>
      </c>
      <c r="L10144" t="n">
        <v>0</v>
      </c>
      <c r="M10144" t="n">
        <v>0</v>
      </c>
      <c r="N10144" t="n">
        <v>0</v>
      </c>
      <c r="O10144" t="n">
        <v>0</v>
      </c>
      <c r="P10144" t="n">
        <v>0</v>
      </c>
      <c r="Q10144" t="n">
        <v>0</v>
      </c>
      <c r="R10144" t="n">
        <v>0</v>
      </c>
      <c r="S10144" t="n">
        <v>0</v>
      </c>
      <c r="T10144" t="n">
        <v>0</v>
      </c>
      <c r="U10144" t="n">
        <v>0</v>
      </c>
      <c r="V10144" s="2" t="inlineStr"/>
    </row>
    <row r="10145" ht="15" customHeight="1">
      <c r="A10145" t="inlineStr">
        <is>
          <t>A 23228-2026</t>
        </is>
      </c>
      <c r="B10145" t="inlineStr">
        <is>
          <t>avverkningsanmälan</t>
        </is>
      </c>
      <c r="C10145" t="inlineStr">
        <is>
          <t>Föryngringsavverkning</t>
        </is>
      </c>
      <c r="D10145" s="1" t="n">
        <v>46162</v>
      </c>
      <c r="E10145" s="1" t="n">
        <v>46326</v>
      </c>
      <c r="F10145" t="inlineStr">
        <is>
          <t>GÄVLEBORGS LÄN</t>
        </is>
      </c>
      <c r="G10145" t="inlineStr">
        <is>
          <t>SANDVIKEN</t>
        </is>
      </c>
      <c r="H10145" t="inlineStr">
        <is>
          <t>Bergvik skog öst AB</t>
        </is>
      </c>
      <c r="I10145" t="n">
        <v>2.9</v>
      </c>
      <c r="J10145" t="n">
        <v>0</v>
      </c>
      <c r="K10145" t="n">
        <v>0</v>
      </c>
      <c r="L10145" t="n">
        <v>0</v>
      </c>
      <c r="M10145" t="n">
        <v>0</v>
      </c>
      <c r="N10145" t="n">
        <v>0</v>
      </c>
      <c r="O10145" t="n">
        <v>0</v>
      </c>
      <c r="P10145" t="n">
        <v>0</v>
      </c>
      <c r="Q10145" t="n">
        <v>0</v>
      </c>
      <c r="R10145" t="n">
        <v>0</v>
      </c>
      <c r="S10145" t="n">
        <v>0</v>
      </c>
      <c r="T10145" t="n">
        <v>0</v>
      </c>
      <c r="U10145" t="n">
        <v>0</v>
      </c>
      <c r="V10145" s="2" t="inlineStr"/>
    </row>
    <row r="10146" ht="15" customHeight="1">
      <c r="A10146" t="inlineStr">
        <is>
          <t>A 23256-2026</t>
        </is>
      </c>
      <c r="B10146" t="inlineStr">
        <is>
          <t>avverkningsanmälan</t>
        </is>
      </c>
      <c r="C10146" t="inlineStr">
        <is>
          <t>Föryngringsavverkning</t>
        </is>
      </c>
      <c r="D10146" s="1" t="n">
        <v>46162</v>
      </c>
      <c r="E10146" s="1" t="n">
        <v>46326</v>
      </c>
      <c r="F10146" t="inlineStr">
        <is>
          <t>GÄVLEBORGS LÄN</t>
        </is>
      </c>
      <c r="G10146" t="inlineStr">
        <is>
          <t>BOLLNÄS</t>
        </is>
      </c>
      <c r="I10146" t="n">
        <v>7</v>
      </c>
      <c r="J10146" t="n">
        <v>0</v>
      </c>
      <c r="K10146" t="n">
        <v>0</v>
      </c>
      <c r="L10146" t="n">
        <v>0</v>
      </c>
      <c r="M10146" t="n">
        <v>0</v>
      </c>
      <c r="N10146" t="n">
        <v>0</v>
      </c>
      <c r="O10146" t="n">
        <v>0</v>
      </c>
      <c r="P10146" t="n">
        <v>0</v>
      </c>
      <c r="Q10146" t="n">
        <v>0</v>
      </c>
      <c r="R10146" t="n">
        <v>0</v>
      </c>
      <c r="S10146" t="n">
        <v>0</v>
      </c>
      <c r="T10146" t="n">
        <v>0</v>
      </c>
      <c r="U10146" t="n">
        <v>0</v>
      </c>
      <c r="V10146" s="2" t="inlineStr"/>
    </row>
    <row r="10147" ht="15" customHeight="1">
      <c r="A10147" t="inlineStr">
        <is>
          <t>A 39075-2026</t>
        </is>
      </c>
      <c r="B10147" t="inlineStr">
        <is>
          <t>avverkningsanmälan</t>
        </is>
      </c>
      <c r="C10147" t="inlineStr">
        <is>
          <t>Föryngringsavverkning</t>
        </is>
      </c>
      <c r="D10147" s="1" t="n">
        <v>46287</v>
      </c>
      <c r="E10147" s="1" t="n">
        <v>46326</v>
      </c>
      <c r="F10147" t="inlineStr">
        <is>
          <t>GÄVLEBORGS LÄN</t>
        </is>
      </c>
      <c r="G10147" t="inlineStr">
        <is>
          <t>LJUSDAL</t>
        </is>
      </c>
      <c r="I10147" t="n">
        <v>0.6</v>
      </c>
      <c r="J10147" t="n">
        <v>0</v>
      </c>
      <c r="K10147" t="n">
        <v>0</v>
      </c>
      <c r="L10147" t="n">
        <v>0</v>
      </c>
      <c r="M10147" t="n">
        <v>0</v>
      </c>
      <c r="N10147" t="n">
        <v>0</v>
      </c>
      <c r="O10147" t="n">
        <v>0</v>
      </c>
      <c r="P10147" t="n">
        <v>0</v>
      </c>
      <c r="Q10147" t="n">
        <v>0</v>
      </c>
      <c r="R10147" t="n">
        <v>0</v>
      </c>
      <c r="S10147" t="n">
        <v>0</v>
      </c>
      <c r="T10147" t="n">
        <v>0</v>
      </c>
      <c r="U10147" t="n">
        <v>0</v>
      </c>
      <c r="V10147" s="2" t="inlineStr"/>
    </row>
    <row r="10148" ht="15" customHeight="1">
      <c r="A10148" t="inlineStr">
        <is>
          <t>A 39077-2026</t>
        </is>
      </c>
      <c r="B10148" t="inlineStr">
        <is>
          <t>avverkningsanmälan</t>
        </is>
      </c>
      <c r="C10148" t="inlineStr">
        <is>
          <t>Föryngringsavverkning</t>
        </is>
      </c>
      <c r="D10148" s="1" t="n">
        <v>46287</v>
      </c>
      <c r="E10148" s="1" t="n">
        <v>46326</v>
      </c>
      <c r="F10148" t="inlineStr">
        <is>
          <t>GÄVLEBORGS LÄN</t>
        </is>
      </c>
      <c r="G10148" t="inlineStr">
        <is>
          <t>BOLLNÄS</t>
        </is>
      </c>
      <c r="I10148" t="n">
        <v>1.5</v>
      </c>
      <c r="J10148" t="n">
        <v>0</v>
      </c>
      <c r="K10148" t="n">
        <v>0</v>
      </c>
      <c r="L10148" t="n">
        <v>0</v>
      </c>
      <c r="M10148" t="n">
        <v>0</v>
      </c>
      <c r="N10148" t="n">
        <v>0</v>
      </c>
      <c r="O10148" t="n">
        <v>0</v>
      </c>
      <c r="P10148" t="n">
        <v>0</v>
      </c>
      <c r="Q10148" t="n">
        <v>0</v>
      </c>
      <c r="R10148" t="n">
        <v>0</v>
      </c>
      <c r="S10148" t="n">
        <v>0</v>
      </c>
      <c r="T10148" t="n">
        <v>0</v>
      </c>
      <c r="U10148" t="n">
        <v>0</v>
      </c>
      <c r="V10148" s="2" t="inlineStr"/>
    </row>
    <row r="10149" ht="15" customHeight="1">
      <c r="A10149" t="inlineStr">
        <is>
          <t>A 34978-2024</t>
        </is>
      </c>
      <c r="B10149" t="inlineStr">
        <is>
          <t>avverkningsanmälan</t>
        </is>
      </c>
      <c r="C10149" t="inlineStr">
        <is>
          <t>Föryngringsavverkning</t>
        </is>
      </c>
      <c r="D10149" s="1" t="n">
        <v>45527</v>
      </c>
      <c r="E10149" s="1" t="n">
        <v>46326</v>
      </c>
      <c r="F10149" t="inlineStr">
        <is>
          <t>GÄVLEBORGS LÄN</t>
        </is>
      </c>
      <c r="G10149" t="inlineStr">
        <is>
          <t>SÖDERHAMN</t>
        </is>
      </c>
      <c r="I10149" t="n">
        <v>1.2</v>
      </c>
      <c r="J10149" t="n">
        <v>0</v>
      </c>
      <c r="K10149" t="n">
        <v>0</v>
      </c>
      <c r="L10149" t="n">
        <v>0</v>
      </c>
      <c r="M10149" t="n">
        <v>0</v>
      </c>
      <c r="N10149" t="n">
        <v>0</v>
      </c>
      <c r="O10149" t="n">
        <v>0</v>
      </c>
      <c r="P10149" t="n">
        <v>0</v>
      </c>
      <c r="Q10149" t="n">
        <v>0</v>
      </c>
      <c r="R10149" t="n">
        <v>0</v>
      </c>
      <c r="S10149" t="n">
        <v>0</v>
      </c>
      <c r="T10149" t="n">
        <v>0</v>
      </c>
      <c r="U10149" t="n">
        <v>0</v>
      </c>
      <c r="V10149" s="2" t="inlineStr"/>
    </row>
    <row r="10150" ht="15" customHeight="1">
      <c r="A10150" t="inlineStr">
        <is>
          <t>A 21789-2024</t>
        </is>
      </c>
      <c r="B10150" t="inlineStr">
        <is>
          <t>avverkningsanmälan</t>
        </is>
      </c>
      <c r="C10150" t="inlineStr">
        <is>
          <t>Föryngringsavverkning</t>
        </is>
      </c>
      <c r="D10150" s="1" t="n">
        <v>45442</v>
      </c>
      <c r="E10150" s="1" t="n">
        <v>46326</v>
      </c>
      <c r="F10150" t="inlineStr">
        <is>
          <t>GÄVLEBORGS LÄN</t>
        </is>
      </c>
      <c r="G10150" t="inlineStr">
        <is>
          <t>SÖDERHAMN</t>
        </is>
      </c>
      <c r="I10150" t="n">
        <v>2.3</v>
      </c>
      <c r="J10150" t="n">
        <v>0</v>
      </c>
      <c r="K10150" t="n">
        <v>0</v>
      </c>
      <c r="L10150" t="n">
        <v>0</v>
      </c>
      <c r="M10150" t="n">
        <v>0</v>
      </c>
      <c r="N10150" t="n">
        <v>0</v>
      </c>
      <c r="O10150" t="n">
        <v>0</v>
      </c>
      <c r="P10150" t="n">
        <v>0</v>
      </c>
      <c r="Q10150" t="n">
        <v>0</v>
      </c>
      <c r="R10150" t="n">
        <v>0</v>
      </c>
      <c r="S10150" t="n">
        <v>0</v>
      </c>
      <c r="T10150" t="n">
        <v>0</v>
      </c>
      <c r="U10150" t="n">
        <v>0</v>
      </c>
      <c r="V10150" s="2" t="inlineStr"/>
    </row>
    <row r="10151" ht="15" customHeight="1">
      <c r="A10151" t="inlineStr">
        <is>
          <t>A 23993-2025</t>
        </is>
      </c>
      <c r="B10151" t="inlineStr">
        <is>
          <t>avverkningsanmälan</t>
        </is>
      </c>
      <c r="C10151" t="inlineStr">
        <is>
          <t>Föryngringsavverkning</t>
        </is>
      </c>
      <c r="D10151" s="1" t="n">
        <v>45796</v>
      </c>
      <c r="E10151" s="1" t="n">
        <v>46326</v>
      </c>
      <c r="F10151" t="inlineStr">
        <is>
          <t>GÄVLEBORGS LÄN</t>
        </is>
      </c>
      <c r="G10151" t="inlineStr">
        <is>
          <t>NORDANSTIG</t>
        </is>
      </c>
      <c r="H10151" t="inlineStr">
        <is>
          <t>Holmen skog AB</t>
        </is>
      </c>
      <c r="I10151" t="n">
        <v>41.3</v>
      </c>
      <c r="J10151" t="n">
        <v>0</v>
      </c>
      <c r="K10151" t="n">
        <v>0</v>
      </c>
      <c r="L10151" t="n">
        <v>0</v>
      </c>
      <c r="M10151" t="n">
        <v>0</v>
      </c>
      <c r="N10151" t="n">
        <v>0</v>
      </c>
      <c r="O10151" t="n">
        <v>0</v>
      </c>
      <c r="P10151" t="n">
        <v>0</v>
      </c>
      <c r="Q10151" t="n">
        <v>0</v>
      </c>
      <c r="R10151" t="n">
        <v>0</v>
      </c>
      <c r="S10151" t="n">
        <v>0</v>
      </c>
      <c r="T10151" t="n">
        <v>0</v>
      </c>
      <c r="U10151" t="n">
        <v>0</v>
      </c>
      <c r="V10151" s="2" t="inlineStr"/>
    </row>
    <row r="10152" ht="15" customHeight="1">
      <c r="A10152" t="inlineStr">
        <is>
          <t>A 21927-2024</t>
        </is>
      </c>
      <c r="B10152" t="inlineStr">
        <is>
          <t>avverkningsanmälan</t>
        </is>
      </c>
      <c r="C10152" t="inlineStr">
        <is>
          <t>Föryngringsavverkning</t>
        </is>
      </c>
      <c r="D10152" s="1" t="n">
        <v>45443</v>
      </c>
      <c r="E10152" s="1" t="n">
        <v>46326</v>
      </c>
      <c r="F10152" t="inlineStr">
        <is>
          <t>GÄVLEBORGS LÄN</t>
        </is>
      </c>
      <c r="G10152" t="inlineStr">
        <is>
          <t>HUDIKSVALL</t>
        </is>
      </c>
      <c r="H10152" t="inlineStr">
        <is>
          <t>Holmen skog AB</t>
        </is>
      </c>
      <c r="I10152" t="n">
        <v>1.2</v>
      </c>
      <c r="J10152" t="n">
        <v>0</v>
      </c>
      <c r="K10152" t="n">
        <v>0</v>
      </c>
      <c r="L10152" t="n">
        <v>0</v>
      </c>
      <c r="M10152" t="n">
        <v>0</v>
      </c>
      <c r="N10152" t="n">
        <v>0</v>
      </c>
      <c r="O10152" t="n">
        <v>0</v>
      </c>
      <c r="P10152" t="n">
        <v>0</v>
      </c>
      <c r="Q10152" t="n">
        <v>0</v>
      </c>
      <c r="R10152" t="n">
        <v>0</v>
      </c>
      <c r="S10152" t="n">
        <v>0</v>
      </c>
      <c r="T10152" t="n">
        <v>0</v>
      </c>
      <c r="U10152" t="n">
        <v>0</v>
      </c>
      <c r="V10152" s="2" t="inlineStr"/>
    </row>
    <row r="10153" ht="15" customHeight="1">
      <c r="A10153" t="inlineStr">
        <is>
          <t>A 40258-2026</t>
        </is>
      </c>
      <c r="B10153" t="inlineStr">
        <is>
          <t>avverkningsanmälan</t>
        </is>
      </c>
      <c r="C10153" t="inlineStr">
        <is>
          <t>Föryngringsavverkning</t>
        </is>
      </c>
      <c r="D10153" s="1" t="n">
        <v>46294</v>
      </c>
      <c r="E10153" s="1" t="n">
        <v>46326</v>
      </c>
      <c r="F10153" t="inlineStr">
        <is>
          <t>GÄVLEBORGS LÄN</t>
        </is>
      </c>
      <c r="G10153" t="inlineStr">
        <is>
          <t>OVANÅKER</t>
        </is>
      </c>
      <c r="H10153" t="inlineStr">
        <is>
          <t>Bergvik skog väst AB</t>
        </is>
      </c>
      <c r="I10153" t="n">
        <v>7.6</v>
      </c>
      <c r="J10153" t="n">
        <v>0</v>
      </c>
      <c r="K10153" t="n">
        <v>0</v>
      </c>
      <c r="L10153" t="n">
        <v>0</v>
      </c>
      <c r="M10153" t="n">
        <v>0</v>
      </c>
      <c r="N10153" t="n">
        <v>0</v>
      </c>
      <c r="O10153" t="n">
        <v>0</v>
      </c>
      <c r="P10153" t="n">
        <v>0</v>
      </c>
      <c r="Q10153" t="n">
        <v>0</v>
      </c>
      <c r="R10153" t="n">
        <v>0</v>
      </c>
      <c r="S10153" t="n">
        <v>0</v>
      </c>
      <c r="T10153" t="n">
        <v>0</v>
      </c>
      <c r="U10153" t="n">
        <v>0</v>
      </c>
      <c r="V10153" s="2" t="inlineStr"/>
    </row>
    <row r="10154" ht="15" customHeight="1">
      <c r="A10154" t="inlineStr">
        <is>
          <t>A 40281-2026</t>
        </is>
      </c>
      <c r="B10154" t="inlineStr">
        <is>
          <t>avverkningsanmälan</t>
        </is>
      </c>
      <c r="C10154" t="inlineStr">
        <is>
          <t>Föryngringsavverkning</t>
        </is>
      </c>
      <c r="D10154" s="1" t="n">
        <v>46294</v>
      </c>
      <c r="E10154" s="1" t="n">
        <v>46326</v>
      </c>
      <c r="F10154" t="inlineStr">
        <is>
          <t>GÄVLEBORGS LÄN</t>
        </is>
      </c>
      <c r="G10154" t="inlineStr">
        <is>
          <t>OVANÅKER</t>
        </is>
      </c>
      <c r="H10154" t="inlineStr">
        <is>
          <t>Bergvik skog väst AB</t>
        </is>
      </c>
      <c r="I10154" t="n">
        <v>3.2</v>
      </c>
      <c r="J10154" t="n">
        <v>0</v>
      </c>
      <c r="K10154" t="n">
        <v>0</v>
      </c>
      <c r="L10154" t="n">
        <v>0</v>
      </c>
      <c r="M10154" t="n">
        <v>0</v>
      </c>
      <c r="N10154" t="n">
        <v>0</v>
      </c>
      <c r="O10154" t="n">
        <v>0</v>
      </c>
      <c r="P10154" t="n">
        <v>0</v>
      </c>
      <c r="Q10154" t="n">
        <v>0</v>
      </c>
      <c r="R10154" t="n">
        <v>0</v>
      </c>
      <c r="S10154" t="n">
        <v>0</v>
      </c>
      <c r="T10154" t="n">
        <v>0</v>
      </c>
      <c r="U10154" t="n">
        <v>0</v>
      </c>
      <c r="V10154" s="2" t="inlineStr"/>
    </row>
    <row r="10155" ht="15" customHeight="1">
      <c r="A10155" t="inlineStr">
        <is>
          <t>A 8683-2026</t>
        </is>
      </c>
      <c r="B10155" t="inlineStr">
        <is>
          <t>avverkningsanmälan</t>
        </is>
      </c>
      <c r="C10155" t="inlineStr">
        <is>
          <t>Föryngringsavverkning</t>
        </is>
      </c>
      <c r="D10155" s="1" t="n">
        <v>46066</v>
      </c>
      <c r="E10155" s="1" t="n">
        <v>46326</v>
      </c>
      <c r="F10155" t="inlineStr">
        <is>
          <t>GÄVLEBORGS LÄN</t>
        </is>
      </c>
      <c r="G10155" t="inlineStr">
        <is>
          <t>OCKELBO</t>
        </is>
      </c>
      <c r="I10155" t="n">
        <v>6.4</v>
      </c>
      <c r="J10155" t="n">
        <v>0</v>
      </c>
      <c r="K10155" t="n">
        <v>0</v>
      </c>
      <c r="L10155" t="n">
        <v>0</v>
      </c>
      <c r="M10155" t="n">
        <v>0</v>
      </c>
      <c r="N10155" t="n">
        <v>0</v>
      </c>
      <c r="O10155" t="n">
        <v>0</v>
      </c>
      <c r="P10155" t="n">
        <v>0</v>
      </c>
      <c r="Q10155" t="n">
        <v>0</v>
      </c>
      <c r="R10155" t="n">
        <v>0</v>
      </c>
      <c r="S10155" t="n">
        <v>0</v>
      </c>
      <c r="T10155" t="n">
        <v>0</v>
      </c>
      <c r="U10155" t="n">
        <v>0</v>
      </c>
      <c r="V10155" s="2" t="inlineStr"/>
    </row>
    <row r="10156" ht="15" customHeight="1">
      <c r="A10156" t="inlineStr">
        <is>
          <t>A 10213-2026</t>
        </is>
      </c>
      <c r="B10156" t="inlineStr">
        <is>
          <t>avverkningsanmälan</t>
        </is>
      </c>
      <c r="C10156" t="inlineStr">
        <is>
          <t>Föryngringsavverkning</t>
        </is>
      </c>
      <c r="D10156" s="1" t="n">
        <v>46076</v>
      </c>
      <c r="E10156" s="1" t="n">
        <v>46326</v>
      </c>
      <c r="F10156" t="inlineStr">
        <is>
          <t>GÄVLEBORGS LÄN</t>
        </is>
      </c>
      <c r="G10156" t="inlineStr">
        <is>
          <t>BOLLNÄS</t>
        </is>
      </c>
      <c r="H10156" t="inlineStr">
        <is>
          <t>Bergvik skog väst AB</t>
        </is>
      </c>
      <c r="I10156" t="n">
        <v>3.6</v>
      </c>
      <c r="J10156" t="n">
        <v>0</v>
      </c>
      <c r="K10156" t="n">
        <v>0</v>
      </c>
      <c r="L10156" t="n">
        <v>0</v>
      </c>
      <c r="M10156" t="n">
        <v>0</v>
      </c>
      <c r="N10156" t="n">
        <v>0</v>
      </c>
      <c r="O10156" t="n">
        <v>0</v>
      </c>
      <c r="P10156" t="n">
        <v>0</v>
      </c>
      <c r="Q10156" t="n">
        <v>0</v>
      </c>
      <c r="R10156" t="n">
        <v>0</v>
      </c>
      <c r="S10156" t="n">
        <v>0</v>
      </c>
      <c r="T10156" t="n">
        <v>0</v>
      </c>
      <c r="U10156" t="n">
        <v>0</v>
      </c>
      <c r="V10156" s="2" t="inlineStr"/>
    </row>
    <row r="10157" ht="15" customHeight="1">
      <c r="A10157" t="inlineStr">
        <is>
          <t>A 45312-2023</t>
        </is>
      </c>
      <c r="B10157" t="inlineStr">
        <is>
          <t>avverkningsanmälan</t>
        </is>
      </c>
      <c r="C10157" t="inlineStr">
        <is>
          <t>Föryngringsavverkning</t>
        </is>
      </c>
      <c r="D10157" s="1" t="n">
        <v>45191</v>
      </c>
      <c r="E10157" s="1" t="n">
        <v>46326</v>
      </c>
      <c r="F10157" t="inlineStr">
        <is>
          <t>GÄVLEBORGS LÄN</t>
        </is>
      </c>
      <c r="G10157" t="inlineStr">
        <is>
          <t>NORDANSTIG</t>
        </is>
      </c>
      <c r="I10157" t="n">
        <v>1.6</v>
      </c>
      <c r="J10157" t="n">
        <v>0</v>
      </c>
      <c r="K10157" t="n">
        <v>0</v>
      </c>
      <c r="L10157" t="n">
        <v>0</v>
      </c>
      <c r="M10157" t="n">
        <v>0</v>
      </c>
      <c r="N10157" t="n">
        <v>0</v>
      </c>
      <c r="O10157" t="n">
        <v>0</v>
      </c>
      <c r="P10157" t="n">
        <v>0</v>
      </c>
      <c r="Q10157" t="n">
        <v>0</v>
      </c>
      <c r="R10157" t="n">
        <v>0</v>
      </c>
      <c r="S10157" t="n">
        <v>0</v>
      </c>
      <c r="T10157" t="n">
        <v>0</v>
      </c>
      <c r="U10157" t="n">
        <v>0</v>
      </c>
      <c r="V10157" s="2" t="inlineStr"/>
    </row>
    <row r="10158" ht="15" customHeight="1">
      <c r="A10158" t="inlineStr">
        <is>
          <t>A 48870-2023</t>
        </is>
      </c>
      <c r="B10158" t="inlineStr">
        <is>
          <t>avverkningsanmälan</t>
        </is>
      </c>
      <c r="C10158" t="inlineStr">
        <is>
          <t>Föryngringsavverkning</t>
        </is>
      </c>
      <c r="D10158" s="1" t="n">
        <v>45209</v>
      </c>
      <c r="E10158" s="1" t="n">
        <v>46326</v>
      </c>
      <c r="F10158" t="inlineStr">
        <is>
          <t>GÄVLEBORGS LÄN</t>
        </is>
      </c>
      <c r="G10158" t="inlineStr">
        <is>
          <t>LJUSDAL</t>
        </is>
      </c>
      <c r="I10158" t="n">
        <v>1.8</v>
      </c>
      <c r="J10158" t="n">
        <v>0</v>
      </c>
      <c r="K10158" t="n">
        <v>0</v>
      </c>
      <c r="L10158" t="n">
        <v>0</v>
      </c>
      <c r="M10158" t="n">
        <v>0</v>
      </c>
      <c r="N10158" t="n">
        <v>0</v>
      </c>
      <c r="O10158" t="n">
        <v>0</v>
      </c>
      <c r="P10158" t="n">
        <v>0</v>
      </c>
      <c r="Q10158" t="n">
        <v>0</v>
      </c>
      <c r="R10158" t="n">
        <v>0</v>
      </c>
      <c r="S10158" t="n">
        <v>0</v>
      </c>
      <c r="T10158" t="n">
        <v>0</v>
      </c>
      <c r="U10158" t="n">
        <v>0</v>
      </c>
      <c r="V10158" s="2" t="inlineStr"/>
    </row>
    <row r="10159" ht="15" customHeight="1">
      <c r="A10159" t="inlineStr">
        <is>
          <t>A 40356-2026</t>
        </is>
      </c>
      <c r="B10159" t="inlineStr">
        <is>
          <t>avverkningsanmälan</t>
        </is>
      </c>
      <c r="C10159" t="inlineStr">
        <is>
          <t>Föryngringsavverkning</t>
        </is>
      </c>
      <c r="D10159" s="1" t="n">
        <v>46294</v>
      </c>
      <c r="E10159" s="1" t="n">
        <v>46326</v>
      </c>
      <c r="F10159" t="inlineStr">
        <is>
          <t>GÄVLEBORGS LÄN</t>
        </is>
      </c>
      <c r="G10159" t="inlineStr">
        <is>
          <t>OVANÅKER</t>
        </is>
      </c>
      <c r="I10159" t="n">
        <v>11.1</v>
      </c>
      <c r="J10159" t="n">
        <v>0</v>
      </c>
      <c r="K10159" t="n">
        <v>0</v>
      </c>
      <c r="L10159" t="n">
        <v>0</v>
      </c>
      <c r="M10159" t="n">
        <v>0</v>
      </c>
      <c r="N10159" t="n">
        <v>0</v>
      </c>
      <c r="O10159" t="n">
        <v>0</v>
      </c>
      <c r="P10159" t="n">
        <v>0</v>
      </c>
      <c r="Q10159" t="n">
        <v>0</v>
      </c>
      <c r="R10159" t="n">
        <v>0</v>
      </c>
      <c r="S10159" t="n">
        <v>0</v>
      </c>
      <c r="T10159" t="n">
        <v>0</v>
      </c>
      <c r="U10159" t="n">
        <v>0</v>
      </c>
      <c r="V10159" s="2" t="inlineStr"/>
    </row>
    <row r="10160" ht="15" customHeight="1">
      <c r="A10160" t="inlineStr">
        <is>
          <t>A 40375-2026</t>
        </is>
      </c>
      <c r="B10160" t="inlineStr">
        <is>
          <t>avverkningsanmälan</t>
        </is>
      </c>
      <c r="C10160" t="inlineStr">
        <is>
          <t>Föryngringsavverkning</t>
        </is>
      </c>
      <c r="D10160" s="1" t="n">
        <v>46294</v>
      </c>
      <c r="E10160" s="1" t="n">
        <v>46326</v>
      </c>
      <c r="F10160" t="inlineStr">
        <is>
          <t>GÄVLEBORGS LÄN</t>
        </is>
      </c>
      <c r="G10160" t="inlineStr">
        <is>
          <t>GÄVLE</t>
        </is>
      </c>
      <c r="H10160" t="inlineStr">
        <is>
          <t>Bergvik skog väst AB</t>
        </is>
      </c>
      <c r="I10160" t="n">
        <v>0.8</v>
      </c>
      <c r="J10160" t="n">
        <v>0</v>
      </c>
      <c r="K10160" t="n">
        <v>0</v>
      </c>
      <c r="L10160" t="n">
        <v>0</v>
      </c>
      <c r="M10160" t="n">
        <v>0</v>
      </c>
      <c r="N10160" t="n">
        <v>0</v>
      </c>
      <c r="O10160" t="n">
        <v>0</v>
      </c>
      <c r="P10160" t="n">
        <v>0</v>
      </c>
      <c r="Q10160" t="n">
        <v>0</v>
      </c>
      <c r="R10160" t="n">
        <v>0</v>
      </c>
      <c r="S10160" t="n">
        <v>0</v>
      </c>
      <c r="T10160" t="n">
        <v>0</v>
      </c>
      <c r="U10160" t="n">
        <v>0</v>
      </c>
      <c r="V10160" s="2" t="inlineStr"/>
    </row>
    <row r="10161" ht="15" customHeight="1">
      <c r="A10161" t="inlineStr">
        <is>
          <t>A 2358-2025</t>
        </is>
      </c>
      <c r="B10161" t="inlineStr">
        <is>
          <t>avverkningsanmälan</t>
        </is>
      </c>
      <c r="C10161" t="inlineStr">
        <is>
          <t>Föryngringsavverkning</t>
        </is>
      </c>
      <c r="D10161" s="1" t="n">
        <v>45673</v>
      </c>
      <c r="E10161" s="1" t="n">
        <v>46326</v>
      </c>
      <c r="F10161" t="inlineStr">
        <is>
          <t>GÄVLEBORGS LÄN</t>
        </is>
      </c>
      <c r="G10161" t="inlineStr">
        <is>
          <t>SANDVIKEN</t>
        </is>
      </c>
      <c r="I10161" t="n">
        <v>0.9</v>
      </c>
      <c r="J10161" t="n">
        <v>0</v>
      </c>
      <c r="K10161" t="n">
        <v>0</v>
      </c>
      <c r="L10161" t="n">
        <v>0</v>
      </c>
      <c r="M10161" t="n">
        <v>0</v>
      </c>
      <c r="N10161" t="n">
        <v>0</v>
      </c>
      <c r="O10161" t="n">
        <v>0</v>
      </c>
      <c r="P10161" t="n">
        <v>0</v>
      </c>
      <c r="Q10161" t="n">
        <v>0</v>
      </c>
      <c r="R10161" t="n">
        <v>0</v>
      </c>
      <c r="S10161" t="n">
        <v>0</v>
      </c>
      <c r="T10161" t="n">
        <v>0</v>
      </c>
      <c r="U10161" t="n">
        <v>0</v>
      </c>
      <c r="V10161" s="2" t="inlineStr"/>
    </row>
    <row r="10162" ht="15" customHeight="1">
      <c r="A10162" t="inlineStr">
        <is>
          <t>A 40943-2026</t>
        </is>
      </c>
      <c r="B10162" t="inlineStr">
        <is>
          <t>avverkningsanmälan</t>
        </is>
      </c>
      <c r="C10162" t="inlineStr">
        <is>
          <t>Föryngringsavverkning</t>
        </is>
      </c>
      <c r="D10162" s="1" t="n">
        <v>46297</v>
      </c>
      <c r="E10162" s="1" t="n">
        <v>46326</v>
      </c>
      <c r="F10162" t="inlineStr">
        <is>
          <t>GÄVLEBORGS LÄN</t>
        </is>
      </c>
      <c r="G10162" t="inlineStr">
        <is>
          <t>GÄVLE</t>
        </is>
      </c>
      <c r="H10162" t="inlineStr">
        <is>
          <t>Bergvik skog öst AB</t>
        </is>
      </c>
      <c r="I10162" t="n">
        <v>1.5</v>
      </c>
      <c r="J10162" t="n">
        <v>0</v>
      </c>
      <c r="K10162" t="n">
        <v>0</v>
      </c>
      <c r="L10162" t="n">
        <v>0</v>
      </c>
      <c r="M10162" t="n">
        <v>0</v>
      </c>
      <c r="N10162" t="n">
        <v>0</v>
      </c>
      <c r="O10162" t="n">
        <v>0</v>
      </c>
      <c r="P10162" t="n">
        <v>0</v>
      </c>
      <c r="Q10162" t="n">
        <v>0</v>
      </c>
      <c r="R10162" t="n">
        <v>0</v>
      </c>
      <c r="S10162" t="n">
        <v>0</v>
      </c>
      <c r="T10162" t="n">
        <v>0</v>
      </c>
      <c r="U10162" t="n">
        <v>0</v>
      </c>
      <c r="V10162" s="2" t="inlineStr"/>
    </row>
    <row r="10163" ht="15" customHeight="1">
      <c r="A10163" t="inlineStr">
        <is>
          <t>A 40947-2026</t>
        </is>
      </c>
      <c r="B10163" t="inlineStr">
        <is>
          <t>avverkningsanmälan</t>
        </is>
      </c>
      <c r="C10163" t="inlineStr">
        <is>
          <t>Föryngringsavverkning</t>
        </is>
      </c>
      <c r="D10163" s="1" t="n">
        <v>46297</v>
      </c>
      <c r="E10163" s="1" t="n">
        <v>46326</v>
      </c>
      <c r="F10163" t="inlineStr">
        <is>
          <t>GÄVLEBORGS LÄN</t>
        </is>
      </c>
      <c r="G10163" t="inlineStr">
        <is>
          <t>GÄVLE</t>
        </is>
      </c>
      <c r="H10163" t="inlineStr">
        <is>
          <t>Bergvik skog öst AB</t>
        </is>
      </c>
      <c r="I10163" t="n">
        <v>1.7</v>
      </c>
      <c r="J10163" t="n">
        <v>0</v>
      </c>
      <c r="K10163" t="n">
        <v>0</v>
      </c>
      <c r="L10163" t="n">
        <v>0</v>
      </c>
      <c r="M10163" t="n">
        <v>0</v>
      </c>
      <c r="N10163" t="n">
        <v>0</v>
      </c>
      <c r="O10163" t="n">
        <v>0</v>
      </c>
      <c r="P10163" t="n">
        <v>0</v>
      </c>
      <c r="Q10163" t="n">
        <v>0</v>
      </c>
      <c r="R10163" t="n">
        <v>0</v>
      </c>
      <c r="S10163" t="n">
        <v>0</v>
      </c>
      <c r="T10163" t="n">
        <v>0</v>
      </c>
      <c r="U10163" t="n">
        <v>0</v>
      </c>
      <c r="V10163" s="2" t="inlineStr"/>
    </row>
    <row r="10164" ht="15" customHeight="1">
      <c r="A10164" t="inlineStr">
        <is>
          <t>A 44571-2024</t>
        </is>
      </c>
      <c r="B10164" t="inlineStr">
        <is>
          <t>avverkningsanmälan</t>
        </is>
      </c>
      <c r="C10164" t="inlineStr">
        <is>
          <t>Föryngringsavverkning</t>
        </is>
      </c>
      <c r="D10164" s="1" t="n">
        <v>45574</v>
      </c>
      <c r="E10164" s="1" t="n">
        <v>46326</v>
      </c>
      <c r="F10164" t="inlineStr">
        <is>
          <t>GÄVLEBORGS LÄN</t>
        </is>
      </c>
      <c r="G10164" t="inlineStr">
        <is>
          <t>OVANÅKER</t>
        </is>
      </c>
      <c r="I10164" t="n">
        <v>1.1</v>
      </c>
      <c r="J10164" t="n">
        <v>0</v>
      </c>
      <c r="K10164" t="n">
        <v>0</v>
      </c>
      <c r="L10164" t="n">
        <v>0</v>
      </c>
      <c r="M10164" t="n">
        <v>0</v>
      </c>
      <c r="N10164" t="n">
        <v>0</v>
      </c>
      <c r="O10164" t="n">
        <v>0</v>
      </c>
      <c r="P10164" t="n">
        <v>0</v>
      </c>
      <c r="Q10164" t="n">
        <v>0</v>
      </c>
      <c r="R10164" t="n">
        <v>0</v>
      </c>
      <c r="S10164" t="n">
        <v>0</v>
      </c>
      <c r="T10164" t="n">
        <v>0</v>
      </c>
      <c r="U10164" t="n">
        <v>0</v>
      </c>
      <c r="V10164" s="2" t="inlineStr"/>
    </row>
    <row r="10165" ht="15" customHeight="1">
      <c r="A10165" t="inlineStr">
        <is>
          <t>A 44577-2024</t>
        </is>
      </c>
      <c r="B10165" t="inlineStr">
        <is>
          <t>avverkningsanmälan</t>
        </is>
      </c>
      <c r="C10165" t="inlineStr">
        <is>
          <t>Föryngringsavverkning</t>
        </is>
      </c>
      <c r="D10165" s="1" t="n">
        <v>45574</v>
      </c>
      <c r="E10165" s="1" t="n">
        <v>46326</v>
      </c>
      <c r="F10165" t="inlineStr">
        <is>
          <t>GÄVLEBORGS LÄN</t>
        </is>
      </c>
      <c r="G10165" t="inlineStr">
        <is>
          <t>OVANÅKER</t>
        </is>
      </c>
      <c r="I10165" t="n">
        <v>1.1</v>
      </c>
      <c r="J10165" t="n">
        <v>0</v>
      </c>
      <c r="K10165" t="n">
        <v>0</v>
      </c>
      <c r="L10165" t="n">
        <v>0</v>
      </c>
      <c r="M10165" t="n">
        <v>0</v>
      </c>
      <c r="N10165" t="n">
        <v>0</v>
      </c>
      <c r="O10165" t="n">
        <v>0</v>
      </c>
      <c r="P10165" t="n">
        <v>0</v>
      </c>
      <c r="Q10165" t="n">
        <v>0</v>
      </c>
      <c r="R10165" t="n">
        <v>0</v>
      </c>
      <c r="S10165" t="n">
        <v>0</v>
      </c>
      <c r="T10165" t="n">
        <v>0</v>
      </c>
      <c r="U10165" t="n">
        <v>0</v>
      </c>
      <c r="V10165" s="2" t="inlineStr"/>
    </row>
    <row r="10166" ht="15" customHeight="1">
      <c r="A10166" t="inlineStr">
        <is>
          <t>A 24405-2025</t>
        </is>
      </c>
      <c r="B10166" t="inlineStr">
        <is>
          <t>avverkningsanmälan</t>
        </is>
      </c>
      <c r="C10166" t="inlineStr">
        <is>
          <t>Föryngringsavverkning</t>
        </is>
      </c>
      <c r="D10166" s="1" t="n">
        <v>45797</v>
      </c>
      <c r="E10166" s="1" t="n">
        <v>46326</v>
      </c>
      <c r="F10166" t="inlineStr">
        <is>
          <t>GÄVLEBORGS LÄN</t>
        </is>
      </c>
      <c r="G10166" t="inlineStr">
        <is>
          <t>LJUSDAL</t>
        </is>
      </c>
      <c r="I10166" t="n">
        <v>9.1</v>
      </c>
      <c r="J10166" t="n">
        <v>0</v>
      </c>
      <c r="K10166" t="n">
        <v>0</v>
      </c>
      <c r="L10166" t="n">
        <v>0</v>
      </c>
      <c r="M10166" t="n">
        <v>0</v>
      </c>
      <c r="N10166" t="n">
        <v>0</v>
      </c>
      <c r="O10166" t="n">
        <v>0</v>
      </c>
      <c r="P10166" t="n">
        <v>0</v>
      </c>
      <c r="Q10166" t="n">
        <v>0</v>
      </c>
      <c r="R10166" t="n">
        <v>0</v>
      </c>
      <c r="S10166" t="n">
        <v>0</v>
      </c>
      <c r="T10166" t="n">
        <v>0</v>
      </c>
      <c r="U10166" t="n">
        <v>0</v>
      </c>
      <c r="V10166" s="2" t="inlineStr"/>
    </row>
    <row r="10167" ht="15" customHeight="1">
      <c r="A10167" t="inlineStr">
        <is>
          <t>A 29162-2026</t>
        </is>
      </c>
      <c r="B10167" t="inlineStr">
        <is>
          <t>avverkningsanmälan</t>
        </is>
      </c>
      <c r="C10167" t="inlineStr">
        <is>
          <t>Föryngringsavverkning</t>
        </is>
      </c>
      <c r="D10167" s="1" t="n">
        <v>46202</v>
      </c>
      <c r="E10167" s="1" t="n">
        <v>46326</v>
      </c>
      <c r="F10167" t="inlineStr">
        <is>
          <t>GÄVLEBORGS LÄN</t>
        </is>
      </c>
      <c r="G10167" t="inlineStr">
        <is>
          <t>NORDANSTIG</t>
        </is>
      </c>
      <c r="I10167" t="n">
        <v>3.5</v>
      </c>
      <c r="J10167" t="n">
        <v>0</v>
      </c>
      <c r="K10167" t="n">
        <v>0</v>
      </c>
      <c r="L10167" t="n">
        <v>0</v>
      </c>
      <c r="M10167" t="n">
        <v>0</v>
      </c>
      <c r="N10167" t="n">
        <v>0</v>
      </c>
      <c r="O10167" t="n">
        <v>0</v>
      </c>
      <c r="P10167" t="n">
        <v>0</v>
      </c>
      <c r="Q10167" t="n">
        <v>0</v>
      </c>
      <c r="R10167" t="n">
        <v>0</v>
      </c>
      <c r="S10167" t="n">
        <v>0</v>
      </c>
      <c r="T10167" t="n">
        <v>0</v>
      </c>
      <c r="U10167" t="n">
        <v>0</v>
      </c>
      <c r="V10167" s="2" t="inlineStr"/>
    </row>
    <row r="10168" ht="15" customHeight="1">
      <c r="A10168" t="inlineStr">
        <is>
          <t>A 24228-2025</t>
        </is>
      </c>
      <c r="B10168" t="inlineStr">
        <is>
          <t>avverkningsanmälan</t>
        </is>
      </c>
      <c r="C10168" t="inlineStr">
        <is>
          <t>Föryngringsavverkning</t>
        </is>
      </c>
      <c r="D10168" s="1" t="n">
        <v>45797</v>
      </c>
      <c r="E10168" s="1" t="n">
        <v>46326</v>
      </c>
      <c r="F10168" t="inlineStr">
        <is>
          <t>GÄVLEBORGS LÄN</t>
        </is>
      </c>
      <c r="G10168" t="inlineStr">
        <is>
          <t>GÄVLE</t>
        </is>
      </c>
      <c r="I10168" t="n">
        <v>0.4</v>
      </c>
      <c r="J10168" t="n">
        <v>0</v>
      </c>
      <c r="K10168" t="n">
        <v>0</v>
      </c>
      <c r="L10168" t="n">
        <v>0</v>
      </c>
      <c r="M10168" t="n">
        <v>0</v>
      </c>
      <c r="N10168" t="n">
        <v>0</v>
      </c>
      <c r="O10168" t="n">
        <v>0</v>
      </c>
      <c r="P10168" t="n">
        <v>0</v>
      </c>
      <c r="Q10168" t="n">
        <v>0</v>
      </c>
      <c r="R10168" t="n">
        <v>0</v>
      </c>
      <c r="S10168" t="n">
        <v>0</v>
      </c>
      <c r="T10168" t="n">
        <v>0</v>
      </c>
      <c r="U10168" t="n">
        <v>0</v>
      </c>
      <c r="V10168" s="2" t="inlineStr"/>
    </row>
    <row r="10169" ht="15" customHeight="1">
      <c r="A10169" t="inlineStr">
        <is>
          <t>A 52722-2024</t>
        </is>
      </c>
      <c r="B10169" t="inlineStr">
        <is>
          <t>avverkningsanmälan</t>
        </is>
      </c>
      <c r="C10169" t="inlineStr">
        <is>
          <t>Föryngringsavverkning</t>
        </is>
      </c>
      <c r="D10169" s="1" t="n">
        <v>45610</v>
      </c>
      <c r="E10169" s="1" t="n">
        <v>46326</v>
      </c>
      <c r="F10169" t="inlineStr">
        <is>
          <t>GÄVLEBORGS LÄN</t>
        </is>
      </c>
      <c r="G10169" t="inlineStr">
        <is>
          <t>LJUSDAL</t>
        </is>
      </c>
      <c r="I10169" t="n">
        <v>4.4</v>
      </c>
      <c r="J10169" t="n">
        <v>0</v>
      </c>
      <c r="K10169" t="n">
        <v>0</v>
      </c>
      <c r="L10169" t="n">
        <v>0</v>
      </c>
      <c r="M10169" t="n">
        <v>0</v>
      </c>
      <c r="N10169" t="n">
        <v>0</v>
      </c>
      <c r="O10169" t="n">
        <v>0</v>
      </c>
      <c r="P10169" t="n">
        <v>0</v>
      </c>
      <c r="Q10169" t="n">
        <v>0</v>
      </c>
      <c r="R10169" t="n">
        <v>0</v>
      </c>
      <c r="S10169" t="n">
        <v>0</v>
      </c>
      <c r="T10169" t="n">
        <v>0</v>
      </c>
      <c r="U10169" t="n">
        <v>0</v>
      </c>
      <c r="V10169" s="2" t="inlineStr"/>
    </row>
    <row r="10170" ht="15" customHeight="1">
      <c r="A10170" t="inlineStr">
        <is>
          <t>A 33773-2026</t>
        </is>
      </c>
      <c r="B10170" t="inlineStr">
        <is>
          <t>avverkningsanmälan</t>
        </is>
      </c>
      <c r="C10170" t="inlineStr">
        <is>
          <t>Föryngringsavverkning</t>
        </is>
      </c>
      <c r="D10170" s="1" t="n">
        <v>46251</v>
      </c>
      <c r="E10170" s="1" t="n">
        <v>46326</v>
      </c>
      <c r="F10170" t="inlineStr">
        <is>
          <t>GÄVLEBORGS LÄN</t>
        </is>
      </c>
      <c r="G10170" t="inlineStr">
        <is>
          <t>BOLLNÄS</t>
        </is>
      </c>
      <c r="I10170" t="n">
        <v>2.3</v>
      </c>
      <c r="J10170" t="n">
        <v>0</v>
      </c>
      <c r="K10170" t="n">
        <v>0</v>
      </c>
      <c r="L10170" t="n">
        <v>0</v>
      </c>
      <c r="M10170" t="n">
        <v>0</v>
      </c>
      <c r="N10170" t="n">
        <v>0</v>
      </c>
      <c r="O10170" t="n">
        <v>0</v>
      </c>
      <c r="P10170" t="n">
        <v>0</v>
      </c>
      <c r="Q10170" t="n">
        <v>0</v>
      </c>
      <c r="R10170" t="n">
        <v>0</v>
      </c>
      <c r="S10170" t="n">
        <v>0</v>
      </c>
      <c r="T10170" t="n">
        <v>0</v>
      </c>
      <c r="U10170" t="n">
        <v>0</v>
      </c>
      <c r="V10170" s="2" t="inlineStr"/>
    </row>
    <row r="10171" ht="15" customHeight="1">
      <c r="A10171" t="inlineStr">
        <is>
          <t>A 28496-2025</t>
        </is>
      </c>
      <c r="B10171" t="inlineStr">
        <is>
          <t>avverkningsanmälan</t>
        </is>
      </c>
      <c r="C10171" t="inlineStr">
        <is>
          <t>Föryngringsavverkning</t>
        </is>
      </c>
      <c r="D10171" s="1" t="n">
        <v>45819</v>
      </c>
      <c r="E10171" s="1" t="n">
        <v>46326</v>
      </c>
      <c r="F10171" t="inlineStr">
        <is>
          <t>GÄVLEBORGS LÄN</t>
        </is>
      </c>
      <c r="G10171" t="inlineStr">
        <is>
          <t>OVANÅKER</t>
        </is>
      </c>
      <c r="H10171" t="inlineStr">
        <is>
          <t>Bergvik skog väst AB</t>
        </is>
      </c>
      <c r="I10171" t="n">
        <v>4.7</v>
      </c>
      <c r="J10171" t="n">
        <v>0</v>
      </c>
      <c r="K10171" t="n">
        <v>0</v>
      </c>
      <c r="L10171" t="n">
        <v>0</v>
      </c>
      <c r="M10171" t="n">
        <v>0</v>
      </c>
      <c r="N10171" t="n">
        <v>0</v>
      </c>
      <c r="O10171" t="n">
        <v>0</v>
      </c>
      <c r="P10171" t="n">
        <v>0</v>
      </c>
      <c r="Q10171" t="n">
        <v>0</v>
      </c>
      <c r="R10171" t="n">
        <v>0</v>
      </c>
      <c r="S10171" t="n">
        <v>0</v>
      </c>
      <c r="T10171" t="n">
        <v>0</v>
      </c>
      <c r="U10171" t="n">
        <v>0</v>
      </c>
      <c r="V10171" s="2" t="inlineStr"/>
    </row>
    <row r="10172" ht="15" customHeight="1">
      <c r="A10172" t="inlineStr">
        <is>
          <t>A 32989-2026</t>
        </is>
      </c>
      <c r="B10172" t="inlineStr">
        <is>
          <t>avverkningsanmälan</t>
        </is>
      </c>
      <c r="C10172" t="inlineStr">
        <is>
          <t>Föryngringsavverkning</t>
        </is>
      </c>
      <c r="D10172" s="1" t="n">
        <v>46244</v>
      </c>
      <c r="E10172" s="1" t="n">
        <v>46326</v>
      </c>
      <c r="F10172" t="inlineStr">
        <is>
          <t>GÄVLEBORGS LÄN</t>
        </is>
      </c>
      <c r="G10172" t="inlineStr">
        <is>
          <t>SANDVIKEN</t>
        </is>
      </c>
      <c r="H10172" t="inlineStr">
        <is>
          <t>Kommuner</t>
        </is>
      </c>
      <c r="I10172" t="n">
        <v>8.6</v>
      </c>
      <c r="J10172" t="n">
        <v>0</v>
      </c>
      <c r="K10172" t="n">
        <v>0</v>
      </c>
      <c r="L10172" t="n">
        <v>0</v>
      </c>
      <c r="M10172" t="n">
        <v>0</v>
      </c>
      <c r="N10172" t="n">
        <v>0</v>
      </c>
      <c r="O10172" t="n">
        <v>0</v>
      </c>
      <c r="P10172" t="n">
        <v>0</v>
      </c>
      <c r="Q10172" t="n">
        <v>0</v>
      </c>
      <c r="R10172" t="n">
        <v>0</v>
      </c>
      <c r="S10172" t="n">
        <v>0</v>
      </c>
      <c r="T10172" t="n">
        <v>0</v>
      </c>
      <c r="U10172" t="n">
        <v>0</v>
      </c>
      <c r="V10172" s="2" t="inlineStr"/>
    </row>
    <row r="10173" ht="15" customHeight="1">
      <c r="A10173" t="inlineStr">
        <is>
          <t>A 47700-2024</t>
        </is>
      </c>
      <c r="B10173" t="inlineStr">
        <is>
          <t>avverkningsanmälan</t>
        </is>
      </c>
      <c r="C10173" t="inlineStr">
        <is>
          <t>Föryngringsavverkning</t>
        </is>
      </c>
      <c r="D10173" s="1" t="n">
        <v>45588</v>
      </c>
      <c r="E10173" s="1" t="n">
        <v>46326</v>
      </c>
      <c r="F10173" t="inlineStr">
        <is>
          <t>GÄVLEBORGS LÄN</t>
        </is>
      </c>
      <c r="G10173" t="inlineStr">
        <is>
          <t>HUDIKSVALL</t>
        </is>
      </c>
      <c r="I10173" t="n">
        <v>1.4</v>
      </c>
      <c r="J10173" t="n">
        <v>0</v>
      </c>
      <c r="K10173" t="n">
        <v>0</v>
      </c>
      <c r="L10173" t="n">
        <v>0</v>
      </c>
      <c r="M10173" t="n">
        <v>0</v>
      </c>
      <c r="N10173" t="n">
        <v>0</v>
      </c>
      <c r="O10173" t="n">
        <v>0</v>
      </c>
      <c r="P10173" t="n">
        <v>0</v>
      </c>
      <c r="Q10173" t="n">
        <v>0</v>
      </c>
      <c r="R10173" t="n">
        <v>0</v>
      </c>
      <c r="S10173" t="n">
        <v>0</v>
      </c>
      <c r="T10173" t="n">
        <v>0</v>
      </c>
      <c r="U10173" t="n">
        <v>0</v>
      </c>
      <c r="V10173" s="2" t="inlineStr"/>
    </row>
    <row r="10174" ht="15" customHeight="1">
      <c r="A10174" t="inlineStr">
        <is>
          <t>A 55878-2024</t>
        </is>
      </c>
      <c r="B10174" t="inlineStr">
        <is>
          <t>avverkningsanmälan</t>
        </is>
      </c>
      <c r="C10174" t="inlineStr">
        <is>
          <t>Föryngringsavverkning</t>
        </is>
      </c>
      <c r="D10174" s="1" t="n">
        <v>45623</v>
      </c>
      <c r="E10174" s="1" t="n">
        <v>46326</v>
      </c>
      <c r="F10174" t="inlineStr">
        <is>
          <t>GÄVLEBORGS LÄN</t>
        </is>
      </c>
      <c r="G10174" t="inlineStr">
        <is>
          <t>GÄVLE</t>
        </is>
      </c>
      <c r="I10174" t="n">
        <v>2.5</v>
      </c>
      <c r="J10174" t="n">
        <v>0</v>
      </c>
      <c r="K10174" t="n">
        <v>0</v>
      </c>
      <c r="L10174" t="n">
        <v>0</v>
      </c>
      <c r="M10174" t="n">
        <v>0</v>
      </c>
      <c r="N10174" t="n">
        <v>0</v>
      </c>
      <c r="O10174" t="n">
        <v>0</v>
      </c>
      <c r="P10174" t="n">
        <v>0</v>
      </c>
      <c r="Q10174" t="n">
        <v>0</v>
      </c>
      <c r="R10174" t="n">
        <v>0</v>
      </c>
      <c r="S10174" t="n">
        <v>0</v>
      </c>
      <c r="T10174" t="n">
        <v>0</v>
      </c>
      <c r="U10174" t="n">
        <v>0</v>
      </c>
      <c r="V10174" s="2" t="inlineStr"/>
    </row>
    <row r="10175" ht="15" customHeight="1">
      <c r="A10175" t="inlineStr">
        <is>
          <t>A 40896-2026</t>
        </is>
      </c>
      <c r="B10175" t="inlineStr">
        <is>
          <t>avverkningsanmälan</t>
        </is>
      </c>
      <c r="C10175" t="inlineStr">
        <is>
          <t>Föryngringsavverkning</t>
        </is>
      </c>
      <c r="D10175" s="1" t="n">
        <v>46297</v>
      </c>
      <c r="E10175" s="1" t="n">
        <v>46326</v>
      </c>
      <c r="F10175" t="inlineStr">
        <is>
          <t>GÄVLEBORGS LÄN</t>
        </is>
      </c>
      <c r="G10175" t="inlineStr">
        <is>
          <t>GÄVLE</t>
        </is>
      </c>
      <c r="H10175" t="inlineStr">
        <is>
          <t>Bergvik skog öst AB</t>
        </is>
      </c>
      <c r="I10175" t="n">
        <v>1.2</v>
      </c>
      <c r="J10175" t="n">
        <v>0</v>
      </c>
      <c r="K10175" t="n">
        <v>0</v>
      </c>
      <c r="L10175" t="n">
        <v>0</v>
      </c>
      <c r="M10175" t="n">
        <v>0</v>
      </c>
      <c r="N10175" t="n">
        <v>0</v>
      </c>
      <c r="O10175" t="n">
        <v>0</v>
      </c>
      <c r="P10175" t="n">
        <v>0</v>
      </c>
      <c r="Q10175" t="n">
        <v>0</v>
      </c>
      <c r="R10175" t="n">
        <v>0</v>
      </c>
      <c r="S10175" t="n">
        <v>0</v>
      </c>
      <c r="T10175" t="n">
        <v>0</v>
      </c>
      <c r="U10175" t="n">
        <v>0</v>
      </c>
      <c r="V10175" s="2" t="inlineStr"/>
    </row>
    <row r="10176" ht="15" customHeight="1">
      <c r="A10176" t="inlineStr">
        <is>
          <t>A 40955-2026</t>
        </is>
      </c>
      <c r="B10176" t="inlineStr">
        <is>
          <t>avverkningsanmälan</t>
        </is>
      </c>
      <c r="C10176" t="inlineStr">
        <is>
          <t>Föryngringsavverkning</t>
        </is>
      </c>
      <c r="D10176" s="1" t="n">
        <v>46297</v>
      </c>
      <c r="E10176" s="1" t="n">
        <v>46326</v>
      </c>
      <c r="F10176" t="inlineStr">
        <is>
          <t>GÄVLEBORGS LÄN</t>
        </is>
      </c>
      <c r="G10176" t="inlineStr">
        <is>
          <t>BOLLNÄS</t>
        </is>
      </c>
      <c r="I10176" t="n">
        <v>0.8</v>
      </c>
      <c r="J10176" t="n">
        <v>0</v>
      </c>
      <c r="K10176" t="n">
        <v>0</v>
      </c>
      <c r="L10176" t="n">
        <v>0</v>
      </c>
      <c r="M10176" t="n">
        <v>0</v>
      </c>
      <c r="N10176" t="n">
        <v>0</v>
      </c>
      <c r="O10176" t="n">
        <v>0</v>
      </c>
      <c r="P10176" t="n">
        <v>0</v>
      </c>
      <c r="Q10176" t="n">
        <v>0</v>
      </c>
      <c r="R10176" t="n">
        <v>0</v>
      </c>
      <c r="S10176" t="n">
        <v>0</v>
      </c>
      <c r="T10176" t="n">
        <v>0</v>
      </c>
      <c r="U10176" t="n">
        <v>0</v>
      </c>
      <c r="V10176" s="2" t="inlineStr"/>
    </row>
    <row r="10177" ht="15" customHeight="1">
      <c r="A10177" t="inlineStr">
        <is>
          <t>A 64924-2023</t>
        </is>
      </c>
      <c r="B10177" t="inlineStr">
        <is>
          <t>avverkningsanmälan</t>
        </is>
      </c>
      <c r="C10177" t="inlineStr">
        <is>
          <t>Föryngringsavverkning</t>
        </is>
      </c>
      <c r="D10177" s="1" t="n">
        <v>45282</v>
      </c>
      <c r="E10177" s="1" t="n">
        <v>46326</v>
      </c>
      <c r="F10177" t="inlineStr">
        <is>
          <t>GÄVLEBORGS LÄN</t>
        </is>
      </c>
      <c r="G10177" t="inlineStr">
        <is>
          <t>OCKELBO</t>
        </is>
      </c>
      <c r="I10177" t="n">
        <v>6.8</v>
      </c>
      <c r="J10177" t="n">
        <v>0</v>
      </c>
      <c r="K10177" t="n">
        <v>0</v>
      </c>
      <c r="L10177" t="n">
        <v>0</v>
      </c>
      <c r="M10177" t="n">
        <v>0</v>
      </c>
      <c r="N10177" t="n">
        <v>0</v>
      </c>
      <c r="O10177" t="n">
        <v>0</v>
      </c>
      <c r="P10177" t="n">
        <v>0</v>
      </c>
      <c r="Q10177" t="n">
        <v>0</v>
      </c>
      <c r="R10177" t="n">
        <v>0</v>
      </c>
      <c r="S10177" t="n">
        <v>0</v>
      </c>
      <c r="T10177" t="n">
        <v>0</v>
      </c>
      <c r="U10177" t="n">
        <v>0</v>
      </c>
      <c r="V10177" s="2" t="inlineStr"/>
    </row>
    <row r="10178" ht="15" customHeight="1">
      <c r="A10178" t="inlineStr">
        <is>
          <t>A 34253-2026</t>
        </is>
      </c>
      <c r="B10178" t="inlineStr">
        <is>
          <t>avverkningsanmälan</t>
        </is>
      </c>
      <c r="C10178" t="inlineStr">
        <is>
          <t>Föryngringsavverkning</t>
        </is>
      </c>
      <c r="D10178" s="1" t="n">
        <v>46253</v>
      </c>
      <c r="E10178" s="1" t="n">
        <v>46326</v>
      </c>
      <c r="F10178" t="inlineStr">
        <is>
          <t>GÄVLEBORGS LÄN</t>
        </is>
      </c>
      <c r="G10178" t="inlineStr">
        <is>
          <t>SANDVIKEN</t>
        </is>
      </c>
      <c r="I10178" t="n">
        <v>0.8</v>
      </c>
      <c r="J10178" t="n">
        <v>0</v>
      </c>
      <c r="K10178" t="n">
        <v>0</v>
      </c>
      <c r="L10178" t="n">
        <v>0</v>
      </c>
      <c r="M10178" t="n">
        <v>0</v>
      </c>
      <c r="N10178" t="n">
        <v>0</v>
      </c>
      <c r="O10178" t="n">
        <v>0</v>
      </c>
      <c r="P10178" t="n">
        <v>0</v>
      </c>
      <c r="Q10178" t="n">
        <v>0</v>
      </c>
      <c r="R10178" t="n">
        <v>0</v>
      </c>
      <c r="S10178" t="n">
        <v>0</v>
      </c>
      <c r="T10178" t="n">
        <v>0</v>
      </c>
      <c r="U10178" t="n">
        <v>0</v>
      </c>
      <c r="V10178" s="2" t="inlineStr"/>
    </row>
    <row r="10179" ht="15" customHeight="1">
      <c r="A10179" t="inlineStr">
        <is>
          <t>A 46667-2024</t>
        </is>
      </c>
      <c r="B10179" t="inlineStr">
        <is>
          <t>avverkningsanmälan</t>
        </is>
      </c>
      <c r="C10179" t="inlineStr">
        <is>
          <t>Föryngringsavverkning</t>
        </is>
      </c>
      <c r="D10179" s="1" t="n">
        <v>45583</v>
      </c>
      <c r="E10179" s="1" t="n">
        <v>46326</v>
      </c>
      <c r="F10179" t="inlineStr">
        <is>
          <t>GÄVLEBORGS LÄN</t>
        </is>
      </c>
      <c r="G10179" t="inlineStr">
        <is>
          <t>HUDIKSVALL</t>
        </is>
      </c>
      <c r="I10179" t="n">
        <v>1.2</v>
      </c>
      <c r="J10179" t="n">
        <v>0</v>
      </c>
      <c r="K10179" t="n">
        <v>0</v>
      </c>
      <c r="L10179" t="n">
        <v>0</v>
      </c>
      <c r="M10179" t="n">
        <v>0</v>
      </c>
      <c r="N10179" t="n">
        <v>0</v>
      </c>
      <c r="O10179" t="n">
        <v>0</v>
      </c>
      <c r="P10179" t="n">
        <v>0</v>
      </c>
      <c r="Q10179" t="n">
        <v>0</v>
      </c>
      <c r="R10179" t="n">
        <v>0</v>
      </c>
      <c r="S10179" t="n">
        <v>0</v>
      </c>
      <c r="T10179" t="n">
        <v>0</v>
      </c>
      <c r="U10179" t="n">
        <v>0</v>
      </c>
      <c r="V10179" s="2" t="inlineStr"/>
    </row>
    <row r="10180" ht="15" customHeight="1">
      <c r="A10180" t="inlineStr">
        <is>
          <t>A 18725-2025</t>
        </is>
      </c>
      <c r="B10180" t="inlineStr">
        <is>
          <t>avverkningsanmälan</t>
        </is>
      </c>
      <c r="C10180" t="inlineStr">
        <is>
          <t>Föryngringsavverkning</t>
        </is>
      </c>
      <c r="D10180" s="1" t="n">
        <v>45763</v>
      </c>
      <c r="E10180" s="1" t="n">
        <v>46326</v>
      </c>
      <c r="F10180" t="inlineStr">
        <is>
          <t>GÄVLEBORGS LÄN</t>
        </is>
      </c>
      <c r="G10180" t="inlineStr">
        <is>
          <t>SANDVIKEN</t>
        </is>
      </c>
      <c r="I10180" t="n">
        <v>0.6</v>
      </c>
      <c r="J10180" t="n">
        <v>0</v>
      </c>
      <c r="K10180" t="n">
        <v>0</v>
      </c>
      <c r="L10180" t="n">
        <v>0</v>
      </c>
      <c r="M10180" t="n">
        <v>0</v>
      </c>
      <c r="N10180" t="n">
        <v>0</v>
      </c>
      <c r="O10180" t="n">
        <v>0</v>
      </c>
      <c r="P10180" t="n">
        <v>0</v>
      </c>
      <c r="Q10180" t="n">
        <v>0</v>
      </c>
      <c r="R10180" t="n">
        <v>0</v>
      </c>
      <c r="S10180" t="n">
        <v>0</v>
      </c>
      <c r="T10180" t="n">
        <v>0</v>
      </c>
      <c r="U10180" t="n">
        <v>0</v>
      </c>
      <c r="V10180" s="2" t="inlineStr"/>
    </row>
    <row r="10181" ht="15" customHeight="1">
      <c r="A10181" t="inlineStr">
        <is>
          <t>A 6169-2026</t>
        </is>
      </c>
      <c r="B10181" t="inlineStr">
        <is>
          <t>avverkningsanmälan</t>
        </is>
      </c>
      <c r="C10181" t="inlineStr">
        <is>
          <t>Föryngringsavverkning</t>
        </is>
      </c>
      <c r="D10181" s="1" t="n">
        <v>46055</v>
      </c>
      <c r="E10181" s="1" t="n">
        <v>46326</v>
      </c>
      <c r="F10181" t="inlineStr">
        <is>
          <t>GÄVLEBORGS LÄN</t>
        </is>
      </c>
      <c r="G10181" t="inlineStr">
        <is>
          <t>BOLLNÄS</t>
        </is>
      </c>
      <c r="I10181" t="n">
        <v>1</v>
      </c>
      <c r="J10181" t="n">
        <v>0</v>
      </c>
      <c r="K10181" t="n">
        <v>0</v>
      </c>
      <c r="L10181" t="n">
        <v>0</v>
      </c>
      <c r="M10181" t="n">
        <v>0</v>
      </c>
      <c r="N10181" t="n">
        <v>0</v>
      </c>
      <c r="O10181" t="n">
        <v>0</v>
      </c>
      <c r="P10181" t="n">
        <v>0</v>
      </c>
      <c r="Q10181" t="n">
        <v>0</v>
      </c>
      <c r="R10181" t="n">
        <v>0</v>
      </c>
      <c r="S10181" t="n">
        <v>0</v>
      </c>
      <c r="T10181" t="n">
        <v>0</v>
      </c>
      <c r="U10181" t="n">
        <v>0</v>
      </c>
      <c r="V10181" s="2" t="inlineStr"/>
    </row>
    <row r="10182" ht="15" customHeight="1">
      <c r="A10182" t="inlineStr">
        <is>
          <t>A 34212-2026</t>
        </is>
      </c>
      <c r="B10182" t="inlineStr">
        <is>
          <t>avverkningsanmälan</t>
        </is>
      </c>
      <c r="C10182" t="inlineStr">
        <is>
          <t>Föryngringsavverkning</t>
        </is>
      </c>
      <c r="D10182" s="1" t="n">
        <v>46253</v>
      </c>
      <c r="E10182" s="1" t="n">
        <v>46326</v>
      </c>
      <c r="F10182" t="inlineStr">
        <is>
          <t>GÄVLEBORGS LÄN</t>
        </is>
      </c>
      <c r="G10182" t="inlineStr">
        <is>
          <t>NORDANSTIG</t>
        </is>
      </c>
      <c r="I10182" t="n">
        <v>0.6</v>
      </c>
      <c r="J10182" t="n">
        <v>0</v>
      </c>
      <c r="K10182" t="n">
        <v>0</v>
      </c>
      <c r="L10182" t="n">
        <v>0</v>
      </c>
      <c r="M10182" t="n">
        <v>0</v>
      </c>
      <c r="N10182" t="n">
        <v>0</v>
      </c>
      <c r="O10182" t="n">
        <v>0</v>
      </c>
      <c r="P10182" t="n">
        <v>0</v>
      </c>
      <c r="Q10182" t="n">
        <v>0</v>
      </c>
      <c r="R10182" t="n">
        <v>0</v>
      </c>
      <c r="S10182" t="n">
        <v>0</v>
      </c>
      <c r="T10182" t="n">
        <v>0</v>
      </c>
      <c r="U10182" t="n">
        <v>0</v>
      </c>
      <c r="V10182" s="2" t="inlineStr"/>
    </row>
    <row r="10183" ht="15" customHeight="1">
      <c r="A10183" t="inlineStr">
        <is>
          <t>A 34415-2026</t>
        </is>
      </c>
      <c r="B10183" t="inlineStr">
        <is>
          <t>avverkningsanmälan</t>
        </is>
      </c>
      <c r="C10183" t="inlineStr">
        <is>
          <t>Föryngringsavverkning</t>
        </is>
      </c>
      <c r="D10183" s="1" t="n">
        <v>46254</v>
      </c>
      <c r="E10183" s="1" t="n">
        <v>46326</v>
      </c>
      <c r="F10183" t="inlineStr">
        <is>
          <t>GÄVLEBORGS LÄN</t>
        </is>
      </c>
      <c r="G10183" t="inlineStr">
        <is>
          <t>GÄVLE</t>
        </is>
      </c>
      <c r="H10183" t="inlineStr">
        <is>
          <t>Bergvik skog öst AB</t>
        </is>
      </c>
      <c r="I10183" t="n">
        <v>1.2</v>
      </c>
      <c r="J10183" t="n">
        <v>0</v>
      </c>
      <c r="K10183" t="n">
        <v>0</v>
      </c>
      <c r="L10183" t="n">
        <v>0</v>
      </c>
      <c r="M10183" t="n">
        <v>0</v>
      </c>
      <c r="N10183" t="n">
        <v>0</v>
      </c>
      <c r="O10183" t="n">
        <v>0</v>
      </c>
      <c r="P10183" t="n">
        <v>0</v>
      </c>
      <c r="Q10183" t="n">
        <v>0</v>
      </c>
      <c r="R10183" t="n">
        <v>0</v>
      </c>
      <c r="S10183" t="n">
        <v>0</v>
      </c>
      <c r="T10183" t="n">
        <v>0</v>
      </c>
      <c r="U10183" t="n">
        <v>0</v>
      </c>
      <c r="V10183" s="2" t="inlineStr"/>
    </row>
    <row r="10184" ht="15" customHeight="1">
      <c r="A10184" t="inlineStr">
        <is>
          <t>A 34461-2026</t>
        </is>
      </c>
      <c r="B10184" t="inlineStr">
        <is>
          <t>avverkningsanmälan</t>
        </is>
      </c>
      <c r="C10184" t="inlineStr">
        <is>
          <t>Föryngringsavverkning</t>
        </is>
      </c>
      <c r="D10184" s="1" t="n">
        <v>46254</v>
      </c>
      <c r="E10184" s="1" t="n">
        <v>46326</v>
      </c>
      <c r="F10184" t="inlineStr">
        <is>
          <t>GÄVLEBORGS LÄN</t>
        </is>
      </c>
      <c r="G10184" t="inlineStr">
        <is>
          <t>BOLLNÄS</t>
        </is>
      </c>
      <c r="I10184" t="n">
        <v>3.3</v>
      </c>
      <c r="J10184" t="n">
        <v>0</v>
      </c>
      <c r="K10184" t="n">
        <v>0</v>
      </c>
      <c r="L10184" t="n">
        <v>0</v>
      </c>
      <c r="M10184" t="n">
        <v>0</v>
      </c>
      <c r="N10184" t="n">
        <v>0</v>
      </c>
      <c r="O10184" t="n">
        <v>0</v>
      </c>
      <c r="P10184" t="n">
        <v>0</v>
      </c>
      <c r="Q10184" t="n">
        <v>0</v>
      </c>
      <c r="R10184" t="n">
        <v>0</v>
      </c>
      <c r="S10184" t="n">
        <v>0</v>
      </c>
      <c r="T10184" t="n">
        <v>0</v>
      </c>
      <c r="U10184" t="n">
        <v>0</v>
      </c>
      <c r="V10184" s="2" t="inlineStr"/>
    </row>
    <row r="10185" ht="15" customHeight="1">
      <c r="A10185" t="inlineStr">
        <is>
          <t>A 34475-2026</t>
        </is>
      </c>
      <c r="B10185" t="inlineStr">
        <is>
          <t>avverkningsanmälan</t>
        </is>
      </c>
      <c r="C10185" t="inlineStr">
        <is>
          <t>Avverkning för annat ändamål</t>
        </is>
      </c>
      <c r="D10185" s="1" t="n">
        <v>46254</v>
      </c>
      <c r="E10185" s="1" t="n">
        <v>46326</v>
      </c>
      <c r="F10185" t="inlineStr">
        <is>
          <t>GÄVLEBORGS LÄN</t>
        </is>
      </c>
      <c r="G10185" t="inlineStr">
        <is>
          <t>NORDANSTIG</t>
        </is>
      </c>
      <c r="H10185" t="inlineStr">
        <is>
          <t>SCA</t>
        </is>
      </c>
      <c r="I10185" t="n">
        <v>1.7</v>
      </c>
      <c r="J10185" t="n">
        <v>0</v>
      </c>
      <c r="K10185" t="n">
        <v>0</v>
      </c>
      <c r="L10185" t="n">
        <v>0</v>
      </c>
      <c r="M10185" t="n">
        <v>0</v>
      </c>
      <c r="N10185" t="n">
        <v>0</v>
      </c>
      <c r="O10185" t="n">
        <v>0</v>
      </c>
      <c r="P10185" t="n">
        <v>0</v>
      </c>
      <c r="Q10185" t="n">
        <v>0</v>
      </c>
      <c r="R10185" t="n">
        <v>0</v>
      </c>
      <c r="S10185" t="n">
        <v>0</v>
      </c>
      <c r="T10185" t="n">
        <v>0</v>
      </c>
      <c r="U10185" t="n">
        <v>0</v>
      </c>
      <c r="V10185" s="2" t="inlineStr"/>
    </row>
    <row r="10186" ht="15" customHeight="1">
      <c r="A10186" t="inlineStr">
        <is>
          <t>A 64000-2023</t>
        </is>
      </c>
      <c r="B10186" t="inlineStr">
        <is>
          <t>avverkningsanmälan</t>
        </is>
      </c>
      <c r="C10186" t="inlineStr">
        <is>
          <t>Föryngringsavverkning</t>
        </is>
      </c>
      <c r="D10186" s="1" t="n">
        <v>45278</v>
      </c>
      <c r="E10186" s="1" t="n">
        <v>46326</v>
      </c>
      <c r="F10186" t="inlineStr">
        <is>
          <t>GÄVLEBORGS LÄN</t>
        </is>
      </c>
      <c r="G10186" t="inlineStr">
        <is>
          <t>SANDVIKEN</t>
        </is>
      </c>
      <c r="I10186" t="n">
        <v>2.9</v>
      </c>
      <c r="J10186" t="n">
        <v>0</v>
      </c>
      <c r="K10186" t="n">
        <v>0</v>
      </c>
      <c r="L10186" t="n">
        <v>0</v>
      </c>
      <c r="M10186" t="n">
        <v>0</v>
      </c>
      <c r="N10186" t="n">
        <v>0</v>
      </c>
      <c r="O10186" t="n">
        <v>0</v>
      </c>
      <c r="P10186" t="n">
        <v>0</v>
      </c>
      <c r="Q10186" t="n">
        <v>0</v>
      </c>
      <c r="R10186" t="n">
        <v>0</v>
      </c>
      <c r="S10186" t="n">
        <v>0</v>
      </c>
      <c r="T10186" t="n">
        <v>0</v>
      </c>
      <c r="U10186" t="n">
        <v>0</v>
      </c>
      <c r="V10186" s="2" t="inlineStr"/>
    </row>
    <row r="10187" ht="15" customHeight="1">
      <c r="A10187" t="inlineStr">
        <is>
          <t>A 2881-2026</t>
        </is>
      </c>
      <c r="B10187" t="inlineStr">
        <is>
          <t>avverkningsanmälan</t>
        </is>
      </c>
      <c r="C10187" t="inlineStr">
        <is>
          <t>Föryngringsavverkning</t>
        </is>
      </c>
      <c r="D10187" s="1" t="n">
        <v>46038</v>
      </c>
      <c r="E10187" s="1" t="n">
        <v>46326</v>
      </c>
      <c r="F10187" t="inlineStr">
        <is>
          <t>GÄVLEBORGS LÄN</t>
        </is>
      </c>
      <c r="G10187" t="inlineStr">
        <is>
          <t>OVANÅKER</t>
        </is>
      </c>
      <c r="I10187" t="n">
        <v>22.3</v>
      </c>
      <c r="J10187" t="n">
        <v>0</v>
      </c>
      <c r="K10187" t="n">
        <v>0</v>
      </c>
      <c r="L10187" t="n">
        <v>0</v>
      </c>
      <c r="M10187" t="n">
        <v>0</v>
      </c>
      <c r="N10187" t="n">
        <v>0</v>
      </c>
      <c r="O10187" t="n">
        <v>0</v>
      </c>
      <c r="P10187" t="n">
        <v>0</v>
      </c>
      <c r="Q10187" t="n">
        <v>0</v>
      </c>
      <c r="R10187" t="n">
        <v>0</v>
      </c>
      <c r="S10187" t="n">
        <v>0</v>
      </c>
      <c r="T10187" t="n">
        <v>0</v>
      </c>
      <c r="U10187" t="n">
        <v>0</v>
      </c>
      <c r="V10187" s="2" t="inlineStr"/>
    </row>
    <row r="10188" ht="15" customHeight="1">
      <c r="A10188" t="inlineStr">
        <is>
          <t>A 2919-2026</t>
        </is>
      </c>
      <c r="B10188" t="inlineStr">
        <is>
          <t>avverkningsanmälan</t>
        </is>
      </c>
      <c r="C10188" t="inlineStr">
        <is>
          <t>Föryngringsavverkning</t>
        </is>
      </c>
      <c r="D10188" s="1" t="n">
        <v>46038</v>
      </c>
      <c r="E10188" s="1" t="n">
        <v>46326</v>
      </c>
      <c r="F10188" t="inlineStr">
        <is>
          <t>GÄVLEBORGS LÄN</t>
        </is>
      </c>
      <c r="G10188" t="inlineStr">
        <is>
          <t>OCKELBO</t>
        </is>
      </c>
      <c r="I10188" t="n">
        <v>0.9</v>
      </c>
      <c r="J10188" t="n">
        <v>0</v>
      </c>
      <c r="K10188" t="n">
        <v>0</v>
      </c>
      <c r="L10188" t="n">
        <v>0</v>
      </c>
      <c r="M10188" t="n">
        <v>0</v>
      </c>
      <c r="N10188" t="n">
        <v>0</v>
      </c>
      <c r="O10188" t="n">
        <v>0</v>
      </c>
      <c r="P10188" t="n">
        <v>0</v>
      </c>
      <c r="Q10188" t="n">
        <v>0</v>
      </c>
      <c r="R10188" t="n">
        <v>0</v>
      </c>
      <c r="S10188" t="n">
        <v>0</v>
      </c>
      <c r="T10188" t="n">
        <v>0</v>
      </c>
      <c r="U10188" t="n">
        <v>0</v>
      </c>
      <c r="V10188" s="2" t="inlineStr"/>
    </row>
    <row r="10189" ht="15" customHeight="1">
      <c r="A10189" t="inlineStr">
        <is>
          <t>A 5247-2026</t>
        </is>
      </c>
      <c r="B10189" t="inlineStr">
        <is>
          <t>avverkningsanmälan</t>
        </is>
      </c>
      <c r="C10189" t="inlineStr">
        <is>
          <t>Föryngringsavverkning</t>
        </is>
      </c>
      <c r="D10189" s="1" t="n">
        <v>46049</v>
      </c>
      <c r="E10189" s="1" t="n">
        <v>46326</v>
      </c>
      <c r="F10189" t="inlineStr">
        <is>
          <t>GÄVLEBORGS LÄN</t>
        </is>
      </c>
      <c r="G10189" t="inlineStr">
        <is>
          <t>SANDVIKEN</t>
        </is>
      </c>
      <c r="I10189" t="n">
        <v>2</v>
      </c>
      <c r="J10189" t="n">
        <v>0</v>
      </c>
      <c r="K10189" t="n">
        <v>0</v>
      </c>
      <c r="L10189" t="n">
        <v>0</v>
      </c>
      <c r="M10189" t="n">
        <v>0</v>
      </c>
      <c r="N10189" t="n">
        <v>0</v>
      </c>
      <c r="O10189" t="n">
        <v>0</v>
      </c>
      <c r="P10189" t="n">
        <v>0</v>
      </c>
      <c r="Q10189" t="n">
        <v>0</v>
      </c>
      <c r="R10189" t="n">
        <v>0</v>
      </c>
      <c r="S10189" t="n">
        <v>0</v>
      </c>
      <c r="T10189" t="n">
        <v>0</v>
      </c>
      <c r="U10189" t="n">
        <v>0</v>
      </c>
      <c r="V10189" s="2" t="inlineStr"/>
    </row>
    <row r="10190" ht="15" customHeight="1">
      <c r="A10190" t="inlineStr">
        <is>
          <t>A 24101-2025</t>
        </is>
      </c>
      <c r="B10190" t="inlineStr">
        <is>
          <t>avverkningsanmälan</t>
        </is>
      </c>
      <c r="C10190" t="inlineStr">
        <is>
          <t>Föryngringsavverkning</t>
        </is>
      </c>
      <c r="D10190" s="1" t="n">
        <v>45796</v>
      </c>
      <c r="E10190" s="1" t="n">
        <v>46326</v>
      </c>
      <c r="F10190" t="inlineStr">
        <is>
          <t>GÄVLEBORGS LÄN</t>
        </is>
      </c>
      <c r="G10190" t="inlineStr">
        <is>
          <t>NORDANSTIG</t>
        </is>
      </c>
      <c r="I10190" t="n">
        <v>4.9</v>
      </c>
      <c r="J10190" t="n">
        <v>0</v>
      </c>
      <c r="K10190" t="n">
        <v>0</v>
      </c>
      <c r="L10190" t="n">
        <v>0</v>
      </c>
      <c r="M10190" t="n">
        <v>0</v>
      </c>
      <c r="N10190" t="n">
        <v>0</v>
      </c>
      <c r="O10190" t="n">
        <v>0</v>
      </c>
      <c r="P10190" t="n">
        <v>0</v>
      </c>
      <c r="Q10190" t="n">
        <v>0</v>
      </c>
      <c r="R10190" t="n">
        <v>0</v>
      </c>
      <c r="S10190" t="n">
        <v>0</v>
      </c>
      <c r="T10190" t="n">
        <v>0</v>
      </c>
      <c r="U10190" t="n">
        <v>0</v>
      </c>
      <c r="V10190" s="2" t="inlineStr"/>
    </row>
    <row r="10191" ht="15" customHeight="1">
      <c r="A10191" t="inlineStr">
        <is>
          <t>A 24319-2025</t>
        </is>
      </c>
      <c r="B10191" t="inlineStr">
        <is>
          <t>avverkningsanmälan</t>
        </is>
      </c>
      <c r="C10191" t="inlineStr">
        <is>
          <t>Föryngringsavverkning</t>
        </is>
      </c>
      <c r="D10191" s="1" t="n">
        <v>45797</v>
      </c>
      <c r="E10191" s="1" t="n">
        <v>46326</v>
      </c>
      <c r="F10191" t="inlineStr">
        <is>
          <t>GÄVLEBORGS LÄN</t>
        </is>
      </c>
      <c r="G10191" t="inlineStr">
        <is>
          <t>BOLLNÄS</t>
        </is>
      </c>
      <c r="I10191" t="n">
        <v>7.6</v>
      </c>
      <c r="J10191" t="n">
        <v>0</v>
      </c>
      <c r="K10191" t="n">
        <v>0</v>
      </c>
      <c r="L10191" t="n">
        <v>0</v>
      </c>
      <c r="M10191" t="n">
        <v>0</v>
      </c>
      <c r="N10191" t="n">
        <v>0</v>
      </c>
      <c r="O10191" t="n">
        <v>0</v>
      </c>
      <c r="P10191" t="n">
        <v>0</v>
      </c>
      <c r="Q10191" t="n">
        <v>0</v>
      </c>
      <c r="R10191" t="n">
        <v>0</v>
      </c>
      <c r="S10191" t="n">
        <v>0</v>
      </c>
      <c r="T10191" t="n">
        <v>0</v>
      </c>
      <c r="U10191" t="n">
        <v>0</v>
      </c>
      <c r="V10191" s="2" t="inlineStr"/>
    </row>
    <row r="10192" ht="15" customHeight="1">
      <c r="A10192" t="inlineStr">
        <is>
          <t>A 438-2025</t>
        </is>
      </c>
      <c r="B10192" t="inlineStr">
        <is>
          <t>avverkningsanmälan</t>
        </is>
      </c>
      <c r="C10192" t="inlineStr">
        <is>
          <t>Föryngringsavverkning</t>
        </is>
      </c>
      <c r="D10192" s="1" t="n">
        <v>45664</v>
      </c>
      <c r="E10192" s="1" t="n">
        <v>46326</v>
      </c>
      <c r="F10192" t="inlineStr">
        <is>
          <t>GÄVLEBORGS LÄN</t>
        </is>
      </c>
      <c r="G10192" t="inlineStr">
        <is>
          <t>OVANÅKER</t>
        </is>
      </c>
      <c r="I10192" t="n">
        <v>5.1</v>
      </c>
      <c r="J10192" t="n">
        <v>0</v>
      </c>
      <c r="K10192" t="n">
        <v>0</v>
      </c>
      <c r="L10192" t="n">
        <v>0</v>
      </c>
      <c r="M10192" t="n">
        <v>0</v>
      </c>
      <c r="N10192" t="n">
        <v>0</v>
      </c>
      <c r="O10192" t="n">
        <v>0</v>
      </c>
      <c r="P10192" t="n">
        <v>0</v>
      </c>
      <c r="Q10192" t="n">
        <v>0</v>
      </c>
      <c r="R10192" t="n">
        <v>0</v>
      </c>
      <c r="S10192" t="n">
        <v>0</v>
      </c>
      <c r="T10192" t="n">
        <v>0</v>
      </c>
      <c r="U10192" t="n">
        <v>0</v>
      </c>
      <c r="V10192" s="2" t="inlineStr"/>
    </row>
    <row r="10193" ht="15" customHeight="1">
      <c r="A10193" t="inlineStr">
        <is>
          <t>A 13267-2025</t>
        </is>
      </c>
      <c r="B10193" t="inlineStr">
        <is>
          <t>avverkningsanmälan</t>
        </is>
      </c>
      <c r="C10193" t="inlineStr">
        <is>
          <t>Föryngringsavverkning</t>
        </is>
      </c>
      <c r="D10193" s="1" t="n">
        <v>45735</v>
      </c>
      <c r="E10193" s="1" t="n">
        <v>46326</v>
      </c>
      <c r="F10193" t="inlineStr">
        <is>
          <t>GÄVLEBORGS LÄN</t>
        </is>
      </c>
      <c r="G10193" t="inlineStr">
        <is>
          <t>HUDIKSVALL</t>
        </is>
      </c>
      <c r="I10193" t="n">
        <v>1.3</v>
      </c>
      <c r="J10193" t="n">
        <v>0</v>
      </c>
      <c r="K10193" t="n">
        <v>0</v>
      </c>
      <c r="L10193" t="n">
        <v>0</v>
      </c>
      <c r="M10193" t="n">
        <v>0</v>
      </c>
      <c r="N10193" t="n">
        <v>0</v>
      </c>
      <c r="O10193" t="n">
        <v>0</v>
      </c>
      <c r="P10193" t="n">
        <v>0</v>
      </c>
      <c r="Q10193" t="n">
        <v>0</v>
      </c>
      <c r="R10193" t="n">
        <v>0</v>
      </c>
      <c r="S10193" t="n">
        <v>0</v>
      </c>
      <c r="T10193" t="n">
        <v>0</v>
      </c>
      <c r="U10193" t="n">
        <v>0</v>
      </c>
      <c r="V10193" s="2" t="inlineStr"/>
    </row>
    <row r="10194" ht="15" customHeight="1">
      <c r="A10194" t="inlineStr">
        <is>
          <t>A 23701-2025</t>
        </is>
      </c>
      <c r="B10194" t="inlineStr">
        <is>
          <t>avverkningsanmälan</t>
        </is>
      </c>
      <c r="C10194" t="inlineStr">
        <is>
          <t>Föryngringsavverkning</t>
        </is>
      </c>
      <c r="D10194" s="1" t="n">
        <v>45793</v>
      </c>
      <c r="E10194" s="1" t="n">
        <v>46326</v>
      </c>
      <c r="F10194" t="inlineStr">
        <is>
          <t>GÄVLEBORGS LÄN</t>
        </is>
      </c>
      <c r="G10194" t="inlineStr">
        <is>
          <t>HUDIKSVALL</t>
        </is>
      </c>
      <c r="I10194" t="n">
        <v>4.7</v>
      </c>
      <c r="J10194" t="n">
        <v>0</v>
      </c>
      <c r="K10194" t="n">
        <v>0</v>
      </c>
      <c r="L10194" t="n">
        <v>0</v>
      </c>
      <c r="M10194" t="n">
        <v>0</v>
      </c>
      <c r="N10194" t="n">
        <v>0</v>
      </c>
      <c r="O10194" t="n">
        <v>0</v>
      </c>
      <c r="P10194" t="n">
        <v>0</v>
      </c>
      <c r="Q10194" t="n">
        <v>0</v>
      </c>
      <c r="R10194" t="n">
        <v>0</v>
      </c>
      <c r="S10194" t="n">
        <v>0</v>
      </c>
      <c r="T10194" t="n">
        <v>0</v>
      </c>
      <c r="U10194" t="n">
        <v>0</v>
      </c>
      <c r="V10194" s="2" t="inlineStr"/>
    </row>
    <row r="10195" ht="15" customHeight="1">
      <c r="A10195" t="inlineStr">
        <is>
          <t>A 24241-2025</t>
        </is>
      </c>
      <c r="B10195" t="inlineStr">
        <is>
          <t>avverkningsanmälan</t>
        </is>
      </c>
      <c r="C10195" t="inlineStr">
        <is>
          <t>Föryngringsavverkning</t>
        </is>
      </c>
      <c r="D10195" s="1" t="n">
        <v>45797</v>
      </c>
      <c r="E10195" s="1" t="n">
        <v>46326</v>
      </c>
      <c r="F10195" t="inlineStr">
        <is>
          <t>GÄVLEBORGS LÄN</t>
        </is>
      </c>
      <c r="G10195" t="inlineStr">
        <is>
          <t>HUDIKSVALL</t>
        </is>
      </c>
      <c r="I10195" t="n">
        <v>1.9</v>
      </c>
      <c r="J10195" t="n">
        <v>0</v>
      </c>
      <c r="K10195" t="n">
        <v>0</v>
      </c>
      <c r="L10195" t="n">
        <v>0</v>
      </c>
      <c r="M10195" t="n">
        <v>0</v>
      </c>
      <c r="N10195" t="n">
        <v>0</v>
      </c>
      <c r="O10195" t="n">
        <v>0</v>
      </c>
      <c r="P10195" t="n">
        <v>0</v>
      </c>
      <c r="Q10195" t="n">
        <v>0</v>
      </c>
      <c r="R10195" t="n">
        <v>0</v>
      </c>
      <c r="S10195" t="n">
        <v>0</v>
      </c>
      <c r="T10195" t="n">
        <v>0</v>
      </c>
      <c r="U10195" t="n">
        <v>0</v>
      </c>
      <c r="V10195" s="2" t="inlineStr"/>
    </row>
    <row r="10196" ht="15" customHeight="1">
      <c r="A10196" t="inlineStr">
        <is>
          <t>A 24286-2025</t>
        </is>
      </c>
      <c r="B10196" t="inlineStr">
        <is>
          <t>avverkningsanmälan</t>
        </is>
      </c>
      <c r="C10196" t="inlineStr">
        <is>
          <t>Föryngringsavverkning</t>
        </is>
      </c>
      <c r="D10196" s="1" t="n">
        <v>45797</v>
      </c>
      <c r="E10196" s="1" t="n">
        <v>46326</v>
      </c>
      <c r="F10196" t="inlineStr">
        <is>
          <t>GÄVLEBORGS LÄN</t>
        </is>
      </c>
      <c r="G10196" t="inlineStr">
        <is>
          <t>LJUSDAL</t>
        </is>
      </c>
      <c r="I10196" t="n">
        <v>1.9</v>
      </c>
      <c r="J10196" t="n">
        <v>0</v>
      </c>
      <c r="K10196" t="n">
        <v>0</v>
      </c>
      <c r="L10196" t="n">
        <v>0</v>
      </c>
      <c r="M10196" t="n">
        <v>0</v>
      </c>
      <c r="N10196" t="n">
        <v>0</v>
      </c>
      <c r="O10196" t="n">
        <v>0</v>
      </c>
      <c r="P10196" t="n">
        <v>0</v>
      </c>
      <c r="Q10196" t="n">
        <v>0</v>
      </c>
      <c r="R10196" t="n">
        <v>0</v>
      </c>
      <c r="S10196" t="n">
        <v>0</v>
      </c>
      <c r="T10196" t="n">
        <v>0</v>
      </c>
      <c r="U10196" t="n">
        <v>0</v>
      </c>
      <c r="V10196" s="2" t="inlineStr"/>
    </row>
    <row r="10197" ht="15" customHeight="1">
      <c r="A10197" t="inlineStr">
        <is>
          <t>A 27051-2026</t>
        </is>
      </c>
      <c r="B10197" t="inlineStr">
        <is>
          <t>avverkningsanmälan</t>
        </is>
      </c>
      <c r="C10197" t="inlineStr">
        <is>
          <t>Föryngringsavverkning</t>
        </is>
      </c>
      <c r="D10197" s="1" t="n">
        <v>46185</v>
      </c>
      <c r="E10197" s="1" t="n">
        <v>46326</v>
      </c>
      <c r="F10197" t="inlineStr">
        <is>
          <t>GÄVLEBORGS LÄN</t>
        </is>
      </c>
      <c r="G10197" t="inlineStr">
        <is>
          <t>GÄVLE</t>
        </is>
      </c>
      <c r="H10197" t="inlineStr">
        <is>
          <t>Bergvik skog öst AB</t>
        </is>
      </c>
      <c r="I10197" t="n">
        <v>1.8</v>
      </c>
      <c r="J10197" t="n">
        <v>0</v>
      </c>
      <c r="K10197" t="n">
        <v>0</v>
      </c>
      <c r="L10197" t="n">
        <v>0</v>
      </c>
      <c r="M10197" t="n">
        <v>0</v>
      </c>
      <c r="N10197" t="n">
        <v>0</v>
      </c>
      <c r="O10197" t="n">
        <v>0</v>
      </c>
      <c r="P10197" t="n">
        <v>0</v>
      </c>
      <c r="Q10197" t="n">
        <v>0</v>
      </c>
      <c r="R10197" t="n">
        <v>0</v>
      </c>
      <c r="S10197" t="n">
        <v>0</v>
      </c>
      <c r="T10197" t="n">
        <v>0</v>
      </c>
      <c r="U10197" t="n">
        <v>0</v>
      </c>
      <c r="V10197" s="2" t="inlineStr"/>
    </row>
    <row r="10198" ht="15" customHeight="1">
      <c r="A10198" t="inlineStr">
        <is>
          <t>A 24320-2025</t>
        </is>
      </c>
      <c r="B10198" t="inlineStr">
        <is>
          <t>avverkningsanmälan</t>
        </is>
      </c>
      <c r="C10198" t="inlineStr">
        <is>
          <t>Föryngringsavverkning</t>
        </is>
      </c>
      <c r="D10198" s="1" t="n">
        <v>45797</v>
      </c>
      <c r="E10198" s="1" t="n">
        <v>46326</v>
      </c>
      <c r="F10198" t="inlineStr">
        <is>
          <t>GÄVLEBORGS LÄN</t>
        </is>
      </c>
      <c r="G10198" t="inlineStr">
        <is>
          <t>HUDIKSVALL</t>
        </is>
      </c>
      <c r="I10198" t="n">
        <v>1.7</v>
      </c>
      <c r="J10198" t="n">
        <v>0</v>
      </c>
      <c r="K10198" t="n">
        <v>0</v>
      </c>
      <c r="L10198" t="n">
        <v>0</v>
      </c>
      <c r="M10198" t="n">
        <v>0</v>
      </c>
      <c r="N10198" t="n">
        <v>0</v>
      </c>
      <c r="O10198" t="n">
        <v>0</v>
      </c>
      <c r="P10198" t="n">
        <v>0</v>
      </c>
      <c r="Q10198" t="n">
        <v>0</v>
      </c>
      <c r="R10198" t="n">
        <v>0</v>
      </c>
      <c r="S10198" t="n">
        <v>0</v>
      </c>
      <c r="T10198" t="n">
        <v>0</v>
      </c>
      <c r="U10198" t="n">
        <v>0</v>
      </c>
      <c r="V10198" s="2" t="inlineStr"/>
    </row>
    <row r="10199" ht="15" customHeight="1">
      <c r="A10199" t="inlineStr">
        <is>
          <t>A 48913-2024</t>
        </is>
      </c>
      <c r="B10199" t="inlineStr">
        <is>
          <t>avverkningsanmälan</t>
        </is>
      </c>
      <c r="C10199" t="inlineStr">
        <is>
          <t>Föryngringsavverkning</t>
        </is>
      </c>
      <c r="D10199" s="1" t="n">
        <v>45594</v>
      </c>
      <c r="E10199" s="1" t="n">
        <v>46326</v>
      </c>
      <c r="F10199" t="inlineStr">
        <is>
          <t>GÄVLEBORGS LÄN</t>
        </is>
      </c>
      <c r="G10199" t="inlineStr">
        <is>
          <t>GÄVLE</t>
        </is>
      </c>
      <c r="H10199" t="inlineStr">
        <is>
          <t>Bergvik skog öst AB</t>
        </is>
      </c>
      <c r="I10199" t="n">
        <v>2.5</v>
      </c>
      <c r="J10199" t="n">
        <v>0</v>
      </c>
      <c r="K10199" t="n">
        <v>0</v>
      </c>
      <c r="L10199" t="n">
        <v>0</v>
      </c>
      <c r="M10199" t="n">
        <v>0</v>
      </c>
      <c r="N10199" t="n">
        <v>0</v>
      </c>
      <c r="O10199" t="n">
        <v>0</v>
      </c>
      <c r="P10199" t="n">
        <v>0</v>
      </c>
      <c r="Q10199" t="n">
        <v>0</v>
      </c>
      <c r="R10199" t="n">
        <v>0</v>
      </c>
      <c r="S10199" t="n">
        <v>0</v>
      </c>
      <c r="T10199" t="n">
        <v>0</v>
      </c>
      <c r="U10199" t="n">
        <v>0</v>
      </c>
      <c r="V10199" s="2" t="inlineStr"/>
    </row>
    <row r="10200" ht="15" customHeight="1">
      <c r="A10200" t="inlineStr">
        <is>
          <t>A 20207-2024</t>
        </is>
      </c>
      <c r="B10200" t="inlineStr">
        <is>
          <t>avverkningsanmälan</t>
        </is>
      </c>
      <c r="C10200" t="inlineStr">
        <is>
          <t>Föryngringsavverkning</t>
        </is>
      </c>
      <c r="D10200" s="1" t="n">
        <v>45434</v>
      </c>
      <c r="E10200" s="1" t="n">
        <v>46326</v>
      </c>
      <c r="F10200" t="inlineStr">
        <is>
          <t>GÄVLEBORGS LÄN</t>
        </is>
      </c>
      <c r="G10200" t="inlineStr">
        <is>
          <t>OCKELBO</t>
        </is>
      </c>
      <c r="I10200" t="n">
        <v>7.6</v>
      </c>
      <c r="J10200" t="n">
        <v>0</v>
      </c>
      <c r="K10200" t="n">
        <v>0</v>
      </c>
      <c r="L10200" t="n">
        <v>0</v>
      </c>
      <c r="M10200" t="n">
        <v>0</v>
      </c>
      <c r="N10200" t="n">
        <v>0</v>
      </c>
      <c r="O10200" t="n">
        <v>0</v>
      </c>
      <c r="P10200" t="n">
        <v>0</v>
      </c>
      <c r="Q10200" t="n">
        <v>0</v>
      </c>
      <c r="R10200" t="n">
        <v>0</v>
      </c>
      <c r="S10200" t="n">
        <v>0</v>
      </c>
      <c r="T10200" t="n">
        <v>0</v>
      </c>
      <c r="U10200" t="n">
        <v>0</v>
      </c>
      <c r="V10200" s="2" t="inlineStr"/>
    </row>
    <row r="10201" ht="15" customHeight="1">
      <c r="A10201" t="inlineStr">
        <is>
          <t>A 24225-2025</t>
        </is>
      </c>
      <c r="B10201" t="inlineStr">
        <is>
          <t>avverkningsanmälan</t>
        </is>
      </c>
      <c r="C10201" t="inlineStr">
        <is>
          <t>Föryngringsavverkning</t>
        </is>
      </c>
      <c r="D10201" s="1" t="n">
        <v>45797</v>
      </c>
      <c r="E10201" s="1" t="n">
        <v>46326</v>
      </c>
      <c r="F10201" t="inlineStr">
        <is>
          <t>GÄVLEBORGS LÄN</t>
        </is>
      </c>
      <c r="G10201" t="inlineStr">
        <is>
          <t>GÄVLE</t>
        </is>
      </c>
      <c r="I10201" t="n">
        <v>0.7</v>
      </c>
      <c r="J10201" t="n">
        <v>0</v>
      </c>
      <c r="K10201" t="n">
        <v>0</v>
      </c>
      <c r="L10201" t="n">
        <v>0</v>
      </c>
      <c r="M10201" t="n">
        <v>0</v>
      </c>
      <c r="N10201" t="n">
        <v>0</v>
      </c>
      <c r="O10201" t="n">
        <v>0</v>
      </c>
      <c r="P10201" t="n">
        <v>0</v>
      </c>
      <c r="Q10201" t="n">
        <v>0</v>
      </c>
      <c r="R10201" t="n">
        <v>0</v>
      </c>
      <c r="S10201" t="n">
        <v>0</v>
      </c>
      <c r="T10201" t="n">
        <v>0</v>
      </c>
      <c r="U10201" t="n">
        <v>0</v>
      </c>
      <c r="V10201" s="2" t="inlineStr"/>
    </row>
    <row r="10202" ht="15" customHeight="1">
      <c r="A10202" t="inlineStr">
        <is>
          <t>A 5345-2025</t>
        </is>
      </c>
      <c r="B10202" t="inlineStr">
        <is>
          <t>avverkningsanmälan</t>
        </is>
      </c>
      <c r="C10202" t="inlineStr">
        <is>
          <t>Föryngringsavverkning</t>
        </is>
      </c>
      <c r="D10202" s="1" t="n">
        <v>45688</v>
      </c>
      <c r="E10202" s="1" t="n">
        <v>46326</v>
      </c>
      <c r="F10202" t="inlineStr">
        <is>
          <t>GÄVLEBORGS LÄN</t>
        </is>
      </c>
      <c r="G10202" t="inlineStr">
        <is>
          <t>HUDIKSVALL</t>
        </is>
      </c>
      <c r="I10202" t="n">
        <v>3.6</v>
      </c>
      <c r="J10202" t="n">
        <v>0</v>
      </c>
      <c r="K10202" t="n">
        <v>0</v>
      </c>
      <c r="L10202" t="n">
        <v>0</v>
      </c>
      <c r="M10202" t="n">
        <v>0</v>
      </c>
      <c r="N10202" t="n">
        <v>0</v>
      </c>
      <c r="O10202" t="n">
        <v>0</v>
      </c>
      <c r="P10202" t="n">
        <v>0</v>
      </c>
      <c r="Q10202" t="n">
        <v>0</v>
      </c>
      <c r="R10202" t="n">
        <v>0</v>
      </c>
      <c r="S10202" t="n">
        <v>0</v>
      </c>
      <c r="T10202" t="n">
        <v>0</v>
      </c>
      <c r="U10202" t="n">
        <v>0</v>
      </c>
      <c r="V10202" s="2" t="inlineStr"/>
    </row>
    <row r="10203" ht="15" customHeight="1">
      <c r="A10203" t="inlineStr">
        <is>
          <t>A 43523-2024</t>
        </is>
      </c>
      <c r="B10203" t="inlineStr">
        <is>
          <t>avverkningsanmälan</t>
        </is>
      </c>
      <c r="C10203" t="inlineStr">
        <is>
          <t>Avverkning för annat ändamål</t>
        </is>
      </c>
      <c r="D10203" s="1" t="n">
        <v>45569</v>
      </c>
      <c r="E10203" s="1" t="n">
        <v>46326</v>
      </c>
      <c r="F10203" t="inlineStr">
        <is>
          <t>GÄVLEBORGS LÄN</t>
        </is>
      </c>
      <c r="G10203" t="inlineStr">
        <is>
          <t>NORDANSTIG</t>
        </is>
      </c>
      <c r="H10203" t="inlineStr">
        <is>
          <t>Holmen skog AB</t>
        </is>
      </c>
      <c r="I10203" t="n">
        <v>2.1</v>
      </c>
      <c r="J10203" t="n">
        <v>0</v>
      </c>
      <c r="K10203" t="n">
        <v>0</v>
      </c>
      <c r="L10203" t="n">
        <v>0</v>
      </c>
      <c r="M10203" t="n">
        <v>0</v>
      </c>
      <c r="N10203" t="n">
        <v>0</v>
      </c>
      <c r="O10203" t="n">
        <v>0</v>
      </c>
      <c r="P10203" t="n">
        <v>0</v>
      </c>
      <c r="Q10203" t="n">
        <v>0</v>
      </c>
      <c r="R10203" t="n">
        <v>0</v>
      </c>
      <c r="S10203" t="n">
        <v>0</v>
      </c>
      <c r="T10203" t="n">
        <v>0</v>
      </c>
      <c r="U10203" t="n">
        <v>0</v>
      </c>
      <c r="V10203" s="2" t="inlineStr"/>
    </row>
    <row r="10204" ht="15" customHeight="1">
      <c r="A10204" t="inlineStr">
        <is>
          <t>A 34366-2026</t>
        </is>
      </c>
      <c r="B10204" t="inlineStr">
        <is>
          <t>avverkningsanmälan</t>
        </is>
      </c>
      <c r="C10204" t="inlineStr">
        <is>
          <t>Avverkning för annat ändamål</t>
        </is>
      </c>
      <c r="D10204" s="1" t="n">
        <v>46254</v>
      </c>
      <c r="E10204" s="1" t="n">
        <v>46326</v>
      </c>
      <c r="F10204" t="inlineStr">
        <is>
          <t>GÄVLEBORGS LÄN</t>
        </is>
      </c>
      <c r="G10204" t="inlineStr">
        <is>
          <t>LJUSDAL</t>
        </is>
      </c>
      <c r="H10204" t="inlineStr">
        <is>
          <t>SCA</t>
        </is>
      </c>
      <c r="I10204" t="n">
        <v>6.2</v>
      </c>
      <c r="J10204" t="n">
        <v>0</v>
      </c>
      <c r="K10204" t="n">
        <v>0</v>
      </c>
      <c r="L10204" t="n">
        <v>0</v>
      </c>
      <c r="M10204" t="n">
        <v>0</v>
      </c>
      <c r="N10204" t="n">
        <v>0</v>
      </c>
      <c r="O10204" t="n">
        <v>0</v>
      </c>
      <c r="P10204" t="n">
        <v>0</v>
      </c>
      <c r="Q10204" t="n">
        <v>0</v>
      </c>
      <c r="R10204" t="n">
        <v>0</v>
      </c>
      <c r="S10204" t="n">
        <v>0</v>
      </c>
      <c r="T10204" t="n">
        <v>0</v>
      </c>
      <c r="U10204" t="n">
        <v>0</v>
      </c>
      <c r="V10204" s="2" t="inlineStr"/>
    </row>
    <row r="10205" ht="15" customHeight="1">
      <c r="A10205" t="inlineStr">
        <is>
          <t>A 10427-2025</t>
        </is>
      </c>
      <c r="B10205" t="inlineStr">
        <is>
          <t>avverkningsanmälan</t>
        </is>
      </c>
      <c r="C10205" t="inlineStr">
        <is>
          <t>Föryngringsavverkning</t>
        </is>
      </c>
      <c r="D10205" s="1" t="n">
        <v>45720</v>
      </c>
      <c r="E10205" s="1" t="n">
        <v>46326</v>
      </c>
      <c r="F10205" t="inlineStr">
        <is>
          <t>GÄVLEBORGS LÄN</t>
        </is>
      </c>
      <c r="G10205" t="inlineStr">
        <is>
          <t>HUDIKSVALL</t>
        </is>
      </c>
      <c r="I10205" t="n">
        <v>2.8</v>
      </c>
      <c r="J10205" t="n">
        <v>0</v>
      </c>
      <c r="K10205" t="n">
        <v>0</v>
      </c>
      <c r="L10205" t="n">
        <v>0</v>
      </c>
      <c r="M10205" t="n">
        <v>0</v>
      </c>
      <c r="N10205" t="n">
        <v>0</v>
      </c>
      <c r="O10205" t="n">
        <v>0</v>
      </c>
      <c r="P10205" t="n">
        <v>0</v>
      </c>
      <c r="Q10205" t="n">
        <v>0</v>
      </c>
      <c r="R10205" t="n">
        <v>0</v>
      </c>
      <c r="S10205" t="n">
        <v>0</v>
      </c>
      <c r="T10205" t="n">
        <v>0</v>
      </c>
      <c r="U10205" t="n">
        <v>0</v>
      </c>
      <c r="V10205" s="2" t="inlineStr"/>
    </row>
    <row r="10206" ht="15" customHeight="1">
      <c r="A10206" t="inlineStr">
        <is>
          <t>A 40766-2026</t>
        </is>
      </c>
      <c r="B10206" t="inlineStr">
        <is>
          <t>avverkningsanmälan</t>
        </is>
      </c>
      <c r="C10206" t="inlineStr">
        <is>
          <t>Föryngringsavverkning</t>
        </is>
      </c>
      <c r="D10206" s="1" t="n">
        <v>46296</v>
      </c>
      <c r="E10206" s="1" t="n">
        <v>46326</v>
      </c>
      <c r="F10206" t="inlineStr">
        <is>
          <t>GÄVLEBORGS LÄN</t>
        </is>
      </c>
      <c r="G10206" t="inlineStr">
        <is>
          <t>SÖDERHAMN</t>
        </is>
      </c>
      <c r="I10206" t="n">
        <v>4.1</v>
      </c>
      <c r="J10206" t="n">
        <v>0</v>
      </c>
      <c r="K10206" t="n">
        <v>0</v>
      </c>
      <c r="L10206" t="n">
        <v>0</v>
      </c>
      <c r="M10206" t="n">
        <v>0</v>
      </c>
      <c r="N10206" t="n">
        <v>0</v>
      </c>
      <c r="O10206" t="n">
        <v>0</v>
      </c>
      <c r="P10206" t="n">
        <v>0</v>
      </c>
      <c r="Q10206" t="n">
        <v>0</v>
      </c>
      <c r="R10206" t="n">
        <v>0</v>
      </c>
      <c r="S10206" t="n">
        <v>0</v>
      </c>
      <c r="T10206" t="n">
        <v>0</v>
      </c>
      <c r="U10206" t="n">
        <v>0</v>
      </c>
      <c r="V10206" s="2" t="inlineStr"/>
    </row>
    <row r="10207" ht="15" customHeight="1">
      <c r="A10207" t="inlineStr">
        <is>
          <t>A 29742-2024</t>
        </is>
      </c>
      <c r="B10207" t="inlineStr">
        <is>
          <t>avverkningsanmälan</t>
        </is>
      </c>
      <c r="C10207" t="inlineStr">
        <is>
          <t>Föryngringsavverkning</t>
        </is>
      </c>
      <c r="D10207" s="1" t="n">
        <v>45485</v>
      </c>
      <c r="E10207" s="1" t="n">
        <v>46326</v>
      </c>
      <c r="F10207" t="inlineStr">
        <is>
          <t>GÄVLEBORGS LÄN</t>
        </is>
      </c>
      <c r="G10207" t="inlineStr">
        <is>
          <t>BOLLNÄS</t>
        </is>
      </c>
      <c r="I10207" t="n">
        <v>1.2</v>
      </c>
      <c r="J10207" t="n">
        <v>0</v>
      </c>
      <c r="K10207" t="n">
        <v>0</v>
      </c>
      <c r="L10207" t="n">
        <v>0</v>
      </c>
      <c r="M10207" t="n">
        <v>0</v>
      </c>
      <c r="N10207" t="n">
        <v>0</v>
      </c>
      <c r="O10207" t="n">
        <v>0</v>
      </c>
      <c r="P10207" t="n">
        <v>0</v>
      </c>
      <c r="Q10207" t="n">
        <v>0</v>
      </c>
      <c r="R10207" t="n">
        <v>0</v>
      </c>
      <c r="S10207" t="n">
        <v>0</v>
      </c>
      <c r="T10207" t="n">
        <v>0</v>
      </c>
      <c r="U10207" t="n">
        <v>0</v>
      </c>
      <c r="V10207" s="2" t="inlineStr"/>
    </row>
    <row r="10208" ht="15" customHeight="1">
      <c r="A10208" t="inlineStr">
        <is>
          <t>A 47284-2024</t>
        </is>
      </c>
      <c r="B10208" t="inlineStr">
        <is>
          <t>avverkningsanmälan</t>
        </is>
      </c>
      <c r="C10208" t="inlineStr">
        <is>
          <t>Föryngringsavverkning</t>
        </is>
      </c>
      <c r="D10208" s="1" t="n">
        <v>45587</v>
      </c>
      <c r="E10208" s="1" t="n">
        <v>46326</v>
      </c>
      <c r="F10208" t="inlineStr">
        <is>
          <t>GÄVLEBORGS LÄN</t>
        </is>
      </c>
      <c r="G10208" t="inlineStr">
        <is>
          <t>HUDIKSVALL</t>
        </is>
      </c>
      <c r="I10208" t="n">
        <v>0.7</v>
      </c>
      <c r="J10208" t="n">
        <v>0</v>
      </c>
      <c r="K10208" t="n">
        <v>0</v>
      </c>
      <c r="L10208" t="n">
        <v>0</v>
      </c>
      <c r="M10208" t="n">
        <v>0</v>
      </c>
      <c r="N10208" t="n">
        <v>0</v>
      </c>
      <c r="O10208" t="n">
        <v>0</v>
      </c>
      <c r="P10208" t="n">
        <v>0</v>
      </c>
      <c r="Q10208" t="n">
        <v>0</v>
      </c>
      <c r="R10208" t="n">
        <v>0</v>
      </c>
      <c r="S10208" t="n">
        <v>0</v>
      </c>
      <c r="T10208" t="n">
        <v>0</v>
      </c>
      <c r="U10208" t="n">
        <v>0</v>
      </c>
      <c r="V10208" s="2" t="inlineStr"/>
    </row>
    <row r="10209" ht="15" customHeight="1">
      <c r="A10209" t="inlineStr">
        <is>
          <t>A 61301-2025</t>
        </is>
      </c>
      <c r="B10209" t="inlineStr">
        <is>
          <t>avverkningsanmälan</t>
        </is>
      </c>
      <c r="C10209" t="inlineStr">
        <is>
          <t>Föryngringsavverkning</t>
        </is>
      </c>
      <c r="D10209" s="1" t="n">
        <v>46000</v>
      </c>
      <c r="E10209" s="1" t="n">
        <v>46326</v>
      </c>
      <c r="F10209" t="inlineStr">
        <is>
          <t>GÄVLEBORGS LÄN</t>
        </is>
      </c>
      <c r="G10209" t="inlineStr">
        <is>
          <t>SANDVIKEN</t>
        </is>
      </c>
      <c r="I10209" t="n">
        <v>5.9</v>
      </c>
      <c r="J10209" t="n">
        <v>0</v>
      </c>
      <c r="K10209" t="n">
        <v>0</v>
      </c>
      <c r="L10209" t="n">
        <v>0</v>
      </c>
      <c r="M10209" t="n">
        <v>0</v>
      </c>
      <c r="N10209" t="n">
        <v>0</v>
      </c>
      <c r="O10209" t="n">
        <v>0</v>
      </c>
      <c r="P10209" t="n">
        <v>0</v>
      </c>
      <c r="Q10209" t="n">
        <v>0</v>
      </c>
      <c r="R10209" t="n">
        <v>0</v>
      </c>
      <c r="S10209" t="n">
        <v>0</v>
      </c>
      <c r="T10209" t="n">
        <v>0</v>
      </c>
      <c r="U10209" t="n">
        <v>0</v>
      </c>
      <c r="V10209" s="2" t="inlineStr"/>
    </row>
    <row r="10210" ht="15" customHeight="1">
      <c r="A10210" t="inlineStr">
        <is>
          <t>A 17735-2024</t>
        </is>
      </c>
      <c r="B10210" t="inlineStr">
        <is>
          <t>avverkningsanmälan</t>
        </is>
      </c>
      <c r="C10210" t="inlineStr">
        <is>
          <t>Föryngringsavverkning</t>
        </is>
      </c>
      <c r="D10210" s="1" t="n">
        <v>45418</v>
      </c>
      <c r="E10210" s="1" t="n">
        <v>46326</v>
      </c>
      <c r="F10210" t="inlineStr">
        <is>
          <t>GÄVLEBORGS LÄN</t>
        </is>
      </c>
      <c r="G10210" t="inlineStr">
        <is>
          <t>SANDVIKEN</t>
        </is>
      </c>
      <c r="I10210" t="n">
        <v>5.1</v>
      </c>
      <c r="J10210" t="n">
        <v>0</v>
      </c>
      <c r="K10210" t="n">
        <v>0</v>
      </c>
      <c r="L10210" t="n">
        <v>0</v>
      </c>
      <c r="M10210" t="n">
        <v>0</v>
      </c>
      <c r="N10210" t="n">
        <v>0</v>
      </c>
      <c r="O10210" t="n">
        <v>0</v>
      </c>
      <c r="P10210" t="n">
        <v>0</v>
      </c>
      <c r="Q10210" t="n">
        <v>0</v>
      </c>
      <c r="R10210" t="n">
        <v>0</v>
      </c>
      <c r="S10210" t="n">
        <v>0</v>
      </c>
      <c r="T10210" t="n">
        <v>0</v>
      </c>
      <c r="U10210" t="n">
        <v>0</v>
      </c>
      <c r="V10210" s="2" t="inlineStr"/>
    </row>
    <row r="10211" ht="15" customHeight="1">
      <c r="A10211" t="inlineStr">
        <is>
          <t>A 33939-2026</t>
        </is>
      </c>
      <c r="B10211" t="inlineStr">
        <is>
          <t>avverkningsanmälan</t>
        </is>
      </c>
      <c r="C10211" t="inlineStr">
        <is>
          <t>Föryngringsavverkning</t>
        </is>
      </c>
      <c r="D10211" s="1" t="n">
        <v>46252</v>
      </c>
      <c r="E10211" s="1" t="n">
        <v>46326</v>
      </c>
      <c r="F10211" t="inlineStr">
        <is>
          <t>GÄVLEBORGS LÄN</t>
        </is>
      </c>
      <c r="G10211" t="inlineStr">
        <is>
          <t>OVANÅKER</t>
        </is>
      </c>
      <c r="I10211" t="n">
        <v>0.8</v>
      </c>
      <c r="J10211" t="n">
        <v>0</v>
      </c>
      <c r="K10211" t="n">
        <v>0</v>
      </c>
      <c r="L10211" t="n">
        <v>0</v>
      </c>
      <c r="M10211" t="n">
        <v>0</v>
      </c>
      <c r="N10211" t="n">
        <v>0</v>
      </c>
      <c r="O10211" t="n">
        <v>0</v>
      </c>
      <c r="P10211" t="n">
        <v>0</v>
      </c>
      <c r="Q10211" t="n">
        <v>0</v>
      </c>
      <c r="R10211" t="n">
        <v>0</v>
      </c>
      <c r="S10211" t="n">
        <v>0</v>
      </c>
      <c r="T10211" t="n">
        <v>0</v>
      </c>
      <c r="U10211" t="n">
        <v>0</v>
      </c>
      <c r="V10211" s="2" t="inlineStr"/>
    </row>
    <row r="10212" ht="15" customHeight="1">
      <c r="A10212" t="inlineStr">
        <is>
          <t>A 25900-2024</t>
        </is>
      </c>
      <c r="B10212" t="inlineStr">
        <is>
          <t>avverkningsanmälan</t>
        </is>
      </c>
      <c r="C10212" t="inlineStr">
        <is>
          <t>Föryngringsavverkning</t>
        </is>
      </c>
      <c r="D10212" s="1" t="n">
        <v>45467</v>
      </c>
      <c r="E10212" s="1" t="n">
        <v>46326</v>
      </c>
      <c r="F10212" t="inlineStr">
        <is>
          <t>GÄVLEBORGS LÄN</t>
        </is>
      </c>
      <c r="G10212" t="inlineStr">
        <is>
          <t>SÖDERHAMN</t>
        </is>
      </c>
      <c r="I10212" t="n">
        <v>2.5</v>
      </c>
      <c r="J10212" t="n">
        <v>0</v>
      </c>
      <c r="K10212" t="n">
        <v>0</v>
      </c>
      <c r="L10212" t="n">
        <v>0</v>
      </c>
      <c r="M10212" t="n">
        <v>0</v>
      </c>
      <c r="N10212" t="n">
        <v>0</v>
      </c>
      <c r="O10212" t="n">
        <v>0</v>
      </c>
      <c r="P10212" t="n">
        <v>0</v>
      </c>
      <c r="Q10212" t="n">
        <v>0</v>
      </c>
      <c r="R10212" t="n">
        <v>0</v>
      </c>
      <c r="S10212" t="n">
        <v>0</v>
      </c>
      <c r="T10212" t="n">
        <v>0</v>
      </c>
      <c r="U10212" t="n">
        <v>0</v>
      </c>
      <c r="V10212" s="2" t="inlineStr"/>
    </row>
    <row r="10213" ht="15" customHeight="1">
      <c r="A10213" t="inlineStr">
        <is>
          <t>A 34330-2026</t>
        </is>
      </c>
      <c r="B10213" t="inlineStr">
        <is>
          <t>avverkningsanmälan</t>
        </is>
      </c>
      <c r="C10213" t="inlineStr">
        <is>
          <t>Föryngringsavverkning</t>
        </is>
      </c>
      <c r="D10213" s="1" t="n">
        <v>46254</v>
      </c>
      <c r="E10213" s="1" t="n">
        <v>46326</v>
      </c>
      <c r="F10213" t="inlineStr">
        <is>
          <t>GÄVLEBORGS LÄN</t>
        </is>
      </c>
      <c r="G10213" t="inlineStr">
        <is>
          <t>BOLLNÄS</t>
        </is>
      </c>
      <c r="H10213" t="inlineStr">
        <is>
          <t>Bergvik skog väst AB</t>
        </is>
      </c>
      <c r="I10213" t="n">
        <v>1.6</v>
      </c>
      <c r="J10213" t="n">
        <v>0</v>
      </c>
      <c r="K10213" t="n">
        <v>0</v>
      </c>
      <c r="L10213" t="n">
        <v>0</v>
      </c>
      <c r="M10213" t="n">
        <v>0</v>
      </c>
      <c r="N10213" t="n">
        <v>0</v>
      </c>
      <c r="O10213" t="n">
        <v>0</v>
      </c>
      <c r="P10213" t="n">
        <v>0</v>
      </c>
      <c r="Q10213" t="n">
        <v>0</v>
      </c>
      <c r="R10213" t="n">
        <v>0</v>
      </c>
      <c r="S10213" t="n">
        <v>0</v>
      </c>
      <c r="T10213" t="n">
        <v>0</v>
      </c>
      <c r="U10213" t="n">
        <v>0</v>
      </c>
      <c r="V10213" s="2" t="inlineStr"/>
    </row>
    <row r="10214" ht="15" customHeight="1">
      <c r="A10214" t="inlineStr">
        <is>
          <t>A 34580-2026</t>
        </is>
      </c>
      <c r="B10214" t="inlineStr">
        <is>
          <t>avverkningsanmälan</t>
        </is>
      </c>
      <c r="C10214" t="inlineStr">
        <is>
          <t>Föryngringsavverkning</t>
        </is>
      </c>
      <c r="D10214" s="1" t="n">
        <v>46255</v>
      </c>
      <c r="E10214" s="1" t="n">
        <v>46326</v>
      </c>
      <c r="F10214" t="inlineStr">
        <is>
          <t>GÄVLEBORGS LÄN</t>
        </is>
      </c>
      <c r="G10214" t="inlineStr">
        <is>
          <t>BOLLNÄS</t>
        </is>
      </c>
      <c r="I10214" t="n">
        <v>0.9</v>
      </c>
      <c r="J10214" t="n">
        <v>0</v>
      </c>
      <c r="K10214" t="n">
        <v>0</v>
      </c>
      <c r="L10214" t="n">
        <v>0</v>
      </c>
      <c r="M10214" t="n">
        <v>0</v>
      </c>
      <c r="N10214" t="n">
        <v>0</v>
      </c>
      <c r="O10214" t="n">
        <v>0</v>
      </c>
      <c r="P10214" t="n">
        <v>0</v>
      </c>
      <c r="Q10214" t="n">
        <v>0</v>
      </c>
      <c r="R10214" t="n">
        <v>0</v>
      </c>
      <c r="S10214" t="n">
        <v>0</v>
      </c>
      <c r="T10214" t="n">
        <v>0</v>
      </c>
      <c r="U10214" t="n">
        <v>0</v>
      </c>
      <c r="V10214" s="2" t="inlineStr"/>
    </row>
    <row r="10215" ht="15" customHeight="1">
      <c r="A10215" t="inlineStr">
        <is>
          <t>A 24452-2025</t>
        </is>
      </c>
      <c r="B10215" t="inlineStr">
        <is>
          <t>avverkningsanmälan</t>
        </is>
      </c>
      <c r="C10215" t="inlineStr">
        <is>
          <t>Föryngringsavverkning</t>
        </is>
      </c>
      <c r="D10215" s="1" t="n">
        <v>45798</v>
      </c>
      <c r="E10215" s="1" t="n">
        <v>46326</v>
      </c>
      <c r="F10215" t="inlineStr">
        <is>
          <t>GÄVLEBORGS LÄN</t>
        </is>
      </c>
      <c r="G10215" t="inlineStr">
        <is>
          <t>LJUSDAL</t>
        </is>
      </c>
      <c r="H10215" t="inlineStr">
        <is>
          <t>Holmen skog AB</t>
        </is>
      </c>
      <c r="I10215" t="n">
        <v>19.7</v>
      </c>
      <c r="J10215" t="n">
        <v>0</v>
      </c>
      <c r="K10215" t="n">
        <v>0</v>
      </c>
      <c r="L10215" t="n">
        <v>0</v>
      </c>
      <c r="M10215" t="n">
        <v>0</v>
      </c>
      <c r="N10215" t="n">
        <v>0</v>
      </c>
      <c r="O10215" t="n">
        <v>0</v>
      </c>
      <c r="P10215" t="n">
        <v>0</v>
      </c>
      <c r="Q10215" t="n">
        <v>0</v>
      </c>
      <c r="R10215" t="n">
        <v>0</v>
      </c>
      <c r="S10215" t="n">
        <v>0</v>
      </c>
      <c r="T10215" t="n">
        <v>0</v>
      </c>
      <c r="U10215" t="n">
        <v>0</v>
      </c>
      <c r="V10215" s="2" t="inlineStr"/>
    </row>
    <row r="10216" ht="15" customHeight="1">
      <c r="A10216" t="inlineStr">
        <is>
          <t>A 24937-2025</t>
        </is>
      </c>
      <c r="B10216" t="inlineStr">
        <is>
          <t>avverkningsanmälan</t>
        </is>
      </c>
      <c r="C10216" t="inlineStr">
        <is>
          <t>Föryngringsavverkning</t>
        </is>
      </c>
      <c r="D10216" s="1" t="n">
        <v>45799</v>
      </c>
      <c r="E10216" s="1" t="n">
        <v>46326</v>
      </c>
      <c r="F10216" t="inlineStr">
        <is>
          <t>GÄVLEBORGS LÄN</t>
        </is>
      </c>
      <c r="G10216" t="inlineStr">
        <is>
          <t>BOLLNÄS</t>
        </is>
      </c>
      <c r="I10216" t="n">
        <v>1.3</v>
      </c>
      <c r="J10216" t="n">
        <v>0</v>
      </c>
      <c r="K10216" t="n">
        <v>0</v>
      </c>
      <c r="L10216" t="n">
        <v>0</v>
      </c>
      <c r="M10216" t="n">
        <v>0</v>
      </c>
      <c r="N10216" t="n">
        <v>0</v>
      </c>
      <c r="O10216" t="n">
        <v>0</v>
      </c>
      <c r="P10216" t="n">
        <v>0</v>
      </c>
      <c r="Q10216" t="n">
        <v>0</v>
      </c>
      <c r="R10216" t="n">
        <v>0</v>
      </c>
      <c r="S10216" t="n">
        <v>0</v>
      </c>
      <c r="T10216" t="n">
        <v>0</v>
      </c>
      <c r="U10216" t="n">
        <v>0</v>
      </c>
      <c r="V10216" s="2" t="inlineStr"/>
    </row>
    <row r="10217" ht="15" customHeight="1">
      <c r="A10217" t="inlineStr">
        <is>
          <t>A 61612-2025</t>
        </is>
      </c>
      <c r="B10217" t="inlineStr">
        <is>
          <t>avverkningsanmälan</t>
        </is>
      </c>
      <c r="C10217" t="inlineStr">
        <is>
          <t>Föryngringsavverkning</t>
        </is>
      </c>
      <c r="D10217" s="1" t="n">
        <v>46002</v>
      </c>
      <c r="E10217" s="1" t="n">
        <v>46326</v>
      </c>
      <c r="F10217" t="inlineStr">
        <is>
          <t>GÄVLEBORGS LÄN</t>
        </is>
      </c>
      <c r="G10217" t="inlineStr">
        <is>
          <t>BOLLNÄS</t>
        </is>
      </c>
      <c r="I10217" t="n">
        <v>0.4</v>
      </c>
      <c r="J10217" t="n">
        <v>0</v>
      </c>
      <c r="K10217" t="n">
        <v>0</v>
      </c>
      <c r="L10217" t="n">
        <v>0</v>
      </c>
      <c r="M10217" t="n">
        <v>0</v>
      </c>
      <c r="N10217" t="n">
        <v>0</v>
      </c>
      <c r="O10217" t="n">
        <v>0</v>
      </c>
      <c r="P10217" t="n">
        <v>0</v>
      </c>
      <c r="Q10217" t="n">
        <v>0</v>
      </c>
      <c r="R10217" t="n">
        <v>0</v>
      </c>
      <c r="S10217" t="n">
        <v>0</v>
      </c>
      <c r="T10217" t="n">
        <v>0</v>
      </c>
      <c r="U10217" t="n">
        <v>0</v>
      </c>
      <c r="V10217" s="2" t="inlineStr"/>
    </row>
    <row r="10218" ht="15" customHeight="1">
      <c r="A10218" t="inlineStr">
        <is>
          <t>A 61622-2025</t>
        </is>
      </c>
      <c r="B10218" t="inlineStr">
        <is>
          <t>avverkningsanmälan</t>
        </is>
      </c>
      <c r="C10218" t="inlineStr">
        <is>
          <t>Föryngringsavverkning</t>
        </is>
      </c>
      <c r="D10218" s="1" t="n">
        <v>46002</v>
      </c>
      <c r="E10218" s="1" t="n">
        <v>46326</v>
      </c>
      <c r="F10218" t="inlineStr">
        <is>
          <t>GÄVLEBORGS LÄN</t>
        </is>
      </c>
      <c r="G10218" t="inlineStr">
        <is>
          <t>BOLLNÄS</t>
        </is>
      </c>
      <c r="I10218" t="n">
        <v>0.9</v>
      </c>
      <c r="J10218" t="n">
        <v>0</v>
      </c>
      <c r="K10218" t="n">
        <v>0</v>
      </c>
      <c r="L10218" t="n">
        <v>0</v>
      </c>
      <c r="M10218" t="n">
        <v>0</v>
      </c>
      <c r="N10218" t="n">
        <v>0</v>
      </c>
      <c r="O10218" t="n">
        <v>0</v>
      </c>
      <c r="P10218" t="n">
        <v>0</v>
      </c>
      <c r="Q10218" t="n">
        <v>0</v>
      </c>
      <c r="R10218" t="n">
        <v>0</v>
      </c>
      <c r="S10218" t="n">
        <v>0</v>
      </c>
      <c r="T10218" t="n">
        <v>0</v>
      </c>
      <c r="U10218" t="n">
        <v>0</v>
      </c>
      <c r="V10218" s="2" t="inlineStr"/>
    </row>
    <row r="10219" ht="15" customHeight="1">
      <c r="A10219" t="inlineStr">
        <is>
          <t>A 31676-2022</t>
        </is>
      </c>
      <c r="B10219" t="inlineStr">
        <is>
          <t>avverkningsanmälan</t>
        </is>
      </c>
      <c r="C10219" t="inlineStr">
        <is>
          <t>Avverkning för annat ändamål</t>
        </is>
      </c>
      <c r="D10219" s="1" t="n">
        <v>44776</v>
      </c>
      <c r="E10219" s="1" t="n">
        <v>46326</v>
      </c>
      <c r="F10219" t="inlineStr">
        <is>
          <t>GÄVLEBORGS LÄN</t>
        </is>
      </c>
      <c r="G10219" t="inlineStr">
        <is>
          <t>SÖDERHAMN</t>
        </is>
      </c>
      <c r="H10219" t="inlineStr">
        <is>
          <t>Bergvik skog väst AB</t>
        </is>
      </c>
      <c r="I10219" t="n">
        <v>4.6</v>
      </c>
      <c r="J10219" t="n">
        <v>0</v>
      </c>
      <c r="K10219" t="n">
        <v>0</v>
      </c>
      <c r="L10219" t="n">
        <v>0</v>
      </c>
      <c r="M10219" t="n">
        <v>0</v>
      </c>
      <c r="N10219" t="n">
        <v>0</v>
      </c>
      <c r="O10219" t="n">
        <v>0</v>
      </c>
      <c r="P10219" t="n">
        <v>0</v>
      </c>
      <c r="Q10219" t="n">
        <v>0</v>
      </c>
      <c r="R10219" t="n">
        <v>0</v>
      </c>
      <c r="S10219" t="n">
        <v>0</v>
      </c>
      <c r="T10219" t="n">
        <v>0</v>
      </c>
      <c r="U10219" t="n">
        <v>0</v>
      </c>
      <c r="V10219" s="2" t="inlineStr"/>
    </row>
    <row r="10220" ht="15" customHeight="1">
      <c r="A10220" t="inlineStr">
        <is>
          <t>A 58373-2024</t>
        </is>
      </c>
      <c r="B10220" t="inlineStr">
        <is>
          <t>avverkningsanmälan</t>
        </is>
      </c>
      <c r="C10220" t="inlineStr">
        <is>
          <t>Föryngringsavverkning</t>
        </is>
      </c>
      <c r="D10220" s="1" t="n">
        <v>45632</v>
      </c>
      <c r="E10220" s="1" t="n">
        <v>46326</v>
      </c>
      <c r="F10220" t="inlineStr">
        <is>
          <t>GÄVLEBORGS LÄN</t>
        </is>
      </c>
      <c r="G10220" t="inlineStr">
        <is>
          <t>GÄVLE</t>
        </is>
      </c>
      <c r="I10220" t="n">
        <v>13.1</v>
      </c>
      <c r="J10220" t="n">
        <v>0</v>
      </c>
      <c r="K10220" t="n">
        <v>0</v>
      </c>
      <c r="L10220" t="n">
        <v>0</v>
      </c>
      <c r="M10220" t="n">
        <v>0</v>
      </c>
      <c r="N10220" t="n">
        <v>0</v>
      </c>
      <c r="O10220" t="n">
        <v>0</v>
      </c>
      <c r="P10220" t="n">
        <v>0</v>
      </c>
      <c r="Q10220" t="n">
        <v>0</v>
      </c>
      <c r="R10220" t="n">
        <v>0</v>
      </c>
      <c r="S10220" t="n">
        <v>0</v>
      </c>
      <c r="T10220" t="n">
        <v>0</v>
      </c>
      <c r="U10220" t="n">
        <v>0</v>
      </c>
      <c r="V10220" s="2" t="inlineStr"/>
    </row>
    <row r="10221" ht="15" customHeight="1">
      <c r="A10221" t="inlineStr">
        <is>
          <t>A 40791-2026</t>
        </is>
      </c>
      <c r="B10221" t="inlineStr">
        <is>
          <t>avverkningsanmälan</t>
        </is>
      </c>
      <c r="C10221" t="inlineStr">
        <is>
          <t>Föryngringsavverkning</t>
        </is>
      </c>
      <c r="D10221" s="1" t="n">
        <v>46296</v>
      </c>
      <c r="E10221" s="1" t="n">
        <v>46326</v>
      </c>
      <c r="F10221" t="inlineStr">
        <is>
          <t>GÄVLEBORGS LÄN</t>
        </is>
      </c>
      <c r="G10221" t="inlineStr">
        <is>
          <t>GÄVLE</t>
        </is>
      </c>
      <c r="H10221" t="inlineStr">
        <is>
          <t>Bergvik skog öst AB</t>
        </is>
      </c>
      <c r="I10221" t="n">
        <v>1</v>
      </c>
      <c r="J10221" t="n">
        <v>0</v>
      </c>
      <c r="K10221" t="n">
        <v>0</v>
      </c>
      <c r="L10221" t="n">
        <v>0</v>
      </c>
      <c r="M10221" t="n">
        <v>0</v>
      </c>
      <c r="N10221" t="n">
        <v>0</v>
      </c>
      <c r="O10221" t="n">
        <v>0</v>
      </c>
      <c r="P10221" t="n">
        <v>0</v>
      </c>
      <c r="Q10221" t="n">
        <v>0</v>
      </c>
      <c r="R10221" t="n">
        <v>0</v>
      </c>
      <c r="S10221" t="n">
        <v>0</v>
      </c>
      <c r="T10221" t="n">
        <v>0</v>
      </c>
      <c r="U10221" t="n">
        <v>0</v>
      </c>
      <c r="V10221" s="2" t="inlineStr"/>
    </row>
    <row r="10222" ht="15" customHeight="1">
      <c r="A10222" t="inlineStr">
        <is>
          <t>A 40818-2026</t>
        </is>
      </c>
      <c r="B10222" t="inlineStr">
        <is>
          <t>avverkningsanmälan</t>
        </is>
      </c>
      <c r="C10222" t="inlineStr">
        <is>
          <t>Föryngringsavverkning</t>
        </is>
      </c>
      <c r="D10222" s="1" t="n">
        <v>46296</v>
      </c>
      <c r="E10222" s="1" t="n">
        <v>46326</v>
      </c>
      <c r="F10222" t="inlineStr">
        <is>
          <t>GÄVLEBORGS LÄN</t>
        </is>
      </c>
      <c r="G10222" t="inlineStr">
        <is>
          <t>SÖDERHAMN</t>
        </is>
      </c>
      <c r="I10222" t="n">
        <v>0.3</v>
      </c>
      <c r="J10222" t="n">
        <v>0</v>
      </c>
      <c r="K10222" t="n">
        <v>0</v>
      </c>
      <c r="L10222" t="n">
        <v>0</v>
      </c>
      <c r="M10222" t="n">
        <v>0</v>
      </c>
      <c r="N10222" t="n">
        <v>0</v>
      </c>
      <c r="O10222" t="n">
        <v>0</v>
      </c>
      <c r="P10222" t="n">
        <v>0</v>
      </c>
      <c r="Q10222" t="n">
        <v>0</v>
      </c>
      <c r="R10222" t="n">
        <v>0</v>
      </c>
      <c r="S10222" t="n">
        <v>0</v>
      </c>
      <c r="T10222" t="n">
        <v>0</v>
      </c>
      <c r="U10222" t="n">
        <v>0</v>
      </c>
      <c r="V10222" s="2" t="inlineStr"/>
    </row>
    <row r="10223" ht="15" customHeight="1">
      <c r="A10223" t="inlineStr">
        <is>
          <t>A 31367-2024</t>
        </is>
      </c>
      <c r="B10223" t="inlineStr">
        <is>
          <t>avverkningsanmälan</t>
        </is>
      </c>
      <c r="C10223" t="inlineStr">
        <is>
          <t>Föryngringsavverkning</t>
        </is>
      </c>
      <c r="D10223" s="1" t="n">
        <v>45505</v>
      </c>
      <c r="E10223" s="1" t="n">
        <v>46326</v>
      </c>
      <c r="F10223" t="inlineStr">
        <is>
          <t>GÄVLEBORGS LÄN</t>
        </is>
      </c>
      <c r="G10223" t="inlineStr">
        <is>
          <t>GÄVLE</t>
        </is>
      </c>
      <c r="I10223" t="n">
        <v>0.9</v>
      </c>
      <c r="J10223" t="n">
        <v>0</v>
      </c>
      <c r="K10223" t="n">
        <v>0</v>
      </c>
      <c r="L10223" t="n">
        <v>0</v>
      </c>
      <c r="M10223" t="n">
        <v>0</v>
      </c>
      <c r="N10223" t="n">
        <v>0</v>
      </c>
      <c r="O10223" t="n">
        <v>0</v>
      </c>
      <c r="P10223" t="n">
        <v>0</v>
      </c>
      <c r="Q10223" t="n">
        <v>0</v>
      </c>
      <c r="R10223" t="n">
        <v>0</v>
      </c>
      <c r="S10223" t="n">
        <v>0</v>
      </c>
      <c r="T10223" t="n">
        <v>0</v>
      </c>
      <c r="U10223" t="n">
        <v>0</v>
      </c>
      <c r="V10223" s="2" t="inlineStr"/>
    </row>
    <row r="10224" ht="15" customHeight="1">
      <c r="A10224" t="inlineStr">
        <is>
          <t>A 24918-2025</t>
        </is>
      </c>
      <c r="B10224" t="inlineStr">
        <is>
          <t>avverkningsanmälan</t>
        </is>
      </c>
      <c r="C10224" t="inlineStr">
        <is>
          <t>Föryngringsavverkning</t>
        </is>
      </c>
      <c r="D10224" s="1" t="n">
        <v>45799</v>
      </c>
      <c r="E10224" s="1" t="n">
        <v>46326</v>
      </c>
      <c r="F10224" t="inlineStr">
        <is>
          <t>GÄVLEBORGS LÄN</t>
        </is>
      </c>
      <c r="G10224" t="inlineStr">
        <is>
          <t>BOLLNÄS</t>
        </is>
      </c>
      <c r="I10224" t="n">
        <v>2.6</v>
      </c>
      <c r="J10224" t="n">
        <v>0</v>
      </c>
      <c r="K10224" t="n">
        <v>0</v>
      </c>
      <c r="L10224" t="n">
        <v>0</v>
      </c>
      <c r="M10224" t="n">
        <v>0</v>
      </c>
      <c r="N10224" t="n">
        <v>0</v>
      </c>
      <c r="O10224" t="n">
        <v>0</v>
      </c>
      <c r="P10224" t="n">
        <v>0</v>
      </c>
      <c r="Q10224" t="n">
        <v>0</v>
      </c>
      <c r="R10224" t="n">
        <v>0</v>
      </c>
      <c r="S10224" t="n">
        <v>0</v>
      </c>
      <c r="T10224" t="n">
        <v>0</v>
      </c>
      <c r="U10224" t="n">
        <v>0</v>
      </c>
      <c r="V10224" s="2" t="inlineStr"/>
    </row>
    <row r="10225" ht="15" customHeight="1">
      <c r="A10225" t="inlineStr">
        <is>
          <t>A 25048-2025</t>
        </is>
      </c>
      <c r="B10225" t="inlineStr">
        <is>
          <t>avverkningsanmälan</t>
        </is>
      </c>
      <c r="C10225" t="inlineStr">
        <is>
          <t>Föryngringsavverkning</t>
        </is>
      </c>
      <c r="D10225" s="1" t="n">
        <v>45799</v>
      </c>
      <c r="E10225" s="1" t="n">
        <v>46326</v>
      </c>
      <c r="F10225" t="inlineStr">
        <is>
          <t>GÄVLEBORGS LÄN</t>
        </is>
      </c>
      <c r="G10225" t="inlineStr">
        <is>
          <t>LJUSDAL</t>
        </is>
      </c>
      <c r="H10225" t="inlineStr">
        <is>
          <t>Holmen skog AB</t>
        </is>
      </c>
      <c r="I10225" t="n">
        <v>0.7</v>
      </c>
      <c r="J10225" t="n">
        <v>0</v>
      </c>
      <c r="K10225" t="n">
        <v>0</v>
      </c>
      <c r="L10225" t="n">
        <v>0</v>
      </c>
      <c r="M10225" t="n">
        <v>0</v>
      </c>
      <c r="N10225" t="n">
        <v>0</v>
      </c>
      <c r="O10225" t="n">
        <v>0</v>
      </c>
      <c r="P10225" t="n">
        <v>0</v>
      </c>
      <c r="Q10225" t="n">
        <v>0</v>
      </c>
      <c r="R10225" t="n">
        <v>0</v>
      </c>
      <c r="S10225" t="n">
        <v>0</v>
      </c>
      <c r="T10225" t="n">
        <v>0</v>
      </c>
      <c r="U10225" t="n">
        <v>0</v>
      </c>
      <c r="V10225" s="2" t="inlineStr"/>
    </row>
    <row r="10226" ht="15" customHeight="1">
      <c r="A10226" t="inlineStr">
        <is>
          <t>A 56820-2023</t>
        </is>
      </c>
      <c r="B10226" t="inlineStr">
        <is>
          <t>avverkningsanmälan</t>
        </is>
      </c>
      <c r="C10226" t="inlineStr">
        <is>
          <t>Föryngringsavverkning</t>
        </is>
      </c>
      <c r="D10226" s="1" t="n">
        <v>45244</v>
      </c>
      <c r="E10226" s="1" t="n">
        <v>46326</v>
      </c>
      <c r="F10226" t="inlineStr">
        <is>
          <t>GÄVLEBORGS LÄN</t>
        </is>
      </c>
      <c r="G10226" t="inlineStr">
        <is>
          <t>HUDIKSVALL</t>
        </is>
      </c>
      <c r="I10226" t="n">
        <v>1.1</v>
      </c>
      <c r="J10226" t="n">
        <v>0</v>
      </c>
      <c r="K10226" t="n">
        <v>0</v>
      </c>
      <c r="L10226" t="n">
        <v>0</v>
      </c>
      <c r="M10226" t="n">
        <v>0</v>
      </c>
      <c r="N10226" t="n">
        <v>0</v>
      </c>
      <c r="O10226" t="n">
        <v>0</v>
      </c>
      <c r="P10226" t="n">
        <v>0</v>
      </c>
      <c r="Q10226" t="n">
        <v>0</v>
      </c>
      <c r="R10226" t="n">
        <v>0</v>
      </c>
      <c r="S10226" t="n">
        <v>0</v>
      </c>
      <c r="T10226" t="n">
        <v>0</v>
      </c>
      <c r="U10226" t="n">
        <v>0</v>
      </c>
      <c r="V10226" s="2" t="inlineStr"/>
    </row>
    <row r="10227" ht="15" customHeight="1">
      <c r="A10227" t="inlineStr">
        <is>
          <t>A 14756-2026</t>
        </is>
      </c>
      <c r="B10227" t="inlineStr">
        <is>
          <t>avverkningsanmälan</t>
        </is>
      </c>
      <c r="C10227" t="inlineStr">
        <is>
          <t>Föryngringsavverkning</t>
        </is>
      </c>
      <c r="D10227" s="1" t="n">
        <v>46101</v>
      </c>
      <c r="E10227" s="1" t="n">
        <v>46326</v>
      </c>
      <c r="F10227" t="inlineStr">
        <is>
          <t>GÄVLEBORGS LÄN</t>
        </is>
      </c>
      <c r="G10227" t="inlineStr">
        <is>
          <t>OCKELBO</t>
        </is>
      </c>
      <c r="H10227" t="inlineStr">
        <is>
          <t>Bergvik skog väst AB</t>
        </is>
      </c>
      <c r="I10227" t="n">
        <v>1.5</v>
      </c>
      <c r="J10227" t="n">
        <v>0</v>
      </c>
      <c r="K10227" t="n">
        <v>0</v>
      </c>
      <c r="L10227" t="n">
        <v>0</v>
      </c>
      <c r="M10227" t="n">
        <v>0</v>
      </c>
      <c r="N10227" t="n">
        <v>0</v>
      </c>
      <c r="O10227" t="n">
        <v>0</v>
      </c>
      <c r="P10227" t="n">
        <v>0</v>
      </c>
      <c r="Q10227" t="n">
        <v>0</v>
      </c>
      <c r="R10227" t="n">
        <v>0</v>
      </c>
      <c r="S10227" t="n">
        <v>0</v>
      </c>
      <c r="T10227" t="n">
        <v>0</v>
      </c>
      <c r="U10227" t="n">
        <v>0</v>
      </c>
      <c r="V10227" s="2" t="inlineStr"/>
    </row>
    <row r="10228" ht="15" customHeight="1">
      <c r="A10228" t="inlineStr">
        <is>
          <t>A 24614-2025</t>
        </is>
      </c>
      <c r="B10228" t="inlineStr">
        <is>
          <t>avverkningsanmälan</t>
        </is>
      </c>
      <c r="C10228" t="inlineStr">
        <is>
          <t>Föryngringsavverkning</t>
        </is>
      </c>
      <c r="D10228" s="1" t="n">
        <v>45798</v>
      </c>
      <c r="E10228" s="1" t="n">
        <v>46326</v>
      </c>
      <c r="F10228" t="inlineStr">
        <is>
          <t>GÄVLEBORGS LÄN</t>
        </is>
      </c>
      <c r="G10228" t="inlineStr">
        <is>
          <t>GÄVLE</t>
        </is>
      </c>
      <c r="I10228" t="n">
        <v>0.6</v>
      </c>
      <c r="J10228" t="n">
        <v>0</v>
      </c>
      <c r="K10228" t="n">
        <v>0</v>
      </c>
      <c r="L10228" t="n">
        <v>0</v>
      </c>
      <c r="M10228" t="n">
        <v>0</v>
      </c>
      <c r="N10228" t="n">
        <v>0</v>
      </c>
      <c r="O10228" t="n">
        <v>0</v>
      </c>
      <c r="P10228" t="n">
        <v>0</v>
      </c>
      <c r="Q10228" t="n">
        <v>0</v>
      </c>
      <c r="R10228" t="n">
        <v>0</v>
      </c>
      <c r="S10228" t="n">
        <v>0</v>
      </c>
      <c r="T10228" t="n">
        <v>0</v>
      </c>
      <c r="U10228" t="n">
        <v>0</v>
      </c>
      <c r="V10228" s="2" t="inlineStr"/>
    </row>
    <row r="10229" ht="15" customHeight="1">
      <c r="A10229" t="inlineStr">
        <is>
          <t>A 24943-2025</t>
        </is>
      </c>
      <c r="B10229" t="inlineStr">
        <is>
          <t>avverkningsanmälan</t>
        </is>
      </c>
      <c r="C10229" t="inlineStr">
        <is>
          <t>Föryngringsavverkning</t>
        </is>
      </c>
      <c r="D10229" s="1" t="n">
        <v>45799</v>
      </c>
      <c r="E10229" s="1" t="n">
        <v>46326</v>
      </c>
      <c r="F10229" t="inlineStr">
        <is>
          <t>GÄVLEBORGS LÄN</t>
        </is>
      </c>
      <c r="G10229" t="inlineStr">
        <is>
          <t>LJUSDAL</t>
        </is>
      </c>
      <c r="H10229" t="inlineStr">
        <is>
          <t>Sveaskog</t>
        </is>
      </c>
      <c r="I10229" t="n">
        <v>5.5</v>
      </c>
      <c r="J10229" t="n">
        <v>0</v>
      </c>
      <c r="K10229" t="n">
        <v>0</v>
      </c>
      <c r="L10229" t="n">
        <v>0</v>
      </c>
      <c r="M10229" t="n">
        <v>0</v>
      </c>
      <c r="N10229" t="n">
        <v>0</v>
      </c>
      <c r="O10229" t="n">
        <v>0</v>
      </c>
      <c r="P10229" t="n">
        <v>0</v>
      </c>
      <c r="Q10229" t="n">
        <v>0</v>
      </c>
      <c r="R10229" t="n">
        <v>0</v>
      </c>
      <c r="S10229" t="n">
        <v>0</v>
      </c>
      <c r="T10229" t="n">
        <v>0</v>
      </c>
      <c r="U10229" t="n">
        <v>0</v>
      </c>
      <c r="V10229" s="2" t="inlineStr"/>
    </row>
    <row r="10230" ht="15" customHeight="1">
      <c r="A10230" t="inlineStr">
        <is>
          <t>A 25068-2025</t>
        </is>
      </c>
      <c r="B10230" t="inlineStr">
        <is>
          <t>avverkningsanmälan</t>
        </is>
      </c>
      <c r="C10230" t="inlineStr">
        <is>
          <t>Föryngringsavverkning</t>
        </is>
      </c>
      <c r="D10230" s="1" t="n">
        <v>45799</v>
      </c>
      <c r="E10230" s="1" t="n">
        <v>46326</v>
      </c>
      <c r="F10230" t="inlineStr">
        <is>
          <t>GÄVLEBORGS LÄN</t>
        </is>
      </c>
      <c r="G10230" t="inlineStr">
        <is>
          <t>NORDANSTIG</t>
        </is>
      </c>
      <c r="H10230" t="inlineStr">
        <is>
          <t>Holmen skog AB</t>
        </is>
      </c>
      <c r="I10230" t="n">
        <v>16.7</v>
      </c>
      <c r="J10230" t="n">
        <v>0</v>
      </c>
      <c r="K10230" t="n">
        <v>0</v>
      </c>
      <c r="L10230" t="n">
        <v>0</v>
      </c>
      <c r="M10230" t="n">
        <v>0</v>
      </c>
      <c r="N10230" t="n">
        <v>0</v>
      </c>
      <c r="O10230" t="n">
        <v>0</v>
      </c>
      <c r="P10230" t="n">
        <v>0</v>
      </c>
      <c r="Q10230" t="n">
        <v>0</v>
      </c>
      <c r="R10230" t="n">
        <v>0</v>
      </c>
      <c r="S10230" t="n">
        <v>0</v>
      </c>
      <c r="T10230" t="n">
        <v>0</v>
      </c>
      <c r="U10230" t="n">
        <v>0</v>
      </c>
      <c r="V10230" s="2" t="inlineStr"/>
    </row>
    <row r="10231" ht="15" customHeight="1">
      <c r="A10231" t="inlineStr">
        <is>
          <t>A 32968-2026</t>
        </is>
      </c>
      <c r="B10231" t="inlineStr">
        <is>
          <t>avverkningsanmälan</t>
        </is>
      </c>
      <c r="C10231" t="inlineStr">
        <is>
          <t>Föryngringsavverkning</t>
        </is>
      </c>
      <c r="D10231" s="1" t="n">
        <v>46244</v>
      </c>
      <c r="E10231" s="1" t="n">
        <v>46326</v>
      </c>
      <c r="F10231" t="inlineStr">
        <is>
          <t>GÄVLEBORGS LÄN</t>
        </is>
      </c>
      <c r="G10231" t="inlineStr">
        <is>
          <t>BOLLNÄS</t>
        </is>
      </c>
      <c r="H10231" t="inlineStr">
        <is>
          <t>Bergvik skog väst AB</t>
        </is>
      </c>
      <c r="I10231" t="n">
        <v>3.8</v>
      </c>
      <c r="J10231" t="n">
        <v>0</v>
      </c>
      <c r="K10231" t="n">
        <v>0</v>
      </c>
      <c r="L10231" t="n">
        <v>0</v>
      </c>
      <c r="M10231" t="n">
        <v>0</v>
      </c>
      <c r="N10231" t="n">
        <v>0</v>
      </c>
      <c r="O10231" t="n">
        <v>0</v>
      </c>
      <c r="P10231" t="n">
        <v>0</v>
      </c>
      <c r="Q10231" t="n">
        <v>0</v>
      </c>
      <c r="R10231" t="n">
        <v>0</v>
      </c>
      <c r="S10231" t="n">
        <v>0</v>
      </c>
      <c r="T10231" t="n">
        <v>0</v>
      </c>
      <c r="U10231" t="n">
        <v>0</v>
      </c>
      <c r="V10231" s="2" t="inlineStr"/>
    </row>
    <row r="10232" ht="15" customHeight="1">
      <c r="A10232" t="inlineStr">
        <is>
          <t>A 24610-2025</t>
        </is>
      </c>
      <c r="B10232" t="inlineStr">
        <is>
          <t>avverkningsanmälan</t>
        </is>
      </c>
      <c r="C10232" t="inlineStr">
        <is>
          <t>Föryngringsavverkning</t>
        </is>
      </c>
      <c r="D10232" s="1" t="n">
        <v>45798</v>
      </c>
      <c r="E10232" s="1" t="n">
        <v>46326</v>
      </c>
      <c r="F10232" t="inlineStr">
        <is>
          <t>GÄVLEBORGS LÄN</t>
        </is>
      </c>
      <c r="G10232" t="inlineStr">
        <is>
          <t>SÖDERHAMN</t>
        </is>
      </c>
      <c r="I10232" t="n">
        <v>0.9</v>
      </c>
      <c r="J10232" t="n">
        <v>0</v>
      </c>
      <c r="K10232" t="n">
        <v>0</v>
      </c>
      <c r="L10232" t="n">
        <v>0</v>
      </c>
      <c r="M10232" t="n">
        <v>0</v>
      </c>
      <c r="N10232" t="n">
        <v>0</v>
      </c>
      <c r="O10232" t="n">
        <v>0</v>
      </c>
      <c r="P10232" t="n">
        <v>0</v>
      </c>
      <c r="Q10232" t="n">
        <v>0</v>
      </c>
      <c r="R10232" t="n">
        <v>0</v>
      </c>
      <c r="S10232" t="n">
        <v>0</v>
      </c>
      <c r="T10232" t="n">
        <v>0</v>
      </c>
      <c r="U10232" t="n">
        <v>0</v>
      </c>
      <c r="V10232" s="2" t="inlineStr"/>
    </row>
    <row r="10233" ht="15" customHeight="1">
      <c r="A10233" t="inlineStr">
        <is>
          <t>A 25723-2024</t>
        </is>
      </c>
      <c r="B10233" t="inlineStr">
        <is>
          <t>avverkningsanmälan</t>
        </is>
      </c>
      <c r="C10233" t="inlineStr">
        <is>
          <t>Föryngringsavverkning</t>
        </is>
      </c>
      <c r="D10233" s="1" t="n">
        <v>45463</v>
      </c>
      <c r="E10233" s="1" t="n">
        <v>46326</v>
      </c>
      <c r="F10233" t="inlineStr">
        <is>
          <t>GÄVLEBORGS LÄN</t>
        </is>
      </c>
      <c r="G10233" t="inlineStr">
        <is>
          <t>NORDANSTIG</t>
        </is>
      </c>
      <c r="I10233" t="n">
        <v>1.1</v>
      </c>
      <c r="J10233" t="n">
        <v>0</v>
      </c>
      <c r="K10233" t="n">
        <v>0</v>
      </c>
      <c r="L10233" t="n">
        <v>0</v>
      </c>
      <c r="M10233" t="n">
        <v>0</v>
      </c>
      <c r="N10233" t="n">
        <v>0</v>
      </c>
      <c r="O10233" t="n">
        <v>0</v>
      </c>
      <c r="P10233" t="n">
        <v>0</v>
      </c>
      <c r="Q10233" t="n">
        <v>0</v>
      </c>
      <c r="R10233" t="n">
        <v>0</v>
      </c>
      <c r="S10233" t="n">
        <v>0</v>
      </c>
      <c r="T10233" t="n">
        <v>0</v>
      </c>
      <c r="U10233" t="n">
        <v>0</v>
      </c>
      <c r="V10233" s="2" t="inlineStr"/>
    </row>
    <row r="10234" ht="15" customHeight="1">
      <c r="A10234" t="inlineStr">
        <is>
          <t>A 40817-2026</t>
        </is>
      </c>
      <c r="B10234" t="inlineStr">
        <is>
          <t>avverkningsanmälan</t>
        </is>
      </c>
      <c r="C10234" t="inlineStr">
        <is>
          <t>Föryngringsavverkning</t>
        </is>
      </c>
      <c r="D10234" s="1" t="n">
        <v>46296</v>
      </c>
      <c r="E10234" s="1" t="n">
        <v>46326</v>
      </c>
      <c r="F10234" t="inlineStr">
        <is>
          <t>GÄVLEBORGS LÄN</t>
        </is>
      </c>
      <c r="G10234" t="inlineStr">
        <is>
          <t>SÖDERHAMN</t>
        </is>
      </c>
      <c r="I10234" t="n">
        <v>4.4</v>
      </c>
      <c r="J10234" t="n">
        <v>0</v>
      </c>
      <c r="K10234" t="n">
        <v>0</v>
      </c>
      <c r="L10234" t="n">
        <v>0</v>
      </c>
      <c r="M10234" t="n">
        <v>0</v>
      </c>
      <c r="N10234" t="n">
        <v>0</v>
      </c>
      <c r="O10234" t="n">
        <v>0</v>
      </c>
      <c r="P10234" t="n">
        <v>0</v>
      </c>
      <c r="Q10234" t="n">
        <v>0</v>
      </c>
      <c r="R10234" t="n">
        <v>0</v>
      </c>
      <c r="S10234" t="n">
        <v>0</v>
      </c>
      <c r="T10234" t="n">
        <v>0</v>
      </c>
      <c r="U10234" t="n">
        <v>0</v>
      </c>
      <c r="V10234" s="2" t="inlineStr"/>
    </row>
    <row r="10235" ht="15" customHeight="1">
      <c r="A10235" t="inlineStr">
        <is>
          <t>A 40881-2026</t>
        </is>
      </c>
      <c r="B10235" t="inlineStr">
        <is>
          <t>avverkningsanmälan</t>
        </is>
      </c>
      <c r="C10235" t="inlineStr">
        <is>
          <t>Föryngringsavverkning</t>
        </is>
      </c>
      <c r="D10235" s="1" t="n">
        <v>46297</v>
      </c>
      <c r="E10235" s="1" t="n">
        <v>46326</v>
      </c>
      <c r="F10235" t="inlineStr">
        <is>
          <t>GÄVLEBORGS LÄN</t>
        </is>
      </c>
      <c r="G10235" t="inlineStr">
        <is>
          <t>OCKELBO</t>
        </is>
      </c>
      <c r="I10235" t="n">
        <v>1</v>
      </c>
      <c r="J10235" t="n">
        <v>0</v>
      </c>
      <c r="K10235" t="n">
        <v>0</v>
      </c>
      <c r="L10235" t="n">
        <v>0</v>
      </c>
      <c r="M10235" t="n">
        <v>0</v>
      </c>
      <c r="N10235" t="n">
        <v>0</v>
      </c>
      <c r="O10235" t="n">
        <v>0</v>
      </c>
      <c r="P10235" t="n">
        <v>0</v>
      </c>
      <c r="Q10235" t="n">
        <v>0</v>
      </c>
      <c r="R10235" t="n">
        <v>0</v>
      </c>
      <c r="S10235" t="n">
        <v>0</v>
      </c>
      <c r="T10235" t="n">
        <v>0</v>
      </c>
      <c r="U10235" t="n">
        <v>0</v>
      </c>
      <c r="V10235" s="2" t="inlineStr"/>
    </row>
    <row r="10236" ht="15" customHeight="1">
      <c r="A10236" t="inlineStr">
        <is>
          <t>A 24778-2025</t>
        </is>
      </c>
      <c r="B10236" t="inlineStr">
        <is>
          <t>avverkningsanmälan</t>
        </is>
      </c>
      <c r="C10236" t="inlineStr">
        <is>
          <t>Föryngringsavverkning</t>
        </is>
      </c>
      <c r="D10236" s="1" t="n">
        <v>45799</v>
      </c>
      <c r="E10236" s="1" t="n">
        <v>46326</v>
      </c>
      <c r="F10236" t="inlineStr">
        <is>
          <t>GÄVLEBORGS LÄN</t>
        </is>
      </c>
      <c r="G10236" t="inlineStr">
        <is>
          <t>LJUSDAL</t>
        </is>
      </c>
      <c r="I10236" t="n">
        <v>6.3</v>
      </c>
      <c r="J10236" t="n">
        <v>0</v>
      </c>
      <c r="K10236" t="n">
        <v>0</v>
      </c>
      <c r="L10236" t="n">
        <v>0</v>
      </c>
      <c r="M10236" t="n">
        <v>0</v>
      </c>
      <c r="N10236" t="n">
        <v>0</v>
      </c>
      <c r="O10236" t="n">
        <v>0</v>
      </c>
      <c r="P10236" t="n">
        <v>0</v>
      </c>
      <c r="Q10236" t="n">
        <v>0</v>
      </c>
      <c r="R10236" t="n">
        <v>0</v>
      </c>
      <c r="S10236" t="n">
        <v>0</v>
      </c>
      <c r="T10236" t="n">
        <v>0</v>
      </c>
      <c r="U10236" t="n">
        <v>0</v>
      </c>
      <c r="V10236" s="2" t="inlineStr"/>
    </row>
    <row r="10237" ht="15" customHeight="1">
      <c r="A10237" t="inlineStr">
        <is>
          <t>A 33981-2024</t>
        </is>
      </c>
      <c r="B10237" t="inlineStr">
        <is>
          <t>avverkningsanmälan</t>
        </is>
      </c>
      <c r="C10237" t="inlineStr">
        <is>
          <t>Föryngringsavverkning</t>
        </is>
      </c>
      <c r="D10237" s="1" t="n">
        <v>45523</v>
      </c>
      <c r="E10237" s="1" t="n">
        <v>46326</v>
      </c>
      <c r="F10237" t="inlineStr">
        <is>
          <t>GÄVLEBORGS LÄN</t>
        </is>
      </c>
      <c r="G10237" t="inlineStr">
        <is>
          <t>HOFORS</t>
        </is>
      </c>
      <c r="I10237" t="n">
        <v>2.3</v>
      </c>
      <c r="J10237" t="n">
        <v>0</v>
      </c>
      <c r="K10237" t="n">
        <v>0</v>
      </c>
      <c r="L10237" t="n">
        <v>0</v>
      </c>
      <c r="M10237" t="n">
        <v>0</v>
      </c>
      <c r="N10237" t="n">
        <v>0</v>
      </c>
      <c r="O10237" t="n">
        <v>0</v>
      </c>
      <c r="P10237" t="n">
        <v>0</v>
      </c>
      <c r="Q10237" t="n">
        <v>0</v>
      </c>
      <c r="R10237" t="n">
        <v>0</v>
      </c>
      <c r="S10237" t="n">
        <v>0</v>
      </c>
      <c r="T10237" t="n">
        <v>0</v>
      </c>
      <c r="U10237" t="n">
        <v>0</v>
      </c>
      <c r="V10237" s="2" t="inlineStr"/>
    </row>
    <row r="10238" ht="15" customHeight="1">
      <c r="A10238" t="inlineStr">
        <is>
          <t>A 40771-2026</t>
        </is>
      </c>
      <c r="B10238" t="inlineStr">
        <is>
          <t>avverkningsanmälan</t>
        </is>
      </c>
      <c r="C10238" t="inlineStr">
        <is>
          <t>Föryngringsavverkning</t>
        </is>
      </c>
      <c r="D10238" s="1" t="n">
        <v>46296</v>
      </c>
      <c r="E10238" s="1" t="n">
        <v>46326</v>
      </c>
      <c r="F10238" t="inlineStr">
        <is>
          <t>GÄVLEBORGS LÄN</t>
        </is>
      </c>
      <c r="G10238" t="inlineStr">
        <is>
          <t>BOLLNÄS</t>
        </is>
      </c>
      <c r="H10238" t="inlineStr">
        <is>
          <t>Sveaskog</t>
        </is>
      </c>
      <c r="I10238" t="n">
        <v>6.2</v>
      </c>
      <c r="J10238" t="n">
        <v>0</v>
      </c>
      <c r="K10238" t="n">
        <v>0</v>
      </c>
      <c r="L10238" t="n">
        <v>0</v>
      </c>
      <c r="M10238" t="n">
        <v>0</v>
      </c>
      <c r="N10238" t="n">
        <v>0</v>
      </c>
      <c r="O10238" t="n">
        <v>0</v>
      </c>
      <c r="P10238" t="n">
        <v>0</v>
      </c>
      <c r="Q10238" t="n">
        <v>0</v>
      </c>
      <c r="R10238" t="n">
        <v>0</v>
      </c>
      <c r="S10238" t="n">
        <v>0</v>
      </c>
      <c r="T10238" t="n">
        <v>0</v>
      </c>
      <c r="U10238" t="n">
        <v>0</v>
      </c>
      <c r="V10238" s="2" t="inlineStr"/>
    </row>
    <row r="10239" ht="15" customHeight="1">
      <c r="A10239" t="inlineStr">
        <is>
          <t>A 40781-2026</t>
        </is>
      </c>
      <c r="B10239" t="inlineStr">
        <is>
          <t>avverkningsanmälan</t>
        </is>
      </c>
      <c r="C10239" t="inlineStr">
        <is>
          <t>Föryngringsavverkning</t>
        </is>
      </c>
      <c r="D10239" s="1" t="n">
        <v>46295</v>
      </c>
      <c r="E10239" s="1" t="n">
        <v>46326</v>
      </c>
      <c r="F10239" t="inlineStr">
        <is>
          <t>GÄVLEBORGS LÄN</t>
        </is>
      </c>
      <c r="G10239" t="inlineStr">
        <is>
          <t>SÖDERHAMN</t>
        </is>
      </c>
      <c r="I10239" t="n">
        <v>7.2</v>
      </c>
      <c r="J10239" t="n">
        <v>0</v>
      </c>
      <c r="K10239" t="n">
        <v>0</v>
      </c>
      <c r="L10239" t="n">
        <v>0</v>
      </c>
      <c r="M10239" t="n">
        <v>0</v>
      </c>
      <c r="N10239" t="n">
        <v>0</v>
      </c>
      <c r="O10239" t="n">
        <v>0</v>
      </c>
      <c r="P10239" t="n">
        <v>0</v>
      </c>
      <c r="Q10239" t="n">
        <v>0</v>
      </c>
      <c r="R10239" t="n">
        <v>0</v>
      </c>
      <c r="S10239" t="n">
        <v>0</v>
      </c>
      <c r="T10239" t="n">
        <v>0</v>
      </c>
      <c r="U10239" t="n">
        <v>0</v>
      </c>
      <c r="V10239" s="2" t="inlineStr"/>
    </row>
    <row r="10240" ht="15" customHeight="1">
      <c r="A10240" t="inlineStr">
        <is>
          <t>A 53322-2024</t>
        </is>
      </c>
      <c r="B10240" t="inlineStr">
        <is>
          <t>avverkningsanmälan</t>
        </is>
      </c>
      <c r="C10240" t="inlineStr">
        <is>
          <t>Föryngringsavverkning</t>
        </is>
      </c>
      <c r="D10240" s="1" t="n">
        <v>45614</v>
      </c>
      <c r="E10240" s="1" t="n">
        <v>46326</v>
      </c>
      <c r="F10240" t="inlineStr">
        <is>
          <t>GÄVLEBORGS LÄN</t>
        </is>
      </c>
      <c r="G10240" t="inlineStr">
        <is>
          <t>SANDVIKEN</t>
        </is>
      </c>
      <c r="I10240" t="n">
        <v>2.7</v>
      </c>
      <c r="J10240" t="n">
        <v>0</v>
      </c>
      <c r="K10240" t="n">
        <v>0</v>
      </c>
      <c r="L10240" t="n">
        <v>0</v>
      </c>
      <c r="M10240" t="n">
        <v>0</v>
      </c>
      <c r="N10240" t="n">
        <v>0</v>
      </c>
      <c r="O10240" t="n">
        <v>0</v>
      </c>
      <c r="P10240" t="n">
        <v>0</v>
      </c>
      <c r="Q10240" t="n">
        <v>0</v>
      </c>
      <c r="R10240" t="n">
        <v>0</v>
      </c>
      <c r="S10240" t="n">
        <v>0</v>
      </c>
      <c r="T10240" t="n">
        <v>0</v>
      </c>
      <c r="U10240" t="n">
        <v>0</v>
      </c>
      <c r="V10240" s="2" t="inlineStr"/>
    </row>
    <row r="10241" ht="15" customHeight="1">
      <c r="A10241" t="inlineStr">
        <is>
          <t>A 62361-2025</t>
        </is>
      </c>
      <c r="B10241" t="inlineStr">
        <is>
          <t>avverkningsanmälan</t>
        </is>
      </c>
      <c r="C10241" t="inlineStr">
        <is>
          <t>Föryngringsavverkning</t>
        </is>
      </c>
      <c r="D10241" s="1" t="n">
        <v>46007</v>
      </c>
      <c r="E10241" s="1" t="n">
        <v>46326</v>
      </c>
      <c r="F10241" t="inlineStr">
        <is>
          <t>GÄVLEBORGS LÄN</t>
        </is>
      </c>
      <c r="G10241" t="inlineStr">
        <is>
          <t>LJUSDAL</t>
        </is>
      </c>
      <c r="I10241" t="n">
        <v>4.1</v>
      </c>
      <c r="J10241" t="n">
        <v>0</v>
      </c>
      <c r="K10241" t="n">
        <v>0</v>
      </c>
      <c r="L10241" t="n">
        <v>0</v>
      </c>
      <c r="M10241" t="n">
        <v>0</v>
      </c>
      <c r="N10241" t="n">
        <v>0</v>
      </c>
      <c r="O10241" t="n">
        <v>0</v>
      </c>
      <c r="P10241" t="n">
        <v>0</v>
      </c>
      <c r="Q10241" t="n">
        <v>0</v>
      </c>
      <c r="R10241" t="n">
        <v>0</v>
      </c>
      <c r="S10241" t="n">
        <v>0</v>
      </c>
      <c r="T10241" t="n">
        <v>0</v>
      </c>
      <c r="U10241" t="n">
        <v>0</v>
      </c>
      <c r="V10241" s="2" t="inlineStr"/>
    </row>
    <row r="10242" ht="15" customHeight="1">
      <c r="A10242" t="inlineStr">
        <is>
          <t>A 40723-2026</t>
        </is>
      </c>
      <c r="B10242" t="inlineStr">
        <is>
          <t>avverkningsanmälan</t>
        </is>
      </c>
      <c r="C10242" t="inlineStr">
        <is>
          <t>Föryngringsavverkning</t>
        </is>
      </c>
      <c r="D10242" s="1" t="n">
        <v>46296</v>
      </c>
      <c r="E10242" s="1" t="n">
        <v>46326</v>
      </c>
      <c r="F10242" t="inlineStr">
        <is>
          <t>GÄVLEBORGS LÄN</t>
        </is>
      </c>
      <c r="G10242" t="inlineStr">
        <is>
          <t>NORDANSTIG</t>
        </is>
      </c>
      <c r="H10242" t="inlineStr">
        <is>
          <t>Holmen skog AB</t>
        </is>
      </c>
      <c r="I10242" t="n">
        <v>1</v>
      </c>
      <c r="J10242" t="n">
        <v>0</v>
      </c>
      <c r="K10242" t="n">
        <v>0</v>
      </c>
      <c r="L10242" t="n">
        <v>0</v>
      </c>
      <c r="M10242" t="n">
        <v>0</v>
      </c>
      <c r="N10242" t="n">
        <v>0</v>
      </c>
      <c r="O10242" t="n">
        <v>0</v>
      </c>
      <c r="P10242" t="n">
        <v>0</v>
      </c>
      <c r="Q10242" t="n">
        <v>0</v>
      </c>
      <c r="R10242" t="n">
        <v>0</v>
      </c>
      <c r="S10242" t="n">
        <v>0</v>
      </c>
      <c r="T10242" t="n">
        <v>0</v>
      </c>
      <c r="U10242" t="n">
        <v>0</v>
      </c>
      <c r="V10242" s="2" t="inlineStr"/>
    </row>
    <row r="10243" ht="15" customHeight="1">
      <c r="A10243" t="inlineStr">
        <is>
          <t>A 40798-2026</t>
        </is>
      </c>
      <c r="B10243" t="inlineStr">
        <is>
          <t>avverkningsanmälan</t>
        </is>
      </c>
      <c r="C10243" t="inlineStr">
        <is>
          <t>Föryngringsavverkning</t>
        </is>
      </c>
      <c r="D10243" s="1" t="n">
        <v>46296</v>
      </c>
      <c r="E10243" s="1" t="n">
        <v>46326</v>
      </c>
      <c r="F10243" t="inlineStr">
        <is>
          <t>GÄVLEBORGS LÄN</t>
        </is>
      </c>
      <c r="G10243" t="inlineStr">
        <is>
          <t>SÖDERHAMN</t>
        </is>
      </c>
      <c r="I10243" t="n">
        <v>6.4</v>
      </c>
      <c r="J10243" t="n">
        <v>0</v>
      </c>
      <c r="K10243" t="n">
        <v>0</v>
      </c>
      <c r="L10243" t="n">
        <v>0</v>
      </c>
      <c r="M10243" t="n">
        <v>0</v>
      </c>
      <c r="N10243" t="n">
        <v>0</v>
      </c>
      <c r="O10243" t="n">
        <v>0</v>
      </c>
      <c r="P10243" t="n">
        <v>0</v>
      </c>
      <c r="Q10243" t="n">
        <v>0</v>
      </c>
      <c r="R10243" t="n">
        <v>0</v>
      </c>
      <c r="S10243" t="n">
        <v>0</v>
      </c>
      <c r="T10243" t="n">
        <v>0</v>
      </c>
      <c r="U10243" t="n">
        <v>0</v>
      </c>
      <c r="V10243" s="2" t="inlineStr"/>
    </row>
    <row r="10244" ht="15" customHeight="1">
      <c r="A10244" t="inlineStr">
        <is>
          <t>A 9425-2026</t>
        </is>
      </c>
      <c r="B10244" t="inlineStr">
        <is>
          <t>avverkningsanmälan</t>
        </is>
      </c>
      <c r="C10244" t="inlineStr">
        <is>
          <t>Föryngringsavverkning</t>
        </is>
      </c>
      <c r="D10244" s="1" t="n">
        <v>46071</v>
      </c>
      <c r="E10244" s="1" t="n">
        <v>46326</v>
      </c>
      <c r="F10244" t="inlineStr">
        <is>
          <t>GÄVLEBORGS LÄN</t>
        </is>
      </c>
      <c r="G10244" t="inlineStr">
        <is>
          <t>NORDANSTIG</t>
        </is>
      </c>
      <c r="I10244" t="n">
        <v>1.8</v>
      </c>
      <c r="J10244" t="n">
        <v>0</v>
      </c>
      <c r="K10244" t="n">
        <v>0</v>
      </c>
      <c r="L10244" t="n">
        <v>0</v>
      </c>
      <c r="M10244" t="n">
        <v>0</v>
      </c>
      <c r="N10244" t="n">
        <v>0</v>
      </c>
      <c r="O10244" t="n">
        <v>0</v>
      </c>
      <c r="P10244" t="n">
        <v>0</v>
      </c>
      <c r="Q10244" t="n">
        <v>0</v>
      </c>
      <c r="R10244" t="n">
        <v>0</v>
      </c>
      <c r="S10244" t="n">
        <v>0</v>
      </c>
      <c r="T10244" t="n">
        <v>0</v>
      </c>
      <c r="U10244" t="n">
        <v>0</v>
      </c>
      <c r="V10244" s="2" t="inlineStr"/>
    </row>
    <row r="10245" ht="15" customHeight="1">
      <c r="A10245" t="inlineStr">
        <is>
          <t>A 58200-2025</t>
        </is>
      </c>
      <c r="B10245" t="inlineStr">
        <is>
          <t>avverkningsanmälan</t>
        </is>
      </c>
      <c r="C10245" t="inlineStr">
        <is>
          <t>Föryngringsavverkning</t>
        </is>
      </c>
      <c r="D10245" s="1" t="n">
        <v>45984</v>
      </c>
      <c r="E10245" s="1" t="n">
        <v>46326</v>
      </c>
      <c r="F10245" t="inlineStr">
        <is>
          <t>GÄVLEBORGS LÄN</t>
        </is>
      </c>
      <c r="G10245" t="inlineStr">
        <is>
          <t>SANDVIKEN</t>
        </is>
      </c>
      <c r="H10245" t="inlineStr">
        <is>
          <t>Bergvik skog öst AB</t>
        </is>
      </c>
      <c r="I10245" t="n">
        <v>0.9</v>
      </c>
      <c r="J10245" t="n">
        <v>0</v>
      </c>
      <c r="K10245" t="n">
        <v>0</v>
      </c>
      <c r="L10245" t="n">
        <v>0</v>
      </c>
      <c r="M10245" t="n">
        <v>0</v>
      </c>
      <c r="N10245" t="n">
        <v>0</v>
      </c>
      <c r="O10245" t="n">
        <v>0</v>
      </c>
      <c r="P10245" t="n">
        <v>0</v>
      </c>
      <c r="Q10245" t="n">
        <v>0</v>
      </c>
      <c r="R10245" t="n">
        <v>0</v>
      </c>
      <c r="S10245" t="n">
        <v>0</v>
      </c>
      <c r="T10245" t="n">
        <v>0</v>
      </c>
      <c r="U10245" t="n">
        <v>0</v>
      </c>
      <c r="V10245" s="2" t="inlineStr"/>
    </row>
    <row r="10246" ht="15" customHeight="1">
      <c r="A10246" t="inlineStr">
        <is>
          <t>A 1376-2026</t>
        </is>
      </c>
      <c r="B10246" t="inlineStr">
        <is>
          <t>avverkningsanmälan</t>
        </is>
      </c>
      <c r="C10246" t="inlineStr">
        <is>
          <t>Föryngringsavverkning</t>
        </is>
      </c>
      <c r="D10246" s="1" t="n">
        <v>46031</v>
      </c>
      <c r="E10246" s="1" t="n">
        <v>46326</v>
      </c>
      <c r="F10246" t="inlineStr">
        <is>
          <t>GÄVLEBORGS LÄN</t>
        </is>
      </c>
      <c r="G10246" t="inlineStr">
        <is>
          <t>BOLLNÄS</t>
        </is>
      </c>
      <c r="I10246" t="n">
        <v>0.9</v>
      </c>
      <c r="J10246" t="n">
        <v>0</v>
      </c>
      <c r="K10246" t="n">
        <v>0</v>
      </c>
      <c r="L10246" t="n">
        <v>0</v>
      </c>
      <c r="M10246" t="n">
        <v>0</v>
      </c>
      <c r="N10246" t="n">
        <v>0</v>
      </c>
      <c r="O10246" t="n">
        <v>0</v>
      </c>
      <c r="P10246" t="n">
        <v>0</v>
      </c>
      <c r="Q10246" t="n">
        <v>0</v>
      </c>
      <c r="R10246" t="n">
        <v>0</v>
      </c>
      <c r="S10246" t="n">
        <v>0</v>
      </c>
      <c r="T10246" t="n">
        <v>0</v>
      </c>
      <c r="U10246" t="n">
        <v>0</v>
      </c>
      <c r="V10246" s="2" t="inlineStr"/>
    </row>
    <row r="10247" ht="15" customHeight="1">
      <c r="A10247" t="inlineStr">
        <is>
          <t>A 34391-2026</t>
        </is>
      </c>
      <c r="B10247" t="inlineStr">
        <is>
          <t>avverkningsanmälan</t>
        </is>
      </c>
      <c r="C10247" t="inlineStr">
        <is>
          <t>Föryngringsavverkning</t>
        </is>
      </c>
      <c r="D10247" s="1" t="n">
        <v>46254</v>
      </c>
      <c r="E10247" s="1" t="n">
        <v>46326</v>
      </c>
      <c r="F10247" t="inlineStr">
        <is>
          <t>GÄVLEBORGS LÄN</t>
        </is>
      </c>
      <c r="G10247" t="inlineStr">
        <is>
          <t>OCKELBO</t>
        </is>
      </c>
      <c r="H10247" t="inlineStr">
        <is>
          <t>Bergvik skog väst AB</t>
        </is>
      </c>
      <c r="I10247" t="n">
        <v>6.5</v>
      </c>
      <c r="J10247" t="n">
        <v>0</v>
      </c>
      <c r="K10247" t="n">
        <v>0</v>
      </c>
      <c r="L10247" t="n">
        <v>0</v>
      </c>
      <c r="M10247" t="n">
        <v>0</v>
      </c>
      <c r="N10247" t="n">
        <v>0</v>
      </c>
      <c r="O10247" t="n">
        <v>0</v>
      </c>
      <c r="P10247" t="n">
        <v>0</v>
      </c>
      <c r="Q10247" t="n">
        <v>0</v>
      </c>
      <c r="R10247" t="n">
        <v>0</v>
      </c>
      <c r="S10247" t="n">
        <v>0</v>
      </c>
      <c r="T10247" t="n">
        <v>0</v>
      </c>
      <c r="U10247" t="n">
        <v>0</v>
      </c>
      <c r="V10247" s="2" t="inlineStr"/>
    </row>
    <row r="10248" ht="15" customHeight="1">
      <c r="A10248" t="inlineStr">
        <is>
          <t>A 7351-2026</t>
        </is>
      </c>
      <c r="B10248" t="inlineStr">
        <is>
          <t>avverkningsanmälan</t>
        </is>
      </c>
      <c r="C10248" t="inlineStr">
        <is>
          <t>Föryngringsavverkning</t>
        </is>
      </c>
      <c r="D10248" s="1" t="n">
        <v>46058</v>
      </c>
      <c r="E10248" s="1" t="n">
        <v>46326</v>
      </c>
      <c r="F10248" t="inlineStr">
        <is>
          <t>GÄVLEBORGS LÄN</t>
        </is>
      </c>
      <c r="G10248" t="inlineStr">
        <is>
          <t>SANDVIKEN</t>
        </is>
      </c>
      <c r="I10248" t="n">
        <v>0.6</v>
      </c>
      <c r="J10248" t="n">
        <v>0</v>
      </c>
      <c r="K10248" t="n">
        <v>0</v>
      </c>
      <c r="L10248" t="n">
        <v>0</v>
      </c>
      <c r="M10248" t="n">
        <v>0</v>
      </c>
      <c r="N10248" t="n">
        <v>0</v>
      </c>
      <c r="O10248" t="n">
        <v>0</v>
      </c>
      <c r="P10248" t="n">
        <v>0</v>
      </c>
      <c r="Q10248" t="n">
        <v>0</v>
      </c>
      <c r="R10248" t="n">
        <v>0</v>
      </c>
      <c r="S10248" t="n">
        <v>0</v>
      </c>
      <c r="T10248" t="n">
        <v>0</v>
      </c>
      <c r="U10248" t="n">
        <v>0</v>
      </c>
      <c r="V10248" s="2" t="inlineStr"/>
    </row>
    <row r="10249" ht="15" customHeight="1">
      <c r="A10249" t="inlineStr">
        <is>
          <t>A 7352-2026</t>
        </is>
      </c>
      <c r="B10249" t="inlineStr">
        <is>
          <t>avverkningsanmälan</t>
        </is>
      </c>
      <c r="C10249" t="inlineStr">
        <is>
          <t>Föryngringsavverkning</t>
        </is>
      </c>
      <c r="D10249" s="1" t="n">
        <v>46058</v>
      </c>
      <c r="E10249" s="1" t="n">
        <v>46326</v>
      </c>
      <c r="F10249" t="inlineStr">
        <is>
          <t>GÄVLEBORGS LÄN</t>
        </is>
      </c>
      <c r="G10249" t="inlineStr">
        <is>
          <t>SANDVIKEN</t>
        </is>
      </c>
      <c r="I10249" t="n">
        <v>1.1</v>
      </c>
      <c r="J10249" t="n">
        <v>0</v>
      </c>
      <c r="K10249" t="n">
        <v>0</v>
      </c>
      <c r="L10249" t="n">
        <v>0</v>
      </c>
      <c r="M10249" t="n">
        <v>0</v>
      </c>
      <c r="N10249" t="n">
        <v>0</v>
      </c>
      <c r="O10249" t="n">
        <v>0</v>
      </c>
      <c r="P10249" t="n">
        <v>0</v>
      </c>
      <c r="Q10249" t="n">
        <v>0</v>
      </c>
      <c r="R10249" t="n">
        <v>0</v>
      </c>
      <c r="S10249" t="n">
        <v>0</v>
      </c>
      <c r="T10249" t="n">
        <v>0</v>
      </c>
      <c r="U10249" t="n">
        <v>0</v>
      </c>
      <c r="V10249" s="2" t="inlineStr"/>
    </row>
    <row r="10250" ht="15" customHeight="1">
      <c r="A10250" t="inlineStr">
        <is>
          <t>A 8800-2026</t>
        </is>
      </c>
      <c r="B10250" t="inlineStr">
        <is>
          <t>avverkningsanmälan</t>
        </is>
      </c>
      <c r="C10250" t="inlineStr">
        <is>
          <t>Föryngringsavverkning</t>
        </is>
      </c>
      <c r="D10250" s="1" t="n">
        <v>46066</v>
      </c>
      <c r="E10250" s="1" t="n">
        <v>46326</v>
      </c>
      <c r="F10250" t="inlineStr">
        <is>
          <t>GÄVLEBORGS LÄN</t>
        </is>
      </c>
      <c r="G10250" t="inlineStr">
        <is>
          <t>BOLLNÄS</t>
        </is>
      </c>
      <c r="I10250" t="n">
        <v>0.4</v>
      </c>
      <c r="J10250" t="n">
        <v>0</v>
      </c>
      <c r="K10250" t="n">
        <v>0</v>
      </c>
      <c r="L10250" t="n">
        <v>0</v>
      </c>
      <c r="M10250" t="n">
        <v>0</v>
      </c>
      <c r="N10250" t="n">
        <v>0</v>
      </c>
      <c r="O10250" t="n">
        <v>0</v>
      </c>
      <c r="P10250" t="n">
        <v>0</v>
      </c>
      <c r="Q10250" t="n">
        <v>0</v>
      </c>
      <c r="R10250" t="n">
        <v>0</v>
      </c>
      <c r="S10250" t="n">
        <v>0</v>
      </c>
      <c r="T10250" t="n">
        <v>0</v>
      </c>
      <c r="U10250" t="n">
        <v>0</v>
      </c>
      <c r="V10250" s="2" t="inlineStr"/>
    </row>
    <row r="10251" ht="15" customHeight="1">
      <c r="A10251" t="inlineStr">
        <is>
          <t>A 12951-2026</t>
        </is>
      </c>
      <c r="B10251" t="inlineStr">
        <is>
          <t>avverkningsanmälan</t>
        </is>
      </c>
      <c r="C10251" t="inlineStr">
        <is>
          <t>Föryngringsavverkning</t>
        </is>
      </c>
      <c r="D10251" s="1" t="n">
        <v>46092</v>
      </c>
      <c r="E10251" s="1" t="n">
        <v>46326</v>
      </c>
      <c r="F10251" t="inlineStr">
        <is>
          <t>GÄVLEBORGS LÄN</t>
        </is>
      </c>
      <c r="G10251" t="inlineStr">
        <is>
          <t>BOLLNÄS</t>
        </is>
      </c>
      <c r="H10251" t="inlineStr">
        <is>
          <t>Sveaskog</t>
        </is>
      </c>
      <c r="I10251" t="n">
        <v>1.4</v>
      </c>
      <c r="J10251" t="n">
        <v>0</v>
      </c>
      <c r="K10251" t="n">
        <v>0</v>
      </c>
      <c r="L10251" t="n">
        <v>0</v>
      </c>
      <c r="M10251" t="n">
        <v>0</v>
      </c>
      <c r="N10251" t="n">
        <v>0</v>
      </c>
      <c r="O10251" t="n">
        <v>0</v>
      </c>
      <c r="P10251" t="n">
        <v>0</v>
      </c>
      <c r="Q10251" t="n">
        <v>0</v>
      </c>
      <c r="R10251" t="n">
        <v>0</v>
      </c>
      <c r="S10251" t="n">
        <v>0</v>
      </c>
      <c r="T10251" t="n">
        <v>0</v>
      </c>
      <c r="U10251" t="n">
        <v>0</v>
      </c>
      <c r="V10251" s="2" t="inlineStr"/>
    </row>
    <row r="10252" ht="15" customHeight="1">
      <c r="A10252" t="inlineStr">
        <is>
          <t>A 8298-2026</t>
        </is>
      </c>
      <c r="B10252" t="inlineStr">
        <is>
          <t>avverkningsanmälan</t>
        </is>
      </c>
      <c r="C10252" t="inlineStr">
        <is>
          <t>Föryngringsavverkning</t>
        </is>
      </c>
      <c r="D10252" s="1" t="n">
        <v>46063</v>
      </c>
      <c r="E10252" s="1" t="n">
        <v>46326</v>
      </c>
      <c r="F10252" t="inlineStr">
        <is>
          <t>GÄVLEBORGS LÄN</t>
        </is>
      </c>
      <c r="G10252" t="inlineStr">
        <is>
          <t>GÄVLE</t>
        </is>
      </c>
      <c r="H10252" t="inlineStr">
        <is>
          <t>Bergvik skog väst AB</t>
        </is>
      </c>
      <c r="I10252" t="n">
        <v>2.4</v>
      </c>
      <c r="J10252" t="n">
        <v>0</v>
      </c>
      <c r="K10252" t="n">
        <v>0</v>
      </c>
      <c r="L10252" t="n">
        <v>0</v>
      </c>
      <c r="M10252" t="n">
        <v>0</v>
      </c>
      <c r="N10252" t="n">
        <v>0</v>
      </c>
      <c r="O10252" t="n">
        <v>0</v>
      </c>
      <c r="P10252" t="n">
        <v>0</v>
      </c>
      <c r="Q10252" t="n">
        <v>0</v>
      </c>
      <c r="R10252" t="n">
        <v>0</v>
      </c>
      <c r="S10252" t="n">
        <v>0</v>
      </c>
      <c r="T10252" t="n">
        <v>0</v>
      </c>
      <c r="U10252" t="n">
        <v>0</v>
      </c>
      <c r="V10252" s="2" t="inlineStr"/>
    </row>
    <row r="10253" ht="15" customHeight="1">
      <c r="A10253" t="inlineStr">
        <is>
          <t>A 34140-2026</t>
        </is>
      </c>
      <c r="B10253" t="inlineStr">
        <is>
          <t>avverkningsanmälan</t>
        </is>
      </c>
      <c r="C10253" t="inlineStr">
        <is>
          <t>Föryngringsavverkning</t>
        </is>
      </c>
      <c r="D10253" s="1" t="n">
        <v>46253</v>
      </c>
      <c r="E10253" s="1" t="n">
        <v>46326</v>
      </c>
      <c r="F10253" t="inlineStr">
        <is>
          <t>GÄVLEBORGS LÄN</t>
        </is>
      </c>
      <c r="G10253" t="inlineStr">
        <is>
          <t>BOLLNÄS</t>
        </is>
      </c>
      <c r="I10253" t="n">
        <v>0.7</v>
      </c>
      <c r="J10253" t="n">
        <v>0</v>
      </c>
      <c r="K10253" t="n">
        <v>0</v>
      </c>
      <c r="L10253" t="n">
        <v>0</v>
      </c>
      <c r="M10253" t="n">
        <v>0</v>
      </c>
      <c r="N10253" t="n">
        <v>0</v>
      </c>
      <c r="O10253" t="n">
        <v>0</v>
      </c>
      <c r="P10253" t="n">
        <v>0</v>
      </c>
      <c r="Q10253" t="n">
        <v>0</v>
      </c>
      <c r="R10253" t="n">
        <v>0</v>
      </c>
      <c r="S10253" t="n">
        <v>0</v>
      </c>
      <c r="T10253" t="n">
        <v>0</v>
      </c>
      <c r="U10253" t="n">
        <v>0</v>
      </c>
      <c r="V10253" s="2" t="inlineStr"/>
    </row>
    <row r="10254" ht="15" customHeight="1">
      <c r="A10254" t="inlineStr">
        <is>
          <t>A 54959-2025</t>
        </is>
      </c>
      <c r="B10254" t="inlineStr">
        <is>
          <t>avverkningsanmälan</t>
        </is>
      </c>
      <c r="C10254" t="inlineStr">
        <is>
          <t>Föryngringsavverkning</t>
        </is>
      </c>
      <c r="D10254" s="1" t="n">
        <v>45967</v>
      </c>
      <c r="E10254" s="1" t="n">
        <v>46326</v>
      </c>
      <c r="F10254" t="inlineStr">
        <is>
          <t>GÄVLEBORGS LÄN</t>
        </is>
      </c>
      <c r="G10254" t="inlineStr">
        <is>
          <t>GÄVLE</t>
        </is>
      </c>
      <c r="H10254" t="inlineStr">
        <is>
          <t>Bergvik skog öst AB</t>
        </is>
      </c>
      <c r="I10254" t="n">
        <v>1.3</v>
      </c>
      <c r="J10254" t="n">
        <v>0</v>
      </c>
      <c r="K10254" t="n">
        <v>0</v>
      </c>
      <c r="L10254" t="n">
        <v>0</v>
      </c>
      <c r="M10254" t="n">
        <v>0</v>
      </c>
      <c r="N10254" t="n">
        <v>0</v>
      </c>
      <c r="O10254" t="n">
        <v>0</v>
      </c>
      <c r="P10254" t="n">
        <v>0</v>
      </c>
      <c r="Q10254" t="n">
        <v>0</v>
      </c>
      <c r="R10254" t="n">
        <v>0</v>
      </c>
      <c r="S10254" t="n">
        <v>0</v>
      </c>
      <c r="T10254" t="n">
        <v>0</v>
      </c>
      <c r="U10254" t="n">
        <v>0</v>
      </c>
      <c r="V10254" s="2" t="inlineStr"/>
    </row>
    <row r="10255" ht="15" customHeight="1">
      <c r="A10255" t="inlineStr">
        <is>
          <t>A 34408-2026</t>
        </is>
      </c>
      <c r="B10255" t="inlineStr">
        <is>
          <t>avverkningsanmälan</t>
        </is>
      </c>
      <c r="C10255" t="inlineStr">
        <is>
          <t>Föryngringsavverkning</t>
        </is>
      </c>
      <c r="D10255" s="1" t="n">
        <v>46254</v>
      </c>
      <c r="E10255" s="1" t="n">
        <v>46326</v>
      </c>
      <c r="F10255" t="inlineStr">
        <is>
          <t>GÄVLEBORGS LÄN</t>
        </is>
      </c>
      <c r="G10255" t="inlineStr">
        <is>
          <t>SANDVIKEN</t>
        </is>
      </c>
      <c r="I10255" t="n">
        <v>0.7</v>
      </c>
      <c r="J10255" t="n">
        <v>0</v>
      </c>
      <c r="K10255" t="n">
        <v>0</v>
      </c>
      <c r="L10255" t="n">
        <v>0</v>
      </c>
      <c r="M10255" t="n">
        <v>0</v>
      </c>
      <c r="N10255" t="n">
        <v>0</v>
      </c>
      <c r="O10255" t="n">
        <v>0</v>
      </c>
      <c r="P10255" t="n">
        <v>0</v>
      </c>
      <c r="Q10255" t="n">
        <v>0</v>
      </c>
      <c r="R10255" t="n">
        <v>0</v>
      </c>
      <c r="S10255" t="n">
        <v>0</v>
      </c>
      <c r="T10255" t="n">
        <v>0</v>
      </c>
      <c r="U10255" t="n">
        <v>0</v>
      </c>
      <c r="V10255" s="2" t="inlineStr"/>
    </row>
    <row r="10256" ht="15" customHeight="1">
      <c r="A10256" t="inlineStr">
        <is>
          <t>A 34190-2026</t>
        </is>
      </c>
      <c r="B10256" t="inlineStr">
        <is>
          <t>avverkningsanmälan</t>
        </is>
      </c>
      <c r="C10256" t="inlineStr">
        <is>
          <t>Föryngringsavverkning</t>
        </is>
      </c>
      <c r="D10256" s="1" t="n">
        <v>46253</v>
      </c>
      <c r="E10256" s="1" t="n">
        <v>46326</v>
      </c>
      <c r="F10256" t="inlineStr">
        <is>
          <t>GÄVLEBORGS LÄN</t>
        </is>
      </c>
      <c r="G10256" t="inlineStr">
        <is>
          <t>SÖDERHAMN</t>
        </is>
      </c>
      <c r="I10256" t="n">
        <v>1.7</v>
      </c>
      <c r="J10256" t="n">
        <v>0</v>
      </c>
      <c r="K10256" t="n">
        <v>0</v>
      </c>
      <c r="L10256" t="n">
        <v>0</v>
      </c>
      <c r="M10256" t="n">
        <v>0</v>
      </c>
      <c r="N10256" t="n">
        <v>0</v>
      </c>
      <c r="O10256" t="n">
        <v>0</v>
      </c>
      <c r="P10256" t="n">
        <v>0</v>
      </c>
      <c r="Q10256" t="n">
        <v>0</v>
      </c>
      <c r="R10256" t="n">
        <v>0</v>
      </c>
      <c r="S10256" t="n">
        <v>0</v>
      </c>
      <c r="T10256" t="n">
        <v>0</v>
      </c>
      <c r="U10256" t="n">
        <v>0</v>
      </c>
      <c r="V10256" s="2" t="inlineStr"/>
    </row>
    <row r="10257" ht="15" customHeight="1">
      <c r="A10257" t="inlineStr">
        <is>
          <t>A 34235-2026</t>
        </is>
      </c>
      <c r="B10257" t="inlineStr">
        <is>
          <t>avverkningsanmälan</t>
        </is>
      </c>
      <c r="C10257" t="inlineStr">
        <is>
          <t>Föryngringsavverkning</t>
        </is>
      </c>
      <c r="D10257" s="1" t="n">
        <v>46253</v>
      </c>
      <c r="E10257" s="1" t="n">
        <v>46326</v>
      </c>
      <c r="F10257" t="inlineStr">
        <is>
          <t>GÄVLEBORGS LÄN</t>
        </is>
      </c>
      <c r="G10257" t="inlineStr">
        <is>
          <t>NORDANSTIG</t>
        </is>
      </c>
      <c r="H10257" t="inlineStr">
        <is>
          <t>Holmen skog AB</t>
        </is>
      </c>
      <c r="I10257" t="n">
        <v>1.8</v>
      </c>
      <c r="J10257" t="n">
        <v>0</v>
      </c>
      <c r="K10257" t="n">
        <v>0</v>
      </c>
      <c r="L10257" t="n">
        <v>0</v>
      </c>
      <c r="M10257" t="n">
        <v>0</v>
      </c>
      <c r="N10257" t="n">
        <v>0</v>
      </c>
      <c r="O10257" t="n">
        <v>0</v>
      </c>
      <c r="P10257" t="n">
        <v>0</v>
      </c>
      <c r="Q10257" t="n">
        <v>0</v>
      </c>
      <c r="R10257" t="n">
        <v>0</v>
      </c>
      <c r="S10257" t="n">
        <v>0</v>
      </c>
      <c r="T10257" t="n">
        <v>0</v>
      </c>
      <c r="U10257" t="n">
        <v>0</v>
      </c>
      <c r="V10257" s="2" t="inlineStr"/>
    </row>
    <row r="10258" ht="15" customHeight="1">
      <c r="A10258" t="inlineStr">
        <is>
          <t>A 9729-2026</t>
        </is>
      </c>
      <c r="B10258" t="inlineStr">
        <is>
          <t>avverkningsanmälan</t>
        </is>
      </c>
      <c r="C10258" t="inlineStr">
        <is>
          <t>Föryngringsavverkning</t>
        </is>
      </c>
      <c r="D10258" s="1" t="n">
        <v>46072</v>
      </c>
      <c r="E10258" s="1" t="n">
        <v>46326</v>
      </c>
      <c r="F10258" t="inlineStr">
        <is>
          <t>GÄVLEBORGS LÄN</t>
        </is>
      </c>
      <c r="G10258" t="inlineStr">
        <is>
          <t>OVANÅKER</t>
        </is>
      </c>
      <c r="I10258" t="n">
        <v>2.6</v>
      </c>
      <c r="J10258" t="n">
        <v>0</v>
      </c>
      <c r="K10258" t="n">
        <v>0</v>
      </c>
      <c r="L10258" t="n">
        <v>0</v>
      </c>
      <c r="M10258" t="n">
        <v>0</v>
      </c>
      <c r="N10258" t="n">
        <v>0</v>
      </c>
      <c r="O10258" t="n">
        <v>0</v>
      </c>
      <c r="P10258" t="n">
        <v>0</v>
      </c>
      <c r="Q10258" t="n">
        <v>0</v>
      </c>
      <c r="R10258" t="n">
        <v>0</v>
      </c>
      <c r="S10258" t="n">
        <v>0</v>
      </c>
      <c r="T10258" t="n">
        <v>0</v>
      </c>
      <c r="U10258" t="n">
        <v>0</v>
      </c>
      <c r="V10258" s="2" t="inlineStr"/>
    </row>
    <row r="10259" ht="15" customHeight="1">
      <c r="A10259" t="inlineStr">
        <is>
          <t>A 57995-2025</t>
        </is>
      </c>
      <c r="B10259" t="inlineStr">
        <is>
          <t>avverkningsanmälan</t>
        </is>
      </c>
      <c r="C10259" t="inlineStr">
        <is>
          <t>Föryngringsavverkning</t>
        </is>
      </c>
      <c r="D10259" s="1" t="n">
        <v>45982</v>
      </c>
      <c r="E10259" s="1" t="n">
        <v>46326</v>
      </c>
      <c r="F10259" t="inlineStr">
        <is>
          <t>GÄVLEBORGS LÄN</t>
        </is>
      </c>
      <c r="G10259" t="inlineStr">
        <is>
          <t>BOLLNÄS</t>
        </is>
      </c>
      <c r="I10259" t="n">
        <v>3.2</v>
      </c>
      <c r="J10259" t="n">
        <v>0</v>
      </c>
      <c r="K10259" t="n">
        <v>0</v>
      </c>
      <c r="L10259" t="n">
        <v>0</v>
      </c>
      <c r="M10259" t="n">
        <v>0</v>
      </c>
      <c r="N10259" t="n">
        <v>0</v>
      </c>
      <c r="O10259" t="n">
        <v>0</v>
      </c>
      <c r="P10259" t="n">
        <v>0</v>
      </c>
      <c r="Q10259" t="n">
        <v>0</v>
      </c>
      <c r="R10259" t="n">
        <v>0</v>
      </c>
      <c r="S10259" t="n">
        <v>0</v>
      </c>
      <c r="T10259" t="n">
        <v>0</v>
      </c>
      <c r="U10259" t="n">
        <v>0</v>
      </c>
      <c r="V10259" s="2" t="inlineStr"/>
    </row>
    <row r="10260" ht="15" customHeight="1">
      <c r="A10260" t="inlineStr">
        <is>
          <t>A 5588-2026</t>
        </is>
      </c>
      <c r="B10260" t="inlineStr">
        <is>
          <t>avverkningsanmälan</t>
        </is>
      </c>
      <c r="C10260" t="inlineStr">
        <is>
          <t>Föryngringsavverkning</t>
        </is>
      </c>
      <c r="D10260" s="1" t="n">
        <v>46051</v>
      </c>
      <c r="E10260" s="1" t="n">
        <v>46326</v>
      </c>
      <c r="F10260" t="inlineStr">
        <is>
          <t>GÄVLEBORGS LÄN</t>
        </is>
      </c>
      <c r="G10260" t="inlineStr">
        <is>
          <t>OVANÅKER</t>
        </is>
      </c>
      <c r="I10260" t="n">
        <v>0.7</v>
      </c>
      <c r="J10260" t="n">
        <v>0</v>
      </c>
      <c r="K10260" t="n">
        <v>0</v>
      </c>
      <c r="L10260" t="n">
        <v>0</v>
      </c>
      <c r="M10260" t="n">
        <v>0</v>
      </c>
      <c r="N10260" t="n">
        <v>0</v>
      </c>
      <c r="O10260" t="n">
        <v>0</v>
      </c>
      <c r="P10260" t="n">
        <v>0</v>
      </c>
      <c r="Q10260" t="n">
        <v>0</v>
      </c>
      <c r="R10260" t="n">
        <v>0</v>
      </c>
      <c r="S10260" t="n">
        <v>0</v>
      </c>
      <c r="T10260" t="n">
        <v>0</v>
      </c>
      <c r="U10260" t="n">
        <v>0</v>
      </c>
      <c r="V10260" s="2" t="inlineStr"/>
    </row>
    <row r="10261" ht="15" customHeight="1">
      <c r="A10261" t="inlineStr">
        <is>
          <t>A 2389-2026</t>
        </is>
      </c>
      <c r="B10261" t="inlineStr">
        <is>
          <t>avverkningsanmälan</t>
        </is>
      </c>
      <c r="C10261" t="inlineStr">
        <is>
          <t>Föryngringsavverkning</t>
        </is>
      </c>
      <c r="D10261" s="1" t="n">
        <v>46036</v>
      </c>
      <c r="E10261" s="1" t="n">
        <v>46326</v>
      </c>
      <c r="F10261" t="inlineStr">
        <is>
          <t>GÄVLEBORGS LÄN</t>
        </is>
      </c>
      <c r="G10261" t="inlineStr">
        <is>
          <t>OCKELBO</t>
        </is>
      </c>
      <c r="I10261" t="n">
        <v>3.5</v>
      </c>
      <c r="J10261" t="n">
        <v>0</v>
      </c>
      <c r="K10261" t="n">
        <v>0</v>
      </c>
      <c r="L10261" t="n">
        <v>0</v>
      </c>
      <c r="M10261" t="n">
        <v>0</v>
      </c>
      <c r="N10261" t="n">
        <v>0</v>
      </c>
      <c r="O10261" t="n">
        <v>0</v>
      </c>
      <c r="P10261" t="n">
        <v>0</v>
      </c>
      <c r="Q10261" t="n">
        <v>0</v>
      </c>
      <c r="R10261" t="n">
        <v>0</v>
      </c>
      <c r="S10261" t="n">
        <v>0</v>
      </c>
      <c r="T10261" t="n">
        <v>0</v>
      </c>
      <c r="U10261" t="n">
        <v>0</v>
      </c>
      <c r="V10261" s="2" t="inlineStr"/>
    </row>
    <row r="10262" ht="15" customHeight="1">
      <c r="A10262" t="inlineStr">
        <is>
          <t>A 7350-2026</t>
        </is>
      </c>
      <c r="B10262" t="inlineStr">
        <is>
          <t>avverkningsanmälan</t>
        </is>
      </c>
      <c r="C10262" t="inlineStr">
        <is>
          <t>Föryngringsavverkning</t>
        </is>
      </c>
      <c r="D10262" s="1" t="n">
        <v>46058</v>
      </c>
      <c r="E10262" s="1" t="n">
        <v>46326</v>
      </c>
      <c r="F10262" t="inlineStr">
        <is>
          <t>GÄVLEBORGS LÄN</t>
        </is>
      </c>
      <c r="G10262" t="inlineStr">
        <is>
          <t>SANDVIKEN</t>
        </is>
      </c>
      <c r="I10262" t="n">
        <v>0.5</v>
      </c>
      <c r="J10262" t="n">
        <v>0</v>
      </c>
      <c r="K10262" t="n">
        <v>0</v>
      </c>
      <c r="L10262" t="n">
        <v>0</v>
      </c>
      <c r="M10262" t="n">
        <v>0</v>
      </c>
      <c r="N10262" t="n">
        <v>0</v>
      </c>
      <c r="O10262" t="n">
        <v>0</v>
      </c>
      <c r="P10262" t="n">
        <v>0</v>
      </c>
      <c r="Q10262" t="n">
        <v>0</v>
      </c>
      <c r="R10262" t="n">
        <v>0</v>
      </c>
      <c r="S10262" t="n">
        <v>0</v>
      </c>
      <c r="T10262" t="n">
        <v>0</v>
      </c>
      <c r="U10262" t="n">
        <v>0</v>
      </c>
      <c r="V10262" s="2" t="inlineStr"/>
    </row>
    <row r="10263" ht="15" customHeight="1">
      <c r="A10263" t="inlineStr">
        <is>
          <t>A 33874-2026</t>
        </is>
      </c>
      <c r="B10263" t="inlineStr">
        <is>
          <t>avverkningsanmälan</t>
        </is>
      </c>
      <c r="C10263" t="inlineStr">
        <is>
          <t>Föryngringsavverkning</t>
        </is>
      </c>
      <c r="D10263" s="1" t="n">
        <v>46251</v>
      </c>
      <c r="E10263" s="1" t="n">
        <v>46326</v>
      </c>
      <c r="F10263" t="inlineStr">
        <is>
          <t>GÄVLEBORGS LÄN</t>
        </is>
      </c>
      <c r="G10263" t="inlineStr">
        <is>
          <t>SANDVIKEN</t>
        </is>
      </c>
      <c r="H10263" t="inlineStr">
        <is>
          <t>Sveaskog</t>
        </is>
      </c>
      <c r="I10263" t="n">
        <v>0.8</v>
      </c>
      <c r="J10263" t="n">
        <v>0</v>
      </c>
      <c r="K10263" t="n">
        <v>0</v>
      </c>
      <c r="L10263" t="n">
        <v>0</v>
      </c>
      <c r="M10263" t="n">
        <v>0</v>
      </c>
      <c r="N10263" t="n">
        <v>0</v>
      </c>
      <c r="O10263" t="n">
        <v>0</v>
      </c>
      <c r="P10263" t="n">
        <v>0</v>
      </c>
      <c r="Q10263" t="n">
        <v>0</v>
      </c>
      <c r="R10263" t="n">
        <v>0</v>
      </c>
      <c r="S10263" t="n">
        <v>0</v>
      </c>
      <c r="T10263" t="n">
        <v>0</v>
      </c>
      <c r="U10263" t="n">
        <v>0</v>
      </c>
      <c r="V10263" s="2" t="inlineStr"/>
    </row>
    <row r="10264" ht="15" customHeight="1">
      <c r="A10264" t="inlineStr">
        <is>
          <t>A 8611-2026</t>
        </is>
      </c>
      <c r="B10264" t="inlineStr">
        <is>
          <t>avverkningsanmälan</t>
        </is>
      </c>
      <c r="C10264" t="inlineStr">
        <is>
          <t>Föryngringsavverkning</t>
        </is>
      </c>
      <c r="D10264" s="1" t="n">
        <v>46065</v>
      </c>
      <c r="E10264" s="1" t="n">
        <v>46326</v>
      </c>
      <c r="F10264" t="inlineStr">
        <is>
          <t>GÄVLEBORGS LÄN</t>
        </is>
      </c>
      <c r="G10264" t="inlineStr">
        <is>
          <t>SANDVIKEN</t>
        </is>
      </c>
      <c r="I10264" t="n">
        <v>0.5</v>
      </c>
      <c r="J10264" t="n">
        <v>0</v>
      </c>
      <c r="K10264" t="n">
        <v>0</v>
      </c>
      <c r="L10264" t="n">
        <v>0</v>
      </c>
      <c r="M10264" t="n">
        <v>0</v>
      </c>
      <c r="N10264" t="n">
        <v>0</v>
      </c>
      <c r="O10264" t="n">
        <v>0</v>
      </c>
      <c r="P10264" t="n">
        <v>0</v>
      </c>
      <c r="Q10264" t="n">
        <v>0</v>
      </c>
      <c r="R10264" t="n">
        <v>0</v>
      </c>
      <c r="S10264" t="n">
        <v>0</v>
      </c>
      <c r="T10264" t="n">
        <v>0</v>
      </c>
      <c r="U10264" t="n">
        <v>0</v>
      </c>
      <c r="V10264" s="2" t="inlineStr"/>
    </row>
    <row r="10265" ht="15" customHeight="1">
      <c r="A10265" t="inlineStr">
        <is>
          <t>A 14957-2026</t>
        </is>
      </c>
      <c r="B10265" t="inlineStr">
        <is>
          <t>avverkningsanmälan</t>
        </is>
      </c>
      <c r="C10265" t="inlineStr">
        <is>
          <t>Föryngringsavverkning</t>
        </is>
      </c>
      <c r="D10265" s="1" t="n">
        <v>46104</v>
      </c>
      <c r="E10265" s="1" t="n">
        <v>46326</v>
      </c>
      <c r="F10265" t="inlineStr">
        <is>
          <t>GÄVLEBORGS LÄN</t>
        </is>
      </c>
      <c r="G10265" t="inlineStr">
        <is>
          <t>HUDIKSVALL</t>
        </is>
      </c>
      <c r="I10265" t="n">
        <v>1.1</v>
      </c>
      <c r="J10265" t="n">
        <v>0</v>
      </c>
      <c r="K10265" t="n">
        <v>0</v>
      </c>
      <c r="L10265" t="n">
        <v>0</v>
      </c>
      <c r="M10265" t="n">
        <v>0</v>
      </c>
      <c r="N10265" t="n">
        <v>0</v>
      </c>
      <c r="O10265" t="n">
        <v>0</v>
      </c>
      <c r="P10265" t="n">
        <v>0</v>
      </c>
      <c r="Q10265" t="n">
        <v>0</v>
      </c>
      <c r="R10265" t="n">
        <v>0</v>
      </c>
      <c r="S10265" t="n">
        <v>0</v>
      </c>
      <c r="T10265" t="n">
        <v>0</v>
      </c>
      <c r="U10265" t="n">
        <v>0</v>
      </c>
      <c r="V10265" s="2" t="inlineStr"/>
    </row>
    <row r="10266" ht="15" customHeight="1">
      <c r="A10266" t="inlineStr">
        <is>
          <t>A 34432-2026</t>
        </is>
      </c>
      <c r="B10266" t="inlineStr">
        <is>
          <t>avverkningsanmälan</t>
        </is>
      </c>
      <c r="C10266" t="inlineStr">
        <is>
          <t>Föryngringsavverkning</t>
        </is>
      </c>
      <c r="D10266" s="1" t="n">
        <v>46254</v>
      </c>
      <c r="E10266" s="1" t="n">
        <v>46326</v>
      </c>
      <c r="F10266" t="inlineStr">
        <is>
          <t>GÄVLEBORGS LÄN</t>
        </is>
      </c>
      <c r="G10266" t="inlineStr">
        <is>
          <t>GÄVLE</t>
        </is>
      </c>
      <c r="H10266" t="inlineStr">
        <is>
          <t>Bergvik skog öst AB</t>
        </is>
      </c>
      <c r="I10266" t="n">
        <v>1.7</v>
      </c>
      <c r="J10266" t="n">
        <v>0</v>
      </c>
      <c r="K10266" t="n">
        <v>0</v>
      </c>
      <c r="L10266" t="n">
        <v>0</v>
      </c>
      <c r="M10266" t="n">
        <v>0</v>
      </c>
      <c r="N10266" t="n">
        <v>0</v>
      </c>
      <c r="O10266" t="n">
        <v>0</v>
      </c>
      <c r="P10266" t="n">
        <v>0</v>
      </c>
      <c r="Q10266" t="n">
        <v>0</v>
      </c>
      <c r="R10266" t="n">
        <v>0</v>
      </c>
      <c r="S10266" t="n">
        <v>0</v>
      </c>
      <c r="T10266" t="n">
        <v>0</v>
      </c>
      <c r="U10266" t="n">
        <v>0</v>
      </c>
      <c r="V10266" s="2" t="inlineStr"/>
    </row>
    <row r="10267" ht="15" customHeight="1">
      <c r="A10267" t="inlineStr">
        <is>
          <t>A 25835-2026</t>
        </is>
      </c>
      <c r="B10267" t="inlineStr">
        <is>
          <t>avverkningsanmälan</t>
        </is>
      </c>
      <c r="C10267" t="inlineStr">
        <is>
          <t>Föryngringsavverkning</t>
        </is>
      </c>
      <c r="D10267" s="1" t="n">
        <v>46178</v>
      </c>
      <c r="E10267" s="1" t="n">
        <v>46326</v>
      </c>
      <c r="F10267" t="inlineStr">
        <is>
          <t>GÄVLEBORGS LÄN</t>
        </is>
      </c>
      <c r="G10267" t="inlineStr">
        <is>
          <t>SANDVIKEN</t>
        </is>
      </c>
      <c r="H10267" t="inlineStr">
        <is>
          <t>Bergvik skog öst AB</t>
        </is>
      </c>
      <c r="I10267" t="n">
        <v>1.4</v>
      </c>
      <c r="J10267" t="n">
        <v>0</v>
      </c>
      <c r="K10267" t="n">
        <v>0</v>
      </c>
      <c r="L10267" t="n">
        <v>0</v>
      </c>
      <c r="M10267" t="n">
        <v>0</v>
      </c>
      <c r="N10267" t="n">
        <v>0</v>
      </c>
      <c r="O10267" t="n">
        <v>0</v>
      </c>
      <c r="P10267" t="n">
        <v>0</v>
      </c>
      <c r="Q10267" t="n">
        <v>0</v>
      </c>
      <c r="R10267" t="n">
        <v>0</v>
      </c>
      <c r="S10267" t="n">
        <v>0</v>
      </c>
      <c r="T10267" t="n">
        <v>0</v>
      </c>
      <c r="U10267" t="n">
        <v>0</v>
      </c>
      <c r="V10267" s="2" t="inlineStr"/>
    </row>
    <row r="10268" ht="15" customHeight="1">
      <c r="A10268" t="inlineStr">
        <is>
          <t>A 32908-2026</t>
        </is>
      </c>
      <c r="B10268" t="inlineStr">
        <is>
          <t>avverkningsanmälan</t>
        </is>
      </c>
      <c r="C10268" t="inlineStr">
        <is>
          <t>Föryngringsavverkning</t>
        </is>
      </c>
      <c r="D10268" s="1" t="n">
        <v>46244</v>
      </c>
      <c r="E10268" s="1" t="n">
        <v>46326</v>
      </c>
      <c r="F10268" t="inlineStr">
        <is>
          <t>GÄVLEBORGS LÄN</t>
        </is>
      </c>
      <c r="G10268" t="inlineStr">
        <is>
          <t>BOLLNÄS</t>
        </is>
      </c>
      <c r="H10268" t="inlineStr">
        <is>
          <t>Bergvik skog väst AB</t>
        </is>
      </c>
      <c r="I10268" t="n">
        <v>10.5</v>
      </c>
      <c r="J10268" t="n">
        <v>0</v>
      </c>
      <c r="K10268" t="n">
        <v>0</v>
      </c>
      <c r="L10268" t="n">
        <v>0</v>
      </c>
      <c r="M10268" t="n">
        <v>0</v>
      </c>
      <c r="N10268" t="n">
        <v>0</v>
      </c>
      <c r="O10268" t="n">
        <v>0</v>
      </c>
      <c r="P10268" t="n">
        <v>0</v>
      </c>
      <c r="Q10268" t="n">
        <v>0</v>
      </c>
      <c r="R10268" t="n">
        <v>0</v>
      </c>
      <c r="S10268" t="n">
        <v>0</v>
      </c>
      <c r="T10268" t="n">
        <v>0</v>
      </c>
      <c r="U10268" t="n">
        <v>0</v>
      </c>
      <c r="V10268" s="2" t="inlineStr"/>
    </row>
    <row r="10269" ht="15" customHeight="1">
      <c r="A10269" t="inlineStr">
        <is>
          <t>A 58100-2025</t>
        </is>
      </c>
      <c r="B10269" t="inlineStr">
        <is>
          <t>avverkningsanmälan</t>
        </is>
      </c>
      <c r="C10269" t="inlineStr">
        <is>
          <t>Föryngringsavverkning</t>
        </is>
      </c>
      <c r="D10269" s="1" t="n">
        <v>45982</v>
      </c>
      <c r="E10269" s="1" t="n">
        <v>46326</v>
      </c>
      <c r="F10269" t="inlineStr">
        <is>
          <t>GÄVLEBORGS LÄN</t>
        </is>
      </c>
      <c r="G10269" t="inlineStr">
        <is>
          <t>BOLLNÄS</t>
        </is>
      </c>
      <c r="I10269" t="n">
        <v>0.8</v>
      </c>
      <c r="J10269" t="n">
        <v>0</v>
      </c>
      <c r="K10269" t="n">
        <v>0</v>
      </c>
      <c r="L10269" t="n">
        <v>0</v>
      </c>
      <c r="M10269" t="n">
        <v>0</v>
      </c>
      <c r="N10269" t="n">
        <v>0</v>
      </c>
      <c r="O10269" t="n">
        <v>0</v>
      </c>
      <c r="P10269" t="n">
        <v>0</v>
      </c>
      <c r="Q10269" t="n">
        <v>0</v>
      </c>
      <c r="R10269" t="n">
        <v>0</v>
      </c>
      <c r="S10269" t="n">
        <v>0</v>
      </c>
      <c r="T10269" t="n">
        <v>0</v>
      </c>
      <c r="U10269" t="n">
        <v>0</v>
      </c>
      <c r="V10269" s="2" t="inlineStr"/>
    </row>
    <row r="10270" ht="15" customHeight="1">
      <c r="A10270" t="inlineStr">
        <is>
          <t>A 61619-2025</t>
        </is>
      </c>
      <c r="B10270" t="inlineStr">
        <is>
          <t>avverkningsanmälan</t>
        </is>
      </c>
      <c r="C10270" t="inlineStr">
        <is>
          <t>Föryngringsavverkning</t>
        </is>
      </c>
      <c r="D10270" s="1" t="n">
        <v>46002</v>
      </c>
      <c r="E10270" s="1" t="n">
        <v>46326</v>
      </c>
      <c r="F10270" t="inlineStr">
        <is>
          <t>GÄVLEBORGS LÄN</t>
        </is>
      </c>
      <c r="G10270" t="inlineStr">
        <is>
          <t>BOLLNÄS</t>
        </is>
      </c>
      <c r="I10270" t="n">
        <v>1.1</v>
      </c>
      <c r="J10270" t="n">
        <v>0</v>
      </c>
      <c r="K10270" t="n">
        <v>0</v>
      </c>
      <c r="L10270" t="n">
        <v>0</v>
      </c>
      <c r="M10270" t="n">
        <v>0</v>
      </c>
      <c r="N10270" t="n">
        <v>0</v>
      </c>
      <c r="O10270" t="n">
        <v>0</v>
      </c>
      <c r="P10270" t="n">
        <v>0</v>
      </c>
      <c r="Q10270" t="n">
        <v>0</v>
      </c>
      <c r="R10270" t="n">
        <v>0</v>
      </c>
      <c r="S10270" t="n">
        <v>0</v>
      </c>
      <c r="T10270" t="n">
        <v>0</v>
      </c>
      <c r="U10270" t="n">
        <v>0</v>
      </c>
      <c r="V10270" s="2" t="inlineStr"/>
    </row>
    <row r="10271" ht="15" customHeight="1">
      <c r="A10271" t="inlineStr">
        <is>
          <t>A 2965-2026</t>
        </is>
      </c>
      <c r="B10271" t="inlineStr">
        <is>
          <t>avverkningsanmälan</t>
        </is>
      </c>
      <c r="C10271" t="inlineStr">
        <is>
          <t>Föryngringsavverkning</t>
        </is>
      </c>
      <c r="D10271" s="1" t="n">
        <v>46038</v>
      </c>
      <c r="E10271" s="1" t="n">
        <v>46326</v>
      </c>
      <c r="F10271" t="inlineStr">
        <is>
          <t>GÄVLEBORGS LÄN</t>
        </is>
      </c>
      <c r="G10271" t="inlineStr">
        <is>
          <t>BOLLNÄS</t>
        </is>
      </c>
      <c r="I10271" t="n">
        <v>26.9</v>
      </c>
      <c r="J10271" t="n">
        <v>0</v>
      </c>
      <c r="K10271" t="n">
        <v>0</v>
      </c>
      <c r="L10271" t="n">
        <v>0</v>
      </c>
      <c r="M10271" t="n">
        <v>0</v>
      </c>
      <c r="N10271" t="n">
        <v>0</v>
      </c>
      <c r="O10271" t="n">
        <v>0</v>
      </c>
      <c r="P10271" t="n">
        <v>0</v>
      </c>
      <c r="Q10271" t="n">
        <v>0</v>
      </c>
      <c r="R10271" t="n">
        <v>0</v>
      </c>
      <c r="S10271" t="n">
        <v>0</v>
      </c>
      <c r="T10271" t="n">
        <v>0</v>
      </c>
      <c r="U10271" t="n">
        <v>0</v>
      </c>
      <c r="V10271" s="2" t="inlineStr"/>
    </row>
    <row r="10272" ht="15" customHeight="1">
      <c r="A10272" t="inlineStr">
        <is>
          <t>A 32998-2026</t>
        </is>
      </c>
      <c r="B10272" t="inlineStr">
        <is>
          <t>avverkningsanmälan</t>
        </is>
      </c>
      <c r="C10272" t="inlineStr">
        <is>
          <t>Föryngringsavverkning</t>
        </is>
      </c>
      <c r="D10272" s="1" t="n">
        <v>46244</v>
      </c>
      <c r="E10272" s="1" t="n">
        <v>46326</v>
      </c>
      <c r="F10272" t="inlineStr">
        <is>
          <t>GÄVLEBORGS LÄN</t>
        </is>
      </c>
      <c r="G10272" t="inlineStr">
        <is>
          <t>SANDVIKEN</t>
        </is>
      </c>
      <c r="H10272" t="inlineStr">
        <is>
          <t>Kommuner</t>
        </is>
      </c>
      <c r="I10272" t="n">
        <v>1.1</v>
      </c>
      <c r="J10272" t="n">
        <v>0</v>
      </c>
      <c r="K10272" t="n">
        <v>0</v>
      </c>
      <c r="L10272" t="n">
        <v>0</v>
      </c>
      <c r="M10272" t="n">
        <v>0</v>
      </c>
      <c r="N10272" t="n">
        <v>0</v>
      </c>
      <c r="O10272" t="n">
        <v>0</v>
      </c>
      <c r="P10272" t="n">
        <v>0</v>
      </c>
      <c r="Q10272" t="n">
        <v>0</v>
      </c>
      <c r="R10272" t="n">
        <v>0</v>
      </c>
      <c r="S10272" t="n">
        <v>0</v>
      </c>
      <c r="T10272" t="n">
        <v>0</v>
      </c>
      <c r="U10272" t="n">
        <v>0</v>
      </c>
      <c r="V10272" s="2" t="inlineStr"/>
    </row>
    <row r="10273" ht="15" customHeight="1">
      <c r="A10273" t="inlineStr">
        <is>
          <t>A 34248-2026</t>
        </is>
      </c>
      <c r="B10273" t="inlineStr">
        <is>
          <t>avverkningsanmälan</t>
        </is>
      </c>
      <c r="C10273" t="inlineStr">
        <is>
          <t>Föryngringsavverkning</t>
        </is>
      </c>
      <c r="D10273" s="1" t="n">
        <v>46253</v>
      </c>
      <c r="E10273" s="1" t="n">
        <v>46326</v>
      </c>
      <c r="F10273" t="inlineStr">
        <is>
          <t>GÄVLEBORGS LÄN</t>
        </is>
      </c>
      <c r="G10273" t="inlineStr">
        <is>
          <t>NORDANSTIG</t>
        </is>
      </c>
      <c r="H10273" t="inlineStr">
        <is>
          <t>Holmen skog AB</t>
        </is>
      </c>
      <c r="I10273" t="n">
        <v>1.1</v>
      </c>
      <c r="J10273" t="n">
        <v>0</v>
      </c>
      <c r="K10273" t="n">
        <v>0</v>
      </c>
      <c r="L10273" t="n">
        <v>0</v>
      </c>
      <c r="M10273" t="n">
        <v>0</v>
      </c>
      <c r="N10273" t="n">
        <v>0</v>
      </c>
      <c r="O10273" t="n">
        <v>0</v>
      </c>
      <c r="P10273" t="n">
        <v>0</v>
      </c>
      <c r="Q10273" t="n">
        <v>0</v>
      </c>
      <c r="R10273" t="n">
        <v>0</v>
      </c>
      <c r="S10273" t="n">
        <v>0</v>
      </c>
      <c r="T10273" t="n">
        <v>0</v>
      </c>
      <c r="U10273" t="n">
        <v>0</v>
      </c>
      <c r="V10273" s="2" t="inlineStr"/>
    </row>
    <row r="10274" ht="15" customHeight="1">
      <c r="A10274" t="inlineStr">
        <is>
          <t>A 41000-2026</t>
        </is>
      </c>
      <c r="B10274" t="inlineStr">
        <is>
          <t>avverkningsanmälan</t>
        </is>
      </c>
      <c r="C10274" t="inlineStr">
        <is>
          <t>Föryngringsavverkning</t>
        </is>
      </c>
      <c r="D10274" s="1" t="n">
        <v>46297</v>
      </c>
      <c r="E10274" s="1" t="n">
        <v>46326</v>
      </c>
      <c r="F10274" t="inlineStr">
        <is>
          <t>GÄVLEBORGS LÄN</t>
        </is>
      </c>
      <c r="G10274" t="inlineStr">
        <is>
          <t>BOLLNÄS</t>
        </is>
      </c>
      <c r="H10274" t="inlineStr">
        <is>
          <t>Kyrkan</t>
        </is>
      </c>
      <c r="I10274" t="n">
        <v>0.6</v>
      </c>
      <c r="J10274" t="n">
        <v>0</v>
      </c>
      <c r="K10274" t="n">
        <v>0</v>
      </c>
      <c r="L10274" t="n">
        <v>0</v>
      </c>
      <c r="M10274" t="n">
        <v>0</v>
      </c>
      <c r="N10274" t="n">
        <v>0</v>
      </c>
      <c r="O10274" t="n">
        <v>0</v>
      </c>
      <c r="P10274" t="n">
        <v>0</v>
      </c>
      <c r="Q10274" t="n">
        <v>0</v>
      </c>
      <c r="R10274" t="n">
        <v>0</v>
      </c>
      <c r="S10274" t="n">
        <v>0</v>
      </c>
      <c r="T10274" t="n">
        <v>0</v>
      </c>
      <c r="U10274" t="n">
        <v>0</v>
      </c>
      <c r="V10274" s="2" t="inlineStr"/>
    </row>
    <row r="10275" ht="15" customHeight="1">
      <c r="A10275" t="inlineStr">
        <is>
          <t>A 34069-2026</t>
        </is>
      </c>
      <c r="B10275" t="inlineStr">
        <is>
          <t>avverkningsanmälan</t>
        </is>
      </c>
      <c r="C10275" t="inlineStr">
        <is>
          <t>Föryngringsavverkning</t>
        </is>
      </c>
      <c r="D10275" s="1" t="n">
        <v>46252</v>
      </c>
      <c r="E10275" s="1" t="n">
        <v>46326</v>
      </c>
      <c r="F10275" t="inlineStr">
        <is>
          <t>GÄVLEBORGS LÄN</t>
        </is>
      </c>
      <c r="G10275" t="inlineStr">
        <is>
          <t>BOLLNÄS</t>
        </is>
      </c>
      <c r="I10275" t="n">
        <v>0.8</v>
      </c>
      <c r="J10275" t="n">
        <v>0</v>
      </c>
      <c r="K10275" t="n">
        <v>0</v>
      </c>
      <c r="L10275" t="n">
        <v>0</v>
      </c>
      <c r="M10275" t="n">
        <v>0</v>
      </c>
      <c r="N10275" t="n">
        <v>0</v>
      </c>
      <c r="O10275" t="n">
        <v>0</v>
      </c>
      <c r="P10275" t="n">
        <v>0</v>
      </c>
      <c r="Q10275" t="n">
        <v>0</v>
      </c>
      <c r="R10275" t="n">
        <v>0</v>
      </c>
      <c r="S10275" t="n">
        <v>0</v>
      </c>
      <c r="T10275" t="n">
        <v>0</v>
      </c>
      <c r="U10275" t="n">
        <v>0</v>
      </c>
      <c r="V10275" s="2" t="inlineStr"/>
    </row>
    <row r="10276" ht="15" customHeight="1">
      <c r="A10276" t="inlineStr">
        <is>
          <t>A 36840-2026</t>
        </is>
      </c>
      <c r="B10276" t="inlineStr">
        <is>
          <t>avverkningsanmälan</t>
        </is>
      </c>
      <c r="C10276" t="inlineStr">
        <is>
          <t>Föryngringsavverkning</t>
        </is>
      </c>
      <c r="D10276" s="1" t="n">
        <v>46272</v>
      </c>
      <c r="E10276" s="1" t="n">
        <v>46326</v>
      </c>
      <c r="F10276" t="inlineStr">
        <is>
          <t>GÄVLEBORGS LÄN</t>
        </is>
      </c>
      <c r="G10276" t="inlineStr">
        <is>
          <t>NORDANSTIG</t>
        </is>
      </c>
      <c r="I10276" t="n">
        <v>1.8</v>
      </c>
      <c r="J10276" t="n">
        <v>0</v>
      </c>
      <c r="K10276" t="n">
        <v>0</v>
      </c>
      <c r="L10276" t="n">
        <v>0</v>
      </c>
      <c r="M10276" t="n">
        <v>0</v>
      </c>
      <c r="N10276" t="n">
        <v>0</v>
      </c>
      <c r="O10276" t="n">
        <v>0</v>
      </c>
      <c r="P10276" t="n">
        <v>0</v>
      </c>
      <c r="Q10276" t="n">
        <v>0</v>
      </c>
      <c r="R10276" t="n">
        <v>0</v>
      </c>
      <c r="S10276" t="n">
        <v>0</v>
      </c>
      <c r="T10276" t="n">
        <v>0</v>
      </c>
      <c r="U10276" t="n">
        <v>0</v>
      </c>
      <c r="V10276" s="2" t="inlineStr"/>
    </row>
    <row r="10277" ht="15" customHeight="1">
      <c r="A10277" t="inlineStr">
        <is>
          <t>A 40923-2026</t>
        </is>
      </c>
      <c r="B10277" t="inlineStr">
        <is>
          <t>avverkningsanmälan</t>
        </is>
      </c>
      <c r="C10277" t="inlineStr">
        <is>
          <t>Föryngringsavverkning</t>
        </is>
      </c>
      <c r="D10277" s="1" t="n">
        <v>46297</v>
      </c>
      <c r="E10277" s="1" t="n">
        <v>46326</v>
      </c>
      <c r="F10277" t="inlineStr">
        <is>
          <t>GÄVLEBORGS LÄN</t>
        </is>
      </c>
      <c r="G10277" t="inlineStr">
        <is>
          <t>LJUSDAL</t>
        </is>
      </c>
      <c r="H10277" t="inlineStr">
        <is>
          <t>Allmännings- och besparingsskogar</t>
        </is>
      </c>
      <c r="I10277" t="n">
        <v>9</v>
      </c>
      <c r="J10277" t="n">
        <v>0</v>
      </c>
      <c r="K10277" t="n">
        <v>0</v>
      </c>
      <c r="L10277" t="n">
        <v>0</v>
      </c>
      <c r="M10277" t="n">
        <v>0</v>
      </c>
      <c r="N10277" t="n">
        <v>0</v>
      </c>
      <c r="O10277" t="n">
        <v>0</v>
      </c>
      <c r="P10277" t="n">
        <v>0</v>
      </c>
      <c r="Q10277" t="n">
        <v>0</v>
      </c>
      <c r="R10277" t="n">
        <v>0</v>
      </c>
      <c r="S10277" t="n">
        <v>0</v>
      </c>
      <c r="T10277" t="n">
        <v>0</v>
      </c>
      <c r="U10277" t="n">
        <v>0</v>
      </c>
      <c r="V10277" s="2" t="inlineStr"/>
    </row>
    <row r="10278" ht="15" customHeight="1">
      <c r="A10278" t="inlineStr">
        <is>
          <t>A 40938-2026</t>
        </is>
      </c>
      <c r="B10278" t="inlineStr">
        <is>
          <t>avverkningsanmälan</t>
        </is>
      </c>
      <c r="C10278" t="inlineStr">
        <is>
          <t>Föryngringsavverkning</t>
        </is>
      </c>
      <c r="D10278" s="1" t="n">
        <v>46297</v>
      </c>
      <c r="E10278" s="1" t="n">
        <v>46326</v>
      </c>
      <c r="F10278" t="inlineStr">
        <is>
          <t>GÄVLEBORGS LÄN</t>
        </is>
      </c>
      <c r="G10278" t="inlineStr">
        <is>
          <t>GÄVLE</t>
        </is>
      </c>
      <c r="H10278" t="inlineStr">
        <is>
          <t>Bergvik skog öst AB</t>
        </is>
      </c>
      <c r="I10278" t="n">
        <v>4.2</v>
      </c>
      <c r="J10278" t="n">
        <v>0</v>
      </c>
      <c r="K10278" t="n">
        <v>0</v>
      </c>
      <c r="L10278" t="n">
        <v>0</v>
      </c>
      <c r="M10278" t="n">
        <v>0</v>
      </c>
      <c r="N10278" t="n">
        <v>0</v>
      </c>
      <c r="O10278" t="n">
        <v>0</v>
      </c>
      <c r="P10278" t="n">
        <v>0</v>
      </c>
      <c r="Q10278" t="n">
        <v>0</v>
      </c>
      <c r="R10278" t="n">
        <v>0</v>
      </c>
      <c r="S10278" t="n">
        <v>0</v>
      </c>
      <c r="T10278" t="n">
        <v>0</v>
      </c>
      <c r="U10278" t="n">
        <v>0</v>
      </c>
      <c r="V10278" s="2" t="inlineStr"/>
    </row>
    <row r="10279" ht="15" customHeight="1">
      <c r="A10279" t="inlineStr">
        <is>
          <t>A 40941-2026</t>
        </is>
      </c>
      <c r="B10279" t="inlineStr">
        <is>
          <t>avverkningsanmälan</t>
        </is>
      </c>
      <c r="C10279" t="inlineStr">
        <is>
          <t>Föryngringsavverkning</t>
        </is>
      </c>
      <c r="D10279" s="1" t="n">
        <v>46297</v>
      </c>
      <c r="E10279" s="1" t="n">
        <v>46326</v>
      </c>
      <c r="F10279" t="inlineStr">
        <is>
          <t>GÄVLEBORGS LÄN</t>
        </is>
      </c>
      <c r="G10279" t="inlineStr">
        <is>
          <t>GÄVLE</t>
        </is>
      </c>
      <c r="H10279" t="inlineStr">
        <is>
          <t>Bergvik skog öst AB</t>
        </is>
      </c>
      <c r="I10279" t="n">
        <v>4</v>
      </c>
      <c r="J10279" t="n">
        <v>0</v>
      </c>
      <c r="K10279" t="n">
        <v>0</v>
      </c>
      <c r="L10279" t="n">
        <v>0</v>
      </c>
      <c r="M10279" t="n">
        <v>0</v>
      </c>
      <c r="N10279" t="n">
        <v>0</v>
      </c>
      <c r="O10279" t="n">
        <v>0</v>
      </c>
      <c r="P10279" t="n">
        <v>0</v>
      </c>
      <c r="Q10279" t="n">
        <v>0</v>
      </c>
      <c r="R10279" t="n">
        <v>0</v>
      </c>
      <c r="S10279" t="n">
        <v>0</v>
      </c>
      <c r="T10279" t="n">
        <v>0</v>
      </c>
      <c r="U10279" t="n">
        <v>0</v>
      </c>
      <c r="V10279" s="2" t="inlineStr"/>
    </row>
    <row r="10280" ht="15" customHeight="1">
      <c r="A10280" t="inlineStr">
        <is>
          <t>A 40948-2026</t>
        </is>
      </c>
      <c r="B10280" t="inlineStr">
        <is>
          <t>avverkningsanmälan</t>
        </is>
      </c>
      <c r="C10280" t="inlineStr">
        <is>
          <t>Föryngringsavverkning</t>
        </is>
      </c>
      <c r="D10280" s="1" t="n">
        <v>46297</v>
      </c>
      <c r="E10280" s="1" t="n">
        <v>46326</v>
      </c>
      <c r="F10280" t="inlineStr">
        <is>
          <t>GÄVLEBORGS LÄN</t>
        </is>
      </c>
      <c r="G10280" t="inlineStr">
        <is>
          <t>GÄVLE</t>
        </is>
      </c>
      <c r="H10280" t="inlineStr">
        <is>
          <t>Bergvik skog öst AB</t>
        </is>
      </c>
      <c r="I10280" t="n">
        <v>2.3</v>
      </c>
      <c r="J10280" t="n">
        <v>0</v>
      </c>
      <c r="K10280" t="n">
        <v>0</v>
      </c>
      <c r="L10280" t="n">
        <v>0</v>
      </c>
      <c r="M10280" t="n">
        <v>0</v>
      </c>
      <c r="N10280" t="n">
        <v>0</v>
      </c>
      <c r="O10280" t="n">
        <v>0</v>
      </c>
      <c r="P10280" t="n">
        <v>0</v>
      </c>
      <c r="Q10280" t="n">
        <v>0</v>
      </c>
      <c r="R10280" t="n">
        <v>0</v>
      </c>
      <c r="S10280" t="n">
        <v>0</v>
      </c>
      <c r="T10280" t="n">
        <v>0</v>
      </c>
      <c r="U10280" t="n">
        <v>0</v>
      </c>
      <c r="V10280" s="2" t="inlineStr"/>
    </row>
    <row r="10281" ht="15" customHeight="1">
      <c r="A10281" t="inlineStr">
        <is>
          <t>A 40949-2026</t>
        </is>
      </c>
      <c r="B10281" t="inlineStr">
        <is>
          <t>avverkningsanmälan</t>
        </is>
      </c>
      <c r="C10281" t="inlineStr">
        <is>
          <t>Föryngringsavverkning</t>
        </is>
      </c>
      <c r="D10281" s="1" t="n">
        <v>46297</v>
      </c>
      <c r="E10281" s="1" t="n">
        <v>46326</v>
      </c>
      <c r="F10281" t="inlineStr">
        <is>
          <t>GÄVLEBORGS LÄN</t>
        </is>
      </c>
      <c r="G10281" t="inlineStr">
        <is>
          <t>GÄVLE</t>
        </is>
      </c>
      <c r="H10281" t="inlineStr">
        <is>
          <t>Bergvik skog öst AB</t>
        </is>
      </c>
      <c r="I10281" t="n">
        <v>1.1</v>
      </c>
      <c r="J10281" t="n">
        <v>0</v>
      </c>
      <c r="K10281" t="n">
        <v>0</v>
      </c>
      <c r="L10281" t="n">
        <v>0</v>
      </c>
      <c r="M10281" t="n">
        <v>0</v>
      </c>
      <c r="N10281" t="n">
        <v>0</v>
      </c>
      <c r="O10281" t="n">
        <v>0</v>
      </c>
      <c r="P10281" t="n">
        <v>0</v>
      </c>
      <c r="Q10281" t="n">
        <v>0</v>
      </c>
      <c r="R10281" t="n">
        <v>0</v>
      </c>
      <c r="S10281" t="n">
        <v>0</v>
      </c>
      <c r="T10281" t="n">
        <v>0</v>
      </c>
      <c r="U10281" t="n">
        <v>0</v>
      </c>
      <c r="V10281" s="2" t="inlineStr"/>
    </row>
    <row r="10282" ht="15" customHeight="1">
      <c r="A10282" t="inlineStr">
        <is>
          <t>A 40952-2026</t>
        </is>
      </c>
      <c r="B10282" t="inlineStr">
        <is>
          <t>avverkningsanmälan</t>
        </is>
      </c>
      <c r="C10282" t="inlineStr">
        <is>
          <t>Föryngringsavverkning</t>
        </is>
      </c>
      <c r="D10282" s="1" t="n">
        <v>46297</v>
      </c>
      <c r="E10282" s="1" t="n">
        <v>46326</v>
      </c>
      <c r="F10282" t="inlineStr">
        <is>
          <t>GÄVLEBORGS LÄN</t>
        </is>
      </c>
      <c r="G10282" t="inlineStr">
        <is>
          <t>BOLLNÄS</t>
        </is>
      </c>
      <c r="I10282" t="n">
        <v>3.6</v>
      </c>
      <c r="J10282" t="n">
        <v>0</v>
      </c>
      <c r="K10282" t="n">
        <v>0</v>
      </c>
      <c r="L10282" t="n">
        <v>0</v>
      </c>
      <c r="M10282" t="n">
        <v>0</v>
      </c>
      <c r="N10282" t="n">
        <v>0</v>
      </c>
      <c r="O10282" t="n">
        <v>0</v>
      </c>
      <c r="P10282" t="n">
        <v>0</v>
      </c>
      <c r="Q10282" t="n">
        <v>0</v>
      </c>
      <c r="R10282" t="n">
        <v>0</v>
      </c>
      <c r="S10282" t="n">
        <v>0</v>
      </c>
      <c r="T10282" t="n">
        <v>0</v>
      </c>
      <c r="U10282" t="n">
        <v>0</v>
      </c>
      <c r="V10282" s="2" t="inlineStr"/>
    </row>
    <row r="10283" ht="15" customHeight="1">
      <c r="A10283" t="inlineStr">
        <is>
          <t>A 50345-2025</t>
        </is>
      </c>
      <c r="B10283" t="inlineStr">
        <is>
          <t>avverkningsanmälan</t>
        </is>
      </c>
      <c r="C10283" t="inlineStr">
        <is>
          <t>Föryngringsavverkning</t>
        </is>
      </c>
      <c r="D10283" s="1" t="n">
        <v>45944</v>
      </c>
      <c r="E10283" s="1" t="n">
        <v>46326</v>
      </c>
      <c r="F10283" t="inlineStr">
        <is>
          <t>GÄVLEBORGS LÄN</t>
        </is>
      </c>
      <c r="G10283" t="inlineStr">
        <is>
          <t>GÄVLE</t>
        </is>
      </c>
      <c r="H10283" t="inlineStr">
        <is>
          <t>Bergvik skog väst AB</t>
        </is>
      </c>
      <c r="I10283" t="n">
        <v>1</v>
      </c>
      <c r="J10283" t="n">
        <v>0</v>
      </c>
      <c r="K10283" t="n">
        <v>0</v>
      </c>
      <c r="L10283" t="n">
        <v>0</v>
      </c>
      <c r="M10283" t="n">
        <v>0</v>
      </c>
      <c r="N10283" t="n">
        <v>0</v>
      </c>
      <c r="O10283" t="n">
        <v>0</v>
      </c>
      <c r="P10283" t="n">
        <v>0</v>
      </c>
      <c r="Q10283" t="n">
        <v>0</v>
      </c>
      <c r="R10283" t="n">
        <v>0</v>
      </c>
      <c r="S10283" t="n">
        <v>0</v>
      </c>
      <c r="T10283" t="n">
        <v>0</v>
      </c>
      <c r="U10283" t="n">
        <v>0</v>
      </c>
      <c r="V10283" s="2" t="inlineStr"/>
    </row>
    <row r="10284" ht="15" customHeight="1">
      <c r="A10284" t="inlineStr">
        <is>
          <t>A 54874-2025</t>
        </is>
      </c>
      <c r="B10284" t="inlineStr">
        <is>
          <t>avverkningsanmälan</t>
        </is>
      </c>
      <c r="C10284" t="inlineStr">
        <is>
          <t>Föryngringsavverkning</t>
        </is>
      </c>
      <c r="D10284" s="1" t="n">
        <v>45967</v>
      </c>
      <c r="E10284" s="1" t="n">
        <v>46326</v>
      </c>
      <c r="F10284" t="inlineStr">
        <is>
          <t>GÄVLEBORGS LÄN</t>
        </is>
      </c>
      <c r="G10284" t="inlineStr">
        <is>
          <t>HOFORS</t>
        </is>
      </c>
      <c r="I10284" t="n">
        <v>5.3</v>
      </c>
      <c r="J10284" t="n">
        <v>0</v>
      </c>
      <c r="K10284" t="n">
        <v>0</v>
      </c>
      <c r="L10284" t="n">
        <v>0</v>
      </c>
      <c r="M10284" t="n">
        <v>0</v>
      </c>
      <c r="N10284" t="n">
        <v>0</v>
      </c>
      <c r="O10284" t="n">
        <v>0</v>
      </c>
      <c r="P10284" t="n">
        <v>0</v>
      </c>
      <c r="Q10284" t="n">
        <v>0</v>
      </c>
      <c r="R10284" t="n">
        <v>0</v>
      </c>
      <c r="S10284" t="n">
        <v>0</v>
      </c>
      <c r="T10284" t="n">
        <v>0</v>
      </c>
      <c r="U10284" t="n">
        <v>0</v>
      </c>
      <c r="V10284" s="2" t="inlineStr"/>
    </row>
    <row r="10285" ht="15" customHeight="1">
      <c r="A10285" t="inlineStr">
        <is>
          <t>A 33956-2026</t>
        </is>
      </c>
      <c r="B10285" t="inlineStr">
        <is>
          <t>avverkningsanmälan</t>
        </is>
      </c>
      <c r="C10285" t="inlineStr">
        <is>
          <t>Föryngringsavverkning</t>
        </is>
      </c>
      <c r="D10285" s="1" t="n">
        <v>46252</v>
      </c>
      <c r="E10285" s="1" t="n">
        <v>46326</v>
      </c>
      <c r="F10285" t="inlineStr">
        <is>
          <t>GÄVLEBORGS LÄN</t>
        </is>
      </c>
      <c r="G10285" t="inlineStr">
        <is>
          <t>BOLLNÄS</t>
        </is>
      </c>
      <c r="I10285" t="n">
        <v>3.1</v>
      </c>
      <c r="J10285" t="n">
        <v>0</v>
      </c>
      <c r="K10285" t="n">
        <v>0</v>
      </c>
      <c r="L10285" t="n">
        <v>0</v>
      </c>
      <c r="M10285" t="n">
        <v>0</v>
      </c>
      <c r="N10285" t="n">
        <v>0</v>
      </c>
      <c r="O10285" t="n">
        <v>0</v>
      </c>
      <c r="P10285" t="n">
        <v>0</v>
      </c>
      <c r="Q10285" t="n">
        <v>0</v>
      </c>
      <c r="R10285" t="n">
        <v>0</v>
      </c>
      <c r="S10285" t="n">
        <v>0</v>
      </c>
      <c r="T10285" t="n">
        <v>0</v>
      </c>
      <c r="U10285" t="n">
        <v>0</v>
      </c>
      <c r="V10285" s="2" t="inlineStr"/>
    </row>
    <row r="10286" ht="15" customHeight="1">
      <c r="A10286" t="inlineStr">
        <is>
          <t>A 8321-2026</t>
        </is>
      </c>
      <c r="B10286" t="inlineStr">
        <is>
          <t>avverkningsanmälan</t>
        </is>
      </c>
      <c r="C10286" t="inlineStr">
        <is>
          <t>Föryngringsavverkning</t>
        </is>
      </c>
      <c r="D10286" s="1" t="n">
        <v>46064</v>
      </c>
      <c r="E10286" s="1" t="n">
        <v>46326</v>
      </c>
      <c r="F10286" t="inlineStr">
        <is>
          <t>GÄVLEBORGS LÄN</t>
        </is>
      </c>
      <c r="G10286" t="inlineStr">
        <is>
          <t>HOFORS</t>
        </is>
      </c>
      <c r="I10286" t="n">
        <v>0.9</v>
      </c>
      <c r="J10286" t="n">
        <v>0</v>
      </c>
      <c r="K10286" t="n">
        <v>0</v>
      </c>
      <c r="L10286" t="n">
        <v>0</v>
      </c>
      <c r="M10286" t="n">
        <v>0</v>
      </c>
      <c r="N10286" t="n">
        <v>0</v>
      </c>
      <c r="O10286" t="n">
        <v>0</v>
      </c>
      <c r="P10286" t="n">
        <v>0</v>
      </c>
      <c r="Q10286" t="n">
        <v>0</v>
      </c>
      <c r="R10286" t="n">
        <v>0</v>
      </c>
      <c r="S10286" t="n">
        <v>0</v>
      </c>
      <c r="T10286" t="n">
        <v>0</v>
      </c>
      <c r="U10286" t="n">
        <v>0</v>
      </c>
      <c r="V10286" s="2" t="inlineStr"/>
    </row>
    <row r="10287" ht="15" customHeight="1">
      <c r="A10287" t="inlineStr">
        <is>
          <t>A 34107-2026</t>
        </is>
      </c>
      <c r="B10287" t="inlineStr">
        <is>
          <t>avverkningsanmälan</t>
        </is>
      </c>
      <c r="C10287" t="inlineStr">
        <is>
          <t>Föryngringsavverkning</t>
        </is>
      </c>
      <c r="D10287" s="1" t="n">
        <v>46253</v>
      </c>
      <c r="E10287" s="1" t="n">
        <v>46326</v>
      </c>
      <c r="F10287" t="inlineStr">
        <is>
          <t>GÄVLEBORGS LÄN</t>
        </is>
      </c>
      <c r="G10287" t="inlineStr">
        <is>
          <t>BOLLNÄS</t>
        </is>
      </c>
      <c r="I10287" t="n">
        <v>1.5</v>
      </c>
      <c r="J10287" t="n">
        <v>0</v>
      </c>
      <c r="K10287" t="n">
        <v>0</v>
      </c>
      <c r="L10287" t="n">
        <v>0</v>
      </c>
      <c r="M10287" t="n">
        <v>0</v>
      </c>
      <c r="N10287" t="n">
        <v>0</v>
      </c>
      <c r="O10287" t="n">
        <v>0</v>
      </c>
      <c r="P10287" t="n">
        <v>0</v>
      </c>
      <c r="Q10287" t="n">
        <v>0</v>
      </c>
      <c r="R10287" t="n">
        <v>0</v>
      </c>
      <c r="S10287" t="n">
        <v>0</v>
      </c>
      <c r="T10287" t="n">
        <v>0</v>
      </c>
      <c r="U10287" t="n">
        <v>0</v>
      </c>
      <c r="V10287" s="2" t="inlineStr"/>
    </row>
    <row r="10288" ht="15" customHeight="1">
      <c r="A10288" t="inlineStr">
        <is>
          <t>A 34229-2026</t>
        </is>
      </c>
      <c r="B10288" t="inlineStr">
        <is>
          <t>avverkningsanmälan</t>
        </is>
      </c>
      <c r="C10288" t="inlineStr">
        <is>
          <t>Föryngringsavverkning</t>
        </is>
      </c>
      <c r="D10288" s="1" t="n">
        <v>46253</v>
      </c>
      <c r="E10288" s="1" t="n">
        <v>46326</v>
      </c>
      <c r="F10288" t="inlineStr">
        <is>
          <t>GÄVLEBORGS LÄN</t>
        </is>
      </c>
      <c r="G10288" t="inlineStr">
        <is>
          <t>NORDANSTIG</t>
        </is>
      </c>
      <c r="H10288" t="inlineStr">
        <is>
          <t>Holmen skog AB</t>
        </is>
      </c>
      <c r="I10288" t="n">
        <v>1.1</v>
      </c>
      <c r="J10288" t="n">
        <v>0</v>
      </c>
      <c r="K10288" t="n">
        <v>0</v>
      </c>
      <c r="L10288" t="n">
        <v>0</v>
      </c>
      <c r="M10288" t="n">
        <v>0</v>
      </c>
      <c r="N10288" t="n">
        <v>0</v>
      </c>
      <c r="O10288" t="n">
        <v>0</v>
      </c>
      <c r="P10288" t="n">
        <v>0</v>
      </c>
      <c r="Q10288" t="n">
        <v>0</v>
      </c>
      <c r="R10288" t="n">
        <v>0</v>
      </c>
      <c r="S10288" t="n">
        <v>0</v>
      </c>
      <c r="T10288" t="n">
        <v>0</v>
      </c>
      <c r="U10288" t="n">
        <v>0</v>
      </c>
      <c r="V10288" s="2" t="inlineStr"/>
    </row>
    <row r="10289" ht="15" customHeight="1">
      <c r="A10289" t="inlineStr">
        <is>
          <t>A 40799-2026</t>
        </is>
      </c>
      <c r="B10289" t="inlineStr">
        <is>
          <t>avverkningsanmälan</t>
        </is>
      </c>
      <c r="C10289" t="inlineStr">
        <is>
          <t>Föryngringsavverkning</t>
        </is>
      </c>
      <c r="D10289" s="1" t="n">
        <v>46296</v>
      </c>
      <c r="E10289" s="1" t="n">
        <v>46326</v>
      </c>
      <c r="F10289" t="inlineStr">
        <is>
          <t>GÄVLEBORGS LÄN</t>
        </is>
      </c>
      <c r="G10289" t="inlineStr">
        <is>
          <t>SÖDERHAMN</t>
        </is>
      </c>
      <c r="I10289" t="n">
        <v>3.8</v>
      </c>
      <c r="J10289" t="n">
        <v>0</v>
      </c>
      <c r="K10289" t="n">
        <v>0</v>
      </c>
      <c r="L10289" t="n">
        <v>0</v>
      </c>
      <c r="M10289" t="n">
        <v>0</v>
      </c>
      <c r="N10289" t="n">
        <v>0</v>
      </c>
      <c r="O10289" t="n">
        <v>0</v>
      </c>
      <c r="P10289" t="n">
        <v>0</v>
      </c>
      <c r="Q10289" t="n">
        <v>0</v>
      </c>
      <c r="R10289" t="n">
        <v>0</v>
      </c>
      <c r="S10289" t="n">
        <v>0</v>
      </c>
      <c r="T10289" t="n">
        <v>0</v>
      </c>
      <c r="U10289" t="n">
        <v>0</v>
      </c>
      <c r="V10289" s="2" t="inlineStr"/>
    </row>
    <row r="10290" ht="15" customHeight="1">
      <c r="A10290" t="inlineStr">
        <is>
          <t>A 8669-2026</t>
        </is>
      </c>
      <c r="B10290" t="inlineStr">
        <is>
          <t>avverkningsanmälan</t>
        </is>
      </c>
      <c r="C10290" t="inlineStr">
        <is>
          <t>Föryngringsavverkning</t>
        </is>
      </c>
      <c r="D10290" s="1" t="n">
        <v>46066</v>
      </c>
      <c r="E10290" s="1" t="n">
        <v>46326</v>
      </c>
      <c r="F10290" t="inlineStr">
        <is>
          <t>GÄVLEBORGS LÄN</t>
        </is>
      </c>
      <c r="G10290" t="inlineStr">
        <is>
          <t>BOLLNÄS</t>
        </is>
      </c>
      <c r="I10290" t="n">
        <v>1</v>
      </c>
      <c r="J10290" t="n">
        <v>0</v>
      </c>
      <c r="K10290" t="n">
        <v>0</v>
      </c>
      <c r="L10290" t="n">
        <v>0</v>
      </c>
      <c r="M10290" t="n">
        <v>0</v>
      </c>
      <c r="N10290" t="n">
        <v>0</v>
      </c>
      <c r="O10290" t="n">
        <v>0</v>
      </c>
      <c r="P10290" t="n">
        <v>0</v>
      </c>
      <c r="Q10290" t="n">
        <v>0</v>
      </c>
      <c r="R10290" t="n">
        <v>0</v>
      </c>
      <c r="S10290" t="n">
        <v>0</v>
      </c>
      <c r="T10290" t="n">
        <v>0</v>
      </c>
      <c r="U10290" t="n">
        <v>0</v>
      </c>
      <c r="V10290" s="2" t="inlineStr"/>
    </row>
    <row r="10291" ht="15" customHeight="1">
      <c r="A10291" t="inlineStr">
        <is>
          <t>A 33873-2026</t>
        </is>
      </c>
      <c r="B10291" t="inlineStr">
        <is>
          <t>avverkningsanmälan</t>
        </is>
      </c>
      <c r="C10291" t="inlineStr">
        <is>
          <t>Föryngringsavverkning</t>
        </is>
      </c>
      <c r="D10291" s="1" t="n">
        <v>46251</v>
      </c>
      <c r="E10291" s="1" t="n">
        <v>46326</v>
      </c>
      <c r="F10291" t="inlineStr">
        <is>
          <t>GÄVLEBORGS LÄN</t>
        </is>
      </c>
      <c r="G10291" t="inlineStr">
        <is>
          <t>SANDVIKEN</t>
        </is>
      </c>
      <c r="H10291" t="inlineStr">
        <is>
          <t>Sveaskog</t>
        </is>
      </c>
      <c r="I10291" t="n">
        <v>2.2</v>
      </c>
      <c r="J10291" t="n">
        <v>0</v>
      </c>
      <c r="K10291" t="n">
        <v>0</v>
      </c>
      <c r="L10291" t="n">
        <v>0</v>
      </c>
      <c r="M10291" t="n">
        <v>0</v>
      </c>
      <c r="N10291" t="n">
        <v>0</v>
      </c>
      <c r="O10291" t="n">
        <v>0</v>
      </c>
      <c r="P10291" t="n">
        <v>0</v>
      </c>
      <c r="Q10291" t="n">
        <v>0</v>
      </c>
      <c r="R10291" t="n">
        <v>0</v>
      </c>
      <c r="S10291" t="n">
        <v>0</v>
      </c>
      <c r="T10291" t="n">
        <v>0</v>
      </c>
      <c r="U10291" t="n">
        <v>0</v>
      </c>
      <c r="V10291" s="2" t="inlineStr"/>
    </row>
    <row r="10292" ht="15" customHeight="1">
      <c r="A10292" t="inlineStr">
        <is>
          <t>A 34183-2026</t>
        </is>
      </c>
      <c r="B10292" t="inlineStr">
        <is>
          <t>avverkningsanmälan</t>
        </is>
      </c>
      <c r="C10292" t="inlineStr">
        <is>
          <t>Föryngringsavverkning</t>
        </is>
      </c>
      <c r="D10292" s="1" t="n">
        <v>46253</v>
      </c>
      <c r="E10292" s="1" t="n">
        <v>46326</v>
      </c>
      <c r="F10292" t="inlineStr">
        <is>
          <t>GÄVLEBORGS LÄN</t>
        </is>
      </c>
      <c r="G10292" t="inlineStr">
        <is>
          <t>SÖDERHAMN</t>
        </is>
      </c>
      <c r="I10292" t="n">
        <v>1.2</v>
      </c>
      <c r="J10292" t="n">
        <v>0</v>
      </c>
      <c r="K10292" t="n">
        <v>0</v>
      </c>
      <c r="L10292" t="n">
        <v>0</v>
      </c>
      <c r="M10292" t="n">
        <v>0</v>
      </c>
      <c r="N10292" t="n">
        <v>0</v>
      </c>
      <c r="O10292" t="n">
        <v>0</v>
      </c>
      <c r="P10292" t="n">
        <v>0</v>
      </c>
      <c r="Q10292" t="n">
        <v>0</v>
      </c>
      <c r="R10292" t="n">
        <v>0</v>
      </c>
      <c r="S10292" t="n">
        <v>0</v>
      </c>
      <c r="T10292" t="n">
        <v>0</v>
      </c>
      <c r="U10292" t="n">
        <v>0</v>
      </c>
      <c r="V10292" s="2" t="inlineStr"/>
    </row>
    <row r="10293" ht="15" customHeight="1">
      <c r="A10293" t="inlineStr">
        <is>
          <t>A 34129-2026</t>
        </is>
      </c>
      <c r="B10293" t="inlineStr">
        <is>
          <t>avverkningsanmälan</t>
        </is>
      </c>
      <c r="C10293" t="inlineStr">
        <is>
          <t>Föryngringsavverkning</t>
        </is>
      </c>
      <c r="D10293" s="1" t="n">
        <v>46253</v>
      </c>
      <c r="E10293" s="1" t="n">
        <v>46326</v>
      </c>
      <c r="F10293" t="inlineStr">
        <is>
          <t>GÄVLEBORGS LÄN</t>
        </is>
      </c>
      <c r="G10293" t="inlineStr">
        <is>
          <t>BOLLNÄS</t>
        </is>
      </c>
      <c r="I10293" t="n">
        <v>1.1</v>
      </c>
      <c r="J10293" t="n">
        <v>0</v>
      </c>
      <c r="K10293" t="n">
        <v>0</v>
      </c>
      <c r="L10293" t="n">
        <v>0</v>
      </c>
      <c r="M10293" t="n">
        <v>0</v>
      </c>
      <c r="N10293" t="n">
        <v>0</v>
      </c>
      <c r="O10293" t="n">
        <v>0</v>
      </c>
      <c r="P10293" t="n">
        <v>0</v>
      </c>
      <c r="Q10293" t="n">
        <v>0</v>
      </c>
      <c r="R10293" t="n">
        <v>0</v>
      </c>
      <c r="S10293" t="n">
        <v>0</v>
      </c>
      <c r="T10293" t="n">
        <v>0</v>
      </c>
      <c r="U10293" t="n">
        <v>0</v>
      </c>
      <c r="V10293" s="2" t="inlineStr"/>
    </row>
    <row r="10294" ht="15" customHeight="1">
      <c r="A10294" t="inlineStr">
        <is>
          <t>A 34141-2026</t>
        </is>
      </c>
      <c r="B10294" t="inlineStr">
        <is>
          <t>avverkningsanmälan</t>
        </is>
      </c>
      <c r="C10294" t="inlineStr">
        <is>
          <t>Föryngringsavverkning</t>
        </is>
      </c>
      <c r="D10294" s="1" t="n">
        <v>46253</v>
      </c>
      <c r="E10294" s="1" t="n">
        <v>46326</v>
      </c>
      <c r="F10294" t="inlineStr">
        <is>
          <t>GÄVLEBORGS LÄN</t>
        </is>
      </c>
      <c r="G10294" t="inlineStr">
        <is>
          <t>HUDIKSVALL</t>
        </is>
      </c>
      <c r="H10294" t="inlineStr">
        <is>
          <t>Holmen skog AB</t>
        </is>
      </c>
      <c r="I10294" t="n">
        <v>1</v>
      </c>
      <c r="J10294" t="n">
        <v>0</v>
      </c>
      <c r="K10294" t="n">
        <v>0</v>
      </c>
      <c r="L10294" t="n">
        <v>0</v>
      </c>
      <c r="M10294" t="n">
        <v>0</v>
      </c>
      <c r="N10294" t="n">
        <v>0</v>
      </c>
      <c r="O10294" t="n">
        <v>0</v>
      </c>
      <c r="P10294" t="n">
        <v>0</v>
      </c>
      <c r="Q10294" t="n">
        <v>0</v>
      </c>
      <c r="R10294" t="n">
        <v>0</v>
      </c>
      <c r="S10294" t="n">
        <v>0</v>
      </c>
      <c r="T10294" t="n">
        <v>0</v>
      </c>
      <c r="U10294" t="n">
        <v>0</v>
      </c>
      <c r="V10294" s="2" t="inlineStr"/>
    </row>
    <row r="10295" ht="15" customHeight="1">
      <c r="A10295" t="inlineStr">
        <is>
          <t>A 3148-2026</t>
        </is>
      </c>
      <c r="B10295" t="inlineStr">
        <is>
          <t>avverkningsanmälan</t>
        </is>
      </c>
      <c r="C10295" t="inlineStr">
        <is>
          <t>Föryngringsavverkning</t>
        </is>
      </c>
      <c r="D10295" s="1" t="n">
        <v>46041</v>
      </c>
      <c r="E10295" s="1" t="n">
        <v>46326</v>
      </c>
      <c r="F10295" t="inlineStr">
        <is>
          <t>GÄVLEBORGS LÄN</t>
        </is>
      </c>
      <c r="G10295" t="inlineStr">
        <is>
          <t>OVANÅKER</t>
        </is>
      </c>
      <c r="I10295" t="n">
        <v>0.6</v>
      </c>
      <c r="J10295" t="n">
        <v>0</v>
      </c>
      <c r="K10295" t="n">
        <v>0</v>
      </c>
      <c r="L10295" t="n">
        <v>0</v>
      </c>
      <c r="M10295" t="n">
        <v>0</v>
      </c>
      <c r="N10295" t="n">
        <v>0</v>
      </c>
      <c r="O10295" t="n">
        <v>0</v>
      </c>
      <c r="P10295" t="n">
        <v>0</v>
      </c>
      <c r="Q10295" t="n">
        <v>0</v>
      </c>
      <c r="R10295" t="n">
        <v>0</v>
      </c>
      <c r="S10295" t="n">
        <v>0</v>
      </c>
      <c r="T10295" t="n">
        <v>0</v>
      </c>
      <c r="U10295" t="n">
        <v>0</v>
      </c>
      <c r="V10295" s="2" t="inlineStr"/>
    </row>
    <row r="10296" ht="15" customHeight="1">
      <c r="A10296" t="inlineStr">
        <is>
          <t>A 54876-2025</t>
        </is>
      </c>
      <c r="B10296" t="inlineStr">
        <is>
          <t>avverkningsanmälan</t>
        </is>
      </c>
      <c r="C10296" t="inlineStr">
        <is>
          <t>Föryngringsavverkning</t>
        </is>
      </c>
      <c r="D10296" s="1" t="n">
        <v>45967</v>
      </c>
      <c r="E10296" s="1" t="n">
        <v>46326</v>
      </c>
      <c r="F10296" t="inlineStr">
        <is>
          <t>GÄVLEBORGS LÄN</t>
        </is>
      </c>
      <c r="G10296" t="inlineStr">
        <is>
          <t>HOFORS</t>
        </is>
      </c>
      <c r="I10296" t="n">
        <v>0.6</v>
      </c>
      <c r="J10296" t="n">
        <v>0</v>
      </c>
      <c r="K10296" t="n">
        <v>0</v>
      </c>
      <c r="L10296" t="n">
        <v>0</v>
      </c>
      <c r="M10296" t="n">
        <v>0</v>
      </c>
      <c r="N10296" t="n">
        <v>0</v>
      </c>
      <c r="O10296" t="n">
        <v>0</v>
      </c>
      <c r="P10296" t="n">
        <v>0</v>
      </c>
      <c r="Q10296" t="n">
        <v>0</v>
      </c>
      <c r="R10296" t="n">
        <v>0</v>
      </c>
      <c r="S10296" t="n">
        <v>0</v>
      </c>
      <c r="T10296" t="n">
        <v>0</v>
      </c>
      <c r="U10296" t="n">
        <v>0</v>
      </c>
      <c r="V10296" s="2" t="inlineStr"/>
    </row>
    <row r="10297" ht="15" customHeight="1">
      <c r="A10297" t="inlineStr">
        <is>
          <t>A 54877-2025</t>
        </is>
      </c>
      <c r="B10297" t="inlineStr">
        <is>
          <t>avverkningsanmälan</t>
        </is>
      </c>
      <c r="C10297" t="inlineStr">
        <is>
          <t>Föryngringsavverkning</t>
        </is>
      </c>
      <c r="D10297" s="1" t="n">
        <v>45967</v>
      </c>
      <c r="E10297" s="1" t="n">
        <v>46326</v>
      </c>
      <c r="F10297" t="inlineStr">
        <is>
          <t>GÄVLEBORGS LÄN</t>
        </is>
      </c>
      <c r="G10297" t="inlineStr">
        <is>
          <t>HOFORS</t>
        </is>
      </c>
      <c r="I10297" t="n">
        <v>0.9</v>
      </c>
      <c r="J10297" t="n">
        <v>0</v>
      </c>
      <c r="K10297" t="n">
        <v>0</v>
      </c>
      <c r="L10297" t="n">
        <v>0</v>
      </c>
      <c r="M10297" t="n">
        <v>0</v>
      </c>
      <c r="N10297" t="n">
        <v>0</v>
      </c>
      <c r="O10297" t="n">
        <v>0</v>
      </c>
      <c r="P10297" t="n">
        <v>0</v>
      </c>
      <c r="Q10297" t="n">
        <v>0</v>
      </c>
      <c r="R10297" t="n">
        <v>0</v>
      </c>
      <c r="S10297" t="n">
        <v>0</v>
      </c>
      <c r="T10297" t="n">
        <v>0</v>
      </c>
      <c r="U10297" t="n">
        <v>0</v>
      </c>
      <c r="V10297" s="2" t="inlineStr"/>
    </row>
    <row r="10298" ht="15" customHeight="1">
      <c r="A10298" t="inlineStr">
        <is>
          <t>A 58198-2025</t>
        </is>
      </c>
      <c r="B10298" t="inlineStr">
        <is>
          <t>avverkningsanmälan</t>
        </is>
      </c>
      <c r="C10298" t="inlineStr">
        <is>
          <t>Föryngringsavverkning</t>
        </is>
      </c>
      <c r="D10298" s="1" t="n">
        <v>45984</v>
      </c>
      <c r="E10298" s="1" t="n">
        <v>46326</v>
      </c>
      <c r="F10298" t="inlineStr">
        <is>
          <t>GÄVLEBORGS LÄN</t>
        </is>
      </c>
      <c r="G10298" t="inlineStr">
        <is>
          <t>SANDVIKEN</t>
        </is>
      </c>
      <c r="H10298" t="inlineStr">
        <is>
          <t>Bergvik skog öst AB</t>
        </is>
      </c>
      <c r="I10298" t="n">
        <v>0.6</v>
      </c>
      <c r="J10298" t="n">
        <v>0</v>
      </c>
      <c r="K10298" t="n">
        <v>0</v>
      </c>
      <c r="L10298" t="n">
        <v>0</v>
      </c>
      <c r="M10298" t="n">
        <v>0</v>
      </c>
      <c r="N10298" t="n">
        <v>0</v>
      </c>
      <c r="O10298" t="n">
        <v>0</v>
      </c>
      <c r="P10298" t="n">
        <v>0</v>
      </c>
      <c r="Q10298" t="n">
        <v>0</v>
      </c>
      <c r="R10298" t="n">
        <v>0</v>
      </c>
      <c r="S10298" t="n">
        <v>0</v>
      </c>
      <c r="T10298" t="n">
        <v>0</v>
      </c>
      <c r="U10298" t="n">
        <v>0</v>
      </c>
      <c r="V10298" s="2" t="inlineStr"/>
    </row>
    <row r="10299" ht="15" customHeight="1">
      <c r="A10299" t="inlineStr">
        <is>
          <t>A 40544-2026</t>
        </is>
      </c>
      <c r="B10299" t="inlineStr">
        <is>
          <t>avverkningsanmälan</t>
        </is>
      </c>
      <c r="C10299" t="inlineStr">
        <is>
          <t>Föryngringsavverkning</t>
        </is>
      </c>
      <c r="D10299" s="1" t="n">
        <v>46295</v>
      </c>
      <c r="E10299" s="1" t="n">
        <v>46326</v>
      </c>
      <c r="F10299" t="inlineStr">
        <is>
          <t>GÄVLEBORGS LÄN</t>
        </is>
      </c>
      <c r="G10299" t="inlineStr">
        <is>
          <t>LJUSDAL</t>
        </is>
      </c>
      <c r="H10299" t="inlineStr">
        <is>
          <t>Allmännings- och besparingsskogar</t>
        </is>
      </c>
      <c r="I10299" t="n">
        <v>4.5</v>
      </c>
      <c r="J10299" t="n">
        <v>0</v>
      </c>
      <c r="K10299" t="n">
        <v>0</v>
      </c>
      <c r="L10299" t="n">
        <v>0</v>
      </c>
      <c r="M10299" t="n">
        <v>0</v>
      </c>
      <c r="N10299" t="n">
        <v>0</v>
      </c>
      <c r="O10299" t="n">
        <v>0</v>
      </c>
      <c r="P10299" t="n">
        <v>0</v>
      </c>
      <c r="Q10299" t="n">
        <v>0</v>
      </c>
      <c r="R10299" t="n">
        <v>0</v>
      </c>
      <c r="S10299" t="n">
        <v>0</v>
      </c>
      <c r="T10299" t="n">
        <v>0</v>
      </c>
      <c r="U10299" t="n">
        <v>0</v>
      </c>
      <c r="V10299" s="2" t="inlineStr"/>
    </row>
    <row r="10300" ht="15" customHeight="1">
      <c r="A10300" t="inlineStr">
        <is>
          <t>A 34166-2026</t>
        </is>
      </c>
      <c r="B10300" t="inlineStr">
        <is>
          <t>avverkningsanmälan</t>
        </is>
      </c>
      <c r="C10300" t="inlineStr">
        <is>
          <t>Föryngringsavverkning</t>
        </is>
      </c>
      <c r="D10300" s="1" t="n">
        <v>46253</v>
      </c>
      <c r="E10300" s="1" t="n">
        <v>46326</v>
      </c>
      <c r="F10300" t="inlineStr">
        <is>
          <t>GÄVLEBORGS LÄN</t>
        </is>
      </c>
      <c r="G10300" t="inlineStr">
        <is>
          <t>OVANÅKER</t>
        </is>
      </c>
      <c r="I10300" t="n">
        <v>2.8</v>
      </c>
      <c r="J10300" t="n">
        <v>0</v>
      </c>
      <c r="K10300" t="n">
        <v>0</v>
      </c>
      <c r="L10300" t="n">
        <v>0</v>
      </c>
      <c r="M10300" t="n">
        <v>0</v>
      </c>
      <c r="N10300" t="n">
        <v>0</v>
      </c>
      <c r="O10300" t="n">
        <v>0</v>
      </c>
      <c r="P10300" t="n">
        <v>0</v>
      </c>
      <c r="Q10300" t="n">
        <v>0</v>
      </c>
      <c r="R10300" t="n">
        <v>0</v>
      </c>
      <c r="S10300" t="n">
        <v>0</v>
      </c>
      <c r="T10300" t="n">
        <v>0</v>
      </c>
      <c r="U10300" t="n">
        <v>0</v>
      </c>
      <c r="V10300" s="2" t="inlineStr"/>
    </row>
    <row r="10301" ht="15" customHeight="1">
      <c r="A10301" t="inlineStr">
        <is>
          <t>A 20984-2026</t>
        </is>
      </c>
      <c r="B10301" t="inlineStr">
        <is>
          <t>avverkningsanmälan</t>
        </is>
      </c>
      <c r="C10301" t="inlineStr">
        <is>
          <t>Föryngringsavverkning</t>
        </is>
      </c>
      <c r="D10301" s="1" t="n">
        <v>46142</v>
      </c>
      <c r="E10301" s="1" t="n">
        <v>46326</v>
      </c>
      <c r="F10301" t="inlineStr">
        <is>
          <t>GÄVLEBORGS LÄN</t>
        </is>
      </c>
      <c r="G10301" t="inlineStr">
        <is>
          <t>OCKELBO</t>
        </is>
      </c>
      <c r="H10301" t="inlineStr">
        <is>
          <t>Bergvik skog väst AB</t>
        </is>
      </c>
      <c r="I10301" t="n">
        <v>1.3</v>
      </c>
      <c r="J10301" t="n">
        <v>0</v>
      </c>
      <c r="K10301" t="n">
        <v>0</v>
      </c>
      <c r="L10301" t="n">
        <v>0</v>
      </c>
      <c r="M10301" t="n">
        <v>0</v>
      </c>
      <c r="N10301" t="n">
        <v>0</v>
      </c>
      <c r="O10301" t="n">
        <v>0</v>
      </c>
      <c r="P10301" t="n">
        <v>0</v>
      </c>
      <c r="Q10301" t="n">
        <v>0</v>
      </c>
      <c r="R10301" t="n">
        <v>0</v>
      </c>
      <c r="S10301" t="n">
        <v>0</v>
      </c>
      <c r="T10301" t="n">
        <v>0</v>
      </c>
      <c r="U10301" t="n">
        <v>0</v>
      </c>
      <c r="V10301" s="2" t="inlineStr"/>
    </row>
    <row r="10302" ht="15" customHeight="1">
      <c r="A10302" t="inlineStr">
        <is>
          <t>A 29616-2026</t>
        </is>
      </c>
      <c r="B10302" t="inlineStr">
        <is>
          <t>avverkningsanmälan</t>
        </is>
      </c>
      <c r="C10302" t="inlineStr">
        <is>
          <t>Föryngringsavverkning</t>
        </is>
      </c>
      <c r="D10302" s="1" t="n">
        <v>46204</v>
      </c>
      <c r="E10302" s="1" t="n">
        <v>46326</v>
      </c>
      <c r="F10302" t="inlineStr">
        <is>
          <t>GÄVLEBORGS LÄN</t>
        </is>
      </c>
      <c r="G10302" t="inlineStr">
        <is>
          <t>SANDVIKEN</t>
        </is>
      </c>
      <c r="H10302" t="inlineStr">
        <is>
          <t>Bergvik skog öst AB</t>
        </is>
      </c>
      <c r="I10302" t="n">
        <v>2.6</v>
      </c>
      <c r="J10302" t="n">
        <v>0</v>
      </c>
      <c r="K10302" t="n">
        <v>0</v>
      </c>
      <c r="L10302" t="n">
        <v>0</v>
      </c>
      <c r="M10302" t="n">
        <v>0</v>
      </c>
      <c r="N10302" t="n">
        <v>0</v>
      </c>
      <c r="O10302" t="n">
        <v>0</v>
      </c>
      <c r="P10302" t="n">
        <v>0</v>
      </c>
      <c r="Q10302" t="n">
        <v>0</v>
      </c>
      <c r="R10302" t="n">
        <v>0</v>
      </c>
      <c r="S10302" t="n">
        <v>0</v>
      </c>
      <c r="T10302" t="n">
        <v>0</v>
      </c>
      <c r="U10302" t="n">
        <v>0</v>
      </c>
      <c r="V10302" s="2" t="inlineStr"/>
    </row>
    <row r="10303" ht="15" customHeight="1">
      <c r="A10303" t="inlineStr">
        <is>
          <t>A 34153-2026</t>
        </is>
      </c>
      <c r="B10303" t="inlineStr">
        <is>
          <t>avverkningsanmälan</t>
        </is>
      </c>
      <c r="C10303" t="inlineStr">
        <is>
          <t>Föryngringsavverkning</t>
        </is>
      </c>
      <c r="D10303" s="1" t="n">
        <v>46253</v>
      </c>
      <c r="E10303" s="1" t="n">
        <v>46326</v>
      </c>
      <c r="F10303" t="inlineStr">
        <is>
          <t>GÄVLEBORGS LÄN</t>
        </is>
      </c>
      <c r="G10303" t="inlineStr">
        <is>
          <t>HUDIKSVALL</t>
        </is>
      </c>
      <c r="I10303" t="n">
        <v>0.8</v>
      </c>
      <c r="J10303" t="n">
        <v>0</v>
      </c>
      <c r="K10303" t="n">
        <v>0</v>
      </c>
      <c r="L10303" t="n">
        <v>0</v>
      </c>
      <c r="M10303" t="n">
        <v>0</v>
      </c>
      <c r="N10303" t="n">
        <v>0</v>
      </c>
      <c r="O10303" t="n">
        <v>0</v>
      </c>
      <c r="P10303" t="n">
        <v>0</v>
      </c>
      <c r="Q10303" t="n">
        <v>0</v>
      </c>
      <c r="R10303" t="n">
        <v>0</v>
      </c>
      <c r="S10303" t="n">
        <v>0</v>
      </c>
      <c r="T10303" t="n">
        <v>0</v>
      </c>
      <c r="U10303" t="n">
        <v>0</v>
      </c>
      <c r="V10303" s="2" t="inlineStr"/>
    </row>
    <row r="10304" ht="15" customHeight="1">
      <c r="A10304" t="inlineStr">
        <is>
          <t>A 22310-2026</t>
        </is>
      </c>
      <c r="B10304" t="inlineStr">
        <is>
          <t>avverkningsanmälan</t>
        </is>
      </c>
      <c r="C10304" t="inlineStr">
        <is>
          <t>Föryngringsavverkning</t>
        </is>
      </c>
      <c r="D10304" s="1" t="n">
        <v>46154</v>
      </c>
      <c r="E10304" s="1" t="n">
        <v>46326</v>
      </c>
      <c r="F10304" t="inlineStr">
        <is>
          <t>GÄVLEBORGS LÄN</t>
        </is>
      </c>
      <c r="G10304" t="inlineStr">
        <is>
          <t>BOLLNÄS</t>
        </is>
      </c>
      <c r="I10304" t="n">
        <v>1.7</v>
      </c>
      <c r="J10304" t="n">
        <v>0</v>
      </c>
      <c r="K10304" t="n">
        <v>0</v>
      </c>
      <c r="L10304" t="n">
        <v>0</v>
      </c>
      <c r="M10304" t="n">
        <v>0</v>
      </c>
      <c r="N10304" t="n">
        <v>0</v>
      </c>
      <c r="O10304" t="n">
        <v>0</v>
      </c>
      <c r="P10304" t="n">
        <v>0</v>
      </c>
      <c r="Q10304" t="n">
        <v>0</v>
      </c>
      <c r="R10304" t="n">
        <v>0</v>
      </c>
      <c r="S10304" t="n">
        <v>0</v>
      </c>
      <c r="T10304" t="n">
        <v>0</v>
      </c>
      <c r="U10304" t="n">
        <v>0</v>
      </c>
      <c r="V10304" s="2" t="inlineStr"/>
    </row>
    <row r="10305" ht="15" customHeight="1">
      <c r="A10305" t="inlineStr">
        <is>
          <t>A 16954-2026</t>
        </is>
      </c>
      <c r="B10305" t="inlineStr">
        <is>
          <t>avverkningsanmälan</t>
        </is>
      </c>
      <c r="C10305" t="inlineStr">
        <is>
          <t>Föryngringsavverkning</t>
        </is>
      </c>
      <c r="D10305" s="1" t="n">
        <v>46114</v>
      </c>
      <c r="E10305" s="1" t="n">
        <v>46326</v>
      </c>
      <c r="F10305" t="inlineStr">
        <is>
          <t>GÄVLEBORGS LÄN</t>
        </is>
      </c>
      <c r="G10305" t="inlineStr">
        <is>
          <t>HUDIKSVALL</t>
        </is>
      </c>
      <c r="I10305" t="n">
        <v>4.9</v>
      </c>
      <c r="J10305" t="n">
        <v>0</v>
      </c>
      <c r="K10305" t="n">
        <v>0</v>
      </c>
      <c r="L10305" t="n">
        <v>0</v>
      </c>
      <c r="M10305" t="n">
        <v>0</v>
      </c>
      <c r="N10305" t="n">
        <v>0</v>
      </c>
      <c r="O10305" t="n">
        <v>0</v>
      </c>
      <c r="P10305" t="n">
        <v>0</v>
      </c>
      <c r="Q10305" t="n">
        <v>0</v>
      </c>
      <c r="R10305" t="n">
        <v>0</v>
      </c>
      <c r="S10305" t="n">
        <v>0</v>
      </c>
      <c r="T10305" t="n">
        <v>0</v>
      </c>
      <c r="U10305" t="n">
        <v>0</v>
      </c>
      <c r="V10305" s="2" t="inlineStr"/>
    </row>
    <row r="10306" ht="15" customHeight="1">
      <c r="A10306" t="inlineStr">
        <is>
          <t>A 19153-2026</t>
        </is>
      </c>
      <c r="B10306" t="inlineStr">
        <is>
          <t>avverkningsanmälan</t>
        </is>
      </c>
      <c r="C10306" t="inlineStr">
        <is>
          <t>Föryngringsavverkning</t>
        </is>
      </c>
      <c r="D10306" s="1" t="n">
        <v>46132</v>
      </c>
      <c r="E10306" s="1" t="n">
        <v>46326</v>
      </c>
      <c r="F10306" t="inlineStr">
        <is>
          <t>GÄVLEBORGS LÄN</t>
        </is>
      </c>
      <c r="G10306" t="inlineStr">
        <is>
          <t>BOLLNÄS</t>
        </is>
      </c>
      <c r="I10306" t="n">
        <v>10.2</v>
      </c>
      <c r="J10306" t="n">
        <v>0</v>
      </c>
      <c r="K10306" t="n">
        <v>0</v>
      </c>
      <c r="L10306" t="n">
        <v>0</v>
      </c>
      <c r="M10306" t="n">
        <v>0</v>
      </c>
      <c r="N10306" t="n">
        <v>0</v>
      </c>
      <c r="O10306" t="n">
        <v>0</v>
      </c>
      <c r="P10306" t="n">
        <v>0</v>
      </c>
      <c r="Q10306" t="n">
        <v>0</v>
      </c>
      <c r="R10306" t="n">
        <v>0</v>
      </c>
      <c r="S10306" t="n">
        <v>0</v>
      </c>
      <c r="T10306" t="n">
        <v>0</v>
      </c>
      <c r="U10306" t="n">
        <v>0</v>
      </c>
      <c r="V10306" s="2" t="inlineStr"/>
    </row>
    <row r="10307" ht="15" customHeight="1">
      <c r="A10307" t="inlineStr">
        <is>
          <t>A 41378-2026</t>
        </is>
      </c>
      <c r="B10307" t="inlineStr">
        <is>
          <t>avverkningsanmälan</t>
        </is>
      </c>
      <c r="C10307" t="inlineStr">
        <is>
          <t>Föryngringsavverkning</t>
        </is>
      </c>
      <c r="D10307" s="1" t="n">
        <v>46301</v>
      </c>
      <c r="E10307" s="1" t="n">
        <v>46326</v>
      </c>
      <c r="F10307" t="inlineStr">
        <is>
          <t>GÄVLEBORGS LÄN</t>
        </is>
      </c>
      <c r="G10307" t="inlineStr">
        <is>
          <t>HUDIKSVALL</t>
        </is>
      </c>
      <c r="H10307" t="inlineStr">
        <is>
          <t>Holmen skog AB</t>
        </is>
      </c>
      <c r="I10307" t="n">
        <v>4.4</v>
      </c>
      <c r="J10307" t="n">
        <v>0</v>
      </c>
      <c r="K10307" t="n">
        <v>0</v>
      </c>
      <c r="L10307" t="n">
        <v>0</v>
      </c>
      <c r="M10307" t="n">
        <v>0</v>
      </c>
      <c r="N10307" t="n">
        <v>0</v>
      </c>
      <c r="O10307" t="n">
        <v>0</v>
      </c>
      <c r="P10307" t="n">
        <v>0</v>
      </c>
      <c r="Q10307" t="n">
        <v>0</v>
      </c>
      <c r="R10307" t="n">
        <v>0</v>
      </c>
      <c r="S10307" t="n">
        <v>0</v>
      </c>
      <c r="T10307" t="n">
        <v>0</v>
      </c>
      <c r="U10307" t="n">
        <v>0</v>
      </c>
      <c r="V10307" s="2" t="inlineStr"/>
    </row>
    <row r="10308" ht="15" customHeight="1">
      <c r="A10308" t="inlineStr">
        <is>
          <t>A 34572-2026</t>
        </is>
      </c>
      <c r="B10308" t="inlineStr">
        <is>
          <t>avverkningsanmälan</t>
        </is>
      </c>
      <c r="C10308" t="inlineStr">
        <is>
          <t>Föryngringsavverkning</t>
        </is>
      </c>
      <c r="D10308" s="1" t="n">
        <v>46255</v>
      </c>
      <c r="E10308" s="1" t="n">
        <v>46326</v>
      </c>
      <c r="F10308" t="inlineStr">
        <is>
          <t>GÄVLEBORGS LÄN</t>
        </is>
      </c>
      <c r="G10308" t="inlineStr">
        <is>
          <t>LJUSDAL</t>
        </is>
      </c>
      <c r="H10308" t="inlineStr">
        <is>
          <t>Bergvik skog väst AB</t>
        </is>
      </c>
      <c r="I10308" t="n">
        <v>14.7</v>
      </c>
      <c r="J10308" t="n">
        <v>0</v>
      </c>
      <c r="K10308" t="n">
        <v>0</v>
      </c>
      <c r="L10308" t="n">
        <v>0</v>
      </c>
      <c r="M10308" t="n">
        <v>0</v>
      </c>
      <c r="N10308" t="n">
        <v>0</v>
      </c>
      <c r="O10308" t="n">
        <v>0</v>
      </c>
      <c r="P10308" t="n">
        <v>0</v>
      </c>
      <c r="Q10308" t="n">
        <v>0</v>
      </c>
      <c r="R10308" t="n">
        <v>0</v>
      </c>
      <c r="S10308" t="n">
        <v>0</v>
      </c>
      <c r="T10308" t="n">
        <v>0</v>
      </c>
      <c r="U10308" t="n">
        <v>0</v>
      </c>
      <c r="V10308" s="2" t="inlineStr"/>
    </row>
    <row r="10309" ht="15" customHeight="1">
      <c r="A10309" t="inlineStr">
        <is>
          <t>A 21696-2026</t>
        </is>
      </c>
      <c r="B10309" t="inlineStr">
        <is>
          <t>avverkningsanmälan</t>
        </is>
      </c>
      <c r="C10309" t="inlineStr">
        <is>
          <t>Föryngringsavverkning</t>
        </is>
      </c>
      <c r="D10309" s="1" t="n">
        <v>46149</v>
      </c>
      <c r="E10309" s="1" t="n">
        <v>46326</v>
      </c>
      <c r="F10309" t="inlineStr">
        <is>
          <t>GÄVLEBORGS LÄN</t>
        </is>
      </c>
      <c r="G10309" t="inlineStr">
        <is>
          <t>BOLLNÄS</t>
        </is>
      </c>
      <c r="I10309" t="n">
        <v>6.9</v>
      </c>
      <c r="J10309" t="n">
        <v>0</v>
      </c>
      <c r="K10309" t="n">
        <v>0</v>
      </c>
      <c r="L10309" t="n">
        <v>0</v>
      </c>
      <c r="M10309" t="n">
        <v>0</v>
      </c>
      <c r="N10309" t="n">
        <v>0</v>
      </c>
      <c r="O10309" t="n">
        <v>0</v>
      </c>
      <c r="P10309" t="n">
        <v>0</v>
      </c>
      <c r="Q10309" t="n">
        <v>0</v>
      </c>
      <c r="R10309" t="n">
        <v>0</v>
      </c>
      <c r="S10309" t="n">
        <v>0</v>
      </c>
      <c r="T10309" t="n">
        <v>0</v>
      </c>
      <c r="U10309" t="n">
        <v>0</v>
      </c>
      <c r="V10309" s="2" t="inlineStr"/>
    </row>
    <row r="10310" ht="15" customHeight="1">
      <c r="A10310" t="inlineStr">
        <is>
          <t>A 21790-2026</t>
        </is>
      </c>
      <c r="B10310" t="inlineStr">
        <is>
          <t>avverkningsanmälan</t>
        </is>
      </c>
      <c r="C10310" t="inlineStr">
        <is>
          <t>Föryngringsavverkning</t>
        </is>
      </c>
      <c r="D10310" s="1" t="n">
        <v>46150</v>
      </c>
      <c r="E10310" s="1" t="n">
        <v>46326</v>
      </c>
      <c r="F10310" t="inlineStr">
        <is>
          <t>GÄVLEBORGS LÄN</t>
        </is>
      </c>
      <c r="G10310" t="inlineStr">
        <is>
          <t>BOLLNÄS</t>
        </is>
      </c>
      <c r="I10310" t="n">
        <v>4.1</v>
      </c>
      <c r="J10310" t="n">
        <v>0</v>
      </c>
      <c r="K10310" t="n">
        <v>0</v>
      </c>
      <c r="L10310" t="n">
        <v>0</v>
      </c>
      <c r="M10310" t="n">
        <v>0</v>
      </c>
      <c r="N10310" t="n">
        <v>0</v>
      </c>
      <c r="O10310" t="n">
        <v>0</v>
      </c>
      <c r="P10310" t="n">
        <v>0</v>
      </c>
      <c r="Q10310" t="n">
        <v>0</v>
      </c>
      <c r="R10310" t="n">
        <v>0</v>
      </c>
      <c r="S10310" t="n">
        <v>0</v>
      </c>
      <c r="T10310" t="n">
        <v>0</v>
      </c>
      <c r="U10310" t="n">
        <v>0</v>
      </c>
      <c r="V10310" s="2" t="inlineStr"/>
    </row>
    <row r="10311" ht="15" customHeight="1">
      <c r="A10311" t="inlineStr">
        <is>
          <t>A 22502-2026</t>
        </is>
      </c>
      <c r="B10311" t="inlineStr">
        <is>
          <t>avverkningsanmälan</t>
        </is>
      </c>
      <c r="C10311" t="inlineStr">
        <is>
          <t>Föryngringsavverkning</t>
        </is>
      </c>
      <c r="D10311" s="1" t="n">
        <v>46155</v>
      </c>
      <c r="E10311" s="1" t="n">
        <v>46326</v>
      </c>
      <c r="F10311" t="inlineStr">
        <is>
          <t>GÄVLEBORGS LÄN</t>
        </is>
      </c>
      <c r="G10311" t="inlineStr">
        <is>
          <t>BOLLNÄS</t>
        </is>
      </c>
      <c r="I10311" t="n">
        <v>1.1</v>
      </c>
      <c r="J10311" t="n">
        <v>0</v>
      </c>
      <c r="K10311" t="n">
        <v>0</v>
      </c>
      <c r="L10311" t="n">
        <v>0</v>
      </c>
      <c r="M10311" t="n">
        <v>0</v>
      </c>
      <c r="N10311" t="n">
        <v>0</v>
      </c>
      <c r="O10311" t="n">
        <v>0</v>
      </c>
      <c r="P10311" t="n">
        <v>0</v>
      </c>
      <c r="Q10311" t="n">
        <v>0</v>
      </c>
      <c r="R10311" t="n">
        <v>0</v>
      </c>
      <c r="S10311" t="n">
        <v>0</v>
      </c>
      <c r="T10311" t="n">
        <v>0</v>
      </c>
      <c r="U10311" t="n">
        <v>0</v>
      </c>
      <c r="V10311" s="2" t="inlineStr"/>
    </row>
    <row r="10312" ht="15" customHeight="1">
      <c r="A10312" t="inlineStr">
        <is>
          <t>A 17709-2026</t>
        </is>
      </c>
      <c r="B10312" t="inlineStr">
        <is>
          <t>avverkningsanmälan</t>
        </is>
      </c>
      <c r="C10312" t="inlineStr">
        <is>
          <t>Föryngringsavverkning</t>
        </is>
      </c>
      <c r="D10312" s="1" t="n">
        <v>46121</v>
      </c>
      <c r="E10312" s="1" t="n">
        <v>46326</v>
      </c>
      <c r="F10312" t="inlineStr">
        <is>
          <t>GÄVLEBORGS LÄN</t>
        </is>
      </c>
      <c r="G10312" t="inlineStr">
        <is>
          <t>OCKELBO</t>
        </is>
      </c>
      <c r="I10312" t="n">
        <v>2.4</v>
      </c>
      <c r="J10312" t="n">
        <v>0</v>
      </c>
      <c r="K10312" t="n">
        <v>0</v>
      </c>
      <c r="L10312" t="n">
        <v>0</v>
      </c>
      <c r="M10312" t="n">
        <v>0</v>
      </c>
      <c r="N10312" t="n">
        <v>0</v>
      </c>
      <c r="O10312" t="n">
        <v>0</v>
      </c>
      <c r="P10312" t="n">
        <v>0</v>
      </c>
      <c r="Q10312" t="n">
        <v>0</v>
      </c>
      <c r="R10312" t="n">
        <v>0</v>
      </c>
      <c r="S10312" t="n">
        <v>0</v>
      </c>
      <c r="T10312" t="n">
        <v>0</v>
      </c>
      <c r="U10312" t="n">
        <v>0</v>
      </c>
      <c r="V10312" s="2" t="inlineStr"/>
    </row>
    <row r="10313" ht="15" customHeight="1">
      <c r="A10313" t="inlineStr">
        <is>
          <t>A 11794-2026</t>
        </is>
      </c>
      <c r="B10313" t="inlineStr">
        <is>
          <t>avverkningsanmälan</t>
        </is>
      </c>
      <c r="C10313" t="inlineStr">
        <is>
          <t>Föryngringsavverkning</t>
        </is>
      </c>
      <c r="D10313" s="1" t="n">
        <v>46085</v>
      </c>
      <c r="E10313" s="1" t="n">
        <v>46326</v>
      </c>
      <c r="F10313" t="inlineStr">
        <is>
          <t>GÄVLEBORGS LÄN</t>
        </is>
      </c>
      <c r="G10313" t="inlineStr">
        <is>
          <t>SÖDERHAMN</t>
        </is>
      </c>
      <c r="I10313" t="n">
        <v>1.3</v>
      </c>
      <c r="J10313" t="n">
        <v>0</v>
      </c>
      <c r="K10313" t="n">
        <v>0</v>
      </c>
      <c r="L10313" t="n">
        <v>0</v>
      </c>
      <c r="M10313" t="n">
        <v>0</v>
      </c>
      <c r="N10313" t="n">
        <v>0</v>
      </c>
      <c r="O10313" t="n">
        <v>0</v>
      </c>
      <c r="P10313" t="n">
        <v>0</v>
      </c>
      <c r="Q10313" t="n">
        <v>0</v>
      </c>
      <c r="R10313" t="n">
        <v>0</v>
      </c>
      <c r="S10313" t="n">
        <v>0</v>
      </c>
      <c r="T10313" t="n">
        <v>0</v>
      </c>
      <c r="U10313" t="n">
        <v>0</v>
      </c>
      <c r="V10313" s="2" t="inlineStr"/>
    </row>
    <row r="10314" ht="15" customHeight="1">
      <c r="A10314" t="inlineStr">
        <is>
          <t>A 22692-2026</t>
        </is>
      </c>
      <c r="B10314" t="inlineStr">
        <is>
          <t>avverkningsanmälan</t>
        </is>
      </c>
      <c r="C10314" t="inlineStr">
        <is>
          <t>Föryngringsavverkning</t>
        </is>
      </c>
      <c r="D10314" s="1" t="n">
        <v>46156</v>
      </c>
      <c r="E10314" s="1" t="n">
        <v>46326</v>
      </c>
      <c r="F10314" t="inlineStr">
        <is>
          <t>GÄVLEBORGS LÄN</t>
        </is>
      </c>
      <c r="G10314" t="inlineStr">
        <is>
          <t>OCKELBO</t>
        </is>
      </c>
      <c r="H10314" t="inlineStr">
        <is>
          <t>Bergvik skog väst AB</t>
        </is>
      </c>
      <c r="I10314" t="n">
        <v>3.2</v>
      </c>
      <c r="J10314" t="n">
        <v>0</v>
      </c>
      <c r="K10314" t="n">
        <v>0</v>
      </c>
      <c r="L10314" t="n">
        <v>0</v>
      </c>
      <c r="M10314" t="n">
        <v>0</v>
      </c>
      <c r="N10314" t="n">
        <v>0</v>
      </c>
      <c r="O10314" t="n">
        <v>0</v>
      </c>
      <c r="P10314" t="n">
        <v>0</v>
      </c>
      <c r="Q10314" t="n">
        <v>0</v>
      </c>
      <c r="R10314" t="n">
        <v>0</v>
      </c>
      <c r="S10314" t="n">
        <v>0</v>
      </c>
      <c r="T10314" t="n">
        <v>0</v>
      </c>
      <c r="U10314" t="n">
        <v>0</v>
      </c>
      <c r="V10314" s="2" t="inlineStr"/>
    </row>
    <row r="10315" ht="15" customHeight="1">
      <c r="A10315" t="inlineStr">
        <is>
          <t>A 22499-2026</t>
        </is>
      </c>
      <c r="B10315" t="inlineStr">
        <is>
          <t>avverkningsanmälan</t>
        </is>
      </c>
      <c r="C10315" t="inlineStr">
        <is>
          <t>Föryngringsavverkning</t>
        </is>
      </c>
      <c r="D10315" s="1" t="n">
        <v>46155</v>
      </c>
      <c r="E10315" s="1" t="n">
        <v>46326</v>
      </c>
      <c r="F10315" t="inlineStr">
        <is>
          <t>GÄVLEBORGS LÄN</t>
        </is>
      </c>
      <c r="G10315" t="inlineStr">
        <is>
          <t>BOLLNÄS</t>
        </is>
      </c>
      <c r="I10315" t="n">
        <v>4.5</v>
      </c>
      <c r="J10315" t="n">
        <v>0</v>
      </c>
      <c r="K10315" t="n">
        <v>0</v>
      </c>
      <c r="L10315" t="n">
        <v>0</v>
      </c>
      <c r="M10315" t="n">
        <v>0</v>
      </c>
      <c r="N10315" t="n">
        <v>0</v>
      </c>
      <c r="O10315" t="n">
        <v>0</v>
      </c>
      <c r="P10315" t="n">
        <v>0</v>
      </c>
      <c r="Q10315" t="n">
        <v>0</v>
      </c>
      <c r="R10315" t="n">
        <v>0</v>
      </c>
      <c r="S10315" t="n">
        <v>0</v>
      </c>
      <c r="T10315" t="n">
        <v>0</v>
      </c>
      <c r="U10315" t="n">
        <v>0</v>
      </c>
      <c r="V10315" s="2" t="inlineStr"/>
    </row>
    <row r="10316" ht="15" customHeight="1">
      <c r="A10316" t="inlineStr">
        <is>
          <t>A 22507-2026</t>
        </is>
      </c>
      <c r="B10316" t="inlineStr">
        <is>
          <t>avverkningsanmälan</t>
        </is>
      </c>
      <c r="C10316" t="inlineStr">
        <is>
          <t>Föryngringsavverkning</t>
        </is>
      </c>
      <c r="D10316" s="1" t="n">
        <v>46155</v>
      </c>
      <c r="E10316" s="1" t="n">
        <v>46326</v>
      </c>
      <c r="F10316" t="inlineStr">
        <is>
          <t>GÄVLEBORGS LÄN</t>
        </is>
      </c>
      <c r="G10316" t="inlineStr">
        <is>
          <t>SÖDERHAMN</t>
        </is>
      </c>
      <c r="I10316" t="n">
        <v>1.2</v>
      </c>
      <c r="J10316" t="n">
        <v>0</v>
      </c>
      <c r="K10316" t="n">
        <v>0</v>
      </c>
      <c r="L10316" t="n">
        <v>0</v>
      </c>
      <c r="M10316" t="n">
        <v>0</v>
      </c>
      <c r="N10316" t="n">
        <v>0</v>
      </c>
      <c r="O10316" t="n">
        <v>0</v>
      </c>
      <c r="P10316" t="n">
        <v>0</v>
      </c>
      <c r="Q10316" t="n">
        <v>0</v>
      </c>
      <c r="R10316" t="n">
        <v>0</v>
      </c>
      <c r="S10316" t="n">
        <v>0</v>
      </c>
      <c r="T10316" t="n">
        <v>0</v>
      </c>
      <c r="U10316" t="n">
        <v>0</v>
      </c>
      <c r="V10316" s="2" t="inlineStr"/>
    </row>
    <row r="10317" ht="15" customHeight="1">
      <c r="A10317" t="inlineStr">
        <is>
          <t>A 24238-2025</t>
        </is>
      </c>
      <c r="B10317" t="inlineStr">
        <is>
          <t>avverkningsanmälan</t>
        </is>
      </c>
      <c r="C10317" t="inlineStr">
        <is>
          <t>Föryngringsavverkning</t>
        </is>
      </c>
      <c r="D10317" s="1" t="n">
        <v>45797</v>
      </c>
      <c r="E10317" s="1" t="n">
        <v>46326</v>
      </c>
      <c r="F10317" t="inlineStr">
        <is>
          <t>GÄVLEBORGS LÄN</t>
        </is>
      </c>
      <c r="G10317" t="inlineStr">
        <is>
          <t>HUDIKSVALL</t>
        </is>
      </c>
      <c r="I10317" t="n">
        <v>0.9</v>
      </c>
      <c r="J10317" t="n">
        <v>0</v>
      </c>
      <c r="K10317" t="n">
        <v>0</v>
      </c>
      <c r="L10317" t="n">
        <v>0</v>
      </c>
      <c r="M10317" t="n">
        <v>0</v>
      </c>
      <c r="N10317" t="n">
        <v>0</v>
      </c>
      <c r="O10317" t="n">
        <v>0</v>
      </c>
      <c r="P10317" t="n">
        <v>0</v>
      </c>
      <c r="Q10317" t="n">
        <v>0</v>
      </c>
      <c r="R10317" t="n">
        <v>0</v>
      </c>
      <c r="S10317" t="n">
        <v>0</v>
      </c>
      <c r="T10317" t="n">
        <v>0</v>
      </c>
      <c r="U10317" t="n">
        <v>0</v>
      </c>
      <c r="V10317" s="2" t="inlineStr"/>
    </row>
    <row r="10318" ht="15" customHeight="1">
      <c r="A10318" t="inlineStr">
        <is>
          <t>A 20060-2026</t>
        </is>
      </c>
      <c r="B10318" t="inlineStr">
        <is>
          <t>avverkningsanmälan</t>
        </is>
      </c>
      <c r="C10318" t="inlineStr">
        <is>
          <t>Avverkning för att bevara och utveckla /försöksver</t>
        </is>
      </c>
      <c r="D10318" s="1" t="n">
        <v>46136</v>
      </c>
      <c r="E10318" s="1" t="n">
        <v>46326</v>
      </c>
      <c r="F10318" t="inlineStr">
        <is>
          <t>GÄVLEBORGS LÄN</t>
        </is>
      </c>
      <c r="G10318" t="inlineStr">
        <is>
          <t>BOLLNÄS</t>
        </is>
      </c>
      <c r="I10318" t="n">
        <v>0.4</v>
      </c>
      <c r="J10318" t="n">
        <v>0</v>
      </c>
      <c r="K10318" t="n">
        <v>0</v>
      </c>
      <c r="L10318" t="n">
        <v>0</v>
      </c>
      <c r="M10318" t="n">
        <v>0</v>
      </c>
      <c r="N10318" t="n">
        <v>0</v>
      </c>
      <c r="O10318" t="n">
        <v>0</v>
      </c>
      <c r="P10318" t="n">
        <v>0</v>
      </c>
      <c r="Q10318" t="n">
        <v>0</v>
      </c>
      <c r="R10318" t="n">
        <v>0</v>
      </c>
      <c r="S10318" t="n">
        <v>0</v>
      </c>
      <c r="T10318" t="n">
        <v>0</v>
      </c>
      <c r="U10318" t="n">
        <v>0</v>
      </c>
      <c r="V10318" s="2" t="inlineStr"/>
    </row>
    <row r="10319" ht="15" customHeight="1">
      <c r="A10319" t="inlineStr">
        <is>
          <t>A 323-2026</t>
        </is>
      </c>
      <c r="B10319" t="inlineStr">
        <is>
          <t>avverkningsanmälan</t>
        </is>
      </c>
      <c r="C10319" t="inlineStr">
        <is>
          <t>Föryngringsavverkning</t>
        </is>
      </c>
      <c r="D10319" s="1" t="n">
        <v>46027</v>
      </c>
      <c r="E10319" s="1" t="n">
        <v>46326</v>
      </c>
      <c r="F10319" t="inlineStr">
        <is>
          <t>GÄVLEBORGS LÄN</t>
        </is>
      </c>
      <c r="G10319" t="inlineStr">
        <is>
          <t>BOLLNÄS</t>
        </is>
      </c>
      <c r="I10319" t="n">
        <v>5</v>
      </c>
      <c r="J10319" t="n">
        <v>0</v>
      </c>
      <c r="K10319" t="n">
        <v>0</v>
      </c>
      <c r="L10319" t="n">
        <v>0</v>
      </c>
      <c r="M10319" t="n">
        <v>0</v>
      </c>
      <c r="N10319" t="n">
        <v>0</v>
      </c>
      <c r="O10319" t="n">
        <v>0</v>
      </c>
      <c r="P10319" t="n">
        <v>0</v>
      </c>
      <c r="Q10319" t="n">
        <v>0</v>
      </c>
      <c r="R10319" t="n">
        <v>0</v>
      </c>
      <c r="S10319" t="n">
        <v>0</v>
      </c>
      <c r="T10319" t="n">
        <v>0</v>
      </c>
      <c r="U10319" t="n">
        <v>0</v>
      </c>
      <c r="V10319" s="2" t="inlineStr"/>
    </row>
    <row r="10320" ht="15" customHeight="1">
      <c r="A10320" t="inlineStr">
        <is>
          <t>A 41169-2026</t>
        </is>
      </c>
      <c r="B10320" t="inlineStr">
        <is>
          <t>avverkningsanmälan</t>
        </is>
      </c>
      <c r="C10320" t="inlineStr">
        <is>
          <t>Föryngringsavverkning</t>
        </is>
      </c>
      <c r="D10320" s="1" t="n">
        <v>46300</v>
      </c>
      <c r="E10320" s="1" t="n">
        <v>46326</v>
      </c>
      <c r="F10320" t="inlineStr">
        <is>
          <t>GÄVLEBORGS LÄN</t>
        </is>
      </c>
      <c r="G10320" t="inlineStr">
        <is>
          <t>NORDANSTIG</t>
        </is>
      </c>
      <c r="H10320" t="inlineStr">
        <is>
          <t>Holmen skog AB</t>
        </is>
      </c>
      <c r="I10320" t="n">
        <v>0.8</v>
      </c>
      <c r="J10320" t="n">
        <v>0</v>
      </c>
      <c r="K10320" t="n">
        <v>0</v>
      </c>
      <c r="L10320" t="n">
        <v>0</v>
      </c>
      <c r="M10320" t="n">
        <v>0</v>
      </c>
      <c r="N10320" t="n">
        <v>0</v>
      </c>
      <c r="O10320" t="n">
        <v>0</v>
      </c>
      <c r="P10320" t="n">
        <v>0</v>
      </c>
      <c r="Q10320" t="n">
        <v>0</v>
      </c>
      <c r="R10320" t="n">
        <v>0</v>
      </c>
      <c r="S10320" t="n">
        <v>0</v>
      </c>
      <c r="T10320" t="n">
        <v>0</v>
      </c>
      <c r="U10320" t="n">
        <v>0</v>
      </c>
      <c r="V10320" s="2" t="inlineStr"/>
    </row>
    <row r="10321" ht="15" customHeight="1">
      <c r="A10321" t="inlineStr">
        <is>
          <t>A 41392-2026</t>
        </is>
      </c>
      <c r="B10321" t="inlineStr">
        <is>
          <t>avverkningsanmälan</t>
        </is>
      </c>
      <c r="C10321" t="inlineStr">
        <is>
          <t>Föryngringsavverkning</t>
        </is>
      </c>
      <c r="D10321" s="1" t="n">
        <v>46301</v>
      </c>
      <c r="E10321" s="1" t="n">
        <v>46326</v>
      </c>
      <c r="F10321" t="inlineStr">
        <is>
          <t>GÄVLEBORGS LÄN</t>
        </is>
      </c>
      <c r="G10321" t="inlineStr">
        <is>
          <t>SÖDERHAMN</t>
        </is>
      </c>
      <c r="I10321" t="n">
        <v>0.9</v>
      </c>
      <c r="J10321" t="n">
        <v>0</v>
      </c>
      <c r="K10321" t="n">
        <v>0</v>
      </c>
      <c r="L10321" t="n">
        <v>0</v>
      </c>
      <c r="M10321" t="n">
        <v>0</v>
      </c>
      <c r="N10321" t="n">
        <v>0</v>
      </c>
      <c r="O10321" t="n">
        <v>0</v>
      </c>
      <c r="P10321" t="n">
        <v>0</v>
      </c>
      <c r="Q10321" t="n">
        <v>0</v>
      </c>
      <c r="R10321" t="n">
        <v>0</v>
      </c>
      <c r="S10321" t="n">
        <v>0</v>
      </c>
      <c r="T10321" t="n">
        <v>0</v>
      </c>
      <c r="U10321" t="n">
        <v>0</v>
      </c>
      <c r="V10321" s="2" t="inlineStr"/>
    </row>
    <row r="10322" ht="15" customHeight="1">
      <c r="A10322" t="inlineStr">
        <is>
          <t>A 11776-2026</t>
        </is>
      </c>
      <c r="B10322" t="inlineStr">
        <is>
          <t>avverkningsanmälan</t>
        </is>
      </c>
      <c r="C10322" t="inlineStr">
        <is>
          <t>Föryngringsavverkning</t>
        </is>
      </c>
      <c r="D10322" s="1" t="n">
        <v>46084</v>
      </c>
      <c r="E10322" s="1" t="n">
        <v>46326</v>
      </c>
      <c r="F10322" t="inlineStr">
        <is>
          <t>GÄVLEBORGS LÄN</t>
        </is>
      </c>
      <c r="G10322" t="inlineStr">
        <is>
          <t>HUDIKSVALL</t>
        </is>
      </c>
      <c r="I10322" t="n">
        <v>1.1</v>
      </c>
      <c r="J10322" t="n">
        <v>0</v>
      </c>
      <c r="K10322" t="n">
        <v>0</v>
      </c>
      <c r="L10322" t="n">
        <v>0</v>
      </c>
      <c r="M10322" t="n">
        <v>0</v>
      </c>
      <c r="N10322" t="n">
        <v>0</v>
      </c>
      <c r="O10322" t="n">
        <v>0</v>
      </c>
      <c r="P10322" t="n">
        <v>0</v>
      </c>
      <c r="Q10322" t="n">
        <v>0</v>
      </c>
      <c r="R10322" t="n">
        <v>0</v>
      </c>
      <c r="S10322" t="n">
        <v>0</v>
      </c>
      <c r="T10322" t="n">
        <v>0</v>
      </c>
      <c r="U10322" t="n">
        <v>0</v>
      </c>
      <c r="V10322" s="2" t="inlineStr"/>
    </row>
    <row r="10323" ht="15" customHeight="1">
      <c r="A10323" t="inlineStr">
        <is>
          <t>A 18980-2026</t>
        </is>
      </c>
      <c r="B10323" t="inlineStr">
        <is>
          <t>avverkningsanmälan</t>
        </is>
      </c>
      <c r="C10323" t="inlineStr">
        <is>
          <t>Föryngringsavverkning</t>
        </is>
      </c>
      <c r="D10323" s="1" t="n">
        <v>46129</v>
      </c>
      <c r="E10323" s="1" t="n">
        <v>46326</v>
      </c>
      <c r="F10323" t="inlineStr">
        <is>
          <t>GÄVLEBORGS LÄN</t>
        </is>
      </c>
      <c r="G10323" t="inlineStr">
        <is>
          <t>OVANÅKER</t>
        </is>
      </c>
      <c r="I10323" t="n">
        <v>1.8</v>
      </c>
      <c r="J10323" t="n">
        <v>0</v>
      </c>
      <c r="K10323" t="n">
        <v>0</v>
      </c>
      <c r="L10323" t="n">
        <v>0</v>
      </c>
      <c r="M10323" t="n">
        <v>0</v>
      </c>
      <c r="N10323" t="n">
        <v>0</v>
      </c>
      <c r="O10323" t="n">
        <v>0</v>
      </c>
      <c r="P10323" t="n">
        <v>0</v>
      </c>
      <c r="Q10323" t="n">
        <v>0</v>
      </c>
      <c r="R10323" t="n">
        <v>0</v>
      </c>
      <c r="S10323" t="n">
        <v>0</v>
      </c>
      <c r="T10323" t="n">
        <v>0</v>
      </c>
      <c r="U10323" t="n">
        <v>0</v>
      </c>
      <c r="V10323" s="2" t="inlineStr"/>
    </row>
    <row r="10324" ht="15" customHeight="1">
      <c r="A10324" t="inlineStr">
        <is>
          <t>A 34822-2026</t>
        </is>
      </c>
      <c r="B10324" t="inlineStr">
        <is>
          <t>avverkningsanmälan</t>
        </is>
      </c>
      <c r="C10324" t="inlineStr">
        <is>
          <t>Föryngringsavverkning</t>
        </is>
      </c>
      <c r="D10324" s="1" t="n">
        <v>46258</v>
      </c>
      <c r="E10324" s="1" t="n">
        <v>46326</v>
      </c>
      <c r="F10324" t="inlineStr">
        <is>
          <t>GÄVLEBORGS LÄN</t>
        </is>
      </c>
      <c r="G10324" t="inlineStr">
        <is>
          <t>GÄVLE</t>
        </is>
      </c>
      <c r="H10324" t="inlineStr">
        <is>
          <t>Bergvik skog öst AB</t>
        </is>
      </c>
      <c r="I10324" t="n">
        <v>1.8</v>
      </c>
      <c r="J10324" t="n">
        <v>0</v>
      </c>
      <c r="K10324" t="n">
        <v>0</v>
      </c>
      <c r="L10324" t="n">
        <v>0</v>
      </c>
      <c r="M10324" t="n">
        <v>0</v>
      </c>
      <c r="N10324" t="n">
        <v>0</v>
      </c>
      <c r="O10324" t="n">
        <v>0</v>
      </c>
      <c r="P10324" t="n">
        <v>0</v>
      </c>
      <c r="Q10324" t="n">
        <v>0</v>
      </c>
      <c r="R10324" t="n">
        <v>0</v>
      </c>
      <c r="S10324" t="n">
        <v>0</v>
      </c>
      <c r="T10324" t="n">
        <v>0</v>
      </c>
      <c r="U10324" t="n">
        <v>0</v>
      </c>
      <c r="V10324" s="2" t="inlineStr"/>
    </row>
    <row r="10325" ht="15" customHeight="1">
      <c r="A10325" t="inlineStr">
        <is>
          <t>A 34606-2026</t>
        </is>
      </c>
      <c r="B10325" t="inlineStr">
        <is>
          <t>avverkningsanmälan</t>
        </is>
      </c>
      <c r="C10325" t="inlineStr">
        <is>
          <t>Föryngringsavverkning</t>
        </is>
      </c>
      <c r="D10325" s="1" t="n">
        <v>46255</v>
      </c>
      <c r="E10325" s="1" t="n">
        <v>46326</v>
      </c>
      <c r="F10325" t="inlineStr">
        <is>
          <t>GÄVLEBORGS LÄN</t>
        </is>
      </c>
      <c r="G10325" t="inlineStr">
        <is>
          <t>SANDVIKEN</t>
        </is>
      </c>
      <c r="I10325" t="n">
        <v>3.1</v>
      </c>
      <c r="J10325" t="n">
        <v>0</v>
      </c>
      <c r="K10325" t="n">
        <v>0</v>
      </c>
      <c r="L10325" t="n">
        <v>0</v>
      </c>
      <c r="M10325" t="n">
        <v>0</v>
      </c>
      <c r="N10325" t="n">
        <v>0</v>
      </c>
      <c r="O10325" t="n">
        <v>0</v>
      </c>
      <c r="P10325" t="n">
        <v>0</v>
      </c>
      <c r="Q10325" t="n">
        <v>0</v>
      </c>
      <c r="R10325" t="n">
        <v>0</v>
      </c>
      <c r="S10325" t="n">
        <v>0</v>
      </c>
      <c r="T10325" t="n">
        <v>0</v>
      </c>
      <c r="U10325" t="n">
        <v>0</v>
      </c>
      <c r="V10325" s="2" t="inlineStr"/>
    </row>
    <row r="10326" ht="15" customHeight="1">
      <c r="A10326" t="inlineStr">
        <is>
          <t>A 34624-2026</t>
        </is>
      </c>
      <c r="B10326" t="inlineStr">
        <is>
          <t>avverkningsanmälan</t>
        </is>
      </c>
      <c r="C10326" t="inlineStr">
        <is>
          <t>Föryngringsavverkning</t>
        </is>
      </c>
      <c r="D10326" s="1" t="n">
        <v>46255</v>
      </c>
      <c r="E10326" s="1" t="n">
        <v>46326</v>
      </c>
      <c r="F10326" t="inlineStr">
        <is>
          <t>GÄVLEBORGS LÄN</t>
        </is>
      </c>
      <c r="G10326" t="inlineStr">
        <is>
          <t>OVANÅKER</t>
        </is>
      </c>
      <c r="H10326" t="inlineStr">
        <is>
          <t>Bergvik skog väst AB</t>
        </is>
      </c>
      <c r="I10326" t="n">
        <v>2.9</v>
      </c>
      <c r="J10326" t="n">
        <v>0</v>
      </c>
      <c r="K10326" t="n">
        <v>0</v>
      </c>
      <c r="L10326" t="n">
        <v>0</v>
      </c>
      <c r="M10326" t="n">
        <v>0</v>
      </c>
      <c r="N10326" t="n">
        <v>0</v>
      </c>
      <c r="O10326" t="n">
        <v>0</v>
      </c>
      <c r="P10326" t="n">
        <v>0</v>
      </c>
      <c r="Q10326" t="n">
        <v>0</v>
      </c>
      <c r="R10326" t="n">
        <v>0</v>
      </c>
      <c r="S10326" t="n">
        <v>0</v>
      </c>
      <c r="T10326" t="n">
        <v>0</v>
      </c>
      <c r="U10326" t="n">
        <v>0</v>
      </c>
      <c r="V10326" s="2" t="inlineStr"/>
    </row>
    <row r="10327" ht="15" customHeight="1">
      <c r="A10327" t="inlineStr">
        <is>
          <t>A 34686-2026</t>
        </is>
      </c>
      <c r="B10327" t="inlineStr">
        <is>
          <t>avverkningsanmälan</t>
        </is>
      </c>
      <c r="C10327" t="inlineStr">
        <is>
          <t>Föryngringsavverkning</t>
        </is>
      </c>
      <c r="D10327" s="1" t="n">
        <v>46258</v>
      </c>
      <c r="E10327" s="1" t="n">
        <v>46326</v>
      </c>
      <c r="F10327" t="inlineStr">
        <is>
          <t>GÄVLEBORGS LÄN</t>
        </is>
      </c>
      <c r="G10327" t="inlineStr">
        <is>
          <t>GÄVLE</t>
        </is>
      </c>
      <c r="I10327" t="n">
        <v>3.2</v>
      </c>
      <c r="J10327" t="n">
        <v>0</v>
      </c>
      <c r="K10327" t="n">
        <v>0</v>
      </c>
      <c r="L10327" t="n">
        <v>0</v>
      </c>
      <c r="M10327" t="n">
        <v>0</v>
      </c>
      <c r="N10327" t="n">
        <v>0</v>
      </c>
      <c r="O10327" t="n">
        <v>0</v>
      </c>
      <c r="P10327" t="n">
        <v>0</v>
      </c>
      <c r="Q10327" t="n">
        <v>0</v>
      </c>
      <c r="R10327" t="n">
        <v>0</v>
      </c>
      <c r="S10327" t="n">
        <v>0</v>
      </c>
      <c r="T10327" t="n">
        <v>0</v>
      </c>
      <c r="U10327" t="n">
        <v>0</v>
      </c>
      <c r="V10327" s="2" t="inlineStr"/>
    </row>
    <row r="10328" ht="15" customHeight="1">
      <c r="A10328" t="inlineStr">
        <is>
          <t>A 19186-2026</t>
        </is>
      </c>
      <c r="B10328" t="inlineStr">
        <is>
          <t>avverkningsanmälan</t>
        </is>
      </c>
      <c r="C10328" t="inlineStr">
        <is>
          <t>Föryngringsavverkning</t>
        </is>
      </c>
      <c r="D10328" s="1" t="n">
        <v>46132</v>
      </c>
      <c r="E10328" s="1" t="n">
        <v>46326</v>
      </c>
      <c r="F10328" t="inlineStr">
        <is>
          <t>GÄVLEBORGS LÄN</t>
        </is>
      </c>
      <c r="G10328" t="inlineStr">
        <is>
          <t>SANDVIKEN</t>
        </is>
      </c>
      <c r="H10328" t="inlineStr">
        <is>
          <t>Sveaskog</t>
        </is>
      </c>
      <c r="I10328" t="n">
        <v>7.3</v>
      </c>
      <c r="J10328" t="n">
        <v>0</v>
      </c>
      <c r="K10328" t="n">
        <v>0</v>
      </c>
      <c r="L10328" t="n">
        <v>0</v>
      </c>
      <c r="M10328" t="n">
        <v>0</v>
      </c>
      <c r="N10328" t="n">
        <v>0</v>
      </c>
      <c r="O10328" t="n">
        <v>0</v>
      </c>
      <c r="P10328" t="n">
        <v>0</v>
      </c>
      <c r="Q10328" t="n">
        <v>0</v>
      </c>
      <c r="R10328" t="n">
        <v>0</v>
      </c>
      <c r="S10328" t="n">
        <v>0</v>
      </c>
      <c r="T10328" t="n">
        <v>0</v>
      </c>
      <c r="U10328" t="n">
        <v>0</v>
      </c>
      <c r="V10328" s="2" t="inlineStr"/>
    </row>
    <row r="10329" ht="15" customHeight="1">
      <c r="A10329" t="inlineStr">
        <is>
          <t>A 20261-2026</t>
        </is>
      </c>
      <c r="B10329" t="inlineStr">
        <is>
          <t>avverkningsanmälan</t>
        </is>
      </c>
      <c r="C10329" t="inlineStr">
        <is>
          <t>Föryngringsavverkning</t>
        </is>
      </c>
      <c r="D10329" s="1" t="n">
        <v>46139</v>
      </c>
      <c r="E10329" s="1" t="n">
        <v>46326</v>
      </c>
      <c r="F10329" t="inlineStr">
        <is>
          <t>GÄVLEBORGS LÄN</t>
        </is>
      </c>
      <c r="G10329" t="inlineStr">
        <is>
          <t>OVANÅKER</t>
        </is>
      </c>
      <c r="I10329" t="n">
        <v>3</v>
      </c>
      <c r="J10329" t="n">
        <v>0</v>
      </c>
      <c r="K10329" t="n">
        <v>0</v>
      </c>
      <c r="L10329" t="n">
        <v>0</v>
      </c>
      <c r="M10329" t="n">
        <v>0</v>
      </c>
      <c r="N10329" t="n">
        <v>0</v>
      </c>
      <c r="O10329" t="n">
        <v>0</v>
      </c>
      <c r="P10329" t="n">
        <v>0</v>
      </c>
      <c r="Q10329" t="n">
        <v>0</v>
      </c>
      <c r="R10329" t="n">
        <v>0</v>
      </c>
      <c r="S10329" t="n">
        <v>0</v>
      </c>
      <c r="T10329" t="n">
        <v>0</v>
      </c>
      <c r="U10329" t="n">
        <v>0</v>
      </c>
      <c r="V10329" s="2" t="inlineStr"/>
    </row>
    <row r="10330" ht="15" customHeight="1">
      <c r="A10330" t="inlineStr">
        <is>
          <t>A 25808-2026</t>
        </is>
      </c>
      <c r="B10330" t="inlineStr">
        <is>
          <t>avverkningsanmälan</t>
        </is>
      </c>
      <c r="C10330" t="inlineStr">
        <is>
          <t>Föryngringsavverkning</t>
        </is>
      </c>
      <c r="D10330" s="1" t="n">
        <v>46178</v>
      </c>
      <c r="E10330" s="1" t="n">
        <v>46326</v>
      </c>
      <c r="F10330" t="inlineStr">
        <is>
          <t>GÄVLEBORGS LÄN</t>
        </is>
      </c>
      <c r="G10330" t="inlineStr">
        <is>
          <t>GÄVLE</t>
        </is>
      </c>
      <c r="H10330" t="inlineStr">
        <is>
          <t>Bergvik skog väst AB</t>
        </is>
      </c>
      <c r="I10330" t="n">
        <v>2.1</v>
      </c>
      <c r="J10330" t="n">
        <v>0</v>
      </c>
      <c r="K10330" t="n">
        <v>0</v>
      </c>
      <c r="L10330" t="n">
        <v>0</v>
      </c>
      <c r="M10330" t="n">
        <v>0</v>
      </c>
      <c r="N10330" t="n">
        <v>0</v>
      </c>
      <c r="O10330" t="n">
        <v>0</v>
      </c>
      <c r="P10330" t="n">
        <v>0</v>
      </c>
      <c r="Q10330" t="n">
        <v>0</v>
      </c>
      <c r="R10330" t="n">
        <v>0</v>
      </c>
      <c r="S10330" t="n">
        <v>0</v>
      </c>
      <c r="T10330" t="n">
        <v>0</v>
      </c>
      <c r="U10330" t="n">
        <v>0</v>
      </c>
      <c r="V10330" s="2" t="inlineStr"/>
    </row>
    <row r="10331" ht="15" customHeight="1">
      <c r="A10331" t="inlineStr">
        <is>
          <t>A 41460-2026</t>
        </is>
      </c>
      <c r="B10331" t="inlineStr">
        <is>
          <t>avverkningsanmälan</t>
        </is>
      </c>
      <c r="C10331" t="inlineStr">
        <is>
          <t>Föryngringsavverkning</t>
        </is>
      </c>
      <c r="D10331" s="1" t="n">
        <v>46301</v>
      </c>
      <c r="E10331" s="1" t="n">
        <v>46326</v>
      </c>
      <c r="F10331" t="inlineStr">
        <is>
          <t>GÄVLEBORGS LÄN</t>
        </is>
      </c>
      <c r="G10331" t="inlineStr">
        <is>
          <t>HUDIKSVALL</t>
        </is>
      </c>
      <c r="I10331" t="n">
        <v>0.8</v>
      </c>
      <c r="J10331" t="n">
        <v>0</v>
      </c>
      <c r="K10331" t="n">
        <v>0</v>
      </c>
      <c r="L10331" t="n">
        <v>0</v>
      </c>
      <c r="M10331" t="n">
        <v>0</v>
      </c>
      <c r="N10331" t="n">
        <v>0</v>
      </c>
      <c r="O10331" t="n">
        <v>0</v>
      </c>
      <c r="P10331" t="n">
        <v>0</v>
      </c>
      <c r="Q10331" t="n">
        <v>0</v>
      </c>
      <c r="R10331" t="n">
        <v>0</v>
      </c>
      <c r="S10331" t="n">
        <v>0</v>
      </c>
      <c r="T10331" t="n">
        <v>0</v>
      </c>
      <c r="U10331" t="n">
        <v>0</v>
      </c>
      <c r="V10331" s="2" t="inlineStr"/>
    </row>
    <row r="10332" ht="15" customHeight="1">
      <c r="A10332" t="inlineStr">
        <is>
          <t>A 34542-2026</t>
        </is>
      </c>
      <c r="B10332" t="inlineStr">
        <is>
          <t>avverkningsanmälan</t>
        </is>
      </c>
      <c r="C10332" t="inlineStr">
        <is>
          <t>Föryngringsavverkning</t>
        </is>
      </c>
      <c r="D10332" s="1" t="n">
        <v>46255</v>
      </c>
      <c r="E10332" s="1" t="n">
        <v>46326</v>
      </c>
      <c r="F10332" t="inlineStr">
        <is>
          <t>GÄVLEBORGS LÄN</t>
        </is>
      </c>
      <c r="G10332" t="inlineStr">
        <is>
          <t>NORDANSTIG</t>
        </is>
      </c>
      <c r="I10332" t="n">
        <v>3.4</v>
      </c>
      <c r="J10332" t="n">
        <v>0</v>
      </c>
      <c r="K10332" t="n">
        <v>0</v>
      </c>
      <c r="L10332" t="n">
        <v>0</v>
      </c>
      <c r="M10332" t="n">
        <v>0</v>
      </c>
      <c r="N10332" t="n">
        <v>0</v>
      </c>
      <c r="O10332" t="n">
        <v>0</v>
      </c>
      <c r="P10332" t="n">
        <v>0</v>
      </c>
      <c r="Q10332" t="n">
        <v>0</v>
      </c>
      <c r="R10332" t="n">
        <v>0</v>
      </c>
      <c r="S10332" t="n">
        <v>0</v>
      </c>
      <c r="T10332" t="n">
        <v>0</v>
      </c>
      <c r="U10332" t="n">
        <v>0</v>
      </c>
      <c r="V10332" s="2" t="inlineStr"/>
    </row>
    <row r="10333" ht="15" customHeight="1">
      <c r="A10333" t="inlineStr">
        <is>
          <t>A 18025-2026</t>
        </is>
      </c>
      <c r="B10333" t="inlineStr">
        <is>
          <t>avverkningsanmälan</t>
        </is>
      </c>
      <c r="C10333" t="inlineStr">
        <is>
          <t>Föryngringsavverkning</t>
        </is>
      </c>
      <c r="D10333" s="1" t="n">
        <v>46125</v>
      </c>
      <c r="E10333" s="1" t="n">
        <v>46326</v>
      </c>
      <c r="F10333" t="inlineStr">
        <is>
          <t>GÄVLEBORGS LÄN</t>
        </is>
      </c>
      <c r="G10333" t="inlineStr">
        <is>
          <t>BOLLNÄS</t>
        </is>
      </c>
      <c r="I10333" t="n">
        <v>2.2</v>
      </c>
      <c r="J10333" t="n">
        <v>0</v>
      </c>
      <c r="K10333" t="n">
        <v>0</v>
      </c>
      <c r="L10333" t="n">
        <v>0</v>
      </c>
      <c r="M10333" t="n">
        <v>0</v>
      </c>
      <c r="N10333" t="n">
        <v>0</v>
      </c>
      <c r="O10333" t="n">
        <v>0</v>
      </c>
      <c r="P10333" t="n">
        <v>0</v>
      </c>
      <c r="Q10333" t="n">
        <v>0</v>
      </c>
      <c r="R10333" t="n">
        <v>0</v>
      </c>
      <c r="S10333" t="n">
        <v>0</v>
      </c>
      <c r="T10333" t="n">
        <v>0</v>
      </c>
      <c r="U10333" t="n">
        <v>0</v>
      </c>
      <c r="V10333" s="2" t="inlineStr"/>
    </row>
    <row r="10334" ht="15" customHeight="1">
      <c r="A10334" t="inlineStr">
        <is>
          <t>A 58925-2025</t>
        </is>
      </c>
      <c r="B10334" t="inlineStr">
        <is>
          <t>avverkningsanmälan</t>
        </is>
      </c>
      <c r="C10334" t="inlineStr">
        <is>
          <t>Föryngringsavverkning</t>
        </is>
      </c>
      <c r="D10334" s="1" t="n">
        <v>45987</v>
      </c>
      <c r="E10334" s="1" t="n">
        <v>46326</v>
      </c>
      <c r="F10334" t="inlineStr">
        <is>
          <t>GÄVLEBORGS LÄN</t>
        </is>
      </c>
      <c r="G10334" t="inlineStr">
        <is>
          <t>GÄVLE</t>
        </is>
      </c>
      <c r="H10334" t="inlineStr">
        <is>
          <t>Bergvik skog öst AB</t>
        </is>
      </c>
      <c r="I10334" t="n">
        <v>2.1</v>
      </c>
      <c r="J10334" t="n">
        <v>0</v>
      </c>
      <c r="K10334" t="n">
        <v>0</v>
      </c>
      <c r="L10334" t="n">
        <v>0</v>
      </c>
      <c r="M10334" t="n">
        <v>0</v>
      </c>
      <c r="N10334" t="n">
        <v>0</v>
      </c>
      <c r="O10334" t="n">
        <v>0</v>
      </c>
      <c r="P10334" t="n">
        <v>0</v>
      </c>
      <c r="Q10334" t="n">
        <v>0</v>
      </c>
      <c r="R10334" t="n">
        <v>0</v>
      </c>
      <c r="S10334" t="n">
        <v>0</v>
      </c>
      <c r="T10334" t="n">
        <v>0</v>
      </c>
      <c r="U10334" t="n">
        <v>0</v>
      </c>
      <c r="V10334" s="2" t="inlineStr"/>
    </row>
    <row r="10335" ht="15" customHeight="1">
      <c r="A10335" t="inlineStr">
        <is>
          <t>A 20724-2026</t>
        </is>
      </c>
      <c r="B10335" t="inlineStr">
        <is>
          <t>avverkningsanmälan</t>
        </is>
      </c>
      <c r="C10335" t="inlineStr">
        <is>
          <t>Föryngringsavverkning</t>
        </is>
      </c>
      <c r="D10335" s="1" t="n">
        <v>46141</v>
      </c>
      <c r="E10335" s="1" t="n">
        <v>46326</v>
      </c>
      <c r="F10335" t="inlineStr">
        <is>
          <t>GÄVLEBORGS LÄN</t>
        </is>
      </c>
      <c r="G10335" t="inlineStr">
        <is>
          <t>BOLLNÄS</t>
        </is>
      </c>
      <c r="H10335" t="inlineStr">
        <is>
          <t>Kyrkan</t>
        </is>
      </c>
      <c r="I10335" t="n">
        <v>1</v>
      </c>
      <c r="J10335" t="n">
        <v>0</v>
      </c>
      <c r="K10335" t="n">
        <v>0</v>
      </c>
      <c r="L10335" t="n">
        <v>0</v>
      </c>
      <c r="M10335" t="n">
        <v>0</v>
      </c>
      <c r="N10335" t="n">
        <v>0</v>
      </c>
      <c r="O10335" t="n">
        <v>0</v>
      </c>
      <c r="P10335" t="n">
        <v>0</v>
      </c>
      <c r="Q10335" t="n">
        <v>0</v>
      </c>
      <c r="R10335" t="n">
        <v>0</v>
      </c>
      <c r="S10335" t="n">
        <v>0</v>
      </c>
      <c r="T10335" t="n">
        <v>0</v>
      </c>
      <c r="U10335" t="n">
        <v>0</v>
      </c>
      <c r="V10335" s="2" t="inlineStr"/>
    </row>
    <row r="10336" ht="15" customHeight="1">
      <c r="A10336" t="inlineStr">
        <is>
          <t>A 22178-2026</t>
        </is>
      </c>
      <c r="B10336" t="inlineStr">
        <is>
          <t>avverkningsanmälan</t>
        </is>
      </c>
      <c r="C10336" t="inlineStr">
        <is>
          <t>Föryngringsavverkning</t>
        </is>
      </c>
      <c r="D10336" s="1" t="n">
        <v>46153</v>
      </c>
      <c r="E10336" s="1" t="n">
        <v>46326</v>
      </c>
      <c r="F10336" t="inlineStr">
        <is>
          <t>GÄVLEBORGS LÄN</t>
        </is>
      </c>
      <c r="G10336" t="inlineStr">
        <is>
          <t>BOLLNÄS</t>
        </is>
      </c>
      <c r="I10336" t="n">
        <v>9.6</v>
      </c>
      <c r="J10336" t="n">
        <v>0</v>
      </c>
      <c r="K10336" t="n">
        <v>0</v>
      </c>
      <c r="L10336" t="n">
        <v>0</v>
      </c>
      <c r="M10336" t="n">
        <v>0</v>
      </c>
      <c r="N10336" t="n">
        <v>0</v>
      </c>
      <c r="O10336" t="n">
        <v>0</v>
      </c>
      <c r="P10336" t="n">
        <v>0</v>
      </c>
      <c r="Q10336" t="n">
        <v>0</v>
      </c>
      <c r="R10336" t="n">
        <v>0</v>
      </c>
      <c r="S10336" t="n">
        <v>0</v>
      </c>
      <c r="T10336" t="n">
        <v>0</v>
      </c>
      <c r="U10336" t="n">
        <v>0</v>
      </c>
      <c r="V10336" s="2" t="inlineStr"/>
    </row>
    <row r="10337" ht="15" customHeight="1">
      <c r="A10337" t="inlineStr">
        <is>
          <t>A 26042-2026</t>
        </is>
      </c>
      <c r="B10337" t="inlineStr">
        <is>
          <t>avverkningsanmälan</t>
        </is>
      </c>
      <c r="C10337" t="inlineStr">
        <is>
          <t>Avverkning för annat ändamål</t>
        </is>
      </c>
      <c r="D10337" s="1" t="n">
        <v>46177</v>
      </c>
      <c r="E10337" s="1" t="n">
        <v>46326</v>
      </c>
      <c r="F10337" t="inlineStr">
        <is>
          <t>GÄVLEBORGS LÄN</t>
        </is>
      </c>
      <c r="G10337" t="inlineStr">
        <is>
          <t>SÖDERHAMN</t>
        </is>
      </c>
      <c r="I10337" t="n">
        <v>0.9</v>
      </c>
      <c r="J10337" t="n">
        <v>0</v>
      </c>
      <c r="K10337" t="n">
        <v>0</v>
      </c>
      <c r="L10337" t="n">
        <v>0</v>
      </c>
      <c r="M10337" t="n">
        <v>0</v>
      </c>
      <c r="N10337" t="n">
        <v>0</v>
      </c>
      <c r="O10337" t="n">
        <v>0</v>
      </c>
      <c r="P10337" t="n">
        <v>0</v>
      </c>
      <c r="Q10337" t="n">
        <v>0</v>
      </c>
      <c r="R10337" t="n">
        <v>0</v>
      </c>
      <c r="S10337" t="n">
        <v>0</v>
      </c>
      <c r="T10337" t="n">
        <v>0</v>
      </c>
      <c r="U10337" t="n">
        <v>0</v>
      </c>
      <c r="V10337" s="2" t="inlineStr"/>
    </row>
    <row r="10338" ht="15" customHeight="1">
      <c r="A10338" t="inlineStr">
        <is>
          <t>A 41468-2026</t>
        </is>
      </c>
      <c r="B10338" t="inlineStr">
        <is>
          <t>avverkningsanmälan</t>
        </is>
      </c>
      <c r="C10338" t="inlineStr">
        <is>
          <t>Föryngringsavverkning</t>
        </is>
      </c>
      <c r="D10338" s="1" t="n">
        <v>46301</v>
      </c>
      <c r="E10338" s="1" t="n">
        <v>46326</v>
      </c>
      <c r="F10338" t="inlineStr">
        <is>
          <t>GÄVLEBORGS LÄN</t>
        </is>
      </c>
      <c r="G10338" t="inlineStr">
        <is>
          <t>LJUSDAL</t>
        </is>
      </c>
      <c r="I10338" t="n">
        <v>6</v>
      </c>
      <c r="J10338" t="n">
        <v>0</v>
      </c>
      <c r="K10338" t="n">
        <v>0</v>
      </c>
      <c r="L10338" t="n">
        <v>0</v>
      </c>
      <c r="M10338" t="n">
        <v>0</v>
      </c>
      <c r="N10338" t="n">
        <v>0</v>
      </c>
      <c r="O10338" t="n">
        <v>0</v>
      </c>
      <c r="P10338" t="n">
        <v>0</v>
      </c>
      <c r="Q10338" t="n">
        <v>0</v>
      </c>
      <c r="R10338" t="n">
        <v>0</v>
      </c>
      <c r="S10338" t="n">
        <v>0</v>
      </c>
      <c r="T10338" t="n">
        <v>0</v>
      </c>
      <c r="U10338" t="n">
        <v>0</v>
      </c>
      <c r="V10338" s="2" t="inlineStr"/>
    </row>
    <row r="10339" ht="15" customHeight="1">
      <c r="A10339" t="inlineStr">
        <is>
          <t>A 41479-2026</t>
        </is>
      </c>
      <c r="B10339" t="inlineStr">
        <is>
          <t>avverkningsanmälan</t>
        </is>
      </c>
      <c r="C10339" t="inlineStr">
        <is>
          <t>Föryngringsavverkning</t>
        </is>
      </c>
      <c r="D10339" s="1" t="n">
        <v>46301</v>
      </c>
      <c r="E10339" s="1" t="n">
        <v>46326</v>
      </c>
      <c r="F10339" t="inlineStr">
        <is>
          <t>GÄVLEBORGS LÄN</t>
        </is>
      </c>
      <c r="G10339" t="inlineStr">
        <is>
          <t>BOLLNÄS</t>
        </is>
      </c>
      <c r="I10339" t="n">
        <v>1.6</v>
      </c>
      <c r="J10339" t="n">
        <v>0</v>
      </c>
      <c r="K10339" t="n">
        <v>0</v>
      </c>
      <c r="L10339" t="n">
        <v>0</v>
      </c>
      <c r="M10339" t="n">
        <v>0</v>
      </c>
      <c r="N10339" t="n">
        <v>0</v>
      </c>
      <c r="O10339" t="n">
        <v>0</v>
      </c>
      <c r="P10339" t="n">
        <v>0</v>
      </c>
      <c r="Q10339" t="n">
        <v>0</v>
      </c>
      <c r="R10339" t="n">
        <v>0</v>
      </c>
      <c r="S10339" t="n">
        <v>0</v>
      </c>
      <c r="T10339" t="n">
        <v>0</v>
      </c>
      <c r="U10339" t="n">
        <v>0</v>
      </c>
      <c r="V10339" s="2" t="inlineStr"/>
    </row>
    <row r="10340" ht="15" customHeight="1">
      <c r="A10340" t="inlineStr">
        <is>
          <t>A 46607-2025</t>
        </is>
      </c>
      <c r="B10340" t="inlineStr">
        <is>
          <t>avverkningsanmälan</t>
        </is>
      </c>
      <c r="C10340" t="inlineStr">
        <is>
          <t>Föryngringsavverkning</t>
        </is>
      </c>
      <c r="D10340" s="1" t="n">
        <v>45926</v>
      </c>
      <c r="E10340" s="1" t="n">
        <v>46326</v>
      </c>
      <c r="F10340" t="inlineStr">
        <is>
          <t>GÄVLEBORGS LÄN</t>
        </is>
      </c>
      <c r="G10340" t="inlineStr">
        <is>
          <t>SANDVIKEN</t>
        </is>
      </c>
      <c r="H10340" t="inlineStr">
        <is>
          <t>Sveaskog</t>
        </is>
      </c>
      <c r="I10340" t="n">
        <v>2.6</v>
      </c>
      <c r="J10340" t="n">
        <v>0</v>
      </c>
      <c r="K10340" t="n">
        <v>0</v>
      </c>
      <c r="L10340" t="n">
        <v>0</v>
      </c>
      <c r="M10340" t="n">
        <v>0</v>
      </c>
      <c r="N10340" t="n">
        <v>0</v>
      </c>
      <c r="O10340" t="n">
        <v>0</v>
      </c>
      <c r="P10340" t="n">
        <v>0</v>
      </c>
      <c r="Q10340" t="n">
        <v>0</v>
      </c>
      <c r="R10340" t="n">
        <v>0</v>
      </c>
      <c r="S10340" t="n">
        <v>0</v>
      </c>
      <c r="T10340" t="n">
        <v>0</v>
      </c>
      <c r="U10340" t="n">
        <v>0</v>
      </c>
      <c r="V10340" s="2" t="inlineStr"/>
    </row>
    <row r="10341" ht="15" customHeight="1">
      <c r="A10341" t="inlineStr">
        <is>
          <t>A 41323-2026</t>
        </is>
      </c>
      <c r="B10341" t="inlineStr">
        <is>
          <t>avverkningsanmälan</t>
        </is>
      </c>
      <c r="C10341" t="inlineStr">
        <is>
          <t>Föryngringsavverkning</t>
        </is>
      </c>
      <c r="D10341" s="1" t="n">
        <v>46301</v>
      </c>
      <c r="E10341" s="1" t="n">
        <v>46326</v>
      </c>
      <c r="F10341" t="inlineStr">
        <is>
          <t>GÄVLEBORGS LÄN</t>
        </is>
      </c>
      <c r="G10341" t="inlineStr">
        <is>
          <t>HUDIKSVALL</t>
        </is>
      </c>
      <c r="I10341" t="n">
        <v>1.2</v>
      </c>
      <c r="J10341" t="n">
        <v>0</v>
      </c>
      <c r="K10341" t="n">
        <v>0</v>
      </c>
      <c r="L10341" t="n">
        <v>0</v>
      </c>
      <c r="M10341" t="n">
        <v>0</v>
      </c>
      <c r="N10341" t="n">
        <v>0</v>
      </c>
      <c r="O10341" t="n">
        <v>0</v>
      </c>
      <c r="P10341" t="n">
        <v>0</v>
      </c>
      <c r="Q10341" t="n">
        <v>0</v>
      </c>
      <c r="R10341" t="n">
        <v>0</v>
      </c>
      <c r="S10341" t="n">
        <v>0</v>
      </c>
      <c r="T10341" t="n">
        <v>0</v>
      </c>
      <c r="U10341" t="n">
        <v>0</v>
      </c>
      <c r="V10341" s="2" t="inlineStr"/>
    </row>
    <row r="10342" ht="15" customHeight="1">
      <c r="A10342" t="inlineStr">
        <is>
          <t>A 41348-2026</t>
        </is>
      </c>
      <c r="B10342" t="inlineStr">
        <is>
          <t>avverkningsanmälan</t>
        </is>
      </c>
      <c r="C10342" t="inlineStr">
        <is>
          <t>Föryngringsavverkning</t>
        </is>
      </c>
      <c r="D10342" s="1" t="n">
        <v>46301</v>
      </c>
      <c r="E10342" s="1" t="n">
        <v>46326</v>
      </c>
      <c r="F10342" t="inlineStr">
        <is>
          <t>GÄVLEBORGS LÄN</t>
        </is>
      </c>
      <c r="G10342" t="inlineStr">
        <is>
          <t>BOLLNÄS</t>
        </is>
      </c>
      <c r="I10342" t="n">
        <v>0.5</v>
      </c>
      <c r="J10342" t="n">
        <v>0</v>
      </c>
      <c r="K10342" t="n">
        <v>0</v>
      </c>
      <c r="L10342" t="n">
        <v>0</v>
      </c>
      <c r="M10342" t="n">
        <v>0</v>
      </c>
      <c r="N10342" t="n">
        <v>0</v>
      </c>
      <c r="O10342" t="n">
        <v>0</v>
      </c>
      <c r="P10342" t="n">
        <v>0</v>
      </c>
      <c r="Q10342" t="n">
        <v>0</v>
      </c>
      <c r="R10342" t="n">
        <v>0</v>
      </c>
      <c r="S10342" t="n">
        <v>0</v>
      </c>
      <c r="T10342" t="n">
        <v>0</v>
      </c>
      <c r="U10342" t="n">
        <v>0</v>
      </c>
      <c r="V10342" s="2" t="inlineStr"/>
    </row>
    <row r="10343" ht="15" customHeight="1">
      <c r="A10343" t="inlineStr">
        <is>
          <t>A 27040-2026</t>
        </is>
      </c>
      <c r="B10343" t="inlineStr">
        <is>
          <t>avverkningsanmälan</t>
        </is>
      </c>
      <c r="C10343" t="inlineStr">
        <is>
          <t>Föryngringsavverkning</t>
        </is>
      </c>
      <c r="D10343" s="1" t="n">
        <v>46185</v>
      </c>
      <c r="E10343" s="1" t="n">
        <v>46326</v>
      </c>
      <c r="F10343" t="inlineStr">
        <is>
          <t>GÄVLEBORGS LÄN</t>
        </is>
      </c>
      <c r="G10343" t="inlineStr">
        <is>
          <t>GÄVLE</t>
        </is>
      </c>
      <c r="H10343" t="inlineStr">
        <is>
          <t>Bergvik skog öst AB</t>
        </is>
      </c>
      <c r="I10343" t="n">
        <v>5.5</v>
      </c>
      <c r="J10343" t="n">
        <v>0</v>
      </c>
      <c r="K10343" t="n">
        <v>0</v>
      </c>
      <c r="L10343" t="n">
        <v>0</v>
      </c>
      <c r="M10343" t="n">
        <v>0</v>
      </c>
      <c r="N10343" t="n">
        <v>0</v>
      </c>
      <c r="O10343" t="n">
        <v>0</v>
      </c>
      <c r="P10343" t="n">
        <v>0</v>
      </c>
      <c r="Q10343" t="n">
        <v>0</v>
      </c>
      <c r="R10343" t="n">
        <v>0</v>
      </c>
      <c r="S10343" t="n">
        <v>0</v>
      </c>
      <c r="T10343" t="n">
        <v>0</v>
      </c>
      <c r="U10343" t="n">
        <v>0</v>
      </c>
      <c r="V10343" s="2" t="inlineStr"/>
    </row>
    <row r="10344" ht="15" customHeight="1">
      <c r="A10344" t="inlineStr">
        <is>
          <t>A 12947-2026</t>
        </is>
      </c>
      <c r="B10344" t="inlineStr">
        <is>
          <t>avverkningsanmälan</t>
        </is>
      </c>
      <c r="C10344" t="inlineStr">
        <is>
          <t>Föryngringsavverkning</t>
        </is>
      </c>
      <c r="D10344" s="1" t="n">
        <v>46092</v>
      </c>
      <c r="E10344" s="1" t="n">
        <v>46326</v>
      </c>
      <c r="F10344" t="inlineStr">
        <is>
          <t>GÄVLEBORGS LÄN</t>
        </is>
      </c>
      <c r="G10344" t="inlineStr">
        <is>
          <t>OCKELBO</t>
        </is>
      </c>
      <c r="I10344" t="n">
        <v>1.9</v>
      </c>
      <c r="J10344" t="n">
        <v>0</v>
      </c>
      <c r="K10344" t="n">
        <v>0</v>
      </c>
      <c r="L10344" t="n">
        <v>0</v>
      </c>
      <c r="M10344" t="n">
        <v>0</v>
      </c>
      <c r="N10344" t="n">
        <v>0</v>
      </c>
      <c r="O10344" t="n">
        <v>0</v>
      </c>
      <c r="P10344" t="n">
        <v>0</v>
      </c>
      <c r="Q10344" t="n">
        <v>0</v>
      </c>
      <c r="R10344" t="n">
        <v>0</v>
      </c>
      <c r="S10344" t="n">
        <v>0</v>
      </c>
      <c r="T10344" t="n">
        <v>0</v>
      </c>
      <c r="U10344" t="n">
        <v>0</v>
      </c>
      <c r="V10344" s="2" t="inlineStr"/>
    </row>
    <row r="10345" ht="15" customHeight="1">
      <c r="A10345" t="inlineStr">
        <is>
          <t>A 14410-2026</t>
        </is>
      </c>
      <c r="B10345" t="inlineStr">
        <is>
          <t>avverkningsanmälan</t>
        </is>
      </c>
      <c r="C10345" t="inlineStr">
        <is>
          <t>Föryngringsavverkning</t>
        </is>
      </c>
      <c r="D10345" s="1" t="n">
        <v>46100</v>
      </c>
      <c r="E10345" s="1" t="n">
        <v>46326</v>
      </c>
      <c r="F10345" t="inlineStr">
        <is>
          <t>GÄVLEBORGS LÄN</t>
        </is>
      </c>
      <c r="G10345" t="inlineStr">
        <is>
          <t>OCKELBO</t>
        </is>
      </c>
      <c r="I10345" t="n">
        <v>3</v>
      </c>
      <c r="J10345" t="n">
        <v>0</v>
      </c>
      <c r="K10345" t="n">
        <v>0</v>
      </c>
      <c r="L10345" t="n">
        <v>0</v>
      </c>
      <c r="M10345" t="n">
        <v>0</v>
      </c>
      <c r="N10345" t="n">
        <v>0</v>
      </c>
      <c r="O10345" t="n">
        <v>0</v>
      </c>
      <c r="P10345" t="n">
        <v>0</v>
      </c>
      <c r="Q10345" t="n">
        <v>0</v>
      </c>
      <c r="R10345" t="n">
        <v>0</v>
      </c>
      <c r="S10345" t="n">
        <v>0</v>
      </c>
      <c r="T10345" t="n">
        <v>0</v>
      </c>
      <c r="U10345" t="n">
        <v>0</v>
      </c>
      <c r="V10345" s="2" t="inlineStr"/>
    </row>
    <row r="10346" ht="15" customHeight="1">
      <c r="A10346" t="inlineStr">
        <is>
          <t>A 29608-2026</t>
        </is>
      </c>
      <c r="B10346" t="inlineStr">
        <is>
          <t>avverkningsanmälan</t>
        </is>
      </c>
      <c r="C10346" t="inlineStr">
        <is>
          <t>Föryngringsavverkning</t>
        </is>
      </c>
      <c r="D10346" s="1" t="n">
        <v>46204</v>
      </c>
      <c r="E10346" s="1" t="n">
        <v>46326</v>
      </c>
      <c r="F10346" t="inlineStr">
        <is>
          <t>GÄVLEBORGS LÄN</t>
        </is>
      </c>
      <c r="G10346" t="inlineStr">
        <is>
          <t>SANDVIKEN</t>
        </is>
      </c>
      <c r="I10346" t="n">
        <v>5.4</v>
      </c>
      <c r="J10346" t="n">
        <v>0</v>
      </c>
      <c r="K10346" t="n">
        <v>0</v>
      </c>
      <c r="L10346" t="n">
        <v>0</v>
      </c>
      <c r="M10346" t="n">
        <v>0</v>
      </c>
      <c r="N10346" t="n">
        <v>0</v>
      </c>
      <c r="O10346" t="n">
        <v>0</v>
      </c>
      <c r="P10346" t="n">
        <v>0</v>
      </c>
      <c r="Q10346" t="n">
        <v>0</v>
      </c>
      <c r="R10346" t="n">
        <v>0</v>
      </c>
      <c r="S10346" t="n">
        <v>0</v>
      </c>
      <c r="T10346" t="n">
        <v>0</v>
      </c>
      <c r="U10346" t="n">
        <v>0</v>
      </c>
      <c r="V10346" s="2" t="inlineStr"/>
    </row>
    <row r="10347" ht="15" customHeight="1">
      <c r="A10347" t="inlineStr">
        <is>
          <t>A 20726-2026</t>
        </is>
      </c>
      <c r="B10347" t="inlineStr">
        <is>
          <t>avverkningsanmälan</t>
        </is>
      </c>
      <c r="C10347" t="inlineStr">
        <is>
          <t>Föryngringsavverkning</t>
        </is>
      </c>
      <c r="D10347" s="1" t="n">
        <v>46141</v>
      </c>
      <c r="E10347" s="1" t="n">
        <v>46326</v>
      </c>
      <c r="F10347" t="inlineStr">
        <is>
          <t>GÄVLEBORGS LÄN</t>
        </is>
      </c>
      <c r="G10347" t="inlineStr">
        <is>
          <t>BOLLNÄS</t>
        </is>
      </c>
      <c r="H10347" t="inlineStr">
        <is>
          <t>Kyrkan</t>
        </is>
      </c>
      <c r="I10347" t="n">
        <v>0.4</v>
      </c>
      <c r="J10347" t="n">
        <v>0</v>
      </c>
      <c r="K10347" t="n">
        <v>0</v>
      </c>
      <c r="L10347" t="n">
        <v>0</v>
      </c>
      <c r="M10347" t="n">
        <v>0</v>
      </c>
      <c r="N10347" t="n">
        <v>0</v>
      </c>
      <c r="O10347" t="n">
        <v>0</v>
      </c>
      <c r="P10347" t="n">
        <v>0</v>
      </c>
      <c r="Q10347" t="n">
        <v>0</v>
      </c>
      <c r="R10347" t="n">
        <v>0</v>
      </c>
      <c r="S10347" t="n">
        <v>0</v>
      </c>
      <c r="T10347" t="n">
        <v>0</v>
      </c>
      <c r="U10347" t="n">
        <v>0</v>
      </c>
      <c r="V10347" s="2" t="inlineStr"/>
    </row>
    <row r="10348" ht="15" customHeight="1">
      <c r="A10348" t="inlineStr">
        <is>
          <t>A 41554-2026</t>
        </is>
      </c>
      <c r="B10348" t="inlineStr">
        <is>
          <t>avverkningsanmälan</t>
        </is>
      </c>
      <c r="C10348" t="inlineStr">
        <is>
          <t>Föryngringsavverkning</t>
        </is>
      </c>
      <c r="D10348" s="1" t="n">
        <v>46301</v>
      </c>
      <c r="E10348" s="1" t="n">
        <v>46326</v>
      </c>
      <c r="F10348" t="inlineStr">
        <is>
          <t>GÄVLEBORGS LÄN</t>
        </is>
      </c>
      <c r="G10348" t="inlineStr">
        <is>
          <t>HUDIKSVALL</t>
        </is>
      </c>
      <c r="I10348" t="n">
        <v>2.2</v>
      </c>
      <c r="J10348" t="n">
        <v>0</v>
      </c>
      <c r="K10348" t="n">
        <v>0</v>
      </c>
      <c r="L10348" t="n">
        <v>0</v>
      </c>
      <c r="M10348" t="n">
        <v>0</v>
      </c>
      <c r="N10348" t="n">
        <v>0</v>
      </c>
      <c r="O10348" t="n">
        <v>0</v>
      </c>
      <c r="P10348" t="n">
        <v>0</v>
      </c>
      <c r="Q10348" t="n">
        <v>0</v>
      </c>
      <c r="R10348" t="n">
        <v>0</v>
      </c>
      <c r="S10348" t="n">
        <v>0</v>
      </c>
      <c r="T10348" t="n">
        <v>0</v>
      </c>
      <c r="U10348" t="n">
        <v>0</v>
      </c>
      <c r="V10348" s="2" t="inlineStr"/>
    </row>
    <row r="10349" ht="15" customHeight="1">
      <c r="A10349" t="inlineStr">
        <is>
          <t>A 21629-2026</t>
        </is>
      </c>
      <c r="B10349" t="inlineStr">
        <is>
          <t>avverkningsanmälan</t>
        </is>
      </c>
      <c r="C10349" t="inlineStr">
        <is>
          <t>Föryngringsavverkning</t>
        </is>
      </c>
      <c r="D10349" s="1" t="n">
        <v>46149</v>
      </c>
      <c r="E10349" s="1" t="n">
        <v>46326</v>
      </c>
      <c r="F10349" t="inlineStr">
        <is>
          <t>GÄVLEBORGS LÄN</t>
        </is>
      </c>
      <c r="G10349" t="inlineStr">
        <is>
          <t>BOLLNÄS</t>
        </is>
      </c>
      <c r="I10349" t="n">
        <v>5.9</v>
      </c>
      <c r="J10349" t="n">
        <v>0</v>
      </c>
      <c r="K10349" t="n">
        <v>0</v>
      </c>
      <c r="L10349" t="n">
        <v>0</v>
      </c>
      <c r="M10349" t="n">
        <v>0</v>
      </c>
      <c r="N10349" t="n">
        <v>0</v>
      </c>
      <c r="O10349" t="n">
        <v>0</v>
      </c>
      <c r="P10349" t="n">
        <v>0</v>
      </c>
      <c r="Q10349" t="n">
        <v>0</v>
      </c>
      <c r="R10349" t="n">
        <v>0</v>
      </c>
      <c r="S10349" t="n">
        <v>0</v>
      </c>
      <c r="T10349" t="n">
        <v>0</v>
      </c>
      <c r="U10349" t="n">
        <v>0</v>
      </c>
      <c r="V10349" s="2" t="inlineStr"/>
    </row>
    <row r="10350" ht="15" customHeight="1">
      <c r="A10350" t="inlineStr">
        <is>
          <t>A 21675-2026</t>
        </is>
      </c>
      <c r="B10350" t="inlineStr">
        <is>
          <t>avverkningsanmälan</t>
        </is>
      </c>
      <c r="C10350" t="inlineStr">
        <is>
          <t>Föryngringsavverkning</t>
        </is>
      </c>
      <c r="D10350" s="1" t="n">
        <v>46149</v>
      </c>
      <c r="E10350" s="1" t="n">
        <v>46326</v>
      </c>
      <c r="F10350" t="inlineStr">
        <is>
          <t>GÄVLEBORGS LÄN</t>
        </is>
      </c>
      <c r="G10350" t="inlineStr">
        <is>
          <t>BOLLNÄS</t>
        </is>
      </c>
      <c r="I10350" t="n">
        <v>1.3</v>
      </c>
      <c r="J10350" t="n">
        <v>0</v>
      </c>
      <c r="K10350" t="n">
        <v>0</v>
      </c>
      <c r="L10350" t="n">
        <v>0</v>
      </c>
      <c r="M10350" t="n">
        <v>0</v>
      </c>
      <c r="N10350" t="n">
        <v>0</v>
      </c>
      <c r="O10350" t="n">
        <v>0</v>
      </c>
      <c r="P10350" t="n">
        <v>0</v>
      </c>
      <c r="Q10350" t="n">
        <v>0</v>
      </c>
      <c r="R10350" t="n">
        <v>0</v>
      </c>
      <c r="S10350" t="n">
        <v>0</v>
      </c>
      <c r="T10350" t="n">
        <v>0</v>
      </c>
      <c r="U10350" t="n">
        <v>0</v>
      </c>
      <c r="V10350" s="2" t="inlineStr"/>
    </row>
    <row r="10351" ht="15" customHeight="1">
      <c r="A10351" t="inlineStr">
        <is>
          <t>A 34784-2026</t>
        </is>
      </c>
      <c r="B10351" t="inlineStr">
        <is>
          <t>avverkningsanmälan</t>
        </is>
      </c>
      <c r="C10351" t="inlineStr">
        <is>
          <t>Föryngringsavverkning</t>
        </is>
      </c>
      <c r="D10351" s="1" t="n">
        <v>46258</v>
      </c>
      <c r="E10351" s="1" t="n">
        <v>46326</v>
      </c>
      <c r="F10351" t="inlineStr">
        <is>
          <t>GÄVLEBORGS LÄN</t>
        </is>
      </c>
      <c r="G10351" t="inlineStr">
        <is>
          <t>BOLLNÄS</t>
        </is>
      </c>
      <c r="I10351" t="n">
        <v>12.7</v>
      </c>
      <c r="J10351" t="n">
        <v>0</v>
      </c>
      <c r="K10351" t="n">
        <v>0</v>
      </c>
      <c r="L10351" t="n">
        <v>0</v>
      </c>
      <c r="M10351" t="n">
        <v>0</v>
      </c>
      <c r="N10351" t="n">
        <v>0</v>
      </c>
      <c r="O10351" t="n">
        <v>0</v>
      </c>
      <c r="P10351" t="n">
        <v>0</v>
      </c>
      <c r="Q10351" t="n">
        <v>0</v>
      </c>
      <c r="R10351" t="n">
        <v>0</v>
      </c>
      <c r="S10351" t="n">
        <v>0</v>
      </c>
      <c r="T10351" t="n">
        <v>0</v>
      </c>
      <c r="U10351" t="n">
        <v>0</v>
      </c>
      <c r="V10351" s="2" t="inlineStr"/>
    </row>
    <row r="10352" ht="15" customHeight="1">
      <c r="A10352" t="inlineStr">
        <is>
          <t>A 34526-2026</t>
        </is>
      </c>
      <c r="B10352" t="inlineStr">
        <is>
          <t>avverkningsanmälan</t>
        </is>
      </c>
      <c r="C10352" t="inlineStr">
        <is>
          <t>Föryngringsavverkning</t>
        </is>
      </c>
      <c r="D10352" s="1" t="n">
        <v>46255</v>
      </c>
      <c r="E10352" s="1" t="n">
        <v>46326</v>
      </c>
      <c r="F10352" t="inlineStr">
        <is>
          <t>GÄVLEBORGS LÄN</t>
        </is>
      </c>
      <c r="G10352" t="inlineStr">
        <is>
          <t>HUDIKSVALL</t>
        </is>
      </c>
      <c r="I10352" t="n">
        <v>1.1</v>
      </c>
      <c r="J10352" t="n">
        <v>0</v>
      </c>
      <c r="K10352" t="n">
        <v>0</v>
      </c>
      <c r="L10352" t="n">
        <v>0</v>
      </c>
      <c r="M10352" t="n">
        <v>0</v>
      </c>
      <c r="N10352" t="n">
        <v>0</v>
      </c>
      <c r="O10352" t="n">
        <v>0</v>
      </c>
      <c r="P10352" t="n">
        <v>0</v>
      </c>
      <c r="Q10352" t="n">
        <v>0</v>
      </c>
      <c r="R10352" t="n">
        <v>0</v>
      </c>
      <c r="S10352" t="n">
        <v>0</v>
      </c>
      <c r="T10352" t="n">
        <v>0</v>
      </c>
      <c r="U10352" t="n">
        <v>0</v>
      </c>
      <c r="V10352" s="2" t="inlineStr"/>
    </row>
    <row r="10353" ht="15" customHeight="1">
      <c r="A10353" t="inlineStr">
        <is>
          <t>A 34879-2026</t>
        </is>
      </c>
      <c r="B10353" t="inlineStr">
        <is>
          <t>avverkningsanmälan</t>
        </is>
      </c>
      <c r="C10353" t="inlineStr">
        <is>
          <t>Föryngringsavverkning</t>
        </is>
      </c>
      <c r="D10353" s="1" t="n">
        <v>46258</v>
      </c>
      <c r="E10353" s="1" t="n">
        <v>46326</v>
      </c>
      <c r="F10353" t="inlineStr">
        <is>
          <t>GÄVLEBORGS LÄN</t>
        </is>
      </c>
      <c r="G10353" t="inlineStr">
        <is>
          <t>SANDVIKEN</t>
        </is>
      </c>
      <c r="H10353" t="inlineStr">
        <is>
          <t>Sveaskog</t>
        </is>
      </c>
      <c r="I10353" t="n">
        <v>0.9</v>
      </c>
      <c r="J10353" t="n">
        <v>0</v>
      </c>
      <c r="K10353" t="n">
        <v>0</v>
      </c>
      <c r="L10353" t="n">
        <v>0</v>
      </c>
      <c r="M10353" t="n">
        <v>0</v>
      </c>
      <c r="N10353" t="n">
        <v>0</v>
      </c>
      <c r="O10353" t="n">
        <v>0</v>
      </c>
      <c r="P10353" t="n">
        <v>0</v>
      </c>
      <c r="Q10353" t="n">
        <v>0</v>
      </c>
      <c r="R10353" t="n">
        <v>0</v>
      </c>
      <c r="S10353" t="n">
        <v>0</v>
      </c>
      <c r="T10353" t="n">
        <v>0</v>
      </c>
      <c r="U10353" t="n">
        <v>0</v>
      </c>
      <c r="V10353" s="2" t="inlineStr"/>
    </row>
    <row r="10354" ht="15" customHeight="1">
      <c r="A10354" t="inlineStr">
        <is>
          <t>A 34690-2026</t>
        </is>
      </c>
      <c r="B10354" t="inlineStr">
        <is>
          <t>avverkningsanmälan</t>
        </is>
      </c>
      <c r="C10354" t="inlineStr">
        <is>
          <t>Föryngringsavverkning</t>
        </is>
      </c>
      <c r="D10354" s="1" t="n">
        <v>46258</v>
      </c>
      <c r="E10354" s="1" t="n">
        <v>46326</v>
      </c>
      <c r="F10354" t="inlineStr">
        <is>
          <t>GÄVLEBORGS LÄN</t>
        </is>
      </c>
      <c r="G10354" t="inlineStr">
        <is>
          <t>LJUSDAL</t>
        </is>
      </c>
      <c r="I10354" t="n">
        <v>1.2</v>
      </c>
      <c r="J10354" t="n">
        <v>0</v>
      </c>
      <c r="K10354" t="n">
        <v>0</v>
      </c>
      <c r="L10354" t="n">
        <v>0</v>
      </c>
      <c r="M10354" t="n">
        <v>0</v>
      </c>
      <c r="N10354" t="n">
        <v>0</v>
      </c>
      <c r="O10354" t="n">
        <v>0</v>
      </c>
      <c r="P10354" t="n">
        <v>0</v>
      </c>
      <c r="Q10354" t="n">
        <v>0</v>
      </c>
      <c r="R10354" t="n">
        <v>0</v>
      </c>
      <c r="S10354" t="n">
        <v>0</v>
      </c>
      <c r="T10354" t="n">
        <v>0</v>
      </c>
      <c r="U10354" t="n">
        <v>0</v>
      </c>
      <c r="V10354" s="2" t="inlineStr"/>
    </row>
    <row r="10355" ht="15" customHeight="1">
      <c r="A10355" t="inlineStr">
        <is>
          <t>A 13390-2026</t>
        </is>
      </c>
      <c r="B10355" t="inlineStr">
        <is>
          <t>avverkningsanmälan</t>
        </is>
      </c>
      <c r="C10355" t="inlineStr">
        <is>
          <t>Föryngringsavverkning</t>
        </is>
      </c>
      <c r="D10355" s="1" t="n">
        <v>46094</v>
      </c>
      <c r="E10355" s="1" t="n">
        <v>46326</v>
      </c>
      <c r="F10355" t="inlineStr">
        <is>
          <t>GÄVLEBORGS LÄN</t>
        </is>
      </c>
      <c r="G10355" t="inlineStr">
        <is>
          <t>HUDIKSVALL</t>
        </is>
      </c>
      <c r="I10355" t="n">
        <v>1.7</v>
      </c>
      <c r="J10355" t="n">
        <v>0</v>
      </c>
      <c r="K10355" t="n">
        <v>0</v>
      </c>
      <c r="L10355" t="n">
        <v>0</v>
      </c>
      <c r="M10355" t="n">
        <v>0</v>
      </c>
      <c r="N10355" t="n">
        <v>0</v>
      </c>
      <c r="O10355" t="n">
        <v>0</v>
      </c>
      <c r="P10355" t="n">
        <v>0</v>
      </c>
      <c r="Q10355" t="n">
        <v>0</v>
      </c>
      <c r="R10355" t="n">
        <v>0</v>
      </c>
      <c r="S10355" t="n">
        <v>0</v>
      </c>
      <c r="T10355" t="n">
        <v>0</v>
      </c>
      <c r="U10355" t="n">
        <v>0</v>
      </c>
      <c r="V10355" s="2" t="inlineStr"/>
    </row>
    <row r="10356" ht="15" customHeight="1">
      <c r="A10356" t="inlineStr">
        <is>
          <t>A 41466-2026</t>
        </is>
      </c>
      <c r="B10356" t="inlineStr">
        <is>
          <t>avverkningsanmälan</t>
        </is>
      </c>
      <c r="C10356" t="inlineStr">
        <is>
          <t>Föryngringsavverkning</t>
        </is>
      </c>
      <c r="D10356" s="1" t="n">
        <v>46301</v>
      </c>
      <c r="E10356" s="1" t="n">
        <v>46326</v>
      </c>
      <c r="F10356" t="inlineStr">
        <is>
          <t>GÄVLEBORGS LÄN</t>
        </is>
      </c>
      <c r="G10356" t="inlineStr">
        <is>
          <t>HUDIKSVALL</t>
        </is>
      </c>
      <c r="I10356" t="n">
        <v>0.5</v>
      </c>
      <c r="J10356" t="n">
        <v>0</v>
      </c>
      <c r="K10356" t="n">
        <v>0</v>
      </c>
      <c r="L10356" t="n">
        <v>0</v>
      </c>
      <c r="M10356" t="n">
        <v>0</v>
      </c>
      <c r="N10356" t="n">
        <v>0</v>
      </c>
      <c r="O10356" t="n">
        <v>0</v>
      </c>
      <c r="P10356" t="n">
        <v>0</v>
      </c>
      <c r="Q10356" t="n">
        <v>0</v>
      </c>
      <c r="R10356" t="n">
        <v>0</v>
      </c>
      <c r="S10356" t="n">
        <v>0</v>
      </c>
      <c r="T10356" t="n">
        <v>0</v>
      </c>
      <c r="U10356" t="n">
        <v>0</v>
      </c>
      <c r="V10356" s="2" t="inlineStr"/>
    </row>
    <row r="10357" ht="15" customHeight="1">
      <c r="A10357" t="inlineStr">
        <is>
          <t>A 41542-2026</t>
        </is>
      </c>
      <c r="B10357" t="inlineStr">
        <is>
          <t>avverkningsanmälan</t>
        </is>
      </c>
      <c r="C10357" t="inlineStr">
        <is>
          <t>Föryngringsavverkning</t>
        </is>
      </c>
      <c r="D10357" s="1" t="n">
        <v>46301</v>
      </c>
      <c r="E10357" s="1" t="n">
        <v>46326</v>
      </c>
      <c r="F10357" t="inlineStr">
        <is>
          <t>GÄVLEBORGS LÄN</t>
        </is>
      </c>
      <c r="G10357" t="inlineStr">
        <is>
          <t>GÄVLE</t>
        </is>
      </c>
      <c r="H10357" t="inlineStr">
        <is>
          <t>Bergvik skog öst AB</t>
        </is>
      </c>
      <c r="I10357" t="n">
        <v>5.7</v>
      </c>
      <c r="J10357" t="n">
        <v>0</v>
      </c>
      <c r="K10357" t="n">
        <v>0</v>
      </c>
      <c r="L10357" t="n">
        <v>0</v>
      </c>
      <c r="M10357" t="n">
        <v>0</v>
      </c>
      <c r="N10357" t="n">
        <v>0</v>
      </c>
      <c r="O10357" t="n">
        <v>0</v>
      </c>
      <c r="P10357" t="n">
        <v>0</v>
      </c>
      <c r="Q10357" t="n">
        <v>0</v>
      </c>
      <c r="R10357" t="n">
        <v>0</v>
      </c>
      <c r="S10357" t="n">
        <v>0</v>
      </c>
      <c r="T10357" t="n">
        <v>0</v>
      </c>
      <c r="U10357" t="n">
        <v>0</v>
      </c>
      <c r="V10357" s="2" t="inlineStr"/>
    </row>
    <row r="10358" ht="15" customHeight="1">
      <c r="A10358" t="inlineStr">
        <is>
          <t>A 28800-2026</t>
        </is>
      </c>
      <c r="B10358" t="inlineStr">
        <is>
          <t>avverkningsanmälan</t>
        </is>
      </c>
      <c r="C10358" t="inlineStr">
        <is>
          <t>Avverkning för annat ändamål</t>
        </is>
      </c>
      <c r="D10358" s="1" t="n">
        <v>46198</v>
      </c>
      <c r="E10358" s="1" t="n">
        <v>46326</v>
      </c>
      <c r="F10358" t="inlineStr">
        <is>
          <t>GÄVLEBORGS LÄN</t>
        </is>
      </c>
      <c r="G10358" t="inlineStr">
        <is>
          <t>HUDIKSVALL</t>
        </is>
      </c>
      <c r="I10358" t="n">
        <v>2.1</v>
      </c>
      <c r="J10358" t="n">
        <v>0</v>
      </c>
      <c r="K10358" t="n">
        <v>0</v>
      </c>
      <c r="L10358" t="n">
        <v>0</v>
      </c>
      <c r="M10358" t="n">
        <v>0</v>
      </c>
      <c r="N10358" t="n">
        <v>0</v>
      </c>
      <c r="O10358" t="n">
        <v>0</v>
      </c>
      <c r="P10358" t="n">
        <v>0</v>
      </c>
      <c r="Q10358" t="n">
        <v>0</v>
      </c>
      <c r="R10358" t="n">
        <v>0</v>
      </c>
      <c r="S10358" t="n">
        <v>0</v>
      </c>
      <c r="T10358" t="n">
        <v>0</v>
      </c>
      <c r="U10358" t="n">
        <v>0</v>
      </c>
      <c r="V10358" s="2" t="inlineStr"/>
    </row>
    <row r="10359" ht="15" customHeight="1">
      <c r="A10359" t="inlineStr">
        <is>
          <t>A 34528-2026</t>
        </is>
      </c>
      <c r="B10359" t="inlineStr">
        <is>
          <t>avverkningsanmälan</t>
        </is>
      </c>
      <c r="C10359" t="inlineStr">
        <is>
          <t>Föryngringsavverkning</t>
        </is>
      </c>
      <c r="D10359" s="1" t="n">
        <v>46255</v>
      </c>
      <c r="E10359" s="1" t="n">
        <v>46326</v>
      </c>
      <c r="F10359" t="inlineStr">
        <is>
          <t>GÄVLEBORGS LÄN</t>
        </is>
      </c>
      <c r="G10359" t="inlineStr">
        <is>
          <t>HUDIKSVALL</t>
        </is>
      </c>
      <c r="I10359" t="n">
        <v>0.6</v>
      </c>
      <c r="J10359" t="n">
        <v>0</v>
      </c>
      <c r="K10359" t="n">
        <v>0</v>
      </c>
      <c r="L10359" t="n">
        <v>0</v>
      </c>
      <c r="M10359" t="n">
        <v>0</v>
      </c>
      <c r="N10359" t="n">
        <v>0</v>
      </c>
      <c r="O10359" t="n">
        <v>0</v>
      </c>
      <c r="P10359" t="n">
        <v>0</v>
      </c>
      <c r="Q10359" t="n">
        <v>0</v>
      </c>
      <c r="R10359" t="n">
        <v>0</v>
      </c>
      <c r="S10359" t="n">
        <v>0</v>
      </c>
      <c r="T10359" t="n">
        <v>0</v>
      </c>
      <c r="U10359" t="n">
        <v>0</v>
      </c>
      <c r="V10359" s="2" t="inlineStr"/>
    </row>
    <row r="10360" ht="15" customHeight="1">
      <c r="A10360" t="inlineStr">
        <is>
          <t>A 34591-2026</t>
        </is>
      </c>
      <c r="B10360" t="inlineStr">
        <is>
          <t>avverkningsanmälan</t>
        </is>
      </c>
      <c r="C10360" t="inlineStr">
        <is>
          <t>Föryngringsavverkning</t>
        </is>
      </c>
      <c r="D10360" s="1" t="n">
        <v>46255</v>
      </c>
      <c r="E10360" s="1" t="n">
        <v>46326</v>
      </c>
      <c r="F10360" t="inlineStr">
        <is>
          <t>GÄVLEBORGS LÄN</t>
        </is>
      </c>
      <c r="G10360" t="inlineStr">
        <is>
          <t>GÄVLE</t>
        </is>
      </c>
      <c r="H10360" t="inlineStr">
        <is>
          <t>Bergvik skog öst AB</t>
        </is>
      </c>
      <c r="I10360" t="n">
        <v>1</v>
      </c>
      <c r="J10360" t="n">
        <v>0</v>
      </c>
      <c r="K10360" t="n">
        <v>0</v>
      </c>
      <c r="L10360" t="n">
        <v>0</v>
      </c>
      <c r="M10360" t="n">
        <v>0</v>
      </c>
      <c r="N10360" t="n">
        <v>0</v>
      </c>
      <c r="O10360" t="n">
        <v>0</v>
      </c>
      <c r="P10360" t="n">
        <v>0</v>
      </c>
      <c r="Q10360" t="n">
        <v>0</v>
      </c>
      <c r="R10360" t="n">
        <v>0</v>
      </c>
      <c r="S10360" t="n">
        <v>0</v>
      </c>
      <c r="T10360" t="n">
        <v>0</v>
      </c>
      <c r="U10360" t="n">
        <v>0</v>
      </c>
      <c r="V10360" s="2" t="inlineStr"/>
    </row>
    <row r="10361" ht="15" customHeight="1">
      <c r="A10361" t="inlineStr">
        <is>
          <t>A 14758-2026</t>
        </is>
      </c>
      <c r="B10361" t="inlineStr">
        <is>
          <t>avverkningsanmälan</t>
        </is>
      </c>
      <c r="C10361" t="inlineStr">
        <is>
          <t>Föryngringsavverkning</t>
        </is>
      </c>
      <c r="D10361" s="1" t="n">
        <v>46101</v>
      </c>
      <c r="E10361" s="1" t="n">
        <v>46326</v>
      </c>
      <c r="F10361" t="inlineStr">
        <is>
          <t>GÄVLEBORGS LÄN</t>
        </is>
      </c>
      <c r="G10361" t="inlineStr">
        <is>
          <t>BOLLNÄS</t>
        </is>
      </c>
      <c r="I10361" t="n">
        <v>3</v>
      </c>
      <c r="J10361" t="n">
        <v>0</v>
      </c>
      <c r="K10361" t="n">
        <v>0</v>
      </c>
      <c r="L10361" t="n">
        <v>0</v>
      </c>
      <c r="M10361" t="n">
        <v>0</v>
      </c>
      <c r="N10361" t="n">
        <v>0</v>
      </c>
      <c r="O10361" t="n">
        <v>0</v>
      </c>
      <c r="P10361" t="n">
        <v>0</v>
      </c>
      <c r="Q10361" t="n">
        <v>0</v>
      </c>
      <c r="R10361" t="n">
        <v>0</v>
      </c>
      <c r="S10361" t="n">
        <v>0</v>
      </c>
      <c r="T10361" t="n">
        <v>0</v>
      </c>
      <c r="U10361" t="n">
        <v>0</v>
      </c>
      <c r="V10361" s="2" t="inlineStr"/>
    </row>
    <row r="10362" ht="15" customHeight="1">
      <c r="A10362" t="inlineStr">
        <is>
          <t>A 41543-2026</t>
        </is>
      </c>
      <c r="B10362" t="inlineStr">
        <is>
          <t>avverkningsanmälan</t>
        </is>
      </c>
      <c r="C10362" t="inlineStr">
        <is>
          <t>Föryngringsavverkning</t>
        </is>
      </c>
      <c r="D10362" s="1" t="n">
        <v>46301</v>
      </c>
      <c r="E10362" s="1" t="n">
        <v>46326</v>
      </c>
      <c r="F10362" t="inlineStr">
        <is>
          <t>GÄVLEBORGS LÄN</t>
        </is>
      </c>
      <c r="G10362" t="inlineStr">
        <is>
          <t>GÄVLE</t>
        </is>
      </c>
      <c r="H10362" t="inlineStr">
        <is>
          <t>Bergvik skog öst AB</t>
        </is>
      </c>
      <c r="I10362" t="n">
        <v>2.1</v>
      </c>
      <c r="J10362" t="n">
        <v>0</v>
      </c>
      <c r="K10362" t="n">
        <v>0</v>
      </c>
      <c r="L10362" t="n">
        <v>0</v>
      </c>
      <c r="M10362" t="n">
        <v>0</v>
      </c>
      <c r="N10362" t="n">
        <v>0</v>
      </c>
      <c r="O10362" t="n">
        <v>0</v>
      </c>
      <c r="P10362" t="n">
        <v>0</v>
      </c>
      <c r="Q10362" t="n">
        <v>0</v>
      </c>
      <c r="R10362" t="n">
        <v>0</v>
      </c>
      <c r="S10362" t="n">
        <v>0</v>
      </c>
      <c r="T10362" t="n">
        <v>0</v>
      </c>
      <c r="U10362" t="n">
        <v>0</v>
      </c>
      <c r="V10362" s="2" t="inlineStr"/>
    </row>
    <row r="10363" ht="15" customHeight="1">
      <c r="A10363" t="inlineStr">
        <is>
          <t>A 29691-2026</t>
        </is>
      </c>
      <c r="B10363" t="inlineStr">
        <is>
          <t>avverkningsanmälan</t>
        </is>
      </c>
      <c r="C10363" t="inlineStr">
        <is>
          <t>Föryngringsavverkning</t>
        </is>
      </c>
      <c r="D10363" s="1" t="n">
        <v>46204</v>
      </c>
      <c r="E10363" s="1" t="n">
        <v>46326</v>
      </c>
      <c r="F10363" t="inlineStr">
        <is>
          <t>GÄVLEBORGS LÄN</t>
        </is>
      </c>
      <c r="G10363" t="inlineStr">
        <is>
          <t>BOLLNÄS</t>
        </is>
      </c>
      <c r="I10363" t="n">
        <v>1.2</v>
      </c>
      <c r="J10363" t="n">
        <v>0</v>
      </c>
      <c r="K10363" t="n">
        <v>0</v>
      </c>
      <c r="L10363" t="n">
        <v>0</v>
      </c>
      <c r="M10363" t="n">
        <v>0</v>
      </c>
      <c r="N10363" t="n">
        <v>0</v>
      </c>
      <c r="O10363" t="n">
        <v>0</v>
      </c>
      <c r="P10363" t="n">
        <v>0</v>
      </c>
      <c r="Q10363" t="n">
        <v>0</v>
      </c>
      <c r="R10363" t="n">
        <v>0</v>
      </c>
      <c r="S10363" t="n">
        <v>0</v>
      </c>
      <c r="T10363" t="n">
        <v>0</v>
      </c>
      <c r="U10363" t="n">
        <v>0</v>
      </c>
      <c r="V10363" s="2" t="inlineStr"/>
    </row>
    <row r="10364" ht="15" customHeight="1">
      <c r="A10364" t="inlineStr">
        <is>
          <t>A 15834-2026</t>
        </is>
      </c>
      <c r="B10364" t="inlineStr">
        <is>
          <t>avverkningsanmälan</t>
        </is>
      </c>
      <c r="C10364" t="inlineStr">
        <is>
          <t>Föryngringsavverkning</t>
        </is>
      </c>
      <c r="D10364" s="1" t="n">
        <v>46107</v>
      </c>
      <c r="E10364" s="1" t="n">
        <v>46326</v>
      </c>
      <c r="F10364" t="inlineStr">
        <is>
          <t>GÄVLEBORGS LÄN</t>
        </is>
      </c>
      <c r="G10364" t="inlineStr">
        <is>
          <t>BOLLNÄS</t>
        </is>
      </c>
      <c r="I10364" t="n">
        <v>2.2</v>
      </c>
      <c r="J10364" t="n">
        <v>0</v>
      </c>
      <c r="K10364" t="n">
        <v>0</v>
      </c>
      <c r="L10364" t="n">
        <v>0</v>
      </c>
      <c r="M10364" t="n">
        <v>0</v>
      </c>
      <c r="N10364" t="n">
        <v>0</v>
      </c>
      <c r="O10364" t="n">
        <v>0</v>
      </c>
      <c r="P10364" t="n">
        <v>0</v>
      </c>
      <c r="Q10364" t="n">
        <v>0</v>
      </c>
      <c r="R10364" t="n">
        <v>0</v>
      </c>
      <c r="S10364" t="n">
        <v>0</v>
      </c>
      <c r="T10364" t="n">
        <v>0</v>
      </c>
      <c r="U10364" t="n">
        <v>0</v>
      </c>
      <c r="V10364" s="2" t="inlineStr"/>
    </row>
    <row r="10365" ht="15" customHeight="1">
      <c r="A10365" t="inlineStr">
        <is>
          <t>A 41106-2026</t>
        </is>
      </c>
      <c r="B10365" t="inlineStr">
        <is>
          <t>avverkningsanmälan</t>
        </is>
      </c>
      <c r="C10365" t="inlineStr">
        <is>
          <t>Föryngringsavverkning</t>
        </is>
      </c>
      <c r="D10365" s="1" t="n">
        <v>46300</v>
      </c>
      <c r="E10365" s="1" t="n">
        <v>46326</v>
      </c>
      <c r="F10365" t="inlineStr">
        <is>
          <t>GÄVLEBORGS LÄN</t>
        </is>
      </c>
      <c r="G10365" t="inlineStr">
        <is>
          <t>GÄVLE</t>
        </is>
      </c>
      <c r="H10365" t="inlineStr">
        <is>
          <t>Bergvik skog öst AB</t>
        </is>
      </c>
      <c r="I10365" t="n">
        <v>3</v>
      </c>
      <c r="J10365" t="n">
        <v>0</v>
      </c>
      <c r="K10365" t="n">
        <v>0</v>
      </c>
      <c r="L10365" t="n">
        <v>0</v>
      </c>
      <c r="M10365" t="n">
        <v>0</v>
      </c>
      <c r="N10365" t="n">
        <v>0</v>
      </c>
      <c r="O10365" t="n">
        <v>0</v>
      </c>
      <c r="P10365" t="n">
        <v>0</v>
      </c>
      <c r="Q10365" t="n">
        <v>0</v>
      </c>
      <c r="R10365" t="n">
        <v>0</v>
      </c>
      <c r="S10365" t="n">
        <v>0</v>
      </c>
      <c r="T10365" t="n">
        <v>0</v>
      </c>
      <c r="U10365" t="n">
        <v>0</v>
      </c>
      <c r="V10365" s="2" t="inlineStr"/>
    </row>
    <row r="10366" ht="15" customHeight="1">
      <c r="A10366" t="inlineStr">
        <is>
          <t>A 34743-2026</t>
        </is>
      </c>
      <c r="B10366" t="inlineStr">
        <is>
          <t>avverkningsanmälan</t>
        </is>
      </c>
      <c r="C10366" t="inlineStr">
        <is>
          <t>Föryngringsavverkning</t>
        </is>
      </c>
      <c r="D10366" s="1" t="n">
        <v>46258</v>
      </c>
      <c r="E10366" s="1" t="n">
        <v>46326</v>
      </c>
      <c r="F10366" t="inlineStr">
        <is>
          <t>GÄVLEBORGS LÄN</t>
        </is>
      </c>
      <c r="G10366" t="inlineStr">
        <is>
          <t>LJUSDAL</t>
        </is>
      </c>
      <c r="H10366" t="inlineStr">
        <is>
          <t>Bergvik skog väst AB</t>
        </is>
      </c>
      <c r="I10366" t="n">
        <v>2.7</v>
      </c>
      <c r="J10366" t="n">
        <v>0</v>
      </c>
      <c r="K10366" t="n">
        <v>0</v>
      </c>
      <c r="L10366" t="n">
        <v>0</v>
      </c>
      <c r="M10366" t="n">
        <v>0</v>
      </c>
      <c r="N10366" t="n">
        <v>0</v>
      </c>
      <c r="O10366" t="n">
        <v>0</v>
      </c>
      <c r="P10366" t="n">
        <v>0</v>
      </c>
      <c r="Q10366" t="n">
        <v>0</v>
      </c>
      <c r="R10366" t="n">
        <v>0</v>
      </c>
      <c r="S10366" t="n">
        <v>0</v>
      </c>
      <c r="T10366" t="n">
        <v>0</v>
      </c>
      <c r="U10366" t="n">
        <v>0</v>
      </c>
      <c r="V10366" s="2" t="inlineStr"/>
    </row>
    <row r="10367" ht="15" customHeight="1">
      <c r="A10367" t="inlineStr">
        <is>
          <t>A 41181-2026</t>
        </is>
      </c>
      <c r="B10367" t="inlineStr">
        <is>
          <t>avverkningsanmälan</t>
        </is>
      </c>
      <c r="C10367" t="inlineStr">
        <is>
          <t>Föryngringsavverkning</t>
        </is>
      </c>
      <c r="D10367" s="1" t="n">
        <v>46300</v>
      </c>
      <c r="E10367" s="1" t="n">
        <v>46326</v>
      </c>
      <c r="F10367" t="inlineStr">
        <is>
          <t>GÄVLEBORGS LÄN</t>
        </is>
      </c>
      <c r="G10367" t="inlineStr">
        <is>
          <t>HOFORS</t>
        </is>
      </c>
      <c r="I10367" t="n">
        <v>3.6</v>
      </c>
      <c r="J10367" t="n">
        <v>0</v>
      </c>
      <c r="K10367" t="n">
        <v>0</v>
      </c>
      <c r="L10367" t="n">
        <v>0</v>
      </c>
      <c r="M10367" t="n">
        <v>0</v>
      </c>
      <c r="N10367" t="n">
        <v>0</v>
      </c>
      <c r="O10367" t="n">
        <v>0</v>
      </c>
      <c r="P10367" t="n">
        <v>0</v>
      </c>
      <c r="Q10367" t="n">
        <v>0</v>
      </c>
      <c r="R10367" t="n">
        <v>0</v>
      </c>
      <c r="S10367" t="n">
        <v>0</v>
      </c>
      <c r="T10367" t="n">
        <v>0</v>
      </c>
      <c r="U10367" t="n">
        <v>0</v>
      </c>
      <c r="V10367" s="2" t="inlineStr"/>
    </row>
    <row r="10368" ht="15" customHeight="1">
      <c r="A10368" t="inlineStr">
        <is>
          <t>A 41210-2026</t>
        </is>
      </c>
      <c r="B10368" t="inlineStr">
        <is>
          <t>avverkningsanmälan</t>
        </is>
      </c>
      <c r="C10368" t="inlineStr">
        <is>
          <t>Föryngringsavverkning</t>
        </is>
      </c>
      <c r="D10368" s="1" t="n">
        <v>46300</v>
      </c>
      <c r="E10368" s="1" t="n">
        <v>46326</v>
      </c>
      <c r="F10368" t="inlineStr">
        <is>
          <t>GÄVLEBORGS LÄN</t>
        </is>
      </c>
      <c r="G10368" t="inlineStr">
        <is>
          <t>HOFORS</t>
        </is>
      </c>
      <c r="I10368" t="n">
        <v>2.2</v>
      </c>
      <c r="J10368" t="n">
        <v>0</v>
      </c>
      <c r="K10368" t="n">
        <v>0</v>
      </c>
      <c r="L10368" t="n">
        <v>0</v>
      </c>
      <c r="M10368" t="n">
        <v>0</v>
      </c>
      <c r="N10368" t="n">
        <v>0</v>
      </c>
      <c r="O10368" t="n">
        <v>0</v>
      </c>
      <c r="P10368" t="n">
        <v>0</v>
      </c>
      <c r="Q10368" t="n">
        <v>0</v>
      </c>
      <c r="R10368" t="n">
        <v>0</v>
      </c>
      <c r="S10368" t="n">
        <v>0</v>
      </c>
      <c r="T10368" t="n">
        <v>0</v>
      </c>
      <c r="U10368" t="n">
        <v>0</v>
      </c>
      <c r="V10368" s="2" t="inlineStr"/>
    </row>
    <row r="10369" ht="15" customHeight="1">
      <c r="A10369" t="inlineStr">
        <is>
          <t>A 22489-2026</t>
        </is>
      </c>
      <c r="B10369" t="inlineStr">
        <is>
          <t>avverkningsanmälan</t>
        </is>
      </c>
      <c r="C10369" t="inlineStr">
        <is>
          <t>Föryngringsavverkning</t>
        </is>
      </c>
      <c r="D10369" s="1" t="n">
        <v>46155</v>
      </c>
      <c r="E10369" s="1" t="n">
        <v>46326</v>
      </c>
      <c r="F10369" t="inlineStr">
        <is>
          <t>GÄVLEBORGS LÄN</t>
        </is>
      </c>
      <c r="G10369" t="inlineStr">
        <is>
          <t>BOLLNÄS</t>
        </is>
      </c>
      <c r="I10369" t="n">
        <v>4.8</v>
      </c>
      <c r="J10369" t="n">
        <v>0</v>
      </c>
      <c r="K10369" t="n">
        <v>0</v>
      </c>
      <c r="L10369" t="n">
        <v>0</v>
      </c>
      <c r="M10369" t="n">
        <v>0</v>
      </c>
      <c r="N10369" t="n">
        <v>0</v>
      </c>
      <c r="O10369" t="n">
        <v>0</v>
      </c>
      <c r="P10369" t="n">
        <v>0</v>
      </c>
      <c r="Q10369" t="n">
        <v>0</v>
      </c>
      <c r="R10369" t="n">
        <v>0</v>
      </c>
      <c r="S10369" t="n">
        <v>0</v>
      </c>
      <c r="T10369" t="n">
        <v>0</v>
      </c>
      <c r="U10369" t="n">
        <v>0</v>
      </c>
      <c r="V10369" s="2" t="inlineStr"/>
    </row>
    <row r="10370" ht="15" customHeight="1">
      <c r="A10370" t="inlineStr">
        <is>
          <t>A 22503-2026</t>
        </is>
      </c>
      <c r="B10370" t="inlineStr">
        <is>
          <t>avverkningsanmälan</t>
        </is>
      </c>
      <c r="C10370" t="inlineStr">
        <is>
          <t>Föryngringsavverkning</t>
        </is>
      </c>
      <c r="D10370" s="1" t="n">
        <v>46155</v>
      </c>
      <c r="E10370" s="1" t="n">
        <v>46326</v>
      </c>
      <c r="F10370" t="inlineStr">
        <is>
          <t>GÄVLEBORGS LÄN</t>
        </is>
      </c>
      <c r="G10370" t="inlineStr">
        <is>
          <t>BOLLNÄS</t>
        </is>
      </c>
      <c r="I10370" t="n">
        <v>0.9</v>
      </c>
      <c r="J10370" t="n">
        <v>0</v>
      </c>
      <c r="K10370" t="n">
        <v>0</v>
      </c>
      <c r="L10370" t="n">
        <v>0</v>
      </c>
      <c r="M10370" t="n">
        <v>0</v>
      </c>
      <c r="N10370" t="n">
        <v>0</v>
      </c>
      <c r="O10370" t="n">
        <v>0</v>
      </c>
      <c r="P10370" t="n">
        <v>0</v>
      </c>
      <c r="Q10370" t="n">
        <v>0</v>
      </c>
      <c r="R10370" t="n">
        <v>0</v>
      </c>
      <c r="S10370" t="n">
        <v>0</v>
      </c>
      <c r="T10370" t="n">
        <v>0</v>
      </c>
      <c r="U10370" t="n">
        <v>0</v>
      </c>
      <c r="V10370" s="2" t="inlineStr"/>
    </row>
    <row r="10371" ht="15" customHeight="1">
      <c r="A10371" t="inlineStr">
        <is>
          <t>A 34761-2026</t>
        </is>
      </c>
      <c r="B10371" t="inlineStr">
        <is>
          <t>avverkningsanmälan</t>
        </is>
      </c>
      <c r="C10371" t="inlineStr">
        <is>
          <t>Föryngringsavverkning</t>
        </is>
      </c>
      <c r="D10371" s="1" t="n">
        <v>46258</v>
      </c>
      <c r="E10371" s="1" t="n">
        <v>46326</v>
      </c>
      <c r="F10371" t="inlineStr">
        <is>
          <t>GÄVLEBORGS LÄN</t>
        </is>
      </c>
      <c r="G10371" t="inlineStr">
        <is>
          <t>SÖDERHAMN</t>
        </is>
      </c>
      <c r="I10371" t="n">
        <v>7.4</v>
      </c>
      <c r="J10371" t="n">
        <v>0</v>
      </c>
      <c r="K10371" t="n">
        <v>0</v>
      </c>
      <c r="L10371" t="n">
        <v>0</v>
      </c>
      <c r="M10371" t="n">
        <v>0</v>
      </c>
      <c r="N10371" t="n">
        <v>0</v>
      </c>
      <c r="O10371" t="n">
        <v>0</v>
      </c>
      <c r="P10371" t="n">
        <v>0</v>
      </c>
      <c r="Q10371" t="n">
        <v>0</v>
      </c>
      <c r="R10371" t="n">
        <v>0</v>
      </c>
      <c r="S10371" t="n">
        <v>0</v>
      </c>
      <c r="T10371" t="n">
        <v>0</v>
      </c>
      <c r="U10371" t="n">
        <v>0</v>
      </c>
      <c r="V10371" s="2" t="inlineStr"/>
    </row>
    <row r="10372" ht="15" customHeight="1">
      <c r="A10372" t="inlineStr">
        <is>
          <t>A 16587-2026</t>
        </is>
      </c>
      <c r="B10372" t="inlineStr">
        <is>
          <t>avverkningsanmälan</t>
        </is>
      </c>
      <c r="C10372" t="inlineStr">
        <is>
          <t>Föryngringsavverkning</t>
        </is>
      </c>
      <c r="D10372" s="1" t="n">
        <v>46112</v>
      </c>
      <c r="E10372" s="1" t="n">
        <v>46326</v>
      </c>
      <c r="F10372" t="inlineStr">
        <is>
          <t>GÄVLEBORGS LÄN</t>
        </is>
      </c>
      <c r="G10372" t="inlineStr">
        <is>
          <t>BOLLNÄS</t>
        </is>
      </c>
      <c r="I10372" t="n">
        <v>1.7</v>
      </c>
      <c r="J10372" t="n">
        <v>0</v>
      </c>
      <c r="K10372" t="n">
        <v>0</v>
      </c>
      <c r="L10372" t="n">
        <v>0</v>
      </c>
      <c r="M10372" t="n">
        <v>0</v>
      </c>
      <c r="N10372" t="n">
        <v>0</v>
      </c>
      <c r="O10372" t="n">
        <v>0</v>
      </c>
      <c r="P10372" t="n">
        <v>0</v>
      </c>
      <c r="Q10372" t="n">
        <v>0</v>
      </c>
      <c r="R10372" t="n">
        <v>0</v>
      </c>
      <c r="S10372" t="n">
        <v>0</v>
      </c>
      <c r="T10372" t="n">
        <v>0</v>
      </c>
      <c r="U10372" t="n">
        <v>0</v>
      </c>
      <c r="V10372" s="2" t="inlineStr"/>
    </row>
    <row r="10373" ht="15" customHeight="1">
      <c r="A10373" t="inlineStr">
        <is>
          <t>A 41063-2026</t>
        </is>
      </c>
      <c r="B10373" t="inlineStr">
        <is>
          <t>avverkningsanmälan</t>
        </is>
      </c>
      <c r="C10373" t="inlineStr">
        <is>
          <t>Föryngringsavverkning</t>
        </is>
      </c>
      <c r="D10373" s="1" t="n">
        <v>46300</v>
      </c>
      <c r="E10373" s="1" t="n">
        <v>46326</v>
      </c>
      <c r="F10373" t="inlineStr">
        <is>
          <t>GÄVLEBORGS LÄN</t>
        </is>
      </c>
      <c r="G10373" t="inlineStr">
        <is>
          <t>NORDANSTIG</t>
        </is>
      </c>
      <c r="H10373" t="inlineStr">
        <is>
          <t>Holmen skog AB</t>
        </is>
      </c>
      <c r="I10373" t="n">
        <v>11.2</v>
      </c>
      <c r="J10373" t="n">
        <v>0</v>
      </c>
      <c r="K10373" t="n">
        <v>0</v>
      </c>
      <c r="L10373" t="n">
        <v>0</v>
      </c>
      <c r="M10373" t="n">
        <v>0</v>
      </c>
      <c r="N10373" t="n">
        <v>0</v>
      </c>
      <c r="O10373" t="n">
        <v>0</v>
      </c>
      <c r="P10373" t="n">
        <v>0</v>
      </c>
      <c r="Q10373" t="n">
        <v>0</v>
      </c>
      <c r="R10373" t="n">
        <v>0</v>
      </c>
      <c r="S10373" t="n">
        <v>0</v>
      </c>
      <c r="T10373" t="n">
        <v>0</v>
      </c>
      <c r="U10373" t="n">
        <v>0</v>
      </c>
      <c r="V10373" s="2" t="inlineStr"/>
    </row>
    <row r="10374" ht="15" customHeight="1">
      <c r="A10374" t="inlineStr">
        <is>
          <t>A 19401-2026</t>
        </is>
      </c>
      <c r="B10374" t="inlineStr">
        <is>
          <t>avverkningsanmälan</t>
        </is>
      </c>
      <c r="C10374" t="inlineStr">
        <is>
          <t>Föryngringsavverkning</t>
        </is>
      </c>
      <c r="D10374" s="1" t="n">
        <v>46133</v>
      </c>
      <c r="E10374" s="1" t="n">
        <v>46326</v>
      </c>
      <c r="F10374" t="inlineStr">
        <is>
          <t>GÄVLEBORGS LÄN</t>
        </is>
      </c>
      <c r="G10374" t="inlineStr">
        <is>
          <t>HOFORS</t>
        </is>
      </c>
      <c r="H10374" t="inlineStr">
        <is>
          <t>Bergvik skog öst AB</t>
        </is>
      </c>
      <c r="I10374" t="n">
        <v>3.1</v>
      </c>
      <c r="J10374" t="n">
        <v>0</v>
      </c>
      <c r="K10374" t="n">
        <v>0</v>
      </c>
      <c r="L10374" t="n">
        <v>0</v>
      </c>
      <c r="M10374" t="n">
        <v>0</v>
      </c>
      <c r="N10374" t="n">
        <v>0</v>
      </c>
      <c r="O10374" t="n">
        <v>0</v>
      </c>
      <c r="P10374" t="n">
        <v>0</v>
      </c>
      <c r="Q10374" t="n">
        <v>0</v>
      </c>
      <c r="R10374" t="n">
        <v>0</v>
      </c>
      <c r="S10374" t="n">
        <v>0</v>
      </c>
      <c r="T10374" t="n">
        <v>0</v>
      </c>
      <c r="U10374" t="n">
        <v>0</v>
      </c>
      <c r="V10374" s="2" t="inlineStr"/>
    </row>
    <row r="10375" ht="15" customHeight="1">
      <c r="A10375" t="inlineStr">
        <is>
          <t>A 58727-2025</t>
        </is>
      </c>
      <c r="B10375" t="inlineStr">
        <is>
          <t>avverkningsanmälan</t>
        </is>
      </c>
      <c r="C10375" t="inlineStr">
        <is>
          <t>Föryngringsavverkning</t>
        </is>
      </c>
      <c r="D10375" s="1" t="n">
        <v>45986</v>
      </c>
      <c r="E10375" s="1" t="n">
        <v>46326</v>
      </c>
      <c r="F10375" t="inlineStr">
        <is>
          <t>GÄVLEBORGS LÄN</t>
        </is>
      </c>
      <c r="G10375" t="inlineStr">
        <is>
          <t>OCKELBO</t>
        </is>
      </c>
      <c r="I10375" t="n">
        <v>2.2</v>
      </c>
      <c r="J10375" t="n">
        <v>0</v>
      </c>
      <c r="K10375" t="n">
        <v>0</v>
      </c>
      <c r="L10375" t="n">
        <v>0</v>
      </c>
      <c r="M10375" t="n">
        <v>0</v>
      </c>
      <c r="N10375" t="n">
        <v>0</v>
      </c>
      <c r="O10375" t="n">
        <v>0</v>
      </c>
      <c r="P10375" t="n">
        <v>0</v>
      </c>
      <c r="Q10375" t="n">
        <v>0</v>
      </c>
      <c r="R10375" t="n">
        <v>0</v>
      </c>
      <c r="S10375" t="n">
        <v>0</v>
      </c>
      <c r="T10375" t="n">
        <v>0</v>
      </c>
      <c r="U10375" t="n">
        <v>0</v>
      </c>
      <c r="V10375" s="2" t="inlineStr"/>
    </row>
    <row r="10376" ht="15" customHeight="1">
      <c r="A10376" t="inlineStr">
        <is>
          <t>A 21367-2026</t>
        </is>
      </c>
      <c r="B10376" t="inlineStr">
        <is>
          <t>avverkningsanmälan</t>
        </is>
      </c>
      <c r="C10376" t="inlineStr">
        <is>
          <t>Föryngringsavverkning</t>
        </is>
      </c>
      <c r="D10376" s="1" t="n">
        <v>46147</v>
      </c>
      <c r="E10376" s="1" t="n">
        <v>46326</v>
      </c>
      <c r="F10376" t="inlineStr">
        <is>
          <t>GÄVLEBORGS LÄN</t>
        </is>
      </c>
      <c r="G10376" t="inlineStr">
        <is>
          <t>GÄVLE</t>
        </is>
      </c>
      <c r="H10376" t="inlineStr">
        <is>
          <t>Bergvik skog öst AB</t>
        </is>
      </c>
      <c r="I10376" t="n">
        <v>12.8</v>
      </c>
      <c r="J10376" t="n">
        <v>0</v>
      </c>
      <c r="K10376" t="n">
        <v>0</v>
      </c>
      <c r="L10376" t="n">
        <v>0</v>
      </c>
      <c r="M10376" t="n">
        <v>0</v>
      </c>
      <c r="N10376" t="n">
        <v>0</v>
      </c>
      <c r="O10376" t="n">
        <v>0</v>
      </c>
      <c r="P10376" t="n">
        <v>0</v>
      </c>
      <c r="Q10376" t="n">
        <v>0</v>
      </c>
      <c r="R10376" t="n">
        <v>0</v>
      </c>
      <c r="S10376" t="n">
        <v>0</v>
      </c>
      <c r="T10376" t="n">
        <v>0</v>
      </c>
      <c r="U10376" t="n">
        <v>0</v>
      </c>
      <c r="V10376" s="2" t="inlineStr"/>
    </row>
    <row r="10377" ht="15" customHeight="1">
      <c r="A10377" t="inlineStr">
        <is>
          <t>A 6887-2026</t>
        </is>
      </c>
      <c r="B10377" t="inlineStr">
        <is>
          <t>avverkningsanmälan</t>
        </is>
      </c>
      <c r="C10377" t="inlineStr">
        <is>
          <t>Föryngringsavverkning</t>
        </is>
      </c>
      <c r="D10377" s="1" t="n">
        <v>46057</v>
      </c>
      <c r="E10377" s="1" t="n">
        <v>46326</v>
      </c>
      <c r="F10377" t="inlineStr">
        <is>
          <t>GÄVLEBORGS LÄN</t>
        </is>
      </c>
      <c r="G10377" t="inlineStr">
        <is>
          <t>BOLLNÄS</t>
        </is>
      </c>
      <c r="I10377" t="n">
        <v>1.3</v>
      </c>
      <c r="J10377" t="n">
        <v>0</v>
      </c>
      <c r="K10377" t="n">
        <v>0</v>
      </c>
      <c r="L10377" t="n">
        <v>0</v>
      </c>
      <c r="M10377" t="n">
        <v>0</v>
      </c>
      <c r="N10377" t="n">
        <v>0</v>
      </c>
      <c r="O10377" t="n">
        <v>0</v>
      </c>
      <c r="P10377" t="n">
        <v>0</v>
      </c>
      <c r="Q10377" t="n">
        <v>0</v>
      </c>
      <c r="R10377" t="n">
        <v>0</v>
      </c>
      <c r="S10377" t="n">
        <v>0</v>
      </c>
      <c r="T10377" t="n">
        <v>0</v>
      </c>
      <c r="U10377" t="n">
        <v>0</v>
      </c>
      <c r="V10377" s="2" t="inlineStr"/>
    </row>
    <row r="10378" ht="15" customHeight="1">
      <c r="A10378" t="inlineStr">
        <is>
          <t>A 34845-2026</t>
        </is>
      </c>
      <c r="B10378" t="inlineStr">
        <is>
          <t>avverkningsanmälan</t>
        </is>
      </c>
      <c r="C10378" t="inlineStr">
        <is>
          <t>Föryngringsavverkning</t>
        </is>
      </c>
      <c r="D10378" s="1" t="n">
        <v>46258</v>
      </c>
      <c r="E10378" s="1" t="n">
        <v>46326</v>
      </c>
      <c r="F10378" t="inlineStr">
        <is>
          <t>GÄVLEBORGS LÄN</t>
        </is>
      </c>
      <c r="G10378" t="inlineStr">
        <is>
          <t>BOLLNÄS</t>
        </is>
      </c>
      <c r="H10378" t="inlineStr">
        <is>
          <t>Sveaskog</t>
        </is>
      </c>
      <c r="I10378" t="n">
        <v>3</v>
      </c>
      <c r="J10378" t="n">
        <v>0</v>
      </c>
      <c r="K10378" t="n">
        <v>0</v>
      </c>
      <c r="L10378" t="n">
        <v>0</v>
      </c>
      <c r="M10378" t="n">
        <v>0</v>
      </c>
      <c r="N10378" t="n">
        <v>0</v>
      </c>
      <c r="O10378" t="n">
        <v>0</v>
      </c>
      <c r="P10378" t="n">
        <v>0</v>
      </c>
      <c r="Q10378" t="n">
        <v>0</v>
      </c>
      <c r="R10378" t="n">
        <v>0</v>
      </c>
      <c r="S10378" t="n">
        <v>0</v>
      </c>
      <c r="T10378" t="n">
        <v>0</v>
      </c>
      <c r="U10378" t="n">
        <v>0</v>
      </c>
      <c r="V10378" s="2" t="inlineStr"/>
    </row>
    <row r="10379" ht="15" customHeight="1">
      <c r="A10379" t="inlineStr">
        <is>
          <t>A 20228-2026</t>
        </is>
      </c>
      <c r="B10379" t="inlineStr">
        <is>
          <t>avverkningsanmälan</t>
        </is>
      </c>
      <c r="C10379" t="inlineStr">
        <is>
          <t>Föryngringsavverkning</t>
        </is>
      </c>
      <c r="D10379" s="1" t="n">
        <v>46139</v>
      </c>
      <c r="E10379" s="1" t="n">
        <v>46326</v>
      </c>
      <c r="F10379" t="inlineStr">
        <is>
          <t>GÄVLEBORGS LÄN</t>
        </is>
      </c>
      <c r="G10379" t="inlineStr">
        <is>
          <t>BOLLNÄS</t>
        </is>
      </c>
      <c r="I10379" t="n">
        <v>13.5</v>
      </c>
      <c r="J10379" t="n">
        <v>0</v>
      </c>
      <c r="K10379" t="n">
        <v>0</v>
      </c>
      <c r="L10379" t="n">
        <v>0</v>
      </c>
      <c r="M10379" t="n">
        <v>0</v>
      </c>
      <c r="N10379" t="n">
        <v>0</v>
      </c>
      <c r="O10379" t="n">
        <v>0</v>
      </c>
      <c r="P10379" t="n">
        <v>0</v>
      </c>
      <c r="Q10379" t="n">
        <v>0</v>
      </c>
      <c r="R10379" t="n">
        <v>0</v>
      </c>
      <c r="S10379" t="n">
        <v>0</v>
      </c>
      <c r="T10379" t="n">
        <v>0</v>
      </c>
      <c r="U10379" t="n">
        <v>0</v>
      </c>
      <c r="V10379" s="2" t="inlineStr"/>
    </row>
    <row r="10380" ht="15" customHeight="1">
      <c r="A10380" t="inlineStr">
        <is>
          <t>A 21682-2026</t>
        </is>
      </c>
      <c r="B10380" t="inlineStr">
        <is>
          <t>avverkningsanmälan</t>
        </is>
      </c>
      <c r="C10380" t="inlineStr">
        <is>
          <t>Föryngringsavverkning</t>
        </is>
      </c>
      <c r="D10380" s="1" t="n">
        <v>46149</v>
      </c>
      <c r="E10380" s="1" t="n">
        <v>46326</v>
      </c>
      <c r="F10380" t="inlineStr">
        <is>
          <t>GÄVLEBORGS LÄN</t>
        </is>
      </c>
      <c r="G10380" t="inlineStr">
        <is>
          <t>BOLLNÄS</t>
        </is>
      </c>
      <c r="I10380" t="n">
        <v>1.7</v>
      </c>
      <c r="J10380" t="n">
        <v>0</v>
      </c>
      <c r="K10380" t="n">
        <v>0</v>
      </c>
      <c r="L10380" t="n">
        <v>0</v>
      </c>
      <c r="M10380" t="n">
        <v>0</v>
      </c>
      <c r="N10380" t="n">
        <v>0</v>
      </c>
      <c r="O10380" t="n">
        <v>0</v>
      </c>
      <c r="P10380" t="n">
        <v>0</v>
      </c>
      <c r="Q10380" t="n">
        <v>0</v>
      </c>
      <c r="R10380" t="n">
        <v>0</v>
      </c>
      <c r="S10380" t="n">
        <v>0</v>
      </c>
      <c r="T10380" t="n">
        <v>0</v>
      </c>
      <c r="U10380" t="n">
        <v>0</v>
      </c>
      <c r="V10380" s="2" t="inlineStr"/>
    </row>
    <row r="10381" ht="15" customHeight="1">
      <c r="A10381" t="inlineStr">
        <is>
          <t>A 21693-2026</t>
        </is>
      </c>
      <c r="B10381" t="inlineStr">
        <is>
          <t>avverkningsanmälan</t>
        </is>
      </c>
      <c r="C10381" t="inlineStr">
        <is>
          <t>Föryngringsavverkning</t>
        </is>
      </c>
      <c r="D10381" s="1" t="n">
        <v>46149</v>
      </c>
      <c r="E10381" s="1" t="n">
        <v>46326</v>
      </c>
      <c r="F10381" t="inlineStr">
        <is>
          <t>GÄVLEBORGS LÄN</t>
        </is>
      </c>
      <c r="G10381" t="inlineStr">
        <is>
          <t>BOLLNÄS</t>
        </is>
      </c>
      <c r="I10381" t="n">
        <v>1.6</v>
      </c>
      <c r="J10381" t="n">
        <v>0</v>
      </c>
      <c r="K10381" t="n">
        <v>0</v>
      </c>
      <c r="L10381" t="n">
        <v>0</v>
      </c>
      <c r="M10381" t="n">
        <v>0</v>
      </c>
      <c r="N10381" t="n">
        <v>0</v>
      </c>
      <c r="O10381" t="n">
        <v>0</v>
      </c>
      <c r="P10381" t="n">
        <v>0</v>
      </c>
      <c r="Q10381" t="n">
        <v>0</v>
      </c>
      <c r="R10381" t="n">
        <v>0</v>
      </c>
      <c r="S10381" t="n">
        <v>0</v>
      </c>
      <c r="T10381" t="n">
        <v>0</v>
      </c>
      <c r="U10381" t="n">
        <v>0</v>
      </c>
      <c r="V10381" s="2" t="inlineStr"/>
    </row>
    <row r="10382" ht="15" customHeight="1">
      <c r="A10382" t="inlineStr">
        <is>
          <t>A 22300-2026</t>
        </is>
      </c>
      <c r="B10382" t="inlineStr">
        <is>
          <t>avverkningsanmälan</t>
        </is>
      </c>
      <c r="C10382" t="inlineStr">
        <is>
          <t>Föryngringsavverkning</t>
        </is>
      </c>
      <c r="D10382" s="1" t="n">
        <v>46154</v>
      </c>
      <c r="E10382" s="1" t="n">
        <v>46326</v>
      </c>
      <c r="F10382" t="inlineStr">
        <is>
          <t>GÄVLEBORGS LÄN</t>
        </is>
      </c>
      <c r="G10382" t="inlineStr">
        <is>
          <t>BOLLNÄS</t>
        </is>
      </c>
      <c r="I10382" t="n">
        <v>3.8</v>
      </c>
      <c r="J10382" t="n">
        <v>0</v>
      </c>
      <c r="K10382" t="n">
        <v>0</v>
      </c>
      <c r="L10382" t="n">
        <v>0</v>
      </c>
      <c r="M10382" t="n">
        <v>0</v>
      </c>
      <c r="N10382" t="n">
        <v>0</v>
      </c>
      <c r="O10382" t="n">
        <v>0</v>
      </c>
      <c r="P10382" t="n">
        <v>0</v>
      </c>
      <c r="Q10382" t="n">
        <v>0</v>
      </c>
      <c r="R10382" t="n">
        <v>0</v>
      </c>
      <c r="S10382" t="n">
        <v>0</v>
      </c>
      <c r="T10382" t="n">
        <v>0</v>
      </c>
      <c r="U10382" t="n">
        <v>0</v>
      </c>
      <c r="V10382" s="2" t="inlineStr"/>
    </row>
    <row r="10383" ht="15" customHeight="1">
      <c r="A10383" t="inlineStr">
        <is>
          <t>A 22301-2026</t>
        </is>
      </c>
      <c r="B10383" t="inlineStr">
        <is>
          <t>avverkningsanmälan</t>
        </is>
      </c>
      <c r="C10383" t="inlineStr">
        <is>
          <t>Föryngringsavverkning</t>
        </is>
      </c>
      <c r="D10383" s="1" t="n">
        <v>46154</v>
      </c>
      <c r="E10383" s="1" t="n">
        <v>46326</v>
      </c>
      <c r="F10383" t="inlineStr">
        <is>
          <t>GÄVLEBORGS LÄN</t>
        </is>
      </c>
      <c r="G10383" t="inlineStr">
        <is>
          <t>BOLLNÄS</t>
        </is>
      </c>
      <c r="I10383" t="n">
        <v>4</v>
      </c>
      <c r="J10383" t="n">
        <v>0</v>
      </c>
      <c r="K10383" t="n">
        <v>0</v>
      </c>
      <c r="L10383" t="n">
        <v>0</v>
      </c>
      <c r="M10383" t="n">
        <v>0</v>
      </c>
      <c r="N10383" t="n">
        <v>0</v>
      </c>
      <c r="O10383" t="n">
        <v>0</v>
      </c>
      <c r="P10383" t="n">
        <v>0</v>
      </c>
      <c r="Q10383" t="n">
        <v>0</v>
      </c>
      <c r="R10383" t="n">
        <v>0</v>
      </c>
      <c r="S10383" t="n">
        <v>0</v>
      </c>
      <c r="T10383" t="n">
        <v>0</v>
      </c>
      <c r="U10383" t="n">
        <v>0</v>
      </c>
      <c r="V10383" s="2" t="inlineStr"/>
    </row>
    <row r="10384" ht="15" customHeight="1">
      <c r="A10384" t="inlineStr">
        <is>
          <t>A 34693-2026</t>
        </is>
      </c>
      <c r="B10384" t="inlineStr">
        <is>
          <t>avverkningsanmälan</t>
        </is>
      </c>
      <c r="C10384" t="inlineStr">
        <is>
          <t>Föryngringsavverkning</t>
        </is>
      </c>
      <c r="D10384" s="1" t="n">
        <v>46258</v>
      </c>
      <c r="E10384" s="1" t="n">
        <v>46326</v>
      </c>
      <c r="F10384" t="inlineStr">
        <is>
          <t>GÄVLEBORGS LÄN</t>
        </is>
      </c>
      <c r="G10384" t="inlineStr">
        <is>
          <t>NORDANSTIG</t>
        </is>
      </c>
      <c r="I10384" t="n">
        <v>9.199999999999999</v>
      </c>
      <c r="J10384" t="n">
        <v>0</v>
      </c>
      <c r="K10384" t="n">
        <v>0</v>
      </c>
      <c r="L10384" t="n">
        <v>0</v>
      </c>
      <c r="M10384" t="n">
        <v>0</v>
      </c>
      <c r="N10384" t="n">
        <v>0</v>
      </c>
      <c r="O10384" t="n">
        <v>0</v>
      </c>
      <c r="P10384" t="n">
        <v>0</v>
      </c>
      <c r="Q10384" t="n">
        <v>0</v>
      </c>
      <c r="R10384" t="n">
        <v>0</v>
      </c>
      <c r="S10384" t="n">
        <v>0</v>
      </c>
      <c r="T10384" t="n">
        <v>0</v>
      </c>
      <c r="U10384" t="n">
        <v>0</v>
      </c>
      <c r="V10384" s="2" t="inlineStr"/>
    </row>
    <row r="10385" ht="15" customHeight="1">
      <c r="A10385" t="inlineStr">
        <is>
          <t>A 30600-2026</t>
        </is>
      </c>
      <c r="B10385" t="inlineStr">
        <is>
          <t>avverkningsanmälan</t>
        </is>
      </c>
      <c r="C10385" t="inlineStr">
        <is>
          <t>Föryngringsavverkning</t>
        </is>
      </c>
      <c r="D10385" s="1" t="n">
        <v>46210</v>
      </c>
      <c r="E10385" s="1" t="n">
        <v>46326</v>
      </c>
      <c r="F10385" t="inlineStr">
        <is>
          <t>GÄVLEBORGS LÄN</t>
        </is>
      </c>
      <c r="G10385" t="inlineStr">
        <is>
          <t>GÄVLE</t>
        </is>
      </c>
      <c r="H10385" t="inlineStr">
        <is>
          <t>Bergvik skog öst AB</t>
        </is>
      </c>
      <c r="I10385" t="n">
        <v>2.5</v>
      </c>
      <c r="J10385" t="n">
        <v>0</v>
      </c>
      <c r="K10385" t="n">
        <v>0</v>
      </c>
      <c r="L10385" t="n">
        <v>0</v>
      </c>
      <c r="M10385" t="n">
        <v>0</v>
      </c>
      <c r="N10385" t="n">
        <v>0</v>
      </c>
      <c r="O10385" t="n">
        <v>0</v>
      </c>
      <c r="P10385" t="n">
        <v>0</v>
      </c>
      <c r="Q10385" t="n">
        <v>0</v>
      </c>
      <c r="R10385" t="n">
        <v>0</v>
      </c>
      <c r="S10385" t="n">
        <v>0</v>
      </c>
      <c r="T10385" t="n">
        <v>0</v>
      </c>
      <c r="U10385" t="n">
        <v>0</v>
      </c>
      <c r="V10385" s="2" t="inlineStr"/>
    </row>
    <row r="10386" ht="15" customHeight="1">
      <c r="A10386" t="inlineStr">
        <is>
          <t>A 41519-2026</t>
        </is>
      </c>
      <c r="B10386" t="inlineStr">
        <is>
          <t>avverkningsanmälan</t>
        </is>
      </c>
      <c r="C10386" t="inlineStr">
        <is>
          <t>Föryngringsavverkning</t>
        </is>
      </c>
      <c r="D10386" s="1" t="n">
        <v>46301</v>
      </c>
      <c r="E10386" s="1" t="n">
        <v>46326</v>
      </c>
      <c r="F10386" t="inlineStr">
        <is>
          <t>GÄVLEBORGS LÄN</t>
        </is>
      </c>
      <c r="G10386" t="inlineStr">
        <is>
          <t>LJUSDAL</t>
        </is>
      </c>
      <c r="H10386" t="inlineStr">
        <is>
          <t>Sveaskog</t>
        </is>
      </c>
      <c r="I10386" t="n">
        <v>1.7</v>
      </c>
      <c r="J10386" t="n">
        <v>0</v>
      </c>
      <c r="K10386" t="n">
        <v>0</v>
      </c>
      <c r="L10386" t="n">
        <v>0</v>
      </c>
      <c r="M10386" t="n">
        <v>0</v>
      </c>
      <c r="N10386" t="n">
        <v>0</v>
      </c>
      <c r="O10386" t="n">
        <v>0</v>
      </c>
      <c r="P10386" t="n">
        <v>0</v>
      </c>
      <c r="Q10386" t="n">
        <v>0</v>
      </c>
      <c r="R10386" t="n">
        <v>0</v>
      </c>
      <c r="S10386" t="n">
        <v>0</v>
      </c>
      <c r="T10386" t="n">
        <v>0</v>
      </c>
      <c r="U10386" t="n">
        <v>0</v>
      </c>
      <c r="V10386" s="2" t="inlineStr"/>
    </row>
    <row r="10387" ht="15" customHeight="1">
      <c r="A10387" t="inlineStr">
        <is>
          <t>A 21539-2026</t>
        </is>
      </c>
      <c r="B10387" t="inlineStr">
        <is>
          <t>avverkningsanmälan</t>
        </is>
      </c>
      <c r="C10387" t="inlineStr">
        <is>
          <t>Föryngringsavverkning</t>
        </is>
      </c>
      <c r="D10387" s="1" t="n">
        <v>46148</v>
      </c>
      <c r="E10387" s="1" t="n">
        <v>46326</v>
      </c>
      <c r="F10387" t="inlineStr">
        <is>
          <t>GÄVLEBORGS LÄN</t>
        </is>
      </c>
      <c r="G10387" t="inlineStr">
        <is>
          <t>HUDIKSVALL</t>
        </is>
      </c>
      <c r="I10387" t="n">
        <v>1.2</v>
      </c>
      <c r="J10387" t="n">
        <v>0</v>
      </c>
      <c r="K10387" t="n">
        <v>0</v>
      </c>
      <c r="L10387" t="n">
        <v>0</v>
      </c>
      <c r="M10387" t="n">
        <v>0</v>
      </c>
      <c r="N10387" t="n">
        <v>0</v>
      </c>
      <c r="O10387" t="n">
        <v>0</v>
      </c>
      <c r="P10387" t="n">
        <v>0</v>
      </c>
      <c r="Q10387" t="n">
        <v>0</v>
      </c>
      <c r="R10387" t="n">
        <v>0</v>
      </c>
      <c r="S10387" t="n">
        <v>0</v>
      </c>
      <c r="T10387" t="n">
        <v>0</v>
      </c>
      <c r="U10387" t="n">
        <v>0</v>
      </c>
      <c r="V10387" s="2" t="inlineStr"/>
    </row>
    <row r="10388" ht="15" customHeight="1">
      <c r="A10388" t="inlineStr">
        <is>
          <t>A 22970-2026</t>
        </is>
      </c>
      <c r="B10388" t="inlineStr">
        <is>
          <t>avverkningsanmälan</t>
        </is>
      </c>
      <c r="C10388" t="inlineStr">
        <is>
          <t>Föryngringsavverkning</t>
        </is>
      </c>
      <c r="D10388" s="1" t="n">
        <v>46160</v>
      </c>
      <c r="E10388" s="1" t="n">
        <v>46326</v>
      </c>
      <c r="F10388" t="inlineStr">
        <is>
          <t>GÄVLEBORGS LÄN</t>
        </is>
      </c>
      <c r="G10388" t="inlineStr">
        <is>
          <t>OVANÅKER</t>
        </is>
      </c>
      <c r="I10388" t="n">
        <v>6.3</v>
      </c>
      <c r="J10388" t="n">
        <v>0</v>
      </c>
      <c r="K10388" t="n">
        <v>0</v>
      </c>
      <c r="L10388" t="n">
        <v>0</v>
      </c>
      <c r="M10388" t="n">
        <v>0</v>
      </c>
      <c r="N10388" t="n">
        <v>0</v>
      </c>
      <c r="O10388" t="n">
        <v>0</v>
      </c>
      <c r="P10388" t="n">
        <v>0</v>
      </c>
      <c r="Q10388" t="n">
        <v>0</v>
      </c>
      <c r="R10388" t="n">
        <v>0</v>
      </c>
      <c r="S10388" t="n">
        <v>0</v>
      </c>
      <c r="T10388" t="n">
        <v>0</v>
      </c>
      <c r="U10388" t="n">
        <v>0</v>
      </c>
      <c r="V10388" s="2" t="inlineStr"/>
    </row>
    <row r="10389" ht="15" customHeight="1">
      <c r="A10389" t="inlineStr">
        <is>
          <t>A 12656-2026</t>
        </is>
      </c>
      <c r="B10389" t="inlineStr">
        <is>
          <t>avverkningsanmälan</t>
        </is>
      </c>
      <c r="C10389" t="inlineStr">
        <is>
          <t>Föryngringsavverkning</t>
        </is>
      </c>
      <c r="D10389" s="1" t="n">
        <v>46091</v>
      </c>
      <c r="E10389" s="1" t="n">
        <v>46326</v>
      </c>
      <c r="F10389" t="inlineStr">
        <is>
          <t>GÄVLEBORGS LÄN</t>
        </is>
      </c>
      <c r="G10389" t="inlineStr">
        <is>
          <t>SANDVIKEN</t>
        </is>
      </c>
      <c r="H10389" t="inlineStr">
        <is>
          <t>Naturvårdsverket</t>
        </is>
      </c>
      <c r="I10389" t="n">
        <v>7</v>
      </c>
      <c r="J10389" t="n">
        <v>0</v>
      </c>
      <c r="K10389" t="n">
        <v>0</v>
      </c>
      <c r="L10389" t="n">
        <v>0</v>
      </c>
      <c r="M10389" t="n">
        <v>0</v>
      </c>
      <c r="N10389" t="n">
        <v>0</v>
      </c>
      <c r="O10389" t="n">
        <v>0</v>
      </c>
      <c r="P10389" t="n">
        <v>0</v>
      </c>
      <c r="Q10389" t="n">
        <v>0</v>
      </c>
      <c r="R10389" t="n">
        <v>0</v>
      </c>
      <c r="S10389" t="n">
        <v>0</v>
      </c>
      <c r="T10389" t="n">
        <v>0</v>
      </c>
      <c r="U10389" t="n">
        <v>0</v>
      </c>
      <c r="V10389" s="2" t="inlineStr"/>
    </row>
    <row r="10390" ht="15" customHeight="1">
      <c r="A10390" t="inlineStr">
        <is>
          <t>A 21700-2026</t>
        </is>
      </c>
      <c r="B10390" t="inlineStr">
        <is>
          <t>avverkningsanmälan</t>
        </is>
      </c>
      <c r="C10390" t="inlineStr">
        <is>
          <t>Föryngringsavverkning</t>
        </is>
      </c>
      <c r="D10390" s="1" t="n">
        <v>46149</v>
      </c>
      <c r="E10390" s="1" t="n">
        <v>46326</v>
      </c>
      <c r="F10390" t="inlineStr">
        <is>
          <t>GÄVLEBORGS LÄN</t>
        </is>
      </c>
      <c r="G10390" t="inlineStr">
        <is>
          <t>BOLLNÄS</t>
        </is>
      </c>
      <c r="I10390" t="n">
        <v>4.5</v>
      </c>
      <c r="J10390" t="n">
        <v>0</v>
      </c>
      <c r="K10390" t="n">
        <v>0</v>
      </c>
      <c r="L10390" t="n">
        <v>0</v>
      </c>
      <c r="M10390" t="n">
        <v>0</v>
      </c>
      <c r="N10390" t="n">
        <v>0</v>
      </c>
      <c r="O10390" t="n">
        <v>0</v>
      </c>
      <c r="P10390" t="n">
        <v>0</v>
      </c>
      <c r="Q10390" t="n">
        <v>0</v>
      </c>
      <c r="R10390" t="n">
        <v>0</v>
      </c>
      <c r="S10390" t="n">
        <v>0</v>
      </c>
      <c r="T10390" t="n">
        <v>0</v>
      </c>
      <c r="U10390" t="n">
        <v>0</v>
      </c>
      <c r="V10390" s="2" t="inlineStr"/>
    </row>
    <row r="10391" ht="15" customHeight="1">
      <c r="A10391" t="inlineStr">
        <is>
          <t>A 22496-2026</t>
        </is>
      </c>
      <c r="B10391" t="inlineStr">
        <is>
          <t>avverkningsanmälan</t>
        </is>
      </c>
      <c r="C10391" t="inlineStr">
        <is>
          <t>Föryngringsavverkning</t>
        </is>
      </c>
      <c r="D10391" s="1" t="n">
        <v>46155</v>
      </c>
      <c r="E10391" s="1" t="n">
        <v>46326</v>
      </c>
      <c r="F10391" t="inlineStr">
        <is>
          <t>GÄVLEBORGS LÄN</t>
        </is>
      </c>
      <c r="G10391" t="inlineStr">
        <is>
          <t>BOLLNÄS</t>
        </is>
      </c>
      <c r="I10391" t="n">
        <v>2.5</v>
      </c>
      <c r="J10391" t="n">
        <v>0</v>
      </c>
      <c r="K10391" t="n">
        <v>0</v>
      </c>
      <c r="L10391" t="n">
        <v>0</v>
      </c>
      <c r="M10391" t="n">
        <v>0</v>
      </c>
      <c r="N10391" t="n">
        <v>0</v>
      </c>
      <c r="O10391" t="n">
        <v>0</v>
      </c>
      <c r="P10391" t="n">
        <v>0</v>
      </c>
      <c r="Q10391" t="n">
        <v>0</v>
      </c>
      <c r="R10391" t="n">
        <v>0</v>
      </c>
      <c r="S10391" t="n">
        <v>0</v>
      </c>
      <c r="T10391" t="n">
        <v>0</v>
      </c>
      <c r="U10391" t="n">
        <v>0</v>
      </c>
      <c r="V10391" s="2" t="inlineStr"/>
    </row>
    <row r="10392" ht="15" customHeight="1">
      <c r="A10392" t="inlineStr">
        <is>
          <t>A 13580-2026</t>
        </is>
      </c>
      <c r="B10392" t="inlineStr">
        <is>
          <t>avverkningsanmälan</t>
        </is>
      </c>
      <c r="C10392" t="inlineStr">
        <is>
          <t>Föryngringsavverkning</t>
        </is>
      </c>
      <c r="D10392" s="1" t="n">
        <v>46095</v>
      </c>
      <c r="E10392" s="1" t="n">
        <v>46326</v>
      </c>
      <c r="F10392" t="inlineStr">
        <is>
          <t>GÄVLEBORGS LÄN</t>
        </is>
      </c>
      <c r="G10392" t="inlineStr">
        <is>
          <t>SANDVIKEN</t>
        </is>
      </c>
      <c r="I10392" t="n">
        <v>2.7</v>
      </c>
      <c r="J10392" t="n">
        <v>0</v>
      </c>
      <c r="K10392" t="n">
        <v>0</v>
      </c>
      <c r="L10392" t="n">
        <v>0</v>
      </c>
      <c r="M10392" t="n">
        <v>0</v>
      </c>
      <c r="N10392" t="n">
        <v>0</v>
      </c>
      <c r="O10392" t="n">
        <v>0</v>
      </c>
      <c r="P10392" t="n">
        <v>0</v>
      </c>
      <c r="Q10392" t="n">
        <v>0</v>
      </c>
      <c r="R10392" t="n">
        <v>0</v>
      </c>
      <c r="S10392" t="n">
        <v>0</v>
      </c>
      <c r="T10392" t="n">
        <v>0</v>
      </c>
      <c r="U10392" t="n">
        <v>0</v>
      </c>
      <c r="V10392" s="2" t="inlineStr"/>
    </row>
    <row r="10393" ht="15" customHeight="1">
      <c r="A10393" t="inlineStr">
        <is>
          <t>A 21132-2026</t>
        </is>
      </c>
      <c r="B10393" t="inlineStr">
        <is>
          <t>avverkningsanmälan</t>
        </is>
      </c>
      <c r="C10393" t="inlineStr">
        <is>
          <t>Avverkning för annat ändamål</t>
        </is>
      </c>
      <c r="D10393" s="1" t="n">
        <v>46146</v>
      </c>
      <c r="E10393" s="1" t="n">
        <v>46326</v>
      </c>
      <c r="F10393" t="inlineStr">
        <is>
          <t>GÄVLEBORGS LÄN</t>
        </is>
      </c>
      <c r="G10393" t="inlineStr">
        <is>
          <t>LJUSDAL</t>
        </is>
      </c>
      <c r="I10393" t="n">
        <v>0.7</v>
      </c>
      <c r="J10393" t="n">
        <v>0</v>
      </c>
      <c r="K10393" t="n">
        <v>0</v>
      </c>
      <c r="L10393" t="n">
        <v>0</v>
      </c>
      <c r="M10393" t="n">
        <v>0</v>
      </c>
      <c r="N10393" t="n">
        <v>0</v>
      </c>
      <c r="O10393" t="n">
        <v>0</v>
      </c>
      <c r="P10393" t="n">
        <v>0</v>
      </c>
      <c r="Q10393" t="n">
        <v>0</v>
      </c>
      <c r="R10393" t="n">
        <v>0</v>
      </c>
      <c r="S10393" t="n">
        <v>0</v>
      </c>
      <c r="T10393" t="n">
        <v>0</v>
      </c>
      <c r="U10393" t="n">
        <v>0</v>
      </c>
      <c r="V10393" s="2" t="inlineStr"/>
    </row>
    <row r="10394" ht="15" customHeight="1">
      <c r="A10394" t="inlineStr">
        <is>
          <t>A 34735-2026</t>
        </is>
      </c>
      <c r="B10394" t="inlineStr">
        <is>
          <t>avverkningsanmälan</t>
        </is>
      </c>
      <c r="C10394" t="inlineStr">
        <is>
          <t>Föryngringsavverkning</t>
        </is>
      </c>
      <c r="D10394" s="1" t="n">
        <v>46258</v>
      </c>
      <c r="E10394" s="1" t="n">
        <v>46326</v>
      </c>
      <c r="F10394" t="inlineStr">
        <is>
          <t>GÄVLEBORGS LÄN</t>
        </is>
      </c>
      <c r="G10394" t="inlineStr">
        <is>
          <t>BOLLNÄS</t>
        </is>
      </c>
      <c r="I10394" t="n">
        <v>14.6</v>
      </c>
      <c r="J10394" t="n">
        <v>0</v>
      </c>
      <c r="K10394" t="n">
        <v>0</v>
      </c>
      <c r="L10394" t="n">
        <v>0</v>
      </c>
      <c r="M10394" t="n">
        <v>0</v>
      </c>
      <c r="N10394" t="n">
        <v>0</v>
      </c>
      <c r="O10394" t="n">
        <v>0</v>
      </c>
      <c r="P10394" t="n">
        <v>0</v>
      </c>
      <c r="Q10394" t="n">
        <v>0</v>
      </c>
      <c r="R10394" t="n">
        <v>0</v>
      </c>
      <c r="S10394" t="n">
        <v>0</v>
      </c>
      <c r="T10394" t="n">
        <v>0</v>
      </c>
      <c r="U10394" t="n">
        <v>0</v>
      </c>
      <c r="V10394" s="2" t="inlineStr"/>
    </row>
    <row r="10395" ht="15" customHeight="1">
      <c r="A10395" t="inlineStr">
        <is>
          <t>A 34618-2026</t>
        </is>
      </c>
      <c r="B10395" t="inlineStr">
        <is>
          <t>avverkningsanmälan</t>
        </is>
      </c>
      <c r="C10395" t="inlineStr">
        <is>
          <t>Föryngringsavverkning</t>
        </is>
      </c>
      <c r="D10395" s="1" t="n">
        <v>46255</v>
      </c>
      <c r="E10395" s="1" t="n">
        <v>46326</v>
      </c>
      <c r="F10395" t="inlineStr">
        <is>
          <t>GÄVLEBORGS LÄN</t>
        </is>
      </c>
      <c r="G10395" t="inlineStr">
        <is>
          <t>OVANÅKER</t>
        </is>
      </c>
      <c r="H10395" t="inlineStr">
        <is>
          <t>Bergvik skog väst AB</t>
        </is>
      </c>
      <c r="I10395" t="n">
        <v>1.9</v>
      </c>
      <c r="J10395" t="n">
        <v>0</v>
      </c>
      <c r="K10395" t="n">
        <v>0</v>
      </c>
      <c r="L10395" t="n">
        <v>0</v>
      </c>
      <c r="M10395" t="n">
        <v>0</v>
      </c>
      <c r="N10395" t="n">
        <v>0</v>
      </c>
      <c r="O10395" t="n">
        <v>0</v>
      </c>
      <c r="P10395" t="n">
        <v>0</v>
      </c>
      <c r="Q10395" t="n">
        <v>0</v>
      </c>
      <c r="R10395" t="n">
        <v>0</v>
      </c>
      <c r="S10395" t="n">
        <v>0</v>
      </c>
      <c r="T10395" t="n">
        <v>0</v>
      </c>
      <c r="U10395" t="n">
        <v>0</v>
      </c>
      <c r="V10395" s="2" t="inlineStr"/>
    </row>
    <row r="10396" ht="15" customHeight="1">
      <c r="A10396" t="inlineStr">
        <is>
          <t>A 41536-2026</t>
        </is>
      </c>
      <c r="B10396" t="inlineStr">
        <is>
          <t>avverkningsanmälan</t>
        </is>
      </c>
      <c r="C10396" t="inlineStr">
        <is>
          <t>Föryngringsavverkning</t>
        </is>
      </c>
      <c r="D10396" s="1" t="n">
        <v>46301</v>
      </c>
      <c r="E10396" s="1" t="n">
        <v>46326</v>
      </c>
      <c r="F10396" t="inlineStr">
        <is>
          <t>GÄVLEBORGS LÄN</t>
        </is>
      </c>
      <c r="G10396" t="inlineStr">
        <is>
          <t>OVANÅKER</t>
        </is>
      </c>
      <c r="H10396" t="inlineStr">
        <is>
          <t>Sveaskog</t>
        </is>
      </c>
      <c r="I10396" t="n">
        <v>1.8</v>
      </c>
      <c r="J10396" t="n">
        <v>0</v>
      </c>
      <c r="K10396" t="n">
        <v>0</v>
      </c>
      <c r="L10396" t="n">
        <v>0</v>
      </c>
      <c r="M10396" t="n">
        <v>0</v>
      </c>
      <c r="N10396" t="n">
        <v>0</v>
      </c>
      <c r="O10396" t="n">
        <v>0</v>
      </c>
      <c r="P10396" t="n">
        <v>0</v>
      </c>
      <c r="Q10396" t="n">
        <v>0</v>
      </c>
      <c r="R10396" t="n">
        <v>0</v>
      </c>
      <c r="S10396" t="n">
        <v>0</v>
      </c>
      <c r="T10396" t="n">
        <v>0</v>
      </c>
      <c r="U10396" t="n">
        <v>0</v>
      </c>
      <c r="V10396" s="2" t="inlineStr"/>
    </row>
    <row r="10397" ht="15" customHeight="1">
      <c r="A10397" t="inlineStr">
        <is>
          <t>A 14252-2026</t>
        </is>
      </c>
      <c r="B10397" t="inlineStr">
        <is>
          <t>avverkningsanmälan</t>
        </is>
      </c>
      <c r="C10397" t="inlineStr">
        <is>
          <t>Föryngringsavverkning</t>
        </is>
      </c>
      <c r="D10397" s="1" t="n">
        <v>46099</v>
      </c>
      <c r="E10397" s="1" t="n">
        <v>46326</v>
      </c>
      <c r="F10397" t="inlineStr">
        <is>
          <t>GÄVLEBORGS LÄN</t>
        </is>
      </c>
      <c r="G10397" t="inlineStr">
        <is>
          <t>BOLLNÄS</t>
        </is>
      </c>
      <c r="I10397" t="n">
        <v>1.8</v>
      </c>
      <c r="J10397" t="n">
        <v>0</v>
      </c>
      <c r="K10397" t="n">
        <v>0</v>
      </c>
      <c r="L10397" t="n">
        <v>0</v>
      </c>
      <c r="M10397" t="n">
        <v>0</v>
      </c>
      <c r="N10397" t="n">
        <v>0</v>
      </c>
      <c r="O10397" t="n">
        <v>0</v>
      </c>
      <c r="P10397" t="n">
        <v>0</v>
      </c>
      <c r="Q10397" t="n">
        <v>0</v>
      </c>
      <c r="R10397" t="n">
        <v>0</v>
      </c>
      <c r="S10397" t="n">
        <v>0</v>
      </c>
      <c r="T10397" t="n">
        <v>0</v>
      </c>
      <c r="U10397" t="n">
        <v>0</v>
      </c>
      <c r="V10397" s="2" t="inlineStr"/>
    </row>
    <row r="10398" ht="15" customHeight="1">
      <c r="A10398" t="inlineStr">
        <is>
          <t>A 16871-2026</t>
        </is>
      </c>
      <c r="B10398" t="inlineStr">
        <is>
          <t>avverkningsanmälan</t>
        </is>
      </c>
      <c r="C10398" t="inlineStr">
        <is>
          <t>Föryngringsavverkning</t>
        </is>
      </c>
      <c r="D10398" s="1" t="n">
        <v>46113</v>
      </c>
      <c r="E10398" s="1" t="n">
        <v>46326</v>
      </c>
      <c r="F10398" t="inlineStr">
        <is>
          <t>GÄVLEBORGS LÄN</t>
        </is>
      </c>
      <c r="G10398" t="inlineStr">
        <is>
          <t>BOLLNÄS</t>
        </is>
      </c>
      <c r="I10398" t="n">
        <v>2.2</v>
      </c>
      <c r="J10398" t="n">
        <v>0</v>
      </c>
      <c r="K10398" t="n">
        <v>0</v>
      </c>
      <c r="L10398" t="n">
        <v>0</v>
      </c>
      <c r="M10398" t="n">
        <v>0</v>
      </c>
      <c r="N10398" t="n">
        <v>0</v>
      </c>
      <c r="O10398" t="n">
        <v>0</v>
      </c>
      <c r="P10398" t="n">
        <v>0</v>
      </c>
      <c r="Q10398" t="n">
        <v>0</v>
      </c>
      <c r="R10398" t="n">
        <v>0</v>
      </c>
      <c r="S10398" t="n">
        <v>0</v>
      </c>
      <c r="T10398" t="n">
        <v>0</v>
      </c>
      <c r="U10398" t="n">
        <v>0</v>
      </c>
      <c r="V10398" s="2" t="inlineStr"/>
    </row>
    <row r="10399" ht="15" customHeight="1">
      <c r="A10399" t="inlineStr">
        <is>
          <t>A 18531-2026</t>
        </is>
      </c>
      <c r="B10399" t="inlineStr">
        <is>
          <t>avverkningsanmälan</t>
        </is>
      </c>
      <c r="C10399" t="inlineStr">
        <is>
          <t>Föryngringsavverkning</t>
        </is>
      </c>
      <c r="D10399" s="1" t="n">
        <v>46127</v>
      </c>
      <c r="E10399" s="1" t="n">
        <v>46326</v>
      </c>
      <c r="F10399" t="inlineStr">
        <is>
          <t>GÄVLEBORGS LÄN</t>
        </is>
      </c>
      <c r="G10399" t="inlineStr">
        <is>
          <t>NORDANSTIG</t>
        </is>
      </c>
      <c r="I10399" t="n">
        <v>2.9</v>
      </c>
      <c r="J10399" t="n">
        <v>0</v>
      </c>
      <c r="K10399" t="n">
        <v>0</v>
      </c>
      <c r="L10399" t="n">
        <v>0</v>
      </c>
      <c r="M10399" t="n">
        <v>0</v>
      </c>
      <c r="N10399" t="n">
        <v>0</v>
      </c>
      <c r="O10399" t="n">
        <v>0</v>
      </c>
      <c r="P10399" t="n">
        <v>0</v>
      </c>
      <c r="Q10399" t="n">
        <v>0</v>
      </c>
      <c r="R10399" t="n">
        <v>0</v>
      </c>
      <c r="S10399" t="n">
        <v>0</v>
      </c>
      <c r="T10399" t="n">
        <v>0</v>
      </c>
      <c r="U10399" t="n">
        <v>0</v>
      </c>
      <c r="V10399" s="2" t="inlineStr"/>
    </row>
    <row r="10400" ht="15" customHeight="1">
      <c r="A10400" t="inlineStr">
        <is>
          <t>A 41071-2026</t>
        </is>
      </c>
      <c r="B10400" t="inlineStr">
        <is>
          <t>avverkningsanmälan</t>
        </is>
      </c>
      <c r="C10400" t="inlineStr">
        <is>
          <t>Föryngringsavverkning</t>
        </is>
      </c>
      <c r="D10400" s="1" t="n">
        <v>46300</v>
      </c>
      <c r="E10400" s="1" t="n">
        <v>46326</v>
      </c>
      <c r="F10400" t="inlineStr">
        <is>
          <t>GÄVLEBORGS LÄN</t>
        </is>
      </c>
      <c r="G10400" t="inlineStr">
        <is>
          <t>OCKELBO</t>
        </is>
      </c>
      <c r="I10400" t="n">
        <v>10.1</v>
      </c>
      <c r="J10400" t="n">
        <v>0</v>
      </c>
      <c r="K10400" t="n">
        <v>0</v>
      </c>
      <c r="L10400" t="n">
        <v>0</v>
      </c>
      <c r="M10400" t="n">
        <v>0</v>
      </c>
      <c r="N10400" t="n">
        <v>0</v>
      </c>
      <c r="O10400" t="n">
        <v>0</v>
      </c>
      <c r="P10400" t="n">
        <v>0</v>
      </c>
      <c r="Q10400" t="n">
        <v>0</v>
      </c>
      <c r="R10400" t="n">
        <v>0</v>
      </c>
      <c r="S10400" t="n">
        <v>0</v>
      </c>
      <c r="T10400" t="n">
        <v>0</v>
      </c>
      <c r="U10400" t="n">
        <v>0</v>
      </c>
      <c r="V10400" s="2" t="inlineStr"/>
    </row>
    <row r="10401" ht="15" customHeight="1">
      <c r="A10401" t="inlineStr">
        <is>
          <t>A 41328-2026</t>
        </is>
      </c>
      <c r="B10401" t="inlineStr">
        <is>
          <t>avverkningsanmälan</t>
        </is>
      </c>
      <c r="C10401" t="inlineStr">
        <is>
          <t>Föryngringsavverkning</t>
        </is>
      </c>
      <c r="D10401" s="1" t="n">
        <v>46301</v>
      </c>
      <c r="E10401" s="1" t="n">
        <v>46326</v>
      </c>
      <c r="F10401" t="inlineStr">
        <is>
          <t>GÄVLEBORGS LÄN</t>
        </is>
      </c>
      <c r="G10401" t="inlineStr">
        <is>
          <t>SANDVIKEN</t>
        </is>
      </c>
      <c r="I10401" t="n">
        <v>4</v>
      </c>
      <c r="J10401" t="n">
        <v>0</v>
      </c>
      <c r="K10401" t="n">
        <v>0</v>
      </c>
      <c r="L10401" t="n">
        <v>0</v>
      </c>
      <c r="M10401" t="n">
        <v>0</v>
      </c>
      <c r="N10401" t="n">
        <v>0</v>
      </c>
      <c r="O10401" t="n">
        <v>0</v>
      </c>
      <c r="P10401" t="n">
        <v>0</v>
      </c>
      <c r="Q10401" t="n">
        <v>0</v>
      </c>
      <c r="R10401" t="n">
        <v>0</v>
      </c>
      <c r="S10401" t="n">
        <v>0</v>
      </c>
      <c r="T10401" t="n">
        <v>0</v>
      </c>
      <c r="U10401" t="n">
        <v>0</v>
      </c>
      <c r="V10401" s="2" t="inlineStr"/>
    </row>
    <row r="10402" ht="15" customHeight="1">
      <c r="A10402" t="inlineStr">
        <is>
          <t>A 41396-2026</t>
        </is>
      </c>
      <c r="B10402" t="inlineStr">
        <is>
          <t>avverkningsanmälan</t>
        </is>
      </c>
      <c r="C10402" t="inlineStr">
        <is>
          <t>Föryngringsavverkning</t>
        </is>
      </c>
      <c r="D10402" s="1" t="n">
        <v>46301</v>
      </c>
      <c r="E10402" s="1" t="n">
        <v>46326</v>
      </c>
      <c r="F10402" t="inlineStr">
        <is>
          <t>GÄVLEBORGS LÄN</t>
        </is>
      </c>
      <c r="G10402" t="inlineStr">
        <is>
          <t>BOLLNÄS</t>
        </is>
      </c>
      <c r="I10402" t="n">
        <v>3.2</v>
      </c>
      <c r="J10402" t="n">
        <v>0</v>
      </c>
      <c r="K10402" t="n">
        <v>0</v>
      </c>
      <c r="L10402" t="n">
        <v>0</v>
      </c>
      <c r="M10402" t="n">
        <v>0</v>
      </c>
      <c r="N10402" t="n">
        <v>0</v>
      </c>
      <c r="O10402" t="n">
        <v>0</v>
      </c>
      <c r="P10402" t="n">
        <v>0</v>
      </c>
      <c r="Q10402" t="n">
        <v>0</v>
      </c>
      <c r="R10402" t="n">
        <v>0</v>
      </c>
      <c r="S10402" t="n">
        <v>0</v>
      </c>
      <c r="T10402" t="n">
        <v>0</v>
      </c>
      <c r="U10402" t="n">
        <v>0</v>
      </c>
      <c r="V10402" s="2" t="inlineStr"/>
    </row>
    <row r="10403" ht="15" customHeight="1">
      <c r="A10403" t="inlineStr">
        <is>
          <t>A 20086-2026</t>
        </is>
      </c>
      <c r="B10403" t="inlineStr">
        <is>
          <t>avverkningsanmälan</t>
        </is>
      </c>
      <c r="C10403" t="inlineStr">
        <is>
          <t>Föryngringsavverkning</t>
        </is>
      </c>
      <c r="D10403" s="1" t="n">
        <v>46136</v>
      </c>
      <c r="E10403" s="1" t="n">
        <v>46326</v>
      </c>
      <c r="F10403" t="inlineStr">
        <is>
          <t>GÄVLEBORGS LÄN</t>
        </is>
      </c>
      <c r="G10403" t="inlineStr">
        <is>
          <t>BOLLNÄS</t>
        </is>
      </c>
      <c r="I10403" t="n">
        <v>1.8</v>
      </c>
      <c r="J10403" t="n">
        <v>0</v>
      </c>
      <c r="K10403" t="n">
        <v>0</v>
      </c>
      <c r="L10403" t="n">
        <v>0</v>
      </c>
      <c r="M10403" t="n">
        <v>0</v>
      </c>
      <c r="N10403" t="n">
        <v>0</v>
      </c>
      <c r="O10403" t="n">
        <v>0</v>
      </c>
      <c r="P10403" t="n">
        <v>0</v>
      </c>
      <c r="Q10403" t="n">
        <v>0</v>
      </c>
      <c r="R10403" t="n">
        <v>0</v>
      </c>
      <c r="S10403" t="n">
        <v>0</v>
      </c>
      <c r="T10403" t="n">
        <v>0</v>
      </c>
      <c r="U10403" t="n">
        <v>0</v>
      </c>
      <c r="V10403" s="2" t="inlineStr"/>
    </row>
    <row r="10404" ht="15" customHeight="1">
      <c r="A10404" t="inlineStr">
        <is>
          <t>A 34498-2026</t>
        </is>
      </c>
      <c r="B10404" t="inlineStr">
        <is>
          <t>avverkningsanmälan</t>
        </is>
      </c>
      <c r="C10404" t="inlineStr">
        <is>
          <t>Föryngringsavverkning</t>
        </is>
      </c>
      <c r="D10404" s="1" t="n">
        <v>46255</v>
      </c>
      <c r="E10404" s="1" t="n">
        <v>46326</v>
      </c>
      <c r="F10404" t="inlineStr">
        <is>
          <t>GÄVLEBORGS LÄN</t>
        </is>
      </c>
      <c r="G10404" t="inlineStr">
        <is>
          <t>LJUSDAL</t>
        </is>
      </c>
      <c r="H10404" t="inlineStr">
        <is>
          <t>Sveaskog</t>
        </is>
      </c>
      <c r="I10404" t="n">
        <v>4</v>
      </c>
      <c r="J10404" t="n">
        <v>0</v>
      </c>
      <c r="K10404" t="n">
        <v>0</v>
      </c>
      <c r="L10404" t="n">
        <v>0</v>
      </c>
      <c r="M10404" t="n">
        <v>0</v>
      </c>
      <c r="N10404" t="n">
        <v>0</v>
      </c>
      <c r="O10404" t="n">
        <v>0</v>
      </c>
      <c r="P10404" t="n">
        <v>0</v>
      </c>
      <c r="Q10404" t="n">
        <v>0</v>
      </c>
      <c r="R10404" t="n">
        <v>0</v>
      </c>
      <c r="S10404" t="n">
        <v>0</v>
      </c>
      <c r="T10404" t="n">
        <v>0</v>
      </c>
      <c r="U10404" t="n">
        <v>0</v>
      </c>
      <c r="V10404" s="2" t="inlineStr"/>
    </row>
    <row r="10405" ht="15" customHeight="1">
      <c r="A10405" t="inlineStr">
        <is>
          <t>A 34501-2026</t>
        </is>
      </c>
      <c r="B10405" t="inlineStr">
        <is>
          <t>avverkningsanmälan</t>
        </is>
      </c>
      <c r="C10405" t="inlineStr">
        <is>
          <t>Föryngringsavverkning</t>
        </is>
      </c>
      <c r="D10405" s="1" t="n">
        <v>46255</v>
      </c>
      <c r="E10405" s="1" t="n">
        <v>46326</v>
      </c>
      <c r="F10405" t="inlineStr">
        <is>
          <t>GÄVLEBORGS LÄN</t>
        </is>
      </c>
      <c r="G10405" t="inlineStr">
        <is>
          <t>LJUSDAL</t>
        </is>
      </c>
      <c r="H10405" t="inlineStr">
        <is>
          <t>Sveaskog</t>
        </is>
      </c>
      <c r="I10405" t="n">
        <v>5</v>
      </c>
      <c r="J10405" t="n">
        <v>0</v>
      </c>
      <c r="K10405" t="n">
        <v>0</v>
      </c>
      <c r="L10405" t="n">
        <v>0</v>
      </c>
      <c r="M10405" t="n">
        <v>0</v>
      </c>
      <c r="N10405" t="n">
        <v>0</v>
      </c>
      <c r="O10405" t="n">
        <v>0</v>
      </c>
      <c r="P10405" t="n">
        <v>0</v>
      </c>
      <c r="Q10405" t="n">
        <v>0</v>
      </c>
      <c r="R10405" t="n">
        <v>0</v>
      </c>
      <c r="S10405" t="n">
        <v>0</v>
      </c>
      <c r="T10405" t="n">
        <v>0</v>
      </c>
      <c r="U10405" t="n">
        <v>0</v>
      </c>
      <c r="V10405" s="2" t="inlineStr"/>
    </row>
    <row r="10406" ht="15" customHeight="1">
      <c r="A10406" t="inlineStr">
        <is>
          <t>A 34974-2026</t>
        </is>
      </c>
      <c r="B10406" t="inlineStr">
        <is>
          <t>avverkningsanmälan</t>
        </is>
      </c>
      <c r="C10406" t="inlineStr">
        <is>
          <t>Föryngringsavverkning</t>
        </is>
      </c>
      <c r="D10406" s="1" t="n">
        <v>46259</v>
      </c>
      <c r="E10406" s="1" t="n">
        <v>46326</v>
      </c>
      <c r="F10406" t="inlineStr">
        <is>
          <t>GÄVLEBORGS LÄN</t>
        </is>
      </c>
      <c r="G10406" t="inlineStr">
        <is>
          <t>HUDIKSVALL</t>
        </is>
      </c>
      <c r="I10406" t="n">
        <v>0.7</v>
      </c>
      <c r="J10406" t="n">
        <v>0</v>
      </c>
      <c r="K10406" t="n">
        <v>0</v>
      </c>
      <c r="L10406" t="n">
        <v>0</v>
      </c>
      <c r="M10406" t="n">
        <v>0</v>
      </c>
      <c r="N10406" t="n">
        <v>0</v>
      </c>
      <c r="O10406" t="n">
        <v>0</v>
      </c>
      <c r="P10406" t="n">
        <v>0</v>
      </c>
      <c r="Q10406" t="n">
        <v>0</v>
      </c>
      <c r="R10406" t="n">
        <v>0</v>
      </c>
      <c r="S10406" t="n">
        <v>0</v>
      </c>
      <c r="T10406" t="n">
        <v>0</v>
      </c>
      <c r="U10406" t="n">
        <v>0</v>
      </c>
      <c r="V10406" s="2" t="inlineStr"/>
    </row>
    <row r="10407" ht="15" customHeight="1">
      <c r="A10407" t="inlineStr">
        <is>
          <t>A 34975-2026</t>
        </is>
      </c>
      <c r="B10407" t="inlineStr">
        <is>
          <t>avverkningsanmälan</t>
        </is>
      </c>
      <c r="C10407" t="inlineStr">
        <is>
          <t>Föryngringsavverkning</t>
        </is>
      </c>
      <c r="D10407" s="1" t="n">
        <v>46259</v>
      </c>
      <c r="E10407" s="1" t="n">
        <v>46326</v>
      </c>
      <c r="F10407" t="inlineStr">
        <is>
          <t>GÄVLEBORGS LÄN</t>
        </is>
      </c>
      <c r="G10407" t="inlineStr">
        <is>
          <t>LJUSDAL</t>
        </is>
      </c>
      <c r="I10407" t="n">
        <v>2.1</v>
      </c>
      <c r="J10407" t="n">
        <v>0</v>
      </c>
      <c r="K10407" t="n">
        <v>0</v>
      </c>
      <c r="L10407" t="n">
        <v>0</v>
      </c>
      <c r="M10407" t="n">
        <v>0</v>
      </c>
      <c r="N10407" t="n">
        <v>0</v>
      </c>
      <c r="O10407" t="n">
        <v>0</v>
      </c>
      <c r="P10407" t="n">
        <v>0</v>
      </c>
      <c r="Q10407" t="n">
        <v>0</v>
      </c>
      <c r="R10407" t="n">
        <v>0</v>
      </c>
      <c r="S10407" t="n">
        <v>0</v>
      </c>
      <c r="T10407" t="n">
        <v>0</v>
      </c>
      <c r="U10407" t="n">
        <v>0</v>
      </c>
      <c r="V10407" s="2" t="inlineStr"/>
    </row>
    <row r="10408" ht="15" customHeight="1">
      <c r="A10408" t="inlineStr">
        <is>
          <t>A 13500-2026</t>
        </is>
      </c>
      <c r="B10408" t="inlineStr">
        <is>
          <t>avverkningsanmälan</t>
        </is>
      </c>
      <c r="C10408" t="inlineStr">
        <is>
          <t>Föryngringsavverkning</t>
        </is>
      </c>
      <c r="D10408" s="1" t="n">
        <v>46094</v>
      </c>
      <c r="E10408" s="1" t="n">
        <v>46326</v>
      </c>
      <c r="F10408" t="inlineStr">
        <is>
          <t>GÄVLEBORGS LÄN</t>
        </is>
      </c>
      <c r="G10408" t="inlineStr">
        <is>
          <t>GÄVLE</t>
        </is>
      </c>
      <c r="H10408" t="inlineStr">
        <is>
          <t>Bergvik skog öst AB</t>
        </is>
      </c>
      <c r="I10408" t="n">
        <v>3</v>
      </c>
      <c r="J10408" t="n">
        <v>0</v>
      </c>
      <c r="K10408" t="n">
        <v>0</v>
      </c>
      <c r="L10408" t="n">
        <v>0</v>
      </c>
      <c r="M10408" t="n">
        <v>0</v>
      </c>
      <c r="N10408" t="n">
        <v>0</v>
      </c>
      <c r="O10408" t="n">
        <v>0</v>
      </c>
      <c r="P10408" t="n">
        <v>0</v>
      </c>
      <c r="Q10408" t="n">
        <v>0</v>
      </c>
      <c r="R10408" t="n">
        <v>0</v>
      </c>
      <c r="S10408" t="n">
        <v>0</v>
      </c>
      <c r="T10408" t="n">
        <v>0</v>
      </c>
      <c r="U10408" t="n">
        <v>0</v>
      </c>
      <c r="V10408" s="2" t="inlineStr"/>
    </row>
    <row r="10409" ht="15" customHeight="1">
      <c r="A10409" t="inlineStr">
        <is>
          <t>A 13581-2026</t>
        </is>
      </c>
      <c r="B10409" t="inlineStr">
        <is>
          <t>avverkningsanmälan</t>
        </is>
      </c>
      <c r="C10409" t="inlineStr">
        <is>
          <t>Föryngringsavverkning</t>
        </is>
      </c>
      <c r="D10409" s="1" t="n">
        <v>46095</v>
      </c>
      <c r="E10409" s="1" t="n">
        <v>46326</v>
      </c>
      <c r="F10409" t="inlineStr">
        <is>
          <t>GÄVLEBORGS LÄN</t>
        </is>
      </c>
      <c r="G10409" t="inlineStr">
        <is>
          <t>SANDVIKEN</t>
        </is>
      </c>
      <c r="I10409" t="n">
        <v>1.9</v>
      </c>
      <c r="J10409" t="n">
        <v>0</v>
      </c>
      <c r="K10409" t="n">
        <v>0</v>
      </c>
      <c r="L10409" t="n">
        <v>0</v>
      </c>
      <c r="M10409" t="n">
        <v>0</v>
      </c>
      <c r="N10409" t="n">
        <v>0</v>
      </c>
      <c r="O10409" t="n">
        <v>0</v>
      </c>
      <c r="P10409" t="n">
        <v>0</v>
      </c>
      <c r="Q10409" t="n">
        <v>0</v>
      </c>
      <c r="R10409" t="n">
        <v>0</v>
      </c>
      <c r="S10409" t="n">
        <v>0</v>
      </c>
      <c r="T10409" t="n">
        <v>0</v>
      </c>
      <c r="U10409" t="n">
        <v>0</v>
      </c>
      <c r="V10409" s="2" t="inlineStr"/>
    </row>
    <row r="10410" ht="15" customHeight="1">
      <c r="A10410" t="inlineStr">
        <is>
          <t>A 17164-2026</t>
        </is>
      </c>
      <c r="B10410" t="inlineStr">
        <is>
          <t>avverkningsanmälan</t>
        </is>
      </c>
      <c r="C10410" t="inlineStr">
        <is>
          <t>Föryngringsavverkning</t>
        </is>
      </c>
      <c r="D10410" s="1" t="n">
        <v>46115</v>
      </c>
      <c r="E10410" s="1" t="n">
        <v>46326</v>
      </c>
      <c r="F10410" t="inlineStr">
        <is>
          <t>GÄVLEBORGS LÄN</t>
        </is>
      </c>
      <c r="G10410" t="inlineStr">
        <is>
          <t>SANDVIKEN</t>
        </is>
      </c>
      <c r="I10410" t="n">
        <v>1.1</v>
      </c>
      <c r="J10410" t="n">
        <v>0</v>
      </c>
      <c r="K10410" t="n">
        <v>0</v>
      </c>
      <c r="L10410" t="n">
        <v>0</v>
      </c>
      <c r="M10410" t="n">
        <v>0</v>
      </c>
      <c r="N10410" t="n">
        <v>0</v>
      </c>
      <c r="O10410" t="n">
        <v>0</v>
      </c>
      <c r="P10410" t="n">
        <v>0</v>
      </c>
      <c r="Q10410" t="n">
        <v>0</v>
      </c>
      <c r="R10410" t="n">
        <v>0</v>
      </c>
      <c r="S10410" t="n">
        <v>0</v>
      </c>
      <c r="T10410" t="n">
        <v>0</v>
      </c>
      <c r="U10410" t="n">
        <v>0</v>
      </c>
      <c r="V10410" s="2" t="inlineStr"/>
    </row>
    <row r="10411" ht="15" customHeight="1">
      <c r="A10411" t="inlineStr">
        <is>
          <t>A 18218-2026</t>
        </is>
      </c>
      <c r="B10411" t="inlineStr">
        <is>
          <t>avverkningsanmälan</t>
        </is>
      </c>
      <c r="C10411" t="inlineStr">
        <is>
          <t>Föryngringsavverkning</t>
        </is>
      </c>
      <c r="D10411" s="1" t="n">
        <v>46126</v>
      </c>
      <c r="E10411" s="1" t="n">
        <v>46326</v>
      </c>
      <c r="F10411" t="inlineStr">
        <is>
          <t>GÄVLEBORGS LÄN</t>
        </is>
      </c>
      <c r="G10411" t="inlineStr">
        <is>
          <t>SANDVIKEN</t>
        </is>
      </c>
      <c r="I10411" t="n">
        <v>4.8</v>
      </c>
      <c r="J10411" t="n">
        <v>0</v>
      </c>
      <c r="K10411" t="n">
        <v>0</v>
      </c>
      <c r="L10411" t="n">
        <v>0</v>
      </c>
      <c r="M10411" t="n">
        <v>0</v>
      </c>
      <c r="N10411" t="n">
        <v>0</v>
      </c>
      <c r="O10411" t="n">
        <v>0</v>
      </c>
      <c r="P10411" t="n">
        <v>0</v>
      </c>
      <c r="Q10411" t="n">
        <v>0</v>
      </c>
      <c r="R10411" t="n">
        <v>0</v>
      </c>
      <c r="S10411" t="n">
        <v>0</v>
      </c>
      <c r="T10411" t="n">
        <v>0</v>
      </c>
      <c r="U10411" t="n">
        <v>0</v>
      </c>
      <c r="V10411" s="2" t="inlineStr"/>
    </row>
    <row r="10412" ht="15" customHeight="1">
      <c r="A10412" t="inlineStr">
        <is>
          <t>A 19486-2026</t>
        </is>
      </c>
      <c r="B10412" t="inlineStr">
        <is>
          <t>avverkningsanmälan</t>
        </is>
      </c>
      <c r="C10412" t="inlineStr">
        <is>
          <t>Föryngringsavverkning</t>
        </is>
      </c>
      <c r="D10412" s="1" t="n">
        <v>46134</v>
      </c>
      <c r="E10412" s="1" t="n">
        <v>46326</v>
      </c>
      <c r="F10412" t="inlineStr">
        <is>
          <t>GÄVLEBORGS LÄN</t>
        </is>
      </c>
      <c r="G10412" t="inlineStr">
        <is>
          <t>BOLLNÄS</t>
        </is>
      </c>
      <c r="I10412" t="n">
        <v>0.8</v>
      </c>
      <c r="J10412" t="n">
        <v>0</v>
      </c>
      <c r="K10412" t="n">
        <v>0</v>
      </c>
      <c r="L10412" t="n">
        <v>0</v>
      </c>
      <c r="M10412" t="n">
        <v>0</v>
      </c>
      <c r="N10412" t="n">
        <v>0</v>
      </c>
      <c r="O10412" t="n">
        <v>0</v>
      </c>
      <c r="P10412" t="n">
        <v>0</v>
      </c>
      <c r="Q10412" t="n">
        <v>0</v>
      </c>
      <c r="R10412" t="n">
        <v>0</v>
      </c>
      <c r="S10412" t="n">
        <v>0</v>
      </c>
      <c r="T10412" t="n">
        <v>0</v>
      </c>
      <c r="U10412" t="n">
        <v>0</v>
      </c>
      <c r="V10412" s="2" t="inlineStr"/>
    </row>
    <row r="10413" ht="15" customHeight="1">
      <c r="A10413" t="inlineStr">
        <is>
          <t>A 25841-2026</t>
        </is>
      </c>
      <c r="B10413" t="inlineStr">
        <is>
          <t>avverkningsanmälan</t>
        </is>
      </c>
      <c r="C10413" t="inlineStr">
        <is>
          <t>Föryngringsavverkning</t>
        </is>
      </c>
      <c r="D10413" s="1" t="n">
        <v>46178</v>
      </c>
      <c r="E10413" s="1" t="n">
        <v>46326</v>
      </c>
      <c r="F10413" t="inlineStr">
        <is>
          <t>GÄVLEBORGS LÄN</t>
        </is>
      </c>
      <c r="G10413" t="inlineStr">
        <is>
          <t>SANDVIKEN</t>
        </is>
      </c>
      <c r="H10413" t="inlineStr">
        <is>
          <t>Bergvik skog öst AB</t>
        </is>
      </c>
      <c r="I10413" t="n">
        <v>3.1</v>
      </c>
      <c r="J10413" t="n">
        <v>0</v>
      </c>
      <c r="K10413" t="n">
        <v>0</v>
      </c>
      <c r="L10413" t="n">
        <v>0</v>
      </c>
      <c r="M10413" t="n">
        <v>0</v>
      </c>
      <c r="N10413" t="n">
        <v>0</v>
      </c>
      <c r="O10413" t="n">
        <v>0</v>
      </c>
      <c r="P10413" t="n">
        <v>0</v>
      </c>
      <c r="Q10413" t="n">
        <v>0</v>
      </c>
      <c r="R10413" t="n">
        <v>0</v>
      </c>
      <c r="S10413" t="n">
        <v>0</v>
      </c>
      <c r="T10413" t="n">
        <v>0</v>
      </c>
      <c r="U10413" t="n">
        <v>0</v>
      </c>
      <c r="V10413" s="2" t="inlineStr"/>
    </row>
    <row r="10414" ht="15" customHeight="1">
      <c r="A10414" t="inlineStr">
        <is>
          <t>A 21365-2026</t>
        </is>
      </c>
      <c r="B10414" t="inlineStr">
        <is>
          <t>avverkningsanmälan</t>
        </is>
      </c>
      <c r="C10414" t="inlineStr">
        <is>
          <t>Föryngringsavverkning</t>
        </is>
      </c>
      <c r="D10414" s="1" t="n">
        <v>46147</v>
      </c>
      <c r="E10414" s="1" t="n">
        <v>46326</v>
      </c>
      <c r="F10414" t="inlineStr">
        <is>
          <t>GÄVLEBORGS LÄN</t>
        </is>
      </c>
      <c r="G10414" t="inlineStr">
        <is>
          <t>GÄVLE</t>
        </is>
      </c>
      <c r="H10414" t="inlineStr">
        <is>
          <t>Bergvik skog öst AB</t>
        </is>
      </c>
      <c r="I10414" t="n">
        <v>1.2</v>
      </c>
      <c r="J10414" t="n">
        <v>0</v>
      </c>
      <c r="K10414" t="n">
        <v>0</v>
      </c>
      <c r="L10414" t="n">
        <v>0</v>
      </c>
      <c r="M10414" t="n">
        <v>0</v>
      </c>
      <c r="N10414" t="n">
        <v>0</v>
      </c>
      <c r="O10414" t="n">
        <v>0</v>
      </c>
      <c r="P10414" t="n">
        <v>0</v>
      </c>
      <c r="Q10414" t="n">
        <v>0</v>
      </c>
      <c r="R10414" t="n">
        <v>0</v>
      </c>
      <c r="S10414" t="n">
        <v>0</v>
      </c>
      <c r="T10414" t="n">
        <v>0</v>
      </c>
      <c r="U10414" t="n">
        <v>0</v>
      </c>
      <c r="V10414" s="2" t="inlineStr"/>
    </row>
    <row r="10415" ht="15" customHeight="1">
      <c r="A10415" t="inlineStr">
        <is>
          <t>A 18752-2026</t>
        </is>
      </c>
      <c r="B10415" t="inlineStr">
        <is>
          <t>avverkningsanmälan</t>
        </is>
      </c>
      <c r="C10415" t="inlineStr">
        <is>
          <t>Föryngringsavverkning</t>
        </is>
      </c>
      <c r="D10415" s="1" t="n">
        <v>46128</v>
      </c>
      <c r="E10415" s="1" t="n">
        <v>46326</v>
      </c>
      <c r="F10415" t="inlineStr">
        <is>
          <t>GÄVLEBORGS LÄN</t>
        </is>
      </c>
      <c r="G10415" t="inlineStr">
        <is>
          <t>SANDVIKEN</t>
        </is>
      </c>
      <c r="I10415" t="n">
        <v>2.9</v>
      </c>
      <c r="J10415" t="n">
        <v>0</v>
      </c>
      <c r="K10415" t="n">
        <v>0</v>
      </c>
      <c r="L10415" t="n">
        <v>0</v>
      </c>
      <c r="M10415" t="n">
        <v>0</v>
      </c>
      <c r="N10415" t="n">
        <v>0</v>
      </c>
      <c r="O10415" t="n">
        <v>0</v>
      </c>
      <c r="P10415" t="n">
        <v>0</v>
      </c>
      <c r="Q10415" t="n">
        <v>0</v>
      </c>
      <c r="R10415" t="n">
        <v>0</v>
      </c>
      <c r="S10415" t="n">
        <v>0</v>
      </c>
      <c r="T10415" t="n">
        <v>0</v>
      </c>
      <c r="U10415" t="n">
        <v>0</v>
      </c>
      <c r="V10415" s="2" t="inlineStr"/>
    </row>
    <row r="10416" ht="15" customHeight="1">
      <c r="A10416" t="inlineStr">
        <is>
          <t>A 14761-2026</t>
        </is>
      </c>
      <c r="B10416" t="inlineStr">
        <is>
          <t>avverkningsanmälan</t>
        </is>
      </c>
      <c r="C10416" t="inlineStr">
        <is>
          <t>Föryngringsavverkning</t>
        </is>
      </c>
      <c r="D10416" s="1" t="n">
        <v>46101</v>
      </c>
      <c r="E10416" s="1" t="n">
        <v>46326</v>
      </c>
      <c r="F10416" t="inlineStr">
        <is>
          <t>GÄVLEBORGS LÄN</t>
        </is>
      </c>
      <c r="G10416" t="inlineStr">
        <is>
          <t>BOLLNÄS</t>
        </is>
      </c>
      <c r="I10416" t="n">
        <v>5.2</v>
      </c>
      <c r="J10416" t="n">
        <v>0</v>
      </c>
      <c r="K10416" t="n">
        <v>0</v>
      </c>
      <c r="L10416" t="n">
        <v>0</v>
      </c>
      <c r="M10416" t="n">
        <v>0</v>
      </c>
      <c r="N10416" t="n">
        <v>0</v>
      </c>
      <c r="O10416" t="n">
        <v>0</v>
      </c>
      <c r="P10416" t="n">
        <v>0</v>
      </c>
      <c r="Q10416" t="n">
        <v>0</v>
      </c>
      <c r="R10416" t="n">
        <v>0</v>
      </c>
      <c r="S10416" t="n">
        <v>0</v>
      </c>
      <c r="T10416" t="n">
        <v>0</v>
      </c>
      <c r="U10416" t="n">
        <v>0</v>
      </c>
      <c r="V10416" s="2" t="inlineStr"/>
    </row>
    <row r="10417" ht="15" customHeight="1">
      <c r="A10417" t="inlineStr">
        <is>
          <t>A 26016-2026</t>
        </is>
      </c>
      <c r="B10417" t="inlineStr">
        <is>
          <t>avverkningsanmälan</t>
        </is>
      </c>
      <c r="C10417" t="inlineStr">
        <is>
          <t>Föryngringsavverkning</t>
        </is>
      </c>
      <c r="D10417" s="1" t="n">
        <v>46181</v>
      </c>
      <c r="E10417" s="1" t="n">
        <v>46326</v>
      </c>
      <c r="F10417" t="inlineStr">
        <is>
          <t>GÄVLEBORGS LÄN</t>
        </is>
      </c>
      <c r="G10417" t="inlineStr">
        <is>
          <t>GÄVLE</t>
        </is>
      </c>
      <c r="H10417" t="inlineStr">
        <is>
          <t>Bergvik skog öst AB</t>
        </is>
      </c>
      <c r="I10417" t="n">
        <v>1.2</v>
      </c>
      <c r="J10417" t="n">
        <v>0</v>
      </c>
      <c r="K10417" t="n">
        <v>0</v>
      </c>
      <c r="L10417" t="n">
        <v>0</v>
      </c>
      <c r="M10417" t="n">
        <v>0</v>
      </c>
      <c r="N10417" t="n">
        <v>0</v>
      </c>
      <c r="O10417" t="n">
        <v>0</v>
      </c>
      <c r="P10417" t="n">
        <v>0</v>
      </c>
      <c r="Q10417" t="n">
        <v>0</v>
      </c>
      <c r="R10417" t="n">
        <v>0</v>
      </c>
      <c r="S10417" t="n">
        <v>0</v>
      </c>
      <c r="T10417" t="n">
        <v>0</v>
      </c>
      <c r="U10417" t="n">
        <v>0</v>
      </c>
      <c r="V10417" s="2" t="inlineStr"/>
    </row>
    <row r="10418" ht="15" customHeight="1">
      <c r="A10418" t="inlineStr">
        <is>
          <t>A 21691-2026</t>
        </is>
      </c>
      <c r="B10418" t="inlineStr">
        <is>
          <t>avverkningsanmälan</t>
        </is>
      </c>
      <c r="C10418" t="inlineStr">
        <is>
          <t>Föryngringsavverkning</t>
        </is>
      </c>
      <c r="D10418" s="1" t="n">
        <v>46149</v>
      </c>
      <c r="E10418" s="1" t="n">
        <v>46326</v>
      </c>
      <c r="F10418" t="inlineStr">
        <is>
          <t>GÄVLEBORGS LÄN</t>
        </is>
      </c>
      <c r="G10418" t="inlineStr">
        <is>
          <t>BOLLNÄS</t>
        </is>
      </c>
      <c r="I10418" t="n">
        <v>10.2</v>
      </c>
      <c r="J10418" t="n">
        <v>0</v>
      </c>
      <c r="K10418" t="n">
        <v>0</v>
      </c>
      <c r="L10418" t="n">
        <v>0</v>
      </c>
      <c r="M10418" t="n">
        <v>0</v>
      </c>
      <c r="N10418" t="n">
        <v>0</v>
      </c>
      <c r="O10418" t="n">
        <v>0</v>
      </c>
      <c r="P10418" t="n">
        <v>0</v>
      </c>
      <c r="Q10418" t="n">
        <v>0</v>
      </c>
      <c r="R10418" t="n">
        <v>0</v>
      </c>
      <c r="S10418" t="n">
        <v>0</v>
      </c>
      <c r="T10418" t="n">
        <v>0</v>
      </c>
      <c r="U10418" t="n">
        <v>0</v>
      </c>
      <c r="V10418" s="2" t="inlineStr"/>
    </row>
    <row r="10419" ht="15" customHeight="1">
      <c r="A10419" t="inlineStr">
        <is>
          <t>A 34715-2026</t>
        </is>
      </c>
      <c r="B10419" t="inlineStr">
        <is>
          <t>avverkningsanmälan</t>
        </is>
      </c>
      <c r="C10419" t="inlineStr">
        <is>
          <t>Föryngringsavverkning</t>
        </is>
      </c>
      <c r="D10419" s="1" t="n">
        <v>46258</v>
      </c>
      <c r="E10419" s="1" t="n">
        <v>46326</v>
      </c>
      <c r="F10419" t="inlineStr">
        <is>
          <t>GÄVLEBORGS LÄN</t>
        </is>
      </c>
      <c r="G10419" t="inlineStr">
        <is>
          <t>LJUSDAL</t>
        </is>
      </c>
      <c r="H10419" t="inlineStr">
        <is>
          <t>Bergvik skog väst AB</t>
        </is>
      </c>
      <c r="I10419" t="n">
        <v>9</v>
      </c>
      <c r="J10419" t="n">
        <v>0</v>
      </c>
      <c r="K10419" t="n">
        <v>0</v>
      </c>
      <c r="L10419" t="n">
        <v>0</v>
      </c>
      <c r="M10419" t="n">
        <v>0</v>
      </c>
      <c r="N10419" t="n">
        <v>0</v>
      </c>
      <c r="O10419" t="n">
        <v>0</v>
      </c>
      <c r="P10419" t="n">
        <v>0</v>
      </c>
      <c r="Q10419" t="n">
        <v>0</v>
      </c>
      <c r="R10419" t="n">
        <v>0</v>
      </c>
      <c r="S10419" t="n">
        <v>0</v>
      </c>
      <c r="T10419" t="n">
        <v>0</v>
      </c>
      <c r="U10419" t="n">
        <v>0</v>
      </c>
      <c r="V10419" s="2" t="inlineStr"/>
    </row>
    <row r="10420" ht="15" customHeight="1">
      <c r="A10420" t="inlineStr">
        <is>
          <t>A 19750-2026</t>
        </is>
      </c>
      <c r="B10420" t="inlineStr">
        <is>
          <t>avverkningsanmälan</t>
        </is>
      </c>
      <c r="C10420" t="inlineStr">
        <is>
          <t>Föryngringsavverkning</t>
        </is>
      </c>
      <c r="D10420" s="1" t="n">
        <v>46135</v>
      </c>
      <c r="E10420" s="1" t="n">
        <v>46326</v>
      </c>
      <c r="F10420" t="inlineStr">
        <is>
          <t>GÄVLEBORGS LÄN</t>
        </is>
      </c>
      <c r="G10420" t="inlineStr">
        <is>
          <t>BOLLNÄS</t>
        </is>
      </c>
      <c r="I10420" t="n">
        <v>4.9</v>
      </c>
      <c r="J10420" t="n">
        <v>0</v>
      </c>
      <c r="K10420" t="n">
        <v>0</v>
      </c>
      <c r="L10420" t="n">
        <v>0</v>
      </c>
      <c r="M10420" t="n">
        <v>0</v>
      </c>
      <c r="N10420" t="n">
        <v>0</v>
      </c>
      <c r="O10420" t="n">
        <v>0</v>
      </c>
      <c r="P10420" t="n">
        <v>0</v>
      </c>
      <c r="Q10420" t="n">
        <v>0</v>
      </c>
      <c r="R10420" t="n">
        <v>0</v>
      </c>
      <c r="S10420" t="n">
        <v>0</v>
      </c>
      <c r="T10420" t="n">
        <v>0</v>
      </c>
      <c r="U10420" t="n">
        <v>0</v>
      </c>
      <c r="V10420" s="2" t="inlineStr"/>
    </row>
    <row r="10421" ht="15" customHeight="1">
      <c r="A10421" t="inlineStr">
        <is>
          <t>A 19861-2026</t>
        </is>
      </c>
      <c r="B10421" t="inlineStr">
        <is>
          <t>avverkningsanmälan</t>
        </is>
      </c>
      <c r="C10421" t="inlineStr">
        <is>
          <t>Föryngringsavverkning</t>
        </is>
      </c>
      <c r="D10421" s="1" t="n">
        <v>46135</v>
      </c>
      <c r="E10421" s="1" t="n">
        <v>46326</v>
      </c>
      <c r="F10421" t="inlineStr">
        <is>
          <t>GÄVLEBORGS LÄN</t>
        </is>
      </c>
      <c r="G10421" t="inlineStr">
        <is>
          <t>BOLLNÄS</t>
        </is>
      </c>
      <c r="I10421" t="n">
        <v>2.5</v>
      </c>
      <c r="J10421" t="n">
        <v>0</v>
      </c>
      <c r="K10421" t="n">
        <v>0</v>
      </c>
      <c r="L10421" t="n">
        <v>0</v>
      </c>
      <c r="M10421" t="n">
        <v>0</v>
      </c>
      <c r="N10421" t="n">
        <v>0</v>
      </c>
      <c r="O10421" t="n">
        <v>0</v>
      </c>
      <c r="P10421" t="n">
        <v>0</v>
      </c>
      <c r="Q10421" t="n">
        <v>0</v>
      </c>
      <c r="R10421" t="n">
        <v>0</v>
      </c>
      <c r="S10421" t="n">
        <v>0</v>
      </c>
      <c r="T10421" t="n">
        <v>0</v>
      </c>
      <c r="U10421" t="n">
        <v>0</v>
      </c>
      <c r="V10421" s="2" t="inlineStr"/>
    </row>
    <row r="10422" ht="15" customHeight="1">
      <c r="A10422" t="inlineStr">
        <is>
          <t>A 34853-2026</t>
        </is>
      </c>
      <c r="B10422" t="inlineStr">
        <is>
          <t>avverkningsanmälan</t>
        </is>
      </c>
      <c r="C10422" t="inlineStr">
        <is>
          <t>Föryngringsavverkning</t>
        </is>
      </c>
      <c r="D10422" s="1" t="n">
        <v>46258</v>
      </c>
      <c r="E10422" s="1" t="n">
        <v>46326</v>
      </c>
      <c r="F10422" t="inlineStr">
        <is>
          <t>GÄVLEBORGS LÄN</t>
        </is>
      </c>
      <c r="G10422" t="inlineStr">
        <is>
          <t>HUDIKSVALL</t>
        </is>
      </c>
      <c r="H10422" t="inlineStr">
        <is>
          <t>Holmen skog AB</t>
        </is>
      </c>
      <c r="I10422" t="n">
        <v>2.1</v>
      </c>
      <c r="J10422" t="n">
        <v>0</v>
      </c>
      <c r="K10422" t="n">
        <v>0</v>
      </c>
      <c r="L10422" t="n">
        <v>0</v>
      </c>
      <c r="M10422" t="n">
        <v>0</v>
      </c>
      <c r="N10422" t="n">
        <v>0</v>
      </c>
      <c r="O10422" t="n">
        <v>0</v>
      </c>
      <c r="P10422" t="n">
        <v>0</v>
      </c>
      <c r="Q10422" t="n">
        <v>0</v>
      </c>
      <c r="R10422" t="n">
        <v>0</v>
      </c>
      <c r="S10422" t="n">
        <v>0</v>
      </c>
      <c r="T10422" t="n">
        <v>0</v>
      </c>
      <c r="U10422" t="n">
        <v>0</v>
      </c>
      <c r="V10422" s="2" t="inlineStr"/>
    </row>
    <row r="10423" ht="15" customHeight="1">
      <c r="A10423" t="inlineStr">
        <is>
          <t>A 21565-2026</t>
        </is>
      </c>
      <c r="B10423" t="inlineStr">
        <is>
          <t>avverkningsanmälan</t>
        </is>
      </c>
      <c r="C10423" t="inlineStr">
        <is>
          <t>Föryngringsavverkning</t>
        </is>
      </c>
      <c r="D10423" s="1" t="n">
        <v>46148</v>
      </c>
      <c r="E10423" s="1" t="n">
        <v>46326</v>
      </c>
      <c r="F10423" t="inlineStr">
        <is>
          <t>GÄVLEBORGS LÄN</t>
        </is>
      </c>
      <c r="G10423" t="inlineStr">
        <is>
          <t>BOLLNÄS</t>
        </is>
      </c>
      <c r="H10423" t="inlineStr">
        <is>
          <t>Bergvik skog väst AB</t>
        </is>
      </c>
      <c r="I10423" t="n">
        <v>0.6</v>
      </c>
      <c r="J10423" t="n">
        <v>0</v>
      </c>
      <c r="K10423" t="n">
        <v>0</v>
      </c>
      <c r="L10423" t="n">
        <v>0</v>
      </c>
      <c r="M10423" t="n">
        <v>0</v>
      </c>
      <c r="N10423" t="n">
        <v>0</v>
      </c>
      <c r="O10423" t="n">
        <v>0</v>
      </c>
      <c r="P10423" t="n">
        <v>0</v>
      </c>
      <c r="Q10423" t="n">
        <v>0</v>
      </c>
      <c r="R10423" t="n">
        <v>0</v>
      </c>
      <c r="S10423" t="n">
        <v>0</v>
      </c>
      <c r="T10423" t="n">
        <v>0</v>
      </c>
      <c r="U10423" t="n">
        <v>0</v>
      </c>
      <c r="V10423" s="2" t="inlineStr"/>
    </row>
    <row r="10424" ht="15" customHeight="1">
      <c r="A10424" t="inlineStr">
        <is>
          <t>A 41201-2026</t>
        </is>
      </c>
      <c r="B10424" t="inlineStr">
        <is>
          <t>avverkningsanmälan</t>
        </is>
      </c>
      <c r="C10424" t="inlineStr">
        <is>
          <t>Föryngringsavverkning</t>
        </is>
      </c>
      <c r="D10424" s="1" t="n">
        <v>46300</v>
      </c>
      <c r="E10424" s="1" t="n">
        <v>46326</v>
      </c>
      <c r="F10424" t="inlineStr">
        <is>
          <t>GÄVLEBORGS LÄN</t>
        </is>
      </c>
      <c r="G10424" t="inlineStr">
        <is>
          <t>BOLLNÄS</t>
        </is>
      </c>
      <c r="H10424" t="inlineStr">
        <is>
          <t>Bergvik skog väst AB</t>
        </is>
      </c>
      <c r="I10424" t="n">
        <v>0.8</v>
      </c>
      <c r="J10424" t="n">
        <v>0</v>
      </c>
      <c r="K10424" t="n">
        <v>0</v>
      </c>
      <c r="L10424" t="n">
        <v>0</v>
      </c>
      <c r="M10424" t="n">
        <v>0</v>
      </c>
      <c r="N10424" t="n">
        <v>0</v>
      </c>
      <c r="O10424" t="n">
        <v>0</v>
      </c>
      <c r="P10424" t="n">
        <v>0</v>
      </c>
      <c r="Q10424" t="n">
        <v>0</v>
      </c>
      <c r="R10424" t="n">
        <v>0</v>
      </c>
      <c r="S10424" t="n">
        <v>0</v>
      </c>
      <c r="T10424" t="n">
        <v>0</v>
      </c>
      <c r="U10424" t="n">
        <v>0</v>
      </c>
      <c r="V10424" s="2" t="inlineStr"/>
    </row>
    <row r="10425" ht="15" customHeight="1">
      <c r="A10425" t="inlineStr">
        <is>
          <t>A 29613-2026</t>
        </is>
      </c>
      <c r="B10425" t="inlineStr">
        <is>
          <t>avverkningsanmälan</t>
        </is>
      </c>
      <c r="C10425" t="inlineStr">
        <is>
          <t>Föryngringsavverkning</t>
        </is>
      </c>
      <c r="D10425" s="1" t="n">
        <v>46204</v>
      </c>
      <c r="E10425" s="1" t="n">
        <v>46326</v>
      </c>
      <c r="F10425" t="inlineStr">
        <is>
          <t>GÄVLEBORGS LÄN</t>
        </is>
      </c>
      <c r="G10425" t="inlineStr">
        <is>
          <t>SANDVIKEN</t>
        </is>
      </c>
      <c r="I10425" t="n">
        <v>5.3</v>
      </c>
      <c r="J10425" t="n">
        <v>0</v>
      </c>
      <c r="K10425" t="n">
        <v>0</v>
      </c>
      <c r="L10425" t="n">
        <v>0</v>
      </c>
      <c r="M10425" t="n">
        <v>0</v>
      </c>
      <c r="N10425" t="n">
        <v>0</v>
      </c>
      <c r="O10425" t="n">
        <v>0</v>
      </c>
      <c r="P10425" t="n">
        <v>0</v>
      </c>
      <c r="Q10425" t="n">
        <v>0</v>
      </c>
      <c r="R10425" t="n">
        <v>0</v>
      </c>
      <c r="S10425" t="n">
        <v>0</v>
      </c>
      <c r="T10425" t="n">
        <v>0</v>
      </c>
      <c r="U10425" t="n">
        <v>0</v>
      </c>
      <c r="V10425" s="2" t="inlineStr"/>
    </row>
    <row r="10426" ht="15" customHeight="1">
      <c r="A10426" t="inlineStr">
        <is>
          <t>A 29664-2026</t>
        </is>
      </c>
      <c r="B10426" t="inlineStr">
        <is>
          <t>avverkningsanmälan</t>
        </is>
      </c>
      <c r="C10426" t="inlineStr">
        <is>
          <t>Föryngringsavverkning</t>
        </is>
      </c>
      <c r="D10426" s="1" t="n">
        <v>46204</v>
      </c>
      <c r="E10426" s="1" t="n">
        <v>46326</v>
      </c>
      <c r="F10426" t="inlineStr">
        <is>
          <t>GÄVLEBORGS LÄN</t>
        </is>
      </c>
      <c r="G10426" t="inlineStr">
        <is>
          <t>LJUSDAL</t>
        </is>
      </c>
      <c r="H10426" t="inlineStr">
        <is>
          <t>Sveaskog</t>
        </is>
      </c>
      <c r="I10426" t="n">
        <v>14.4</v>
      </c>
      <c r="J10426" t="n">
        <v>0</v>
      </c>
      <c r="K10426" t="n">
        <v>0</v>
      </c>
      <c r="L10426" t="n">
        <v>0</v>
      </c>
      <c r="M10426" t="n">
        <v>0</v>
      </c>
      <c r="N10426" t="n">
        <v>0</v>
      </c>
      <c r="O10426" t="n">
        <v>0</v>
      </c>
      <c r="P10426" t="n">
        <v>0</v>
      </c>
      <c r="Q10426" t="n">
        <v>0</v>
      </c>
      <c r="R10426" t="n">
        <v>0</v>
      </c>
      <c r="S10426" t="n">
        <v>0</v>
      </c>
      <c r="T10426" t="n">
        <v>0</v>
      </c>
      <c r="U10426" t="n">
        <v>0</v>
      </c>
      <c r="V10426" s="2" t="inlineStr"/>
    </row>
    <row r="10427" ht="15" customHeight="1">
      <c r="A10427" t="inlineStr">
        <is>
          <t>A 34602-2026</t>
        </is>
      </c>
      <c r="B10427" t="inlineStr">
        <is>
          <t>avverkningsanmälan</t>
        </is>
      </c>
      <c r="C10427" t="inlineStr">
        <is>
          <t>Föryngringsavverkning</t>
        </is>
      </c>
      <c r="D10427" s="1" t="n">
        <v>46255</v>
      </c>
      <c r="E10427" s="1" t="n">
        <v>46326</v>
      </c>
      <c r="F10427" t="inlineStr">
        <is>
          <t>GÄVLEBORGS LÄN</t>
        </is>
      </c>
      <c r="G10427" t="inlineStr">
        <is>
          <t>OVANÅKER</t>
        </is>
      </c>
      <c r="H10427" t="inlineStr">
        <is>
          <t>Bergvik skog väst AB</t>
        </is>
      </c>
      <c r="I10427" t="n">
        <v>7.2</v>
      </c>
      <c r="J10427" t="n">
        <v>0</v>
      </c>
      <c r="K10427" t="n">
        <v>0</v>
      </c>
      <c r="L10427" t="n">
        <v>0</v>
      </c>
      <c r="M10427" t="n">
        <v>0</v>
      </c>
      <c r="N10427" t="n">
        <v>0</v>
      </c>
      <c r="O10427" t="n">
        <v>0</v>
      </c>
      <c r="P10427" t="n">
        <v>0</v>
      </c>
      <c r="Q10427" t="n">
        <v>0</v>
      </c>
      <c r="R10427" t="n">
        <v>0</v>
      </c>
      <c r="S10427" t="n">
        <v>0</v>
      </c>
      <c r="T10427" t="n">
        <v>0</v>
      </c>
      <c r="U10427" t="n">
        <v>0</v>
      </c>
      <c r="V10427" s="2" t="inlineStr"/>
    </row>
    <row r="10428" ht="15" customHeight="1">
      <c r="A10428" t="inlineStr">
        <is>
          <t>A 34629-2026</t>
        </is>
      </c>
      <c r="B10428" t="inlineStr">
        <is>
          <t>avverkningsanmälan</t>
        </is>
      </c>
      <c r="C10428" t="inlineStr">
        <is>
          <t>Föryngringsavverkning</t>
        </is>
      </c>
      <c r="D10428" s="1" t="n">
        <v>46255</v>
      </c>
      <c r="E10428" s="1" t="n">
        <v>46326</v>
      </c>
      <c r="F10428" t="inlineStr">
        <is>
          <t>GÄVLEBORGS LÄN</t>
        </is>
      </c>
      <c r="G10428" t="inlineStr">
        <is>
          <t>OVANÅKER</t>
        </is>
      </c>
      <c r="H10428" t="inlineStr">
        <is>
          <t>Bergvik skog väst AB</t>
        </is>
      </c>
      <c r="I10428" t="n">
        <v>1.4</v>
      </c>
      <c r="J10428" t="n">
        <v>0</v>
      </c>
      <c r="K10428" t="n">
        <v>0</v>
      </c>
      <c r="L10428" t="n">
        <v>0</v>
      </c>
      <c r="M10428" t="n">
        <v>0</v>
      </c>
      <c r="N10428" t="n">
        <v>0</v>
      </c>
      <c r="O10428" t="n">
        <v>0</v>
      </c>
      <c r="P10428" t="n">
        <v>0</v>
      </c>
      <c r="Q10428" t="n">
        <v>0</v>
      </c>
      <c r="R10428" t="n">
        <v>0</v>
      </c>
      <c r="S10428" t="n">
        <v>0</v>
      </c>
      <c r="T10428" t="n">
        <v>0</v>
      </c>
      <c r="U10428" t="n">
        <v>0</v>
      </c>
      <c r="V10428" s="2" t="inlineStr"/>
    </row>
    <row r="10429" ht="15" customHeight="1">
      <c r="A10429" t="inlineStr">
        <is>
          <t>A 41149-2026</t>
        </is>
      </c>
      <c r="B10429" t="inlineStr">
        <is>
          <t>avverkningsanmälan</t>
        </is>
      </c>
      <c r="C10429" t="inlineStr">
        <is>
          <t>Föryngringsavverkning</t>
        </is>
      </c>
      <c r="D10429" s="1" t="n">
        <v>46300</v>
      </c>
      <c r="E10429" s="1" t="n">
        <v>46326</v>
      </c>
      <c r="F10429" t="inlineStr">
        <is>
          <t>GÄVLEBORGS LÄN</t>
        </is>
      </c>
      <c r="G10429" t="inlineStr">
        <is>
          <t>HUDIKSVALL</t>
        </is>
      </c>
      <c r="H10429" t="inlineStr">
        <is>
          <t>Holmen skog AB</t>
        </is>
      </c>
      <c r="I10429" t="n">
        <v>1.6</v>
      </c>
      <c r="J10429" t="n">
        <v>0</v>
      </c>
      <c r="K10429" t="n">
        <v>0</v>
      </c>
      <c r="L10429" t="n">
        <v>0</v>
      </c>
      <c r="M10429" t="n">
        <v>0</v>
      </c>
      <c r="N10429" t="n">
        <v>0</v>
      </c>
      <c r="O10429" t="n">
        <v>0</v>
      </c>
      <c r="P10429" t="n">
        <v>0</v>
      </c>
      <c r="Q10429" t="n">
        <v>0</v>
      </c>
      <c r="R10429" t="n">
        <v>0</v>
      </c>
      <c r="S10429" t="n">
        <v>0</v>
      </c>
      <c r="T10429" t="n">
        <v>0</v>
      </c>
      <c r="U10429" t="n">
        <v>0</v>
      </c>
      <c r="V10429" s="2" t="inlineStr"/>
    </row>
    <row r="10430" ht="15" customHeight="1">
      <c r="A10430" t="inlineStr">
        <is>
          <t>A 21671-2026</t>
        </is>
      </c>
      <c r="B10430" t="inlineStr">
        <is>
          <t>avverkningsanmälan</t>
        </is>
      </c>
      <c r="C10430" t="inlineStr">
        <is>
          <t>Föryngringsavverkning</t>
        </is>
      </c>
      <c r="D10430" s="1" t="n">
        <v>46149</v>
      </c>
      <c r="E10430" s="1" t="n">
        <v>46326</v>
      </c>
      <c r="F10430" t="inlineStr">
        <is>
          <t>GÄVLEBORGS LÄN</t>
        </is>
      </c>
      <c r="G10430" t="inlineStr">
        <is>
          <t>BOLLNÄS</t>
        </is>
      </c>
      <c r="I10430" t="n">
        <v>8.300000000000001</v>
      </c>
      <c r="J10430" t="n">
        <v>0</v>
      </c>
      <c r="K10430" t="n">
        <v>0</v>
      </c>
      <c r="L10430" t="n">
        <v>0</v>
      </c>
      <c r="M10430" t="n">
        <v>0</v>
      </c>
      <c r="N10430" t="n">
        <v>0</v>
      </c>
      <c r="O10430" t="n">
        <v>0</v>
      </c>
      <c r="P10430" t="n">
        <v>0</v>
      </c>
      <c r="Q10430" t="n">
        <v>0</v>
      </c>
      <c r="R10430" t="n">
        <v>0</v>
      </c>
      <c r="S10430" t="n">
        <v>0</v>
      </c>
      <c r="T10430" t="n">
        <v>0</v>
      </c>
      <c r="U10430" t="n">
        <v>0</v>
      </c>
      <c r="V10430" s="2" t="inlineStr"/>
    </row>
    <row r="10431" ht="15" customHeight="1">
      <c r="A10431" t="inlineStr">
        <is>
          <t>A 21695-2026</t>
        </is>
      </c>
      <c r="B10431" t="inlineStr">
        <is>
          <t>avverkningsanmälan</t>
        </is>
      </c>
      <c r="C10431" t="inlineStr">
        <is>
          <t>Föryngringsavverkning</t>
        </is>
      </c>
      <c r="D10431" s="1" t="n">
        <v>46149</v>
      </c>
      <c r="E10431" s="1" t="n">
        <v>46326</v>
      </c>
      <c r="F10431" t="inlineStr">
        <is>
          <t>GÄVLEBORGS LÄN</t>
        </is>
      </c>
      <c r="G10431" t="inlineStr">
        <is>
          <t>BOLLNÄS</t>
        </is>
      </c>
      <c r="I10431" t="n">
        <v>1.9</v>
      </c>
      <c r="J10431" t="n">
        <v>0</v>
      </c>
      <c r="K10431" t="n">
        <v>0</v>
      </c>
      <c r="L10431" t="n">
        <v>0</v>
      </c>
      <c r="M10431" t="n">
        <v>0</v>
      </c>
      <c r="N10431" t="n">
        <v>0</v>
      </c>
      <c r="O10431" t="n">
        <v>0</v>
      </c>
      <c r="P10431" t="n">
        <v>0</v>
      </c>
      <c r="Q10431" t="n">
        <v>0</v>
      </c>
      <c r="R10431" t="n">
        <v>0</v>
      </c>
      <c r="S10431" t="n">
        <v>0</v>
      </c>
      <c r="T10431" t="n">
        <v>0</v>
      </c>
      <c r="U10431" t="n">
        <v>0</v>
      </c>
      <c r="V10431" s="2" t="inlineStr"/>
    </row>
    <row r="10432" ht="15" customHeight="1">
      <c r="A10432" t="inlineStr">
        <is>
          <t>A 20133-2026</t>
        </is>
      </c>
      <c r="B10432" t="inlineStr">
        <is>
          <t>avverkningsanmälan</t>
        </is>
      </c>
      <c r="C10432" t="inlineStr">
        <is>
          <t>Föryngringsavverkning</t>
        </is>
      </c>
      <c r="D10432" s="1" t="n">
        <v>46136</v>
      </c>
      <c r="E10432" s="1" t="n">
        <v>46326</v>
      </c>
      <c r="F10432" t="inlineStr">
        <is>
          <t>GÄVLEBORGS LÄN</t>
        </is>
      </c>
      <c r="G10432" t="inlineStr">
        <is>
          <t>NORDANSTIG</t>
        </is>
      </c>
      <c r="I10432" t="n">
        <v>1</v>
      </c>
      <c r="J10432" t="n">
        <v>0</v>
      </c>
      <c r="K10432" t="n">
        <v>0</v>
      </c>
      <c r="L10432" t="n">
        <v>0</v>
      </c>
      <c r="M10432" t="n">
        <v>0</v>
      </c>
      <c r="N10432" t="n">
        <v>0</v>
      </c>
      <c r="O10432" t="n">
        <v>0</v>
      </c>
      <c r="P10432" t="n">
        <v>0</v>
      </c>
      <c r="Q10432" t="n">
        <v>0</v>
      </c>
      <c r="R10432" t="n">
        <v>0</v>
      </c>
      <c r="S10432" t="n">
        <v>0</v>
      </c>
      <c r="T10432" t="n">
        <v>0</v>
      </c>
      <c r="U10432" t="n">
        <v>0</v>
      </c>
      <c r="V10432" s="2" t="inlineStr"/>
    </row>
    <row r="10433" ht="15" customHeight="1">
      <c r="A10433" t="inlineStr">
        <is>
          <t>A 34607-2026</t>
        </is>
      </c>
      <c r="B10433" t="inlineStr">
        <is>
          <t>avverkningsanmälan</t>
        </is>
      </c>
      <c r="C10433" t="inlineStr">
        <is>
          <t>Föryngringsavverkning</t>
        </is>
      </c>
      <c r="D10433" s="1" t="n">
        <v>46255</v>
      </c>
      <c r="E10433" s="1" t="n">
        <v>46326</v>
      </c>
      <c r="F10433" t="inlineStr">
        <is>
          <t>GÄVLEBORGS LÄN</t>
        </is>
      </c>
      <c r="G10433" t="inlineStr">
        <is>
          <t>OVANÅKER</t>
        </is>
      </c>
      <c r="H10433" t="inlineStr">
        <is>
          <t>Bergvik skog väst AB</t>
        </is>
      </c>
      <c r="I10433" t="n">
        <v>2.2</v>
      </c>
      <c r="J10433" t="n">
        <v>0</v>
      </c>
      <c r="K10433" t="n">
        <v>0</v>
      </c>
      <c r="L10433" t="n">
        <v>0</v>
      </c>
      <c r="M10433" t="n">
        <v>0</v>
      </c>
      <c r="N10433" t="n">
        <v>0</v>
      </c>
      <c r="O10433" t="n">
        <v>0</v>
      </c>
      <c r="P10433" t="n">
        <v>0</v>
      </c>
      <c r="Q10433" t="n">
        <v>0</v>
      </c>
      <c r="R10433" t="n">
        <v>0</v>
      </c>
      <c r="S10433" t="n">
        <v>0</v>
      </c>
      <c r="T10433" t="n">
        <v>0</v>
      </c>
      <c r="U10433" t="n">
        <v>0</v>
      </c>
      <c r="V10433" s="2" t="inlineStr"/>
    </row>
    <row r="10434" ht="15" customHeight="1">
      <c r="A10434" t="inlineStr">
        <is>
          <t>A 11116-2026</t>
        </is>
      </c>
      <c r="B10434" t="inlineStr">
        <is>
          <t>avverkningsanmälan</t>
        </is>
      </c>
      <c r="C10434" t="inlineStr">
        <is>
          <t>Föryngringsavverkning</t>
        </is>
      </c>
      <c r="D10434" s="1" t="n">
        <v>46079</v>
      </c>
      <c r="E10434" s="1" t="n">
        <v>46326</v>
      </c>
      <c r="F10434" t="inlineStr">
        <is>
          <t>GÄVLEBORGS LÄN</t>
        </is>
      </c>
      <c r="G10434" t="inlineStr">
        <is>
          <t>OCKELBO</t>
        </is>
      </c>
      <c r="H10434" t="inlineStr">
        <is>
          <t>Bergvik skog väst AB</t>
        </is>
      </c>
      <c r="I10434" t="n">
        <v>6.8</v>
      </c>
      <c r="J10434" t="n">
        <v>0</v>
      </c>
      <c r="K10434" t="n">
        <v>0</v>
      </c>
      <c r="L10434" t="n">
        <v>0</v>
      </c>
      <c r="M10434" t="n">
        <v>0</v>
      </c>
      <c r="N10434" t="n">
        <v>0</v>
      </c>
      <c r="O10434" t="n">
        <v>0</v>
      </c>
      <c r="P10434" t="n">
        <v>0</v>
      </c>
      <c r="Q10434" t="n">
        <v>0</v>
      </c>
      <c r="R10434" t="n">
        <v>0</v>
      </c>
      <c r="S10434" t="n">
        <v>0</v>
      </c>
      <c r="T10434" t="n">
        <v>0</v>
      </c>
      <c r="U10434" t="n">
        <v>0</v>
      </c>
      <c r="V10434" s="2" t="inlineStr"/>
    </row>
    <row r="10435" ht="15" customHeight="1">
      <c r="A10435" t="inlineStr">
        <is>
          <t>A 26671-2026</t>
        </is>
      </c>
      <c r="B10435" t="inlineStr">
        <is>
          <t>avverkningsanmälan</t>
        </is>
      </c>
      <c r="C10435" t="inlineStr">
        <is>
          <t>Föryngringsavverkning</t>
        </is>
      </c>
      <c r="D10435" s="1" t="n">
        <v>46184</v>
      </c>
      <c r="E10435" s="1" t="n">
        <v>46326</v>
      </c>
      <c r="F10435" t="inlineStr">
        <is>
          <t>GÄVLEBORGS LÄN</t>
        </is>
      </c>
      <c r="G10435" t="inlineStr">
        <is>
          <t>NORDANSTIG</t>
        </is>
      </c>
      <c r="I10435" t="n">
        <v>1</v>
      </c>
      <c r="J10435" t="n">
        <v>0</v>
      </c>
      <c r="K10435" t="n">
        <v>0</v>
      </c>
      <c r="L10435" t="n">
        <v>0</v>
      </c>
      <c r="M10435" t="n">
        <v>0</v>
      </c>
      <c r="N10435" t="n">
        <v>0</v>
      </c>
      <c r="O10435" t="n">
        <v>0</v>
      </c>
      <c r="P10435" t="n">
        <v>0</v>
      </c>
      <c r="Q10435" t="n">
        <v>0</v>
      </c>
      <c r="R10435" t="n">
        <v>0</v>
      </c>
      <c r="S10435" t="n">
        <v>0</v>
      </c>
      <c r="T10435" t="n">
        <v>0</v>
      </c>
      <c r="U10435" t="n">
        <v>0</v>
      </c>
      <c r="V10435" s="2" t="inlineStr"/>
    </row>
    <row r="10436" ht="15" customHeight="1">
      <c r="A10436" t="inlineStr">
        <is>
          <t>A 41544-2026</t>
        </is>
      </c>
      <c r="B10436" t="inlineStr">
        <is>
          <t>avverkningsanmälan</t>
        </is>
      </c>
      <c r="C10436" t="inlineStr">
        <is>
          <t>Föryngringsavverkning</t>
        </is>
      </c>
      <c r="D10436" s="1" t="n">
        <v>46301</v>
      </c>
      <c r="E10436" s="1" t="n">
        <v>46326</v>
      </c>
      <c r="F10436" t="inlineStr">
        <is>
          <t>GÄVLEBORGS LÄN</t>
        </is>
      </c>
      <c r="G10436" t="inlineStr">
        <is>
          <t>GÄVLE</t>
        </is>
      </c>
      <c r="H10436" t="inlineStr">
        <is>
          <t>Bergvik skog öst AB</t>
        </is>
      </c>
      <c r="I10436" t="n">
        <v>0.5</v>
      </c>
      <c r="J10436" t="n">
        <v>0</v>
      </c>
      <c r="K10436" t="n">
        <v>0</v>
      </c>
      <c r="L10436" t="n">
        <v>0</v>
      </c>
      <c r="M10436" t="n">
        <v>0</v>
      </c>
      <c r="N10436" t="n">
        <v>0</v>
      </c>
      <c r="O10436" t="n">
        <v>0</v>
      </c>
      <c r="P10436" t="n">
        <v>0</v>
      </c>
      <c r="Q10436" t="n">
        <v>0</v>
      </c>
      <c r="R10436" t="n">
        <v>0</v>
      </c>
      <c r="S10436" t="n">
        <v>0</v>
      </c>
      <c r="T10436" t="n">
        <v>0</v>
      </c>
      <c r="U10436" t="n">
        <v>0</v>
      </c>
      <c r="V10436" s="2" t="inlineStr"/>
    </row>
    <row r="10437" ht="15" customHeight="1">
      <c r="A10437" t="inlineStr">
        <is>
          <t>A 41498-2026</t>
        </is>
      </c>
      <c r="B10437" t="inlineStr">
        <is>
          <t>avverkningsanmälan</t>
        </is>
      </c>
      <c r="C10437" t="inlineStr">
        <is>
          <t>Föryngringsavverkning</t>
        </is>
      </c>
      <c r="D10437" s="1" t="n">
        <v>46301</v>
      </c>
      <c r="E10437" s="1" t="n">
        <v>46326</v>
      </c>
      <c r="F10437" t="inlineStr">
        <is>
          <t>GÄVLEBORGS LÄN</t>
        </is>
      </c>
      <c r="G10437" t="inlineStr">
        <is>
          <t>LJUSDAL</t>
        </is>
      </c>
      <c r="H10437" t="inlineStr">
        <is>
          <t>SCA</t>
        </is>
      </c>
      <c r="I10437" t="n">
        <v>0.5</v>
      </c>
      <c r="J10437" t="n">
        <v>0</v>
      </c>
      <c r="K10437" t="n">
        <v>0</v>
      </c>
      <c r="L10437" t="n">
        <v>0</v>
      </c>
      <c r="M10437" t="n">
        <v>0</v>
      </c>
      <c r="N10437" t="n">
        <v>0</v>
      </c>
      <c r="O10437" t="n">
        <v>0</v>
      </c>
      <c r="P10437" t="n">
        <v>0</v>
      </c>
      <c r="Q10437" t="n">
        <v>0</v>
      </c>
      <c r="R10437" t="n">
        <v>0</v>
      </c>
      <c r="S10437" t="n">
        <v>0</v>
      </c>
      <c r="T10437" t="n">
        <v>0</v>
      </c>
      <c r="U10437" t="n">
        <v>0</v>
      </c>
      <c r="V10437" s="2" t="inlineStr"/>
    </row>
    <row r="10438" ht="15" customHeight="1">
      <c r="A10438" t="inlineStr">
        <is>
          <t>A 34541-2026</t>
        </is>
      </c>
      <c r="B10438" t="inlineStr">
        <is>
          <t>avverkningsanmälan</t>
        </is>
      </c>
      <c r="C10438" t="inlineStr">
        <is>
          <t>Föryngringsavverkning</t>
        </is>
      </c>
      <c r="D10438" s="1" t="n">
        <v>46255</v>
      </c>
      <c r="E10438" s="1" t="n">
        <v>46326</v>
      </c>
      <c r="F10438" t="inlineStr">
        <is>
          <t>GÄVLEBORGS LÄN</t>
        </is>
      </c>
      <c r="G10438" t="inlineStr">
        <is>
          <t>LJUSDAL</t>
        </is>
      </c>
      <c r="H10438" t="inlineStr">
        <is>
          <t>Bergvik skog väst AB</t>
        </is>
      </c>
      <c r="I10438" t="n">
        <v>12.7</v>
      </c>
      <c r="J10438" t="n">
        <v>0</v>
      </c>
      <c r="K10438" t="n">
        <v>0</v>
      </c>
      <c r="L10438" t="n">
        <v>0</v>
      </c>
      <c r="M10438" t="n">
        <v>0</v>
      </c>
      <c r="N10438" t="n">
        <v>0</v>
      </c>
      <c r="O10438" t="n">
        <v>0</v>
      </c>
      <c r="P10438" t="n">
        <v>0</v>
      </c>
      <c r="Q10438" t="n">
        <v>0</v>
      </c>
      <c r="R10438" t="n">
        <v>0</v>
      </c>
      <c r="S10438" t="n">
        <v>0</v>
      </c>
      <c r="T10438" t="n">
        <v>0</v>
      </c>
      <c r="U10438" t="n">
        <v>0</v>
      </c>
      <c r="V10438" s="2" t="inlineStr"/>
    </row>
    <row r="10439" ht="15" customHeight="1">
      <c r="A10439" t="inlineStr">
        <is>
          <t>A 34568-2026</t>
        </is>
      </c>
      <c r="B10439" t="inlineStr">
        <is>
          <t>avverkningsanmälan</t>
        </is>
      </c>
      <c r="C10439" t="inlineStr">
        <is>
          <t>Föryngringsavverkning</t>
        </is>
      </c>
      <c r="D10439" s="1" t="n">
        <v>46255</v>
      </c>
      <c r="E10439" s="1" t="n">
        <v>46326</v>
      </c>
      <c r="F10439" t="inlineStr">
        <is>
          <t>GÄVLEBORGS LÄN</t>
        </is>
      </c>
      <c r="G10439" t="inlineStr">
        <is>
          <t>OVANÅKER</t>
        </is>
      </c>
      <c r="H10439" t="inlineStr">
        <is>
          <t>Bergvik skog väst AB</t>
        </is>
      </c>
      <c r="I10439" t="n">
        <v>2.7</v>
      </c>
      <c r="J10439" t="n">
        <v>0</v>
      </c>
      <c r="K10439" t="n">
        <v>0</v>
      </c>
      <c r="L10439" t="n">
        <v>0</v>
      </c>
      <c r="M10439" t="n">
        <v>0</v>
      </c>
      <c r="N10439" t="n">
        <v>0</v>
      </c>
      <c r="O10439" t="n">
        <v>0</v>
      </c>
      <c r="P10439" t="n">
        <v>0</v>
      </c>
      <c r="Q10439" t="n">
        <v>0</v>
      </c>
      <c r="R10439" t="n">
        <v>0</v>
      </c>
      <c r="S10439" t="n">
        <v>0</v>
      </c>
      <c r="T10439" t="n">
        <v>0</v>
      </c>
      <c r="U10439" t="n">
        <v>0</v>
      </c>
      <c r="V10439" s="2" t="inlineStr"/>
    </row>
    <row r="10440" ht="15" customHeight="1">
      <c r="A10440" t="inlineStr">
        <is>
          <t>A 34590-2026</t>
        </is>
      </c>
      <c r="B10440" t="inlineStr">
        <is>
          <t>avverkningsanmälan</t>
        </is>
      </c>
      <c r="C10440" t="inlineStr">
        <is>
          <t>Föryngringsavverkning</t>
        </is>
      </c>
      <c r="D10440" s="1" t="n">
        <v>46255</v>
      </c>
      <c r="E10440" s="1" t="n">
        <v>46326</v>
      </c>
      <c r="F10440" t="inlineStr">
        <is>
          <t>GÄVLEBORGS LÄN</t>
        </is>
      </c>
      <c r="G10440" t="inlineStr">
        <is>
          <t>GÄVLE</t>
        </is>
      </c>
      <c r="H10440" t="inlineStr">
        <is>
          <t>Bergvik skog öst AB</t>
        </is>
      </c>
      <c r="I10440" t="n">
        <v>1.9</v>
      </c>
      <c r="J10440" t="n">
        <v>0</v>
      </c>
      <c r="K10440" t="n">
        <v>0</v>
      </c>
      <c r="L10440" t="n">
        <v>0</v>
      </c>
      <c r="M10440" t="n">
        <v>0</v>
      </c>
      <c r="N10440" t="n">
        <v>0</v>
      </c>
      <c r="O10440" t="n">
        <v>0</v>
      </c>
      <c r="P10440" t="n">
        <v>0</v>
      </c>
      <c r="Q10440" t="n">
        <v>0</v>
      </c>
      <c r="R10440" t="n">
        <v>0</v>
      </c>
      <c r="S10440" t="n">
        <v>0</v>
      </c>
      <c r="T10440" t="n">
        <v>0</v>
      </c>
      <c r="U10440" t="n">
        <v>0</v>
      </c>
      <c r="V10440" s="2" t="inlineStr"/>
    </row>
    <row r="10441" ht="15" customHeight="1">
      <c r="A10441" t="inlineStr">
        <is>
          <t>A 34593-2026</t>
        </is>
      </c>
      <c r="B10441" t="inlineStr">
        <is>
          <t>avverkningsanmälan</t>
        </is>
      </c>
      <c r="C10441" t="inlineStr">
        <is>
          <t>Föryngringsavverkning</t>
        </is>
      </c>
      <c r="D10441" s="1" t="n">
        <v>46255</v>
      </c>
      <c r="E10441" s="1" t="n">
        <v>46326</v>
      </c>
      <c r="F10441" t="inlineStr">
        <is>
          <t>GÄVLEBORGS LÄN</t>
        </is>
      </c>
      <c r="G10441" t="inlineStr">
        <is>
          <t>GÄVLE</t>
        </is>
      </c>
      <c r="I10441" t="n">
        <v>1</v>
      </c>
      <c r="J10441" t="n">
        <v>0</v>
      </c>
      <c r="K10441" t="n">
        <v>0</v>
      </c>
      <c r="L10441" t="n">
        <v>0</v>
      </c>
      <c r="M10441" t="n">
        <v>0</v>
      </c>
      <c r="N10441" t="n">
        <v>0</v>
      </c>
      <c r="O10441" t="n">
        <v>0</v>
      </c>
      <c r="P10441" t="n">
        <v>0</v>
      </c>
      <c r="Q10441" t="n">
        <v>0</v>
      </c>
      <c r="R10441" t="n">
        <v>0</v>
      </c>
      <c r="S10441" t="n">
        <v>0</v>
      </c>
      <c r="T10441" t="n">
        <v>0</v>
      </c>
      <c r="U10441" t="n">
        <v>0</v>
      </c>
      <c r="V10441" s="2" t="inlineStr"/>
    </row>
    <row r="10442" ht="15" customHeight="1">
      <c r="A10442" t="inlineStr">
        <is>
          <t>A 34603-2026</t>
        </is>
      </c>
      <c r="B10442" t="inlineStr">
        <is>
          <t>avverkningsanmälan</t>
        </is>
      </c>
      <c r="C10442" t="inlineStr">
        <is>
          <t>Föryngringsavverkning</t>
        </is>
      </c>
      <c r="D10442" s="1" t="n">
        <v>46255</v>
      </c>
      <c r="E10442" s="1" t="n">
        <v>46326</v>
      </c>
      <c r="F10442" t="inlineStr">
        <is>
          <t>GÄVLEBORGS LÄN</t>
        </is>
      </c>
      <c r="G10442" t="inlineStr">
        <is>
          <t>SANDVIKEN</t>
        </is>
      </c>
      <c r="H10442" t="inlineStr">
        <is>
          <t>Sveaskog</t>
        </is>
      </c>
      <c r="I10442" t="n">
        <v>2.1</v>
      </c>
      <c r="J10442" t="n">
        <v>0</v>
      </c>
      <c r="K10442" t="n">
        <v>0</v>
      </c>
      <c r="L10442" t="n">
        <v>0</v>
      </c>
      <c r="M10442" t="n">
        <v>0</v>
      </c>
      <c r="N10442" t="n">
        <v>0</v>
      </c>
      <c r="O10442" t="n">
        <v>0</v>
      </c>
      <c r="P10442" t="n">
        <v>0</v>
      </c>
      <c r="Q10442" t="n">
        <v>0</v>
      </c>
      <c r="R10442" t="n">
        <v>0</v>
      </c>
      <c r="S10442" t="n">
        <v>0</v>
      </c>
      <c r="T10442" t="n">
        <v>0</v>
      </c>
      <c r="U10442" t="n">
        <v>0</v>
      </c>
      <c r="V10442" s="2" t="inlineStr"/>
    </row>
    <row r="10443" ht="15" customHeight="1">
      <c r="A10443" t="inlineStr">
        <is>
          <t>A 34608-2026</t>
        </is>
      </c>
      <c r="B10443" t="inlineStr">
        <is>
          <t>avverkningsanmälan</t>
        </is>
      </c>
      <c r="C10443" t="inlineStr">
        <is>
          <t>Föryngringsavverkning</t>
        </is>
      </c>
      <c r="D10443" s="1" t="n">
        <v>46255</v>
      </c>
      <c r="E10443" s="1" t="n">
        <v>46326</v>
      </c>
      <c r="F10443" t="inlineStr">
        <is>
          <t>GÄVLEBORGS LÄN</t>
        </is>
      </c>
      <c r="G10443" t="inlineStr">
        <is>
          <t>SANDVIKEN</t>
        </is>
      </c>
      <c r="I10443" t="n">
        <v>1.4</v>
      </c>
      <c r="J10443" t="n">
        <v>0</v>
      </c>
      <c r="K10443" t="n">
        <v>0</v>
      </c>
      <c r="L10443" t="n">
        <v>0</v>
      </c>
      <c r="M10443" t="n">
        <v>0</v>
      </c>
      <c r="N10443" t="n">
        <v>0</v>
      </c>
      <c r="O10443" t="n">
        <v>0</v>
      </c>
      <c r="P10443" t="n">
        <v>0</v>
      </c>
      <c r="Q10443" t="n">
        <v>0</v>
      </c>
      <c r="R10443" t="n">
        <v>0</v>
      </c>
      <c r="S10443" t="n">
        <v>0</v>
      </c>
      <c r="T10443" t="n">
        <v>0</v>
      </c>
      <c r="U10443" t="n">
        <v>0</v>
      </c>
      <c r="V10443" s="2" t="inlineStr"/>
    </row>
    <row r="10444" ht="15" customHeight="1">
      <c r="A10444" t="inlineStr">
        <is>
          <t>A 34705-2026</t>
        </is>
      </c>
      <c r="B10444" t="inlineStr">
        <is>
          <t>avverkningsanmälan</t>
        </is>
      </c>
      <c r="C10444" t="inlineStr">
        <is>
          <t>Föryngringsavverkning</t>
        </is>
      </c>
      <c r="D10444" s="1" t="n">
        <v>46258</v>
      </c>
      <c r="E10444" s="1" t="n">
        <v>46326</v>
      </c>
      <c r="F10444" t="inlineStr">
        <is>
          <t>GÄVLEBORGS LÄN</t>
        </is>
      </c>
      <c r="G10444" t="inlineStr">
        <is>
          <t>SÖDERHAMN</t>
        </is>
      </c>
      <c r="H10444" t="inlineStr">
        <is>
          <t>Bergvik skog väst AB</t>
        </is>
      </c>
      <c r="I10444" t="n">
        <v>3.4</v>
      </c>
      <c r="J10444" t="n">
        <v>0</v>
      </c>
      <c r="K10444" t="n">
        <v>0</v>
      </c>
      <c r="L10444" t="n">
        <v>0</v>
      </c>
      <c r="M10444" t="n">
        <v>0</v>
      </c>
      <c r="N10444" t="n">
        <v>0</v>
      </c>
      <c r="O10444" t="n">
        <v>0</v>
      </c>
      <c r="P10444" t="n">
        <v>0</v>
      </c>
      <c r="Q10444" t="n">
        <v>0</v>
      </c>
      <c r="R10444" t="n">
        <v>0</v>
      </c>
      <c r="S10444" t="n">
        <v>0</v>
      </c>
      <c r="T10444" t="n">
        <v>0</v>
      </c>
      <c r="U10444" t="n">
        <v>0</v>
      </c>
      <c r="V10444" s="2" t="inlineStr"/>
    </row>
    <row r="10445" ht="15" customHeight="1">
      <c r="A10445" t="inlineStr">
        <is>
          <t>A 41895-2026</t>
        </is>
      </c>
      <c r="B10445" t="inlineStr">
        <is>
          <t>avverkningsanmälan</t>
        </is>
      </c>
      <c r="C10445" t="inlineStr">
        <is>
          <t>Föryngringsavverkning</t>
        </is>
      </c>
      <c r="D10445" s="1" t="n">
        <v>46303</v>
      </c>
      <c r="E10445" s="1" t="n">
        <v>46326</v>
      </c>
      <c r="F10445" t="inlineStr">
        <is>
          <t>GÄVLEBORGS LÄN</t>
        </is>
      </c>
      <c r="G10445" t="inlineStr">
        <is>
          <t>BOLLNÄS</t>
        </is>
      </c>
      <c r="I10445" t="n">
        <v>1.2</v>
      </c>
      <c r="J10445" t="n">
        <v>0</v>
      </c>
      <c r="K10445" t="n">
        <v>0</v>
      </c>
      <c r="L10445" t="n">
        <v>0</v>
      </c>
      <c r="M10445" t="n">
        <v>0</v>
      </c>
      <c r="N10445" t="n">
        <v>0</v>
      </c>
      <c r="O10445" t="n">
        <v>0</v>
      </c>
      <c r="P10445" t="n">
        <v>0</v>
      </c>
      <c r="Q10445" t="n">
        <v>0</v>
      </c>
      <c r="R10445" t="n">
        <v>0</v>
      </c>
      <c r="S10445" t="n">
        <v>0</v>
      </c>
      <c r="T10445" t="n">
        <v>0</v>
      </c>
      <c r="U10445" t="n">
        <v>0</v>
      </c>
      <c r="V10445" s="2" t="inlineStr"/>
    </row>
    <row r="10446" ht="15" customHeight="1">
      <c r="A10446" t="inlineStr">
        <is>
          <t>A 5883-2026</t>
        </is>
      </c>
      <c r="B10446" t="inlineStr">
        <is>
          <t>avverkningsanmälan</t>
        </is>
      </c>
      <c r="C10446" t="inlineStr">
        <is>
          <t>Föryngringsavverkning</t>
        </is>
      </c>
      <c r="D10446" s="1" t="n">
        <v>46052</v>
      </c>
      <c r="E10446" s="1" t="n">
        <v>46326</v>
      </c>
      <c r="F10446" t="inlineStr">
        <is>
          <t>GÄVLEBORGS LÄN</t>
        </is>
      </c>
      <c r="G10446" t="inlineStr">
        <is>
          <t>LJUSDAL</t>
        </is>
      </c>
      <c r="I10446" t="n">
        <v>2.2</v>
      </c>
      <c r="J10446" t="n">
        <v>0</v>
      </c>
      <c r="K10446" t="n">
        <v>0</v>
      </c>
      <c r="L10446" t="n">
        <v>0</v>
      </c>
      <c r="M10446" t="n">
        <v>0</v>
      </c>
      <c r="N10446" t="n">
        <v>0</v>
      </c>
      <c r="O10446" t="n">
        <v>0</v>
      </c>
      <c r="P10446" t="n">
        <v>0</v>
      </c>
      <c r="Q10446" t="n">
        <v>0</v>
      </c>
      <c r="R10446" t="n">
        <v>0</v>
      </c>
      <c r="S10446" t="n">
        <v>0</v>
      </c>
      <c r="T10446" t="n">
        <v>0</v>
      </c>
      <c r="U10446" t="n">
        <v>0</v>
      </c>
      <c r="V10446" s="2" t="inlineStr"/>
    </row>
    <row r="10447" ht="15" customHeight="1">
      <c r="A10447" t="inlineStr">
        <is>
          <t>A 21555-2026</t>
        </is>
      </c>
      <c r="B10447" t="inlineStr">
        <is>
          <t>avverkningsanmälan</t>
        </is>
      </c>
      <c r="C10447" t="inlineStr">
        <is>
          <t>Föryngringsavverkning</t>
        </is>
      </c>
      <c r="D10447" s="1" t="n">
        <v>46148</v>
      </c>
      <c r="E10447" s="1" t="n">
        <v>46326</v>
      </c>
      <c r="F10447" t="inlineStr">
        <is>
          <t>GÄVLEBORGS LÄN</t>
        </is>
      </c>
      <c r="G10447" t="inlineStr">
        <is>
          <t>BOLLNÄS</t>
        </is>
      </c>
      <c r="I10447" t="n">
        <v>8.9</v>
      </c>
      <c r="J10447" t="n">
        <v>0</v>
      </c>
      <c r="K10447" t="n">
        <v>0</v>
      </c>
      <c r="L10447" t="n">
        <v>0</v>
      </c>
      <c r="M10447" t="n">
        <v>0</v>
      </c>
      <c r="N10447" t="n">
        <v>0</v>
      </c>
      <c r="O10447" t="n">
        <v>0</v>
      </c>
      <c r="P10447" t="n">
        <v>0</v>
      </c>
      <c r="Q10447" t="n">
        <v>0</v>
      </c>
      <c r="R10447" t="n">
        <v>0</v>
      </c>
      <c r="S10447" t="n">
        <v>0</v>
      </c>
      <c r="T10447" t="n">
        <v>0</v>
      </c>
      <c r="U10447" t="n">
        <v>0</v>
      </c>
      <c r="V10447" s="2" t="inlineStr"/>
    </row>
    <row r="10448" ht="15" customHeight="1">
      <c r="A10448" t="inlineStr">
        <is>
          <t>A 518-2026</t>
        </is>
      </c>
      <c r="B10448" t="inlineStr">
        <is>
          <t>avverkningsanmälan</t>
        </is>
      </c>
      <c r="C10448" t="inlineStr">
        <is>
          <t>Föryngringsavverkning</t>
        </is>
      </c>
      <c r="D10448" s="1" t="n">
        <v>46029</v>
      </c>
      <c r="E10448" s="1" t="n">
        <v>46326</v>
      </c>
      <c r="F10448" t="inlineStr">
        <is>
          <t>GÄVLEBORGS LÄN</t>
        </is>
      </c>
      <c r="G10448" t="inlineStr">
        <is>
          <t>BOLLNÄS</t>
        </is>
      </c>
      <c r="I10448" t="n">
        <v>1.1</v>
      </c>
      <c r="J10448" t="n">
        <v>0</v>
      </c>
      <c r="K10448" t="n">
        <v>0</v>
      </c>
      <c r="L10448" t="n">
        <v>0</v>
      </c>
      <c r="M10448" t="n">
        <v>0</v>
      </c>
      <c r="N10448" t="n">
        <v>0</v>
      </c>
      <c r="O10448" t="n">
        <v>0</v>
      </c>
      <c r="P10448" t="n">
        <v>0</v>
      </c>
      <c r="Q10448" t="n">
        <v>0</v>
      </c>
      <c r="R10448" t="n">
        <v>0</v>
      </c>
      <c r="S10448" t="n">
        <v>0</v>
      </c>
      <c r="T10448" t="n">
        <v>0</v>
      </c>
      <c r="U10448" t="n">
        <v>0</v>
      </c>
      <c r="V10448" s="2" t="inlineStr"/>
    </row>
    <row r="10449" ht="15" customHeight="1">
      <c r="A10449" t="inlineStr">
        <is>
          <t>A 2598-2026</t>
        </is>
      </c>
      <c r="B10449" t="inlineStr">
        <is>
          <t>avverkningsanmälan</t>
        </is>
      </c>
      <c r="C10449" t="inlineStr">
        <is>
          <t>Föryngringsavverkning</t>
        </is>
      </c>
      <c r="D10449" s="1" t="n">
        <v>46037</v>
      </c>
      <c r="E10449" s="1" t="n">
        <v>46326</v>
      </c>
      <c r="F10449" t="inlineStr">
        <is>
          <t>GÄVLEBORGS LÄN</t>
        </is>
      </c>
      <c r="G10449" t="inlineStr">
        <is>
          <t>OVANÅKER</t>
        </is>
      </c>
      <c r="I10449" t="n">
        <v>1.7</v>
      </c>
      <c r="J10449" t="n">
        <v>0</v>
      </c>
      <c r="K10449" t="n">
        <v>0</v>
      </c>
      <c r="L10449" t="n">
        <v>0</v>
      </c>
      <c r="M10449" t="n">
        <v>0</v>
      </c>
      <c r="N10449" t="n">
        <v>0</v>
      </c>
      <c r="O10449" t="n">
        <v>0</v>
      </c>
      <c r="P10449" t="n">
        <v>0</v>
      </c>
      <c r="Q10449" t="n">
        <v>0</v>
      </c>
      <c r="R10449" t="n">
        <v>0</v>
      </c>
      <c r="S10449" t="n">
        <v>0</v>
      </c>
      <c r="T10449" t="n">
        <v>0</v>
      </c>
      <c r="U10449" t="n">
        <v>0</v>
      </c>
      <c r="V10449" s="2" t="inlineStr"/>
    </row>
    <row r="10450" ht="15" customHeight="1">
      <c r="A10450" t="inlineStr">
        <is>
          <t>A 63936-2025</t>
        </is>
      </c>
      <c r="B10450" t="inlineStr">
        <is>
          <t>avverkningsanmälan</t>
        </is>
      </c>
      <c r="C10450" t="inlineStr">
        <is>
          <t>Föryngringsavverkning</t>
        </is>
      </c>
      <c r="D10450" s="1" t="n">
        <v>46020</v>
      </c>
      <c r="E10450" s="1" t="n">
        <v>46326</v>
      </c>
      <c r="F10450" t="inlineStr">
        <is>
          <t>GÄVLEBORGS LÄN</t>
        </is>
      </c>
      <c r="G10450" t="inlineStr">
        <is>
          <t>BOLLNÄS</t>
        </is>
      </c>
      <c r="I10450" t="n">
        <v>48</v>
      </c>
      <c r="J10450" t="n">
        <v>0</v>
      </c>
      <c r="K10450" t="n">
        <v>0</v>
      </c>
      <c r="L10450" t="n">
        <v>0</v>
      </c>
      <c r="M10450" t="n">
        <v>0</v>
      </c>
      <c r="N10450" t="n">
        <v>0</v>
      </c>
      <c r="O10450" t="n">
        <v>0</v>
      </c>
      <c r="P10450" t="n">
        <v>0</v>
      </c>
      <c r="Q10450" t="n">
        <v>0</v>
      </c>
      <c r="R10450" t="n">
        <v>0</v>
      </c>
      <c r="S10450" t="n">
        <v>0</v>
      </c>
      <c r="T10450" t="n">
        <v>0</v>
      </c>
      <c r="U10450" t="n">
        <v>0</v>
      </c>
      <c r="V10450" s="2" t="inlineStr"/>
    </row>
    <row r="10451" ht="15" customHeight="1">
      <c r="A10451" t="inlineStr">
        <is>
          <t>A 14262-2026</t>
        </is>
      </c>
      <c r="B10451" t="inlineStr">
        <is>
          <t>avverkningsanmälan</t>
        </is>
      </c>
      <c r="C10451" t="inlineStr">
        <is>
          <t>Föryngringsavverkning</t>
        </is>
      </c>
      <c r="D10451" s="1" t="n">
        <v>46099</v>
      </c>
      <c r="E10451" s="1" t="n">
        <v>46326</v>
      </c>
      <c r="F10451" t="inlineStr">
        <is>
          <t>GÄVLEBORGS LÄN</t>
        </is>
      </c>
      <c r="G10451" t="inlineStr">
        <is>
          <t>BOLLNÄS</t>
        </is>
      </c>
      <c r="I10451" t="n">
        <v>2.7</v>
      </c>
      <c r="J10451" t="n">
        <v>0</v>
      </c>
      <c r="K10451" t="n">
        <v>0</v>
      </c>
      <c r="L10451" t="n">
        <v>0</v>
      </c>
      <c r="M10451" t="n">
        <v>0</v>
      </c>
      <c r="N10451" t="n">
        <v>0</v>
      </c>
      <c r="O10451" t="n">
        <v>0</v>
      </c>
      <c r="P10451" t="n">
        <v>0</v>
      </c>
      <c r="Q10451" t="n">
        <v>0</v>
      </c>
      <c r="R10451" t="n">
        <v>0</v>
      </c>
      <c r="S10451" t="n">
        <v>0</v>
      </c>
      <c r="T10451" t="n">
        <v>0</v>
      </c>
      <c r="U10451" t="n">
        <v>0</v>
      </c>
      <c r="V10451" s="2" t="inlineStr"/>
    </row>
    <row r="10452" ht="15" customHeight="1">
      <c r="A10452" t="inlineStr">
        <is>
          <t>A 21550-2026</t>
        </is>
      </c>
      <c r="B10452" t="inlineStr">
        <is>
          <t>avverkningsanmälan</t>
        </is>
      </c>
      <c r="C10452" t="inlineStr">
        <is>
          <t>Föryngringsavverkning</t>
        </is>
      </c>
      <c r="D10452" s="1" t="n">
        <v>46148</v>
      </c>
      <c r="E10452" s="1" t="n">
        <v>46326</v>
      </c>
      <c r="F10452" t="inlineStr">
        <is>
          <t>GÄVLEBORGS LÄN</t>
        </is>
      </c>
      <c r="G10452" t="inlineStr">
        <is>
          <t>BOLLNÄS</t>
        </is>
      </c>
      <c r="I10452" t="n">
        <v>3.6</v>
      </c>
      <c r="J10452" t="n">
        <v>0</v>
      </c>
      <c r="K10452" t="n">
        <v>0</v>
      </c>
      <c r="L10452" t="n">
        <v>0</v>
      </c>
      <c r="M10452" t="n">
        <v>0</v>
      </c>
      <c r="N10452" t="n">
        <v>0</v>
      </c>
      <c r="O10452" t="n">
        <v>0</v>
      </c>
      <c r="P10452" t="n">
        <v>0</v>
      </c>
      <c r="Q10452" t="n">
        <v>0</v>
      </c>
      <c r="R10452" t="n">
        <v>0</v>
      </c>
      <c r="S10452" t="n">
        <v>0</v>
      </c>
      <c r="T10452" t="n">
        <v>0</v>
      </c>
      <c r="U10452" t="n">
        <v>0</v>
      </c>
      <c r="V10452" s="2" t="inlineStr"/>
    </row>
    <row r="10453" ht="15" customHeight="1">
      <c r="A10453" t="inlineStr">
        <is>
          <t>A 35107-2026</t>
        </is>
      </c>
      <c r="B10453" t="inlineStr">
        <is>
          <t>avverkningsanmälan</t>
        </is>
      </c>
      <c r="C10453" t="inlineStr">
        <is>
          <t>Föryngringsavverkning</t>
        </is>
      </c>
      <c r="D10453" s="1" t="n">
        <v>46260</v>
      </c>
      <c r="E10453" s="1" t="n">
        <v>46326</v>
      </c>
      <c r="F10453" t="inlineStr">
        <is>
          <t>GÄVLEBORGS LÄN</t>
        </is>
      </c>
      <c r="G10453" t="inlineStr">
        <is>
          <t>SANDVIKEN</t>
        </is>
      </c>
      <c r="I10453" t="n">
        <v>6.3</v>
      </c>
      <c r="J10453" t="n">
        <v>0</v>
      </c>
      <c r="K10453" t="n">
        <v>0</v>
      </c>
      <c r="L10453" t="n">
        <v>0</v>
      </c>
      <c r="M10453" t="n">
        <v>0</v>
      </c>
      <c r="N10453" t="n">
        <v>0</v>
      </c>
      <c r="O10453" t="n">
        <v>0</v>
      </c>
      <c r="P10453" t="n">
        <v>0</v>
      </c>
      <c r="Q10453" t="n">
        <v>0</v>
      </c>
      <c r="R10453" t="n">
        <v>0</v>
      </c>
      <c r="S10453" t="n">
        <v>0</v>
      </c>
      <c r="T10453" t="n">
        <v>0</v>
      </c>
      <c r="U10453" t="n">
        <v>0</v>
      </c>
      <c r="V10453" s="2" t="inlineStr"/>
    </row>
    <row r="10454" ht="15" customHeight="1">
      <c r="A10454" t="inlineStr">
        <is>
          <t>A 21680-2026</t>
        </is>
      </c>
      <c r="B10454" t="inlineStr">
        <is>
          <t>avverkningsanmälan</t>
        </is>
      </c>
      <c r="C10454" t="inlineStr">
        <is>
          <t>Föryngringsavverkning</t>
        </is>
      </c>
      <c r="D10454" s="1" t="n">
        <v>46149</v>
      </c>
      <c r="E10454" s="1" t="n">
        <v>46326</v>
      </c>
      <c r="F10454" t="inlineStr">
        <is>
          <t>GÄVLEBORGS LÄN</t>
        </is>
      </c>
      <c r="G10454" t="inlineStr">
        <is>
          <t>BOLLNÄS</t>
        </is>
      </c>
      <c r="I10454" t="n">
        <v>0.6</v>
      </c>
      <c r="J10454" t="n">
        <v>0</v>
      </c>
      <c r="K10454" t="n">
        <v>0</v>
      </c>
      <c r="L10454" t="n">
        <v>0</v>
      </c>
      <c r="M10454" t="n">
        <v>0</v>
      </c>
      <c r="N10454" t="n">
        <v>0</v>
      </c>
      <c r="O10454" t="n">
        <v>0</v>
      </c>
      <c r="P10454" t="n">
        <v>0</v>
      </c>
      <c r="Q10454" t="n">
        <v>0</v>
      </c>
      <c r="R10454" t="n">
        <v>0</v>
      </c>
      <c r="S10454" t="n">
        <v>0</v>
      </c>
      <c r="T10454" t="n">
        <v>0</v>
      </c>
      <c r="U10454" t="n">
        <v>0</v>
      </c>
      <c r="V10454" s="2" t="inlineStr"/>
    </row>
    <row r="10455" ht="15" customHeight="1">
      <c r="A10455" t="inlineStr">
        <is>
          <t>A 18982-2026</t>
        </is>
      </c>
      <c r="B10455" t="inlineStr">
        <is>
          <t>avverkningsanmälan</t>
        </is>
      </c>
      <c r="C10455" t="inlineStr">
        <is>
          <t>Föryngringsavverkning</t>
        </is>
      </c>
      <c r="D10455" s="1" t="n">
        <v>46129</v>
      </c>
      <c r="E10455" s="1" t="n">
        <v>46326</v>
      </c>
      <c r="F10455" t="inlineStr">
        <is>
          <t>GÄVLEBORGS LÄN</t>
        </is>
      </c>
      <c r="G10455" t="inlineStr">
        <is>
          <t>BOLLNÄS</t>
        </is>
      </c>
      <c r="I10455" t="n">
        <v>0.6</v>
      </c>
      <c r="J10455" t="n">
        <v>0</v>
      </c>
      <c r="K10455" t="n">
        <v>0</v>
      </c>
      <c r="L10455" t="n">
        <v>0</v>
      </c>
      <c r="M10455" t="n">
        <v>0</v>
      </c>
      <c r="N10455" t="n">
        <v>0</v>
      </c>
      <c r="O10455" t="n">
        <v>0</v>
      </c>
      <c r="P10455" t="n">
        <v>0</v>
      </c>
      <c r="Q10455" t="n">
        <v>0</v>
      </c>
      <c r="R10455" t="n">
        <v>0</v>
      </c>
      <c r="S10455" t="n">
        <v>0</v>
      </c>
      <c r="T10455" t="n">
        <v>0</v>
      </c>
      <c r="U10455" t="n">
        <v>0</v>
      </c>
      <c r="V10455" s="2" t="inlineStr"/>
    </row>
    <row r="10456" ht="15" customHeight="1">
      <c r="A10456" t="inlineStr">
        <is>
          <t>A 22605-2026</t>
        </is>
      </c>
      <c r="B10456" t="inlineStr">
        <is>
          <t>avverkningsanmälan</t>
        </is>
      </c>
      <c r="C10456" t="inlineStr">
        <is>
          <t>Föryngringsavverkning</t>
        </is>
      </c>
      <c r="D10456" s="1" t="n">
        <v>46155</v>
      </c>
      <c r="E10456" s="1" t="n">
        <v>46326</v>
      </c>
      <c r="F10456" t="inlineStr">
        <is>
          <t>GÄVLEBORGS LÄN</t>
        </is>
      </c>
      <c r="G10456" t="inlineStr">
        <is>
          <t>BOLLNÄS</t>
        </is>
      </c>
      <c r="I10456" t="n">
        <v>0.4</v>
      </c>
      <c r="J10456" t="n">
        <v>0</v>
      </c>
      <c r="K10456" t="n">
        <v>0</v>
      </c>
      <c r="L10456" t="n">
        <v>0</v>
      </c>
      <c r="M10456" t="n">
        <v>0</v>
      </c>
      <c r="N10456" t="n">
        <v>0</v>
      </c>
      <c r="O10456" t="n">
        <v>0</v>
      </c>
      <c r="P10456" t="n">
        <v>0</v>
      </c>
      <c r="Q10456" t="n">
        <v>0</v>
      </c>
      <c r="R10456" t="n">
        <v>0</v>
      </c>
      <c r="S10456" t="n">
        <v>0</v>
      </c>
      <c r="T10456" t="n">
        <v>0</v>
      </c>
      <c r="U10456" t="n">
        <v>0</v>
      </c>
      <c r="V10456" s="2" t="inlineStr"/>
    </row>
    <row r="10457" ht="15" customHeight="1">
      <c r="A10457" t="inlineStr">
        <is>
          <t>A 26746-2026</t>
        </is>
      </c>
      <c r="B10457" t="inlineStr">
        <is>
          <t>avverkningsanmälan</t>
        </is>
      </c>
      <c r="C10457" t="inlineStr">
        <is>
          <t>Föryngringsavverkning</t>
        </is>
      </c>
      <c r="D10457" s="1" t="n">
        <v>46184</v>
      </c>
      <c r="E10457" s="1" t="n">
        <v>46326</v>
      </c>
      <c r="F10457" t="inlineStr">
        <is>
          <t>GÄVLEBORGS LÄN</t>
        </is>
      </c>
      <c r="G10457" t="inlineStr">
        <is>
          <t>HUDIKSVALL</t>
        </is>
      </c>
      <c r="H10457" t="inlineStr">
        <is>
          <t>Holmen skog AB</t>
        </is>
      </c>
      <c r="I10457" t="n">
        <v>78.5</v>
      </c>
      <c r="J10457" t="n">
        <v>0</v>
      </c>
      <c r="K10457" t="n">
        <v>0</v>
      </c>
      <c r="L10457" t="n">
        <v>0</v>
      </c>
      <c r="M10457" t="n">
        <v>0</v>
      </c>
      <c r="N10457" t="n">
        <v>0</v>
      </c>
      <c r="O10457" t="n">
        <v>0</v>
      </c>
      <c r="P10457" t="n">
        <v>0</v>
      </c>
      <c r="Q10457" t="n">
        <v>0</v>
      </c>
      <c r="R10457" t="n">
        <v>0</v>
      </c>
      <c r="S10457" t="n">
        <v>0</v>
      </c>
      <c r="T10457" t="n">
        <v>0</v>
      </c>
      <c r="U10457" t="n">
        <v>0</v>
      </c>
      <c r="V10457" s="2" t="inlineStr"/>
    </row>
    <row r="10458" ht="15" customHeight="1">
      <c r="A10458" t="inlineStr">
        <is>
          <t>A 35170-2026</t>
        </is>
      </c>
      <c r="B10458" t="inlineStr">
        <is>
          <t>avverkningsanmälan</t>
        </is>
      </c>
      <c r="C10458" t="inlineStr">
        <is>
          <t>Föryngringsavverkning</t>
        </is>
      </c>
      <c r="D10458" s="1" t="n">
        <v>46260</v>
      </c>
      <c r="E10458" s="1" t="n">
        <v>46326</v>
      </c>
      <c r="F10458" t="inlineStr">
        <is>
          <t>GÄVLEBORGS LÄN</t>
        </is>
      </c>
      <c r="G10458" t="inlineStr">
        <is>
          <t>HUDIKSVALL</t>
        </is>
      </c>
      <c r="H10458" t="inlineStr">
        <is>
          <t>Kommuner</t>
        </is>
      </c>
      <c r="I10458" t="n">
        <v>2.6</v>
      </c>
      <c r="J10458" t="n">
        <v>0</v>
      </c>
      <c r="K10458" t="n">
        <v>0</v>
      </c>
      <c r="L10458" t="n">
        <v>0</v>
      </c>
      <c r="M10458" t="n">
        <v>0</v>
      </c>
      <c r="N10458" t="n">
        <v>0</v>
      </c>
      <c r="O10458" t="n">
        <v>0</v>
      </c>
      <c r="P10458" t="n">
        <v>0</v>
      </c>
      <c r="Q10458" t="n">
        <v>0</v>
      </c>
      <c r="R10458" t="n">
        <v>0</v>
      </c>
      <c r="S10458" t="n">
        <v>0</v>
      </c>
      <c r="T10458" t="n">
        <v>0</v>
      </c>
      <c r="U10458" t="n">
        <v>0</v>
      </c>
      <c r="V10458" s="2" t="inlineStr"/>
    </row>
    <row r="10459" ht="15" customHeight="1">
      <c r="A10459" t="inlineStr">
        <is>
          <t>A 23539-2026</t>
        </is>
      </c>
      <c r="B10459" t="inlineStr">
        <is>
          <t>avverkningsanmälan</t>
        </is>
      </c>
      <c r="C10459" t="inlineStr">
        <is>
          <t>Avverkning för annat ändamål</t>
        </is>
      </c>
      <c r="D10459" s="1" t="n">
        <v>46163</v>
      </c>
      <c r="E10459" s="1" t="n">
        <v>46326</v>
      </c>
      <c r="F10459" t="inlineStr">
        <is>
          <t>GÄVLEBORGS LÄN</t>
        </is>
      </c>
      <c r="G10459" t="inlineStr">
        <is>
          <t>SANDVIKEN</t>
        </is>
      </c>
      <c r="I10459" t="n">
        <v>2.7</v>
      </c>
      <c r="J10459" t="n">
        <v>0</v>
      </c>
      <c r="K10459" t="n">
        <v>0</v>
      </c>
      <c r="L10459" t="n">
        <v>0</v>
      </c>
      <c r="M10459" t="n">
        <v>0</v>
      </c>
      <c r="N10459" t="n">
        <v>0</v>
      </c>
      <c r="O10459" t="n">
        <v>0</v>
      </c>
      <c r="P10459" t="n">
        <v>0</v>
      </c>
      <c r="Q10459" t="n">
        <v>0</v>
      </c>
      <c r="R10459" t="n">
        <v>0</v>
      </c>
      <c r="S10459" t="n">
        <v>0</v>
      </c>
      <c r="T10459" t="n">
        <v>0</v>
      </c>
      <c r="U10459" t="n">
        <v>0</v>
      </c>
      <c r="V10459" s="2" t="inlineStr"/>
    </row>
    <row r="10460" ht="15" customHeight="1">
      <c r="A10460" t="inlineStr">
        <is>
          <t>A 35162-2026</t>
        </is>
      </c>
      <c r="B10460" t="inlineStr">
        <is>
          <t>avverkningsanmälan</t>
        </is>
      </c>
      <c r="C10460" t="inlineStr">
        <is>
          <t>Föryngringsavverkning</t>
        </is>
      </c>
      <c r="D10460" s="1" t="n">
        <v>46260</v>
      </c>
      <c r="E10460" s="1" t="n">
        <v>46326</v>
      </c>
      <c r="F10460" t="inlineStr">
        <is>
          <t>GÄVLEBORGS LÄN</t>
        </is>
      </c>
      <c r="G10460" t="inlineStr">
        <is>
          <t>OVANÅKER</t>
        </is>
      </c>
      <c r="H10460" t="inlineStr">
        <is>
          <t>Bergvik skog väst AB</t>
        </is>
      </c>
      <c r="I10460" t="n">
        <v>3.8</v>
      </c>
      <c r="J10460" t="n">
        <v>0</v>
      </c>
      <c r="K10460" t="n">
        <v>0</v>
      </c>
      <c r="L10460" t="n">
        <v>0</v>
      </c>
      <c r="M10460" t="n">
        <v>0</v>
      </c>
      <c r="N10460" t="n">
        <v>0</v>
      </c>
      <c r="O10460" t="n">
        <v>0</v>
      </c>
      <c r="P10460" t="n">
        <v>0</v>
      </c>
      <c r="Q10460" t="n">
        <v>0</v>
      </c>
      <c r="R10460" t="n">
        <v>0</v>
      </c>
      <c r="S10460" t="n">
        <v>0</v>
      </c>
      <c r="T10460" t="n">
        <v>0</v>
      </c>
      <c r="U10460" t="n">
        <v>0</v>
      </c>
      <c r="V10460" s="2" t="inlineStr"/>
    </row>
    <row r="10461" ht="15" customHeight="1">
      <c r="A10461" t="inlineStr">
        <is>
          <t>A 41666-2026</t>
        </is>
      </c>
      <c r="B10461" t="inlineStr">
        <is>
          <t>avverkningsanmälan</t>
        </is>
      </c>
      <c r="C10461" t="inlineStr">
        <is>
          <t>Föryngringsavverkning</t>
        </is>
      </c>
      <c r="D10461" s="1" t="n">
        <v>46302</v>
      </c>
      <c r="E10461" s="1" t="n">
        <v>46326</v>
      </c>
      <c r="F10461" t="inlineStr">
        <is>
          <t>GÄVLEBORGS LÄN</t>
        </is>
      </c>
      <c r="G10461" t="inlineStr">
        <is>
          <t>NORDANSTIG</t>
        </is>
      </c>
      <c r="H10461" t="inlineStr">
        <is>
          <t>Holmen skog AB</t>
        </is>
      </c>
      <c r="I10461" t="n">
        <v>5.6</v>
      </c>
      <c r="J10461" t="n">
        <v>0</v>
      </c>
      <c r="K10461" t="n">
        <v>0</v>
      </c>
      <c r="L10461" t="n">
        <v>0</v>
      </c>
      <c r="M10461" t="n">
        <v>0</v>
      </c>
      <c r="N10461" t="n">
        <v>0</v>
      </c>
      <c r="O10461" t="n">
        <v>0</v>
      </c>
      <c r="P10461" t="n">
        <v>0</v>
      </c>
      <c r="Q10461" t="n">
        <v>0</v>
      </c>
      <c r="R10461" t="n">
        <v>0</v>
      </c>
      <c r="S10461" t="n">
        <v>0</v>
      </c>
      <c r="T10461" t="n">
        <v>0</v>
      </c>
      <c r="U10461" t="n">
        <v>0</v>
      </c>
      <c r="V10461" s="2" t="inlineStr"/>
    </row>
    <row r="10462" ht="15" customHeight="1">
      <c r="A10462" t="inlineStr">
        <is>
          <t>A 34988-2026</t>
        </is>
      </c>
      <c r="B10462" t="inlineStr">
        <is>
          <t>avverkningsanmälan</t>
        </is>
      </c>
      <c r="C10462" t="inlineStr">
        <is>
          <t>Föryngringsavverkning</t>
        </is>
      </c>
      <c r="D10462" s="1" t="n">
        <v>46259</v>
      </c>
      <c r="E10462" s="1" t="n">
        <v>46326</v>
      </c>
      <c r="F10462" t="inlineStr">
        <is>
          <t>GÄVLEBORGS LÄN</t>
        </is>
      </c>
      <c r="G10462" t="inlineStr">
        <is>
          <t>BOLLNÄS</t>
        </is>
      </c>
      <c r="H10462" t="inlineStr">
        <is>
          <t>Bergvik skog väst AB</t>
        </is>
      </c>
      <c r="I10462" t="n">
        <v>7.7</v>
      </c>
      <c r="J10462" t="n">
        <v>0</v>
      </c>
      <c r="K10462" t="n">
        <v>0</v>
      </c>
      <c r="L10462" t="n">
        <v>0</v>
      </c>
      <c r="M10462" t="n">
        <v>0</v>
      </c>
      <c r="N10462" t="n">
        <v>0</v>
      </c>
      <c r="O10462" t="n">
        <v>0</v>
      </c>
      <c r="P10462" t="n">
        <v>0</v>
      </c>
      <c r="Q10462" t="n">
        <v>0</v>
      </c>
      <c r="R10462" t="n">
        <v>0</v>
      </c>
      <c r="S10462" t="n">
        <v>0</v>
      </c>
      <c r="T10462" t="n">
        <v>0</v>
      </c>
      <c r="U10462" t="n">
        <v>0</v>
      </c>
      <c r="V10462" s="2" t="inlineStr"/>
    </row>
    <row r="10463" ht="15" customHeight="1">
      <c r="A10463" t="inlineStr">
        <is>
          <t>A 34993-2026</t>
        </is>
      </c>
      <c r="B10463" t="inlineStr">
        <is>
          <t>avverkningsanmälan</t>
        </is>
      </c>
      <c r="C10463" t="inlineStr">
        <is>
          <t>Föryngringsavverkning</t>
        </is>
      </c>
      <c r="D10463" s="1" t="n">
        <v>46259</v>
      </c>
      <c r="E10463" s="1" t="n">
        <v>46326</v>
      </c>
      <c r="F10463" t="inlineStr">
        <is>
          <t>GÄVLEBORGS LÄN</t>
        </is>
      </c>
      <c r="G10463" t="inlineStr">
        <is>
          <t>HOFORS</t>
        </is>
      </c>
      <c r="H10463" t="inlineStr">
        <is>
          <t>Sveaskog</t>
        </is>
      </c>
      <c r="I10463" t="n">
        <v>6.7</v>
      </c>
      <c r="J10463" t="n">
        <v>0</v>
      </c>
      <c r="K10463" t="n">
        <v>0</v>
      </c>
      <c r="L10463" t="n">
        <v>0</v>
      </c>
      <c r="M10463" t="n">
        <v>0</v>
      </c>
      <c r="N10463" t="n">
        <v>0</v>
      </c>
      <c r="O10463" t="n">
        <v>0</v>
      </c>
      <c r="P10463" t="n">
        <v>0</v>
      </c>
      <c r="Q10463" t="n">
        <v>0</v>
      </c>
      <c r="R10463" t="n">
        <v>0</v>
      </c>
      <c r="S10463" t="n">
        <v>0</v>
      </c>
      <c r="T10463" t="n">
        <v>0</v>
      </c>
      <c r="U10463" t="n">
        <v>0</v>
      </c>
      <c r="V10463" s="2" t="inlineStr"/>
    </row>
    <row r="10464" ht="15" customHeight="1">
      <c r="A10464" t="inlineStr">
        <is>
          <t>A 34998-2026</t>
        </is>
      </c>
      <c r="B10464" t="inlineStr">
        <is>
          <t>avverkningsanmälan</t>
        </is>
      </c>
      <c r="C10464" t="inlineStr">
        <is>
          <t>Föryngringsavverkning</t>
        </is>
      </c>
      <c r="D10464" s="1" t="n">
        <v>46259</v>
      </c>
      <c r="E10464" s="1" t="n">
        <v>46326</v>
      </c>
      <c r="F10464" t="inlineStr">
        <is>
          <t>GÄVLEBORGS LÄN</t>
        </is>
      </c>
      <c r="G10464" t="inlineStr">
        <is>
          <t>NORDANSTIG</t>
        </is>
      </c>
      <c r="H10464" t="inlineStr">
        <is>
          <t>Holmen skog AB</t>
        </is>
      </c>
      <c r="I10464" t="n">
        <v>4.6</v>
      </c>
      <c r="J10464" t="n">
        <v>0</v>
      </c>
      <c r="K10464" t="n">
        <v>0</v>
      </c>
      <c r="L10464" t="n">
        <v>0</v>
      </c>
      <c r="M10464" t="n">
        <v>0</v>
      </c>
      <c r="N10464" t="n">
        <v>0</v>
      </c>
      <c r="O10464" t="n">
        <v>0</v>
      </c>
      <c r="P10464" t="n">
        <v>0</v>
      </c>
      <c r="Q10464" t="n">
        <v>0</v>
      </c>
      <c r="R10464" t="n">
        <v>0</v>
      </c>
      <c r="S10464" t="n">
        <v>0</v>
      </c>
      <c r="T10464" t="n">
        <v>0</v>
      </c>
      <c r="U10464" t="n">
        <v>0</v>
      </c>
      <c r="V10464" s="2" t="inlineStr"/>
    </row>
    <row r="10465" ht="15" customHeight="1">
      <c r="A10465" t="inlineStr">
        <is>
          <t>A 35007-2026</t>
        </is>
      </c>
      <c r="B10465" t="inlineStr">
        <is>
          <t>avverkningsanmälan</t>
        </is>
      </c>
      <c r="C10465" t="inlineStr">
        <is>
          <t>Föryngringsavverkning</t>
        </is>
      </c>
      <c r="D10465" s="1" t="n">
        <v>46259</v>
      </c>
      <c r="E10465" s="1" t="n">
        <v>46326</v>
      </c>
      <c r="F10465" t="inlineStr">
        <is>
          <t>GÄVLEBORGS LÄN</t>
        </is>
      </c>
      <c r="G10465" t="inlineStr">
        <is>
          <t>BOLLNÄS</t>
        </is>
      </c>
      <c r="H10465" t="inlineStr">
        <is>
          <t>Bergvik skog väst AB</t>
        </is>
      </c>
      <c r="I10465" t="n">
        <v>0.4</v>
      </c>
      <c r="J10465" t="n">
        <v>0</v>
      </c>
      <c r="K10465" t="n">
        <v>0</v>
      </c>
      <c r="L10465" t="n">
        <v>0</v>
      </c>
      <c r="M10465" t="n">
        <v>0</v>
      </c>
      <c r="N10465" t="n">
        <v>0</v>
      </c>
      <c r="O10465" t="n">
        <v>0</v>
      </c>
      <c r="P10465" t="n">
        <v>0</v>
      </c>
      <c r="Q10465" t="n">
        <v>0</v>
      </c>
      <c r="R10465" t="n">
        <v>0</v>
      </c>
      <c r="S10465" t="n">
        <v>0</v>
      </c>
      <c r="T10465" t="n">
        <v>0</v>
      </c>
      <c r="U10465" t="n">
        <v>0</v>
      </c>
      <c r="V10465" s="2" t="inlineStr"/>
    </row>
    <row r="10466" ht="15" customHeight="1">
      <c r="A10466" t="inlineStr">
        <is>
          <t>A 41864-2026</t>
        </is>
      </c>
      <c r="B10466" t="inlineStr">
        <is>
          <t>avverkningsanmälan</t>
        </is>
      </c>
      <c r="C10466" t="inlineStr">
        <is>
          <t>Föryngringsavverkning</t>
        </is>
      </c>
      <c r="D10466" s="1" t="n">
        <v>46303</v>
      </c>
      <c r="E10466" s="1" t="n">
        <v>46326</v>
      </c>
      <c r="F10466" t="inlineStr">
        <is>
          <t>GÄVLEBORGS LÄN</t>
        </is>
      </c>
      <c r="G10466" t="inlineStr">
        <is>
          <t>SÖDERHAMN</t>
        </is>
      </c>
      <c r="H10466" t="inlineStr">
        <is>
          <t>Kommuner</t>
        </is>
      </c>
      <c r="I10466" t="n">
        <v>1.9</v>
      </c>
      <c r="J10466" t="n">
        <v>0</v>
      </c>
      <c r="K10466" t="n">
        <v>0</v>
      </c>
      <c r="L10466" t="n">
        <v>0</v>
      </c>
      <c r="M10466" t="n">
        <v>0</v>
      </c>
      <c r="N10466" t="n">
        <v>0</v>
      </c>
      <c r="O10466" t="n">
        <v>0</v>
      </c>
      <c r="P10466" t="n">
        <v>0</v>
      </c>
      <c r="Q10466" t="n">
        <v>0</v>
      </c>
      <c r="R10466" t="n">
        <v>0</v>
      </c>
      <c r="S10466" t="n">
        <v>0</v>
      </c>
      <c r="T10466" t="n">
        <v>0</v>
      </c>
      <c r="U10466" t="n">
        <v>0</v>
      </c>
      <c r="V10466" s="2" t="inlineStr"/>
    </row>
    <row r="10467" ht="15" customHeight="1">
      <c r="A10467" t="inlineStr">
        <is>
          <t>A 41878-2026</t>
        </is>
      </c>
      <c r="B10467" t="inlineStr">
        <is>
          <t>avverkningsanmälan</t>
        </is>
      </c>
      <c r="C10467" t="inlineStr">
        <is>
          <t>Föryngringsavverkning</t>
        </is>
      </c>
      <c r="D10467" s="1" t="n">
        <v>46303</v>
      </c>
      <c r="E10467" s="1" t="n">
        <v>46326</v>
      </c>
      <c r="F10467" t="inlineStr">
        <is>
          <t>GÄVLEBORGS LÄN</t>
        </is>
      </c>
      <c r="G10467" t="inlineStr">
        <is>
          <t>BOLLNÄS</t>
        </is>
      </c>
      <c r="I10467" t="n">
        <v>0.8</v>
      </c>
      <c r="J10467" t="n">
        <v>0</v>
      </c>
      <c r="K10467" t="n">
        <v>0</v>
      </c>
      <c r="L10467" t="n">
        <v>0</v>
      </c>
      <c r="M10467" t="n">
        <v>0</v>
      </c>
      <c r="N10467" t="n">
        <v>0</v>
      </c>
      <c r="O10467" t="n">
        <v>0</v>
      </c>
      <c r="P10467" t="n">
        <v>0</v>
      </c>
      <c r="Q10467" t="n">
        <v>0</v>
      </c>
      <c r="R10467" t="n">
        <v>0</v>
      </c>
      <c r="S10467" t="n">
        <v>0</v>
      </c>
      <c r="T10467" t="n">
        <v>0</v>
      </c>
      <c r="U10467" t="n">
        <v>0</v>
      </c>
      <c r="V10467" s="2" t="inlineStr"/>
    </row>
    <row r="10468" ht="15" customHeight="1">
      <c r="A10468" t="inlineStr">
        <is>
          <t>A 41939-2026</t>
        </is>
      </c>
      <c r="B10468" t="inlineStr">
        <is>
          <t>avverkningsanmälan</t>
        </is>
      </c>
      <c r="C10468" t="inlineStr">
        <is>
          <t>Föryngringsavverkning</t>
        </is>
      </c>
      <c r="D10468" s="1" t="n">
        <v>46303</v>
      </c>
      <c r="E10468" s="1" t="n">
        <v>46326</v>
      </c>
      <c r="F10468" t="inlineStr">
        <is>
          <t>GÄVLEBORGS LÄN</t>
        </is>
      </c>
      <c r="G10468" t="inlineStr">
        <is>
          <t>SÖDERHAMN</t>
        </is>
      </c>
      <c r="I10468" t="n">
        <v>2.7</v>
      </c>
      <c r="J10468" t="n">
        <v>0</v>
      </c>
      <c r="K10468" t="n">
        <v>0</v>
      </c>
      <c r="L10468" t="n">
        <v>0</v>
      </c>
      <c r="M10468" t="n">
        <v>0</v>
      </c>
      <c r="N10468" t="n">
        <v>0</v>
      </c>
      <c r="O10468" t="n">
        <v>0</v>
      </c>
      <c r="P10468" t="n">
        <v>0</v>
      </c>
      <c r="Q10468" t="n">
        <v>0</v>
      </c>
      <c r="R10468" t="n">
        <v>0</v>
      </c>
      <c r="S10468" t="n">
        <v>0</v>
      </c>
      <c r="T10468" t="n">
        <v>0</v>
      </c>
      <c r="U10468" t="n">
        <v>0</v>
      </c>
      <c r="V10468" s="2" t="inlineStr"/>
    </row>
    <row r="10469" ht="15" customHeight="1">
      <c r="A10469" t="inlineStr">
        <is>
          <t>A 41964-2026</t>
        </is>
      </c>
      <c r="B10469" t="inlineStr">
        <is>
          <t>avverkningsanmälan</t>
        </is>
      </c>
      <c r="C10469" t="inlineStr">
        <is>
          <t>Föryngringsavverkning</t>
        </is>
      </c>
      <c r="D10469" s="1" t="n">
        <v>46303</v>
      </c>
      <c r="E10469" s="1" t="n">
        <v>46326</v>
      </c>
      <c r="F10469" t="inlineStr">
        <is>
          <t>GÄVLEBORGS LÄN</t>
        </is>
      </c>
      <c r="G10469" t="inlineStr">
        <is>
          <t>OVANÅKER</t>
        </is>
      </c>
      <c r="H10469" t="inlineStr">
        <is>
          <t>Bergvik skog öst AB</t>
        </is>
      </c>
      <c r="I10469" t="n">
        <v>0.4</v>
      </c>
      <c r="J10469" t="n">
        <v>0</v>
      </c>
      <c r="K10469" t="n">
        <v>0</v>
      </c>
      <c r="L10469" t="n">
        <v>0</v>
      </c>
      <c r="M10469" t="n">
        <v>0</v>
      </c>
      <c r="N10469" t="n">
        <v>0</v>
      </c>
      <c r="O10469" t="n">
        <v>0</v>
      </c>
      <c r="P10469" t="n">
        <v>0</v>
      </c>
      <c r="Q10469" t="n">
        <v>0</v>
      </c>
      <c r="R10469" t="n">
        <v>0</v>
      </c>
      <c r="S10469" t="n">
        <v>0</v>
      </c>
      <c r="T10469" t="n">
        <v>0</v>
      </c>
      <c r="U10469" t="n">
        <v>0</v>
      </c>
      <c r="V10469" s="2" t="inlineStr"/>
    </row>
    <row r="10470" ht="15" customHeight="1">
      <c r="A10470" t="inlineStr">
        <is>
          <t>A 41938-2026</t>
        </is>
      </c>
      <c r="B10470" t="inlineStr">
        <is>
          <t>avverkningsanmälan</t>
        </is>
      </c>
      <c r="C10470" t="inlineStr">
        <is>
          <t>Föryngringsavverkning</t>
        </is>
      </c>
      <c r="D10470" s="1" t="n">
        <v>46303</v>
      </c>
      <c r="E10470" s="1" t="n">
        <v>46326</v>
      </c>
      <c r="F10470" t="inlineStr">
        <is>
          <t>GÄVLEBORGS LÄN</t>
        </is>
      </c>
      <c r="G10470" t="inlineStr">
        <is>
          <t>OVANÅKER</t>
        </is>
      </c>
      <c r="H10470" t="inlineStr">
        <is>
          <t>Bergvik skog öst AB</t>
        </is>
      </c>
      <c r="I10470" t="n">
        <v>0.4</v>
      </c>
      <c r="J10470" t="n">
        <v>0</v>
      </c>
      <c r="K10470" t="n">
        <v>0</v>
      </c>
      <c r="L10470" t="n">
        <v>0</v>
      </c>
      <c r="M10470" t="n">
        <v>0</v>
      </c>
      <c r="N10470" t="n">
        <v>0</v>
      </c>
      <c r="O10470" t="n">
        <v>0</v>
      </c>
      <c r="P10470" t="n">
        <v>0</v>
      </c>
      <c r="Q10470" t="n">
        <v>0</v>
      </c>
      <c r="R10470" t="n">
        <v>0</v>
      </c>
      <c r="S10470" t="n">
        <v>0</v>
      </c>
      <c r="T10470" t="n">
        <v>0</v>
      </c>
      <c r="U10470" t="n">
        <v>0</v>
      </c>
      <c r="V10470" s="2" t="inlineStr"/>
    </row>
    <row r="10471" ht="15" customHeight="1">
      <c r="A10471" t="inlineStr">
        <is>
          <t>A 4169-2026</t>
        </is>
      </c>
      <c r="B10471" t="inlineStr">
        <is>
          <t>avverkningsanmälan</t>
        </is>
      </c>
      <c r="C10471" t="inlineStr">
        <is>
          <t>Föryngringsavverkning</t>
        </is>
      </c>
      <c r="D10471" s="1" t="n">
        <v>46044</v>
      </c>
      <c r="E10471" s="1" t="n">
        <v>46326</v>
      </c>
      <c r="F10471" t="inlineStr">
        <is>
          <t>GÄVLEBORGS LÄN</t>
        </is>
      </c>
      <c r="G10471" t="inlineStr">
        <is>
          <t>SANDVIKEN</t>
        </is>
      </c>
      <c r="I10471" t="n">
        <v>1.2</v>
      </c>
      <c r="J10471" t="n">
        <v>0</v>
      </c>
      <c r="K10471" t="n">
        <v>0</v>
      </c>
      <c r="L10471" t="n">
        <v>0</v>
      </c>
      <c r="M10471" t="n">
        <v>0</v>
      </c>
      <c r="N10471" t="n">
        <v>0</v>
      </c>
      <c r="O10471" t="n">
        <v>0</v>
      </c>
      <c r="P10471" t="n">
        <v>0</v>
      </c>
      <c r="Q10471" t="n">
        <v>0</v>
      </c>
      <c r="R10471" t="n">
        <v>0</v>
      </c>
      <c r="S10471" t="n">
        <v>0</v>
      </c>
      <c r="T10471" t="n">
        <v>0</v>
      </c>
      <c r="U10471" t="n">
        <v>0</v>
      </c>
      <c r="V10471" s="2" t="inlineStr"/>
    </row>
    <row r="10472" ht="15" customHeight="1">
      <c r="A10472" t="inlineStr">
        <is>
          <t>A 24131-2026</t>
        </is>
      </c>
      <c r="B10472" t="inlineStr">
        <is>
          <t>avverkningsanmälan</t>
        </is>
      </c>
      <c r="C10472" t="inlineStr">
        <is>
          <t>Föryngringsavverkning</t>
        </is>
      </c>
      <c r="D10472" s="1" t="n">
        <v>46168</v>
      </c>
      <c r="E10472" s="1" t="n">
        <v>46326</v>
      </c>
      <c r="F10472" t="inlineStr">
        <is>
          <t>GÄVLEBORGS LÄN</t>
        </is>
      </c>
      <c r="G10472" t="inlineStr">
        <is>
          <t>LJUSDAL</t>
        </is>
      </c>
      <c r="H10472" t="inlineStr">
        <is>
          <t>Holmen skog AB</t>
        </is>
      </c>
      <c r="I10472" t="n">
        <v>2.5</v>
      </c>
      <c r="J10472" t="n">
        <v>0</v>
      </c>
      <c r="K10472" t="n">
        <v>0</v>
      </c>
      <c r="L10472" t="n">
        <v>0</v>
      </c>
      <c r="M10472" t="n">
        <v>0</v>
      </c>
      <c r="N10472" t="n">
        <v>0</v>
      </c>
      <c r="O10472" t="n">
        <v>0</v>
      </c>
      <c r="P10472" t="n">
        <v>0</v>
      </c>
      <c r="Q10472" t="n">
        <v>0</v>
      </c>
      <c r="R10472" t="n">
        <v>0</v>
      </c>
      <c r="S10472" t="n">
        <v>0</v>
      </c>
      <c r="T10472" t="n">
        <v>0</v>
      </c>
      <c r="U10472" t="n">
        <v>0</v>
      </c>
      <c r="V10472" s="2" t="inlineStr"/>
    </row>
    <row r="10473" ht="15" customHeight="1">
      <c r="A10473" t="inlineStr">
        <is>
          <t>A 21643-2026</t>
        </is>
      </c>
      <c r="B10473" t="inlineStr">
        <is>
          <t>avverkningsanmälan</t>
        </is>
      </c>
      <c r="C10473" t="inlineStr">
        <is>
          <t>Föryngringsavverkning</t>
        </is>
      </c>
      <c r="D10473" s="1" t="n">
        <v>46149</v>
      </c>
      <c r="E10473" s="1" t="n">
        <v>46326</v>
      </c>
      <c r="F10473" t="inlineStr">
        <is>
          <t>GÄVLEBORGS LÄN</t>
        </is>
      </c>
      <c r="G10473" t="inlineStr">
        <is>
          <t>BOLLNÄS</t>
        </is>
      </c>
      <c r="I10473" t="n">
        <v>2</v>
      </c>
      <c r="J10473" t="n">
        <v>0</v>
      </c>
      <c r="K10473" t="n">
        <v>0</v>
      </c>
      <c r="L10473" t="n">
        <v>0</v>
      </c>
      <c r="M10473" t="n">
        <v>0</v>
      </c>
      <c r="N10473" t="n">
        <v>0</v>
      </c>
      <c r="O10473" t="n">
        <v>0</v>
      </c>
      <c r="P10473" t="n">
        <v>0</v>
      </c>
      <c r="Q10473" t="n">
        <v>0</v>
      </c>
      <c r="R10473" t="n">
        <v>0</v>
      </c>
      <c r="S10473" t="n">
        <v>0</v>
      </c>
      <c r="T10473" t="n">
        <v>0</v>
      </c>
      <c r="U10473" t="n">
        <v>0</v>
      </c>
      <c r="V10473" s="2" t="inlineStr"/>
    </row>
    <row r="10474" ht="15" customHeight="1">
      <c r="A10474" t="inlineStr">
        <is>
          <t>A 22466-2026</t>
        </is>
      </c>
      <c r="B10474" t="inlineStr">
        <is>
          <t>avverkningsanmälan</t>
        </is>
      </c>
      <c r="C10474" t="inlineStr">
        <is>
          <t>Föryngringsavverkning</t>
        </is>
      </c>
      <c r="D10474" s="1" t="n">
        <v>46155</v>
      </c>
      <c r="E10474" s="1" t="n">
        <v>46326</v>
      </c>
      <c r="F10474" t="inlineStr">
        <is>
          <t>GÄVLEBORGS LÄN</t>
        </is>
      </c>
      <c r="G10474" t="inlineStr">
        <is>
          <t>HUDIKSVALL</t>
        </is>
      </c>
      <c r="H10474" t="inlineStr">
        <is>
          <t>Holmen skog AB</t>
        </is>
      </c>
      <c r="I10474" t="n">
        <v>1.8</v>
      </c>
      <c r="J10474" t="n">
        <v>0</v>
      </c>
      <c r="K10474" t="n">
        <v>0</v>
      </c>
      <c r="L10474" t="n">
        <v>0</v>
      </c>
      <c r="M10474" t="n">
        <v>0</v>
      </c>
      <c r="N10474" t="n">
        <v>0</v>
      </c>
      <c r="O10474" t="n">
        <v>0</v>
      </c>
      <c r="P10474" t="n">
        <v>0</v>
      </c>
      <c r="Q10474" t="n">
        <v>0</v>
      </c>
      <c r="R10474" t="n">
        <v>0</v>
      </c>
      <c r="S10474" t="n">
        <v>0</v>
      </c>
      <c r="T10474" t="n">
        <v>0</v>
      </c>
      <c r="U10474" t="n">
        <v>0</v>
      </c>
      <c r="V10474" s="2" t="inlineStr"/>
    </row>
    <row r="10475" ht="15" customHeight="1">
      <c r="A10475" t="inlineStr">
        <is>
          <t>A 22606-2026</t>
        </is>
      </c>
      <c r="B10475" t="inlineStr">
        <is>
          <t>avverkningsanmälan</t>
        </is>
      </c>
      <c r="C10475" t="inlineStr">
        <is>
          <t>Föryngringsavverkning</t>
        </is>
      </c>
      <c r="D10475" s="1" t="n">
        <v>46155</v>
      </c>
      <c r="E10475" s="1" t="n">
        <v>46326</v>
      </c>
      <c r="F10475" t="inlineStr">
        <is>
          <t>GÄVLEBORGS LÄN</t>
        </is>
      </c>
      <c r="G10475" t="inlineStr">
        <is>
          <t>BOLLNÄS</t>
        </is>
      </c>
      <c r="I10475" t="n">
        <v>1.1</v>
      </c>
      <c r="J10475" t="n">
        <v>0</v>
      </c>
      <c r="K10475" t="n">
        <v>0</v>
      </c>
      <c r="L10475" t="n">
        <v>0</v>
      </c>
      <c r="M10475" t="n">
        <v>0</v>
      </c>
      <c r="N10475" t="n">
        <v>0</v>
      </c>
      <c r="O10475" t="n">
        <v>0</v>
      </c>
      <c r="P10475" t="n">
        <v>0</v>
      </c>
      <c r="Q10475" t="n">
        <v>0</v>
      </c>
      <c r="R10475" t="n">
        <v>0</v>
      </c>
      <c r="S10475" t="n">
        <v>0</v>
      </c>
      <c r="T10475" t="n">
        <v>0</v>
      </c>
      <c r="U10475" t="n">
        <v>0</v>
      </c>
      <c r="V10475" s="2" t="inlineStr"/>
    </row>
    <row r="10476" ht="15" customHeight="1">
      <c r="A10476" t="inlineStr">
        <is>
          <t>A 34989-2026</t>
        </is>
      </c>
      <c r="B10476" t="inlineStr">
        <is>
          <t>avverkningsanmälan</t>
        </is>
      </c>
      <c r="C10476" t="inlineStr">
        <is>
          <t>Föryngringsavverkning</t>
        </is>
      </c>
      <c r="D10476" s="1" t="n">
        <v>46259</v>
      </c>
      <c r="E10476" s="1" t="n">
        <v>46326</v>
      </c>
      <c r="F10476" t="inlineStr">
        <is>
          <t>GÄVLEBORGS LÄN</t>
        </is>
      </c>
      <c r="G10476" t="inlineStr">
        <is>
          <t>OVANÅKER</t>
        </is>
      </c>
      <c r="H10476" t="inlineStr">
        <is>
          <t>Bergvik skog väst AB</t>
        </is>
      </c>
      <c r="I10476" t="n">
        <v>6.3</v>
      </c>
      <c r="J10476" t="n">
        <v>0</v>
      </c>
      <c r="K10476" t="n">
        <v>0</v>
      </c>
      <c r="L10476" t="n">
        <v>0</v>
      </c>
      <c r="M10476" t="n">
        <v>0</v>
      </c>
      <c r="N10476" t="n">
        <v>0</v>
      </c>
      <c r="O10476" t="n">
        <v>0</v>
      </c>
      <c r="P10476" t="n">
        <v>0</v>
      </c>
      <c r="Q10476" t="n">
        <v>0</v>
      </c>
      <c r="R10476" t="n">
        <v>0</v>
      </c>
      <c r="S10476" t="n">
        <v>0</v>
      </c>
      <c r="T10476" t="n">
        <v>0</v>
      </c>
      <c r="U10476" t="n">
        <v>0</v>
      </c>
      <c r="V10476" s="2" t="inlineStr"/>
    </row>
    <row r="10477" ht="15" customHeight="1">
      <c r="A10477" t="inlineStr">
        <is>
          <t>A 27272-2026</t>
        </is>
      </c>
      <c r="B10477" t="inlineStr">
        <is>
          <t>avverkningsanmälan</t>
        </is>
      </c>
      <c r="C10477" t="inlineStr">
        <is>
          <t>Föryngringsavverkning</t>
        </is>
      </c>
      <c r="D10477" s="1" t="n">
        <v>46188</v>
      </c>
      <c r="E10477" s="1" t="n">
        <v>46326</v>
      </c>
      <c r="F10477" t="inlineStr">
        <is>
          <t>GÄVLEBORGS LÄN</t>
        </is>
      </c>
      <c r="G10477" t="inlineStr">
        <is>
          <t>OCKELBO</t>
        </is>
      </c>
      <c r="H10477" t="inlineStr">
        <is>
          <t>Bergvik skog väst AB</t>
        </is>
      </c>
      <c r="I10477" t="n">
        <v>12.8</v>
      </c>
      <c r="J10477" t="n">
        <v>0</v>
      </c>
      <c r="K10477" t="n">
        <v>0</v>
      </c>
      <c r="L10477" t="n">
        <v>0</v>
      </c>
      <c r="M10477" t="n">
        <v>0</v>
      </c>
      <c r="N10477" t="n">
        <v>0</v>
      </c>
      <c r="O10477" t="n">
        <v>0</v>
      </c>
      <c r="P10477" t="n">
        <v>0</v>
      </c>
      <c r="Q10477" t="n">
        <v>0</v>
      </c>
      <c r="R10477" t="n">
        <v>0</v>
      </c>
      <c r="S10477" t="n">
        <v>0</v>
      </c>
      <c r="T10477" t="n">
        <v>0</v>
      </c>
      <c r="U10477" t="n">
        <v>0</v>
      </c>
      <c r="V10477" s="2" t="inlineStr"/>
    </row>
    <row r="10478" ht="15" customHeight="1">
      <c r="A10478" t="inlineStr">
        <is>
          <t>A 41930-2026</t>
        </is>
      </c>
      <c r="B10478" t="inlineStr">
        <is>
          <t>avverkningsanmälan</t>
        </is>
      </c>
      <c r="C10478" t="inlineStr">
        <is>
          <t>Föryngringsavverkning</t>
        </is>
      </c>
      <c r="D10478" s="1" t="n">
        <v>46303</v>
      </c>
      <c r="E10478" s="1" t="n">
        <v>46326</v>
      </c>
      <c r="F10478" t="inlineStr">
        <is>
          <t>GÄVLEBORGS LÄN</t>
        </is>
      </c>
      <c r="G10478" t="inlineStr">
        <is>
          <t>OVANÅKER</t>
        </is>
      </c>
      <c r="H10478" t="inlineStr">
        <is>
          <t>Bergvik skog öst AB</t>
        </is>
      </c>
      <c r="I10478" t="n">
        <v>1.2</v>
      </c>
      <c r="J10478" t="n">
        <v>0</v>
      </c>
      <c r="K10478" t="n">
        <v>0</v>
      </c>
      <c r="L10478" t="n">
        <v>0</v>
      </c>
      <c r="M10478" t="n">
        <v>0</v>
      </c>
      <c r="N10478" t="n">
        <v>0</v>
      </c>
      <c r="O10478" t="n">
        <v>0</v>
      </c>
      <c r="P10478" t="n">
        <v>0</v>
      </c>
      <c r="Q10478" t="n">
        <v>0</v>
      </c>
      <c r="R10478" t="n">
        <v>0</v>
      </c>
      <c r="S10478" t="n">
        <v>0</v>
      </c>
      <c r="T10478" t="n">
        <v>0</v>
      </c>
      <c r="U10478" t="n">
        <v>0</v>
      </c>
      <c r="V10478" s="2" t="inlineStr"/>
    </row>
    <row r="10479" ht="15" customHeight="1">
      <c r="A10479" t="inlineStr">
        <is>
          <t>A 31748-2026</t>
        </is>
      </c>
      <c r="B10479" t="inlineStr">
        <is>
          <t>avverkningsanmälan</t>
        </is>
      </c>
      <c r="C10479" t="inlineStr">
        <is>
          <t>Föryngringsavverkning</t>
        </is>
      </c>
      <c r="D10479" s="1" t="n">
        <v>46227</v>
      </c>
      <c r="E10479" s="1" t="n">
        <v>46326</v>
      </c>
      <c r="F10479" t="inlineStr">
        <is>
          <t>GÄVLEBORGS LÄN</t>
        </is>
      </c>
      <c r="G10479" t="inlineStr">
        <is>
          <t>BOLLNÄS</t>
        </is>
      </c>
      <c r="I10479" t="n">
        <v>3.1</v>
      </c>
      <c r="J10479" t="n">
        <v>0</v>
      </c>
      <c r="K10479" t="n">
        <v>0</v>
      </c>
      <c r="L10479" t="n">
        <v>0</v>
      </c>
      <c r="M10479" t="n">
        <v>0</v>
      </c>
      <c r="N10479" t="n">
        <v>0</v>
      </c>
      <c r="O10479" t="n">
        <v>0</v>
      </c>
      <c r="P10479" t="n">
        <v>0</v>
      </c>
      <c r="Q10479" t="n">
        <v>0</v>
      </c>
      <c r="R10479" t="n">
        <v>0</v>
      </c>
      <c r="S10479" t="n">
        <v>0</v>
      </c>
      <c r="T10479" t="n">
        <v>0</v>
      </c>
      <c r="U10479" t="n">
        <v>0</v>
      </c>
      <c r="V10479" s="2" t="inlineStr"/>
    </row>
    <row r="10480" ht="15" customHeight="1">
      <c r="A10480" t="inlineStr">
        <is>
          <t>A 28003-2024</t>
        </is>
      </c>
      <c r="B10480" t="inlineStr">
        <is>
          <t>avverkningsanmälan</t>
        </is>
      </c>
      <c r="C10480" t="inlineStr">
        <is>
          <t>Avverkning för annat ändamål</t>
        </is>
      </c>
      <c r="D10480" s="1" t="n">
        <v>45476</v>
      </c>
      <c r="E10480" s="1" t="n">
        <v>46326</v>
      </c>
      <c r="F10480" t="inlineStr">
        <is>
          <t>GÄVLEBORGS LÄN</t>
        </is>
      </c>
      <c r="G10480" t="inlineStr">
        <is>
          <t>LJUSDAL</t>
        </is>
      </c>
      <c r="H10480" t="inlineStr">
        <is>
          <t>Allmännings- och besparingsskogar</t>
        </is>
      </c>
      <c r="I10480" t="n">
        <v>1.8</v>
      </c>
      <c r="J10480" t="n">
        <v>0</v>
      </c>
      <c r="K10480" t="n">
        <v>0</v>
      </c>
      <c r="L10480" t="n">
        <v>0</v>
      </c>
      <c r="M10480" t="n">
        <v>0</v>
      </c>
      <c r="N10480" t="n">
        <v>0</v>
      </c>
      <c r="O10480" t="n">
        <v>0</v>
      </c>
      <c r="P10480" t="n">
        <v>0</v>
      </c>
      <c r="Q10480" t="n">
        <v>0</v>
      </c>
      <c r="R10480" t="n">
        <v>0</v>
      </c>
      <c r="S10480" t="n">
        <v>0</v>
      </c>
      <c r="T10480" t="n">
        <v>0</v>
      </c>
      <c r="U10480" t="n">
        <v>0</v>
      </c>
      <c r="V10480" s="2" t="inlineStr"/>
    </row>
    <row r="10481" ht="15" customHeight="1">
      <c r="A10481" t="inlineStr">
        <is>
          <t>A 6405-2026</t>
        </is>
      </c>
      <c r="B10481" t="inlineStr">
        <is>
          <t>avverkningsanmälan</t>
        </is>
      </c>
      <c r="C10481" t="inlineStr">
        <is>
          <t>Föryngringsavverkning</t>
        </is>
      </c>
      <c r="D10481" s="1" t="n">
        <v>46055</v>
      </c>
      <c r="E10481" s="1" t="n">
        <v>46326</v>
      </c>
      <c r="F10481" t="inlineStr">
        <is>
          <t>GÄVLEBORGS LÄN</t>
        </is>
      </c>
      <c r="G10481" t="inlineStr">
        <is>
          <t>BOLLNÄS</t>
        </is>
      </c>
      <c r="H10481" t="inlineStr">
        <is>
          <t>Bergvik skog väst AB</t>
        </is>
      </c>
      <c r="I10481" t="n">
        <v>9.699999999999999</v>
      </c>
      <c r="J10481" t="n">
        <v>0</v>
      </c>
      <c r="K10481" t="n">
        <v>0</v>
      </c>
      <c r="L10481" t="n">
        <v>0</v>
      </c>
      <c r="M10481" t="n">
        <v>0</v>
      </c>
      <c r="N10481" t="n">
        <v>0</v>
      </c>
      <c r="O10481" t="n">
        <v>0</v>
      </c>
      <c r="P10481" t="n">
        <v>0</v>
      </c>
      <c r="Q10481" t="n">
        <v>0</v>
      </c>
      <c r="R10481" t="n">
        <v>0</v>
      </c>
      <c r="S10481" t="n">
        <v>0</v>
      </c>
      <c r="T10481" t="n">
        <v>0</v>
      </c>
      <c r="U10481" t="n">
        <v>0</v>
      </c>
      <c r="V10481" s="2" t="inlineStr"/>
    </row>
    <row r="10482" ht="15" customHeight="1">
      <c r="A10482" t="inlineStr">
        <is>
          <t>A 9216-2026</t>
        </is>
      </c>
      <c r="B10482" t="inlineStr">
        <is>
          <t>avverkningsanmälan</t>
        </is>
      </c>
      <c r="C10482" t="inlineStr">
        <is>
          <t>Föryngringsavverkning</t>
        </is>
      </c>
      <c r="D10482" s="1" t="n">
        <v>46070</v>
      </c>
      <c r="E10482" s="1" t="n">
        <v>46326</v>
      </c>
      <c r="F10482" t="inlineStr">
        <is>
          <t>GÄVLEBORGS LÄN</t>
        </is>
      </c>
      <c r="G10482" t="inlineStr">
        <is>
          <t>BOLLNÄS</t>
        </is>
      </c>
      <c r="I10482" t="n">
        <v>6.8</v>
      </c>
      <c r="J10482" t="n">
        <v>0</v>
      </c>
      <c r="K10482" t="n">
        <v>0</v>
      </c>
      <c r="L10482" t="n">
        <v>0</v>
      </c>
      <c r="M10482" t="n">
        <v>0</v>
      </c>
      <c r="N10482" t="n">
        <v>0</v>
      </c>
      <c r="O10482" t="n">
        <v>0</v>
      </c>
      <c r="P10482" t="n">
        <v>0</v>
      </c>
      <c r="Q10482" t="n">
        <v>0</v>
      </c>
      <c r="R10482" t="n">
        <v>0</v>
      </c>
      <c r="S10482" t="n">
        <v>0</v>
      </c>
      <c r="T10482" t="n">
        <v>0</v>
      </c>
      <c r="U10482" t="n">
        <v>0</v>
      </c>
      <c r="V10482" s="2" t="inlineStr"/>
    </row>
    <row r="10483" ht="15" customHeight="1">
      <c r="A10483" t="inlineStr">
        <is>
          <t>A 11055-2026</t>
        </is>
      </c>
      <c r="B10483" t="inlineStr">
        <is>
          <t>avverkningsanmälan</t>
        </is>
      </c>
      <c r="C10483" t="inlineStr">
        <is>
          <t>Föryngringsavverkning</t>
        </is>
      </c>
      <c r="D10483" s="1" t="n">
        <v>46079</v>
      </c>
      <c r="E10483" s="1" t="n">
        <v>46326</v>
      </c>
      <c r="F10483" t="inlineStr">
        <is>
          <t>GÄVLEBORGS LÄN</t>
        </is>
      </c>
      <c r="G10483" t="inlineStr">
        <is>
          <t>OVANÅKER</t>
        </is>
      </c>
      <c r="I10483" t="n">
        <v>3</v>
      </c>
      <c r="J10483" t="n">
        <v>0</v>
      </c>
      <c r="K10483" t="n">
        <v>0</v>
      </c>
      <c r="L10483" t="n">
        <v>0</v>
      </c>
      <c r="M10483" t="n">
        <v>0</v>
      </c>
      <c r="N10483" t="n">
        <v>0</v>
      </c>
      <c r="O10483" t="n">
        <v>0</v>
      </c>
      <c r="P10483" t="n">
        <v>0</v>
      </c>
      <c r="Q10483" t="n">
        <v>0</v>
      </c>
      <c r="R10483" t="n">
        <v>0</v>
      </c>
      <c r="S10483" t="n">
        <v>0</v>
      </c>
      <c r="T10483" t="n">
        <v>0</v>
      </c>
      <c r="U10483" t="n">
        <v>0</v>
      </c>
      <c r="V10483" s="2" t="inlineStr"/>
    </row>
    <row r="10484" ht="15" customHeight="1">
      <c r="A10484" t="inlineStr">
        <is>
          <t>A 11572-2026</t>
        </is>
      </c>
      <c r="B10484" t="inlineStr">
        <is>
          <t>avverkningsanmälan</t>
        </is>
      </c>
      <c r="C10484" t="inlineStr">
        <is>
          <t>Föryngringsavverkning</t>
        </is>
      </c>
      <c r="D10484" s="1" t="n">
        <v>46084</v>
      </c>
      <c r="E10484" s="1" t="n">
        <v>46326</v>
      </c>
      <c r="F10484" t="inlineStr">
        <is>
          <t>GÄVLEBORGS LÄN</t>
        </is>
      </c>
      <c r="G10484" t="inlineStr">
        <is>
          <t>GÄVLE</t>
        </is>
      </c>
      <c r="H10484" t="inlineStr">
        <is>
          <t>Bergvik skog öst AB</t>
        </is>
      </c>
      <c r="I10484" t="n">
        <v>0.9</v>
      </c>
      <c r="J10484" t="n">
        <v>0</v>
      </c>
      <c r="K10484" t="n">
        <v>0</v>
      </c>
      <c r="L10484" t="n">
        <v>0</v>
      </c>
      <c r="M10484" t="n">
        <v>0</v>
      </c>
      <c r="N10484" t="n">
        <v>0</v>
      </c>
      <c r="O10484" t="n">
        <v>0</v>
      </c>
      <c r="P10484" t="n">
        <v>0</v>
      </c>
      <c r="Q10484" t="n">
        <v>0</v>
      </c>
      <c r="R10484" t="n">
        <v>0</v>
      </c>
      <c r="S10484" t="n">
        <v>0</v>
      </c>
      <c r="T10484" t="n">
        <v>0</v>
      </c>
      <c r="U10484" t="n">
        <v>0</v>
      </c>
      <c r="V10484" s="2" t="inlineStr"/>
    </row>
    <row r="10485" ht="15" customHeight="1">
      <c r="A10485" t="inlineStr">
        <is>
          <t>A 7825-2026</t>
        </is>
      </c>
      <c r="B10485" t="inlineStr">
        <is>
          <t>avverkningsanmälan</t>
        </is>
      </c>
      <c r="C10485" t="inlineStr">
        <is>
          <t>Föryngringsavverkning</t>
        </is>
      </c>
      <c r="D10485" s="1" t="n">
        <v>46062</v>
      </c>
      <c r="E10485" s="1" t="n">
        <v>46326</v>
      </c>
      <c r="F10485" t="inlineStr">
        <is>
          <t>GÄVLEBORGS LÄN</t>
        </is>
      </c>
      <c r="G10485" t="inlineStr">
        <is>
          <t>SANDVIKEN</t>
        </is>
      </c>
      <c r="I10485" t="n">
        <v>1.4</v>
      </c>
      <c r="J10485" t="n">
        <v>0</v>
      </c>
      <c r="K10485" t="n">
        <v>0</v>
      </c>
      <c r="L10485" t="n">
        <v>0</v>
      </c>
      <c r="M10485" t="n">
        <v>0</v>
      </c>
      <c r="N10485" t="n">
        <v>0</v>
      </c>
      <c r="O10485" t="n">
        <v>0</v>
      </c>
      <c r="P10485" t="n">
        <v>0</v>
      </c>
      <c r="Q10485" t="n">
        <v>0</v>
      </c>
      <c r="R10485" t="n">
        <v>0</v>
      </c>
      <c r="S10485" t="n">
        <v>0</v>
      </c>
      <c r="T10485" t="n">
        <v>0</v>
      </c>
      <c r="U10485" t="n">
        <v>0</v>
      </c>
      <c r="V10485" s="2" t="inlineStr"/>
    </row>
    <row r="10486" ht="15" customHeight="1">
      <c r="A10486" t="inlineStr">
        <is>
          <t>A 34997-2026</t>
        </is>
      </c>
      <c r="B10486" t="inlineStr">
        <is>
          <t>avverkningsanmälan</t>
        </is>
      </c>
      <c r="C10486" t="inlineStr">
        <is>
          <t>Föryngringsavverkning</t>
        </is>
      </c>
      <c r="D10486" s="1" t="n">
        <v>46259</v>
      </c>
      <c r="E10486" s="1" t="n">
        <v>46326</v>
      </c>
      <c r="F10486" t="inlineStr">
        <is>
          <t>GÄVLEBORGS LÄN</t>
        </is>
      </c>
      <c r="G10486" t="inlineStr">
        <is>
          <t>SANDVIKEN</t>
        </is>
      </c>
      <c r="H10486" t="inlineStr">
        <is>
          <t>Sveaskog</t>
        </is>
      </c>
      <c r="I10486" t="n">
        <v>0.4</v>
      </c>
      <c r="J10486" t="n">
        <v>0</v>
      </c>
      <c r="K10486" t="n">
        <v>0</v>
      </c>
      <c r="L10486" t="n">
        <v>0</v>
      </c>
      <c r="M10486" t="n">
        <v>0</v>
      </c>
      <c r="N10486" t="n">
        <v>0</v>
      </c>
      <c r="O10486" t="n">
        <v>0</v>
      </c>
      <c r="P10486" t="n">
        <v>0</v>
      </c>
      <c r="Q10486" t="n">
        <v>0</v>
      </c>
      <c r="R10486" t="n">
        <v>0</v>
      </c>
      <c r="S10486" t="n">
        <v>0</v>
      </c>
      <c r="T10486" t="n">
        <v>0</v>
      </c>
      <c r="U10486" t="n">
        <v>0</v>
      </c>
      <c r="V10486" s="2" t="inlineStr"/>
    </row>
    <row r="10487" ht="15" customHeight="1">
      <c r="A10487" t="inlineStr">
        <is>
          <t>A 30990-2026</t>
        </is>
      </c>
      <c r="B10487" t="inlineStr">
        <is>
          <t>avverkningsanmälan</t>
        </is>
      </c>
      <c r="C10487" t="inlineStr">
        <is>
          <t>Föryngringsavverkning</t>
        </is>
      </c>
      <c r="D10487" s="1" t="n">
        <v>46213</v>
      </c>
      <c r="E10487" s="1" t="n">
        <v>46326</v>
      </c>
      <c r="F10487" t="inlineStr">
        <is>
          <t>GÄVLEBORGS LÄN</t>
        </is>
      </c>
      <c r="G10487" t="inlineStr">
        <is>
          <t>OCKELBO</t>
        </is>
      </c>
      <c r="I10487" t="n">
        <v>3.6</v>
      </c>
      <c r="J10487" t="n">
        <v>0</v>
      </c>
      <c r="K10487" t="n">
        <v>0</v>
      </c>
      <c r="L10487" t="n">
        <v>0</v>
      </c>
      <c r="M10487" t="n">
        <v>0</v>
      </c>
      <c r="N10487" t="n">
        <v>0</v>
      </c>
      <c r="O10487" t="n">
        <v>0</v>
      </c>
      <c r="P10487" t="n">
        <v>0</v>
      </c>
      <c r="Q10487" t="n">
        <v>0</v>
      </c>
      <c r="R10487" t="n">
        <v>0</v>
      </c>
      <c r="S10487" t="n">
        <v>0</v>
      </c>
      <c r="T10487" t="n">
        <v>0</v>
      </c>
      <c r="U10487" t="n">
        <v>0</v>
      </c>
      <c r="V10487" s="2" t="inlineStr"/>
    </row>
    <row r="10488" ht="15" customHeight="1">
      <c r="A10488" t="inlineStr">
        <is>
          <t>A 41619-2026</t>
        </is>
      </c>
      <c r="B10488" t="inlineStr">
        <is>
          <t>avverkningsanmälan</t>
        </is>
      </c>
      <c r="C10488" t="inlineStr">
        <is>
          <t>Föryngringsavverkning</t>
        </is>
      </c>
      <c r="D10488" s="1" t="n">
        <v>46302</v>
      </c>
      <c r="E10488" s="1" t="n">
        <v>46326</v>
      </c>
      <c r="F10488" t="inlineStr">
        <is>
          <t>GÄVLEBORGS LÄN</t>
        </is>
      </c>
      <c r="G10488" t="inlineStr">
        <is>
          <t>LJUSDAL</t>
        </is>
      </c>
      <c r="H10488" t="inlineStr">
        <is>
          <t>Allmännings- och besparingsskogar</t>
        </is>
      </c>
      <c r="I10488" t="n">
        <v>2.8</v>
      </c>
      <c r="J10488" t="n">
        <v>0</v>
      </c>
      <c r="K10488" t="n">
        <v>0</v>
      </c>
      <c r="L10488" t="n">
        <v>0</v>
      </c>
      <c r="M10488" t="n">
        <v>0</v>
      </c>
      <c r="N10488" t="n">
        <v>0</v>
      </c>
      <c r="O10488" t="n">
        <v>0</v>
      </c>
      <c r="P10488" t="n">
        <v>0</v>
      </c>
      <c r="Q10488" t="n">
        <v>0</v>
      </c>
      <c r="R10488" t="n">
        <v>0</v>
      </c>
      <c r="S10488" t="n">
        <v>0</v>
      </c>
      <c r="T10488" t="n">
        <v>0</v>
      </c>
      <c r="U10488" t="n">
        <v>0</v>
      </c>
      <c r="V10488" s="2" t="inlineStr"/>
    </row>
    <row r="10489" ht="15" customHeight="1">
      <c r="A10489" t="inlineStr">
        <is>
          <t>A 41620-2026</t>
        </is>
      </c>
      <c r="B10489" t="inlineStr">
        <is>
          <t>avverkningsanmälan</t>
        </is>
      </c>
      <c r="C10489" t="inlineStr">
        <is>
          <t>Föryngringsavverkning</t>
        </is>
      </c>
      <c r="D10489" s="1" t="n">
        <v>46302</v>
      </c>
      <c r="E10489" s="1" t="n">
        <v>46326</v>
      </c>
      <c r="F10489" t="inlineStr">
        <is>
          <t>GÄVLEBORGS LÄN</t>
        </is>
      </c>
      <c r="G10489" t="inlineStr">
        <is>
          <t>OVANÅKER</t>
        </is>
      </c>
      <c r="I10489" t="n">
        <v>0.7</v>
      </c>
      <c r="J10489" t="n">
        <v>0</v>
      </c>
      <c r="K10489" t="n">
        <v>0</v>
      </c>
      <c r="L10489" t="n">
        <v>0</v>
      </c>
      <c r="M10489" t="n">
        <v>0</v>
      </c>
      <c r="N10489" t="n">
        <v>0</v>
      </c>
      <c r="O10489" t="n">
        <v>0</v>
      </c>
      <c r="P10489" t="n">
        <v>0</v>
      </c>
      <c r="Q10489" t="n">
        <v>0</v>
      </c>
      <c r="R10489" t="n">
        <v>0</v>
      </c>
      <c r="S10489" t="n">
        <v>0</v>
      </c>
      <c r="T10489" t="n">
        <v>0</v>
      </c>
      <c r="U10489" t="n">
        <v>0</v>
      </c>
      <c r="V10489" s="2" t="inlineStr"/>
    </row>
    <row r="10490" ht="15" customHeight="1">
      <c r="A10490" t="inlineStr">
        <is>
          <t>A 11800-2026</t>
        </is>
      </c>
      <c r="B10490" t="inlineStr">
        <is>
          <t>avverkningsanmälan</t>
        </is>
      </c>
      <c r="C10490" t="inlineStr">
        <is>
          <t>Föryngringsavverkning</t>
        </is>
      </c>
      <c r="D10490" s="1" t="n">
        <v>46085</v>
      </c>
      <c r="E10490" s="1" t="n">
        <v>46326</v>
      </c>
      <c r="F10490" t="inlineStr">
        <is>
          <t>GÄVLEBORGS LÄN</t>
        </is>
      </c>
      <c r="G10490" t="inlineStr">
        <is>
          <t>SANDVIKEN</t>
        </is>
      </c>
      <c r="H10490" t="inlineStr">
        <is>
          <t>Naturvårdsverket</t>
        </is>
      </c>
      <c r="I10490" t="n">
        <v>0.3</v>
      </c>
      <c r="J10490" t="n">
        <v>0</v>
      </c>
      <c r="K10490" t="n">
        <v>0</v>
      </c>
      <c r="L10490" t="n">
        <v>0</v>
      </c>
      <c r="M10490" t="n">
        <v>0</v>
      </c>
      <c r="N10490" t="n">
        <v>0</v>
      </c>
      <c r="O10490" t="n">
        <v>0</v>
      </c>
      <c r="P10490" t="n">
        <v>0</v>
      </c>
      <c r="Q10490" t="n">
        <v>0</v>
      </c>
      <c r="R10490" t="n">
        <v>0</v>
      </c>
      <c r="S10490" t="n">
        <v>0</v>
      </c>
      <c r="T10490" t="n">
        <v>0</v>
      </c>
      <c r="U10490" t="n">
        <v>0</v>
      </c>
      <c r="V10490" s="2" t="inlineStr"/>
    </row>
    <row r="10491" ht="15" customHeight="1">
      <c r="A10491" t="inlineStr">
        <is>
          <t>A 41528-2026</t>
        </is>
      </c>
      <c r="B10491" t="inlineStr">
        <is>
          <t>avverkningsanmälan</t>
        </is>
      </c>
      <c r="C10491" t="inlineStr">
        <is>
          <t>Föryngringsavverkning</t>
        </is>
      </c>
      <c r="D10491" s="1" t="n">
        <v>46301</v>
      </c>
      <c r="E10491" s="1" t="n">
        <v>46326</v>
      </c>
      <c r="F10491" t="inlineStr">
        <is>
          <t>GÄVLEBORGS LÄN</t>
        </is>
      </c>
      <c r="G10491" t="inlineStr">
        <is>
          <t>OVANÅKER</t>
        </is>
      </c>
      <c r="H10491" t="inlineStr">
        <is>
          <t>Sveaskog</t>
        </is>
      </c>
      <c r="I10491" t="n">
        <v>8.800000000000001</v>
      </c>
      <c r="J10491" t="n">
        <v>0</v>
      </c>
      <c r="K10491" t="n">
        <v>0</v>
      </c>
      <c r="L10491" t="n">
        <v>0</v>
      </c>
      <c r="M10491" t="n">
        <v>0</v>
      </c>
      <c r="N10491" t="n">
        <v>0</v>
      </c>
      <c r="O10491" t="n">
        <v>0</v>
      </c>
      <c r="P10491" t="n">
        <v>0</v>
      </c>
      <c r="Q10491" t="n">
        <v>0</v>
      </c>
      <c r="R10491" t="n">
        <v>0</v>
      </c>
      <c r="S10491" t="n">
        <v>0</v>
      </c>
      <c r="T10491" t="n">
        <v>0</v>
      </c>
      <c r="U10491" t="n">
        <v>0</v>
      </c>
      <c r="V10491" s="2" t="inlineStr"/>
    </row>
    <row r="10492" ht="15" customHeight="1">
      <c r="A10492" t="inlineStr">
        <is>
          <t>A 41627-2026</t>
        </is>
      </c>
      <c r="B10492" t="inlineStr">
        <is>
          <t>avverkningsanmälan</t>
        </is>
      </c>
      <c r="C10492" t="inlineStr">
        <is>
          <t>Föryngringsavverkning</t>
        </is>
      </c>
      <c r="D10492" s="1" t="n">
        <v>46302</v>
      </c>
      <c r="E10492" s="1" t="n">
        <v>46326</v>
      </c>
      <c r="F10492" t="inlineStr">
        <is>
          <t>GÄVLEBORGS LÄN</t>
        </is>
      </c>
      <c r="G10492" t="inlineStr">
        <is>
          <t>OVANÅKER</t>
        </is>
      </c>
      <c r="I10492" t="n">
        <v>2.1</v>
      </c>
      <c r="J10492" t="n">
        <v>0</v>
      </c>
      <c r="K10492" t="n">
        <v>0</v>
      </c>
      <c r="L10492" t="n">
        <v>0</v>
      </c>
      <c r="M10492" t="n">
        <v>0</v>
      </c>
      <c r="N10492" t="n">
        <v>0</v>
      </c>
      <c r="O10492" t="n">
        <v>0</v>
      </c>
      <c r="P10492" t="n">
        <v>0</v>
      </c>
      <c r="Q10492" t="n">
        <v>0</v>
      </c>
      <c r="R10492" t="n">
        <v>0</v>
      </c>
      <c r="S10492" t="n">
        <v>0</v>
      </c>
      <c r="T10492" t="n">
        <v>0</v>
      </c>
      <c r="U10492" t="n">
        <v>0</v>
      </c>
      <c r="V10492" s="2" t="inlineStr"/>
    </row>
    <row r="10493" ht="15" customHeight="1">
      <c r="A10493" t="inlineStr">
        <is>
          <t>A 41660-2026</t>
        </is>
      </c>
      <c r="B10493" t="inlineStr">
        <is>
          <t>avverkningsanmälan</t>
        </is>
      </c>
      <c r="C10493" t="inlineStr">
        <is>
          <t>Föryngringsavverkning</t>
        </is>
      </c>
      <c r="D10493" s="1" t="n">
        <v>46302</v>
      </c>
      <c r="E10493" s="1" t="n">
        <v>46326</v>
      </c>
      <c r="F10493" t="inlineStr">
        <is>
          <t>GÄVLEBORGS LÄN</t>
        </is>
      </c>
      <c r="G10493" t="inlineStr">
        <is>
          <t>HUDIKSVALL</t>
        </is>
      </c>
      <c r="I10493" t="n">
        <v>0.9</v>
      </c>
      <c r="J10493" t="n">
        <v>0</v>
      </c>
      <c r="K10493" t="n">
        <v>0</v>
      </c>
      <c r="L10493" t="n">
        <v>0</v>
      </c>
      <c r="M10493" t="n">
        <v>0</v>
      </c>
      <c r="N10493" t="n">
        <v>0</v>
      </c>
      <c r="O10493" t="n">
        <v>0</v>
      </c>
      <c r="P10493" t="n">
        <v>0</v>
      </c>
      <c r="Q10493" t="n">
        <v>0</v>
      </c>
      <c r="R10493" t="n">
        <v>0</v>
      </c>
      <c r="S10493" t="n">
        <v>0</v>
      </c>
      <c r="T10493" t="n">
        <v>0</v>
      </c>
      <c r="U10493" t="n">
        <v>0</v>
      </c>
      <c r="V10493" s="2" t="inlineStr"/>
    </row>
    <row r="10494" ht="15" customHeight="1">
      <c r="A10494" t="inlineStr">
        <is>
          <t>A 41750-2026</t>
        </is>
      </c>
      <c r="B10494" t="inlineStr">
        <is>
          <t>avverkningsanmälan</t>
        </is>
      </c>
      <c r="C10494" t="inlineStr">
        <is>
          <t>Föryngringsavverkning</t>
        </is>
      </c>
      <c r="D10494" s="1" t="n">
        <v>46302</v>
      </c>
      <c r="E10494" s="1" t="n">
        <v>46326</v>
      </c>
      <c r="F10494" t="inlineStr">
        <is>
          <t>GÄVLEBORGS LÄN</t>
        </is>
      </c>
      <c r="G10494" t="inlineStr">
        <is>
          <t>SÖDERHAMN</t>
        </is>
      </c>
      <c r="I10494" t="n">
        <v>1.6</v>
      </c>
      <c r="J10494" t="n">
        <v>0</v>
      </c>
      <c r="K10494" t="n">
        <v>0</v>
      </c>
      <c r="L10494" t="n">
        <v>0</v>
      </c>
      <c r="M10494" t="n">
        <v>0</v>
      </c>
      <c r="N10494" t="n">
        <v>0</v>
      </c>
      <c r="O10494" t="n">
        <v>0</v>
      </c>
      <c r="P10494" t="n">
        <v>0</v>
      </c>
      <c r="Q10494" t="n">
        <v>0</v>
      </c>
      <c r="R10494" t="n">
        <v>0</v>
      </c>
      <c r="S10494" t="n">
        <v>0</v>
      </c>
      <c r="T10494" t="n">
        <v>0</v>
      </c>
      <c r="U10494" t="n">
        <v>0</v>
      </c>
      <c r="V10494" s="2" t="inlineStr"/>
    </row>
    <row r="10495" ht="15" customHeight="1">
      <c r="A10495" t="inlineStr">
        <is>
          <t>A 41665-2026</t>
        </is>
      </c>
      <c r="B10495" t="inlineStr">
        <is>
          <t>avverkningsanmälan</t>
        </is>
      </c>
      <c r="C10495" t="inlineStr">
        <is>
          <t>Föryngringsavverkning</t>
        </is>
      </c>
      <c r="D10495" s="1" t="n">
        <v>46302</v>
      </c>
      <c r="E10495" s="1" t="n">
        <v>46326</v>
      </c>
      <c r="F10495" t="inlineStr">
        <is>
          <t>GÄVLEBORGS LÄN</t>
        </is>
      </c>
      <c r="G10495" t="inlineStr">
        <is>
          <t>NORDANSTIG</t>
        </is>
      </c>
      <c r="I10495" t="n">
        <v>3.3</v>
      </c>
      <c r="J10495" t="n">
        <v>0</v>
      </c>
      <c r="K10495" t="n">
        <v>0</v>
      </c>
      <c r="L10495" t="n">
        <v>0</v>
      </c>
      <c r="M10495" t="n">
        <v>0</v>
      </c>
      <c r="N10495" t="n">
        <v>0</v>
      </c>
      <c r="O10495" t="n">
        <v>0</v>
      </c>
      <c r="P10495" t="n">
        <v>0</v>
      </c>
      <c r="Q10495" t="n">
        <v>0</v>
      </c>
      <c r="R10495" t="n">
        <v>0</v>
      </c>
      <c r="S10495" t="n">
        <v>0</v>
      </c>
      <c r="T10495" t="n">
        <v>0</v>
      </c>
      <c r="U10495" t="n">
        <v>0</v>
      </c>
      <c r="V10495" s="2" t="inlineStr"/>
    </row>
    <row r="10496" ht="15" customHeight="1">
      <c r="A10496" t="inlineStr">
        <is>
          <t>A 35129-2026</t>
        </is>
      </c>
      <c r="B10496" t="inlineStr">
        <is>
          <t>avverkningsanmälan</t>
        </is>
      </c>
      <c r="C10496" t="inlineStr">
        <is>
          <t>Föryngringsavverkning</t>
        </is>
      </c>
      <c r="D10496" s="1" t="n">
        <v>46260</v>
      </c>
      <c r="E10496" s="1" t="n">
        <v>46326</v>
      </c>
      <c r="F10496" t="inlineStr">
        <is>
          <t>GÄVLEBORGS LÄN</t>
        </is>
      </c>
      <c r="G10496" t="inlineStr">
        <is>
          <t>BOLLNÄS</t>
        </is>
      </c>
      <c r="H10496" t="inlineStr">
        <is>
          <t>Bergvik skog väst AB</t>
        </is>
      </c>
      <c r="I10496" t="n">
        <v>6.6</v>
      </c>
      <c r="J10496" t="n">
        <v>0</v>
      </c>
      <c r="K10496" t="n">
        <v>0</v>
      </c>
      <c r="L10496" t="n">
        <v>0</v>
      </c>
      <c r="M10496" t="n">
        <v>0</v>
      </c>
      <c r="N10496" t="n">
        <v>0</v>
      </c>
      <c r="O10496" t="n">
        <v>0</v>
      </c>
      <c r="P10496" t="n">
        <v>0</v>
      </c>
      <c r="Q10496" t="n">
        <v>0</v>
      </c>
      <c r="R10496" t="n">
        <v>0</v>
      </c>
      <c r="S10496" t="n">
        <v>0</v>
      </c>
      <c r="T10496" t="n">
        <v>0</v>
      </c>
      <c r="U10496" t="n">
        <v>0</v>
      </c>
      <c r="V10496" s="2" t="inlineStr"/>
    </row>
    <row r="10497" ht="15" customHeight="1">
      <c r="A10497" t="inlineStr">
        <is>
          <t>A 35132-2026</t>
        </is>
      </c>
      <c r="B10497" t="inlineStr">
        <is>
          <t>avverkningsanmälan</t>
        </is>
      </c>
      <c r="C10497" t="inlineStr">
        <is>
          <t>Föryngringsavverkning</t>
        </is>
      </c>
      <c r="D10497" s="1" t="n">
        <v>46260</v>
      </c>
      <c r="E10497" s="1" t="n">
        <v>46326</v>
      </c>
      <c r="F10497" t="inlineStr">
        <is>
          <t>GÄVLEBORGS LÄN</t>
        </is>
      </c>
      <c r="G10497" t="inlineStr">
        <is>
          <t>BOLLNÄS</t>
        </is>
      </c>
      <c r="H10497" t="inlineStr">
        <is>
          <t>Bergvik skog väst AB</t>
        </is>
      </c>
      <c r="I10497" t="n">
        <v>3.1</v>
      </c>
      <c r="J10497" t="n">
        <v>0</v>
      </c>
      <c r="K10497" t="n">
        <v>0</v>
      </c>
      <c r="L10497" t="n">
        <v>0</v>
      </c>
      <c r="M10497" t="n">
        <v>0</v>
      </c>
      <c r="N10497" t="n">
        <v>0</v>
      </c>
      <c r="O10497" t="n">
        <v>0</v>
      </c>
      <c r="P10497" t="n">
        <v>0</v>
      </c>
      <c r="Q10497" t="n">
        <v>0</v>
      </c>
      <c r="R10497" t="n">
        <v>0</v>
      </c>
      <c r="S10497" t="n">
        <v>0</v>
      </c>
      <c r="T10497" t="n">
        <v>0</v>
      </c>
      <c r="U10497" t="n">
        <v>0</v>
      </c>
      <c r="V10497" s="2" t="inlineStr"/>
    </row>
    <row r="10498" ht="15" customHeight="1">
      <c r="A10498" t="inlineStr">
        <is>
          <t>A 15825-2026</t>
        </is>
      </c>
      <c r="B10498" t="inlineStr">
        <is>
          <t>avverkningsanmälan</t>
        </is>
      </c>
      <c r="C10498" t="inlineStr">
        <is>
          <t>Föryngringsavverkning</t>
        </is>
      </c>
      <c r="D10498" s="1" t="n">
        <v>46107</v>
      </c>
      <c r="E10498" s="1" t="n">
        <v>46326</v>
      </c>
      <c r="F10498" t="inlineStr">
        <is>
          <t>GÄVLEBORGS LÄN</t>
        </is>
      </c>
      <c r="G10498" t="inlineStr">
        <is>
          <t>OVANÅKER</t>
        </is>
      </c>
      <c r="H10498" t="inlineStr">
        <is>
          <t>Bergvik skog väst AB</t>
        </is>
      </c>
      <c r="I10498" t="n">
        <v>1.6</v>
      </c>
      <c r="J10498" t="n">
        <v>0</v>
      </c>
      <c r="K10498" t="n">
        <v>0</v>
      </c>
      <c r="L10498" t="n">
        <v>0</v>
      </c>
      <c r="M10498" t="n">
        <v>0</v>
      </c>
      <c r="N10498" t="n">
        <v>0</v>
      </c>
      <c r="O10498" t="n">
        <v>0</v>
      </c>
      <c r="P10498" t="n">
        <v>0</v>
      </c>
      <c r="Q10498" t="n">
        <v>0</v>
      </c>
      <c r="R10498" t="n">
        <v>0</v>
      </c>
      <c r="S10498" t="n">
        <v>0</v>
      </c>
      <c r="T10498" t="n">
        <v>0</v>
      </c>
      <c r="U10498" t="n">
        <v>0</v>
      </c>
      <c r="V10498" s="2" t="inlineStr"/>
    </row>
    <row r="10499" ht="15" customHeight="1">
      <c r="A10499" t="inlineStr">
        <is>
          <t>A 12857-2026</t>
        </is>
      </c>
      <c r="B10499" t="inlineStr">
        <is>
          <t>avverkningsanmälan</t>
        </is>
      </c>
      <c r="C10499" t="inlineStr">
        <is>
          <t>Föryngringsavverkning</t>
        </is>
      </c>
      <c r="D10499" s="1" t="n">
        <v>46092</v>
      </c>
      <c r="E10499" s="1" t="n">
        <v>46326</v>
      </c>
      <c r="F10499" t="inlineStr">
        <is>
          <t>GÄVLEBORGS LÄN</t>
        </is>
      </c>
      <c r="G10499" t="inlineStr">
        <is>
          <t>SANDVIKEN</t>
        </is>
      </c>
      <c r="I10499" t="n">
        <v>3</v>
      </c>
      <c r="J10499" t="n">
        <v>0</v>
      </c>
      <c r="K10499" t="n">
        <v>0</v>
      </c>
      <c r="L10499" t="n">
        <v>0</v>
      </c>
      <c r="M10499" t="n">
        <v>0</v>
      </c>
      <c r="N10499" t="n">
        <v>0</v>
      </c>
      <c r="O10499" t="n">
        <v>0</v>
      </c>
      <c r="P10499" t="n">
        <v>0</v>
      </c>
      <c r="Q10499" t="n">
        <v>0</v>
      </c>
      <c r="R10499" t="n">
        <v>0</v>
      </c>
      <c r="S10499" t="n">
        <v>0</v>
      </c>
      <c r="T10499" t="n">
        <v>0</v>
      </c>
      <c r="U10499" t="n">
        <v>0</v>
      </c>
      <c r="V10499" s="2" t="inlineStr"/>
    </row>
    <row r="10500" ht="15" customHeight="1">
      <c r="A10500" t="inlineStr">
        <is>
          <t>A 9813-2026</t>
        </is>
      </c>
      <c r="B10500" t="inlineStr">
        <is>
          <t>avverkningsanmälan</t>
        </is>
      </c>
      <c r="C10500" t="inlineStr">
        <is>
          <t>Föryngringsavverkning</t>
        </is>
      </c>
      <c r="D10500" s="1" t="n">
        <v>46072</v>
      </c>
      <c r="E10500" s="1" t="n">
        <v>46326</v>
      </c>
      <c r="F10500" t="inlineStr">
        <is>
          <t>GÄVLEBORGS LÄN</t>
        </is>
      </c>
      <c r="G10500" t="inlineStr">
        <is>
          <t>HUDIKSVALL</t>
        </is>
      </c>
      <c r="I10500" t="n">
        <v>3.8</v>
      </c>
      <c r="J10500" t="n">
        <v>0</v>
      </c>
      <c r="K10500" t="n">
        <v>0</v>
      </c>
      <c r="L10500" t="n">
        <v>0</v>
      </c>
      <c r="M10500" t="n">
        <v>0</v>
      </c>
      <c r="N10500" t="n">
        <v>0</v>
      </c>
      <c r="O10500" t="n">
        <v>0</v>
      </c>
      <c r="P10500" t="n">
        <v>0</v>
      </c>
      <c r="Q10500" t="n">
        <v>0</v>
      </c>
      <c r="R10500" t="n">
        <v>0</v>
      </c>
      <c r="S10500" t="n">
        <v>0</v>
      </c>
      <c r="T10500" t="n">
        <v>0</v>
      </c>
      <c r="U10500" t="n">
        <v>0</v>
      </c>
      <c r="V10500" s="2" t="inlineStr"/>
    </row>
    <row r="10501" ht="15" customHeight="1">
      <c r="A10501" t="inlineStr">
        <is>
          <t>A 41693-2026</t>
        </is>
      </c>
      <c r="B10501" t="inlineStr">
        <is>
          <t>avverkningsanmälan</t>
        </is>
      </c>
      <c r="C10501" t="inlineStr">
        <is>
          <t>Föryngringsavverkning</t>
        </is>
      </c>
      <c r="D10501" s="1" t="n">
        <v>46302</v>
      </c>
      <c r="E10501" s="1" t="n">
        <v>46326</v>
      </c>
      <c r="F10501" t="inlineStr">
        <is>
          <t>GÄVLEBORGS LÄN</t>
        </is>
      </c>
      <c r="G10501" t="inlineStr">
        <is>
          <t>HUDIKSVALL</t>
        </is>
      </c>
      <c r="H10501" t="inlineStr">
        <is>
          <t>Holmen skog AB</t>
        </is>
      </c>
      <c r="I10501" t="n">
        <v>3.3</v>
      </c>
      <c r="J10501" t="n">
        <v>0</v>
      </c>
      <c r="K10501" t="n">
        <v>0</v>
      </c>
      <c r="L10501" t="n">
        <v>0</v>
      </c>
      <c r="M10501" t="n">
        <v>0</v>
      </c>
      <c r="N10501" t="n">
        <v>0</v>
      </c>
      <c r="O10501" t="n">
        <v>0</v>
      </c>
      <c r="P10501" t="n">
        <v>0</v>
      </c>
      <c r="Q10501" t="n">
        <v>0</v>
      </c>
      <c r="R10501" t="n">
        <v>0</v>
      </c>
      <c r="S10501" t="n">
        <v>0</v>
      </c>
      <c r="T10501" t="n">
        <v>0</v>
      </c>
      <c r="U10501" t="n">
        <v>0</v>
      </c>
      <c r="V10501" s="2" t="inlineStr"/>
    </row>
    <row r="10502" ht="15" customHeight="1">
      <c r="A10502" t="inlineStr">
        <is>
          <t>A 41628-2026</t>
        </is>
      </c>
      <c r="B10502" t="inlineStr">
        <is>
          <t>avverkningsanmälan</t>
        </is>
      </c>
      <c r="C10502" t="inlineStr">
        <is>
          <t>Föryngringsavverkning</t>
        </is>
      </c>
      <c r="D10502" s="1" t="n">
        <v>46302</v>
      </c>
      <c r="E10502" s="1" t="n">
        <v>46326</v>
      </c>
      <c r="F10502" t="inlineStr">
        <is>
          <t>GÄVLEBORGS LÄN</t>
        </is>
      </c>
      <c r="G10502" t="inlineStr">
        <is>
          <t>OVANÅKER</t>
        </is>
      </c>
      <c r="I10502" t="n">
        <v>0.9</v>
      </c>
      <c r="J10502" t="n">
        <v>0</v>
      </c>
      <c r="K10502" t="n">
        <v>0</v>
      </c>
      <c r="L10502" t="n">
        <v>0</v>
      </c>
      <c r="M10502" t="n">
        <v>0</v>
      </c>
      <c r="N10502" t="n">
        <v>0</v>
      </c>
      <c r="O10502" t="n">
        <v>0</v>
      </c>
      <c r="P10502" t="n">
        <v>0</v>
      </c>
      <c r="Q10502" t="n">
        <v>0</v>
      </c>
      <c r="R10502" t="n">
        <v>0</v>
      </c>
      <c r="S10502" t="n">
        <v>0</v>
      </c>
      <c r="T10502" t="n">
        <v>0</v>
      </c>
      <c r="U10502" t="n">
        <v>0</v>
      </c>
      <c r="V10502" s="2" t="inlineStr"/>
    </row>
    <row r="10503" ht="15" customHeight="1">
      <c r="A10503" t="inlineStr">
        <is>
          <t>A 41658-2026</t>
        </is>
      </c>
      <c r="B10503" t="inlineStr">
        <is>
          <t>avverkningsanmälan</t>
        </is>
      </c>
      <c r="C10503" t="inlineStr">
        <is>
          <t>Föryngringsavverkning</t>
        </is>
      </c>
      <c r="D10503" s="1" t="n">
        <v>46302</v>
      </c>
      <c r="E10503" s="1" t="n">
        <v>46326</v>
      </c>
      <c r="F10503" t="inlineStr">
        <is>
          <t>GÄVLEBORGS LÄN</t>
        </is>
      </c>
      <c r="G10503" t="inlineStr">
        <is>
          <t>NORDANSTIG</t>
        </is>
      </c>
      <c r="H10503" t="inlineStr">
        <is>
          <t>Holmen skog AB</t>
        </is>
      </c>
      <c r="I10503" t="n">
        <v>4.7</v>
      </c>
      <c r="J10503" t="n">
        <v>0</v>
      </c>
      <c r="K10503" t="n">
        <v>0</v>
      </c>
      <c r="L10503" t="n">
        <v>0</v>
      </c>
      <c r="M10503" t="n">
        <v>0</v>
      </c>
      <c r="N10503" t="n">
        <v>0</v>
      </c>
      <c r="O10503" t="n">
        <v>0</v>
      </c>
      <c r="P10503" t="n">
        <v>0</v>
      </c>
      <c r="Q10503" t="n">
        <v>0</v>
      </c>
      <c r="R10503" t="n">
        <v>0</v>
      </c>
      <c r="S10503" t="n">
        <v>0</v>
      </c>
      <c r="T10503" t="n">
        <v>0</v>
      </c>
      <c r="U10503" t="n">
        <v>0</v>
      </c>
      <c r="V10503" s="2" t="inlineStr"/>
    </row>
    <row r="10504" ht="15" customHeight="1">
      <c r="A10504" t="inlineStr">
        <is>
          <t>A 10680-2026</t>
        </is>
      </c>
      <c r="B10504" t="inlineStr">
        <is>
          <t>avverkningsanmälan</t>
        </is>
      </c>
      <c r="C10504" t="inlineStr">
        <is>
          <t>Föryngringsavverkning</t>
        </is>
      </c>
      <c r="D10504" s="1" t="n">
        <v>46078</v>
      </c>
      <c r="E10504" s="1" t="n">
        <v>46326</v>
      </c>
      <c r="F10504" t="inlineStr">
        <is>
          <t>GÄVLEBORGS LÄN</t>
        </is>
      </c>
      <c r="G10504" t="inlineStr">
        <is>
          <t>NORDANSTIG</t>
        </is>
      </c>
      <c r="I10504" t="n">
        <v>10.9</v>
      </c>
      <c r="J10504" t="n">
        <v>0</v>
      </c>
      <c r="K10504" t="n">
        <v>0</v>
      </c>
      <c r="L10504" t="n">
        <v>0</v>
      </c>
      <c r="M10504" t="n">
        <v>0</v>
      </c>
      <c r="N10504" t="n">
        <v>0</v>
      </c>
      <c r="O10504" t="n">
        <v>0</v>
      </c>
      <c r="P10504" t="n">
        <v>0</v>
      </c>
      <c r="Q10504" t="n">
        <v>0</v>
      </c>
      <c r="R10504" t="n">
        <v>0</v>
      </c>
      <c r="S10504" t="n">
        <v>0</v>
      </c>
      <c r="T10504" t="n">
        <v>0</v>
      </c>
      <c r="U10504" t="n">
        <v>0</v>
      </c>
      <c r="V10504" s="2" t="inlineStr"/>
    </row>
    <row r="10505" ht="15" customHeight="1">
      <c r="A10505" t="inlineStr">
        <is>
          <t>A 35169-2026</t>
        </is>
      </c>
      <c r="B10505" t="inlineStr">
        <is>
          <t>avverkningsanmälan</t>
        </is>
      </c>
      <c r="C10505" t="inlineStr">
        <is>
          <t>Föryngringsavverkning</t>
        </is>
      </c>
      <c r="D10505" s="1" t="n">
        <v>46260</v>
      </c>
      <c r="E10505" s="1" t="n">
        <v>46326</v>
      </c>
      <c r="F10505" t="inlineStr">
        <is>
          <t>GÄVLEBORGS LÄN</t>
        </is>
      </c>
      <c r="G10505" t="inlineStr">
        <is>
          <t>HUDIKSVALL</t>
        </is>
      </c>
      <c r="H10505" t="inlineStr">
        <is>
          <t>Kommuner</t>
        </is>
      </c>
      <c r="I10505" t="n">
        <v>2.8</v>
      </c>
      <c r="J10505" t="n">
        <v>0</v>
      </c>
      <c r="K10505" t="n">
        <v>0</v>
      </c>
      <c r="L10505" t="n">
        <v>0</v>
      </c>
      <c r="M10505" t="n">
        <v>0</v>
      </c>
      <c r="N10505" t="n">
        <v>0</v>
      </c>
      <c r="O10505" t="n">
        <v>0</v>
      </c>
      <c r="P10505" t="n">
        <v>0</v>
      </c>
      <c r="Q10505" t="n">
        <v>0</v>
      </c>
      <c r="R10505" t="n">
        <v>0</v>
      </c>
      <c r="S10505" t="n">
        <v>0</v>
      </c>
      <c r="T10505" t="n">
        <v>0</v>
      </c>
      <c r="U10505" t="n">
        <v>0</v>
      </c>
      <c r="V10505" s="2" t="inlineStr"/>
    </row>
    <row r="10506" ht="15" customHeight="1">
      <c r="A10506" t="inlineStr">
        <is>
          <t>A 18217-2024</t>
        </is>
      </c>
      <c r="B10506" t="inlineStr">
        <is>
          <t>avverkningsanmälan</t>
        </is>
      </c>
      <c r="C10506" t="inlineStr">
        <is>
          <t>Föryngringsavverkning</t>
        </is>
      </c>
      <c r="D10506" s="1" t="n">
        <v>45420</v>
      </c>
      <c r="E10506" s="1" t="n">
        <v>46326</v>
      </c>
      <c r="F10506" t="inlineStr">
        <is>
          <t>GÄVLEBORGS LÄN</t>
        </is>
      </c>
      <c r="G10506" t="inlineStr">
        <is>
          <t>GÄVLE</t>
        </is>
      </c>
      <c r="H10506" t="inlineStr">
        <is>
          <t>Bergvik skog väst AB</t>
        </is>
      </c>
      <c r="I10506" t="n">
        <v>2</v>
      </c>
      <c r="J10506" t="n">
        <v>0</v>
      </c>
      <c r="K10506" t="n">
        <v>0</v>
      </c>
      <c r="L10506" t="n">
        <v>0</v>
      </c>
      <c r="M10506" t="n">
        <v>0</v>
      </c>
      <c r="N10506" t="n">
        <v>0</v>
      </c>
      <c r="O10506" t="n">
        <v>0</v>
      </c>
      <c r="P10506" t="n">
        <v>0</v>
      </c>
      <c r="Q10506" t="n">
        <v>0</v>
      </c>
      <c r="R10506" t="n">
        <v>0</v>
      </c>
      <c r="S10506" t="n">
        <v>0</v>
      </c>
      <c r="T10506" t="n">
        <v>0</v>
      </c>
      <c r="U10506" t="n">
        <v>0</v>
      </c>
      <c r="V10506" s="2" t="inlineStr"/>
    </row>
    <row r="10507" ht="15" customHeight="1">
      <c r="A10507" t="inlineStr">
        <is>
          <t>A 4257-2026</t>
        </is>
      </c>
      <c r="B10507" t="inlineStr">
        <is>
          <t>avverkningsanmälan</t>
        </is>
      </c>
      <c r="C10507" t="inlineStr">
        <is>
          <t>Föryngringsavverkning</t>
        </is>
      </c>
      <c r="D10507" s="1" t="n">
        <v>46045</v>
      </c>
      <c r="E10507" s="1" t="n">
        <v>46326</v>
      </c>
      <c r="F10507" t="inlineStr">
        <is>
          <t>GÄVLEBORGS LÄN</t>
        </is>
      </c>
      <c r="G10507" t="inlineStr">
        <is>
          <t>OCKELBO</t>
        </is>
      </c>
      <c r="I10507" t="n">
        <v>6.8</v>
      </c>
      <c r="J10507" t="n">
        <v>0</v>
      </c>
      <c r="K10507" t="n">
        <v>0</v>
      </c>
      <c r="L10507" t="n">
        <v>0</v>
      </c>
      <c r="M10507" t="n">
        <v>0</v>
      </c>
      <c r="N10507" t="n">
        <v>0</v>
      </c>
      <c r="O10507" t="n">
        <v>0</v>
      </c>
      <c r="P10507" t="n">
        <v>0</v>
      </c>
      <c r="Q10507" t="n">
        <v>0</v>
      </c>
      <c r="R10507" t="n">
        <v>0</v>
      </c>
      <c r="S10507" t="n">
        <v>0</v>
      </c>
      <c r="T10507" t="n">
        <v>0</v>
      </c>
      <c r="U10507" t="n">
        <v>0</v>
      </c>
      <c r="V10507" s="2" t="inlineStr"/>
    </row>
    <row r="10508" ht="15" customHeight="1">
      <c r="A10508" t="inlineStr">
        <is>
          <t>A 1512-2026</t>
        </is>
      </c>
      <c r="B10508" t="inlineStr">
        <is>
          <t>avverkningsanmälan</t>
        </is>
      </c>
      <c r="C10508" t="inlineStr">
        <is>
          <t>Föryngringsavverkning</t>
        </is>
      </c>
      <c r="D10508" s="1" t="n">
        <v>46034</v>
      </c>
      <c r="E10508" s="1" t="n">
        <v>46326</v>
      </c>
      <c r="F10508" t="inlineStr">
        <is>
          <t>GÄVLEBORGS LÄN</t>
        </is>
      </c>
      <c r="G10508" t="inlineStr">
        <is>
          <t>SÖDERHAMN</t>
        </is>
      </c>
      <c r="I10508" t="n">
        <v>0.7</v>
      </c>
      <c r="J10508" t="n">
        <v>0</v>
      </c>
      <c r="K10508" t="n">
        <v>0</v>
      </c>
      <c r="L10508" t="n">
        <v>0</v>
      </c>
      <c r="M10508" t="n">
        <v>0</v>
      </c>
      <c r="N10508" t="n">
        <v>0</v>
      </c>
      <c r="O10508" t="n">
        <v>0</v>
      </c>
      <c r="P10508" t="n">
        <v>0</v>
      </c>
      <c r="Q10508" t="n">
        <v>0</v>
      </c>
      <c r="R10508" t="n">
        <v>0</v>
      </c>
      <c r="S10508" t="n">
        <v>0</v>
      </c>
      <c r="T10508" t="n">
        <v>0</v>
      </c>
      <c r="U10508" t="n">
        <v>0</v>
      </c>
      <c r="V10508" s="2" t="inlineStr"/>
    </row>
    <row r="10509" ht="15" customHeight="1">
      <c r="A10509" t="inlineStr">
        <is>
          <t>A 19197-2026</t>
        </is>
      </c>
      <c r="B10509" t="inlineStr">
        <is>
          <t>avverkningsanmälan</t>
        </is>
      </c>
      <c r="C10509" t="inlineStr">
        <is>
          <t>Föryngringsavverkning</t>
        </is>
      </c>
      <c r="D10509" s="1" t="n">
        <v>46132</v>
      </c>
      <c r="E10509" s="1" t="n">
        <v>46326</v>
      </c>
      <c r="F10509" t="inlineStr">
        <is>
          <t>GÄVLEBORGS LÄN</t>
        </is>
      </c>
      <c r="G10509" t="inlineStr">
        <is>
          <t>BOLLNÄS</t>
        </is>
      </c>
      <c r="I10509" t="n">
        <v>2.2</v>
      </c>
      <c r="J10509" t="n">
        <v>0</v>
      </c>
      <c r="K10509" t="n">
        <v>0</v>
      </c>
      <c r="L10509" t="n">
        <v>0</v>
      </c>
      <c r="M10509" t="n">
        <v>0</v>
      </c>
      <c r="N10509" t="n">
        <v>0</v>
      </c>
      <c r="O10509" t="n">
        <v>0</v>
      </c>
      <c r="P10509" t="n">
        <v>0</v>
      </c>
      <c r="Q10509" t="n">
        <v>0</v>
      </c>
      <c r="R10509" t="n">
        <v>0</v>
      </c>
      <c r="S10509" t="n">
        <v>0</v>
      </c>
      <c r="T10509" t="n">
        <v>0</v>
      </c>
      <c r="U10509" t="n">
        <v>0</v>
      </c>
      <c r="V10509" s="2" t="inlineStr"/>
    </row>
    <row r="10510" ht="15" customHeight="1">
      <c r="A10510" t="inlineStr">
        <is>
          <t>A 11113-2026</t>
        </is>
      </c>
      <c r="B10510" t="inlineStr">
        <is>
          <t>avverkningsanmälan</t>
        </is>
      </c>
      <c r="C10510" t="inlineStr">
        <is>
          <t>Avverkning för annat ändamål</t>
        </is>
      </c>
      <c r="D10510" s="1" t="n">
        <v>46079</v>
      </c>
      <c r="E10510" s="1" t="n">
        <v>46326</v>
      </c>
      <c r="F10510" t="inlineStr">
        <is>
          <t>GÄVLEBORGS LÄN</t>
        </is>
      </c>
      <c r="G10510" t="inlineStr">
        <is>
          <t>NORDANSTIG</t>
        </is>
      </c>
      <c r="I10510" t="n">
        <v>0.9</v>
      </c>
      <c r="J10510" t="n">
        <v>0</v>
      </c>
      <c r="K10510" t="n">
        <v>0</v>
      </c>
      <c r="L10510" t="n">
        <v>0</v>
      </c>
      <c r="M10510" t="n">
        <v>0</v>
      </c>
      <c r="N10510" t="n">
        <v>0</v>
      </c>
      <c r="O10510" t="n">
        <v>0</v>
      </c>
      <c r="P10510" t="n">
        <v>0</v>
      </c>
      <c r="Q10510" t="n">
        <v>0</v>
      </c>
      <c r="R10510" t="n">
        <v>0</v>
      </c>
      <c r="S10510" t="n">
        <v>0</v>
      </c>
      <c r="T10510" t="n">
        <v>0</v>
      </c>
      <c r="U10510" t="n">
        <v>0</v>
      </c>
      <c r="V10510" s="2" t="inlineStr"/>
    </row>
    <row r="10511" ht="15" customHeight="1">
      <c r="A10511" t="inlineStr">
        <is>
          <t>A 1230-2026</t>
        </is>
      </c>
      <c r="B10511" t="inlineStr">
        <is>
          <t>avverkningsanmälan</t>
        </is>
      </c>
      <c r="C10511" t="inlineStr">
        <is>
          <t>Föryngringsavverkning</t>
        </is>
      </c>
      <c r="D10511" s="1" t="n">
        <v>46031</v>
      </c>
      <c r="E10511" s="1" t="n">
        <v>46326</v>
      </c>
      <c r="F10511" t="inlineStr">
        <is>
          <t>GÄVLEBORGS LÄN</t>
        </is>
      </c>
      <c r="G10511" t="inlineStr">
        <is>
          <t>NORDANSTIG</t>
        </is>
      </c>
      <c r="I10511" t="n">
        <v>1.3</v>
      </c>
      <c r="J10511" t="n">
        <v>0</v>
      </c>
      <c r="K10511" t="n">
        <v>0</v>
      </c>
      <c r="L10511" t="n">
        <v>0</v>
      </c>
      <c r="M10511" t="n">
        <v>0</v>
      </c>
      <c r="N10511" t="n">
        <v>0</v>
      </c>
      <c r="O10511" t="n">
        <v>0</v>
      </c>
      <c r="P10511" t="n">
        <v>0</v>
      </c>
      <c r="Q10511" t="n">
        <v>0</v>
      </c>
      <c r="R10511" t="n">
        <v>0</v>
      </c>
      <c r="S10511" t="n">
        <v>0</v>
      </c>
      <c r="T10511" t="n">
        <v>0</v>
      </c>
      <c r="U10511" t="n">
        <v>0</v>
      </c>
      <c r="V10511" s="2" t="inlineStr"/>
    </row>
    <row r="10512" ht="15" customHeight="1">
      <c r="A10512" t="inlineStr">
        <is>
          <t>A 32019-2026</t>
        </is>
      </c>
      <c r="B10512" t="inlineStr">
        <is>
          <t>avverkningsanmälan</t>
        </is>
      </c>
      <c r="C10512" t="inlineStr">
        <is>
          <t>Föryngringsavverkning</t>
        </is>
      </c>
      <c r="D10512" s="1" t="n">
        <v>46233</v>
      </c>
      <c r="E10512" s="1" t="n">
        <v>46326</v>
      </c>
      <c r="F10512" t="inlineStr">
        <is>
          <t>GÄVLEBORGS LÄN</t>
        </is>
      </c>
      <c r="G10512" t="inlineStr">
        <is>
          <t>BOLLNÄS</t>
        </is>
      </c>
      <c r="I10512" t="n">
        <v>8.300000000000001</v>
      </c>
      <c r="J10512" t="n">
        <v>0</v>
      </c>
      <c r="K10512" t="n">
        <v>0</v>
      </c>
      <c r="L10512" t="n">
        <v>0</v>
      </c>
      <c r="M10512" t="n">
        <v>0</v>
      </c>
      <c r="N10512" t="n">
        <v>0</v>
      </c>
      <c r="O10512" t="n">
        <v>0</v>
      </c>
      <c r="P10512" t="n">
        <v>0</v>
      </c>
      <c r="Q10512" t="n">
        <v>0</v>
      </c>
      <c r="R10512" t="n">
        <v>0</v>
      </c>
      <c r="S10512" t="n">
        <v>0</v>
      </c>
      <c r="T10512" t="n">
        <v>0</v>
      </c>
      <c r="U10512" t="n">
        <v>0</v>
      </c>
      <c r="V10512" s="2" t="inlineStr"/>
    </row>
    <row r="10513" ht="15" customHeight="1">
      <c r="A10513" t="inlineStr">
        <is>
          <t>A 34723-2026</t>
        </is>
      </c>
      <c r="B10513" t="inlineStr">
        <is>
          <t>avverkningsanmälan</t>
        </is>
      </c>
      <c r="C10513" t="inlineStr">
        <is>
          <t>Föryngringsavverkning</t>
        </is>
      </c>
      <c r="D10513" s="1" t="n">
        <v>46258</v>
      </c>
      <c r="E10513" s="1" t="n">
        <v>46326</v>
      </c>
      <c r="F10513" t="inlineStr">
        <is>
          <t>GÄVLEBORGS LÄN</t>
        </is>
      </c>
      <c r="G10513" t="inlineStr">
        <is>
          <t>BOLLNÄS</t>
        </is>
      </c>
      <c r="I10513" t="n">
        <v>3.7</v>
      </c>
      <c r="J10513" t="n">
        <v>0</v>
      </c>
      <c r="K10513" t="n">
        <v>0</v>
      </c>
      <c r="L10513" t="n">
        <v>0</v>
      </c>
      <c r="M10513" t="n">
        <v>0</v>
      </c>
      <c r="N10513" t="n">
        <v>0</v>
      </c>
      <c r="O10513" t="n">
        <v>0</v>
      </c>
      <c r="P10513" t="n">
        <v>0</v>
      </c>
      <c r="Q10513" t="n">
        <v>0</v>
      </c>
      <c r="R10513" t="n">
        <v>0</v>
      </c>
      <c r="S10513" t="n">
        <v>0</v>
      </c>
      <c r="T10513" t="n">
        <v>0</v>
      </c>
      <c r="U10513" t="n">
        <v>0</v>
      </c>
      <c r="V10513" s="2" t="inlineStr"/>
    </row>
    <row r="10514" ht="15" customHeight="1">
      <c r="A10514" t="inlineStr">
        <is>
          <t>A 34950-2026</t>
        </is>
      </c>
      <c r="B10514" t="inlineStr">
        <is>
          <t>avverkningsanmälan</t>
        </is>
      </c>
      <c r="C10514" t="inlineStr">
        <is>
          <t>Föryngringsavverkning</t>
        </is>
      </c>
      <c r="D10514" s="1" t="n">
        <v>46259</v>
      </c>
      <c r="E10514" s="1" t="n">
        <v>46326</v>
      </c>
      <c r="F10514" t="inlineStr">
        <is>
          <t>GÄVLEBORGS LÄN</t>
        </is>
      </c>
      <c r="G10514" t="inlineStr">
        <is>
          <t>OVANÅKER</t>
        </is>
      </c>
      <c r="H10514" t="inlineStr">
        <is>
          <t>Bergvik skog väst AB</t>
        </is>
      </c>
      <c r="I10514" t="n">
        <v>1.6</v>
      </c>
      <c r="J10514" t="n">
        <v>0</v>
      </c>
      <c r="K10514" t="n">
        <v>0</v>
      </c>
      <c r="L10514" t="n">
        <v>0</v>
      </c>
      <c r="M10514" t="n">
        <v>0</v>
      </c>
      <c r="N10514" t="n">
        <v>0</v>
      </c>
      <c r="O10514" t="n">
        <v>0</v>
      </c>
      <c r="P10514" t="n">
        <v>0</v>
      </c>
      <c r="Q10514" t="n">
        <v>0</v>
      </c>
      <c r="R10514" t="n">
        <v>0</v>
      </c>
      <c r="S10514" t="n">
        <v>0</v>
      </c>
      <c r="T10514" t="n">
        <v>0</v>
      </c>
      <c r="U10514" t="n">
        <v>0</v>
      </c>
      <c r="V10514" s="2" t="inlineStr"/>
    </row>
    <row r="10515" ht="15" customHeight="1">
      <c r="A10515" t="inlineStr">
        <is>
          <t>A 41626-2026</t>
        </is>
      </c>
      <c r="B10515" t="inlineStr">
        <is>
          <t>avverkningsanmälan</t>
        </is>
      </c>
      <c r="C10515" t="inlineStr">
        <is>
          <t>Föryngringsavverkning</t>
        </is>
      </c>
      <c r="D10515" s="1" t="n">
        <v>46302</v>
      </c>
      <c r="E10515" s="1" t="n">
        <v>46326</v>
      </c>
      <c r="F10515" t="inlineStr">
        <is>
          <t>GÄVLEBORGS LÄN</t>
        </is>
      </c>
      <c r="G10515" t="inlineStr">
        <is>
          <t>NORDANSTIG</t>
        </is>
      </c>
      <c r="I10515" t="n">
        <v>4.9</v>
      </c>
      <c r="J10515" t="n">
        <v>0</v>
      </c>
      <c r="K10515" t="n">
        <v>0</v>
      </c>
      <c r="L10515" t="n">
        <v>0</v>
      </c>
      <c r="M10515" t="n">
        <v>0</v>
      </c>
      <c r="N10515" t="n">
        <v>0</v>
      </c>
      <c r="O10515" t="n">
        <v>0</v>
      </c>
      <c r="P10515" t="n">
        <v>0</v>
      </c>
      <c r="Q10515" t="n">
        <v>0</v>
      </c>
      <c r="R10515" t="n">
        <v>0</v>
      </c>
      <c r="S10515" t="n">
        <v>0</v>
      </c>
      <c r="T10515" t="n">
        <v>0</v>
      </c>
      <c r="U10515" t="n">
        <v>0</v>
      </c>
      <c r="V10515" s="2" t="inlineStr"/>
    </row>
    <row r="10516" ht="15" customHeight="1">
      <c r="A10516" t="inlineStr">
        <is>
          <t>A 41707-2026</t>
        </is>
      </c>
      <c r="B10516" t="inlineStr">
        <is>
          <t>avverkningsanmälan</t>
        </is>
      </c>
      <c r="C10516" t="inlineStr">
        <is>
          <t>Föryngringsavverkning</t>
        </is>
      </c>
      <c r="D10516" s="1" t="n">
        <v>46302</v>
      </c>
      <c r="E10516" s="1" t="n">
        <v>46326</v>
      </c>
      <c r="F10516" t="inlineStr">
        <is>
          <t>GÄVLEBORGS LÄN</t>
        </is>
      </c>
      <c r="G10516" t="inlineStr">
        <is>
          <t>HUDIKSVALL</t>
        </is>
      </c>
      <c r="H10516" t="inlineStr">
        <is>
          <t>Holmen skog AB</t>
        </is>
      </c>
      <c r="I10516" t="n">
        <v>2.6</v>
      </c>
      <c r="J10516" t="n">
        <v>0</v>
      </c>
      <c r="K10516" t="n">
        <v>0</v>
      </c>
      <c r="L10516" t="n">
        <v>0</v>
      </c>
      <c r="M10516" t="n">
        <v>0</v>
      </c>
      <c r="N10516" t="n">
        <v>0</v>
      </c>
      <c r="O10516" t="n">
        <v>0</v>
      </c>
      <c r="P10516" t="n">
        <v>0</v>
      </c>
      <c r="Q10516" t="n">
        <v>0</v>
      </c>
      <c r="R10516" t="n">
        <v>0</v>
      </c>
      <c r="S10516" t="n">
        <v>0</v>
      </c>
      <c r="T10516" t="n">
        <v>0</v>
      </c>
      <c r="U10516" t="n">
        <v>0</v>
      </c>
      <c r="V10516" s="2" t="inlineStr"/>
    </row>
    <row r="10517" ht="15" customHeight="1">
      <c r="A10517" t="inlineStr">
        <is>
          <t>A 41710-2026</t>
        </is>
      </c>
      <c r="B10517" t="inlineStr">
        <is>
          <t>avverkningsanmälan</t>
        </is>
      </c>
      <c r="C10517" t="inlineStr">
        <is>
          <t>Föryngringsavverkning</t>
        </is>
      </c>
      <c r="D10517" s="1" t="n">
        <v>46302</v>
      </c>
      <c r="E10517" s="1" t="n">
        <v>46326</v>
      </c>
      <c r="F10517" t="inlineStr">
        <is>
          <t>GÄVLEBORGS LÄN</t>
        </is>
      </c>
      <c r="G10517" t="inlineStr">
        <is>
          <t>HUDIKSVALL</t>
        </is>
      </c>
      <c r="H10517" t="inlineStr">
        <is>
          <t>Holmen skog AB</t>
        </is>
      </c>
      <c r="I10517" t="n">
        <v>1.1</v>
      </c>
      <c r="J10517" t="n">
        <v>0</v>
      </c>
      <c r="K10517" t="n">
        <v>0</v>
      </c>
      <c r="L10517" t="n">
        <v>0</v>
      </c>
      <c r="M10517" t="n">
        <v>0</v>
      </c>
      <c r="N10517" t="n">
        <v>0</v>
      </c>
      <c r="O10517" t="n">
        <v>0</v>
      </c>
      <c r="P10517" t="n">
        <v>0</v>
      </c>
      <c r="Q10517" t="n">
        <v>0</v>
      </c>
      <c r="R10517" t="n">
        <v>0</v>
      </c>
      <c r="S10517" t="n">
        <v>0</v>
      </c>
      <c r="T10517" t="n">
        <v>0</v>
      </c>
      <c r="U10517" t="n">
        <v>0</v>
      </c>
      <c r="V10517" s="2" t="inlineStr"/>
    </row>
    <row r="10518" ht="15" customHeight="1">
      <c r="A10518" t="inlineStr">
        <is>
          <t>A 41715-2026</t>
        </is>
      </c>
      <c r="B10518" t="inlineStr">
        <is>
          <t>avverkningsanmälan</t>
        </is>
      </c>
      <c r="C10518" t="inlineStr">
        <is>
          <t>Föryngringsavverkning</t>
        </is>
      </c>
      <c r="D10518" s="1" t="n">
        <v>46302</v>
      </c>
      <c r="E10518" s="1" t="n">
        <v>46326</v>
      </c>
      <c r="F10518" t="inlineStr">
        <is>
          <t>GÄVLEBORGS LÄN</t>
        </is>
      </c>
      <c r="G10518" t="inlineStr">
        <is>
          <t>HUDIKSVALL</t>
        </is>
      </c>
      <c r="H10518" t="inlineStr">
        <is>
          <t>Holmen skog AB</t>
        </is>
      </c>
      <c r="I10518" t="n">
        <v>3.9</v>
      </c>
      <c r="J10518" t="n">
        <v>0</v>
      </c>
      <c r="K10518" t="n">
        <v>0</v>
      </c>
      <c r="L10518" t="n">
        <v>0</v>
      </c>
      <c r="M10518" t="n">
        <v>0</v>
      </c>
      <c r="N10518" t="n">
        <v>0</v>
      </c>
      <c r="O10518" t="n">
        <v>0</v>
      </c>
      <c r="P10518" t="n">
        <v>0</v>
      </c>
      <c r="Q10518" t="n">
        <v>0</v>
      </c>
      <c r="R10518" t="n">
        <v>0</v>
      </c>
      <c r="S10518" t="n">
        <v>0</v>
      </c>
      <c r="T10518" t="n">
        <v>0</v>
      </c>
      <c r="U10518" t="n">
        <v>0</v>
      </c>
      <c r="V10518" s="2" t="inlineStr"/>
    </row>
    <row r="10519" ht="15" customHeight="1">
      <c r="A10519" t="inlineStr">
        <is>
          <t>A 35167-2026</t>
        </is>
      </c>
      <c r="B10519" t="inlineStr">
        <is>
          <t>avverkningsanmälan</t>
        </is>
      </c>
      <c r="C10519" t="inlineStr">
        <is>
          <t>Föryngringsavverkning</t>
        </is>
      </c>
      <c r="D10519" s="1" t="n">
        <v>46260</v>
      </c>
      <c r="E10519" s="1" t="n">
        <v>46326</v>
      </c>
      <c r="F10519" t="inlineStr">
        <is>
          <t>GÄVLEBORGS LÄN</t>
        </is>
      </c>
      <c r="G10519" t="inlineStr">
        <is>
          <t>SÖDERHAMN</t>
        </is>
      </c>
      <c r="H10519" t="inlineStr">
        <is>
          <t>Övriga statliga verk och myndigheter</t>
        </is>
      </c>
      <c r="I10519" t="n">
        <v>14.9</v>
      </c>
      <c r="J10519" t="n">
        <v>0</v>
      </c>
      <c r="K10519" t="n">
        <v>0</v>
      </c>
      <c r="L10519" t="n">
        <v>0</v>
      </c>
      <c r="M10519" t="n">
        <v>0</v>
      </c>
      <c r="N10519" t="n">
        <v>0</v>
      </c>
      <c r="O10519" t="n">
        <v>0</v>
      </c>
      <c r="P10519" t="n">
        <v>0</v>
      </c>
      <c r="Q10519" t="n">
        <v>0</v>
      </c>
      <c r="R10519" t="n">
        <v>0</v>
      </c>
      <c r="S10519" t="n">
        <v>0</v>
      </c>
      <c r="T10519" t="n">
        <v>0</v>
      </c>
      <c r="U10519" t="n">
        <v>0</v>
      </c>
      <c r="V10519" s="2" t="inlineStr"/>
    </row>
    <row r="10520" ht="15" customHeight="1">
      <c r="A10520" t="inlineStr">
        <is>
          <t>A 35097-2026</t>
        </is>
      </c>
      <c r="B10520" t="inlineStr">
        <is>
          <t>avverkningsanmälan</t>
        </is>
      </c>
      <c r="C10520" t="inlineStr">
        <is>
          <t>Föryngringsavverkning</t>
        </is>
      </c>
      <c r="D10520" s="1" t="n">
        <v>46260</v>
      </c>
      <c r="E10520" s="1" t="n">
        <v>46326</v>
      </c>
      <c r="F10520" t="inlineStr">
        <is>
          <t>GÄVLEBORGS LÄN</t>
        </is>
      </c>
      <c r="G10520" t="inlineStr">
        <is>
          <t>BOLLNÄS</t>
        </is>
      </c>
      <c r="H10520" t="inlineStr">
        <is>
          <t>Bergvik skog väst AB</t>
        </is>
      </c>
      <c r="I10520" t="n">
        <v>2.4</v>
      </c>
      <c r="J10520" t="n">
        <v>0</v>
      </c>
      <c r="K10520" t="n">
        <v>0</v>
      </c>
      <c r="L10520" t="n">
        <v>0</v>
      </c>
      <c r="M10520" t="n">
        <v>0</v>
      </c>
      <c r="N10520" t="n">
        <v>0</v>
      </c>
      <c r="O10520" t="n">
        <v>0</v>
      </c>
      <c r="P10520" t="n">
        <v>0</v>
      </c>
      <c r="Q10520" t="n">
        <v>0</v>
      </c>
      <c r="R10520" t="n">
        <v>0</v>
      </c>
      <c r="S10520" t="n">
        <v>0</v>
      </c>
      <c r="T10520" t="n">
        <v>0</v>
      </c>
      <c r="U10520" t="n">
        <v>0</v>
      </c>
      <c r="V10520" s="2" t="inlineStr"/>
    </row>
    <row r="10521" ht="15" customHeight="1">
      <c r="A10521" t="inlineStr">
        <is>
          <t>A 41842-2026</t>
        </is>
      </c>
      <c r="B10521" t="inlineStr">
        <is>
          <t>avverkningsanmälan</t>
        </is>
      </c>
      <c r="C10521" t="inlineStr">
        <is>
          <t>Föryngringsavverkning</t>
        </is>
      </c>
      <c r="D10521" s="1" t="n">
        <v>46303</v>
      </c>
      <c r="E10521" s="1" t="n">
        <v>46326</v>
      </c>
      <c r="F10521" t="inlineStr">
        <is>
          <t>GÄVLEBORGS LÄN</t>
        </is>
      </c>
      <c r="G10521" t="inlineStr">
        <is>
          <t>HUDIKSVALL</t>
        </is>
      </c>
      <c r="H10521" t="inlineStr">
        <is>
          <t>Sveaskog</t>
        </is>
      </c>
      <c r="I10521" t="n">
        <v>8.9</v>
      </c>
      <c r="J10521" t="n">
        <v>0</v>
      </c>
      <c r="K10521" t="n">
        <v>0</v>
      </c>
      <c r="L10521" t="n">
        <v>0</v>
      </c>
      <c r="M10521" t="n">
        <v>0</v>
      </c>
      <c r="N10521" t="n">
        <v>0</v>
      </c>
      <c r="O10521" t="n">
        <v>0</v>
      </c>
      <c r="P10521" t="n">
        <v>0</v>
      </c>
      <c r="Q10521" t="n">
        <v>0</v>
      </c>
      <c r="R10521" t="n">
        <v>0</v>
      </c>
      <c r="S10521" t="n">
        <v>0</v>
      </c>
      <c r="T10521" t="n">
        <v>0</v>
      </c>
      <c r="U10521" t="n">
        <v>0</v>
      </c>
      <c r="V10521" s="2" t="inlineStr"/>
    </row>
    <row r="10522" ht="15" customHeight="1">
      <c r="A10522" t="inlineStr">
        <is>
          <t>A 41847-2026</t>
        </is>
      </c>
      <c r="B10522" t="inlineStr">
        <is>
          <t>avverkningsanmälan</t>
        </is>
      </c>
      <c r="C10522" t="inlineStr">
        <is>
          <t>Föryngringsavverkning</t>
        </is>
      </c>
      <c r="D10522" s="1" t="n">
        <v>46303</v>
      </c>
      <c r="E10522" s="1" t="n">
        <v>46326</v>
      </c>
      <c r="F10522" t="inlineStr">
        <is>
          <t>GÄVLEBORGS LÄN</t>
        </is>
      </c>
      <c r="G10522" t="inlineStr">
        <is>
          <t>HUDIKSVALL</t>
        </is>
      </c>
      <c r="I10522" t="n">
        <v>3.6</v>
      </c>
      <c r="J10522" t="n">
        <v>0</v>
      </c>
      <c r="K10522" t="n">
        <v>0</v>
      </c>
      <c r="L10522" t="n">
        <v>0</v>
      </c>
      <c r="M10522" t="n">
        <v>0</v>
      </c>
      <c r="N10522" t="n">
        <v>0</v>
      </c>
      <c r="O10522" t="n">
        <v>0</v>
      </c>
      <c r="P10522" t="n">
        <v>0</v>
      </c>
      <c r="Q10522" t="n">
        <v>0</v>
      </c>
      <c r="R10522" t="n">
        <v>0</v>
      </c>
      <c r="S10522" t="n">
        <v>0</v>
      </c>
      <c r="T10522" t="n">
        <v>0</v>
      </c>
      <c r="U10522" t="n">
        <v>0</v>
      </c>
      <c r="V10522" s="2" t="inlineStr"/>
    </row>
    <row r="10523" ht="15" customHeight="1">
      <c r="A10523" t="inlineStr">
        <is>
          <t>A 35084-2026</t>
        </is>
      </c>
      <c r="B10523" t="inlineStr">
        <is>
          <t>avverkningsanmälan</t>
        </is>
      </c>
      <c r="C10523" t="inlineStr">
        <is>
          <t>Föryngringsavverkning</t>
        </is>
      </c>
      <c r="D10523" s="1" t="n">
        <v>46260</v>
      </c>
      <c r="E10523" s="1" t="n">
        <v>46326</v>
      </c>
      <c r="F10523" t="inlineStr">
        <is>
          <t>GÄVLEBORGS LÄN</t>
        </is>
      </c>
      <c r="G10523" t="inlineStr">
        <is>
          <t>BOLLNÄS</t>
        </is>
      </c>
      <c r="H10523" t="inlineStr">
        <is>
          <t>Bergvik skog väst AB</t>
        </is>
      </c>
      <c r="I10523" t="n">
        <v>2</v>
      </c>
      <c r="J10523" t="n">
        <v>0</v>
      </c>
      <c r="K10523" t="n">
        <v>0</v>
      </c>
      <c r="L10523" t="n">
        <v>0</v>
      </c>
      <c r="M10523" t="n">
        <v>0</v>
      </c>
      <c r="N10523" t="n">
        <v>0</v>
      </c>
      <c r="O10523" t="n">
        <v>0</v>
      </c>
      <c r="P10523" t="n">
        <v>0</v>
      </c>
      <c r="Q10523" t="n">
        <v>0</v>
      </c>
      <c r="R10523" t="n">
        <v>0</v>
      </c>
      <c r="S10523" t="n">
        <v>0</v>
      </c>
      <c r="T10523" t="n">
        <v>0</v>
      </c>
      <c r="U10523" t="n">
        <v>0</v>
      </c>
      <c r="V10523" s="2" t="inlineStr"/>
    </row>
    <row r="10524" ht="15" customHeight="1">
      <c r="A10524" t="inlineStr">
        <is>
          <t>A 35219-2026</t>
        </is>
      </c>
      <c r="B10524" t="inlineStr">
        <is>
          <t>avverkningsanmälan</t>
        </is>
      </c>
      <c r="C10524" t="inlineStr">
        <is>
          <t>Föryngringsavverkning</t>
        </is>
      </c>
      <c r="D10524" s="1" t="n">
        <v>46260</v>
      </c>
      <c r="E10524" s="1" t="n">
        <v>46326</v>
      </c>
      <c r="F10524" t="inlineStr">
        <is>
          <t>GÄVLEBORGS LÄN</t>
        </is>
      </c>
      <c r="G10524" t="inlineStr">
        <is>
          <t>HOFORS</t>
        </is>
      </c>
      <c r="H10524" t="inlineStr">
        <is>
          <t>Sveaskog</t>
        </is>
      </c>
      <c r="I10524" t="n">
        <v>0.7</v>
      </c>
      <c r="J10524" t="n">
        <v>0</v>
      </c>
      <c r="K10524" t="n">
        <v>0</v>
      </c>
      <c r="L10524" t="n">
        <v>0</v>
      </c>
      <c r="M10524" t="n">
        <v>0</v>
      </c>
      <c r="N10524" t="n">
        <v>0</v>
      </c>
      <c r="O10524" t="n">
        <v>0</v>
      </c>
      <c r="P10524" t="n">
        <v>0</v>
      </c>
      <c r="Q10524" t="n">
        <v>0</v>
      </c>
      <c r="R10524" t="n">
        <v>0</v>
      </c>
      <c r="S10524" t="n">
        <v>0</v>
      </c>
      <c r="T10524" t="n">
        <v>0</v>
      </c>
      <c r="U10524" t="n">
        <v>0</v>
      </c>
      <c r="V10524" s="2" t="inlineStr"/>
    </row>
    <row r="10525" ht="15" customHeight="1">
      <c r="A10525" t="inlineStr">
        <is>
          <t>A 35013-2026</t>
        </is>
      </c>
      <c r="B10525" t="inlineStr">
        <is>
          <t>avverkningsanmälan</t>
        </is>
      </c>
      <c r="C10525" t="inlineStr">
        <is>
          <t>Föryngringsavverkning</t>
        </is>
      </c>
      <c r="D10525" s="1" t="n">
        <v>46259</v>
      </c>
      <c r="E10525" s="1" t="n">
        <v>46326</v>
      </c>
      <c r="F10525" t="inlineStr">
        <is>
          <t>GÄVLEBORGS LÄN</t>
        </is>
      </c>
      <c r="G10525" t="inlineStr">
        <is>
          <t>OVANÅKER</t>
        </is>
      </c>
      <c r="H10525" t="inlineStr">
        <is>
          <t>Bergvik skog väst AB</t>
        </is>
      </c>
      <c r="I10525" t="n">
        <v>1.3</v>
      </c>
      <c r="J10525" t="n">
        <v>0</v>
      </c>
      <c r="K10525" t="n">
        <v>0</v>
      </c>
      <c r="L10525" t="n">
        <v>0</v>
      </c>
      <c r="M10525" t="n">
        <v>0</v>
      </c>
      <c r="N10525" t="n">
        <v>0</v>
      </c>
      <c r="O10525" t="n">
        <v>0</v>
      </c>
      <c r="P10525" t="n">
        <v>0</v>
      </c>
      <c r="Q10525" t="n">
        <v>0</v>
      </c>
      <c r="R10525" t="n">
        <v>0</v>
      </c>
      <c r="S10525" t="n">
        <v>0</v>
      </c>
      <c r="T10525" t="n">
        <v>0</v>
      </c>
      <c r="U10525" t="n">
        <v>0</v>
      </c>
      <c r="V10525" s="2" t="inlineStr"/>
    </row>
    <row r="10526" ht="15" customHeight="1">
      <c r="A10526" t="inlineStr">
        <is>
          <t>A 35149-2026</t>
        </is>
      </c>
      <c r="B10526" t="inlineStr">
        <is>
          <t>avverkningsanmälan</t>
        </is>
      </c>
      <c r="C10526" t="inlineStr">
        <is>
          <t>Föryngringsavverkning</t>
        </is>
      </c>
      <c r="D10526" s="1" t="n">
        <v>46260</v>
      </c>
      <c r="E10526" s="1" t="n">
        <v>46326</v>
      </c>
      <c r="F10526" t="inlineStr">
        <is>
          <t>GÄVLEBORGS LÄN</t>
        </is>
      </c>
      <c r="G10526" t="inlineStr">
        <is>
          <t>BOLLNÄS</t>
        </is>
      </c>
      <c r="H10526" t="inlineStr">
        <is>
          <t>Bergvik skog väst AB</t>
        </is>
      </c>
      <c r="I10526" t="n">
        <v>3.4</v>
      </c>
      <c r="J10526" t="n">
        <v>0</v>
      </c>
      <c r="K10526" t="n">
        <v>0</v>
      </c>
      <c r="L10526" t="n">
        <v>0</v>
      </c>
      <c r="M10526" t="n">
        <v>0</v>
      </c>
      <c r="N10526" t="n">
        <v>0</v>
      </c>
      <c r="O10526" t="n">
        <v>0</v>
      </c>
      <c r="P10526" t="n">
        <v>0</v>
      </c>
      <c r="Q10526" t="n">
        <v>0</v>
      </c>
      <c r="R10526" t="n">
        <v>0</v>
      </c>
      <c r="S10526" t="n">
        <v>0</v>
      </c>
      <c r="T10526" t="n">
        <v>0</v>
      </c>
      <c r="U10526" t="n">
        <v>0</v>
      </c>
      <c r="V10526" s="2" t="inlineStr"/>
    </row>
    <row r="10527" ht="15" customHeight="1">
      <c r="A10527" t="inlineStr">
        <is>
          <t>A 41870-2026</t>
        </is>
      </c>
      <c r="B10527" t="inlineStr">
        <is>
          <t>avverkningsanmälan</t>
        </is>
      </c>
      <c r="C10527" t="inlineStr">
        <is>
          <t>Föryngringsavverkning</t>
        </is>
      </c>
      <c r="D10527" s="1" t="n">
        <v>46303</v>
      </c>
      <c r="E10527" s="1" t="n">
        <v>46326</v>
      </c>
      <c r="F10527" t="inlineStr">
        <is>
          <t>GÄVLEBORGS LÄN</t>
        </is>
      </c>
      <c r="G10527" t="inlineStr">
        <is>
          <t>SÖDERHAMN</t>
        </is>
      </c>
      <c r="H10527" t="inlineStr">
        <is>
          <t>Kommuner</t>
        </is>
      </c>
      <c r="I10527" t="n">
        <v>1</v>
      </c>
      <c r="J10527" t="n">
        <v>0</v>
      </c>
      <c r="K10527" t="n">
        <v>0</v>
      </c>
      <c r="L10527" t="n">
        <v>0</v>
      </c>
      <c r="M10527" t="n">
        <v>0</v>
      </c>
      <c r="N10527" t="n">
        <v>0</v>
      </c>
      <c r="O10527" t="n">
        <v>0</v>
      </c>
      <c r="P10527" t="n">
        <v>0</v>
      </c>
      <c r="Q10527" t="n">
        <v>0</v>
      </c>
      <c r="R10527" t="n">
        <v>0</v>
      </c>
      <c r="S10527" t="n">
        <v>0</v>
      </c>
      <c r="T10527" t="n">
        <v>0</v>
      </c>
      <c r="U10527" t="n">
        <v>0</v>
      </c>
      <c r="V10527" s="2" t="inlineStr"/>
    </row>
    <row r="10528" ht="15" customHeight="1">
      <c r="A10528" t="inlineStr">
        <is>
          <t>A 21666-2026</t>
        </is>
      </c>
      <c r="B10528" t="inlineStr">
        <is>
          <t>avverkningsanmälan</t>
        </is>
      </c>
      <c r="C10528" t="inlineStr">
        <is>
          <t>Föryngringsavverkning</t>
        </is>
      </c>
      <c r="D10528" s="1" t="n">
        <v>46149</v>
      </c>
      <c r="E10528" s="1" t="n">
        <v>46326</v>
      </c>
      <c r="F10528" t="inlineStr">
        <is>
          <t>GÄVLEBORGS LÄN</t>
        </is>
      </c>
      <c r="G10528" t="inlineStr">
        <is>
          <t>BOLLNÄS</t>
        </is>
      </c>
      <c r="I10528" t="n">
        <v>0.5</v>
      </c>
      <c r="J10528" t="n">
        <v>0</v>
      </c>
      <c r="K10528" t="n">
        <v>0</v>
      </c>
      <c r="L10528" t="n">
        <v>0</v>
      </c>
      <c r="M10528" t="n">
        <v>0</v>
      </c>
      <c r="N10528" t="n">
        <v>0</v>
      </c>
      <c r="O10528" t="n">
        <v>0</v>
      </c>
      <c r="P10528" t="n">
        <v>0</v>
      </c>
      <c r="Q10528" t="n">
        <v>0</v>
      </c>
      <c r="R10528" t="n">
        <v>0</v>
      </c>
      <c r="S10528" t="n">
        <v>0</v>
      </c>
      <c r="T10528" t="n">
        <v>0</v>
      </c>
      <c r="U10528" t="n">
        <v>0</v>
      </c>
      <c r="V10528" s="2" t="inlineStr"/>
    </row>
    <row r="10529" ht="15" customHeight="1">
      <c r="A10529" t="inlineStr">
        <is>
          <t>A 21677-2026</t>
        </is>
      </c>
      <c r="B10529" t="inlineStr">
        <is>
          <t>avverkningsanmälan</t>
        </is>
      </c>
      <c r="C10529" t="inlineStr">
        <is>
          <t>Föryngringsavverkning</t>
        </is>
      </c>
      <c r="D10529" s="1" t="n">
        <v>46149</v>
      </c>
      <c r="E10529" s="1" t="n">
        <v>46326</v>
      </c>
      <c r="F10529" t="inlineStr">
        <is>
          <t>GÄVLEBORGS LÄN</t>
        </is>
      </c>
      <c r="G10529" t="inlineStr">
        <is>
          <t>BOLLNÄS</t>
        </is>
      </c>
      <c r="I10529" t="n">
        <v>2</v>
      </c>
      <c r="J10529" t="n">
        <v>0</v>
      </c>
      <c r="K10529" t="n">
        <v>0</v>
      </c>
      <c r="L10529" t="n">
        <v>0</v>
      </c>
      <c r="M10529" t="n">
        <v>0</v>
      </c>
      <c r="N10529" t="n">
        <v>0</v>
      </c>
      <c r="O10529" t="n">
        <v>0</v>
      </c>
      <c r="P10529" t="n">
        <v>0</v>
      </c>
      <c r="Q10529" t="n">
        <v>0</v>
      </c>
      <c r="R10529" t="n">
        <v>0</v>
      </c>
      <c r="S10529" t="n">
        <v>0</v>
      </c>
      <c r="T10529" t="n">
        <v>0</v>
      </c>
      <c r="U10529" t="n">
        <v>0</v>
      </c>
      <c r="V10529" s="2" t="inlineStr"/>
    </row>
    <row r="10530" ht="15" customHeight="1">
      <c r="A10530" t="inlineStr">
        <is>
          <t>A 30828-2026</t>
        </is>
      </c>
      <c r="B10530" t="inlineStr">
        <is>
          <t>avverkningsanmälan</t>
        </is>
      </c>
      <c r="C10530" t="inlineStr">
        <is>
          <t>Föryngringsavverkning</t>
        </is>
      </c>
      <c r="D10530" s="1" t="n">
        <v>46212</v>
      </c>
      <c r="E10530" s="1" t="n">
        <v>46326</v>
      </c>
      <c r="F10530" t="inlineStr">
        <is>
          <t>GÄVLEBORGS LÄN</t>
        </is>
      </c>
      <c r="G10530" t="inlineStr">
        <is>
          <t>BOLLNÄS</t>
        </is>
      </c>
      <c r="I10530" t="n">
        <v>0.8</v>
      </c>
      <c r="J10530" t="n">
        <v>0</v>
      </c>
      <c r="K10530" t="n">
        <v>0</v>
      </c>
      <c r="L10530" t="n">
        <v>0</v>
      </c>
      <c r="M10530" t="n">
        <v>0</v>
      </c>
      <c r="N10530" t="n">
        <v>0</v>
      </c>
      <c r="O10530" t="n">
        <v>0</v>
      </c>
      <c r="P10530" t="n">
        <v>0</v>
      </c>
      <c r="Q10530" t="n">
        <v>0</v>
      </c>
      <c r="R10530" t="n">
        <v>0</v>
      </c>
      <c r="S10530" t="n">
        <v>0</v>
      </c>
      <c r="T10530" t="n">
        <v>0</v>
      </c>
      <c r="U10530" t="n">
        <v>0</v>
      </c>
      <c r="V10530" s="2" t="inlineStr"/>
    </row>
    <row r="10531" ht="15" customHeight="1">
      <c r="A10531" t="inlineStr">
        <is>
          <t>A 8497-2026</t>
        </is>
      </c>
      <c r="B10531" t="inlineStr">
        <is>
          <t>avverkningsanmälan</t>
        </is>
      </c>
      <c r="C10531" t="inlineStr">
        <is>
          <t>Föryngringsavverkning</t>
        </is>
      </c>
      <c r="D10531" s="1" t="n">
        <v>46065</v>
      </c>
      <c r="E10531" s="1" t="n">
        <v>46326</v>
      </c>
      <c r="F10531" t="inlineStr">
        <is>
          <t>GÄVLEBORGS LÄN</t>
        </is>
      </c>
      <c r="G10531" t="inlineStr">
        <is>
          <t>BOLLNÄS</t>
        </is>
      </c>
      <c r="I10531" t="n">
        <v>2.1</v>
      </c>
      <c r="J10531" t="n">
        <v>0</v>
      </c>
      <c r="K10531" t="n">
        <v>0</v>
      </c>
      <c r="L10531" t="n">
        <v>0</v>
      </c>
      <c r="M10531" t="n">
        <v>0</v>
      </c>
      <c r="N10531" t="n">
        <v>0</v>
      </c>
      <c r="O10531" t="n">
        <v>0</v>
      </c>
      <c r="P10531" t="n">
        <v>0</v>
      </c>
      <c r="Q10531" t="n">
        <v>0</v>
      </c>
      <c r="R10531" t="n">
        <v>0</v>
      </c>
      <c r="S10531" t="n">
        <v>0</v>
      </c>
      <c r="T10531" t="n">
        <v>0</v>
      </c>
      <c r="U10531" t="n">
        <v>0</v>
      </c>
      <c r="V10531" s="2" t="inlineStr"/>
    </row>
    <row r="10532" ht="15" customHeight="1">
      <c r="A10532" t="inlineStr">
        <is>
          <t>A 9304-2026</t>
        </is>
      </c>
      <c r="B10532" t="inlineStr">
        <is>
          <t>avverkningsanmälan</t>
        </is>
      </c>
      <c r="C10532" t="inlineStr">
        <is>
          <t>Föryngringsavverkning</t>
        </is>
      </c>
      <c r="D10532" s="1" t="n">
        <v>46070</v>
      </c>
      <c r="E10532" s="1" t="n">
        <v>46326</v>
      </c>
      <c r="F10532" t="inlineStr">
        <is>
          <t>GÄVLEBORGS LÄN</t>
        </is>
      </c>
      <c r="G10532" t="inlineStr">
        <is>
          <t>BOLLNÄS</t>
        </is>
      </c>
      <c r="I10532" t="n">
        <v>0.5</v>
      </c>
      <c r="J10532" t="n">
        <v>0</v>
      </c>
      <c r="K10532" t="n">
        <v>0</v>
      </c>
      <c r="L10532" t="n">
        <v>0</v>
      </c>
      <c r="M10532" t="n">
        <v>0</v>
      </c>
      <c r="N10532" t="n">
        <v>0</v>
      </c>
      <c r="O10532" t="n">
        <v>0</v>
      </c>
      <c r="P10532" t="n">
        <v>0</v>
      </c>
      <c r="Q10532" t="n">
        <v>0</v>
      </c>
      <c r="R10532" t="n">
        <v>0</v>
      </c>
      <c r="S10532" t="n">
        <v>0</v>
      </c>
      <c r="T10532" t="n">
        <v>0</v>
      </c>
      <c r="U10532" t="n">
        <v>0</v>
      </c>
      <c r="V10532" s="2" t="inlineStr"/>
    </row>
    <row r="10533" ht="15" customHeight="1">
      <c r="A10533" t="inlineStr">
        <is>
          <t>A 15099-2026</t>
        </is>
      </c>
      <c r="B10533" t="inlineStr">
        <is>
          <t>avverkningsanmälan</t>
        </is>
      </c>
      <c r="C10533" t="inlineStr">
        <is>
          <t>Föryngringsavverkning</t>
        </is>
      </c>
      <c r="D10533" s="1" t="n">
        <v>46105</v>
      </c>
      <c r="E10533" s="1" t="n">
        <v>46326</v>
      </c>
      <c r="F10533" t="inlineStr">
        <is>
          <t>GÄVLEBORGS LÄN</t>
        </is>
      </c>
      <c r="G10533" t="inlineStr">
        <is>
          <t>OVANÅKER</t>
        </is>
      </c>
      <c r="I10533" t="n">
        <v>1.1</v>
      </c>
      <c r="J10533" t="n">
        <v>0</v>
      </c>
      <c r="K10533" t="n">
        <v>0</v>
      </c>
      <c r="L10533" t="n">
        <v>0</v>
      </c>
      <c r="M10533" t="n">
        <v>0</v>
      </c>
      <c r="N10533" t="n">
        <v>0</v>
      </c>
      <c r="O10533" t="n">
        <v>0</v>
      </c>
      <c r="P10533" t="n">
        <v>0</v>
      </c>
      <c r="Q10533" t="n">
        <v>0</v>
      </c>
      <c r="R10533" t="n">
        <v>0</v>
      </c>
      <c r="S10533" t="n">
        <v>0</v>
      </c>
      <c r="T10533" t="n">
        <v>0</v>
      </c>
      <c r="U10533" t="n">
        <v>0</v>
      </c>
      <c r="V10533" s="2" t="inlineStr"/>
    </row>
    <row r="10534" ht="15" customHeight="1">
      <c r="A10534" t="inlineStr">
        <is>
          <t>A 1518-2026</t>
        </is>
      </c>
      <c r="B10534" t="inlineStr">
        <is>
          <t>avverkningsanmälan</t>
        </is>
      </c>
      <c r="C10534" t="inlineStr">
        <is>
          <t>Föryngringsavverkning</t>
        </is>
      </c>
      <c r="D10534" s="1" t="n">
        <v>46034</v>
      </c>
      <c r="E10534" s="1" t="n">
        <v>46326</v>
      </c>
      <c r="F10534" t="inlineStr">
        <is>
          <t>GÄVLEBORGS LÄN</t>
        </is>
      </c>
      <c r="G10534" t="inlineStr">
        <is>
          <t>SÖDERHAMN</t>
        </is>
      </c>
      <c r="I10534" t="n">
        <v>4.5</v>
      </c>
      <c r="J10534" t="n">
        <v>0</v>
      </c>
      <c r="K10534" t="n">
        <v>0</v>
      </c>
      <c r="L10534" t="n">
        <v>0</v>
      </c>
      <c r="M10534" t="n">
        <v>0</v>
      </c>
      <c r="N10534" t="n">
        <v>0</v>
      </c>
      <c r="O10534" t="n">
        <v>0</v>
      </c>
      <c r="P10534" t="n">
        <v>0</v>
      </c>
      <c r="Q10534" t="n">
        <v>0</v>
      </c>
      <c r="R10534" t="n">
        <v>0</v>
      </c>
      <c r="S10534" t="n">
        <v>0</v>
      </c>
      <c r="T10534" t="n">
        <v>0</v>
      </c>
      <c r="U10534" t="n">
        <v>0</v>
      </c>
      <c r="V10534" s="2" t="inlineStr"/>
    </row>
    <row r="10535" ht="15" customHeight="1">
      <c r="A10535" t="inlineStr">
        <is>
          <t>A 4039-2026</t>
        </is>
      </c>
      <c r="B10535" t="inlineStr">
        <is>
          <t>avverkningsanmälan</t>
        </is>
      </c>
      <c r="C10535" t="inlineStr">
        <is>
          <t>Föryngringsavverkning</t>
        </is>
      </c>
      <c r="D10535" s="1" t="n">
        <v>46044</v>
      </c>
      <c r="E10535" s="1" t="n">
        <v>46326</v>
      </c>
      <c r="F10535" t="inlineStr">
        <is>
          <t>GÄVLEBORGS LÄN</t>
        </is>
      </c>
      <c r="G10535" t="inlineStr">
        <is>
          <t>BOLLNÄS</t>
        </is>
      </c>
      <c r="I10535" t="n">
        <v>8.9</v>
      </c>
      <c r="J10535" t="n">
        <v>0</v>
      </c>
      <c r="K10535" t="n">
        <v>0</v>
      </c>
      <c r="L10535" t="n">
        <v>0</v>
      </c>
      <c r="M10535" t="n">
        <v>0</v>
      </c>
      <c r="N10535" t="n">
        <v>0</v>
      </c>
      <c r="O10535" t="n">
        <v>0</v>
      </c>
      <c r="P10535" t="n">
        <v>0</v>
      </c>
      <c r="Q10535" t="n">
        <v>0</v>
      </c>
      <c r="R10535" t="n">
        <v>0</v>
      </c>
      <c r="S10535" t="n">
        <v>0</v>
      </c>
      <c r="T10535" t="n">
        <v>0</v>
      </c>
      <c r="U10535" t="n">
        <v>0</v>
      </c>
      <c r="V10535" s="2" t="inlineStr"/>
    </row>
    <row r="10536" ht="15" customHeight="1">
      <c r="A10536" t="inlineStr">
        <is>
          <t>A 8840-2026</t>
        </is>
      </c>
      <c r="B10536" t="inlineStr">
        <is>
          <t>avverkningsanmälan</t>
        </is>
      </c>
      <c r="C10536" t="inlineStr">
        <is>
          <t>Föryngringsavverkning</t>
        </is>
      </c>
      <c r="D10536" s="1" t="n">
        <v>46066</v>
      </c>
      <c r="E10536" s="1" t="n">
        <v>46326</v>
      </c>
      <c r="F10536" t="inlineStr">
        <is>
          <t>GÄVLEBORGS LÄN</t>
        </is>
      </c>
      <c r="G10536" t="inlineStr">
        <is>
          <t>BOLLNÄS</t>
        </is>
      </c>
      <c r="I10536" t="n">
        <v>16.7</v>
      </c>
      <c r="J10536" t="n">
        <v>0</v>
      </c>
      <c r="K10536" t="n">
        <v>0</v>
      </c>
      <c r="L10536" t="n">
        <v>0</v>
      </c>
      <c r="M10536" t="n">
        <v>0</v>
      </c>
      <c r="N10536" t="n">
        <v>0</v>
      </c>
      <c r="O10536" t="n">
        <v>0</v>
      </c>
      <c r="P10536" t="n">
        <v>0</v>
      </c>
      <c r="Q10536" t="n">
        <v>0</v>
      </c>
      <c r="R10536" t="n">
        <v>0</v>
      </c>
      <c r="S10536" t="n">
        <v>0</v>
      </c>
      <c r="T10536" t="n">
        <v>0</v>
      </c>
      <c r="U10536" t="n">
        <v>0</v>
      </c>
      <c r="V10536" s="2" t="inlineStr"/>
    </row>
    <row r="10537" ht="15" customHeight="1">
      <c r="A10537" t="inlineStr">
        <is>
          <t>A 9501-2026</t>
        </is>
      </c>
      <c r="B10537" t="inlineStr">
        <is>
          <t>avverkningsanmälan</t>
        </is>
      </c>
      <c r="C10537" t="inlineStr">
        <is>
          <t>Föryngringsavverkning</t>
        </is>
      </c>
      <c r="D10537" s="1" t="n">
        <v>46071</v>
      </c>
      <c r="E10537" s="1" t="n">
        <v>46326</v>
      </c>
      <c r="F10537" t="inlineStr">
        <is>
          <t>GÄVLEBORGS LÄN</t>
        </is>
      </c>
      <c r="G10537" t="inlineStr">
        <is>
          <t>BOLLNÄS</t>
        </is>
      </c>
      <c r="I10537" t="n">
        <v>7.2</v>
      </c>
      <c r="J10537" t="n">
        <v>0</v>
      </c>
      <c r="K10537" t="n">
        <v>0</v>
      </c>
      <c r="L10537" t="n">
        <v>0</v>
      </c>
      <c r="M10537" t="n">
        <v>0</v>
      </c>
      <c r="N10537" t="n">
        <v>0</v>
      </c>
      <c r="O10537" t="n">
        <v>0</v>
      </c>
      <c r="P10537" t="n">
        <v>0</v>
      </c>
      <c r="Q10537" t="n">
        <v>0</v>
      </c>
      <c r="R10537" t="n">
        <v>0</v>
      </c>
      <c r="S10537" t="n">
        <v>0</v>
      </c>
      <c r="T10537" t="n">
        <v>0</v>
      </c>
      <c r="U10537" t="n">
        <v>0</v>
      </c>
      <c r="V10537" s="2" t="inlineStr"/>
    </row>
    <row r="10538" ht="15" customHeight="1">
      <c r="A10538" t="inlineStr">
        <is>
          <t>A 41829-2026</t>
        </is>
      </c>
      <c r="B10538" t="inlineStr">
        <is>
          <t>avverkningsanmälan</t>
        </is>
      </c>
      <c r="C10538" t="inlineStr">
        <is>
          <t>Föryngringsavverkning</t>
        </is>
      </c>
      <c r="D10538" s="1" t="n">
        <v>46303</v>
      </c>
      <c r="E10538" s="1" t="n">
        <v>46326</v>
      </c>
      <c r="F10538" t="inlineStr">
        <is>
          <t>GÄVLEBORGS LÄN</t>
        </is>
      </c>
      <c r="G10538" t="inlineStr">
        <is>
          <t>BOLLNÄS</t>
        </is>
      </c>
      <c r="H10538" t="inlineStr">
        <is>
          <t>Sveaskog</t>
        </is>
      </c>
      <c r="I10538" t="n">
        <v>11.1</v>
      </c>
      <c r="J10538" t="n">
        <v>0</v>
      </c>
      <c r="K10538" t="n">
        <v>0</v>
      </c>
      <c r="L10538" t="n">
        <v>0</v>
      </c>
      <c r="M10538" t="n">
        <v>0</v>
      </c>
      <c r="N10538" t="n">
        <v>0</v>
      </c>
      <c r="O10538" t="n">
        <v>0</v>
      </c>
      <c r="P10538" t="n">
        <v>0</v>
      </c>
      <c r="Q10538" t="n">
        <v>0</v>
      </c>
      <c r="R10538" t="n">
        <v>0</v>
      </c>
      <c r="S10538" t="n">
        <v>0</v>
      </c>
      <c r="T10538" t="n">
        <v>0</v>
      </c>
      <c r="U10538" t="n">
        <v>0</v>
      </c>
      <c r="V10538" s="2" t="inlineStr"/>
    </row>
    <row r="10539" ht="15" customHeight="1">
      <c r="A10539" t="inlineStr">
        <is>
          <t>A 41872-2026</t>
        </is>
      </c>
      <c r="B10539" t="inlineStr">
        <is>
          <t>avverkningsanmälan</t>
        </is>
      </c>
      <c r="C10539" t="inlineStr">
        <is>
          <t>Föryngringsavverkning</t>
        </is>
      </c>
      <c r="D10539" s="1" t="n">
        <v>46303</v>
      </c>
      <c r="E10539" s="1" t="n">
        <v>46326</v>
      </c>
      <c r="F10539" t="inlineStr">
        <is>
          <t>GÄVLEBORGS LÄN</t>
        </is>
      </c>
      <c r="G10539" t="inlineStr">
        <is>
          <t>SÖDERHAMN</t>
        </is>
      </c>
      <c r="H10539" t="inlineStr">
        <is>
          <t>Kommuner</t>
        </is>
      </c>
      <c r="I10539" t="n">
        <v>0.7</v>
      </c>
      <c r="J10539" t="n">
        <v>0</v>
      </c>
      <c r="K10539" t="n">
        <v>0</v>
      </c>
      <c r="L10539" t="n">
        <v>0</v>
      </c>
      <c r="M10539" t="n">
        <v>0</v>
      </c>
      <c r="N10539" t="n">
        <v>0</v>
      </c>
      <c r="O10539" t="n">
        <v>0</v>
      </c>
      <c r="P10539" t="n">
        <v>0</v>
      </c>
      <c r="Q10539" t="n">
        <v>0</v>
      </c>
      <c r="R10539" t="n">
        <v>0</v>
      </c>
      <c r="S10539" t="n">
        <v>0</v>
      </c>
      <c r="T10539" t="n">
        <v>0</v>
      </c>
      <c r="U10539" t="n">
        <v>0</v>
      </c>
      <c r="V10539" s="2" t="inlineStr"/>
    </row>
    <row r="10540" ht="15" customHeight="1">
      <c r="A10540" t="inlineStr">
        <is>
          <t>A 14530-2026</t>
        </is>
      </c>
      <c r="B10540" t="inlineStr">
        <is>
          <t>avverkningsanmälan</t>
        </is>
      </c>
      <c r="C10540" t="inlineStr">
        <is>
          <t>Föryngringsavverkning</t>
        </is>
      </c>
      <c r="D10540" s="1" t="n">
        <v>46100</v>
      </c>
      <c r="E10540" s="1" t="n">
        <v>46326</v>
      </c>
      <c r="F10540" t="inlineStr">
        <is>
          <t>GÄVLEBORGS LÄN</t>
        </is>
      </c>
      <c r="G10540" t="inlineStr">
        <is>
          <t>HUDIKSVALL</t>
        </is>
      </c>
      <c r="I10540" t="n">
        <v>1.4</v>
      </c>
      <c r="J10540" t="n">
        <v>0</v>
      </c>
      <c r="K10540" t="n">
        <v>0</v>
      </c>
      <c r="L10540" t="n">
        <v>0</v>
      </c>
      <c r="M10540" t="n">
        <v>0</v>
      </c>
      <c r="N10540" t="n">
        <v>0</v>
      </c>
      <c r="O10540" t="n">
        <v>0</v>
      </c>
      <c r="P10540" t="n">
        <v>0</v>
      </c>
      <c r="Q10540" t="n">
        <v>0</v>
      </c>
      <c r="R10540" t="n">
        <v>0</v>
      </c>
      <c r="S10540" t="n">
        <v>0</v>
      </c>
      <c r="T10540" t="n">
        <v>0</v>
      </c>
      <c r="U10540" t="n">
        <v>0</v>
      </c>
      <c r="V10540" s="2" t="inlineStr"/>
    </row>
    <row r="10541" ht="15" customHeight="1">
      <c r="A10541" t="inlineStr">
        <is>
          <t>A 14553-2026</t>
        </is>
      </c>
      <c r="B10541" t="inlineStr">
        <is>
          <t>avverkningsanmälan</t>
        </is>
      </c>
      <c r="C10541" t="inlineStr">
        <is>
          <t>Föryngringsavverkning</t>
        </is>
      </c>
      <c r="D10541" s="1" t="n">
        <v>46100</v>
      </c>
      <c r="E10541" s="1" t="n">
        <v>46326</v>
      </c>
      <c r="F10541" t="inlineStr">
        <is>
          <t>GÄVLEBORGS LÄN</t>
        </is>
      </c>
      <c r="G10541" t="inlineStr">
        <is>
          <t>GÄVLE</t>
        </is>
      </c>
      <c r="H10541" t="inlineStr">
        <is>
          <t>Övriga statliga verk och myndigheter</t>
        </is>
      </c>
      <c r="I10541" t="n">
        <v>2.1</v>
      </c>
      <c r="J10541" t="n">
        <v>0</v>
      </c>
      <c r="K10541" t="n">
        <v>0</v>
      </c>
      <c r="L10541" t="n">
        <v>0</v>
      </c>
      <c r="M10541" t="n">
        <v>0</v>
      </c>
      <c r="N10541" t="n">
        <v>0</v>
      </c>
      <c r="O10541" t="n">
        <v>0</v>
      </c>
      <c r="P10541" t="n">
        <v>0</v>
      </c>
      <c r="Q10541" t="n">
        <v>0</v>
      </c>
      <c r="R10541" t="n">
        <v>0</v>
      </c>
      <c r="S10541" t="n">
        <v>0</v>
      </c>
      <c r="T10541" t="n">
        <v>0</v>
      </c>
      <c r="U10541" t="n">
        <v>0</v>
      </c>
      <c r="V10541" s="2" t="inlineStr"/>
    </row>
    <row r="10542" ht="15" customHeight="1">
      <c r="A10542" t="inlineStr">
        <is>
          <t>A 35083-2026</t>
        </is>
      </c>
      <c r="B10542" t="inlineStr">
        <is>
          <t>avverkningsanmälan</t>
        </is>
      </c>
      <c r="C10542" t="inlineStr">
        <is>
          <t>Föryngringsavverkning</t>
        </is>
      </c>
      <c r="D10542" s="1" t="n">
        <v>46260</v>
      </c>
      <c r="E10542" s="1" t="n">
        <v>46326</v>
      </c>
      <c r="F10542" t="inlineStr">
        <is>
          <t>GÄVLEBORGS LÄN</t>
        </is>
      </c>
      <c r="G10542" t="inlineStr">
        <is>
          <t>BOLLNÄS</t>
        </is>
      </c>
      <c r="H10542" t="inlineStr">
        <is>
          <t>Bergvik skog väst AB</t>
        </is>
      </c>
      <c r="I10542" t="n">
        <v>3.1</v>
      </c>
      <c r="J10542" t="n">
        <v>0</v>
      </c>
      <c r="K10542" t="n">
        <v>0</v>
      </c>
      <c r="L10542" t="n">
        <v>0</v>
      </c>
      <c r="M10542" t="n">
        <v>0</v>
      </c>
      <c r="N10542" t="n">
        <v>0</v>
      </c>
      <c r="O10542" t="n">
        <v>0</v>
      </c>
      <c r="P10542" t="n">
        <v>0</v>
      </c>
      <c r="Q10542" t="n">
        <v>0</v>
      </c>
      <c r="R10542" t="n">
        <v>0</v>
      </c>
      <c r="S10542" t="n">
        <v>0</v>
      </c>
      <c r="T10542" t="n">
        <v>0</v>
      </c>
      <c r="U10542" t="n">
        <v>0</v>
      </c>
      <c r="V10542" s="2" t="inlineStr"/>
    </row>
    <row r="10543" ht="15" customHeight="1">
      <c r="A10543" t="inlineStr">
        <is>
          <t>A 35086-2026</t>
        </is>
      </c>
      <c r="B10543" t="inlineStr">
        <is>
          <t>avverkningsanmälan</t>
        </is>
      </c>
      <c r="C10543" t="inlineStr">
        <is>
          <t>Föryngringsavverkning</t>
        </is>
      </c>
      <c r="D10543" s="1" t="n">
        <v>46260</v>
      </c>
      <c r="E10543" s="1" t="n">
        <v>46326</v>
      </c>
      <c r="F10543" t="inlineStr">
        <is>
          <t>GÄVLEBORGS LÄN</t>
        </is>
      </c>
      <c r="G10543" t="inlineStr">
        <is>
          <t>BOLLNÄS</t>
        </is>
      </c>
      <c r="H10543" t="inlineStr">
        <is>
          <t>Bergvik skog väst AB</t>
        </is>
      </c>
      <c r="I10543" t="n">
        <v>2.3</v>
      </c>
      <c r="J10543" t="n">
        <v>0</v>
      </c>
      <c r="K10543" t="n">
        <v>0</v>
      </c>
      <c r="L10543" t="n">
        <v>0</v>
      </c>
      <c r="M10543" t="n">
        <v>0</v>
      </c>
      <c r="N10543" t="n">
        <v>0</v>
      </c>
      <c r="O10543" t="n">
        <v>0</v>
      </c>
      <c r="P10543" t="n">
        <v>0</v>
      </c>
      <c r="Q10543" t="n">
        <v>0</v>
      </c>
      <c r="R10543" t="n">
        <v>0</v>
      </c>
      <c r="S10543" t="n">
        <v>0</v>
      </c>
      <c r="T10543" t="n">
        <v>0</v>
      </c>
      <c r="U10543" t="n">
        <v>0</v>
      </c>
      <c r="V10543" s="2" t="inlineStr"/>
    </row>
    <row r="10544" ht="15" customHeight="1">
      <c r="A10544" t="inlineStr">
        <is>
          <t>A 35067-2026</t>
        </is>
      </c>
      <c r="B10544" t="inlineStr">
        <is>
          <t>avverkningsanmälan</t>
        </is>
      </c>
      <c r="C10544" t="inlineStr">
        <is>
          <t>Föryngringsavverkning</t>
        </is>
      </c>
      <c r="D10544" s="1" t="n">
        <v>46259</v>
      </c>
      <c r="E10544" s="1" t="n">
        <v>46326</v>
      </c>
      <c r="F10544" t="inlineStr">
        <is>
          <t>GÄVLEBORGS LÄN</t>
        </is>
      </c>
      <c r="G10544" t="inlineStr">
        <is>
          <t>HUDIKSVALL</t>
        </is>
      </c>
      <c r="I10544" t="n">
        <v>1.9</v>
      </c>
      <c r="J10544" t="n">
        <v>0</v>
      </c>
      <c r="K10544" t="n">
        <v>0</v>
      </c>
      <c r="L10544" t="n">
        <v>0</v>
      </c>
      <c r="M10544" t="n">
        <v>0</v>
      </c>
      <c r="N10544" t="n">
        <v>0</v>
      </c>
      <c r="O10544" t="n">
        <v>0</v>
      </c>
      <c r="P10544" t="n">
        <v>0</v>
      </c>
      <c r="Q10544" t="n">
        <v>0</v>
      </c>
      <c r="R10544" t="n">
        <v>0</v>
      </c>
      <c r="S10544" t="n">
        <v>0</v>
      </c>
      <c r="T10544" t="n">
        <v>0</v>
      </c>
      <c r="U10544" t="n">
        <v>0</v>
      </c>
      <c r="V10544" s="2" t="inlineStr"/>
    </row>
    <row r="10545" ht="15" customHeight="1">
      <c r="A10545" t="inlineStr">
        <is>
          <t>A 35098-2026</t>
        </is>
      </c>
      <c r="B10545" t="inlineStr">
        <is>
          <t>avverkningsanmälan</t>
        </is>
      </c>
      <c r="C10545" t="inlineStr">
        <is>
          <t>Föryngringsavverkning</t>
        </is>
      </c>
      <c r="D10545" s="1" t="n">
        <v>46260</v>
      </c>
      <c r="E10545" s="1" t="n">
        <v>46326</v>
      </c>
      <c r="F10545" t="inlineStr">
        <is>
          <t>GÄVLEBORGS LÄN</t>
        </is>
      </c>
      <c r="G10545" t="inlineStr">
        <is>
          <t>BOLLNÄS</t>
        </is>
      </c>
      <c r="H10545" t="inlineStr">
        <is>
          <t>Bergvik skog väst AB</t>
        </is>
      </c>
      <c r="I10545" t="n">
        <v>5.6</v>
      </c>
      <c r="J10545" t="n">
        <v>0</v>
      </c>
      <c r="K10545" t="n">
        <v>0</v>
      </c>
      <c r="L10545" t="n">
        <v>0</v>
      </c>
      <c r="M10545" t="n">
        <v>0</v>
      </c>
      <c r="N10545" t="n">
        <v>0</v>
      </c>
      <c r="O10545" t="n">
        <v>0</v>
      </c>
      <c r="P10545" t="n">
        <v>0</v>
      </c>
      <c r="Q10545" t="n">
        <v>0</v>
      </c>
      <c r="R10545" t="n">
        <v>0</v>
      </c>
      <c r="S10545" t="n">
        <v>0</v>
      </c>
      <c r="T10545" t="n">
        <v>0</v>
      </c>
      <c r="U10545" t="n">
        <v>0</v>
      </c>
      <c r="V10545" s="2" t="inlineStr"/>
    </row>
    <row r="10546" ht="15" customHeight="1">
      <c r="A10546" t="inlineStr">
        <is>
          <t>A 13046-2026</t>
        </is>
      </c>
      <c r="B10546" t="inlineStr">
        <is>
          <t>avverkningsanmälan</t>
        </is>
      </c>
      <c r="C10546" t="inlineStr">
        <is>
          <t>Föryngringsavverkning</t>
        </is>
      </c>
      <c r="D10546" s="1" t="n">
        <v>46093</v>
      </c>
      <c r="E10546" s="1" t="n">
        <v>46326</v>
      </c>
      <c r="F10546" t="inlineStr">
        <is>
          <t>GÄVLEBORGS LÄN</t>
        </is>
      </c>
      <c r="G10546" t="inlineStr">
        <is>
          <t>GÄVLE</t>
        </is>
      </c>
      <c r="H10546" t="inlineStr">
        <is>
          <t>Bergvik skog öst AB</t>
        </is>
      </c>
      <c r="I10546" t="n">
        <v>1.8</v>
      </c>
      <c r="J10546" t="n">
        <v>0</v>
      </c>
      <c r="K10546" t="n">
        <v>0</v>
      </c>
      <c r="L10546" t="n">
        <v>0</v>
      </c>
      <c r="M10546" t="n">
        <v>0</v>
      </c>
      <c r="N10546" t="n">
        <v>0</v>
      </c>
      <c r="O10546" t="n">
        <v>0</v>
      </c>
      <c r="P10546" t="n">
        <v>0</v>
      </c>
      <c r="Q10546" t="n">
        <v>0</v>
      </c>
      <c r="R10546" t="n">
        <v>0</v>
      </c>
      <c r="S10546" t="n">
        <v>0</v>
      </c>
      <c r="T10546" t="n">
        <v>0</v>
      </c>
      <c r="U10546" t="n">
        <v>0</v>
      </c>
      <c r="V10546" s="2" t="inlineStr"/>
    </row>
    <row r="10547" ht="15" customHeight="1">
      <c r="A10547" t="inlineStr">
        <is>
          <t>A 17682-2026</t>
        </is>
      </c>
      <c r="B10547" t="inlineStr">
        <is>
          <t>avverkningsanmälan</t>
        </is>
      </c>
      <c r="C10547" t="inlineStr">
        <is>
          <t>Föryngringsavverkning</t>
        </is>
      </c>
      <c r="D10547" s="1" t="n">
        <v>46121</v>
      </c>
      <c r="E10547" s="1" t="n">
        <v>46326</v>
      </c>
      <c r="F10547" t="inlineStr">
        <is>
          <t>GÄVLEBORGS LÄN</t>
        </is>
      </c>
      <c r="G10547" t="inlineStr">
        <is>
          <t>OCKELBO</t>
        </is>
      </c>
      <c r="I10547" t="n">
        <v>1.8</v>
      </c>
      <c r="J10547" t="n">
        <v>0</v>
      </c>
      <c r="K10547" t="n">
        <v>0</v>
      </c>
      <c r="L10547" t="n">
        <v>0</v>
      </c>
      <c r="M10547" t="n">
        <v>0</v>
      </c>
      <c r="N10547" t="n">
        <v>0</v>
      </c>
      <c r="O10547" t="n">
        <v>0</v>
      </c>
      <c r="P10547" t="n">
        <v>0</v>
      </c>
      <c r="Q10547" t="n">
        <v>0</v>
      </c>
      <c r="R10547" t="n">
        <v>0</v>
      </c>
      <c r="S10547" t="n">
        <v>0</v>
      </c>
      <c r="T10547" t="n">
        <v>0</v>
      </c>
      <c r="U10547" t="n">
        <v>0</v>
      </c>
      <c r="V10547" s="2" t="inlineStr"/>
    </row>
    <row r="10548" ht="15" customHeight="1">
      <c r="A10548" t="inlineStr">
        <is>
          <t>A 34933-2026</t>
        </is>
      </c>
      <c r="B10548" t="inlineStr">
        <is>
          <t>avverkningsanmälan</t>
        </is>
      </c>
      <c r="C10548" t="inlineStr">
        <is>
          <t>Föryngringsavverkning</t>
        </is>
      </c>
      <c r="D10548" s="1" t="n">
        <v>46259</v>
      </c>
      <c r="E10548" s="1" t="n">
        <v>46326</v>
      </c>
      <c r="F10548" t="inlineStr">
        <is>
          <t>GÄVLEBORGS LÄN</t>
        </is>
      </c>
      <c r="G10548" t="inlineStr">
        <is>
          <t>BOLLNÄS</t>
        </is>
      </c>
      <c r="H10548" t="inlineStr">
        <is>
          <t>Bergvik skog väst AB</t>
        </is>
      </c>
      <c r="I10548" t="n">
        <v>6.1</v>
      </c>
      <c r="J10548" t="n">
        <v>0</v>
      </c>
      <c r="K10548" t="n">
        <v>0</v>
      </c>
      <c r="L10548" t="n">
        <v>0</v>
      </c>
      <c r="M10548" t="n">
        <v>0</v>
      </c>
      <c r="N10548" t="n">
        <v>0</v>
      </c>
      <c r="O10548" t="n">
        <v>0</v>
      </c>
      <c r="P10548" t="n">
        <v>0</v>
      </c>
      <c r="Q10548" t="n">
        <v>0</v>
      </c>
      <c r="R10548" t="n">
        <v>0</v>
      </c>
      <c r="S10548" t="n">
        <v>0</v>
      </c>
      <c r="T10548" t="n">
        <v>0</v>
      </c>
      <c r="U10548" t="n">
        <v>0</v>
      </c>
      <c r="V10548" s="2" t="inlineStr"/>
    </row>
    <row r="10549" ht="15" customHeight="1">
      <c r="A10549" t="inlineStr">
        <is>
          <t>A 34935-2026</t>
        </is>
      </c>
      <c r="B10549" t="inlineStr">
        <is>
          <t>avverkningsanmälan</t>
        </is>
      </c>
      <c r="C10549" t="inlineStr">
        <is>
          <t>Föryngringsavverkning</t>
        </is>
      </c>
      <c r="D10549" s="1" t="n">
        <v>46259</v>
      </c>
      <c r="E10549" s="1" t="n">
        <v>46326</v>
      </c>
      <c r="F10549" t="inlineStr">
        <is>
          <t>GÄVLEBORGS LÄN</t>
        </is>
      </c>
      <c r="G10549" t="inlineStr">
        <is>
          <t>BOLLNÄS</t>
        </is>
      </c>
      <c r="H10549" t="inlineStr">
        <is>
          <t>Bergvik skog väst AB</t>
        </is>
      </c>
      <c r="I10549" t="n">
        <v>0.5</v>
      </c>
      <c r="J10549" t="n">
        <v>0</v>
      </c>
      <c r="K10549" t="n">
        <v>0</v>
      </c>
      <c r="L10549" t="n">
        <v>0</v>
      </c>
      <c r="M10549" t="n">
        <v>0</v>
      </c>
      <c r="N10549" t="n">
        <v>0</v>
      </c>
      <c r="O10549" t="n">
        <v>0</v>
      </c>
      <c r="P10549" t="n">
        <v>0</v>
      </c>
      <c r="Q10549" t="n">
        <v>0</v>
      </c>
      <c r="R10549" t="n">
        <v>0</v>
      </c>
      <c r="S10549" t="n">
        <v>0</v>
      </c>
      <c r="T10549" t="n">
        <v>0</v>
      </c>
      <c r="U10549" t="n">
        <v>0</v>
      </c>
      <c r="V10549" s="2" t="inlineStr"/>
    </row>
    <row r="10550" ht="15" customHeight="1">
      <c r="A10550" t="inlineStr">
        <is>
          <t>A 34999-2026</t>
        </is>
      </c>
      <c r="B10550" t="inlineStr">
        <is>
          <t>avverkningsanmälan</t>
        </is>
      </c>
      <c r="C10550" t="inlineStr">
        <is>
          <t>Föryngringsavverkning</t>
        </is>
      </c>
      <c r="D10550" s="1" t="n">
        <v>46259</v>
      </c>
      <c r="E10550" s="1" t="n">
        <v>46326</v>
      </c>
      <c r="F10550" t="inlineStr">
        <is>
          <t>GÄVLEBORGS LÄN</t>
        </is>
      </c>
      <c r="G10550" t="inlineStr">
        <is>
          <t>NORDANSTIG</t>
        </is>
      </c>
      <c r="I10550" t="n">
        <v>2.8</v>
      </c>
      <c r="J10550" t="n">
        <v>0</v>
      </c>
      <c r="K10550" t="n">
        <v>0</v>
      </c>
      <c r="L10550" t="n">
        <v>0</v>
      </c>
      <c r="M10550" t="n">
        <v>0</v>
      </c>
      <c r="N10550" t="n">
        <v>0</v>
      </c>
      <c r="O10550" t="n">
        <v>0</v>
      </c>
      <c r="P10550" t="n">
        <v>0</v>
      </c>
      <c r="Q10550" t="n">
        <v>0</v>
      </c>
      <c r="R10550" t="n">
        <v>0</v>
      </c>
      <c r="S10550" t="n">
        <v>0</v>
      </c>
      <c r="T10550" t="n">
        <v>0</v>
      </c>
      <c r="U10550" t="n">
        <v>0</v>
      </c>
      <c r="V10550" s="2" t="inlineStr"/>
    </row>
    <row r="10551" ht="15" customHeight="1">
      <c r="A10551" t="inlineStr">
        <is>
          <t>A 40790-2026</t>
        </is>
      </c>
      <c r="B10551" t="inlineStr">
        <is>
          <t>avverkningsanmälan</t>
        </is>
      </c>
      <c r="C10551" t="inlineStr">
        <is>
          <t>Föryngringsavverkning</t>
        </is>
      </c>
      <c r="D10551" s="1" t="n">
        <v>46296</v>
      </c>
      <c r="E10551" s="1" t="n">
        <v>46326</v>
      </c>
      <c r="F10551" t="inlineStr">
        <is>
          <t>GÄVLEBORGS LÄN</t>
        </is>
      </c>
      <c r="G10551" t="inlineStr">
        <is>
          <t>GÄVLE</t>
        </is>
      </c>
      <c r="H10551" t="inlineStr">
        <is>
          <t>Bergvik skog öst AB</t>
        </is>
      </c>
      <c r="I10551" t="n">
        <v>3.3</v>
      </c>
      <c r="J10551" t="n">
        <v>0</v>
      </c>
      <c r="K10551" t="n">
        <v>0</v>
      </c>
      <c r="L10551" t="n">
        <v>0</v>
      </c>
      <c r="M10551" t="n">
        <v>0</v>
      </c>
      <c r="N10551" t="n">
        <v>0</v>
      </c>
      <c r="O10551" t="n">
        <v>0</v>
      </c>
      <c r="P10551" t="n">
        <v>0</v>
      </c>
      <c r="Q10551" t="n">
        <v>0</v>
      </c>
      <c r="R10551" t="n">
        <v>0</v>
      </c>
      <c r="S10551" t="n">
        <v>0</v>
      </c>
      <c r="T10551" t="n">
        <v>0</v>
      </c>
      <c r="U10551" t="n">
        <v>0</v>
      </c>
      <c r="V10551" s="2" t="inlineStr"/>
    </row>
    <row r="10552" ht="15" customHeight="1">
      <c r="A10552" t="inlineStr">
        <is>
          <t>A 35006-2026</t>
        </is>
      </c>
      <c r="B10552" t="inlineStr">
        <is>
          <t>avverkningsanmälan</t>
        </is>
      </c>
      <c r="C10552" t="inlineStr">
        <is>
          <t>Föryngringsavverkning</t>
        </is>
      </c>
      <c r="D10552" s="1" t="n">
        <v>46259</v>
      </c>
      <c r="E10552" s="1" t="n">
        <v>46326</v>
      </c>
      <c r="F10552" t="inlineStr">
        <is>
          <t>GÄVLEBORGS LÄN</t>
        </is>
      </c>
      <c r="G10552" t="inlineStr">
        <is>
          <t>OVANÅKER</t>
        </is>
      </c>
      <c r="H10552" t="inlineStr">
        <is>
          <t>Bergvik skog väst AB</t>
        </is>
      </c>
      <c r="I10552" t="n">
        <v>1.2</v>
      </c>
      <c r="J10552" t="n">
        <v>0</v>
      </c>
      <c r="K10552" t="n">
        <v>0</v>
      </c>
      <c r="L10552" t="n">
        <v>0</v>
      </c>
      <c r="M10552" t="n">
        <v>0</v>
      </c>
      <c r="N10552" t="n">
        <v>0</v>
      </c>
      <c r="O10552" t="n">
        <v>0</v>
      </c>
      <c r="P10552" t="n">
        <v>0</v>
      </c>
      <c r="Q10552" t="n">
        <v>0</v>
      </c>
      <c r="R10552" t="n">
        <v>0</v>
      </c>
      <c r="S10552" t="n">
        <v>0</v>
      </c>
      <c r="T10552" t="n">
        <v>0</v>
      </c>
      <c r="U10552" t="n">
        <v>0</v>
      </c>
      <c r="V10552" s="2" t="inlineStr"/>
    </row>
    <row r="10553" ht="15" customHeight="1">
      <c r="A10553" t="inlineStr">
        <is>
          <t>A 35128-2026</t>
        </is>
      </c>
      <c r="B10553" t="inlineStr">
        <is>
          <t>avverkningsanmälan</t>
        </is>
      </c>
      <c r="C10553" t="inlineStr">
        <is>
          <t>Föryngringsavverkning</t>
        </is>
      </c>
      <c r="D10553" s="1" t="n">
        <v>46260</v>
      </c>
      <c r="E10553" s="1" t="n">
        <v>46326</v>
      </c>
      <c r="F10553" t="inlineStr">
        <is>
          <t>GÄVLEBORGS LÄN</t>
        </is>
      </c>
      <c r="G10553" t="inlineStr">
        <is>
          <t>BOLLNÄS</t>
        </is>
      </c>
      <c r="H10553" t="inlineStr">
        <is>
          <t>Bergvik skog väst AB</t>
        </is>
      </c>
      <c r="I10553" t="n">
        <v>10.3</v>
      </c>
      <c r="J10553" t="n">
        <v>0</v>
      </c>
      <c r="K10553" t="n">
        <v>0</v>
      </c>
      <c r="L10553" t="n">
        <v>0</v>
      </c>
      <c r="M10553" t="n">
        <v>0</v>
      </c>
      <c r="N10553" t="n">
        <v>0</v>
      </c>
      <c r="O10553" t="n">
        <v>0</v>
      </c>
      <c r="P10553" t="n">
        <v>0</v>
      </c>
      <c r="Q10553" t="n">
        <v>0</v>
      </c>
      <c r="R10553" t="n">
        <v>0</v>
      </c>
      <c r="S10553" t="n">
        <v>0</v>
      </c>
      <c r="T10553" t="n">
        <v>0</v>
      </c>
      <c r="U10553" t="n">
        <v>0</v>
      </c>
      <c r="V10553" s="2" t="inlineStr"/>
    </row>
    <row r="10554" ht="15" customHeight="1">
      <c r="A10554" t="inlineStr">
        <is>
          <t>A 31732-2026</t>
        </is>
      </c>
      <c r="B10554" t="inlineStr">
        <is>
          <t>avverkningsanmälan</t>
        </is>
      </c>
      <c r="C10554" t="inlineStr">
        <is>
          <t>Föryngringsavverkning</t>
        </is>
      </c>
      <c r="D10554" s="1" t="n">
        <v>46227</v>
      </c>
      <c r="E10554" s="1" t="n">
        <v>46326</v>
      </c>
      <c r="F10554" t="inlineStr">
        <is>
          <t>GÄVLEBORGS LÄN</t>
        </is>
      </c>
      <c r="G10554" t="inlineStr">
        <is>
          <t>NORDANSTIG</t>
        </is>
      </c>
      <c r="I10554" t="n">
        <v>5.1</v>
      </c>
      <c r="J10554" t="n">
        <v>0</v>
      </c>
      <c r="K10554" t="n">
        <v>0</v>
      </c>
      <c r="L10554" t="n">
        <v>0</v>
      </c>
      <c r="M10554" t="n">
        <v>0</v>
      </c>
      <c r="N10554" t="n">
        <v>0</v>
      </c>
      <c r="O10554" t="n">
        <v>0</v>
      </c>
      <c r="P10554" t="n">
        <v>0</v>
      </c>
      <c r="Q10554" t="n">
        <v>0</v>
      </c>
      <c r="R10554" t="n">
        <v>0</v>
      </c>
      <c r="S10554" t="n">
        <v>0</v>
      </c>
      <c r="T10554" t="n">
        <v>0</v>
      </c>
      <c r="U10554" t="n">
        <v>0</v>
      </c>
      <c r="V10554" s="2" t="inlineStr"/>
    </row>
    <row r="10555" ht="15" customHeight="1">
      <c r="A10555" t="inlineStr">
        <is>
          <t>A 34908-2026</t>
        </is>
      </c>
      <c r="B10555" t="inlineStr">
        <is>
          <t>avverkningsanmälan</t>
        </is>
      </c>
      <c r="C10555" t="inlineStr">
        <is>
          <t>Föryngringsavverkning</t>
        </is>
      </c>
      <c r="D10555" s="1" t="n">
        <v>46259</v>
      </c>
      <c r="E10555" s="1" t="n">
        <v>46326</v>
      </c>
      <c r="F10555" t="inlineStr">
        <is>
          <t>GÄVLEBORGS LÄN</t>
        </is>
      </c>
      <c r="G10555" t="inlineStr">
        <is>
          <t>BOLLNÄS</t>
        </is>
      </c>
      <c r="H10555" t="inlineStr">
        <is>
          <t>Bergvik skog väst AB</t>
        </is>
      </c>
      <c r="I10555" t="n">
        <v>1.1</v>
      </c>
      <c r="J10555" t="n">
        <v>0</v>
      </c>
      <c r="K10555" t="n">
        <v>0</v>
      </c>
      <c r="L10555" t="n">
        <v>0</v>
      </c>
      <c r="M10555" t="n">
        <v>0</v>
      </c>
      <c r="N10555" t="n">
        <v>0</v>
      </c>
      <c r="O10555" t="n">
        <v>0</v>
      </c>
      <c r="P10555" t="n">
        <v>0</v>
      </c>
      <c r="Q10555" t="n">
        <v>0</v>
      </c>
      <c r="R10555" t="n">
        <v>0</v>
      </c>
      <c r="S10555" t="n">
        <v>0</v>
      </c>
      <c r="T10555" t="n">
        <v>0</v>
      </c>
      <c r="U10555" t="n">
        <v>0</v>
      </c>
      <c r="V10555" s="2" t="inlineStr"/>
    </row>
    <row r="10556" ht="15" customHeight="1">
      <c r="A10556" t="inlineStr">
        <is>
          <t>A 35120-2026</t>
        </is>
      </c>
      <c r="B10556" t="inlineStr">
        <is>
          <t>avverkningsanmälan</t>
        </is>
      </c>
      <c r="C10556" t="inlineStr">
        <is>
          <t>Föryngringsavverkning</t>
        </is>
      </c>
      <c r="D10556" s="1" t="n">
        <v>46260</v>
      </c>
      <c r="E10556" s="1" t="n">
        <v>46326</v>
      </c>
      <c r="F10556" t="inlineStr">
        <is>
          <t>GÄVLEBORGS LÄN</t>
        </is>
      </c>
      <c r="G10556" t="inlineStr">
        <is>
          <t>GÄVLE</t>
        </is>
      </c>
      <c r="I10556" t="n">
        <v>5.6</v>
      </c>
      <c r="J10556" t="n">
        <v>0</v>
      </c>
      <c r="K10556" t="n">
        <v>0</v>
      </c>
      <c r="L10556" t="n">
        <v>0</v>
      </c>
      <c r="M10556" t="n">
        <v>0</v>
      </c>
      <c r="N10556" t="n">
        <v>0</v>
      </c>
      <c r="O10556" t="n">
        <v>0</v>
      </c>
      <c r="P10556" t="n">
        <v>0</v>
      </c>
      <c r="Q10556" t="n">
        <v>0</v>
      </c>
      <c r="R10556" t="n">
        <v>0</v>
      </c>
      <c r="S10556" t="n">
        <v>0</v>
      </c>
      <c r="T10556" t="n">
        <v>0</v>
      </c>
      <c r="U10556" t="n">
        <v>0</v>
      </c>
      <c r="V10556" s="2" t="inlineStr"/>
    </row>
    <row r="10557" ht="15" customHeight="1">
      <c r="A10557" t="inlineStr">
        <is>
          <t>A 35150-2026</t>
        </is>
      </c>
      <c r="B10557" t="inlineStr">
        <is>
          <t>avverkningsanmälan</t>
        </is>
      </c>
      <c r="C10557" t="inlineStr">
        <is>
          <t>Föryngringsavverkning</t>
        </is>
      </c>
      <c r="D10557" s="1" t="n">
        <v>46260</v>
      </c>
      <c r="E10557" s="1" t="n">
        <v>46326</v>
      </c>
      <c r="F10557" t="inlineStr">
        <is>
          <t>GÄVLEBORGS LÄN</t>
        </is>
      </c>
      <c r="G10557" t="inlineStr">
        <is>
          <t>BOLLNÄS</t>
        </is>
      </c>
      <c r="I10557" t="n">
        <v>0.9</v>
      </c>
      <c r="J10557" t="n">
        <v>0</v>
      </c>
      <c r="K10557" t="n">
        <v>0</v>
      </c>
      <c r="L10557" t="n">
        <v>0</v>
      </c>
      <c r="M10557" t="n">
        <v>0</v>
      </c>
      <c r="N10557" t="n">
        <v>0</v>
      </c>
      <c r="O10557" t="n">
        <v>0</v>
      </c>
      <c r="P10557" t="n">
        <v>0</v>
      </c>
      <c r="Q10557" t="n">
        <v>0</v>
      </c>
      <c r="R10557" t="n">
        <v>0</v>
      </c>
      <c r="S10557" t="n">
        <v>0</v>
      </c>
      <c r="T10557" t="n">
        <v>0</v>
      </c>
      <c r="U10557" t="n">
        <v>0</v>
      </c>
      <c r="V10557" s="2" t="inlineStr"/>
    </row>
    <row r="10558" ht="15" customHeight="1">
      <c r="A10558" t="inlineStr">
        <is>
          <t>A 41860-2026</t>
        </is>
      </c>
      <c r="B10558" t="inlineStr">
        <is>
          <t>avverkningsanmälan</t>
        </is>
      </c>
      <c r="C10558" t="inlineStr">
        <is>
          <t>Föryngringsavverkning</t>
        </is>
      </c>
      <c r="D10558" s="1" t="n">
        <v>46303</v>
      </c>
      <c r="E10558" s="1" t="n">
        <v>46326</v>
      </c>
      <c r="F10558" t="inlineStr">
        <is>
          <t>GÄVLEBORGS LÄN</t>
        </is>
      </c>
      <c r="G10558" t="inlineStr">
        <is>
          <t>HUDIKSVALL</t>
        </is>
      </c>
      <c r="I10558" t="n">
        <v>5.9</v>
      </c>
      <c r="J10558" t="n">
        <v>0</v>
      </c>
      <c r="K10558" t="n">
        <v>0</v>
      </c>
      <c r="L10558" t="n">
        <v>0</v>
      </c>
      <c r="M10558" t="n">
        <v>0</v>
      </c>
      <c r="N10558" t="n">
        <v>0</v>
      </c>
      <c r="O10558" t="n">
        <v>0</v>
      </c>
      <c r="P10558" t="n">
        <v>0</v>
      </c>
      <c r="Q10558" t="n">
        <v>0</v>
      </c>
      <c r="R10558" t="n">
        <v>0</v>
      </c>
      <c r="S10558" t="n">
        <v>0</v>
      </c>
      <c r="T10558" t="n">
        <v>0</v>
      </c>
      <c r="U10558" t="n">
        <v>0</v>
      </c>
      <c r="V10558" s="2" t="inlineStr"/>
    </row>
    <row r="10559" ht="15" customHeight="1">
      <c r="A10559" t="inlineStr">
        <is>
          <t>A 35182-2026</t>
        </is>
      </c>
      <c r="B10559" t="inlineStr">
        <is>
          <t>avverkningsanmälan</t>
        </is>
      </c>
      <c r="C10559" t="inlineStr">
        <is>
          <t>Föryngringsavverkning</t>
        </is>
      </c>
      <c r="D10559" s="1" t="n">
        <v>46260</v>
      </c>
      <c r="E10559" s="1" t="n">
        <v>46326</v>
      </c>
      <c r="F10559" t="inlineStr">
        <is>
          <t>GÄVLEBORGS LÄN</t>
        </is>
      </c>
      <c r="G10559" t="inlineStr">
        <is>
          <t>SÖDERHAMN</t>
        </is>
      </c>
      <c r="H10559" t="inlineStr">
        <is>
          <t>Övriga statliga verk och myndigheter</t>
        </is>
      </c>
      <c r="I10559" t="n">
        <v>8.6</v>
      </c>
      <c r="J10559" t="n">
        <v>0</v>
      </c>
      <c r="K10559" t="n">
        <v>0</v>
      </c>
      <c r="L10559" t="n">
        <v>0</v>
      </c>
      <c r="M10559" t="n">
        <v>0</v>
      </c>
      <c r="N10559" t="n">
        <v>0</v>
      </c>
      <c r="O10559" t="n">
        <v>0</v>
      </c>
      <c r="P10559" t="n">
        <v>0</v>
      </c>
      <c r="Q10559" t="n">
        <v>0</v>
      </c>
      <c r="R10559" t="n">
        <v>0</v>
      </c>
      <c r="S10559" t="n">
        <v>0</v>
      </c>
      <c r="T10559" t="n">
        <v>0</v>
      </c>
      <c r="U10559" t="n">
        <v>0</v>
      </c>
      <c r="V10559" s="2" t="inlineStr"/>
    </row>
    <row r="10560" ht="15" customHeight="1">
      <c r="A10560" t="inlineStr">
        <is>
          <t>A 6330-2026</t>
        </is>
      </c>
      <c r="B10560" t="inlineStr">
        <is>
          <t>avverkningsanmälan</t>
        </is>
      </c>
      <c r="C10560" t="inlineStr">
        <is>
          <t>Föryngringsavverkning</t>
        </is>
      </c>
      <c r="D10560" s="1" t="n">
        <v>46055</v>
      </c>
      <c r="E10560" s="1" t="n">
        <v>46326</v>
      </c>
      <c r="F10560" t="inlineStr">
        <is>
          <t>GÄVLEBORGS LÄN</t>
        </is>
      </c>
      <c r="G10560" t="inlineStr">
        <is>
          <t>BOLLNÄS</t>
        </is>
      </c>
      <c r="I10560" t="n">
        <v>3</v>
      </c>
      <c r="J10560" t="n">
        <v>0</v>
      </c>
      <c r="K10560" t="n">
        <v>0</v>
      </c>
      <c r="L10560" t="n">
        <v>0</v>
      </c>
      <c r="M10560" t="n">
        <v>0</v>
      </c>
      <c r="N10560" t="n">
        <v>0</v>
      </c>
      <c r="O10560" t="n">
        <v>0</v>
      </c>
      <c r="P10560" t="n">
        <v>0</v>
      </c>
      <c r="Q10560" t="n">
        <v>0</v>
      </c>
      <c r="R10560" t="n">
        <v>0</v>
      </c>
      <c r="S10560" t="n">
        <v>0</v>
      </c>
      <c r="T10560" t="n">
        <v>0</v>
      </c>
      <c r="U10560" t="n">
        <v>0</v>
      </c>
      <c r="V10560" s="2" t="inlineStr"/>
    </row>
    <row r="10561" ht="15" customHeight="1">
      <c r="A10561" t="inlineStr">
        <is>
          <t>A 34949-2026</t>
        </is>
      </c>
      <c r="B10561" t="inlineStr">
        <is>
          <t>avverkningsanmälan</t>
        </is>
      </c>
      <c r="C10561" t="inlineStr">
        <is>
          <t>Föryngringsavverkning</t>
        </is>
      </c>
      <c r="D10561" s="1" t="n">
        <v>46259</v>
      </c>
      <c r="E10561" s="1" t="n">
        <v>46326</v>
      </c>
      <c r="F10561" t="inlineStr">
        <is>
          <t>GÄVLEBORGS LÄN</t>
        </is>
      </c>
      <c r="G10561" t="inlineStr">
        <is>
          <t>BOLLNÄS</t>
        </is>
      </c>
      <c r="H10561" t="inlineStr">
        <is>
          <t>Bergvik skog väst AB</t>
        </is>
      </c>
      <c r="I10561" t="n">
        <v>4.8</v>
      </c>
      <c r="J10561" t="n">
        <v>0</v>
      </c>
      <c r="K10561" t="n">
        <v>0</v>
      </c>
      <c r="L10561" t="n">
        <v>0</v>
      </c>
      <c r="M10561" t="n">
        <v>0</v>
      </c>
      <c r="N10561" t="n">
        <v>0</v>
      </c>
      <c r="O10561" t="n">
        <v>0</v>
      </c>
      <c r="P10561" t="n">
        <v>0</v>
      </c>
      <c r="Q10561" t="n">
        <v>0</v>
      </c>
      <c r="R10561" t="n">
        <v>0</v>
      </c>
      <c r="S10561" t="n">
        <v>0</v>
      </c>
      <c r="T10561" t="n">
        <v>0</v>
      </c>
      <c r="U10561" t="n">
        <v>0</v>
      </c>
      <c r="V10561" s="2" t="inlineStr"/>
    </row>
    <row r="10562" ht="15" customHeight="1">
      <c r="A10562" t="inlineStr">
        <is>
          <t>A 42243-2026</t>
        </is>
      </c>
      <c r="B10562" t="inlineStr">
        <is>
          <t>avverkningsanmälan</t>
        </is>
      </c>
      <c r="C10562" t="inlineStr">
        <is>
          <t>Föryngringsavverkning</t>
        </is>
      </c>
      <c r="D10562" s="1" t="n">
        <v>46307</v>
      </c>
      <c r="E10562" s="1" t="n">
        <v>46326</v>
      </c>
      <c r="F10562" t="inlineStr">
        <is>
          <t>GÄVLEBORGS LÄN</t>
        </is>
      </c>
      <c r="G10562" t="inlineStr">
        <is>
          <t>SANDVIKEN</t>
        </is>
      </c>
      <c r="I10562" t="n">
        <v>3.3</v>
      </c>
      <c r="J10562" t="n">
        <v>0</v>
      </c>
      <c r="K10562" t="n">
        <v>0</v>
      </c>
      <c r="L10562" t="n">
        <v>0</v>
      </c>
      <c r="M10562" t="n">
        <v>0</v>
      </c>
      <c r="N10562" t="n">
        <v>0</v>
      </c>
      <c r="O10562" t="n">
        <v>0</v>
      </c>
      <c r="P10562" t="n">
        <v>0</v>
      </c>
      <c r="Q10562" t="n">
        <v>0</v>
      </c>
      <c r="R10562" t="n">
        <v>0</v>
      </c>
      <c r="S10562" t="n">
        <v>0</v>
      </c>
      <c r="T10562" t="n">
        <v>0</v>
      </c>
      <c r="U10562" t="n">
        <v>0</v>
      </c>
      <c r="V10562" s="2" t="inlineStr"/>
    </row>
    <row r="10563" ht="15" customHeight="1">
      <c r="A10563" t="inlineStr">
        <is>
          <t>A 42252-2026</t>
        </is>
      </c>
      <c r="B10563" t="inlineStr">
        <is>
          <t>avverkningsanmälan</t>
        </is>
      </c>
      <c r="C10563" t="inlineStr">
        <is>
          <t>Föryngringsavverkning</t>
        </is>
      </c>
      <c r="D10563" s="1" t="n">
        <v>46307</v>
      </c>
      <c r="E10563" s="1" t="n">
        <v>46326</v>
      </c>
      <c r="F10563" t="inlineStr">
        <is>
          <t>GÄVLEBORGS LÄN</t>
        </is>
      </c>
      <c r="G10563" t="inlineStr">
        <is>
          <t>LJUSDAL</t>
        </is>
      </c>
      <c r="I10563" t="n">
        <v>7.9</v>
      </c>
      <c r="J10563" t="n">
        <v>0</v>
      </c>
      <c r="K10563" t="n">
        <v>0</v>
      </c>
      <c r="L10563" t="n">
        <v>0</v>
      </c>
      <c r="M10563" t="n">
        <v>0</v>
      </c>
      <c r="N10563" t="n">
        <v>0</v>
      </c>
      <c r="O10563" t="n">
        <v>0</v>
      </c>
      <c r="P10563" t="n">
        <v>0</v>
      </c>
      <c r="Q10563" t="n">
        <v>0</v>
      </c>
      <c r="R10563" t="n">
        <v>0</v>
      </c>
      <c r="S10563" t="n">
        <v>0</v>
      </c>
      <c r="T10563" t="n">
        <v>0</v>
      </c>
      <c r="U10563" t="n">
        <v>0</v>
      </c>
      <c r="V10563" s="2" t="inlineStr"/>
    </row>
    <row r="10564" ht="15" customHeight="1">
      <c r="A10564" t="inlineStr">
        <is>
          <t>A 35398-2026</t>
        </is>
      </c>
      <c r="B10564" t="inlineStr">
        <is>
          <t>avverkningsanmälan</t>
        </is>
      </c>
      <c r="C10564" t="inlineStr">
        <is>
          <t>Föryngringsavverkning</t>
        </is>
      </c>
      <c r="D10564" s="1" t="n">
        <v>46261</v>
      </c>
      <c r="E10564" s="1" t="n">
        <v>46326</v>
      </c>
      <c r="F10564" t="inlineStr">
        <is>
          <t>GÄVLEBORGS LÄN</t>
        </is>
      </c>
      <c r="G10564" t="inlineStr">
        <is>
          <t>BOLLNÄS</t>
        </is>
      </c>
      <c r="I10564" t="n">
        <v>5.8</v>
      </c>
      <c r="J10564" t="n">
        <v>0</v>
      </c>
      <c r="K10564" t="n">
        <v>0</v>
      </c>
      <c r="L10564" t="n">
        <v>0</v>
      </c>
      <c r="M10564" t="n">
        <v>0</v>
      </c>
      <c r="N10564" t="n">
        <v>0</v>
      </c>
      <c r="O10564" t="n">
        <v>0</v>
      </c>
      <c r="P10564" t="n">
        <v>0</v>
      </c>
      <c r="Q10564" t="n">
        <v>0</v>
      </c>
      <c r="R10564" t="n">
        <v>0</v>
      </c>
      <c r="S10564" t="n">
        <v>0</v>
      </c>
      <c r="T10564" t="n">
        <v>0</v>
      </c>
      <c r="U10564" t="n">
        <v>0</v>
      </c>
      <c r="V10564" s="2" t="inlineStr"/>
    </row>
    <row r="10565" ht="15" customHeight="1">
      <c r="A10565" t="inlineStr">
        <is>
          <t>A 42029-2026</t>
        </is>
      </c>
      <c r="B10565" t="inlineStr">
        <is>
          <t>avverkningsanmälan</t>
        </is>
      </c>
      <c r="C10565" t="inlineStr">
        <is>
          <t>Föryngringsavverkning</t>
        </is>
      </c>
      <c r="D10565" s="1" t="n">
        <v>46304</v>
      </c>
      <c r="E10565" s="1" t="n">
        <v>46326</v>
      </c>
      <c r="F10565" t="inlineStr">
        <is>
          <t>GÄVLEBORGS LÄN</t>
        </is>
      </c>
      <c r="G10565" t="inlineStr">
        <is>
          <t>GÄVLE</t>
        </is>
      </c>
      <c r="H10565" t="inlineStr">
        <is>
          <t>Bergvik skog öst AB</t>
        </is>
      </c>
      <c r="I10565" t="n">
        <v>3.4</v>
      </c>
      <c r="J10565" t="n">
        <v>0</v>
      </c>
      <c r="K10565" t="n">
        <v>0</v>
      </c>
      <c r="L10565" t="n">
        <v>0</v>
      </c>
      <c r="M10565" t="n">
        <v>0</v>
      </c>
      <c r="N10565" t="n">
        <v>0</v>
      </c>
      <c r="O10565" t="n">
        <v>0</v>
      </c>
      <c r="P10565" t="n">
        <v>0</v>
      </c>
      <c r="Q10565" t="n">
        <v>0</v>
      </c>
      <c r="R10565" t="n">
        <v>0</v>
      </c>
      <c r="S10565" t="n">
        <v>0</v>
      </c>
      <c r="T10565" t="n">
        <v>0</v>
      </c>
      <c r="U10565" t="n">
        <v>0</v>
      </c>
      <c r="V10565" s="2" t="inlineStr"/>
    </row>
    <row r="10566" ht="15" customHeight="1">
      <c r="A10566" t="inlineStr">
        <is>
          <t>A 35511-2026</t>
        </is>
      </c>
      <c r="B10566" t="inlineStr">
        <is>
          <t>avverkningsanmälan</t>
        </is>
      </c>
      <c r="C10566" t="inlineStr">
        <is>
          <t>Föryngringsavverkning</t>
        </is>
      </c>
      <c r="D10566" s="1" t="n">
        <v>46262</v>
      </c>
      <c r="E10566" s="1" t="n">
        <v>46326</v>
      </c>
      <c r="F10566" t="inlineStr">
        <is>
          <t>GÄVLEBORGS LÄN</t>
        </is>
      </c>
      <c r="G10566" t="inlineStr">
        <is>
          <t>BOLLNÄS</t>
        </is>
      </c>
      <c r="H10566" t="inlineStr">
        <is>
          <t>Sveaskog</t>
        </is>
      </c>
      <c r="I10566" t="n">
        <v>1.4</v>
      </c>
      <c r="J10566" t="n">
        <v>0</v>
      </c>
      <c r="K10566" t="n">
        <v>0</v>
      </c>
      <c r="L10566" t="n">
        <v>0</v>
      </c>
      <c r="M10566" t="n">
        <v>0</v>
      </c>
      <c r="N10566" t="n">
        <v>0</v>
      </c>
      <c r="O10566" t="n">
        <v>0</v>
      </c>
      <c r="P10566" t="n">
        <v>0</v>
      </c>
      <c r="Q10566" t="n">
        <v>0</v>
      </c>
      <c r="R10566" t="n">
        <v>0</v>
      </c>
      <c r="S10566" t="n">
        <v>0</v>
      </c>
      <c r="T10566" t="n">
        <v>0</v>
      </c>
      <c r="U10566" t="n">
        <v>0</v>
      </c>
      <c r="V10566" s="2" t="inlineStr"/>
    </row>
    <row r="10567" ht="15" customHeight="1">
      <c r="A10567" t="inlineStr">
        <is>
          <t>A 35302-2026</t>
        </is>
      </c>
      <c r="B10567" t="inlineStr">
        <is>
          <t>avverkningsanmälan</t>
        </is>
      </c>
      <c r="C10567" t="inlineStr">
        <is>
          <t>Föryngringsavverkning</t>
        </is>
      </c>
      <c r="D10567" s="1" t="n">
        <v>46261</v>
      </c>
      <c r="E10567" s="1" t="n">
        <v>46326</v>
      </c>
      <c r="F10567" t="inlineStr">
        <is>
          <t>GÄVLEBORGS LÄN</t>
        </is>
      </c>
      <c r="G10567" t="inlineStr">
        <is>
          <t>GÄVLE</t>
        </is>
      </c>
      <c r="H10567" t="inlineStr">
        <is>
          <t>Bergvik skog öst AB</t>
        </is>
      </c>
      <c r="I10567" t="n">
        <v>4.4</v>
      </c>
      <c r="J10567" t="n">
        <v>0</v>
      </c>
      <c r="K10567" t="n">
        <v>0</v>
      </c>
      <c r="L10567" t="n">
        <v>0</v>
      </c>
      <c r="M10567" t="n">
        <v>0</v>
      </c>
      <c r="N10567" t="n">
        <v>0</v>
      </c>
      <c r="O10567" t="n">
        <v>0</v>
      </c>
      <c r="P10567" t="n">
        <v>0</v>
      </c>
      <c r="Q10567" t="n">
        <v>0</v>
      </c>
      <c r="R10567" t="n">
        <v>0</v>
      </c>
      <c r="S10567" t="n">
        <v>0</v>
      </c>
      <c r="T10567" t="n">
        <v>0</v>
      </c>
      <c r="U10567" t="n">
        <v>0</v>
      </c>
      <c r="V10567" s="2" t="inlineStr"/>
    </row>
    <row r="10568" ht="15" customHeight="1">
      <c r="A10568" t="inlineStr">
        <is>
          <t>A 42373-2026</t>
        </is>
      </c>
      <c r="B10568" t="inlineStr">
        <is>
          <t>avverkningsanmälan</t>
        </is>
      </c>
      <c r="C10568" t="inlineStr">
        <is>
          <t>Föryngringsavverkning</t>
        </is>
      </c>
      <c r="D10568" s="1" t="n">
        <v>46307</v>
      </c>
      <c r="E10568" s="1" t="n">
        <v>46326</v>
      </c>
      <c r="F10568" t="inlineStr">
        <is>
          <t>GÄVLEBORGS LÄN</t>
        </is>
      </c>
      <c r="G10568" t="inlineStr">
        <is>
          <t>OVANÅKER</t>
        </is>
      </c>
      <c r="H10568" t="inlineStr">
        <is>
          <t>Bergvik skog väst AB</t>
        </is>
      </c>
      <c r="I10568" t="n">
        <v>2.2</v>
      </c>
      <c r="J10568" t="n">
        <v>0</v>
      </c>
      <c r="K10568" t="n">
        <v>0</v>
      </c>
      <c r="L10568" t="n">
        <v>0</v>
      </c>
      <c r="M10568" t="n">
        <v>0</v>
      </c>
      <c r="N10568" t="n">
        <v>0</v>
      </c>
      <c r="O10568" t="n">
        <v>0</v>
      </c>
      <c r="P10568" t="n">
        <v>0</v>
      </c>
      <c r="Q10568" t="n">
        <v>0</v>
      </c>
      <c r="R10568" t="n">
        <v>0</v>
      </c>
      <c r="S10568" t="n">
        <v>0</v>
      </c>
      <c r="T10568" t="n">
        <v>0</v>
      </c>
      <c r="U10568" t="n">
        <v>0</v>
      </c>
      <c r="V10568" s="2" t="inlineStr"/>
    </row>
    <row r="10569" ht="15" customHeight="1">
      <c r="A10569" t="inlineStr">
        <is>
          <t>A 42112-2026</t>
        </is>
      </c>
      <c r="B10569" t="inlineStr">
        <is>
          <t>avverkningsanmälan</t>
        </is>
      </c>
      <c r="C10569" t="inlineStr">
        <is>
          <t>Föryngringsavverkning</t>
        </is>
      </c>
      <c r="D10569" s="1" t="n">
        <v>46304</v>
      </c>
      <c r="E10569" s="1" t="n">
        <v>46326</v>
      </c>
      <c r="F10569" t="inlineStr">
        <is>
          <t>GÄVLEBORGS LÄN</t>
        </is>
      </c>
      <c r="G10569" t="inlineStr">
        <is>
          <t>GÄVLE</t>
        </is>
      </c>
      <c r="H10569" t="inlineStr">
        <is>
          <t>Bergvik skog öst AB</t>
        </is>
      </c>
      <c r="I10569" t="n">
        <v>7.3</v>
      </c>
      <c r="J10569" t="n">
        <v>0</v>
      </c>
      <c r="K10569" t="n">
        <v>0</v>
      </c>
      <c r="L10569" t="n">
        <v>0</v>
      </c>
      <c r="M10569" t="n">
        <v>0</v>
      </c>
      <c r="N10569" t="n">
        <v>0</v>
      </c>
      <c r="O10569" t="n">
        <v>0</v>
      </c>
      <c r="P10569" t="n">
        <v>0</v>
      </c>
      <c r="Q10569" t="n">
        <v>0</v>
      </c>
      <c r="R10569" t="n">
        <v>0</v>
      </c>
      <c r="S10569" t="n">
        <v>0</v>
      </c>
      <c r="T10569" t="n">
        <v>0</v>
      </c>
      <c r="U10569" t="n">
        <v>0</v>
      </c>
      <c r="V10569" s="2" t="inlineStr"/>
    </row>
    <row r="10570" ht="15" customHeight="1">
      <c r="A10570" t="inlineStr">
        <is>
          <t>A 42121-2026</t>
        </is>
      </c>
      <c r="B10570" t="inlineStr">
        <is>
          <t>avverkningsanmälan</t>
        </is>
      </c>
      <c r="C10570" t="inlineStr">
        <is>
          <t>Föryngringsavverkning</t>
        </is>
      </c>
      <c r="D10570" s="1" t="n">
        <v>46304</v>
      </c>
      <c r="E10570" s="1" t="n">
        <v>46326</v>
      </c>
      <c r="F10570" t="inlineStr">
        <is>
          <t>GÄVLEBORGS LÄN</t>
        </is>
      </c>
      <c r="G10570" t="inlineStr">
        <is>
          <t>BOLLNÄS</t>
        </is>
      </c>
      <c r="I10570" t="n">
        <v>2</v>
      </c>
      <c r="J10570" t="n">
        <v>0</v>
      </c>
      <c r="K10570" t="n">
        <v>0</v>
      </c>
      <c r="L10570" t="n">
        <v>0</v>
      </c>
      <c r="M10570" t="n">
        <v>0</v>
      </c>
      <c r="N10570" t="n">
        <v>0</v>
      </c>
      <c r="O10570" t="n">
        <v>0</v>
      </c>
      <c r="P10570" t="n">
        <v>0</v>
      </c>
      <c r="Q10570" t="n">
        <v>0</v>
      </c>
      <c r="R10570" t="n">
        <v>0</v>
      </c>
      <c r="S10570" t="n">
        <v>0</v>
      </c>
      <c r="T10570" t="n">
        <v>0</v>
      </c>
      <c r="U10570" t="n">
        <v>0</v>
      </c>
      <c r="V10570" s="2" t="inlineStr"/>
    </row>
    <row r="10571" ht="15" customHeight="1">
      <c r="A10571" t="inlineStr">
        <is>
          <t>A 42367-2026</t>
        </is>
      </c>
      <c r="B10571" t="inlineStr">
        <is>
          <t>avverkningsanmälan</t>
        </is>
      </c>
      <c r="C10571" t="inlineStr">
        <is>
          <t>Föryngringsavverkning</t>
        </is>
      </c>
      <c r="D10571" s="1" t="n">
        <v>46307</v>
      </c>
      <c r="E10571" s="1" t="n">
        <v>46326</v>
      </c>
      <c r="F10571" t="inlineStr">
        <is>
          <t>GÄVLEBORGS LÄN</t>
        </is>
      </c>
      <c r="G10571" t="inlineStr">
        <is>
          <t>HUDIKSVALL</t>
        </is>
      </c>
      <c r="H10571" t="inlineStr">
        <is>
          <t>Holmen skog AB</t>
        </is>
      </c>
      <c r="I10571" t="n">
        <v>6.3</v>
      </c>
      <c r="J10571" t="n">
        <v>0</v>
      </c>
      <c r="K10571" t="n">
        <v>0</v>
      </c>
      <c r="L10571" t="n">
        <v>0</v>
      </c>
      <c r="M10571" t="n">
        <v>0</v>
      </c>
      <c r="N10571" t="n">
        <v>0</v>
      </c>
      <c r="O10571" t="n">
        <v>0</v>
      </c>
      <c r="P10571" t="n">
        <v>0</v>
      </c>
      <c r="Q10571" t="n">
        <v>0</v>
      </c>
      <c r="R10571" t="n">
        <v>0</v>
      </c>
      <c r="S10571" t="n">
        <v>0</v>
      </c>
      <c r="T10571" t="n">
        <v>0</v>
      </c>
      <c r="U10571" t="n">
        <v>0</v>
      </c>
      <c r="V10571" s="2" t="inlineStr"/>
    </row>
    <row r="10572" ht="15" customHeight="1">
      <c r="A10572" t="inlineStr">
        <is>
          <t>A 35481-2026</t>
        </is>
      </c>
      <c r="B10572" t="inlineStr">
        <is>
          <t>avverkningsanmälan</t>
        </is>
      </c>
      <c r="C10572" t="inlineStr">
        <is>
          <t>Föryngringsavverkning</t>
        </is>
      </c>
      <c r="D10572" s="1" t="n">
        <v>46262</v>
      </c>
      <c r="E10572" s="1" t="n">
        <v>46326</v>
      </c>
      <c r="F10572" t="inlineStr">
        <is>
          <t>GÄVLEBORGS LÄN</t>
        </is>
      </c>
      <c r="G10572" t="inlineStr">
        <is>
          <t>SANDVIKEN</t>
        </is>
      </c>
      <c r="H10572" t="inlineStr">
        <is>
          <t>Kommuner</t>
        </is>
      </c>
      <c r="I10572" t="n">
        <v>6.7</v>
      </c>
      <c r="J10572" t="n">
        <v>0</v>
      </c>
      <c r="K10572" t="n">
        <v>0</v>
      </c>
      <c r="L10572" t="n">
        <v>0</v>
      </c>
      <c r="M10572" t="n">
        <v>0</v>
      </c>
      <c r="N10572" t="n">
        <v>0</v>
      </c>
      <c r="O10572" t="n">
        <v>0</v>
      </c>
      <c r="P10572" t="n">
        <v>0</v>
      </c>
      <c r="Q10572" t="n">
        <v>0</v>
      </c>
      <c r="R10572" t="n">
        <v>0</v>
      </c>
      <c r="S10572" t="n">
        <v>0</v>
      </c>
      <c r="T10572" t="n">
        <v>0</v>
      </c>
      <c r="U10572" t="n">
        <v>0</v>
      </c>
      <c r="V10572" s="2" t="inlineStr"/>
    </row>
    <row r="10573" ht="15" customHeight="1">
      <c r="A10573" t="inlineStr">
        <is>
          <t>A 35495-2026</t>
        </is>
      </c>
      <c r="B10573" t="inlineStr">
        <is>
          <t>avverkningsanmälan</t>
        </is>
      </c>
      <c r="C10573" t="inlineStr">
        <is>
          <t>Föryngringsavverkning</t>
        </is>
      </c>
      <c r="D10573" s="1" t="n">
        <v>46262</v>
      </c>
      <c r="E10573" s="1" t="n">
        <v>46326</v>
      </c>
      <c r="F10573" t="inlineStr">
        <is>
          <t>GÄVLEBORGS LÄN</t>
        </is>
      </c>
      <c r="G10573" t="inlineStr">
        <is>
          <t>GÄVLE</t>
        </is>
      </c>
      <c r="I10573" t="n">
        <v>1.5</v>
      </c>
      <c r="J10573" t="n">
        <v>0</v>
      </c>
      <c r="K10573" t="n">
        <v>0</v>
      </c>
      <c r="L10573" t="n">
        <v>0</v>
      </c>
      <c r="M10573" t="n">
        <v>0</v>
      </c>
      <c r="N10573" t="n">
        <v>0</v>
      </c>
      <c r="O10573" t="n">
        <v>0</v>
      </c>
      <c r="P10573" t="n">
        <v>0</v>
      </c>
      <c r="Q10573" t="n">
        <v>0</v>
      </c>
      <c r="R10573" t="n">
        <v>0</v>
      </c>
      <c r="S10573" t="n">
        <v>0</v>
      </c>
      <c r="T10573" t="n">
        <v>0</v>
      </c>
      <c r="U10573" t="n">
        <v>0</v>
      </c>
      <c r="V10573" s="2" t="inlineStr"/>
    </row>
    <row r="10574" ht="15" customHeight="1">
      <c r="A10574" t="inlineStr">
        <is>
          <t>A 59326-2025</t>
        </is>
      </c>
      <c r="B10574" t="inlineStr">
        <is>
          <t>avverkningsanmälan</t>
        </is>
      </c>
      <c r="C10574" t="inlineStr">
        <is>
          <t>Föryngringsavverkning</t>
        </is>
      </c>
      <c r="D10574" s="1" t="n">
        <v>45989</v>
      </c>
      <c r="E10574" s="1" t="n">
        <v>46326</v>
      </c>
      <c r="F10574" t="inlineStr">
        <is>
          <t>GÄVLEBORGS LÄN</t>
        </is>
      </c>
      <c r="G10574" t="inlineStr">
        <is>
          <t>HUDIKSVALL</t>
        </is>
      </c>
      <c r="I10574" t="n">
        <v>5.3</v>
      </c>
      <c r="J10574" t="n">
        <v>0</v>
      </c>
      <c r="K10574" t="n">
        <v>0</v>
      </c>
      <c r="L10574" t="n">
        <v>0</v>
      </c>
      <c r="M10574" t="n">
        <v>0</v>
      </c>
      <c r="N10574" t="n">
        <v>0</v>
      </c>
      <c r="O10574" t="n">
        <v>0</v>
      </c>
      <c r="P10574" t="n">
        <v>0</v>
      </c>
      <c r="Q10574" t="n">
        <v>0</v>
      </c>
      <c r="R10574" t="n">
        <v>0</v>
      </c>
      <c r="S10574" t="n">
        <v>0</v>
      </c>
      <c r="T10574" t="n">
        <v>0</v>
      </c>
      <c r="U10574" t="n">
        <v>0</v>
      </c>
      <c r="V10574" s="2" t="inlineStr"/>
    </row>
    <row r="10575" ht="15" customHeight="1">
      <c r="A10575" t="inlineStr">
        <is>
          <t>A 35546-2026</t>
        </is>
      </c>
      <c r="B10575" t="inlineStr">
        <is>
          <t>avverkningsanmälan</t>
        </is>
      </c>
      <c r="C10575" t="inlineStr">
        <is>
          <t>Föryngringsavverkning</t>
        </is>
      </c>
      <c r="D10575" s="1" t="n">
        <v>46262</v>
      </c>
      <c r="E10575" s="1" t="n">
        <v>46326</v>
      </c>
      <c r="F10575" t="inlineStr">
        <is>
          <t>GÄVLEBORGS LÄN</t>
        </is>
      </c>
      <c r="G10575" t="inlineStr">
        <is>
          <t>NORDANSTIG</t>
        </is>
      </c>
      <c r="I10575" t="n">
        <v>1.1</v>
      </c>
      <c r="J10575" t="n">
        <v>0</v>
      </c>
      <c r="K10575" t="n">
        <v>0</v>
      </c>
      <c r="L10575" t="n">
        <v>0</v>
      </c>
      <c r="M10575" t="n">
        <v>0</v>
      </c>
      <c r="N10575" t="n">
        <v>0</v>
      </c>
      <c r="O10575" t="n">
        <v>0</v>
      </c>
      <c r="P10575" t="n">
        <v>0</v>
      </c>
      <c r="Q10575" t="n">
        <v>0</v>
      </c>
      <c r="R10575" t="n">
        <v>0</v>
      </c>
      <c r="S10575" t="n">
        <v>0</v>
      </c>
      <c r="T10575" t="n">
        <v>0</v>
      </c>
      <c r="U10575" t="n">
        <v>0</v>
      </c>
      <c r="V10575" s="2" t="inlineStr"/>
    </row>
    <row r="10576" ht="15" customHeight="1">
      <c r="A10576" t="inlineStr">
        <is>
          <t>A 35561-2026</t>
        </is>
      </c>
      <c r="B10576" t="inlineStr">
        <is>
          <t>avverkningsanmälan</t>
        </is>
      </c>
      <c r="C10576" t="inlineStr">
        <is>
          <t>Föryngringsavverkning</t>
        </is>
      </c>
      <c r="D10576" s="1" t="n">
        <v>46262</v>
      </c>
      <c r="E10576" s="1" t="n">
        <v>46326</v>
      </c>
      <c r="F10576" t="inlineStr">
        <is>
          <t>GÄVLEBORGS LÄN</t>
        </is>
      </c>
      <c r="G10576" t="inlineStr">
        <is>
          <t>GÄVLE</t>
        </is>
      </c>
      <c r="H10576" t="inlineStr">
        <is>
          <t>Bergvik skog väst AB</t>
        </is>
      </c>
      <c r="I10576" t="n">
        <v>4.5</v>
      </c>
      <c r="J10576" t="n">
        <v>0</v>
      </c>
      <c r="K10576" t="n">
        <v>0</v>
      </c>
      <c r="L10576" t="n">
        <v>0</v>
      </c>
      <c r="M10576" t="n">
        <v>0</v>
      </c>
      <c r="N10576" t="n">
        <v>0</v>
      </c>
      <c r="O10576" t="n">
        <v>0</v>
      </c>
      <c r="P10576" t="n">
        <v>0</v>
      </c>
      <c r="Q10576" t="n">
        <v>0</v>
      </c>
      <c r="R10576" t="n">
        <v>0</v>
      </c>
      <c r="S10576" t="n">
        <v>0</v>
      </c>
      <c r="T10576" t="n">
        <v>0</v>
      </c>
      <c r="U10576" t="n">
        <v>0</v>
      </c>
      <c r="V10576" s="2" t="inlineStr"/>
    </row>
    <row r="10577" ht="15" customHeight="1">
      <c r="A10577" t="inlineStr">
        <is>
          <t>A 35576-2026</t>
        </is>
      </c>
      <c r="B10577" t="inlineStr">
        <is>
          <t>avverkningsanmälan</t>
        </is>
      </c>
      <c r="C10577" t="inlineStr">
        <is>
          <t>Föryngringsavverkning</t>
        </is>
      </c>
      <c r="D10577" s="1" t="n">
        <v>46262</v>
      </c>
      <c r="E10577" s="1" t="n">
        <v>46326</v>
      </c>
      <c r="F10577" t="inlineStr">
        <is>
          <t>GÄVLEBORGS LÄN</t>
        </is>
      </c>
      <c r="G10577" t="inlineStr">
        <is>
          <t>SANDVIKEN</t>
        </is>
      </c>
      <c r="H10577" t="inlineStr">
        <is>
          <t>Naturvårdsverket</t>
        </is>
      </c>
      <c r="I10577" t="n">
        <v>1.3</v>
      </c>
      <c r="J10577" t="n">
        <v>0</v>
      </c>
      <c r="K10577" t="n">
        <v>0</v>
      </c>
      <c r="L10577" t="n">
        <v>0</v>
      </c>
      <c r="M10577" t="n">
        <v>0</v>
      </c>
      <c r="N10577" t="n">
        <v>0</v>
      </c>
      <c r="O10577" t="n">
        <v>0</v>
      </c>
      <c r="P10577" t="n">
        <v>0</v>
      </c>
      <c r="Q10577" t="n">
        <v>0</v>
      </c>
      <c r="R10577" t="n">
        <v>0</v>
      </c>
      <c r="S10577" t="n">
        <v>0</v>
      </c>
      <c r="T10577" t="n">
        <v>0</v>
      </c>
      <c r="U10577" t="n">
        <v>0</v>
      </c>
      <c r="V10577" s="2" t="inlineStr"/>
    </row>
    <row r="10578" ht="15" customHeight="1">
      <c r="A10578" t="inlineStr">
        <is>
          <t>A 35320-2026</t>
        </is>
      </c>
      <c r="B10578" t="inlineStr">
        <is>
          <t>avverkningsanmälan</t>
        </is>
      </c>
      <c r="C10578" t="inlineStr">
        <is>
          <t>Föryngringsavverkning</t>
        </is>
      </c>
      <c r="D10578" s="1" t="n">
        <v>46261</v>
      </c>
      <c r="E10578" s="1" t="n">
        <v>46326</v>
      </c>
      <c r="F10578" t="inlineStr">
        <is>
          <t>GÄVLEBORGS LÄN</t>
        </is>
      </c>
      <c r="G10578" t="inlineStr">
        <is>
          <t>SANDVIKEN</t>
        </is>
      </c>
      <c r="I10578" t="n">
        <v>2.7</v>
      </c>
      <c r="J10578" t="n">
        <v>0</v>
      </c>
      <c r="K10578" t="n">
        <v>0</v>
      </c>
      <c r="L10578" t="n">
        <v>0</v>
      </c>
      <c r="M10578" t="n">
        <v>0</v>
      </c>
      <c r="N10578" t="n">
        <v>0</v>
      </c>
      <c r="O10578" t="n">
        <v>0</v>
      </c>
      <c r="P10578" t="n">
        <v>0</v>
      </c>
      <c r="Q10578" t="n">
        <v>0</v>
      </c>
      <c r="R10578" t="n">
        <v>0</v>
      </c>
      <c r="S10578" t="n">
        <v>0</v>
      </c>
      <c r="T10578" t="n">
        <v>0</v>
      </c>
      <c r="U10578" t="n">
        <v>0</v>
      </c>
      <c r="V10578" s="2" t="inlineStr"/>
    </row>
    <row r="10579" ht="15" customHeight="1">
      <c r="A10579" t="inlineStr">
        <is>
          <t>A 35370-2026</t>
        </is>
      </c>
      <c r="B10579" t="inlineStr">
        <is>
          <t>avverkningsanmälan</t>
        </is>
      </c>
      <c r="C10579" t="inlineStr">
        <is>
          <t>Föryngringsavverkning</t>
        </is>
      </c>
      <c r="D10579" s="1" t="n">
        <v>46261</v>
      </c>
      <c r="E10579" s="1" t="n">
        <v>46326</v>
      </c>
      <c r="F10579" t="inlineStr">
        <is>
          <t>GÄVLEBORGS LÄN</t>
        </is>
      </c>
      <c r="G10579" t="inlineStr">
        <is>
          <t>SANDVIKEN</t>
        </is>
      </c>
      <c r="I10579" t="n">
        <v>2.3</v>
      </c>
      <c r="J10579" t="n">
        <v>0</v>
      </c>
      <c r="K10579" t="n">
        <v>0</v>
      </c>
      <c r="L10579" t="n">
        <v>0</v>
      </c>
      <c r="M10579" t="n">
        <v>0</v>
      </c>
      <c r="N10579" t="n">
        <v>0</v>
      </c>
      <c r="O10579" t="n">
        <v>0</v>
      </c>
      <c r="P10579" t="n">
        <v>0</v>
      </c>
      <c r="Q10579" t="n">
        <v>0</v>
      </c>
      <c r="R10579" t="n">
        <v>0</v>
      </c>
      <c r="S10579" t="n">
        <v>0</v>
      </c>
      <c r="T10579" t="n">
        <v>0</v>
      </c>
      <c r="U10579" t="n">
        <v>0</v>
      </c>
      <c r="V10579" s="2" t="inlineStr"/>
    </row>
    <row r="10580" ht="15" customHeight="1">
      <c r="A10580" t="inlineStr">
        <is>
          <t>A 35317-2026</t>
        </is>
      </c>
      <c r="B10580" t="inlineStr">
        <is>
          <t>avverkningsanmälan</t>
        </is>
      </c>
      <c r="C10580" t="inlineStr">
        <is>
          <t>Föryngringsavverkning</t>
        </is>
      </c>
      <c r="D10580" s="1" t="n">
        <v>46261</v>
      </c>
      <c r="E10580" s="1" t="n">
        <v>46326</v>
      </c>
      <c r="F10580" t="inlineStr">
        <is>
          <t>GÄVLEBORGS LÄN</t>
        </is>
      </c>
      <c r="G10580" t="inlineStr">
        <is>
          <t>SANDVIKEN</t>
        </is>
      </c>
      <c r="H10580" t="inlineStr">
        <is>
          <t>Bergvik skog öst AB</t>
        </is>
      </c>
      <c r="I10580" t="n">
        <v>1.5</v>
      </c>
      <c r="J10580" t="n">
        <v>0</v>
      </c>
      <c r="K10580" t="n">
        <v>0</v>
      </c>
      <c r="L10580" t="n">
        <v>0</v>
      </c>
      <c r="M10580" t="n">
        <v>0</v>
      </c>
      <c r="N10580" t="n">
        <v>0</v>
      </c>
      <c r="O10580" t="n">
        <v>0</v>
      </c>
      <c r="P10580" t="n">
        <v>0</v>
      </c>
      <c r="Q10580" t="n">
        <v>0</v>
      </c>
      <c r="R10580" t="n">
        <v>0</v>
      </c>
      <c r="S10580" t="n">
        <v>0</v>
      </c>
      <c r="T10580" t="n">
        <v>0</v>
      </c>
      <c r="U10580" t="n">
        <v>0</v>
      </c>
      <c r="V10580" s="2" t="inlineStr"/>
    </row>
    <row r="10581" ht="15" customHeight="1">
      <c r="A10581" t="inlineStr">
        <is>
          <t>A 42080-2026</t>
        </is>
      </c>
      <c r="B10581" t="inlineStr">
        <is>
          <t>avverkningsanmälan</t>
        </is>
      </c>
      <c r="C10581" t="inlineStr">
        <is>
          <t>Föryngringsavverkning</t>
        </is>
      </c>
      <c r="D10581" s="1" t="n">
        <v>46304</v>
      </c>
      <c r="E10581" s="1" t="n">
        <v>46326</v>
      </c>
      <c r="F10581" t="inlineStr">
        <is>
          <t>GÄVLEBORGS LÄN</t>
        </is>
      </c>
      <c r="G10581" t="inlineStr">
        <is>
          <t>GÄVLE</t>
        </is>
      </c>
      <c r="H10581" t="inlineStr">
        <is>
          <t>Bergvik skog väst AB</t>
        </is>
      </c>
      <c r="I10581" t="n">
        <v>1</v>
      </c>
      <c r="J10581" t="n">
        <v>0</v>
      </c>
      <c r="K10581" t="n">
        <v>0</v>
      </c>
      <c r="L10581" t="n">
        <v>0</v>
      </c>
      <c r="M10581" t="n">
        <v>0</v>
      </c>
      <c r="N10581" t="n">
        <v>0</v>
      </c>
      <c r="O10581" t="n">
        <v>0</v>
      </c>
      <c r="P10581" t="n">
        <v>0</v>
      </c>
      <c r="Q10581" t="n">
        <v>0</v>
      </c>
      <c r="R10581" t="n">
        <v>0</v>
      </c>
      <c r="S10581" t="n">
        <v>0</v>
      </c>
      <c r="T10581" t="n">
        <v>0</v>
      </c>
      <c r="U10581" t="n">
        <v>0</v>
      </c>
      <c r="V10581" s="2" t="inlineStr"/>
    </row>
    <row r="10582" ht="15" customHeight="1">
      <c r="A10582" t="inlineStr">
        <is>
          <t>A 35577-2026</t>
        </is>
      </c>
      <c r="B10582" t="inlineStr">
        <is>
          <t>avverkningsanmälan</t>
        </is>
      </c>
      <c r="C10582" t="inlineStr">
        <is>
          <t>Föryngringsavverkning</t>
        </is>
      </c>
      <c r="D10582" s="1" t="n">
        <v>46262</v>
      </c>
      <c r="E10582" s="1" t="n">
        <v>46326</v>
      </c>
      <c r="F10582" t="inlineStr">
        <is>
          <t>GÄVLEBORGS LÄN</t>
        </is>
      </c>
      <c r="G10582" t="inlineStr">
        <is>
          <t>GÄVLE</t>
        </is>
      </c>
      <c r="H10582" t="inlineStr">
        <is>
          <t>Bergvik skog öst AB</t>
        </is>
      </c>
      <c r="I10582" t="n">
        <v>2.2</v>
      </c>
      <c r="J10582" t="n">
        <v>0</v>
      </c>
      <c r="K10582" t="n">
        <v>0</v>
      </c>
      <c r="L10582" t="n">
        <v>0</v>
      </c>
      <c r="M10582" t="n">
        <v>0</v>
      </c>
      <c r="N10582" t="n">
        <v>0</v>
      </c>
      <c r="O10582" t="n">
        <v>0</v>
      </c>
      <c r="P10582" t="n">
        <v>0</v>
      </c>
      <c r="Q10582" t="n">
        <v>0</v>
      </c>
      <c r="R10582" t="n">
        <v>0</v>
      </c>
      <c r="S10582" t="n">
        <v>0</v>
      </c>
      <c r="T10582" t="n">
        <v>0</v>
      </c>
      <c r="U10582" t="n">
        <v>0</v>
      </c>
      <c r="V10582" s="2" t="inlineStr"/>
    </row>
    <row r="10583" ht="15" customHeight="1">
      <c r="A10583" t="inlineStr">
        <is>
          <t>A 35578-2026</t>
        </is>
      </c>
      <c r="B10583" t="inlineStr">
        <is>
          <t>avverkningsanmälan</t>
        </is>
      </c>
      <c r="C10583" t="inlineStr">
        <is>
          <t>Föryngringsavverkning</t>
        </is>
      </c>
      <c r="D10583" s="1" t="n">
        <v>46262</v>
      </c>
      <c r="E10583" s="1" t="n">
        <v>46326</v>
      </c>
      <c r="F10583" t="inlineStr">
        <is>
          <t>GÄVLEBORGS LÄN</t>
        </is>
      </c>
      <c r="G10583" t="inlineStr">
        <is>
          <t>SANDVIKEN</t>
        </is>
      </c>
      <c r="H10583" t="inlineStr">
        <is>
          <t>Naturvårdsverket</t>
        </is>
      </c>
      <c r="I10583" t="n">
        <v>0.6</v>
      </c>
      <c r="J10583" t="n">
        <v>0</v>
      </c>
      <c r="K10583" t="n">
        <v>0</v>
      </c>
      <c r="L10583" t="n">
        <v>0</v>
      </c>
      <c r="M10583" t="n">
        <v>0</v>
      </c>
      <c r="N10583" t="n">
        <v>0</v>
      </c>
      <c r="O10583" t="n">
        <v>0</v>
      </c>
      <c r="P10583" t="n">
        <v>0</v>
      </c>
      <c r="Q10583" t="n">
        <v>0</v>
      </c>
      <c r="R10583" t="n">
        <v>0</v>
      </c>
      <c r="S10583" t="n">
        <v>0</v>
      </c>
      <c r="T10583" t="n">
        <v>0</v>
      </c>
      <c r="U10583" t="n">
        <v>0</v>
      </c>
      <c r="V10583" s="2" t="inlineStr"/>
    </row>
    <row r="10584" ht="15" customHeight="1">
      <c r="A10584" t="inlineStr">
        <is>
          <t>A 35326-2026</t>
        </is>
      </c>
      <c r="B10584" t="inlineStr">
        <is>
          <t>avverkningsanmälan</t>
        </is>
      </c>
      <c r="C10584" t="inlineStr">
        <is>
          <t>Föryngringsavverkning</t>
        </is>
      </c>
      <c r="D10584" s="1" t="n">
        <v>46261</v>
      </c>
      <c r="E10584" s="1" t="n">
        <v>46326</v>
      </c>
      <c r="F10584" t="inlineStr">
        <is>
          <t>GÄVLEBORGS LÄN</t>
        </is>
      </c>
      <c r="G10584" t="inlineStr">
        <is>
          <t>GÄVLE</t>
        </is>
      </c>
      <c r="H10584" t="inlineStr">
        <is>
          <t>Bergvik skog öst AB</t>
        </is>
      </c>
      <c r="I10584" t="n">
        <v>5.2</v>
      </c>
      <c r="J10584" t="n">
        <v>0</v>
      </c>
      <c r="K10584" t="n">
        <v>0</v>
      </c>
      <c r="L10584" t="n">
        <v>0</v>
      </c>
      <c r="M10584" t="n">
        <v>0</v>
      </c>
      <c r="N10584" t="n">
        <v>0</v>
      </c>
      <c r="O10584" t="n">
        <v>0</v>
      </c>
      <c r="P10584" t="n">
        <v>0</v>
      </c>
      <c r="Q10584" t="n">
        <v>0</v>
      </c>
      <c r="R10584" t="n">
        <v>0</v>
      </c>
      <c r="S10584" t="n">
        <v>0</v>
      </c>
      <c r="T10584" t="n">
        <v>0</v>
      </c>
      <c r="U10584" t="n">
        <v>0</v>
      </c>
      <c r="V10584" s="2" t="inlineStr"/>
    </row>
    <row r="10585" ht="15" customHeight="1">
      <c r="A10585" t="inlineStr">
        <is>
          <t>A 42082-2026</t>
        </is>
      </c>
      <c r="B10585" t="inlineStr">
        <is>
          <t>avverkningsanmälan</t>
        </is>
      </c>
      <c r="C10585" t="inlineStr">
        <is>
          <t>Föryngringsavverkning</t>
        </is>
      </c>
      <c r="D10585" s="1" t="n">
        <v>46304</v>
      </c>
      <c r="E10585" s="1" t="n">
        <v>46326</v>
      </c>
      <c r="F10585" t="inlineStr">
        <is>
          <t>GÄVLEBORGS LÄN</t>
        </is>
      </c>
      <c r="G10585" t="inlineStr">
        <is>
          <t>OVANÅKER</t>
        </is>
      </c>
      <c r="H10585" t="inlineStr">
        <is>
          <t>Bergvik skog väst AB</t>
        </is>
      </c>
      <c r="I10585" t="n">
        <v>11.2</v>
      </c>
      <c r="J10585" t="n">
        <v>0</v>
      </c>
      <c r="K10585" t="n">
        <v>0</v>
      </c>
      <c r="L10585" t="n">
        <v>0</v>
      </c>
      <c r="M10585" t="n">
        <v>0</v>
      </c>
      <c r="N10585" t="n">
        <v>0</v>
      </c>
      <c r="O10585" t="n">
        <v>0</v>
      </c>
      <c r="P10585" t="n">
        <v>0</v>
      </c>
      <c r="Q10585" t="n">
        <v>0</v>
      </c>
      <c r="R10585" t="n">
        <v>0</v>
      </c>
      <c r="S10585" t="n">
        <v>0</v>
      </c>
      <c r="T10585" t="n">
        <v>0</v>
      </c>
      <c r="U10585" t="n">
        <v>0</v>
      </c>
      <c r="V10585" s="2" t="inlineStr"/>
    </row>
    <row r="10586" ht="15" customHeight="1">
      <c r="A10586" t="inlineStr">
        <is>
          <t>A 35324-2026</t>
        </is>
      </c>
      <c r="B10586" t="inlineStr">
        <is>
          <t>avverkningsanmälan</t>
        </is>
      </c>
      <c r="C10586" t="inlineStr">
        <is>
          <t>Föryngringsavverkning</t>
        </is>
      </c>
      <c r="D10586" s="1" t="n">
        <v>46261</v>
      </c>
      <c r="E10586" s="1" t="n">
        <v>46326</v>
      </c>
      <c r="F10586" t="inlineStr">
        <is>
          <t>GÄVLEBORGS LÄN</t>
        </is>
      </c>
      <c r="G10586" t="inlineStr">
        <is>
          <t>SANDVIKEN</t>
        </is>
      </c>
      <c r="H10586" t="inlineStr">
        <is>
          <t>Naturvårdsverket</t>
        </is>
      </c>
      <c r="I10586" t="n">
        <v>2.4</v>
      </c>
      <c r="J10586" t="n">
        <v>0</v>
      </c>
      <c r="K10586" t="n">
        <v>0</v>
      </c>
      <c r="L10586" t="n">
        <v>0</v>
      </c>
      <c r="M10586" t="n">
        <v>0</v>
      </c>
      <c r="N10586" t="n">
        <v>0</v>
      </c>
      <c r="O10586" t="n">
        <v>0</v>
      </c>
      <c r="P10586" t="n">
        <v>0</v>
      </c>
      <c r="Q10586" t="n">
        <v>0</v>
      </c>
      <c r="R10586" t="n">
        <v>0</v>
      </c>
      <c r="S10586" t="n">
        <v>0</v>
      </c>
      <c r="T10586" t="n">
        <v>0</v>
      </c>
      <c r="U10586" t="n">
        <v>0</v>
      </c>
      <c r="V10586" s="2" t="inlineStr"/>
    </row>
    <row r="10587" ht="15" customHeight="1">
      <c r="A10587" t="inlineStr">
        <is>
          <t>A 35325-2026</t>
        </is>
      </c>
      <c r="B10587" t="inlineStr">
        <is>
          <t>avverkningsanmälan</t>
        </is>
      </c>
      <c r="C10587" t="inlineStr">
        <is>
          <t>Föryngringsavverkning</t>
        </is>
      </c>
      <c r="D10587" s="1" t="n">
        <v>46261</v>
      </c>
      <c r="E10587" s="1" t="n">
        <v>46326</v>
      </c>
      <c r="F10587" t="inlineStr">
        <is>
          <t>GÄVLEBORGS LÄN</t>
        </is>
      </c>
      <c r="G10587" t="inlineStr">
        <is>
          <t>SANDVIKEN</t>
        </is>
      </c>
      <c r="I10587" t="n">
        <v>1.3</v>
      </c>
      <c r="J10587" t="n">
        <v>0</v>
      </c>
      <c r="K10587" t="n">
        <v>0</v>
      </c>
      <c r="L10587" t="n">
        <v>0</v>
      </c>
      <c r="M10587" t="n">
        <v>0</v>
      </c>
      <c r="N10587" t="n">
        <v>0</v>
      </c>
      <c r="O10587" t="n">
        <v>0</v>
      </c>
      <c r="P10587" t="n">
        <v>0</v>
      </c>
      <c r="Q10587" t="n">
        <v>0</v>
      </c>
      <c r="R10587" t="n">
        <v>0</v>
      </c>
      <c r="S10587" t="n">
        <v>0</v>
      </c>
      <c r="T10587" t="n">
        <v>0</v>
      </c>
      <c r="U10587" t="n">
        <v>0</v>
      </c>
      <c r="V10587" s="2" t="inlineStr"/>
    </row>
    <row r="10588" ht="15" customHeight="1">
      <c r="A10588" t="inlineStr">
        <is>
          <t>A 42040-2026</t>
        </is>
      </c>
      <c r="B10588" t="inlineStr">
        <is>
          <t>avverkningsanmälan</t>
        </is>
      </c>
      <c r="C10588" t="inlineStr">
        <is>
          <t>Föryngringsavverkning</t>
        </is>
      </c>
      <c r="D10588" s="1" t="n">
        <v>46304</v>
      </c>
      <c r="E10588" s="1" t="n">
        <v>46326</v>
      </c>
      <c r="F10588" t="inlineStr">
        <is>
          <t>GÄVLEBORGS LÄN</t>
        </is>
      </c>
      <c r="G10588" t="inlineStr">
        <is>
          <t>GÄVLE</t>
        </is>
      </c>
      <c r="H10588" t="inlineStr">
        <is>
          <t>Bergvik skog öst AB</t>
        </is>
      </c>
      <c r="I10588" t="n">
        <v>5.3</v>
      </c>
      <c r="J10588" t="n">
        <v>0</v>
      </c>
      <c r="K10588" t="n">
        <v>0</v>
      </c>
      <c r="L10588" t="n">
        <v>0</v>
      </c>
      <c r="M10588" t="n">
        <v>0</v>
      </c>
      <c r="N10588" t="n">
        <v>0</v>
      </c>
      <c r="O10588" t="n">
        <v>0</v>
      </c>
      <c r="P10588" t="n">
        <v>0</v>
      </c>
      <c r="Q10588" t="n">
        <v>0</v>
      </c>
      <c r="R10588" t="n">
        <v>0</v>
      </c>
      <c r="S10588" t="n">
        <v>0</v>
      </c>
      <c r="T10588" t="n">
        <v>0</v>
      </c>
      <c r="U10588" t="n">
        <v>0</v>
      </c>
      <c r="V10588" s="2" t="inlineStr"/>
    </row>
    <row r="10589" ht="15" customHeight="1">
      <c r="A10589" t="inlineStr">
        <is>
          <t>A 958-2026</t>
        </is>
      </c>
      <c r="B10589" t="inlineStr">
        <is>
          <t>avverkningsanmälan</t>
        </is>
      </c>
      <c r="C10589" t="inlineStr">
        <is>
          <t>Föryngringsavverkning</t>
        </is>
      </c>
      <c r="D10589" s="1" t="n">
        <v>46030</v>
      </c>
      <c r="E10589" s="1" t="n">
        <v>46326</v>
      </c>
      <c r="F10589" t="inlineStr">
        <is>
          <t>GÄVLEBORGS LÄN</t>
        </is>
      </c>
      <c r="G10589" t="inlineStr">
        <is>
          <t>HUDIKSVALL</t>
        </is>
      </c>
      <c r="H10589" t="inlineStr">
        <is>
          <t>Holmen skog AB</t>
        </is>
      </c>
      <c r="I10589" t="n">
        <v>9.1</v>
      </c>
      <c r="J10589" t="n">
        <v>0</v>
      </c>
      <c r="K10589" t="n">
        <v>0</v>
      </c>
      <c r="L10589" t="n">
        <v>0</v>
      </c>
      <c r="M10589" t="n">
        <v>0</v>
      </c>
      <c r="N10589" t="n">
        <v>0</v>
      </c>
      <c r="O10589" t="n">
        <v>0</v>
      </c>
      <c r="P10589" t="n">
        <v>0</v>
      </c>
      <c r="Q10589" t="n">
        <v>0</v>
      </c>
      <c r="R10589" t="n">
        <v>0</v>
      </c>
      <c r="S10589" t="n">
        <v>0</v>
      </c>
      <c r="T10589" t="n">
        <v>0</v>
      </c>
      <c r="U10589" t="n">
        <v>0</v>
      </c>
      <c r="V10589" s="2" t="inlineStr"/>
    </row>
    <row r="10590" ht="15" customHeight="1">
      <c r="A10590" t="inlineStr">
        <is>
          <t>A 3913-2026</t>
        </is>
      </c>
      <c r="B10590" t="inlineStr">
        <is>
          <t>avverkningsanmälan</t>
        </is>
      </c>
      <c r="C10590" t="inlineStr">
        <is>
          <t>Föryngringsavverkning</t>
        </is>
      </c>
      <c r="D10590" s="1" t="n">
        <v>46043</v>
      </c>
      <c r="E10590" s="1" t="n">
        <v>46326</v>
      </c>
      <c r="F10590" t="inlineStr">
        <is>
          <t>GÄVLEBORGS LÄN</t>
        </is>
      </c>
      <c r="G10590" t="inlineStr">
        <is>
          <t>BOLLNÄS</t>
        </is>
      </c>
      <c r="I10590" t="n">
        <v>1.4</v>
      </c>
      <c r="J10590" t="n">
        <v>0</v>
      </c>
      <c r="K10590" t="n">
        <v>0</v>
      </c>
      <c r="L10590" t="n">
        <v>0</v>
      </c>
      <c r="M10590" t="n">
        <v>0</v>
      </c>
      <c r="N10590" t="n">
        <v>0</v>
      </c>
      <c r="O10590" t="n">
        <v>0</v>
      </c>
      <c r="P10590" t="n">
        <v>0</v>
      </c>
      <c r="Q10590" t="n">
        <v>0</v>
      </c>
      <c r="R10590" t="n">
        <v>0</v>
      </c>
      <c r="S10590" t="n">
        <v>0</v>
      </c>
      <c r="T10590" t="n">
        <v>0</v>
      </c>
      <c r="U10590" t="n">
        <v>0</v>
      </c>
      <c r="V10590" s="2" t="inlineStr"/>
    </row>
    <row r="10591" ht="15" customHeight="1">
      <c r="A10591" t="inlineStr">
        <is>
          <t>A 35342-2026</t>
        </is>
      </c>
      <c r="B10591" t="inlineStr">
        <is>
          <t>avverkningsanmälan</t>
        </is>
      </c>
      <c r="C10591" t="inlineStr">
        <is>
          <t>Föryngringsavverkning</t>
        </is>
      </c>
      <c r="D10591" s="1" t="n">
        <v>46261</v>
      </c>
      <c r="E10591" s="1" t="n">
        <v>46326</v>
      </c>
      <c r="F10591" t="inlineStr">
        <is>
          <t>GÄVLEBORGS LÄN</t>
        </is>
      </c>
      <c r="G10591" t="inlineStr">
        <is>
          <t>NORDANSTIG</t>
        </is>
      </c>
      <c r="I10591" t="n">
        <v>2.6</v>
      </c>
      <c r="J10591" t="n">
        <v>0</v>
      </c>
      <c r="K10591" t="n">
        <v>0</v>
      </c>
      <c r="L10591" t="n">
        <v>0</v>
      </c>
      <c r="M10591" t="n">
        <v>0</v>
      </c>
      <c r="N10591" t="n">
        <v>0</v>
      </c>
      <c r="O10591" t="n">
        <v>0</v>
      </c>
      <c r="P10591" t="n">
        <v>0</v>
      </c>
      <c r="Q10591" t="n">
        <v>0</v>
      </c>
      <c r="R10591" t="n">
        <v>0</v>
      </c>
      <c r="S10591" t="n">
        <v>0</v>
      </c>
      <c r="T10591" t="n">
        <v>0</v>
      </c>
      <c r="U10591" t="n">
        <v>0</v>
      </c>
      <c r="V10591" s="2" t="inlineStr"/>
    </row>
    <row r="10592" ht="15" customHeight="1">
      <c r="A10592" t="inlineStr">
        <is>
          <t>A 35387-2026</t>
        </is>
      </c>
      <c r="B10592" t="inlineStr">
        <is>
          <t>avverkningsanmälan</t>
        </is>
      </c>
      <c r="C10592" t="inlineStr">
        <is>
          <t>Föryngringsavverkning</t>
        </is>
      </c>
      <c r="D10592" s="1" t="n">
        <v>46261</v>
      </c>
      <c r="E10592" s="1" t="n">
        <v>46326</v>
      </c>
      <c r="F10592" t="inlineStr">
        <is>
          <t>GÄVLEBORGS LÄN</t>
        </is>
      </c>
      <c r="G10592" t="inlineStr">
        <is>
          <t>GÄVLE</t>
        </is>
      </c>
      <c r="H10592" t="inlineStr">
        <is>
          <t>Bergvik skog öst AB</t>
        </is>
      </c>
      <c r="I10592" t="n">
        <v>3.2</v>
      </c>
      <c r="J10592" t="n">
        <v>0</v>
      </c>
      <c r="K10592" t="n">
        <v>0</v>
      </c>
      <c r="L10592" t="n">
        <v>0</v>
      </c>
      <c r="M10592" t="n">
        <v>0</v>
      </c>
      <c r="N10592" t="n">
        <v>0</v>
      </c>
      <c r="O10592" t="n">
        <v>0</v>
      </c>
      <c r="P10592" t="n">
        <v>0</v>
      </c>
      <c r="Q10592" t="n">
        <v>0</v>
      </c>
      <c r="R10592" t="n">
        <v>0</v>
      </c>
      <c r="S10592" t="n">
        <v>0</v>
      </c>
      <c r="T10592" t="n">
        <v>0</v>
      </c>
      <c r="U10592" t="n">
        <v>0</v>
      </c>
      <c r="V10592" s="2" t="inlineStr"/>
    </row>
    <row r="10593" ht="15" customHeight="1">
      <c r="A10593" t="inlineStr">
        <is>
          <t>A 35388-2026</t>
        </is>
      </c>
      <c r="B10593" t="inlineStr">
        <is>
          <t>avverkningsanmälan</t>
        </is>
      </c>
      <c r="C10593" t="inlineStr">
        <is>
          <t>Föryngringsavverkning</t>
        </is>
      </c>
      <c r="D10593" s="1" t="n">
        <v>46261</v>
      </c>
      <c r="E10593" s="1" t="n">
        <v>46326</v>
      </c>
      <c r="F10593" t="inlineStr">
        <is>
          <t>GÄVLEBORGS LÄN</t>
        </is>
      </c>
      <c r="G10593" t="inlineStr">
        <is>
          <t>GÄVLE</t>
        </is>
      </c>
      <c r="H10593" t="inlineStr">
        <is>
          <t>Bergvik skog öst AB</t>
        </is>
      </c>
      <c r="I10593" t="n">
        <v>1.9</v>
      </c>
      <c r="J10593" t="n">
        <v>0</v>
      </c>
      <c r="K10593" t="n">
        <v>0</v>
      </c>
      <c r="L10593" t="n">
        <v>0</v>
      </c>
      <c r="M10593" t="n">
        <v>0</v>
      </c>
      <c r="N10593" t="n">
        <v>0</v>
      </c>
      <c r="O10593" t="n">
        <v>0</v>
      </c>
      <c r="P10593" t="n">
        <v>0</v>
      </c>
      <c r="Q10593" t="n">
        <v>0</v>
      </c>
      <c r="R10593" t="n">
        <v>0</v>
      </c>
      <c r="S10593" t="n">
        <v>0</v>
      </c>
      <c r="T10593" t="n">
        <v>0</v>
      </c>
      <c r="U10593" t="n">
        <v>0</v>
      </c>
      <c r="V10593" s="2" t="inlineStr"/>
    </row>
    <row r="10594" ht="15" customHeight="1">
      <c r="A10594" t="inlineStr">
        <is>
          <t>A 42046-2026</t>
        </is>
      </c>
      <c r="B10594" t="inlineStr">
        <is>
          <t>avverkningsanmälan</t>
        </is>
      </c>
      <c r="C10594" t="inlineStr">
        <is>
          <t>Föryngringsavverkning</t>
        </is>
      </c>
      <c r="D10594" s="1" t="n">
        <v>46304</v>
      </c>
      <c r="E10594" s="1" t="n">
        <v>46326</v>
      </c>
      <c r="F10594" t="inlineStr">
        <is>
          <t>GÄVLEBORGS LÄN</t>
        </is>
      </c>
      <c r="G10594" t="inlineStr">
        <is>
          <t>GÄVLE</t>
        </is>
      </c>
      <c r="H10594" t="inlineStr">
        <is>
          <t>Bergvik skog öst AB</t>
        </is>
      </c>
      <c r="I10594" t="n">
        <v>0.6</v>
      </c>
      <c r="J10594" t="n">
        <v>0</v>
      </c>
      <c r="K10594" t="n">
        <v>0</v>
      </c>
      <c r="L10594" t="n">
        <v>0</v>
      </c>
      <c r="M10594" t="n">
        <v>0</v>
      </c>
      <c r="N10594" t="n">
        <v>0</v>
      </c>
      <c r="O10594" t="n">
        <v>0</v>
      </c>
      <c r="P10594" t="n">
        <v>0</v>
      </c>
      <c r="Q10594" t="n">
        <v>0</v>
      </c>
      <c r="R10594" t="n">
        <v>0</v>
      </c>
      <c r="S10594" t="n">
        <v>0</v>
      </c>
      <c r="T10594" t="n">
        <v>0</v>
      </c>
      <c r="U10594" t="n">
        <v>0</v>
      </c>
      <c r="V10594" s="2" t="inlineStr"/>
    </row>
    <row r="10595" ht="15" customHeight="1">
      <c r="A10595" t="inlineStr">
        <is>
          <t>A 24258-2026</t>
        </is>
      </c>
      <c r="B10595" t="inlineStr">
        <is>
          <t>avverkningsanmälan</t>
        </is>
      </c>
      <c r="C10595" t="inlineStr">
        <is>
          <t>Föryngringsavverkning</t>
        </is>
      </c>
      <c r="D10595" s="1" t="n">
        <v>46169</v>
      </c>
      <c r="E10595" s="1" t="n">
        <v>46326</v>
      </c>
      <c r="F10595" t="inlineStr">
        <is>
          <t>GÄVLEBORGS LÄN</t>
        </is>
      </c>
      <c r="G10595" t="inlineStr">
        <is>
          <t>HOFORS</t>
        </is>
      </c>
      <c r="I10595" t="n">
        <v>2.9</v>
      </c>
      <c r="J10595" t="n">
        <v>0</v>
      </c>
      <c r="K10595" t="n">
        <v>0</v>
      </c>
      <c r="L10595" t="n">
        <v>0</v>
      </c>
      <c r="M10595" t="n">
        <v>0</v>
      </c>
      <c r="N10595" t="n">
        <v>0</v>
      </c>
      <c r="O10595" t="n">
        <v>0</v>
      </c>
      <c r="P10595" t="n">
        <v>0</v>
      </c>
      <c r="Q10595" t="n">
        <v>0</v>
      </c>
      <c r="R10595" t="n">
        <v>0</v>
      </c>
      <c r="S10595" t="n">
        <v>0</v>
      </c>
      <c r="T10595" t="n">
        <v>0</v>
      </c>
      <c r="U10595" t="n">
        <v>0</v>
      </c>
      <c r="V10595" s="2" t="inlineStr"/>
    </row>
    <row r="10596" ht="15" customHeight="1">
      <c r="A10596" t="inlineStr">
        <is>
          <t>A 41793-2026</t>
        </is>
      </c>
      <c r="B10596" t="inlineStr">
        <is>
          <t>avverkningsanmälan</t>
        </is>
      </c>
      <c r="C10596" t="inlineStr">
        <is>
          <t>Föryngringsavverkning</t>
        </is>
      </c>
      <c r="D10596" s="1" t="n">
        <v>46303</v>
      </c>
      <c r="E10596" s="1" t="n">
        <v>46326</v>
      </c>
      <c r="F10596" t="inlineStr">
        <is>
          <t>GÄVLEBORGS LÄN</t>
        </is>
      </c>
      <c r="G10596" t="inlineStr">
        <is>
          <t>GÄVLE</t>
        </is>
      </c>
      <c r="I10596" t="n">
        <v>2.3</v>
      </c>
      <c r="J10596" t="n">
        <v>0</v>
      </c>
      <c r="K10596" t="n">
        <v>0</v>
      </c>
      <c r="L10596" t="n">
        <v>0</v>
      </c>
      <c r="M10596" t="n">
        <v>0</v>
      </c>
      <c r="N10596" t="n">
        <v>0</v>
      </c>
      <c r="O10596" t="n">
        <v>0</v>
      </c>
      <c r="P10596" t="n">
        <v>0</v>
      </c>
      <c r="Q10596" t="n">
        <v>0</v>
      </c>
      <c r="R10596" t="n">
        <v>0</v>
      </c>
      <c r="S10596" t="n">
        <v>0</v>
      </c>
      <c r="T10596" t="n">
        <v>0</v>
      </c>
      <c r="U10596" t="n">
        <v>0</v>
      </c>
      <c r="V10596" s="2" t="inlineStr"/>
    </row>
    <row r="10597" ht="15" customHeight="1">
      <c r="A10597" t="inlineStr">
        <is>
          <t>A 48246-2025</t>
        </is>
      </c>
      <c r="B10597" t="inlineStr">
        <is>
          <t>avverkningsanmälan</t>
        </is>
      </c>
      <c r="C10597" t="inlineStr">
        <is>
          <t>Föryngringsavverkning</t>
        </is>
      </c>
      <c r="D10597" s="1" t="n">
        <v>45933</v>
      </c>
      <c r="E10597" s="1" t="n">
        <v>46326</v>
      </c>
      <c r="F10597" t="inlineStr">
        <is>
          <t>GÄVLEBORGS LÄN</t>
        </is>
      </c>
      <c r="G10597" t="inlineStr">
        <is>
          <t>GÄVLE</t>
        </is>
      </c>
      <c r="H10597" t="inlineStr">
        <is>
          <t>Bergvik skog öst AB</t>
        </is>
      </c>
      <c r="I10597" t="n">
        <v>5.1</v>
      </c>
      <c r="J10597" t="n">
        <v>0</v>
      </c>
      <c r="K10597" t="n">
        <v>0</v>
      </c>
      <c r="L10597" t="n">
        <v>0</v>
      </c>
      <c r="M10597" t="n">
        <v>0</v>
      </c>
      <c r="N10597" t="n">
        <v>0</v>
      </c>
      <c r="O10597" t="n">
        <v>0</v>
      </c>
      <c r="P10597" t="n">
        <v>0</v>
      </c>
      <c r="Q10597" t="n">
        <v>0</v>
      </c>
      <c r="R10597" t="n">
        <v>0</v>
      </c>
      <c r="S10597" t="n">
        <v>0</v>
      </c>
      <c r="T10597" t="n">
        <v>0</v>
      </c>
      <c r="U10597" t="n">
        <v>0</v>
      </c>
      <c r="V10597" s="2" t="inlineStr"/>
    </row>
    <row r="10598" ht="15" customHeight="1">
      <c r="A10598" t="inlineStr">
        <is>
          <t>A 42059-2026</t>
        </is>
      </c>
      <c r="B10598" t="inlineStr">
        <is>
          <t>avverkningsanmälan</t>
        </is>
      </c>
      <c r="C10598" t="inlineStr">
        <is>
          <t>Föryngringsavverkning</t>
        </is>
      </c>
      <c r="D10598" s="1" t="n">
        <v>46304</v>
      </c>
      <c r="E10598" s="1" t="n">
        <v>46326</v>
      </c>
      <c r="F10598" t="inlineStr">
        <is>
          <t>GÄVLEBORGS LÄN</t>
        </is>
      </c>
      <c r="G10598" t="inlineStr">
        <is>
          <t>BOLLNÄS</t>
        </is>
      </c>
      <c r="H10598" t="inlineStr">
        <is>
          <t>Bergvik skog väst AB</t>
        </is>
      </c>
      <c r="I10598" t="n">
        <v>3.9</v>
      </c>
      <c r="J10598" t="n">
        <v>0</v>
      </c>
      <c r="K10598" t="n">
        <v>0</v>
      </c>
      <c r="L10598" t="n">
        <v>0</v>
      </c>
      <c r="M10598" t="n">
        <v>0</v>
      </c>
      <c r="N10598" t="n">
        <v>0</v>
      </c>
      <c r="O10598" t="n">
        <v>0</v>
      </c>
      <c r="P10598" t="n">
        <v>0</v>
      </c>
      <c r="Q10598" t="n">
        <v>0</v>
      </c>
      <c r="R10598" t="n">
        <v>0</v>
      </c>
      <c r="S10598" t="n">
        <v>0</v>
      </c>
      <c r="T10598" t="n">
        <v>0</v>
      </c>
      <c r="U10598" t="n">
        <v>0</v>
      </c>
      <c r="V10598" s="2" t="inlineStr"/>
    </row>
    <row r="10599" ht="15" customHeight="1">
      <c r="A10599" t="inlineStr">
        <is>
          <t>A 35513-2026</t>
        </is>
      </c>
      <c r="B10599" t="inlineStr">
        <is>
          <t>avverkningsanmälan</t>
        </is>
      </c>
      <c r="C10599" t="inlineStr">
        <is>
          <t>Föryngringsavverkning</t>
        </is>
      </c>
      <c r="D10599" s="1" t="n">
        <v>46262</v>
      </c>
      <c r="E10599" s="1" t="n">
        <v>46326</v>
      </c>
      <c r="F10599" t="inlineStr">
        <is>
          <t>GÄVLEBORGS LÄN</t>
        </is>
      </c>
      <c r="G10599" t="inlineStr">
        <is>
          <t>OVANÅKER</t>
        </is>
      </c>
      <c r="H10599" t="inlineStr">
        <is>
          <t>Sveaskog</t>
        </is>
      </c>
      <c r="I10599" t="n">
        <v>4.9</v>
      </c>
      <c r="J10599" t="n">
        <v>0</v>
      </c>
      <c r="K10599" t="n">
        <v>0</v>
      </c>
      <c r="L10599" t="n">
        <v>0</v>
      </c>
      <c r="M10599" t="n">
        <v>0</v>
      </c>
      <c r="N10599" t="n">
        <v>0</v>
      </c>
      <c r="O10599" t="n">
        <v>0</v>
      </c>
      <c r="P10599" t="n">
        <v>0</v>
      </c>
      <c r="Q10599" t="n">
        <v>0</v>
      </c>
      <c r="R10599" t="n">
        <v>0</v>
      </c>
      <c r="S10599" t="n">
        <v>0</v>
      </c>
      <c r="T10599" t="n">
        <v>0</v>
      </c>
      <c r="U10599" t="n">
        <v>0</v>
      </c>
      <c r="V10599" s="2" t="inlineStr"/>
    </row>
    <row r="10600" ht="15" customHeight="1">
      <c r="A10600" t="inlineStr">
        <is>
          <t>A 35541-2026</t>
        </is>
      </c>
      <c r="B10600" t="inlineStr">
        <is>
          <t>avverkningsanmälan</t>
        </is>
      </c>
      <c r="C10600" t="inlineStr">
        <is>
          <t>Föryngringsavverkning</t>
        </is>
      </c>
      <c r="D10600" s="1" t="n">
        <v>46262</v>
      </c>
      <c r="E10600" s="1" t="n">
        <v>46326</v>
      </c>
      <c r="F10600" t="inlineStr">
        <is>
          <t>GÄVLEBORGS LÄN</t>
        </is>
      </c>
      <c r="G10600" t="inlineStr">
        <is>
          <t>GÄVLE</t>
        </is>
      </c>
      <c r="H10600" t="inlineStr">
        <is>
          <t>Bergvik skog väst AB</t>
        </is>
      </c>
      <c r="I10600" t="n">
        <v>5.3</v>
      </c>
      <c r="J10600" t="n">
        <v>0</v>
      </c>
      <c r="K10600" t="n">
        <v>0</v>
      </c>
      <c r="L10600" t="n">
        <v>0</v>
      </c>
      <c r="M10600" t="n">
        <v>0</v>
      </c>
      <c r="N10600" t="n">
        <v>0</v>
      </c>
      <c r="O10600" t="n">
        <v>0</v>
      </c>
      <c r="P10600" t="n">
        <v>0</v>
      </c>
      <c r="Q10600" t="n">
        <v>0</v>
      </c>
      <c r="R10600" t="n">
        <v>0</v>
      </c>
      <c r="S10600" t="n">
        <v>0</v>
      </c>
      <c r="T10600" t="n">
        <v>0</v>
      </c>
      <c r="U10600" t="n">
        <v>0</v>
      </c>
      <c r="V10600" s="2" t="inlineStr"/>
    </row>
    <row r="10601" ht="15" customHeight="1">
      <c r="A10601" t="inlineStr">
        <is>
          <t>A 35549-2026</t>
        </is>
      </c>
      <c r="B10601" t="inlineStr">
        <is>
          <t>avverkningsanmälan</t>
        </is>
      </c>
      <c r="C10601" t="inlineStr">
        <is>
          <t>Föryngringsavverkning</t>
        </is>
      </c>
      <c r="D10601" s="1" t="n">
        <v>46262</v>
      </c>
      <c r="E10601" s="1" t="n">
        <v>46326</v>
      </c>
      <c r="F10601" t="inlineStr">
        <is>
          <t>GÄVLEBORGS LÄN</t>
        </is>
      </c>
      <c r="G10601" t="inlineStr">
        <is>
          <t>LJUSDAL</t>
        </is>
      </c>
      <c r="I10601" t="n">
        <v>2.8</v>
      </c>
      <c r="J10601" t="n">
        <v>0</v>
      </c>
      <c r="K10601" t="n">
        <v>0</v>
      </c>
      <c r="L10601" t="n">
        <v>0</v>
      </c>
      <c r="M10601" t="n">
        <v>0</v>
      </c>
      <c r="N10601" t="n">
        <v>0</v>
      </c>
      <c r="O10601" t="n">
        <v>0</v>
      </c>
      <c r="P10601" t="n">
        <v>0</v>
      </c>
      <c r="Q10601" t="n">
        <v>0</v>
      </c>
      <c r="R10601" t="n">
        <v>0</v>
      </c>
      <c r="S10601" t="n">
        <v>0</v>
      </c>
      <c r="T10601" t="n">
        <v>0</v>
      </c>
      <c r="U10601" t="n">
        <v>0</v>
      </c>
      <c r="V10601" s="2" t="inlineStr"/>
    </row>
    <row r="10602" ht="15" customHeight="1">
      <c r="A10602" t="inlineStr">
        <is>
          <t>A 35254-2026</t>
        </is>
      </c>
      <c r="B10602" t="inlineStr">
        <is>
          <t>avverkningsanmälan</t>
        </is>
      </c>
      <c r="C10602" t="inlineStr">
        <is>
          <t>Föryngringsavverkning</t>
        </is>
      </c>
      <c r="D10602" s="1" t="n">
        <v>46261</v>
      </c>
      <c r="E10602" s="1" t="n">
        <v>46326</v>
      </c>
      <c r="F10602" t="inlineStr">
        <is>
          <t>GÄVLEBORGS LÄN</t>
        </is>
      </c>
      <c r="G10602" t="inlineStr">
        <is>
          <t>SANDVIKEN</t>
        </is>
      </c>
      <c r="H10602" t="inlineStr">
        <is>
          <t>Sveaskog</t>
        </is>
      </c>
      <c r="I10602" t="n">
        <v>5.3</v>
      </c>
      <c r="J10602" t="n">
        <v>0</v>
      </c>
      <c r="K10602" t="n">
        <v>0</v>
      </c>
      <c r="L10602" t="n">
        <v>0</v>
      </c>
      <c r="M10602" t="n">
        <v>0</v>
      </c>
      <c r="N10602" t="n">
        <v>0</v>
      </c>
      <c r="O10602" t="n">
        <v>0</v>
      </c>
      <c r="P10602" t="n">
        <v>0</v>
      </c>
      <c r="Q10602" t="n">
        <v>0</v>
      </c>
      <c r="R10602" t="n">
        <v>0</v>
      </c>
      <c r="S10602" t="n">
        <v>0</v>
      </c>
      <c r="T10602" t="n">
        <v>0</v>
      </c>
      <c r="U10602" t="n">
        <v>0</v>
      </c>
      <c r="V10602" s="2" t="inlineStr"/>
    </row>
    <row r="10603" ht="15" customHeight="1">
      <c r="A10603" t="inlineStr">
        <is>
          <t>A 42136-2026</t>
        </is>
      </c>
      <c r="B10603" t="inlineStr">
        <is>
          <t>avverkningsanmälan</t>
        </is>
      </c>
      <c r="C10603" t="inlineStr">
        <is>
          <t>Föryngringsavverkning</t>
        </is>
      </c>
      <c r="D10603" s="1" t="n">
        <v>46304</v>
      </c>
      <c r="E10603" s="1" t="n">
        <v>46326</v>
      </c>
      <c r="F10603" t="inlineStr">
        <is>
          <t>GÄVLEBORGS LÄN</t>
        </is>
      </c>
      <c r="G10603" t="inlineStr">
        <is>
          <t>GÄVLE</t>
        </is>
      </c>
      <c r="H10603" t="inlineStr">
        <is>
          <t>Bergvik skog väst AB</t>
        </is>
      </c>
      <c r="I10603" t="n">
        <v>3.4</v>
      </c>
      <c r="J10603" t="n">
        <v>0</v>
      </c>
      <c r="K10603" t="n">
        <v>0</v>
      </c>
      <c r="L10603" t="n">
        <v>0</v>
      </c>
      <c r="M10603" t="n">
        <v>0</v>
      </c>
      <c r="N10603" t="n">
        <v>0</v>
      </c>
      <c r="O10603" t="n">
        <v>0</v>
      </c>
      <c r="P10603" t="n">
        <v>0</v>
      </c>
      <c r="Q10603" t="n">
        <v>0</v>
      </c>
      <c r="R10603" t="n">
        <v>0</v>
      </c>
      <c r="S10603" t="n">
        <v>0</v>
      </c>
      <c r="T10603" t="n">
        <v>0</v>
      </c>
      <c r="U10603" t="n">
        <v>0</v>
      </c>
      <c r="V10603" s="2" t="inlineStr"/>
    </row>
    <row r="10604" ht="15" customHeight="1">
      <c r="A10604" t="inlineStr">
        <is>
          <t>A 42101-2026</t>
        </is>
      </c>
      <c r="B10604" t="inlineStr">
        <is>
          <t>avverkningsanmälan</t>
        </is>
      </c>
      <c r="C10604" t="inlineStr">
        <is>
          <t>Föryngringsavverkning</t>
        </is>
      </c>
      <c r="D10604" s="1" t="n">
        <v>46304</v>
      </c>
      <c r="E10604" s="1" t="n">
        <v>46326</v>
      </c>
      <c r="F10604" t="inlineStr">
        <is>
          <t>GÄVLEBORGS LÄN</t>
        </is>
      </c>
      <c r="G10604" t="inlineStr">
        <is>
          <t>OVANÅKER</t>
        </is>
      </c>
      <c r="H10604" t="inlineStr">
        <is>
          <t>Bergvik skog väst AB</t>
        </is>
      </c>
      <c r="I10604" t="n">
        <v>9.199999999999999</v>
      </c>
      <c r="J10604" t="n">
        <v>0</v>
      </c>
      <c r="K10604" t="n">
        <v>0</v>
      </c>
      <c r="L10604" t="n">
        <v>0</v>
      </c>
      <c r="M10604" t="n">
        <v>0</v>
      </c>
      <c r="N10604" t="n">
        <v>0</v>
      </c>
      <c r="O10604" t="n">
        <v>0</v>
      </c>
      <c r="P10604" t="n">
        <v>0</v>
      </c>
      <c r="Q10604" t="n">
        <v>0</v>
      </c>
      <c r="R10604" t="n">
        <v>0</v>
      </c>
      <c r="S10604" t="n">
        <v>0</v>
      </c>
      <c r="T10604" t="n">
        <v>0</v>
      </c>
      <c r="U10604" t="n">
        <v>0</v>
      </c>
      <c r="V10604" s="2" t="inlineStr"/>
    </row>
    <row r="10605" ht="15" customHeight="1">
      <c r="A10605" t="inlineStr">
        <is>
          <t>A 42110-2026</t>
        </is>
      </c>
      <c r="B10605" t="inlineStr">
        <is>
          <t>avverkningsanmälan</t>
        </is>
      </c>
      <c r="C10605" t="inlineStr">
        <is>
          <t>Föryngringsavverkning</t>
        </is>
      </c>
      <c r="D10605" s="1" t="n">
        <v>46304</v>
      </c>
      <c r="E10605" s="1" t="n">
        <v>46326</v>
      </c>
      <c r="F10605" t="inlineStr">
        <is>
          <t>GÄVLEBORGS LÄN</t>
        </is>
      </c>
      <c r="G10605" t="inlineStr">
        <is>
          <t>HUDIKSVALL</t>
        </is>
      </c>
      <c r="I10605" t="n">
        <v>0.9</v>
      </c>
      <c r="J10605" t="n">
        <v>0</v>
      </c>
      <c r="K10605" t="n">
        <v>0</v>
      </c>
      <c r="L10605" t="n">
        <v>0</v>
      </c>
      <c r="M10605" t="n">
        <v>0</v>
      </c>
      <c r="N10605" t="n">
        <v>0</v>
      </c>
      <c r="O10605" t="n">
        <v>0</v>
      </c>
      <c r="P10605" t="n">
        <v>0</v>
      </c>
      <c r="Q10605" t="n">
        <v>0</v>
      </c>
      <c r="R10605" t="n">
        <v>0</v>
      </c>
      <c r="S10605" t="n">
        <v>0</v>
      </c>
      <c r="T10605" t="n">
        <v>0</v>
      </c>
      <c r="U10605" t="n">
        <v>0</v>
      </c>
      <c r="V10605" s="2" t="inlineStr"/>
    </row>
    <row r="10606" ht="15" customHeight="1">
      <c r="A10606" t="inlineStr">
        <is>
          <t>A 35348-2026</t>
        </is>
      </c>
      <c r="B10606" t="inlineStr">
        <is>
          <t>avverkningsanmälan</t>
        </is>
      </c>
      <c r="C10606" t="inlineStr">
        <is>
          <t>Föryngringsavverkning</t>
        </is>
      </c>
      <c r="D10606" s="1" t="n">
        <v>46261</v>
      </c>
      <c r="E10606" s="1" t="n">
        <v>46326</v>
      </c>
      <c r="F10606" t="inlineStr">
        <is>
          <t>GÄVLEBORGS LÄN</t>
        </is>
      </c>
      <c r="G10606" t="inlineStr">
        <is>
          <t>SANDVIKEN</t>
        </is>
      </c>
      <c r="H10606" t="inlineStr">
        <is>
          <t>Bergvik skog öst AB</t>
        </is>
      </c>
      <c r="I10606" t="n">
        <v>3.7</v>
      </c>
      <c r="J10606" t="n">
        <v>0</v>
      </c>
      <c r="K10606" t="n">
        <v>0</v>
      </c>
      <c r="L10606" t="n">
        <v>0</v>
      </c>
      <c r="M10606" t="n">
        <v>0</v>
      </c>
      <c r="N10606" t="n">
        <v>0</v>
      </c>
      <c r="O10606" t="n">
        <v>0</v>
      </c>
      <c r="P10606" t="n">
        <v>0</v>
      </c>
      <c r="Q10606" t="n">
        <v>0</v>
      </c>
      <c r="R10606" t="n">
        <v>0</v>
      </c>
      <c r="S10606" t="n">
        <v>0</v>
      </c>
      <c r="T10606" t="n">
        <v>0</v>
      </c>
      <c r="U10606" t="n">
        <v>0</v>
      </c>
      <c r="V10606" s="2" t="inlineStr"/>
    </row>
    <row r="10607" ht="15" customHeight="1">
      <c r="A10607" t="inlineStr">
        <is>
          <t>A 35376-2026</t>
        </is>
      </c>
      <c r="B10607" t="inlineStr">
        <is>
          <t>avverkningsanmälan</t>
        </is>
      </c>
      <c r="C10607" t="inlineStr">
        <is>
          <t>Föryngringsavverkning</t>
        </is>
      </c>
      <c r="D10607" s="1" t="n">
        <v>46261</v>
      </c>
      <c r="E10607" s="1" t="n">
        <v>46326</v>
      </c>
      <c r="F10607" t="inlineStr">
        <is>
          <t>GÄVLEBORGS LÄN</t>
        </is>
      </c>
      <c r="G10607" t="inlineStr">
        <is>
          <t>SANDVIKEN</t>
        </is>
      </c>
      <c r="I10607" t="n">
        <v>2.4</v>
      </c>
      <c r="J10607" t="n">
        <v>0</v>
      </c>
      <c r="K10607" t="n">
        <v>0</v>
      </c>
      <c r="L10607" t="n">
        <v>0</v>
      </c>
      <c r="M10607" t="n">
        <v>0</v>
      </c>
      <c r="N10607" t="n">
        <v>0</v>
      </c>
      <c r="O10607" t="n">
        <v>0</v>
      </c>
      <c r="P10607" t="n">
        <v>0</v>
      </c>
      <c r="Q10607" t="n">
        <v>0</v>
      </c>
      <c r="R10607" t="n">
        <v>0</v>
      </c>
      <c r="S10607" t="n">
        <v>0</v>
      </c>
      <c r="T10607" t="n">
        <v>0</v>
      </c>
      <c r="U10607" t="n">
        <v>0</v>
      </c>
      <c r="V10607" s="2" t="inlineStr"/>
    </row>
    <row r="10608" ht="15" customHeight="1">
      <c r="A10608" t="inlineStr">
        <is>
          <t>A 35396-2026</t>
        </is>
      </c>
      <c r="B10608" t="inlineStr">
        <is>
          <t>avverkningsanmälan</t>
        </is>
      </c>
      <c r="C10608" t="inlineStr">
        <is>
          <t>Föryngringsavverkning</t>
        </is>
      </c>
      <c r="D10608" s="1" t="n">
        <v>46261</v>
      </c>
      <c r="E10608" s="1" t="n">
        <v>46326</v>
      </c>
      <c r="F10608" t="inlineStr">
        <is>
          <t>GÄVLEBORGS LÄN</t>
        </is>
      </c>
      <c r="G10608" t="inlineStr">
        <is>
          <t>BOLLNÄS</t>
        </is>
      </c>
      <c r="I10608" t="n">
        <v>2.6</v>
      </c>
      <c r="J10608" t="n">
        <v>0</v>
      </c>
      <c r="K10608" t="n">
        <v>0</v>
      </c>
      <c r="L10608" t="n">
        <v>0</v>
      </c>
      <c r="M10608" t="n">
        <v>0</v>
      </c>
      <c r="N10608" t="n">
        <v>0</v>
      </c>
      <c r="O10608" t="n">
        <v>0</v>
      </c>
      <c r="P10608" t="n">
        <v>0</v>
      </c>
      <c r="Q10608" t="n">
        <v>0</v>
      </c>
      <c r="R10608" t="n">
        <v>0</v>
      </c>
      <c r="S10608" t="n">
        <v>0</v>
      </c>
      <c r="T10608" t="n">
        <v>0</v>
      </c>
      <c r="U10608" t="n">
        <v>0</v>
      </c>
      <c r="V10608" s="2" t="inlineStr"/>
    </row>
    <row r="10609" ht="15" customHeight="1">
      <c r="A10609" t="inlineStr">
        <is>
          <t>A 42325-2026</t>
        </is>
      </c>
      <c r="B10609" t="inlineStr">
        <is>
          <t>avverkningsanmälan</t>
        </is>
      </c>
      <c r="C10609" t="inlineStr">
        <is>
          <t>Avverkning för annat ändamål</t>
        </is>
      </c>
      <c r="D10609" s="1" t="n">
        <v>46307</v>
      </c>
      <c r="E10609" s="1" t="n">
        <v>46326</v>
      </c>
      <c r="F10609" t="inlineStr">
        <is>
          <t>GÄVLEBORGS LÄN</t>
        </is>
      </c>
      <c r="G10609" t="inlineStr">
        <is>
          <t>SANDVIKEN</t>
        </is>
      </c>
      <c r="I10609" t="n">
        <v>0.4</v>
      </c>
      <c r="J10609" t="n">
        <v>0</v>
      </c>
      <c r="K10609" t="n">
        <v>0</v>
      </c>
      <c r="L10609" t="n">
        <v>0</v>
      </c>
      <c r="M10609" t="n">
        <v>0</v>
      </c>
      <c r="N10609" t="n">
        <v>0</v>
      </c>
      <c r="O10609" t="n">
        <v>0</v>
      </c>
      <c r="P10609" t="n">
        <v>0</v>
      </c>
      <c r="Q10609" t="n">
        <v>0</v>
      </c>
      <c r="R10609" t="n">
        <v>0</v>
      </c>
      <c r="S10609" t="n">
        <v>0</v>
      </c>
      <c r="T10609" t="n">
        <v>0</v>
      </c>
      <c r="U10609" t="n">
        <v>0</v>
      </c>
      <c r="V10609" s="2" t="inlineStr"/>
    </row>
    <row r="10610" ht="15" customHeight="1">
      <c r="A10610" t="inlineStr">
        <is>
          <t>A 42344-2026</t>
        </is>
      </c>
      <c r="B10610" t="inlineStr">
        <is>
          <t>avverkningsanmälan</t>
        </is>
      </c>
      <c r="C10610" t="inlineStr">
        <is>
          <t>Föryngringsavverkning</t>
        </is>
      </c>
      <c r="D10610" s="1" t="n">
        <v>46307</v>
      </c>
      <c r="E10610" s="1" t="n">
        <v>46326</v>
      </c>
      <c r="F10610" t="inlineStr">
        <is>
          <t>GÄVLEBORGS LÄN</t>
        </is>
      </c>
      <c r="G10610" t="inlineStr">
        <is>
          <t>BOLLNÄS</t>
        </is>
      </c>
      <c r="H10610" t="inlineStr">
        <is>
          <t>Bergvik skog väst AB</t>
        </is>
      </c>
      <c r="I10610" t="n">
        <v>1</v>
      </c>
      <c r="J10610" t="n">
        <v>0</v>
      </c>
      <c r="K10610" t="n">
        <v>0</v>
      </c>
      <c r="L10610" t="n">
        <v>0</v>
      </c>
      <c r="M10610" t="n">
        <v>0</v>
      </c>
      <c r="N10610" t="n">
        <v>0</v>
      </c>
      <c r="O10610" t="n">
        <v>0</v>
      </c>
      <c r="P10610" t="n">
        <v>0</v>
      </c>
      <c r="Q10610" t="n">
        <v>0</v>
      </c>
      <c r="R10610" t="n">
        <v>0</v>
      </c>
      <c r="S10610" t="n">
        <v>0</v>
      </c>
      <c r="T10610" t="n">
        <v>0</v>
      </c>
      <c r="U10610" t="n">
        <v>0</v>
      </c>
      <c r="V10610" s="2" t="inlineStr"/>
    </row>
    <row r="10611" ht="15" customHeight="1">
      <c r="A10611" t="inlineStr">
        <is>
          <t>A 42328-2026</t>
        </is>
      </c>
      <c r="B10611" t="inlineStr">
        <is>
          <t>avverkningsanmälan</t>
        </is>
      </c>
      <c r="C10611" t="inlineStr">
        <is>
          <t>Avverkning för att bevara och utveckla /försöksver</t>
        </is>
      </c>
      <c r="D10611" s="1" t="n">
        <v>46307</v>
      </c>
      <c r="E10611" s="1" t="n">
        <v>46326</v>
      </c>
      <c r="F10611" t="inlineStr">
        <is>
          <t>GÄVLEBORGS LÄN</t>
        </is>
      </c>
      <c r="G10611" t="inlineStr">
        <is>
          <t>LJUSDAL</t>
        </is>
      </c>
      <c r="H10611" t="inlineStr">
        <is>
          <t>Sveaskog</t>
        </is>
      </c>
      <c r="I10611" t="n">
        <v>0.5</v>
      </c>
      <c r="J10611" t="n">
        <v>0</v>
      </c>
      <c r="K10611" t="n">
        <v>0</v>
      </c>
      <c r="L10611" t="n">
        <v>0</v>
      </c>
      <c r="M10611" t="n">
        <v>0</v>
      </c>
      <c r="N10611" t="n">
        <v>0</v>
      </c>
      <c r="O10611" t="n">
        <v>0</v>
      </c>
      <c r="P10611" t="n">
        <v>0</v>
      </c>
      <c r="Q10611" t="n">
        <v>0</v>
      </c>
      <c r="R10611" t="n">
        <v>0</v>
      </c>
      <c r="S10611" t="n">
        <v>0</v>
      </c>
      <c r="T10611" t="n">
        <v>0</v>
      </c>
      <c r="U10611" t="n">
        <v>0</v>
      </c>
      <c r="V10611" s="2" t="inlineStr"/>
    </row>
    <row r="10612" ht="15" customHeight="1">
      <c r="A10612" t="inlineStr">
        <is>
          <t>A 18434-2026</t>
        </is>
      </c>
      <c r="B10612" t="inlineStr">
        <is>
          <t>avverkningsanmälan</t>
        </is>
      </c>
      <c r="C10612" t="inlineStr">
        <is>
          <t>Föryngringsavverkning</t>
        </is>
      </c>
      <c r="D10612" s="1" t="n">
        <v>46127</v>
      </c>
      <c r="E10612" s="1" t="n">
        <v>46326</v>
      </c>
      <c r="F10612" t="inlineStr">
        <is>
          <t>GÄVLEBORGS LÄN</t>
        </is>
      </c>
      <c r="G10612" t="inlineStr">
        <is>
          <t>HUDIKSVALL</t>
        </is>
      </c>
      <c r="I10612" t="n">
        <v>5.3</v>
      </c>
      <c r="J10612" t="n">
        <v>0</v>
      </c>
      <c r="K10612" t="n">
        <v>0</v>
      </c>
      <c r="L10612" t="n">
        <v>0</v>
      </c>
      <c r="M10612" t="n">
        <v>0</v>
      </c>
      <c r="N10612" t="n">
        <v>0</v>
      </c>
      <c r="O10612" t="n">
        <v>0</v>
      </c>
      <c r="P10612" t="n">
        <v>0</v>
      </c>
      <c r="Q10612" t="n">
        <v>0</v>
      </c>
      <c r="R10612" t="n">
        <v>0</v>
      </c>
      <c r="S10612" t="n">
        <v>0</v>
      </c>
      <c r="T10612" t="n">
        <v>0</v>
      </c>
      <c r="U10612" t="n">
        <v>0</v>
      </c>
      <c r="V10612" s="2" t="inlineStr"/>
    </row>
    <row r="10613" ht="15" customHeight="1">
      <c r="A10613" t="inlineStr">
        <is>
          <t>A 35253-2026</t>
        </is>
      </c>
      <c r="B10613" t="inlineStr">
        <is>
          <t>avverkningsanmälan</t>
        </is>
      </c>
      <c r="C10613" t="inlineStr">
        <is>
          <t>Föryngringsavverkning</t>
        </is>
      </c>
      <c r="D10613" s="1" t="n">
        <v>46261</v>
      </c>
      <c r="E10613" s="1" t="n">
        <v>46326</v>
      </c>
      <c r="F10613" t="inlineStr">
        <is>
          <t>GÄVLEBORGS LÄN</t>
        </is>
      </c>
      <c r="G10613" t="inlineStr">
        <is>
          <t>SANDVIKEN</t>
        </is>
      </c>
      <c r="H10613" t="inlineStr">
        <is>
          <t>Sveaskog</t>
        </is>
      </c>
      <c r="I10613" t="n">
        <v>2.6</v>
      </c>
      <c r="J10613" t="n">
        <v>0</v>
      </c>
      <c r="K10613" t="n">
        <v>0</v>
      </c>
      <c r="L10613" t="n">
        <v>0</v>
      </c>
      <c r="M10613" t="n">
        <v>0</v>
      </c>
      <c r="N10613" t="n">
        <v>0</v>
      </c>
      <c r="O10613" t="n">
        <v>0</v>
      </c>
      <c r="P10613" t="n">
        <v>0</v>
      </c>
      <c r="Q10613" t="n">
        <v>0</v>
      </c>
      <c r="R10613" t="n">
        <v>0</v>
      </c>
      <c r="S10613" t="n">
        <v>0</v>
      </c>
      <c r="T10613" t="n">
        <v>0</v>
      </c>
      <c r="U10613" t="n">
        <v>0</v>
      </c>
      <c r="V10613" s="2" t="inlineStr"/>
    </row>
    <row r="10614" ht="15" customHeight="1">
      <c r="A10614" t="inlineStr">
        <is>
          <t>A 35255-2026</t>
        </is>
      </c>
      <c r="B10614" t="inlineStr">
        <is>
          <t>avverkningsanmälan</t>
        </is>
      </c>
      <c r="C10614" t="inlineStr">
        <is>
          <t>Föryngringsavverkning</t>
        </is>
      </c>
      <c r="D10614" s="1" t="n">
        <v>46261</v>
      </c>
      <c r="E10614" s="1" t="n">
        <v>46326</v>
      </c>
      <c r="F10614" t="inlineStr">
        <is>
          <t>GÄVLEBORGS LÄN</t>
        </is>
      </c>
      <c r="G10614" t="inlineStr">
        <is>
          <t>SANDVIKEN</t>
        </is>
      </c>
      <c r="H10614" t="inlineStr">
        <is>
          <t>Sveaskog</t>
        </is>
      </c>
      <c r="I10614" t="n">
        <v>1.7</v>
      </c>
      <c r="J10614" t="n">
        <v>0</v>
      </c>
      <c r="K10614" t="n">
        <v>0</v>
      </c>
      <c r="L10614" t="n">
        <v>0</v>
      </c>
      <c r="M10614" t="n">
        <v>0</v>
      </c>
      <c r="N10614" t="n">
        <v>0</v>
      </c>
      <c r="O10614" t="n">
        <v>0</v>
      </c>
      <c r="P10614" t="n">
        <v>0</v>
      </c>
      <c r="Q10614" t="n">
        <v>0</v>
      </c>
      <c r="R10614" t="n">
        <v>0</v>
      </c>
      <c r="S10614" t="n">
        <v>0</v>
      </c>
      <c r="T10614" t="n">
        <v>0</v>
      </c>
      <c r="U10614" t="n">
        <v>0</v>
      </c>
      <c r="V10614" s="2" t="inlineStr"/>
    </row>
    <row r="10615" ht="15" customHeight="1">
      <c r="A10615" t="inlineStr">
        <is>
          <t>A 35281-2026</t>
        </is>
      </c>
      <c r="B10615" t="inlineStr">
        <is>
          <t>avverkningsanmälan</t>
        </is>
      </c>
      <c r="C10615" t="inlineStr">
        <is>
          <t>Föryngringsavverkning</t>
        </is>
      </c>
      <c r="D10615" s="1" t="n">
        <v>46261</v>
      </c>
      <c r="E10615" s="1" t="n">
        <v>46326</v>
      </c>
      <c r="F10615" t="inlineStr">
        <is>
          <t>GÄVLEBORGS LÄN</t>
        </is>
      </c>
      <c r="G10615" t="inlineStr">
        <is>
          <t>LJUSDAL</t>
        </is>
      </c>
      <c r="H10615" t="inlineStr">
        <is>
          <t>Holmen skog AB</t>
        </is>
      </c>
      <c r="I10615" t="n">
        <v>2.8</v>
      </c>
      <c r="J10615" t="n">
        <v>0</v>
      </c>
      <c r="K10615" t="n">
        <v>0</v>
      </c>
      <c r="L10615" t="n">
        <v>0</v>
      </c>
      <c r="M10615" t="n">
        <v>0</v>
      </c>
      <c r="N10615" t="n">
        <v>0</v>
      </c>
      <c r="O10615" t="n">
        <v>0</v>
      </c>
      <c r="P10615" t="n">
        <v>0</v>
      </c>
      <c r="Q10615" t="n">
        <v>0</v>
      </c>
      <c r="R10615" t="n">
        <v>0</v>
      </c>
      <c r="S10615" t="n">
        <v>0</v>
      </c>
      <c r="T10615" t="n">
        <v>0</v>
      </c>
      <c r="U10615" t="n">
        <v>0</v>
      </c>
      <c r="V10615" s="2" t="inlineStr"/>
    </row>
    <row r="10616" ht="15" customHeight="1">
      <c r="A10616" t="inlineStr">
        <is>
          <t>A 35345-2026</t>
        </is>
      </c>
      <c r="B10616" t="inlineStr">
        <is>
          <t>avverkningsanmälan</t>
        </is>
      </c>
      <c r="C10616" t="inlineStr">
        <is>
          <t>Föryngringsavverkning</t>
        </is>
      </c>
      <c r="D10616" s="1" t="n">
        <v>46261</v>
      </c>
      <c r="E10616" s="1" t="n">
        <v>46326</v>
      </c>
      <c r="F10616" t="inlineStr">
        <is>
          <t>GÄVLEBORGS LÄN</t>
        </is>
      </c>
      <c r="G10616" t="inlineStr">
        <is>
          <t>SANDVIKEN</t>
        </is>
      </c>
      <c r="H10616" t="inlineStr">
        <is>
          <t>Bergvik skog öst AB</t>
        </is>
      </c>
      <c r="I10616" t="n">
        <v>0.8</v>
      </c>
      <c r="J10616" t="n">
        <v>0</v>
      </c>
      <c r="K10616" t="n">
        <v>0</v>
      </c>
      <c r="L10616" t="n">
        <v>0</v>
      </c>
      <c r="M10616" t="n">
        <v>0</v>
      </c>
      <c r="N10616" t="n">
        <v>0</v>
      </c>
      <c r="O10616" t="n">
        <v>0</v>
      </c>
      <c r="P10616" t="n">
        <v>0</v>
      </c>
      <c r="Q10616" t="n">
        <v>0</v>
      </c>
      <c r="R10616" t="n">
        <v>0</v>
      </c>
      <c r="S10616" t="n">
        <v>0</v>
      </c>
      <c r="T10616" t="n">
        <v>0</v>
      </c>
      <c r="U10616" t="n">
        <v>0</v>
      </c>
      <c r="V10616" s="2" t="inlineStr"/>
    </row>
    <row r="10617" ht="15" customHeight="1">
      <c r="A10617" t="inlineStr">
        <is>
          <t>A 10148-2026</t>
        </is>
      </c>
      <c r="B10617" t="inlineStr">
        <is>
          <t>avverkningsanmälan</t>
        </is>
      </c>
      <c r="C10617" t="inlineStr">
        <is>
          <t>Föryngringsavverkning</t>
        </is>
      </c>
      <c r="D10617" s="1" t="n">
        <v>46076</v>
      </c>
      <c r="E10617" s="1" t="n">
        <v>46326</v>
      </c>
      <c r="F10617" t="inlineStr">
        <is>
          <t>GÄVLEBORGS LÄN</t>
        </is>
      </c>
      <c r="G10617" t="inlineStr">
        <is>
          <t>HUDIKSVALL</t>
        </is>
      </c>
      <c r="I10617" t="n">
        <v>0.3</v>
      </c>
      <c r="J10617" t="n">
        <v>0</v>
      </c>
      <c r="K10617" t="n">
        <v>0</v>
      </c>
      <c r="L10617" t="n">
        <v>0</v>
      </c>
      <c r="M10617" t="n">
        <v>0</v>
      </c>
      <c r="N10617" t="n">
        <v>0</v>
      </c>
      <c r="O10617" t="n">
        <v>0</v>
      </c>
      <c r="P10617" t="n">
        <v>0</v>
      </c>
      <c r="Q10617" t="n">
        <v>0</v>
      </c>
      <c r="R10617" t="n">
        <v>0</v>
      </c>
      <c r="S10617" t="n">
        <v>0</v>
      </c>
      <c r="T10617" t="n">
        <v>0</v>
      </c>
      <c r="U10617" t="n">
        <v>0</v>
      </c>
      <c r="V10617" s="2" t="inlineStr"/>
    </row>
    <row r="10618" ht="15" customHeight="1">
      <c r="A10618" t="inlineStr">
        <is>
          <t>A 35575-2026</t>
        </is>
      </c>
      <c r="B10618" t="inlineStr">
        <is>
          <t>avverkningsanmälan</t>
        </is>
      </c>
      <c r="C10618" t="inlineStr">
        <is>
          <t>Föryngringsavverkning</t>
        </is>
      </c>
      <c r="D10618" s="1" t="n">
        <v>46262</v>
      </c>
      <c r="E10618" s="1" t="n">
        <v>46326</v>
      </c>
      <c r="F10618" t="inlineStr">
        <is>
          <t>GÄVLEBORGS LÄN</t>
        </is>
      </c>
      <c r="G10618" t="inlineStr">
        <is>
          <t>SANDVIKEN</t>
        </is>
      </c>
      <c r="H10618" t="inlineStr">
        <is>
          <t>Naturvårdsverket</t>
        </is>
      </c>
      <c r="I10618" t="n">
        <v>1</v>
      </c>
      <c r="J10618" t="n">
        <v>0</v>
      </c>
      <c r="K10618" t="n">
        <v>0</v>
      </c>
      <c r="L10618" t="n">
        <v>0</v>
      </c>
      <c r="M10618" t="n">
        <v>0</v>
      </c>
      <c r="N10618" t="n">
        <v>0</v>
      </c>
      <c r="O10618" t="n">
        <v>0</v>
      </c>
      <c r="P10618" t="n">
        <v>0</v>
      </c>
      <c r="Q10618" t="n">
        <v>0</v>
      </c>
      <c r="R10618" t="n">
        <v>0</v>
      </c>
      <c r="S10618" t="n">
        <v>0</v>
      </c>
      <c r="T10618" t="n">
        <v>0</v>
      </c>
      <c r="U10618" t="n">
        <v>0</v>
      </c>
      <c r="V10618" s="2" t="inlineStr"/>
    </row>
    <row r="10619" ht="15" customHeight="1">
      <c r="A10619" t="inlineStr">
        <is>
          <t>A 32367-2026</t>
        </is>
      </c>
      <c r="B10619" t="inlineStr">
        <is>
          <t>avverkningsanmälan</t>
        </is>
      </c>
      <c r="C10619" t="inlineStr">
        <is>
          <t>Föryngringsavverkning</t>
        </is>
      </c>
      <c r="D10619" s="1" t="n">
        <v>46238</v>
      </c>
      <c r="E10619" s="1" t="n">
        <v>46326</v>
      </c>
      <c r="F10619" t="inlineStr">
        <is>
          <t>GÄVLEBORGS LÄN</t>
        </is>
      </c>
      <c r="G10619" t="inlineStr">
        <is>
          <t>HUDIKSVALL</t>
        </is>
      </c>
      <c r="I10619" t="n">
        <v>0.8</v>
      </c>
      <c r="J10619" t="n">
        <v>0</v>
      </c>
      <c r="K10619" t="n">
        <v>0</v>
      </c>
      <c r="L10619" t="n">
        <v>0</v>
      </c>
      <c r="M10619" t="n">
        <v>0</v>
      </c>
      <c r="N10619" t="n">
        <v>0</v>
      </c>
      <c r="O10619" t="n">
        <v>0</v>
      </c>
      <c r="P10619" t="n">
        <v>0</v>
      </c>
      <c r="Q10619" t="n">
        <v>0</v>
      </c>
      <c r="R10619" t="n">
        <v>0</v>
      </c>
      <c r="S10619" t="n">
        <v>0</v>
      </c>
      <c r="T10619" t="n">
        <v>0</v>
      </c>
      <c r="U10619" t="n">
        <v>0</v>
      </c>
      <c r="V10619" s="2" t="inlineStr"/>
    </row>
    <row r="10620" ht="15" customHeight="1">
      <c r="A10620" t="inlineStr">
        <is>
          <t>A 35432-2026</t>
        </is>
      </c>
      <c r="B10620" t="inlineStr">
        <is>
          <t>avverkningsanmälan</t>
        </is>
      </c>
      <c r="C10620" t="inlineStr">
        <is>
          <t>Föryngringsavverkning</t>
        </is>
      </c>
      <c r="D10620" s="1" t="n">
        <v>46262</v>
      </c>
      <c r="E10620" s="1" t="n">
        <v>46326</v>
      </c>
      <c r="F10620" t="inlineStr">
        <is>
          <t>GÄVLEBORGS LÄN</t>
        </is>
      </c>
      <c r="G10620" t="inlineStr">
        <is>
          <t>SANDVIKEN</t>
        </is>
      </c>
      <c r="I10620" t="n">
        <v>1.1</v>
      </c>
      <c r="J10620" t="n">
        <v>0</v>
      </c>
      <c r="K10620" t="n">
        <v>0</v>
      </c>
      <c r="L10620" t="n">
        <v>0</v>
      </c>
      <c r="M10620" t="n">
        <v>0</v>
      </c>
      <c r="N10620" t="n">
        <v>0</v>
      </c>
      <c r="O10620" t="n">
        <v>0</v>
      </c>
      <c r="P10620" t="n">
        <v>0</v>
      </c>
      <c r="Q10620" t="n">
        <v>0</v>
      </c>
      <c r="R10620" t="n">
        <v>0</v>
      </c>
      <c r="S10620" t="n">
        <v>0</v>
      </c>
      <c r="T10620" t="n">
        <v>0</v>
      </c>
      <c r="U10620" t="n">
        <v>0</v>
      </c>
      <c r="V10620" s="2" t="inlineStr"/>
    </row>
    <row r="10621" ht="15" customHeight="1">
      <c r="A10621" t="inlineStr">
        <is>
          <t>A 42061-2026</t>
        </is>
      </c>
      <c r="B10621" t="inlineStr">
        <is>
          <t>avverkningsanmälan</t>
        </is>
      </c>
      <c r="C10621" t="inlineStr">
        <is>
          <t>Föryngringsavverkning</t>
        </is>
      </c>
      <c r="D10621" s="1" t="n">
        <v>46304</v>
      </c>
      <c r="E10621" s="1" t="n">
        <v>46326</v>
      </c>
      <c r="F10621" t="inlineStr">
        <is>
          <t>GÄVLEBORGS LÄN</t>
        </is>
      </c>
      <c r="G10621" t="inlineStr">
        <is>
          <t>GÄVLE</t>
        </is>
      </c>
      <c r="H10621" t="inlineStr">
        <is>
          <t>Bergvik skog väst AB</t>
        </is>
      </c>
      <c r="I10621" t="n">
        <v>1.7</v>
      </c>
      <c r="J10621" t="n">
        <v>0</v>
      </c>
      <c r="K10621" t="n">
        <v>0</v>
      </c>
      <c r="L10621" t="n">
        <v>0</v>
      </c>
      <c r="M10621" t="n">
        <v>0</v>
      </c>
      <c r="N10621" t="n">
        <v>0</v>
      </c>
      <c r="O10621" t="n">
        <v>0</v>
      </c>
      <c r="P10621" t="n">
        <v>0</v>
      </c>
      <c r="Q10621" t="n">
        <v>0</v>
      </c>
      <c r="R10621" t="n">
        <v>0</v>
      </c>
      <c r="S10621" t="n">
        <v>0</v>
      </c>
      <c r="T10621" t="n">
        <v>0</v>
      </c>
      <c r="U10621" t="n">
        <v>0</v>
      </c>
      <c r="V10621" s="2" t="inlineStr"/>
    </row>
    <row r="10622" ht="15" customHeight="1">
      <c r="A10622" t="inlineStr">
        <is>
          <t>A 42133-2026</t>
        </is>
      </c>
      <c r="B10622" t="inlineStr">
        <is>
          <t>avverkningsanmälan</t>
        </is>
      </c>
      <c r="C10622" t="inlineStr">
        <is>
          <t>Föryngringsavverkning</t>
        </is>
      </c>
      <c r="D10622" s="1" t="n">
        <v>46304</v>
      </c>
      <c r="E10622" s="1" t="n">
        <v>46326</v>
      </c>
      <c r="F10622" t="inlineStr">
        <is>
          <t>GÄVLEBORGS LÄN</t>
        </is>
      </c>
      <c r="G10622" t="inlineStr">
        <is>
          <t>GÄVLE</t>
        </is>
      </c>
      <c r="H10622" t="inlineStr">
        <is>
          <t>Bergvik skog öst AB</t>
        </is>
      </c>
      <c r="I10622" t="n">
        <v>4.2</v>
      </c>
      <c r="J10622" t="n">
        <v>0</v>
      </c>
      <c r="K10622" t="n">
        <v>0</v>
      </c>
      <c r="L10622" t="n">
        <v>0</v>
      </c>
      <c r="M10622" t="n">
        <v>0</v>
      </c>
      <c r="N10622" t="n">
        <v>0</v>
      </c>
      <c r="O10622" t="n">
        <v>0</v>
      </c>
      <c r="P10622" t="n">
        <v>0</v>
      </c>
      <c r="Q10622" t="n">
        <v>0</v>
      </c>
      <c r="R10622" t="n">
        <v>0</v>
      </c>
      <c r="S10622" t="n">
        <v>0</v>
      </c>
      <c r="T10622" t="n">
        <v>0</v>
      </c>
      <c r="U10622" t="n">
        <v>0</v>
      </c>
      <c r="V10622" s="2" t="inlineStr"/>
    </row>
    <row r="10623" ht="15" customHeight="1">
      <c r="A10623" t="inlineStr">
        <is>
          <t>A 42162-2026</t>
        </is>
      </c>
      <c r="B10623" t="inlineStr">
        <is>
          <t>avverkningsanmälan</t>
        </is>
      </c>
      <c r="C10623" t="inlineStr">
        <is>
          <t>Föryngringsavverkning</t>
        </is>
      </c>
      <c r="D10623" s="1" t="n">
        <v>46304</v>
      </c>
      <c r="E10623" s="1" t="n">
        <v>46326</v>
      </c>
      <c r="F10623" t="inlineStr">
        <is>
          <t>GÄVLEBORGS LÄN</t>
        </is>
      </c>
      <c r="G10623" t="inlineStr">
        <is>
          <t>SÖDERHAMN</t>
        </is>
      </c>
      <c r="I10623" t="n">
        <v>3.2</v>
      </c>
      <c r="J10623" t="n">
        <v>0</v>
      </c>
      <c r="K10623" t="n">
        <v>0</v>
      </c>
      <c r="L10623" t="n">
        <v>0</v>
      </c>
      <c r="M10623" t="n">
        <v>0</v>
      </c>
      <c r="N10623" t="n">
        <v>0</v>
      </c>
      <c r="O10623" t="n">
        <v>0</v>
      </c>
      <c r="P10623" t="n">
        <v>0</v>
      </c>
      <c r="Q10623" t="n">
        <v>0</v>
      </c>
      <c r="R10623" t="n">
        <v>0</v>
      </c>
      <c r="S10623" t="n">
        <v>0</v>
      </c>
      <c r="T10623" t="n">
        <v>0</v>
      </c>
      <c r="U10623" t="n">
        <v>0</v>
      </c>
      <c r="V10623" s="2" t="inlineStr"/>
    </row>
    <row r="10624" ht="15" customHeight="1">
      <c r="A10624" t="inlineStr">
        <is>
          <t>A 35451-2026</t>
        </is>
      </c>
      <c r="B10624" t="inlineStr">
        <is>
          <t>avverkningsanmälan</t>
        </is>
      </c>
      <c r="C10624" t="inlineStr">
        <is>
          <t>Föryngringsavverkning</t>
        </is>
      </c>
      <c r="D10624" s="1" t="n">
        <v>46262</v>
      </c>
      <c r="E10624" s="1" t="n">
        <v>46326</v>
      </c>
      <c r="F10624" t="inlineStr">
        <is>
          <t>GÄVLEBORGS LÄN</t>
        </is>
      </c>
      <c r="G10624" t="inlineStr">
        <is>
          <t>SANDVIKEN</t>
        </is>
      </c>
      <c r="H10624" t="inlineStr">
        <is>
          <t>Bergvik skog öst AB</t>
        </is>
      </c>
      <c r="I10624" t="n">
        <v>1.1</v>
      </c>
      <c r="J10624" t="n">
        <v>0</v>
      </c>
      <c r="K10624" t="n">
        <v>0</v>
      </c>
      <c r="L10624" t="n">
        <v>0</v>
      </c>
      <c r="M10624" t="n">
        <v>0</v>
      </c>
      <c r="N10624" t="n">
        <v>0</v>
      </c>
      <c r="O10624" t="n">
        <v>0</v>
      </c>
      <c r="P10624" t="n">
        <v>0</v>
      </c>
      <c r="Q10624" t="n">
        <v>0</v>
      </c>
      <c r="R10624" t="n">
        <v>0</v>
      </c>
      <c r="S10624" t="n">
        <v>0</v>
      </c>
      <c r="T10624" t="n">
        <v>0</v>
      </c>
      <c r="U10624" t="n">
        <v>0</v>
      </c>
      <c r="V10624" s="2" t="inlineStr"/>
    </row>
    <row r="10625" ht="15" customHeight="1">
      <c r="A10625" t="inlineStr">
        <is>
          <t>A 35414-2026</t>
        </is>
      </c>
      <c r="B10625" t="inlineStr">
        <is>
          <t>avverkningsanmälan</t>
        </is>
      </c>
      <c r="C10625" t="inlineStr">
        <is>
          <t>Föryngringsavverkning</t>
        </is>
      </c>
      <c r="D10625" s="1" t="n">
        <v>46261</v>
      </c>
      <c r="E10625" s="1" t="n">
        <v>46326</v>
      </c>
      <c r="F10625" t="inlineStr">
        <is>
          <t>GÄVLEBORGS LÄN</t>
        </is>
      </c>
      <c r="G10625" t="inlineStr">
        <is>
          <t>SANDVIKEN</t>
        </is>
      </c>
      <c r="H10625" t="inlineStr">
        <is>
          <t>Bergvik skog öst AB</t>
        </is>
      </c>
      <c r="I10625" t="n">
        <v>3.4</v>
      </c>
      <c r="J10625" t="n">
        <v>0</v>
      </c>
      <c r="K10625" t="n">
        <v>0</v>
      </c>
      <c r="L10625" t="n">
        <v>0</v>
      </c>
      <c r="M10625" t="n">
        <v>0</v>
      </c>
      <c r="N10625" t="n">
        <v>0</v>
      </c>
      <c r="O10625" t="n">
        <v>0</v>
      </c>
      <c r="P10625" t="n">
        <v>0</v>
      </c>
      <c r="Q10625" t="n">
        <v>0</v>
      </c>
      <c r="R10625" t="n">
        <v>0</v>
      </c>
      <c r="S10625" t="n">
        <v>0</v>
      </c>
      <c r="T10625" t="n">
        <v>0</v>
      </c>
      <c r="U10625" t="n">
        <v>0</v>
      </c>
      <c r="V10625" s="2" t="inlineStr"/>
    </row>
    <row r="10626" ht="15" customHeight="1">
      <c r="A10626" t="inlineStr">
        <is>
          <t>A 35433-2026</t>
        </is>
      </c>
      <c r="B10626" t="inlineStr">
        <is>
          <t>avverkningsanmälan</t>
        </is>
      </c>
      <c r="C10626" t="inlineStr">
        <is>
          <t>Föryngringsavverkning</t>
        </is>
      </c>
      <c r="D10626" s="1" t="n">
        <v>46262</v>
      </c>
      <c r="E10626" s="1" t="n">
        <v>46326</v>
      </c>
      <c r="F10626" t="inlineStr">
        <is>
          <t>GÄVLEBORGS LÄN</t>
        </is>
      </c>
      <c r="G10626" t="inlineStr">
        <is>
          <t>BOLLNÄS</t>
        </is>
      </c>
      <c r="H10626" t="inlineStr">
        <is>
          <t>Bergvik skog väst AB</t>
        </is>
      </c>
      <c r="I10626" t="n">
        <v>0.8</v>
      </c>
      <c r="J10626" t="n">
        <v>0</v>
      </c>
      <c r="K10626" t="n">
        <v>0</v>
      </c>
      <c r="L10626" t="n">
        <v>0</v>
      </c>
      <c r="M10626" t="n">
        <v>0</v>
      </c>
      <c r="N10626" t="n">
        <v>0</v>
      </c>
      <c r="O10626" t="n">
        <v>0</v>
      </c>
      <c r="P10626" t="n">
        <v>0</v>
      </c>
      <c r="Q10626" t="n">
        <v>0</v>
      </c>
      <c r="R10626" t="n">
        <v>0</v>
      </c>
      <c r="S10626" t="n">
        <v>0</v>
      </c>
      <c r="T10626" t="n">
        <v>0</v>
      </c>
      <c r="U10626" t="n">
        <v>0</v>
      </c>
      <c r="V10626" s="2" t="inlineStr"/>
    </row>
    <row r="10627" ht="15" customHeight="1">
      <c r="A10627" t="inlineStr">
        <is>
          <t>A 35420-2026</t>
        </is>
      </c>
      <c r="B10627" t="inlineStr">
        <is>
          <t>avverkningsanmälan</t>
        </is>
      </c>
      <c r="C10627" t="inlineStr">
        <is>
          <t>Föryngringsavverkning</t>
        </is>
      </c>
      <c r="D10627" s="1" t="n">
        <v>46261</v>
      </c>
      <c r="E10627" s="1" t="n">
        <v>46326</v>
      </c>
      <c r="F10627" t="inlineStr">
        <is>
          <t>GÄVLEBORGS LÄN</t>
        </is>
      </c>
      <c r="G10627" t="inlineStr">
        <is>
          <t>SANDVIKEN</t>
        </is>
      </c>
      <c r="H10627" t="inlineStr">
        <is>
          <t>Bergvik skog öst AB</t>
        </is>
      </c>
      <c r="I10627" t="n">
        <v>1.5</v>
      </c>
      <c r="J10627" t="n">
        <v>0</v>
      </c>
      <c r="K10627" t="n">
        <v>0</v>
      </c>
      <c r="L10627" t="n">
        <v>0</v>
      </c>
      <c r="M10627" t="n">
        <v>0</v>
      </c>
      <c r="N10627" t="n">
        <v>0</v>
      </c>
      <c r="O10627" t="n">
        <v>0</v>
      </c>
      <c r="P10627" t="n">
        <v>0</v>
      </c>
      <c r="Q10627" t="n">
        <v>0</v>
      </c>
      <c r="R10627" t="n">
        <v>0</v>
      </c>
      <c r="S10627" t="n">
        <v>0</v>
      </c>
      <c r="T10627" t="n">
        <v>0</v>
      </c>
      <c r="U10627" t="n">
        <v>0</v>
      </c>
      <c r="V10627" s="2" t="inlineStr"/>
    </row>
    <row r="10628" ht="15" customHeight="1">
      <c r="A10628" t="inlineStr">
        <is>
          <t>A 35397-2026</t>
        </is>
      </c>
      <c r="B10628" t="inlineStr">
        <is>
          <t>avverkningsanmälan</t>
        </is>
      </c>
      <c r="C10628" t="inlineStr">
        <is>
          <t>Föryngringsavverkning</t>
        </is>
      </c>
      <c r="D10628" s="1" t="n">
        <v>46261</v>
      </c>
      <c r="E10628" s="1" t="n">
        <v>46326</v>
      </c>
      <c r="F10628" t="inlineStr">
        <is>
          <t>GÄVLEBORGS LÄN</t>
        </is>
      </c>
      <c r="G10628" t="inlineStr">
        <is>
          <t>BOLLNÄS</t>
        </is>
      </c>
      <c r="I10628" t="n">
        <v>1.7</v>
      </c>
      <c r="J10628" t="n">
        <v>0</v>
      </c>
      <c r="K10628" t="n">
        <v>0</v>
      </c>
      <c r="L10628" t="n">
        <v>0</v>
      </c>
      <c r="M10628" t="n">
        <v>0</v>
      </c>
      <c r="N10628" t="n">
        <v>0</v>
      </c>
      <c r="O10628" t="n">
        <v>0</v>
      </c>
      <c r="P10628" t="n">
        <v>0</v>
      </c>
      <c r="Q10628" t="n">
        <v>0</v>
      </c>
      <c r="R10628" t="n">
        <v>0</v>
      </c>
      <c r="S10628" t="n">
        <v>0</v>
      </c>
      <c r="T10628" t="n">
        <v>0</v>
      </c>
      <c r="U10628" t="n">
        <v>0</v>
      </c>
      <c r="V10628" s="2" t="inlineStr"/>
    </row>
    <row r="10629" ht="15" customHeight="1">
      <c r="A10629" t="inlineStr">
        <is>
          <t>A 42163-2026</t>
        </is>
      </c>
      <c r="B10629" t="inlineStr">
        <is>
          <t>avverkningsanmälan</t>
        </is>
      </c>
      <c r="C10629" t="inlineStr">
        <is>
          <t>Föryngringsavverkning</t>
        </is>
      </c>
      <c r="D10629" s="1" t="n">
        <v>46304</v>
      </c>
      <c r="E10629" s="1" t="n">
        <v>46326</v>
      </c>
      <c r="F10629" t="inlineStr">
        <is>
          <t>GÄVLEBORGS LÄN</t>
        </is>
      </c>
      <c r="G10629" t="inlineStr">
        <is>
          <t>SÖDERHAMN</t>
        </is>
      </c>
      <c r="I10629" t="n">
        <v>1.6</v>
      </c>
      <c r="J10629" t="n">
        <v>0</v>
      </c>
      <c r="K10629" t="n">
        <v>0</v>
      </c>
      <c r="L10629" t="n">
        <v>0</v>
      </c>
      <c r="M10629" t="n">
        <v>0</v>
      </c>
      <c r="N10629" t="n">
        <v>0</v>
      </c>
      <c r="O10629" t="n">
        <v>0</v>
      </c>
      <c r="P10629" t="n">
        <v>0</v>
      </c>
      <c r="Q10629" t="n">
        <v>0</v>
      </c>
      <c r="R10629" t="n">
        <v>0</v>
      </c>
      <c r="S10629" t="n">
        <v>0</v>
      </c>
      <c r="T10629" t="n">
        <v>0</v>
      </c>
      <c r="U10629" t="n">
        <v>0</v>
      </c>
      <c r="V10629" s="2" t="inlineStr"/>
    </row>
    <row r="10630" ht="15" customHeight="1">
      <c r="A10630" t="inlineStr">
        <is>
          <t>A 42385-2026</t>
        </is>
      </c>
      <c r="B10630" t="inlineStr">
        <is>
          <t>avverkningsanmälan</t>
        </is>
      </c>
      <c r="C10630" t="inlineStr">
        <is>
          <t>Föryngringsavverkning</t>
        </is>
      </c>
      <c r="D10630" s="1" t="n">
        <v>46307</v>
      </c>
      <c r="E10630" s="1" t="n">
        <v>46326</v>
      </c>
      <c r="F10630" t="inlineStr">
        <is>
          <t>GÄVLEBORGS LÄN</t>
        </is>
      </c>
      <c r="G10630" t="inlineStr">
        <is>
          <t>NORDANSTIG</t>
        </is>
      </c>
      <c r="H10630" t="inlineStr">
        <is>
          <t>Holmen skog AB</t>
        </is>
      </c>
      <c r="I10630" t="n">
        <v>2.1</v>
      </c>
      <c r="J10630" t="n">
        <v>0</v>
      </c>
      <c r="K10630" t="n">
        <v>0</v>
      </c>
      <c r="L10630" t="n">
        <v>0</v>
      </c>
      <c r="M10630" t="n">
        <v>0</v>
      </c>
      <c r="N10630" t="n">
        <v>0</v>
      </c>
      <c r="O10630" t="n">
        <v>0</v>
      </c>
      <c r="P10630" t="n">
        <v>0</v>
      </c>
      <c r="Q10630" t="n">
        <v>0</v>
      </c>
      <c r="R10630" t="n">
        <v>0</v>
      </c>
      <c r="S10630" t="n">
        <v>0</v>
      </c>
      <c r="T10630" t="n">
        <v>0</v>
      </c>
      <c r="U10630" t="n">
        <v>0</v>
      </c>
      <c r="V10630" s="2" t="inlineStr"/>
    </row>
    <row r="10631" ht="15" customHeight="1">
      <c r="A10631" t="inlineStr">
        <is>
          <t>A 42137-2026</t>
        </is>
      </c>
      <c r="B10631" t="inlineStr">
        <is>
          <t>avverkningsanmälan</t>
        </is>
      </c>
      <c r="C10631" t="inlineStr">
        <is>
          <t>Föryngringsavverkning</t>
        </is>
      </c>
      <c r="D10631" s="1" t="n">
        <v>46304</v>
      </c>
      <c r="E10631" s="1" t="n">
        <v>46326</v>
      </c>
      <c r="F10631" t="inlineStr">
        <is>
          <t>GÄVLEBORGS LÄN</t>
        </is>
      </c>
      <c r="G10631" t="inlineStr">
        <is>
          <t>GÄVLE</t>
        </is>
      </c>
      <c r="H10631" t="inlineStr">
        <is>
          <t>Bergvik skog väst AB</t>
        </is>
      </c>
      <c r="I10631" t="n">
        <v>0.3</v>
      </c>
      <c r="J10631" t="n">
        <v>0</v>
      </c>
      <c r="K10631" t="n">
        <v>0</v>
      </c>
      <c r="L10631" t="n">
        <v>0</v>
      </c>
      <c r="M10631" t="n">
        <v>0</v>
      </c>
      <c r="N10631" t="n">
        <v>0</v>
      </c>
      <c r="O10631" t="n">
        <v>0</v>
      </c>
      <c r="P10631" t="n">
        <v>0</v>
      </c>
      <c r="Q10631" t="n">
        <v>0</v>
      </c>
      <c r="R10631" t="n">
        <v>0</v>
      </c>
      <c r="S10631" t="n">
        <v>0</v>
      </c>
      <c r="T10631" t="n">
        <v>0</v>
      </c>
      <c r="U10631" t="n">
        <v>0</v>
      </c>
      <c r="V10631" s="2" t="inlineStr"/>
    </row>
    <row r="10632" ht="15" customHeight="1">
      <c r="A10632" t="inlineStr">
        <is>
          <t>A 35416-2026</t>
        </is>
      </c>
      <c r="B10632" t="inlineStr">
        <is>
          <t>avverkningsanmälan</t>
        </is>
      </c>
      <c r="C10632" t="inlineStr">
        <is>
          <t>Föryngringsavverkning</t>
        </is>
      </c>
      <c r="D10632" s="1" t="n">
        <v>46261</v>
      </c>
      <c r="E10632" s="1" t="n">
        <v>46326</v>
      </c>
      <c r="F10632" t="inlineStr">
        <is>
          <t>GÄVLEBORGS LÄN</t>
        </is>
      </c>
      <c r="G10632" t="inlineStr">
        <is>
          <t>SANDVIKEN</t>
        </is>
      </c>
      <c r="H10632" t="inlineStr">
        <is>
          <t>Bergvik skog öst AB</t>
        </is>
      </c>
      <c r="I10632" t="n">
        <v>4</v>
      </c>
      <c r="J10632" t="n">
        <v>0</v>
      </c>
      <c r="K10632" t="n">
        <v>0</v>
      </c>
      <c r="L10632" t="n">
        <v>0</v>
      </c>
      <c r="M10632" t="n">
        <v>0</v>
      </c>
      <c r="N10632" t="n">
        <v>0</v>
      </c>
      <c r="O10632" t="n">
        <v>0</v>
      </c>
      <c r="P10632" t="n">
        <v>0</v>
      </c>
      <c r="Q10632" t="n">
        <v>0</v>
      </c>
      <c r="R10632" t="n">
        <v>0</v>
      </c>
      <c r="S10632" t="n">
        <v>0</v>
      </c>
      <c r="T10632" t="n">
        <v>0</v>
      </c>
      <c r="U10632" t="n">
        <v>0</v>
      </c>
      <c r="V10632" s="2" t="inlineStr"/>
    </row>
    <row r="10633" ht="15" customHeight="1">
      <c r="A10633" t="inlineStr">
        <is>
          <t>A 35417-2026</t>
        </is>
      </c>
      <c r="B10633" t="inlineStr">
        <is>
          <t>avverkningsanmälan</t>
        </is>
      </c>
      <c r="C10633" t="inlineStr">
        <is>
          <t>Föryngringsavverkning</t>
        </is>
      </c>
      <c r="D10633" s="1" t="n">
        <v>46261</v>
      </c>
      <c r="E10633" s="1" t="n">
        <v>46326</v>
      </c>
      <c r="F10633" t="inlineStr">
        <is>
          <t>GÄVLEBORGS LÄN</t>
        </is>
      </c>
      <c r="G10633" t="inlineStr">
        <is>
          <t>SANDVIKEN</t>
        </is>
      </c>
      <c r="H10633" t="inlineStr">
        <is>
          <t>Bergvik skog öst AB</t>
        </is>
      </c>
      <c r="I10633" t="n">
        <v>1</v>
      </c>
      <c r="J10633" t="n">
        <v>0</v>
      </c>
      <c r="K10633" t="n">
        <v>0</v>
      </c>
      <c r="L10633" t="n">
        <v>0</v>
      </c>
      <c r="M10633" t="n">
        <v>0</v>
      </c>
      <c r="N10633" t="n">
        <v>0</v>
      </c>
      <c r="O10633" t="n">
        <v>0</v>
      </c>
      <c r="P10633" t="n">
        <v>0</v>
      </c>
      <c r="Q10633" t="n">
        <v>0</v>
      </c>
      <c r="R10633" t="n">
        <v>0</v>
      </c>
      <c r="S10633" t="n">
        <v>0</v>
      </c>
      <c r="T10633" t="n">
        <v>0</v>
      </c>
      <c r="U10633" t="n">
        <v>0</v>
      </c>
      <c r="V10633" s="2" t="inlineStr"/>
    </row>
    <row r="10634" ht="15" customHeight="1">
      <c r="A10634" t="inlineStr">
        <is>
          <t>A 35434-2026</t>
        </is>
      </c>
      <c r="B10634" t="inlineStr">
        <is>
          <t>avverkningsanmälan</t>
        </is>
      </c>
      <c r="C10634" t="inlineStr">
        <is>
          <t>Föryngringsavverkning</t>
        </is>
      </c>
      <c r="D10634" s="1" t="n">
        <v>46262</v>
      </c>
      <c r="E10634" s="1" t="n">
        <v>46326</v>
      </c>
      <c r="F10634" t="inlineStr">
        <is>
          <t>GÄVLEBORGS LÄN</t>
        </is>
      </c>
      <c r="G10634" t="inlineStr">
        <is>
          <t>SANDVIKEN</t>
        </is>
      </c>
      <c r="H10634" t="inlineStr">
        <is>
          <t>Bergvik skog öst AB</t>
        </is>
      </c>
      <c r="I10634" t="n">
        <v>2.3</v>
      </c>
      <c r="J10634" t="n">
        <v>0</v>
      </c>
      <c r="K10634" t="n">
        <v>0</v>
      </c>
      <c r="L10634" t="n">
        <v>0</v>
      </c>
      <c r="M10634" t="n">
        <v>0</v>
      </c>
      <c r="N10634" t="n">
        <v>0</v>
      </c>
      <c r="O10634" t="n">
        <v>0</v>
      </c>
      <c r="P10634" t="n">
        <v>0</v>
      </c>
      <c r="Q10634" t="n">
        <v>0</v>
      </c>
      <c r="R10634" t="n">
        <v>0</v>
      </c>
      <c r="S10634" t="n">
        <v>0</v>
      </c>
      <c r="T10634" t="n">
        <v>0</v>
      </c>
      <c r="U10634" t="n">
        <v>0</v>
      </c>
      <c r="V10634" s="2" t="inlineStr"/>
    </row>
    <row r="10635" ht="15" customHeight="1">
      <c r="A10635" t="inlineStr">
        <is>
          <t>A 35346-2026</t>
        </is>
      </c>
      <c r="B10635" t="inlineStr">
        <is>
          <t>avverkningsanmälan</t>
        </is>
      </c>
      <c r="C10635" t="inlineStr">
        <is>
          <t>Föryngringsavverkning</t>
        </is>
      </c>
      <c r="D10635" s="1" t="n">
        <v>46261</v>
      </c>
      <c r="E10635" s="1" t="n">
        <v>46326</v>
      </c>
      <c r="F10635" t="inlineStr">
        <is>
          <t>GÄVLEBORGS LÄN</t>
        </is>
      </c>
      <c r="G10635" t="inlineStr">
        <is>
          <t>BOLLNÄS</t>
        </is>
      </c>
      <c r="I10635" t="n">
        <v>1.2</v>
      </c>
      <c r="J10635" t="n">
        <v>0</v>
      </c>
      <c r="K10635" t="n">
        <v>0</v>
      </c>
      <c r="L10635" t="n">
        <v>0</v>
      </c>
      <c r="M10635" t="n">
        <v>0</v>
      </c>
      <c r="N10635" t="n">
        <v>0</v>
      </c>
      <c r="O10635" t="n">
        <v>0</v>
      </c>
      <c r="P10635" t="n">
        <v>0</v>
      </c>
      <c r="Q10635" t="n">
        <v>0</v>
      </c>
      <c r="R10635" t="n">
        <v>0</v>
      </c>
      <c r="S10635" t="n">
        <v>0</v>
      </c>
      <c r="T10635" t="n">
        <v>0</v>
      </c>
      <c r="U10635" t="n">
        <v>0</v>
      </c>
      <c r="V10635" s="2" t="inlineStr"/>
    </row>
    <row r="10636" ht="15" customHeight="1">
      <c r="A10636" t="inlineStr">
        <is>
          <t>A 42476-2026</t>
        </is>
      </c>
      <c r="B10636" t="inlineStr">
        <is>
          <t>avverkningsanmälan</t>
        </is>
      </c>
      <c r="C10636" t="inlineStr">
        <is>
          <t>Föryngringsavverkning</t>
        </is>
      </c>
      <c r="D10636" s="1" t="n">
        <v>46308</v>
      </c>
      <c r="E10636" s="1" t="n">
        <v>46326</v>
      </c>
      <c r="F10636" t="inlineStr">
        <is>
          <t>GÄVLEBORGS LÄN</t>
        </is>
      </c>
      <c r="G10636" t="inlineStr">
        <is>
          <t>LJUSDAL</t>
        </is>
      </c>
      <c r="I10636" t="n">
        <v>4.2</v>
      </c>
      <c r="J10636" t="n">
        <v>0</v>
      </c>
      <c r="K10636" t="n">
        <v>0</v>
      </c>
      <c r="L10636" t="n">
        <v>0</v>
      </c>
      <c r="M10636" t="n">
        <v>0</v>
      </c>
      <c r="N10636" t="n">
        <v>0</v>
      </c>
      <c r="O10636" t="n">
        <v>0</v>
      </c>
      <c r="P10636" t="n">
        <v>0</v>
      </c>
      <c r="Q10636" t="n">
        <v>0</v>
      </c>
      <c r="R10636" t="n">
        <v>0</v>
      </c>
      <c r="S10636" t="n">
        <v>0</v>
      </c>
      <c r="T10636" t="n">
        <v>0</v>
      </c>
      <c r="U10636" t="n">
        <v>0</v>
      </c>
      <c r="V10636" s="2" t="inlineStr"/>
    </row>
    <row r="10637" ht="15" customHeight="1">
      <c r="A10637" t="inlineStr">
        <is>
          <t>A 42454-2026</t>
        </is>
      </c>
      <c r="B10637" t="inlineStr">
        <is>
          <t>avverkningsanmälan</t>
        </is>
      </c>
      <c r="C10637" t="inlineStr">
        <is>
          <t>Föryngringsavverkning</t>
        </is>
      </c>
      <c r="D10637" s="1" t="n">
        <v>46308</v>
      </c>
      <c r="E10637" s="1" t="n">
        <v>46326</v>
      </c>
      <c r="F10637" t="inlineStr">
        <is>
          <t>GÄVLEBORGS LÄN</t>
        </is>
      </c>
      <c r="G10637" t="inlineStr">
        <is>
          <t>LJUSDAL</t>
        </is>
      </c>
      <c r="I10637" t="n">
        <v>2.1</v>
      </c>
      <c r="J10637" t="n">
        <v>0</v>
      </c>
      <c r="K10637" t="n">
        <v>0</v>
      </c>
      <c r="L10637" t="n">
        <v>0</v>
      </c>
      <c r="M10637" t="n">
        <v>0</v>
      </c>
      <c r="N10637" t="n">
        <v>0</v>
      </c>
      <c r="O10637" t="n">
        <v>0</v>
      </c>
      <c r="P10637" t="n">
        <v>0</v>
      </c>
      <c r="Q10637" t="n">
        <v>0</v>
      </c>
      <c r="R10637" t="n">
        <v>0</v>
      </c>
      <c r="S10637" t="n">
        <v>0</v>
      </c>
      <c r="T10637" t="n">
        <v>0</v>
      </c>
      <c r="U10637" t="n">
        <v>0</v>
      </c>
      <c r="V10637" s="2" t="inlineStr"/>
    </row>
    <row r="10638" ht="15" customHeight="1">
      <c r="A10638" t="inlineStr">
        <is>
          <t>A 42483-2026</t>
        </is>
      </c>
      <c r="B10638" t="inlineStr">
        <is>
          <t>avverkningsanmälan</t>
        </is>
      </c>
      <c r="C10638" t="inlineStr">
        <is>
          <t>Föryngringsavverkning</t>
        </is>
      </c>
      <c r="D10638" s="1" t="n">
        <v>46308</v>
      </c>
      <c r="E10638" s="1" t="n">
        <v>46326</v>
      </c>
      <c r="F10638" t="inlineStr">
        <is>
          <t>GÄVLEBORGS LÄN</t>
        </is>
      </c>
      <c r="G10638" t="inlineStr">
        <is>
          <t>GÄVLE</t>
        </is>
      </c>
      <c r="I10638" t="n">
        <v>0.4</v>
      </c>
      <c r="J10638" t="n">
        <v>0</v>
      </c>
      <c r="K10638" t="n">
        <v>0</v>
      </c>
      <c r="L10638" t="n">
        <v>0</v>
      </c>
      <c r="M10638" t="n">
        <v>0</v>
      </c>
      <c r="N10638" t="n">
        <v>0</v>
      </c>
      <c r="O10638" t="n">
        <v>0</v>
      </c>
      <c r="P10638" t="n">
        <v>0</v>
      </c>
      <c r="Q10638" t="n">
        <v>0</v>
      </c>
      <c r="R10638" t="n">
        <v>0</v>
      </c>
      <c r="S10638" t="n">
        <v>0</v>
      </c>
      <c r="T10638" t="n">
        <v>0</v>
      </c>
      <c r="U10638" t="n">
        <v>0</v>
      </c>
      <c r="V10638" s="2" t="inlineStr"/>
    </row>
    <row r="10639" ht="15" customHeight="1">
      <c r="A10639" t="inlineStr">
        <is>
          <t>A 42426-2026</t>
        </is>
      </c>
      <c r="B10639" t="inlineStr">
        <is>
          <t>avverkningsanmälan</t>
        </is>
      </c>
      <c r="C10639" t="inlineStr">
        <is>
          <t>Föryngringsavverkning</t>
        </is>
      </c>
      <c r="D10639" s="1" t="n">
        <v>46308</v>
      </c>
      <c r="E10639" s="1" t="n">
        <v>46326</v>
      </c>
      <c r="F10639" t="inlineStr">
        <is>
          <t>GÄVLEBORGS LÄN</t>
        </is>
      </c>
      <c r="G10639" t="inlineStr">
        <is>
          <t>LJUSDAL</t>
        </is>
      </c>
      <c r="H10639" t="inlineStr">
        <is>
          <t>SCA</t>
        </is>
      </c>
      <c r="I10639" t="n">
        <v>3.1</v>
      </c>
      <c r="J10639" t="n">
        <v>0</v>
      </c>
      <c r="K10639" t="n">
        <v>0</v>
      </c>
      <c r="L10639" t="n">
        <v>0</v>
      </c>
      <c r="M10639" t="n">
        <v>0</v>
      </c>
      <c r="N10639" t="n">
        <v>0</v>
      </c>
      <c r="O10639" t="n">
        <v>0</v>
      </c>
      <c r="P10639" t="n">
        <v>0</v>
      </c>
      <c r="Q10639" t="n">
        <v>0</v>
      </c>
      <c r="R10639" t="n">
        <v>0</v>
      </c>
      <c r="S10639" t="n">
        <v>0</v>
      </c>
      <c r="T10639" t="n">
        <v>0</v>
      </c>
      <c r="U10639" t="n">
        <v>0</v>
      </c>
      <c r="V10639" s="2" t="inlineStr"/>
    </row>
    <row r="10640" ht="15" customHeight="1">
      <c r="A10640" t="inlineStr">
        <is>
          <t>A 42574-2026</t>
        </is>
      </c>
      <c r="B10640" t="inlineStr">
        <is>
          <t>avverkningsanmälan</t>
        </is>
      </c>
      <c r="C10640" t="inlineStr">
        <is>
          <t>Föryngringsavverkning</t>
        </is>
      </c>
      <c r="D10640" s="1" t="n">
        <v>46308</v>
      </c>
      <c r="E10640" s="1" t="n">
        <v>46326</v>
      </c>
      <c r="F10640" t="inlineStr">
        <is>
          <t>GÄVLEBORGS LÄN</t>
        </is>
      </c>
      <c r="G10640" t="inlineStr">
        <is>
          <t>OVANÅKER</t>
        </is>
      </c>
      <c r="H10640" t="inlineStr">
        <is>
          <t>Bergvik skog öst AB</t>
        </is>
      </c>
      <c r="I10640" t="n">
        <v>0.5</v>
      </c>
      <c r="J10640" t="n">
        <v>0</v>
      </c>
      <c r="K10640" t="n">
        <v>0</v>
      </c>
      <c r="L10640" t="n">
        <v>0</v>
      </c>
      <c r="M10640" t="n">
        <v>0</v>
      </c>
      <c r="N10640" t="n">
        <v>0</v>
      </c>
      <c r="O10640" t="n">
        <v>0</v>
      </c>
      <c r="P10640" t="n">
        <v>0</v>
      </c>
      <c r="Q10640" t="n">
        <v>0</v>
      </c>
      <c r="R10640" t="n">
        <v>0</v>
      </c>
      <c r="S10640" t="n">
        <v>0</v>
      </c>
      <c r="T10640" t="n">
        <v>0</v>
      </c>
      <c r="U10640" t="n">
        <v>0</v>
      </c>
      <c r="V10640" s="2" t="inlineStr"/>
    </row>
    <row r="10641" ht="15" customHeight="1">
      <c r="A10641" t="inlineStr">
        <is>
          <t>A 42511-2026</t>
        </is>
      </c>
      <c r="B10641" t="inlineStr">
        <is>
          <t>avverkningsanmälan</t>
        </is>
      </c>
      <c r="C10641" t="inlineStr">
        <is>
          <t>Föryngringsavverkning</t>
        </is>
      </c>
      <c r="D10641" s="1" t="n">
        <v>46308</v>
      </c>
      <c r="E10641" s="1" t="n">
        <v>46326</v>
      </c>
      <c r="F10641" t="inlineStr">
        <is>
          <t>GÄVLEBORGS LÄN</t>
        </is>
      </c>
      <c r="G10641" t="inlineStr">
        <is>
          <t>GÄVLE</t>
        </is>
      </c>
      <c r="H10641" t="inlineStr">
        <is>
          <t>Bergvik skog väst AB</t>
        </is>
      </c>
      <c r="I10641" t="n">
        <v>9.9</v>
      </c>
      <c r="J10641" t="n">
        <v>0</v>
      </c>
      <c r="K10641" t="n">
        <v>0</v>
      </c>
      <c r="L10641" t="n">
        <v>0</v>
      </c>
      <c r="M10641" t="n">
        <v>0</v>
      </c>
      <c r="N10641" t="n">
        <v>0</v>
      </c>
      <c r="O10641" t="n">
        <v>0</v>
      </c>
      <c r="P10641" t="n">
        <v>0</v>
      </c>
      <c r="Q10641" t="n">
        <v>0</v>
      </c>
      <c r="R10641" t="n">
        <v>0</v>
      </c>
      <c r="S10641" t="n">
        <v>0</v>
      </c>
      <c r="T10641" t="n">
        <v>0</v>
      </c>
      <c r="U10641" t="n">
        <v>0</v>
      </c>
      <c r="V10641" s="2" t="inlineStr"/>
    </row>
    <row r="10642" ht="15" customHeight="1">
      <c r="A10642" t="inlineStr">
        <is>
          <t>A 41125-2026</t>
        </is>
      </c>
      <c r="B10642" t="inlineStr">
        <is>
          <t>avverkningsanmälan</t>
        </is>
      </c>
      <c r="C10642" t="inlineStr">
        <is>
          <t>Föryngringsavverkning</t>
        </is>
      </c>
      <c r="D10642" s="1" t="n">
        <v>46300</v>
      </c>
      <c r="E10642" s="1" t="n">
        <v>46326</v>
      </c>
      <c r="F10642" t="inlineStr">
        <is>
          <t>GÄVLEBORGS LÄN</t>
        </is>
      </c>
      <c r="G10642" t="inlineStr">
        <is>
          <t>SANDVIKEN</t>
        </is>
      </c>
      <c r="I10642" t="n">
        <v>1.4</v>
      </c>
      <c r="J10642" t="n">
        <v>0</v>
      </c>
      <c r="K10642" t="n">
        <v>0</v>
      </c>
      <c r="L10642" t="n">
        <v>0</v>
      </c>
      <c r="M10642" t="n">
        <v>0</v>
      </c>
      <c r="N10642" t="n">
        <v>0</v>
      </c>
      <c r="O10642" t="n">
        <v>0</v>
      </c>
      <c r="P10642" t="n">
        <v>0</v>
      </c>
      <c r="Q10642" t="n">
        <v>0</v>
      </c>
      <c r="R10642" t="n">
        <v>0</v>
      </c>
      <c r="S10642" t="n">
        <v>0</v>
      </c>
      <c r="T10642" t="n">
        <v>0</v>
      </c>
      <c r="U10642" t="n">
        <v>0</v>
      </c>
      <c r="V10642" s="2" t="inlineStr"/>
    </row>
    <row r="10643" ht="15" customHeight="1">
      <c r="A10643" t="inlineStr">
        <is>
          <t>A 42799-2026</t>
        </is>
      </c>
      <c r="B10643" t="inlineStr">
        <is>
          <t>avverkningsanmälan</t>
        </is>
      </c>
      <c r="C10643" t="inlineStr">
        <is>
          <t>Föryngringsavverkning</t>
        </is>
      </c>
      <c r="D10643" s="1" t="n">
        <v>46309</v>
      </c>
      <c r="E10643" s="1" t="n">
        <v>46326</v>
      </c>
      <c r="F10643" t="inlineStr">
        <is>
          <t>GÄVLEBORGS LÄN</t>
        </is>
      </c>
      <c r="G10643" t="inlineStr">
        <is>
          <t>OVANÅKER</t>
        </is>
      </c>
      <c r="I10643" t="n">
        <v>3.6</v>
      </c>
      <c r="J10643" t="n">
        <v>0</v>
      </c>
      <c r="K10643" t="n">
        <v>0</v>
      </c>
      <c r="L10643" t="n">
        <v>0</v>
      </c>
      <c r="M10643" t="n">
        <v>0</v>
      </c>
      <c r="N10643" t="n">
        <v>0</v>
      </c>
      <c r="O10643" t="n">
        <v>0</v>
      </c>
      <c r="P10643" t="n">
        <v>0</v>
      </c>
      <c r="Q10643" t="n">
        <v>0</v>
      </c>
      <c r="R10643" t="n">
        <v>0</v>
      </c>
      <c r="S10643" t="n">
        <v>0</v>
      </c>
      <c r="T10643" t="n">
        <v>0</v>
      </c>
      <c r="U10643" t="n">
        <v>0</v>
      </c>
      <c r="V10643" s="2" t="inlineStr"/>
    </row>
    <row r="10644" ht="15" customHeight="1">
      <c r="A10644" t="inlineStr">
        <is>
          <t>A 42800-2026</t>
        </is>
      </c>
      <c r="B10644" t="inlineStr">
        <is>
          <t>avverkningsanmälan</t>
        </is>
      </c>
      <c r="C10644" t="inlineStr">
        <is>
          <t>Föryngringsavverkning</t>
        </is>
      </c>
      <c r="D10644" s="1" t="n">
        <v>46309</v>
      </c>
      <c r="E10644" s="1" t="n">
        <v>46326</v>
      </c>
      <c r="F10644" t="inlineStr">
        <is>
          <t>GÄVLEBORGS LÄN</t>
        </is>
      </c>
      <c r="G10644" t="inlineStr">
        <is>
          <t>NORDANSTIG</t>
        </is>
      </c>
      <c r="H10644" t="inlineStr">
        <is>
          <t>Holmen skog AB</t>
        </is>
      </c>
      <c r="I10644" t="n">
        <v>8.4</v>
      </c>
      <c r="J10644" t="n">
        <v>0</v>
      </c>
      <c r="K10644" t="n">
        <v>0</v>
      </c>
      <c r="L10644" t="n">
        <v>0</v>
      </c>
      <c r="M10644" t="n">
        <v>0</v>
      </c>
      <c r="N10644" t="n">
        <v>0</v>
      </c>
      <c r="O10644" t="n">
        <v>0</v>
      </c>
      <c r="P10644" t="n">
        <v>0</v>
      </c>
      <c r="Q10644" t="n">
        <v>0</v>
      </c>
      <c r="R10644" t="n">
        <v>0</v>
      </c>
      <c r="S10644" t="n">
        <v>0</v>
      </c>
      <c r="T10644" t="n">
        <v>0</v>
      </c>
      <c r="U10644" t="n">
        <v>0</v>
      </c>
      <c r="V10644" s="2" t="inlineStr"/>
    </row>
    <row r="10645" ht="15" customHeight="1">
      <c r="A10645" t="inlineStr">
        <is>
          <t>A 35782-2026</t>
        </is>
      </c>
      <c r="B10645" t="inlineStr">
        <is>
          <t>avverkningsanmälan</t>
        </is>
      </c>
      <c r="C10645" t="inlineStr">
        <is>
          <t>Föryngringsavverkning</t>
        </is>
      </c>
      <c r="D10645" s="1" t="n">
        <v>46265</v>
      </c>
      <c r="E10645" s="1" t="n">
        <v>46326</v>
      </c>
      <c r="F10645" t="inlineStr">
        <is>
          <t>GÄVLEBORGS LÄN</t>
        </is>
      </c>
      <c r="G10645" t="inlineStr">
        <is>
          <t>NORDANSTIG</t>
        </is>
      </c>
      <c r="H10645" t="inlineStr">
        <is>
          <t>Holmen skog AB</t>
        </is>
      </c>
      <c r="I10645" t="n">
        <v>0.5</v>
      </c>
      <c r="J10645" t="n">
        <v>0</v>
      </c>
      <c r="K10645" t="n">
        <v>0</v>
      </c>
      <c r="L10645" t="n">
        <v>0</v>
      </c>
      <c r="M10645" t="n">
        <v>0</v>
      </c>
      <c r="N10645" t="n">
        <v>0</v>
      </c>
      <c r="O10645" t="n">
        <v>0</v>
      </c>
      <c r="P10645" t="n">
        <v>0</v>
      </c>
      <c r="Q10645" t="n">
        <v>0</v>
      </c>
      <c r="R10645" t="n">
        <v>0</v>
      </c>
      <c r="S10645" t="n">
        <v>0</v>
      </c>
      <c r="T10645" t="n">
        <v>0</v>
      </c>
      <c r="U10645" t="n">
        <v>0</v>
      </c>
      <c r="V10645" s="2" t="inlineStr"/>
    </row>
    <row r="10646" ht="15" customHeight="1">
      <c r="A10646" t="inlineStr">
        <is>
          <t>A 42462-2026</t>
        </is>
      </c>
      <c r="B10646" t="inlineStr">
        <is>
          <t>avverkningsanmälan</t>
        </is>
      </c>
      <c r="C10646" t="inlineStr">
        <is>
          <t>Föryngringsavverkning</t>
        </is>
      </c>
      <c r="D10646" s="1" t="n">
        <v>46308</v>
      </c>
      <c r="E10646" s="1" t="n">
        <v>46326</v>
      </c>
      <c r="F10646" t="inlineStr">
        <is>
          <t>GÄVLEBORGS LÄN</t>
        </is>
      </c>
      <c r="G10646" t="inlineStr">
        <is>
          <t>LJUSDAL</t>
        </is>
      </c>
      <c r="I10646" t="n">
        <v>4</v>
      </c>
      <c r="J10646" t="n">
        <v>0</v>
      </c>
      <c r="K10646" t="n">
        <v>0</v>
      </c>
      <c r="L10646" t="n">
        <v>0</v>
      </c>
      <c r="M10646" t="n">
        <v>0</v>
      </c>
      <c r="N10646" t="n">
        <v>0</v>
      </c>
      <c r="O10646" t="n">
        <v>0</v>
      </c>
      <c r="P10646" t="n">
        <v>0</v>
      </c>
      <c r="Q10646" t="n">
        <v>0</v>
      </c>
      <c r="R10646" t="n">
        <v>0</v>
      </c>
      <c r="S10646" t="n">
        <v>0</v>
      </c>
      <c r="T10646" t="n">
        <v>0</v>
      </c>
      <c r="U10646" t="n">
        <v>0</v>
      </c>
      <c r="V10646" s="2" t="inlineStr"/>
    </row>
    <row r="10647" ht="15" customHeight="1">
      <c r="A10647" t="inlineStr">
        <is>
          <t>A 42465-2026</t>
        </is>
      </c>
      <c r="B10647" t="inlineStr">
        <is>
          <t>avverkningsanmälan</t>
        </is>
      </c>
      <c r="C10647" t="inlineStr">
        <is>
          <t>Föryngringsavverkning</t>
        </is>
      </c>
      <c r="D10647" s="1" t="n">
        <v>46308</v>
      </c>
      <c r="E10647" s="1" t="n">
        <v>46326</v>
      </c>
      <c r="F10647" t="inlineStr">
        <is>
          <t>GÄVLEBORGS LÄN</t>
        </is>
      </c>
      <c r="G10647" t="inlineStr">
        <is>
          <t>LJUSDAL</t>
        </is>
      </c>
      <c r="I10647" t="n">
        <v>1.6</v>
      </c>
      <c r="J10647" t="n">
        <v>0</v>
      </c>
      <c r="K10647" t="n">
        <v>0</v>
      </c>
      <c r="L10647" t="n">
        <v>0</v>
      </c>
      <c r="M10647" t="n">
        <v>0</v>
      </c>
      <c r="N10647" t="n">
        <v>0</v>
      </c>
      <c r="O10647" t="n">
        <v>0</v>
      </c>
      <c r="P10647" t="n">
        <v>0</v>
      </c>
      <c r="Q10647" t="n">
        <v>0</v>
      </c>
      <c r="R10647" t="n">
        <v>0</v>
      </c>
      <c r="S10647" t="n">
        <v>0</v>
      </c>
      <c r="T10647" t="n">
        <v>0</v>
      </c>
      <c r="U10647" t="n">
        <v>0</v>
      </c>
      <c r="V10647" s="2" t="inlineStr"/>
    </row>
    <row r="10648" ht="15" customHeight="1">
      <c r="A10648" t="inlineStr">
        <is>
          <t>A 42473-2026</t>
        </is>
      </c>
      <c r="B10648" t="inlineStr">
        <is>
          <t>avverkningsanmälan</t>
        </is>
      </c>
      <c r="C10648" t="inlineStr">
        <is>
          <t>Föryngringsavverkning</t>
        </is>
      </c>
      <c r="D10648" s="1" t="n">
        <v>46308</v>
      </c>
      <c r="E10648" s="1" t="n">
        <v>46326</v>
      </c>
      <c r="F10648" t="inlineStr">
        <is>
          <t>GÄVLEBORGS LÄN</t>
        </is>
      </c>
      <c r="G10648" t="inlineStr">
        <is>
          <t>LJUSDAL</t>
        </is>
      </c>
      <c r="I10648" t="n">
        <v>9.6</v>
      </c>
      <c r="J10648" t="n">
        <v>0</v>
      </c>
      <c r="K10648" t="n">
        <v>0</v>
      </c>
      <c r="L10648" t="n">
        <v>0</v>
      </c>
      <c r="M10648" t="n">
        <v>0</v>
      </c>
      <c r="N10648" t="n">
        <v>0</v>
      </c>
      <c r="O10648" t="n">
        <v>0</v>
      </c>
      <c r="P10648" t="n">
        <v>0</v>
      </c>
      <c r="Q10648" t="n">
        <v>0</v>
      </c>
      <c r="R10648" t="n">
        <v>0</v>
      </c>
      <c r="S10648" t="n">
        <v>0</v>
      </c>
      <c r="T10648" t="n">
        <v>0</v>
      </c>
      <c r="U10648" t="n">
        <v>0</v>
      </c>
      <c r="V10648" s="2" t="inlineStr"/>
    </row>
    <row r="10649" ht="15" customHeight="1">
      <c r="A10649" t="inlineStr">
        <is>
          <t>A 42477-2026</t>
        </is>
      </c>
      <c r="B10649" t="inlineStr">
        <is>
          <t>avverkningsanmälan</t>
        </is>
      </c>
      <c r="C10649" t="inlineStr">
        <is>
          <t>Föryngringsavverkning</t>
        </is>
      </c>
      <c r="D10649" s="1" t="n">
        <v>46308</v>
      </c>
      <c r="E10649" s="1" t="n">
        <v>46326</v>
      </c>
      <c r="F10649" t="inlineStr">
        <is>
          <t>GÄVLEBORGS LÄN</t>
        </is>
      </c>
      <c r="G10649" t="inlineStr">
        <is>
          <t>LJUSDAL</t>
        </is>
      </c>
      <c r="I10649" t="n">
        <v>1.9</v>
      </c>
      <c r="J10649" t="n">
        <v>0</v>
      </c>
      <c r="K10649" t="n">
        <v>0</v>
      </c>
      <c r="L10649" t="n">
        <v>0</v>
      </c>
      <c r="M10649" t="n">
        <v>0</v>
      </c>
      <c r="N10649" t="n">
        <v>0</v>
      </c>
      <c r="O10649" t="n">
        <v>0</v>
      </c>
      <c r="P10649" t="n">
        <v>0</v>
      </c>
      <c r="Q10649" t="n">
        <v>0</v>
      </c>
      <c r="R10649" t="n">
        <v>0</v>
      </c>
      <c r="S10649" t="n">
        <v>0</v>
      </c>
      <c r="T10649" t="n">
        <v>0</v>
      </c>
      <c r="U10649" t="n">
        <v>0</v>
      </c>
      <c r="V10649" s="2" t="inlineStr"/>
    </row>
    <row r="10650" ht="15" customHeight="1">
      <c r="A10650" t="inlineStr">
        <is>
          <t>A 42560-2026</t>
        </is>
      </c>
      <c r="B10650" t="inlineStr">
        <is>
          <t>avverkningsanmälan</t>
        </is>
      </c>
      <c r="C10650" t="inlineStr">
        <is>
          <t>Föryngringsavverkning</t>
        </is>
      </c>
      <c r="D10650" s="1" t="n">
        <v>46308</v>
      </c>
      <c r="E10650" s="1" t="n">
        <v>46326</v>
      </c>
      <c r="F10650" t="inlineStr">
        <is>
          <t>GÄVLEBORGS LÄN</t>
        </is>
      </c>
      <c r="G10650" t="inlineStr">
        <is>
          <t>GÄVLE</t>
        </is>
      </c>
      <c r="H10650" t="inlineStr">
        <is>
          <t>Bergvik skog väst AB</t>
        </is>
      </c>
      <c r="I10650" t="n">
        <v>13.2</v>
      </c>
      <c r="J10650" t="n">
        <v>0</v>
      </c>
      <c r="K10650" t="n">
        <v>0</v>
      </c>
      <c r="L10650" t="n">
        <v>0</v>
      </c>
      <c r="M10650" t="n">
        <v>0</v>
      </c>
      <c r="N10650" t="n">
        <v>0</v>
      </c>
      <c r="O10650" t="n">
        <v>0</v>
      </c>
      <c r="P10650" t="n">
        <v>0</v>
      </c>
      <c r="Q10650" t="n">
        <v>0</v>
      </c>
      <c r="R10650" t="n">
        <v>0</v>
      </c>
      <c r="S10650" t="n">
        <v>0</v>
      </c>
      <c r="T10650" t="n">
        <v>0</v>
      </c>
      <c r="U10650" t="n">
        <v>0</v>
      </c>
      <c r="V10650" s="2" t="inlineStr"/>
    </row>
    <row r="10651" ht="15" customHeight="1">
      <c r="A10651" t="inlineStr">
        <is>
          <t>A 42762-2026</t>
        </is>
      </c>
      <c r="B10651" t="inlineStr">
        <is>
          <t>avverkningsanmälan</t>
        </is>
      </c>
      <c r="C10651" t="inlineStr">
        <is>
          <t>Föryngringsavverkning</t>
        </is>
      </c>
      <c r="D10651" s="1" t="n">
        <v>46309</v>
      </c>
      <c r="E10651" s="1" t="n">
        <v>46326</v>
      </c>
      <c r="F10651" t="inlineStr">
        <is>
          <t>GÄVLEBORGS LÄN</t>
        </is>
      </c>
      <c r="G10651" t="inlineStr">
        <is>
          <t>SÖDERHAMN</t>
        </is>
      </c>
      <c r="H10651" t="inlineStr">
        <is>
          <t>Bergvik skog väst AB</t>
        </is>
      </c>
      <c r="I10651" t="n">
        <v>1</v>
      </c>
      <c r="J10651" t="n">
        <v>0</v>
      </c>
      <c r="K10651" t="n">
        <v>0</v>
      </c>
      <c r="L10651" t="n">
        <v>0</v>
      </c>
      <c r="M10651" t="n">
        <v>0</v>
      </c>
      <c r="N10651" t="n">
        <v>0</v>
      </c>
      <c r="O10651" t="n">
        <v>0</v>
      </c>
      <c r="P10651" t="n">
        <v>0</v>
      </c>
      <c r="Q10651" t="n">
        <v>0</v>
      </c>
      <c r="R10651" t="n">
        <v>0</v>
      </c>
      <c r="S10651" t="n">
        <v>0</v>
      </c>
      <c r="T10651" t="n">
        <v>0</v>
      </c>
      <c r="U10651" t="n">
        <v>0</v>
      </c>
      <c r="V10651" s="2" t="inlineStr"/>
    </row>
    <row r="10652" ht="15" customHeight="1">
      <c r="A10652" t="inlineStr">
        <is>
          <t>A 35961-2026</t>
        </is>
      </c>
      <c r="B10652" t="inlineStr">
        <is>
          <t>avverkningsanmälan</t>
        </is>
      </c>
      <c r="C10652" t="inlineStr">
        <is>
          <t>Föryngringsavverkning</t>
        </is>
      </c>
      <c r="D10652" s="1" t="n">
        <v>46266</v>
      </c>
      <c r="E10652" s="1" t="n">
        <v>46326</v>
      </c>
      <c r="F10652" t="inlineStr">
        <is>
          <t>GÄVLEBORGS LÄN</t>
        </is>
      </c>
      <c r="G10652" t="inlineStr">
        <is>
          <t>LJUSDAL</t>
        </is>
      </c>
      <c r="I10652" t="n">
        <v>2.3</v>
      </c>
      <c r="J10652" t="n">
        <v>0</v>
      </c>
      <c r="K10652" t="n">
        <v>0</v>
      </c>
      <c r="L10652" t="n">
        <v>0</v>
      </c>
      <c r="M10652" t="n">
        <v>0</v>
      </c>
      <c r="N10652" t="n">
        <v>0</v>
      </c>
      <c r="O10652" t="n">
        <v>0</v>
      </c>
      <c r="P10652" t="n">
        <v>0</v>
      </c>
      <c r="Q10652" t="n">
        <v>0</v>
      </c>
      <c r="R10652" t="n">
        <v>0</v>
      </c>
      <c r="S10652" t="n">
        <v>0</v>
      </c>
      <c r="T10652" t="n">
        <v>0</v>
      </c>
      <c r="U10652" t="n">
        <v>0</v>
      </c>
      <c r="V10652" s="2" t="inlineStr"/>
    </row>
    <row r="10653" ht="15" customHeight="1">
      <c r="A10653" t="inlineStr">
        <is>
          <t>A 42661-2026</t>
        </is>
      </c>
      <c r="B10653" t="inlineStr">
        <is>
          <t>avverkningsanmälan</t>
        </is>
      </c>
      <c r="C10653" t="inlineStr">
        <is>
          <t>Föryngringsavverkning</t>
        </is>
      </c>
      <c r="D10653" s="1" t="n">
        <v>46309</v>
      </c>
      <c r="E10653" s="1" t="n">
        <v>46326</v>
      </c>
      <c r="F10653" t="inlineStr">
        <is>
          <t>GÄVLEBORGS LÄN</t>
        </is>
      </c>
      <c r="G10653" t="inlineStr">
        <is>
          <t>GÄVLE</t>
        </is>
      </c>
      <c r="I10653" t="n">
        <v>5.4</v>
      </c>
      <c r="J10653" t="n">
        <v>0</v>
      </c>
      <c r="K10653" t="n">
        <v>0</v>
      </c>
      <c r="L10653" t="n">
        <v>0</v>
      </c>
      <c r="M10653" t="n">
        <v>0</v>
      </c>
      <c r="N10653" t="n">
        <v>0</v>
      </c>
      <c r="O10653" t="n">
        <v>0</v>
      </c>
      <c r="P10653" t="n">
        <v>0</v>
      </c>
      <c r="Q10653" t="n">
        <v>0</v>
      </c>
      <c r="R10653" t="n">
        <v>0</v>
      </c>
      <c r="S10653" t="n">
        <v>0</v>
      </c>
      <c r="T10653" t="n">
        <v>0</v>
      </c>
      <c r="U10653" t="n">
        <v>0</v>
      </c>
      <c r="V10653" s="2" t="inlineStr"/>
    </row>
    <row r="10654" ht="15" customHeight="1">
      <c r="A10654" t="inlineStr">
        <is>
          <t>A 42676-2026</t>
        </is>
      </c>
      <c r="B10654" t="inlineStr">
        <is>
          <t>avverkningsanmälan</t>
        </is>
      </c>
      <c r="C10654" t="inlineStr">
        <is>
          <t>Föryngringsavverkning</t>
        </is>
      </c>
      <c r="D10654" s="1" t="n">
        <v>46309</v>
      </c>
      <c r="E10654" s="1" t="n">
        <v>46326</v>
      </c>
      <c r="F10654" t="inlineStr">
        <is>
          <t>GÄVLEBORGS LÄN</t>
        </is>
      </c>
      <c r="G10654" t="inlineStr">
        <is>
          <t>LJUSDAL</t>
        </is>
      </c>
      <c r="H10654" t="inlineStr">
        <is>
          <t>Sveaskog</t>
        </is>
      </c>
      <c r="I10654" t="n">
        <v>1.8</v>
      </c>
      <c r="J10654" t="n">
        <v>0</v>
      </c>
      <c r="K10654" t="n">
        <v>0</v>
      </c>
      <c r="L10654" t="n">
        <v>0</v>
      </c>
      <c r="M10654" t="n">
        <v>0</v>
      </c>
      <c r="N10654" t="n">
        <v>0</v>
      </c>
      <c r="O10654" t="n">
        <v>0</v>
      </c>
      <c r="P10654" t="n">
        <v>0</v>
      </c>
      <c r="Q10654" t="n">
        <v>0</v>
      </c>
      <c r="R10654" t="n">
        <v>0</v>
      </c>
      <c r="S10654" t="n">
        <v>0</v>
      </c>
      <c r="T10654" t="n">
        <v>0</v>
      </c>
      <c r="U10654" t="n">
        <v>0</v>
      </c>
      <c r="V10654" s="2" t="inlineStr"/>
    </row>
    <row r="10655" ht="15" customHeight="1">
      <c r="A10655" t="inlineStr">
        <is>
          <t>A 35767-2026</t>
        </is>
      </c>
      <c r="B10655" t="inlineStr">
        <is>
          <t>avverkningsanmälan</t>
        </is>
      </c>
      <c r="C10655" t="inlineStr">
        <is>
          <t>Föryngringsavverkning</t>
        </is>
      </c>
      <c r="D10655" s="1" t="n">
        <v>46265</v>
      </c>
      <c r="E10655" s="1" t="n">
        <v>46326</v>
      </c>
      <c r="F10655" t="inlineStr">
        <is>
          <t>GÄVLEBORGS LÄN</t>
        </is>
      </c>
      <c r="G10655" t="inlineStr">
        <is>
          <t>HUDIKSVALL</t>
        </is>
      </c>
      <c r="I10655" t="n">
        <v>1.4</v>
      </c>
      <c r="J10655" t="n">
        <v>0</v>
      </c>
      <c r="K10655" t="n">
        <v>0</v>
      </c>
      <c r="L10655" t="n">
        <v>0</v>
      </c>
      <c r="M10655" t="n">
        <v>0</v>
      </c>
      <c r="N10655" t="n">
        <v>0</v>
      </c>
      <c r="O10655" t="n">
        <v>0</v>
      </c>
      <c r="P10655" t="n">
        <v>0</v>
      </c>
      <c r="Q10655" t="n">
        <v>0</v>
      </c>
      <c r="R10655" t="n">
        <v>0</v>
      </c>
      <c r="S10655" t="n">
        <v>0</v>
      </c>
      <c r="T10655" t="n">
        <v>0</v>
      </c>
      <c r="U10655" t="n">
        <v>0</v>
      </c>
      <c r="V10655" s="2" t="inlineStr"/>
    </row>
    <row r="10656" ht="15" customHeight="1">
      <c r="A10656" t="inlineStr">
        <is>
          <t>A 35780-2026</t>
        </is>
      </c>
      <c r="B10656" t="inlineStr">
        <is>
          <t>avverkningsanmälan</t>
        </is>
      </c>
      <c r="C10656" t="inlineStr">
        <is>
          <t>Föryngringsavverkning</t>
        </is>
      </c>
      <c r="D10656" s="1" t="n">
        <v>46265</v>
      </c>
      <c r="E10656" s="1" t="n">
        <v>46326</v>
      </c>
      <c r="F10656" t="inlineStr">
        <is>
          <t>GÄVLEBORGS LÄN</t>
        </is>
      </c>
      <c r="G10656" t="inlineStr">
        <is>
          <t>GÄVLE</t>
        </is>
      </c>
      <c r="I10656" t="n">
        <v>1.1</v>
      </c>
      <c r="J10656" t="n">
        <v>0</v>
      </c>
      <c r="K10656" t="n">
        <v>0</v>
      </c>
      <c r="L10656" t="n">
        <v>0</v>
      </c>
      <c r="M10656" t="n">
        <v>0</v>
      </c>
      <c r="N10656" t="n">
        <v>0</v>
      </c>
      <c r="O10656" t="n">
        <v>0</v>
      </c>
      <c r="P10656" t="n">
        <v>0</v>
      </c>
      <c r="Q10656" t="n">
        <v>0</v>
      </c>
      <c r="R10656" t="n">
        <v>0</v>
      </c>
      <c r="S10656" t="n">
        <v>0</v>
      </c>
      <c r="T10656" t="n">
        <v>0</v>
      </c>
      <c r="U10656" t="n">
        <v>0</v>
      </c>
      <c r="V10656" s="2" t="inlineStr"/>
    </row>
    <row r="10657" ht="15" customHeight="1">
      <c r="A10657" t="inlineStr">
        <is>
          <t>A 35818-2026</t>
        </is>
      </c>
      <c r="B10657" t="inlineStr">
        <is>
          <t>avverkningsanmälan</t>
        </is>
      </c>
      <c r="C10657" t="inlineStr">
        <is>
          <t>Föryngringsavverkning</t>
        </is>
      </c>
      <c r="D10657" s="1" t="n">
        <v>46265</v>
      </c>
      <c r="E10657" s="1" t="n">
        <v>46326</v>
      </c>
      <c r="F10657" t="inlineStr">
        <is>
          <t>GÄVLEBORGS LÄN</t>
        </is>
      </c>
      <c r="G10657" t="inlineStr">
        <is>
          <t>GÄVLE</t>
        </is>
      </c>
      <c r="H10657" t="inlineStr">
        <is>
          <t>Bergvik skog väst AB</t>
        </is>
      </c>
      <c r="I10657" t="n">
        <v>1.3</v>
      </c>
      <c r="J10657" t="n">
        <v>0</v>
      </c>
      <c r="K10657" t="n">
        <v>0</v>
      </c>
      <c r="L10657" t="n">
        <v>0</v>
      </c>
      <c r="M10657" t="n">
        <v>0</v>
      </c>
      <c r="N10657" t="n">
        <v>0</v>
      </c>
      <c r="O10657" t="n">
        <v>0</v>
      </c>
      <c r="P10657" t="n">
        <v>0</v>
      </c>
      <c r="Q10657" t="n">
        <v>0</v>
      </c>
      <c r="R10657" t="n">
        <v>0</v>
      </c>
      <c r="S10657" t="n">
        <v>0</v>
      </c>
      <c r="T10657" t="n">
        <v>0</v>
      </c>
      <c r="U10657" t="n">
        <v>0</v>
      </c>
      <c r="V10657" s="2" t="inlineStr"/>
    </row>
    <row r="10658" ht="15" customHeight="1">
      <c r="A10658" t="inlineStr">
        <is>
          <t>A 42664-2026</t>
        </is>
      </c>
      <c r="B10658" t="inlineStr">
        <is>
          <t>avverkningsanmälan</t>
        </is>
      </c>
      <c r="C10658" t="inlineStr">
        <is>
          <t>Föryngringsavverkning</t>
        </is>
      </c>
      <c r="D10658" s="1" t="n">
        <v>46309</v>
      </c>
      <c r="E10658" s="1" t="n">
        <v>46326</v>
      </c>
      <c r="F10658" t="inlineStr">
        <is>
          <t>GÄVLEBORGS LÄN</t>
        </is>
      </c>
      <c r="G10658" t="inlineStr">
        <is>
          <t>OVANÅKER</t>
        </is>
      </c>
      <c r="H10658" t="inlineStr">
        <is>
          <t>Bergvik skog väst AB</t>
        </is>
      </c>
      <c r="I10658" t="n">
        <v>1.6</v>
      </c>
      <c r="J10658" t="n">
        <v>0</v>
      </c>
      <c r="K10658" t="n">
        <v>0</v>
      </c>
      <c r="L10658" t="n">
        <v>0</v>
      </c>
      <c r="M10658" t="n">
        <v>0</v>
      </c>
      <c r="N10658" t="n">
        <v>0</v>
      </c>
      <c r="O10658" t="n">
        <v>0</v>
      </c>
      <c r="P10658" t="n">
        <v>0</v>
      </c>
      <c r="Q10658" t="n">
        <v>0</v>
      </c>
      <c r="R10658" t="n">
        <v>0</v>
      </c>
      <c r="S10658" t="n">
        <v>0</v>
      </c>
      <c r="T10658" t="n">
        <v>0</v>
      </c>
      <c r="U10658" t="n">
        <v>0</v>
      </c>
      <c r="V10658" s="2" t="inlineStr"/>
    </row>
    <row r="10659" ht="15" customHeight="1">
      <c r="A10659" t="inlineStr">
        <is>
          <t>A 42755-2026</t>
        </is>
      </c>
      <c r="B10659" t="inlineStr">
        <is>
          <t>avverkningsanmälan</t>
        </is>
      </c>
      <c r="C10659" t="inlineStr">
        <is>
          <t>Föryngringsavverkning</t>
        </is>
      </c>
      <c r="D10659" s="1" t="n">
        <v>46309</v>
      </c>
      <c r="E10659" s="1" t="n">
        <v>46326</v>
      </c>
      <c r="F10659" t="inlineStr">
        <is>
          <t>GÄVLEBORGS LÄN</t>
        </is>
      </c>
      <c r="G10659" t="inlineStr">
        <is>
          <t>OVANÅKER</t>
        </is>
      </c>
      <c r="I10659" t="n">
        <v>4.5</v>
      </c>
      <c r="J10659" t="n">
        <v>0</v>
      </c>
      <c r="K10659" t="n">
        <v>0</v>
      </c>
      <c r="L10659" t="n">
        <v>0</v>
      </c>
      <c r="M10659" t="n">
        <v>0</v>
      </c>
      <c r="N10659" t="n">
        <v>0</v>
      </c>
      <c r="O10659" t="n">
        <v>0</v>
      </c>
      <c r="P10659" t="n">
        <v>0</v>
      </c>
      <c r="Q10659" t="n">
        <v>0</v>
      </c>
      <c r="R10659" t="n">
        <v>0</v>
      </c>
      <c r="S10659" t="n">
        <v>0</v>
      </c>
      <c r="T10659" t="n">
        <v>0</v>
      </c>
      <c r="U10659" t="n">
        <v>0</v>
      </c>
      <c r="V10659" s="2" t="inlineStr"/>
    </row>
    <row r="10660" ht="15" customHeight="1">
      <c r="A10660" t="inlineStr">
        <is>
          <t>A 42662-2026</t>
        </is>
      </c>
      <c r="B10660" t="inlineStr">
        <is>
          <t>avverkningsanmälan</t>
        </is>
      </c>
      <c r="C10660" t="inlineStr">
        <is>
          <t>Föryngringsavverkning</t>
        </is>
      </c>
      <c r="D10660" s="1" t="n">
        <v>46309</v>
      </c>
      <c r="E10660" s="1" t="n">
        <v>46326</v>
      </c>
      <c r="F10660" t="inlineStr">
        <is>
          <t>GÄVLEBORGS LÄN</t>
        </is>
      </c>
      <c r="G10660" t="inlineStr">
        <is>
          <t>OVANÅKER</t>
        </is>
      </c>
      <c r="H10660" t="inlineStr">
        <is>
          <t>Bergvik skog väst AB</t>
        </is>
      </c>
      <c r="I10660" t="n">
        <v>0.8</v>
      </c>
      <c r="J10660" t="n">
        <v>0</v>
      </c>
      <c r="K10660" t="n">
        <v>0</v>
      </c>
      <c r="L10660" t="n">
        <v>0</v>
      </c>
      <c r="M10660" t="n">
        <v>0</v>
      </c>
      <c r="N10660" t="n">
        <v>0</v>
      </c>
      <c r="O10660" t="n">
        <v>0</v>
      </c>
      <c r="P10660" t="n">
        <v>0</v>
      </c>
      <c r="Q10660" t="n">
        <v>0</v>
      </c>
      <c r="R10660" t="n">
        <v>0</v>
      </c>
      <c r="S10660" t="n">
        <v>0</v>
      </c>
      <c r="T10660" t="n">
        <v>0</v>
      </c>
      <c r="U10660" t="n">
        <v>0</v>
      </c>
      <c r="V10660" s="2" t="inlineStr"/>
    </row>
    <row r="10661" ht="15" customHeight="1">
      <c r="A10661" t="inlineStr">
        <is>
          <t>A 35863-2026</t>
        </is>
      </c>
      <c r="B10661" t="inlineStr">
        <is>
          <t>avverkningsanmälan</t>
        </is>
      </c>
      <c r="C10661" t="inlineStr">
        <is>
          <t>Föryngringsavverkning</t>
        </is>
      </c>
      <c r="D10661" s="1" t="n">
        <v>46266</v>
      </c>
      <c r="E10661" s="1" t="n">
        <v>46326</v>
      </c>
      <c r="F10661" t="inlineStr">
        <is>
          <t>GÄVLEBORGS LÄN</t>
        </is>
      </c>
      <c r="G10661" t="inlineStr">
        <is>
          <t>SANDVIKEN</t>
        </is>
      </c>
      <c r="H10661" t="inlineStr">
        <is>
          <t>Sveaskog</t>
        </is>
      </c>
      <c r="I10661" t="n">
        <v>2.2</v>
      </c>
      <c r="J10661" t="n">
        <v>0</v>
      </c>
      <c r="K10661" t="n">
        <v>0</v>
      </c>
      <c r="L10661" t="n">
        <v>0</v>
      </c>
      <c r="M10661" t="n">
        <v>0</v>
      </c>
      <c r="N10661" t="n">
        <v>0</v>
      </c>
      <c r="O10661" t="n">
        <v>0</v>
      </c>
      <c r="P10661" t="n">
        <v>0</v>
      </c>
      <c r="Q10661" t="n">
        <v>0</v>
      </c>
      <c r="R10661" t="n">
        <v>0</v>
      </c>
      <c r="S10661" t="n">
        <v>0</v>
      </c>
      <c r="T10661" t="n">
        <v>0</v>
      </c>
      <c r="U10661" t="n">
        <v>0</v>
      </c>
      <c r="V10661" s="2" t="inlineStr"/>
    </row>
    <row r="10662" ht="15" customHeight="1">
      <c r="A10662" t="inlineStr">
        <is>
          <t>A 35916-2026</t>
        </is>
      </c>
      <c r="B10662" t="inlineStr">
        <is>
          <t>avverkningsanmälan</t>
        </is>
      </c>
      <c r="C10662" t="inlineStr">
        <is>
          <t>Föryngringsavverkning</t>
        </is>
      </c>
      <c r="D10662" s="1" t="n">
        <v>46266</v>
      </c>
      <c r="E10662" s="1" t="n">
        <v>46326</v>
      </c>
      <c r="F10662" t="inlineStr">
        <is>
          <t>GÄVLEBORGS LÄN</t>
        </is>
      </c>
      <c r="G10662" t="inlineStr">
        <is>
          <t>BOLLNÄS</t>
        </is>
      </c>
      <c r="I10662" t="n">
        <v>2.9</v>
      </c>
      <c r="J10662" t="n">
        <v>0</v>
      </c>
      <c r="K10662" t="n">
        <v>0</v>
      </c>
      <c r="L10662" t="n">
        <v>0</v>
      </c>
      <c r="M10662" t="n">
        <v>0</v>
      </c>
      <c r="N10662" t="n">
        <v>0</v>
      </c>
      <c r="O10662" t="n">
        <v>0</v>
      </c>
      <c r="P10662" t="n">
        <v>0</v>
      </c>
      <c r="Q10662" t="n">
        <v>0</v>
      </c>
      <c r="R10662" t="n">
        <v>0</v>
      </c>
      <c r="S10662" t="n">
        <v>0</v>
      </c>
      <c r="T10662" t="n">
        <v>0</v>
      </c>
      <c r="U10662" t="n">
        <v>0</v>
      </c>
      <c r="V10662" s="2" t="inlineStr"/>
    </row>
    <row r="10663" ht="15" customHeight="1">
      <c r="A10663" t="inlineStr">
        <is>
          <t>A 35623-2026</t>
        </is>
      </c>
      <c r="B10663" t="inlineStr">
        <is>
          <t>avverkningsanmälan</t>
        </is>
      </c>
      <c r="C10663" t="inlineStr">
        <is>
          <t>Föryngringsavverkning</t>
        </is>
      </c>
      <c r="D10663" s="1" t="n">
        <v>46265</v>
      </c>
      <c r="E10663" s="1" t="n">
        <v>46326</v>
      </c>
      <c r="F10663" t="inlineStr">
        <is>
          <t>GÄVLEBORGS LÄN</t>
        </is>
      </c>
      <c r="G10663" t="inlineStr">
        <is>
          <t>OVANÅKER</t>
        </is>
      </c>
      <c r="I10663" t="n">
        <v>0.7</v>
      </c>
      <c r="J10663" t="n">
        <v>0</v>
      </c>
      <c r="K10663" t="n">
        <v>0</v>
      </c>
      <c r="L10663" t="n">
        <v>0</v>
      </c>
      <c r="M10663" t="n">
        <v>0</v>
      </c>
      <c r="N10663" t="n">
        <v>0</v>
      </c>
      <c r="O10663" t="n">
        <v>0</v>
      </c>
      <c r="P10663" t="n">
        <v>0</v>
      </c>
      <c r="Q10663" t="n">
        <v>0</v>
      </c>
      <c r="R10663" t="n">
        <v>0</v>
      </c>
      <c r="S10663" t="n">
        <v>0</v>
      </c>
      <c r="T10663" t="n">
        <v>0</v>
      </c>
      <c r="U10663" t="n">
        <v>0</v>
      </c>
      <c r="V10663" s="2" t="inlineStr"/>
    </row>
    <row r="10664" ht="15" customHeight="1">
      <c r="A10664" t="inlineStr">
        <is>
          <t>A 42532-2026</t>
        </is>
      </c>
      <c r="B10664" t="inlineStr">
        <is>
          <t>avverkningsanmälan</t>
        </is>
      </c>
      <c r="C10664" t="inlineStr">
        <is>
          <t>Föryngringsavverkning</t>
        </is>
      </c>
      <c r="D10664" s="1" t="n">
        <v>46308</v>
      </c>
      <c r="E10664" s="1" t="n">
        <v>46326</v>
      </c>
      <c r="F10664" t="inlineStr">
        <is>
          <t>GÄVLEBORGS LÄN</t>
        </is>
      </c>
      <c r="G10664" t="inlineStr">
        <is>
          <t>LJUSDAL</t>
        </is>
      </c>
      <c r="H10664" t="inlineStr">
        <is>
          <t>Holmen skog AB</t>
        </is>
      </c>
      <c r="I10664" t="n">
        <v>5.6</v>
      </c>
      <c r="J10664" t="n">
        <v>0</v>
      </c>
      <c r="K10664" t="n">
        <v>0</v>
      </c>
      <c r="L10664" t="n">
        <v>0</v>
      </c>
      <c r="M10664" t="n">
        <v>0</v>
      </c>
      <c r="N10664" t="n">
        <v>0</v>
      </c>
      <c r="O10664" t="n">
        <v>0</v>
      </c>
      <c r="P10664" t="n">
        <v>0</v>
      </c>
      <c r="Q10664" t="n">
        <v>0</v>
      </c>
      <c r="R10664" t="n">
        <v>0</v>
      </c>
      <c r="S10664" t="n">
        <v>0</v>
      </c>
      <c r="T10664" t="n">
        <v>0</v>
      </c>
      <c r="U10664" t="n">
        <v>0</v>
      </c>
      <c r="V10664" s="2" t="inlineStr"/>
    </row>
    <row r="10665" ht="15" customHeight="1">
      <c r="A10665" t="inlineStr">
        <is>
          <t>A 42229-2026</t>
        </is>
      </c>
      <c r="B10665" t="inlineStr">
        <is>
          <t>avverkningsanmälan</t>
        </is>
      </c>
      <c r="C10665" t="inlineStr">
        <is>
          <t>Föryngringsavverkning</t>
        </is>
      </c>
      <c r="D10665" s="1" t="n">
        <v>46307</v>
      </c>
      <c r="E10665" s="1" t="n">
        <v>46326</v>
      </c>
      <c r="F10665" t="inlineStr">
        <is>
          <t>GÄVLEBORGS LÄN</t>
        </is>
      </c>
      <c r="G10665" t="inlineStr">
        <is>
          <t>LJUSDAL</t>
        </is>
      </c>
      <c r="I10665" t="n">
        <v>3.2</v>
      </c>
      <c r="J10665" t="n">
        <v>0</v>
      </c>
      <c r="K10665" t="n">
        <v>0</v>
      </c>
      <c r="L10665" t="n">
        <v>0</v>
      </c>
      <c r="M10665" t="n">
        <v>0</v>
      </c>
      <c r="N10665" t="n">
        <v>0</v>
      </c>
      <c r="O10665" t="n">
        <v>0</v>
      </c>
      <c r="P10665" t="n">
        <v>0</v>
      </c>
      <c r="Q10665" t="n">
        <v>0</v>
      </c>
      <c r="R10665" t="n">
        <v>0</v>
      </c>
      <c r="S10665" t="n">
        <v>0</v>
      </c>
      <c r="T10665" t="n">
        <v>0</v>
      </c>
      <c r="U10665" t="n">
        <v>0</v>
      </c>
      <c r="V10665" s="2" t="inlineStr"/>
    </row>
    <row r="10666" ht="15" customHeight="1">
      <c r="A10666" t="inlineStr">
        <is>
          <t>A 42459-2026</t>
        </is>
      </c>
      <c r="B10666" t="inlineStr">
        <is>
          <t>avverkningsanmälan</t>
        </is>
      </c>
      <c r="C10666" t="inlineStr">
        <is>
          <t>Föryngringsavverkning</t>
        </is>
      </c>
      <c r="D10666" s="1" t="n">
        <v>46308</v>
      </c>
      <c r="E10666" s="1" t="n">
        <v>46326</v>
      </c>
      <c r="F10666" t="inlineStr">
        <is>
          <t>GÄVLEBORGS LÄN</t>
        </is>
      </c>
      <c r="G10666" t="inlineStr">
        <is>
          <t>BOLLNÄS</t>
        </is>
      </c>
      <c r="H10666" t="inlineStr">
        <is>
          <t>Bergvik skog öst AB</t>
        </is>
      </c>
      <c r="I10666" t="n">
        <v>5.1</v>
      </c>
      <c r="J10666" t="n">
        <v>0</v>
      </c>
      <c r="K10666" t="n">
        <v>0</v>
      </c>
      <c r="L10666" t="n">
        <v>0</v>
      </c>
      <c r="M10666" t="n">
        <v>0</v>
      </c>
      <c r="N10666" t="n">
        <v>0</v>
      </c>
      <c r="O10666" t="n">
        <v>0</v>
      </c>
      <c r="P10666" t="n">
        <v>0</v>
      </c>
      <c r="Q10666" t="n">
        <v>0</v>
      </c>
      <c r="R10666" t="n">
        <v>0</v>
      </c>
      <c r="S10666" t="n">
        <v>0</v>
      </c>
      <c r="T10666" t="n">
        <v>0</v>
      </c>
      <c r="U10666" t="n">
        <v>0</v>
      </c>
      <c r="V10666" s="2" t="inlineStr"/>
    </row>
    <row r="10667" ht="15" customHeight="1">
      <c r="A10667" t="inlineStr">
        <is>
          <t>A 42475-2026</t>
        </is>
      </c>
      <c r="B10667" t="inlineStr">
        <is>
          <t>avverkningsanmälan</t>
        </is>
      </c>
      <c r="C10667" t="inlineStr">
        <is>
          <t>Föryngringsavverkning</t>
        </is>
      </c>
      <c r="D10667" s="1" t="n">
        <v>46308</v>
      </c>
      <c r="E10667" s="1" t="n">
        <v>46326</v>
      </c>
      <c r="F10667" t="inlineStr">
        <is>
          <t>GÄVLEBORGS LÄN</t>
        </is>
      </c>
      <c r="G10667" t="inlineStr">
        <is>
          <t>LJUSDAL</t>
        </is>
      </c>
      <c r="I10667" t="n">
        <v>0.8</v>
      </c>
      <c r="J10667" t="n">
        <v>0</v>
      </c>
      <c r="K10667" t="n">
        <v>0</v>
      </c>
      <c r="L10667" t="n">
        <v>0</v>
      </c>
      <c r="M10667" t="n">
        <v>0</v>
      </c>
      <c r="N10667" t="n">
        <v>0</v>
      </c>
      <c r="O10667" t="n">
        <v>0</v>
      </c>
      <c r="P10667" t="n">
        <v>0</v>
      </c>
      <c r="Q10667" t="n">
        <v>0</v>
      </c>
      <c r="R10667" t="n">
        <v>0</v>
      </c>
      <c r="S10667" t="n">
        <v>0</v>
      </c>
      <c r="T10667" t="n">
        <v>0</v>
      </c>
      <c r="U10667" t="n">
        <v>0</v>
      </c>
      <c r="V10667" s="2" t="inlineStr"/>
    </row>
    <row r="10668" ht="15" customHeight="1">
      <c r="A10668" t="inlineStr">
        <is>
          <t>A 35769-2026</t>
        </is>
      </c>
      <c r="B10668" t="inlineStr">
        <is>
          <t>avverkningsanmälan</t>
        </is>
      </c>
      <c r="C10668" t="inlineStr">
        <is>
          <t>Föryngringsavverkning</t>
        </is>
      </c>
      <c r="D10668" s="1" t="n">
        <v>46265</v>
      </c>
      <c r="E10668" s="1" t="n">
        <v>46326</v>
      </c>
      <c r="F10668" t="inlineStr">
        <is>
          <t>GÄVLEBORGS LÄN</t>
        </is>
      </c>
      <c r="G10668" t="inlineStr">
        <is>
          <t>HUDIKSVALL</t>
        </is>
      </c>
      <c r="I10668" t="n">
        <v>0.9</v>
      </c>
      <c r="J10668" t="n">
        <v>0</v>
      </c>
      <c r="K10668" t="n">
        <v>0</v>
      </c>
      <c r="L10668" t="n">
        <v>0</v>
      </c>
      <c r="M10668" t="n">
        <v>0</v>
      </c>
      <c r="N10668" t="n">
        <v>0</v>
      </c>
      <c r="O10668" t="n">
        <v>0</v>
      </c>
      <c r="P10668" t="n">
        <v>0</v>
      </c>
      <c r="Q10668" t="n">
        <v>0</v>
      </c>
      <c r="R10668" t="n">
        <v>0</v>
      </c>
      <c r="S10668" t="n">
        <v>0</v>
      </c>
      <c r="T10668" t="n">
        <v>0</v>
      </c>
      <c r="U10668" t="n">
        <v>0</v>
      </c>
      <c r="V10668" s="2" t="inlineStr"/>
    </row>
    <row r="10669" ht="15" customHeight="1">
      <c r="A10669" t="inlineStr">
        <is>
          <t>A 42791-2026</t>
        </is>
      </c>
      <c r="B10669" t="inlineStr">
        <is>
          <t>avverkningsanmälan</t>
        </is>
      </c>
      <c r="C10669" t="inlineStr">
        <is>
          <t>Föryngringsavverkning</t>
        </is>
      </c>
      <c r="D10669" s="1" t="n">
        <v>46309</v>
      </c>
      <c r="E10669" s="1" t="n">
        <v>46326</v>
      </c>
      <c r="F10669" t="inlineStr">
        <is>
          <t>GÄVLEBORGS LÄN</t>
        </is>
      </c>
      <c r="G10669" t="inlineStr">
        <is>
          <t>OVANÅKER</t>
        </is>
      </c>
      <c r="I10669" t="n">
        <v>5.3</v>
      </c>
      <c r="J10669" t="n">
        <v>0</v>
      </c>
      <c r="K10669" t="n">
        <v>0</v>
      </c>
      <c r="L10669" t="n">
        <v>0</v>
      </c>
      <c r="M10669" t="n">
        <v>0</v>
      </c>
      <c r="N10669" t="n">
        <v>0</v>
      </c>
      <c r="O10669" t="n">
        <v>0</v>
      </c>
      <c r="P10669" t="n">
        <v>0</v>
      </c>
      <c r="Q10669" t="n">
        <v>0</v>
      </c>
      <c r="R10669" t="n">
        <v>0</v>
      </c>
      <c r="S10669" t="n">
        <v>0</v>
      </c>
      <c r="T10669" t="n">
        <v>0</v>
      </c>
      <c r="U10669" t="n">
        <v>0</v>
      </c>
      <c r="V10669" s="2" t="inlineStr"/>
    </row>
    <row r="10670" ht="15" customHeight="1">
      <c r="A10670" t="inlineStr">
        <is>
          <t>A 35865-2026</t>
        </is>
      </c>
      <c r="B10670" t="inlineStr">
        <is>
          <t>avverkningsanmälan</t>
        </is>
      </c>
      <c r="C10670" t="inlineStr">
        <is>
          <t>Föryngringsavverkning</t>
        </is>
      </c>
      <c r="D10670" s="1" t="n">
        <v>46266</v>
      </c>
      <c r="E10670" s="1" t="n">
        <v>46326</v>
      </c>
      <c r="F10670" t="inlineStr">
        <is>
          <t>GÄVLEBORGS LÄN</t>
        </is>
      </c>
      <c r="G10670" t="inlineStr">
        <is>
          <t>SANDVIKEN</t>
        </is>
      </c>
      <c r="H10670" t="inlineStr">
        <is>
          <t>Sveaskog</t>
        </is>
      </c>
      <c r="I10670" t="n">
        <v>1.7</v>
      </c>
      <c r="J10670" t="n">
        <v>0</v>
      </c>
      <c r="K10670" t="n">
        <v>0</v>
      </c>
      <c r="L10670" t="n">
        <v>0</v>
      </c>
      <c r="M10670" t="n">
        <v>0</v>
      </c>
      <c r="N10670" t="n">
        <v>0</v>
      </c>
      <c r="O10670" t="n">
        <v>0</v>
      </c>
      <c r="P10670" t="n">
        <v>0</v>
      </c>
      <c r="Q10670" t="n">
        <v>0</v>
      </c>
      <c r="R10670" t="n">
        <v>0</v>
      </c>
      <c r="S10670" t="n">
        <v>0</v>
      </c>
      <c r="T10670" t="n">
        <v>0</v>
      </c>
      <c r="U10670" t="n">
        <v>0</v>
      </c>
      <c r="V10670" s="2" t="inlineStr"/>
    </row>
    <row r="10671" ht="15" customHeight="1">
      <c r="A10671" t="inlineStr">
        <is>
          <t>A 42618-2026</t>
        </is>
      </c>
      <c r="B10671" t="inlineStr">
        <is>
          <t>avverkningsanmälan</t>
        </is>
      </c>
      <c r="C10671" t="inlineStr">
        <is>
          <t>Föryngringsavverkning</t>
        </is>
      </c>
      <c r="D10671" s="1" t="n">
        <v>46309</v>
      </c>
      <c r="E10671" s="1" t="n">
        <v>46326</v>
      </c>
      <c r="F10671" t="inlineStr">
        <is>
          <t>GÄVLEBORGS LÄN</t>
        </is>
      </c>
      <c r="G10671" t="inlineStr">
        <is>
          <t>LJUSDAL</t>
        </is>
      </c>
      <c r="H10671" t="inlineStr">
        <is>
          <t>SCA</t>
        </is>
      </c>
      <c r="I10671" t="n">
        <v>1.3</v>
      </c>
      <c r="J10671" t="n">
        <v>0</v>
      </c>
      <c r="K10671" t="n">
        <v>0</v>
      </c>
      <c r="L10671" t="n">
        <v>0</v>
      </c>
      <c r="M10671" t="n">
        <v>0</v>
      </c>
      <c r="N10671" t="n">
        <v>0</v>
      </c>
      <c r="O10671" t="n">
        <v>0</v>
      </c>
      <c r="P10671" t="n">
        <v>0</v>
      </c>
      <c r="Q10671" t="n">
        <v>0</v>
      </c>
      <c r="R10671" t="n">
        <v>0</v>
      </c>
      <c r="S10671" t="n">
        <v>0</v>
      </c>
      <c r="T10671" t="n">
        <v>0</v>
      </c>
      <c r="U10671" t="n">
        <v>0</v>
      </c>
      <c r="V10671" s="2" t="inlineStr"/>
    </row>
    <row r="10672" ht="15" customHeight="1">
      <c r="A10672" t="inlineStr">
        <is>
          <t>A 42523-2026</t>
        </is>
      </c>
      <c r="B10672" t="inlineStr">
        <is>
          <t>avverkningsanmälan</t>
        </is>
      </c>
      <c r="C10672" t="inlineStr">
        <is>
          <t>Föryngringsavverkning</t>
        </is>
      </c>
      <c r="D10672" s="1" t="n">
        <v>46308</v>
      </c>
      <c r="E10672" s="1" t="n">
        <v>46326</v>
      </c>
      <c r="F10672" t="inlineStr">
        <is>
          <t>GÄVLEBORGS LÄN</t>
        </is>
      </c>
      <c r="G10672" t="inlineStr">
        <is>
          <t>HUDIKSVALL</t>
        </is>
      </c>
      <c r="H10672" t="inlineStr">
        <is>
          <t>Holmen skog AB</t>
        </is>
      </c>
      <c r="I10672" t="n">
        <v>1.6</v>
      </c>
      <c r="J10672" t="n">
        <v>0</v>
      </c>
      <c r="K10672" t="n">
        <v>0</v>
      </c>
      <c r="L10672" t="n">
        <v>0</v>
      </c>
      <c r="M10672" t="n">
        <v>0</v>
      </c>
      <c r="N10672" t="n">
        <v>0</v>
      </c>
      <c r="O10672" t="n">
        <v>0</v>
      </c>
      <c r="P10672" t="n">
        <v>0</v>
      </c>
      <c r="Q10672" t="n">
        <v>0</v>
      </c>
      <c r="R10672" t="n">
        <v>0</v>
      </c>
      <c r="S10672" t="n">
        <v>0</v>
      </c>
      <c r="T10672" t="n">
        <v>0</v>
      </c>
      <c r="U10672" t="n">
        <v>0</v>
      </c>
      <c r="V10672" s="2" t="inlineStr"/>
    </row>
    <row r="10673" ht="15" customHeight="1">
      <c r="A10673" t="inlineStr">
        <is>
          <t>A 42537-2026</t>
        </is>
      </c>
      <c r="B10673" t="inlineStr">
        <is>
          <t>avverkningsanmälan</t>
        </is>
      </c>
      <c r="C10673" t="inlineStr">
        <is>
          <t>Föryngringsavverkning</t>
        </is>
      </c>
      <c r="D10673" s="1" t="n">
        <v>46308</v>
      </c>
      <c r="E10673" s="1" t="n">
        <v>46326</v>
      </c>
      <c r="F10673" t="inlineStr">
        <is>
          <t>GÄVLEBORGS LÄN</t>
        </is>
      </c>
      <c r="G10673" t="inlineStr">
        <is>
          <t>HUDIKSVALL</t>
        </is>
      </c>
      <c r="I10673" t="n">
        <v>4</v>
      </c>
      <c r="J10673" t="n">
        <v>0</v>
      </c>
      <c r="K10673" t="n">
        <v>0</v>
      </c>
      <c r="L10673" t="n">
        <v>0</v>
      </c>
      <c r="M10673" t="n">
        <v>0</v>
      </c>
      <c r="N10673" t="n">
        <v>0</v>
      </c>
      <c r="O10673" t="n">
        <v>0</v>
      </c>
      <c r="P10673" t="n">
        <v>0</v>
      </c>
      <c r="Q10673" t="n">
        <v>0</v>
      </c>
      <c r="R10673" t="n">
        <v>0</v>
      </c>
      <c r="S10673" t="n">
        <v>0</v>
      </c>
      <c r="T10673" t="n">
        <v>0</v>
      </c>
      <c r="U10673" t="n">
        <v>0</v>
      </c>
      <c r="V10673" s="2" t="inlineStr"/>
    </row>
    <row r="10674" ht="15" customHeight="1">
      <c r="A10674" t="inlineStr">
        <is>
          <t>A 42829-2026</t>
        </is>
      </c>
      <c r="B10674" t="inlineStr">
        <is>
          <t>avverkningsanmälan</t>
        </is>
      </c>
      <c r="C10674" t="inlineStr">
        <is>
          <t>Föryngringsavverkning</t>
        </is>
      </c>
      <c r="D10674" s="1" t="n">
        <v>46310</v>
      </c>
      <c r="E10674" s="1" t="n">
        <v>46326</v>
      </c>
      <c r="F10674" t="inlineStr">
        <is>
          <t>GÄVLEBORGS LÄN</t>
        </is>
      </c>
      <c r="G10674" t="inlineStr">
        <is>
          <t>LJUSDAL</t>
        </is>
      </c>
      <c r="I10674" t="n">
        <v>4.2</v>
      </c>
      <c r="J10674" t="n">
        <v>0</v>
      </c>
      <c r="K10674" t="n">
        <v>0</v>
      </c>
      <c r="L10674" t="n">
        <v>0</v>
      </c>
      <c r="M10674" t="n">
        <v>0</v>
      </c>
      <c r="N10674" t="n">
        <v>0</v>
      </c>
      <c r="O10674" t="n">
        <v>0</v>
      </c>
      <c r="P10674" t="n">
        <v>0</v>
      </c>
      <c r="Q10674" t="n">
        <v>0</v>
      </c>
      <c r="R10674" t="n">
        <v>0</v>
      </c>
      <c r="S10674" t="n">
        <v>0</v>
      </c>
      <c r="T10674" t="n">
        <v>0</v>
      </c>
      <c r="U10674" t="n">
        <v>0</v>
      </c>
      <c r="V10674" s="2" t="inlineStr"/>
    </row>
    <row r="10675" ht="15" customHeight="1">
      <c r="A10675" t="inlineStr">
        <is>
          <t>A 42848-2026</t>
        </is>
      </c>
      <c r="B10675" t="inlineStr">
        <is>
          <t>avverkningsanmälan</t>
        </is>
      </c>
      <c r="C10675" t="inlineStr">
        <is>
          <t>Föryngringsavverkning</t>
        </is>
      </c>
      <c r="D10675" s="1" t="n">
        <v>46310</v>
      </c>
      <c r="E10675" s="1" t="n">
        <v>46326</v>
      </c>
      <c r="F10675" t="inlineStr">
        <is>
          <t>GÄVLEBORGS LÄN</t>
        </is>
      </c>
      <c r="G10675" t="inlineStr">
        <is>
          <t>SÖDERHAMN</t>
        </is>
      </c>
      <c r="H10675" t="inlineStr">
        <is>
          <t>Övriga statliga verk och myndigheter</t>
        </is>
      </c>
      <c r="I10675" t="n">
        <v>8.4</v>
      </c>
      <c r="J10675" t="n">
        <v>0</v>
      </c>
      <c r="K10675" t="n">
        <v>0</v>
      </c>
      <c r="L10675" t="n">
        <v>0</v>
      </c>
      <c r="M10675" t="n">
        <v>0</v>
      </c>
      <c r="N10675" t="n">
        <v>0</v>
      </c>
      <c r="O10675" t="n">
        <v>0</v>
      </c>
      <c r="P10675" t="n">
        <v>0</v>
      </c>
      <c r="Q10675" t="n">
        <v>0</v>
      </c>
      <c r="R10675" t="n">
        <v>0</v>
      </c>
      <c r="S10675" t="n">
        <v>0</v>
      </c>
      <c r="T10675" t="n">
        <v>0</v>
      </c>
      <c r="U10675" t="n">
        <v>0</v>
      </c>
      <c r="V10675" s="2" t="inlineStr"/>
    </row>
    <row r="10676" ht="15" customHeight="1">
      <c r="A10676" t="inlineStr">
        <is>
          <t>A 42850-2026</t>
        </is>
      </c>
      <c r="B10676" t="inlineStr">
        <is>
          <t>avverkningsanmälan</t>
        </is>
      </c>
      <c r="C10676" t="inlineStr">
        <is>
          <t>Föryngringsavverkning</t>
        </is>
      </c>
      <c r="D10676" s="1" t="n">
        <v>46310</v>
      </c>
      <c r="E10676" s="1" t="n">
        <v>46326</v>
      </c>
      <c r="F10676" t="inlineStr">
        <is>
          <t>GÄVLEBORGS LÄN</t>
        </is>
      </c>
      <c r="G10676" t="inlineStr">
        <is>
          <t>SÖDERHAMN</t>
        </is>
      </c>
      <c r="H10676" t="inlineStr">
        <is>
          <t>Övriga statliga verk och myndigheter</t>
        </is>
      </c>
      <c r="I10676" t="n">
        <v>3.2</v>
      </c>
      <c r="J10676" t="n">
        <v>0</v>
      </c>
      <c r="K10676" t="n">
        <v>0</v>
      </c>
      <c r="L10676" t="n">
        <v>0</v>
      </c>
      <c r="M10676" t="n">
        <v>0</v>
      </c>
      <c r="N10676" t="n">
        <v>0</v>
      </c>
      <c r="O10676" t="n">
        <v>0</v>
      </c>
      <c r="P10676" t="n">
        <v>0</v>
      </c>
      <c r="Q10676" t="n">
        <v>0</v>
      </c>
      <c r="R10676" t="n">
        <v>0</v>
      </c>
      <c r="S10676" t="n">
        <v>0</v>
      </c>
      <c r="T10676" t="n">
        <v>0</v>
      </c>
      <c r="U10676" t="n">
        <v>0</v>
      </c>
      <c r="V10676" s="2" t="inlineStr"/>
    </row>
    <row r="10677" ht="15" customHeight="1">
      <c r="A10677" t="inlineStr">
        <is>
          <t>A 43104-2026</t>
        </is>
      </c>
      <c r="B10677" t="inlineStr">
        <is>
          <t>avverkningsanmälan</t>
        </is>
      </c>
      <c r="C10677" t="inlineStr">
        <is>
          <t>Föryngringsavverkning</t>
        </is>
      </c>
      <c r="D10677" s="1" t="n">
        <v>46311</v>
      </c>
      <c r="E10677" s="1" t="n">
        <v>46326</v>
      </c>
      <c r="F10677" t="inlineStr">
        <is>
          <t>GÄVLEBORGS LÄN</t>
        </is>
      </c>
      <c r="G10677" t="inlineStr">
        <is>
          <t>LJUSDAL</t>
        </is>
      </c>
      <c r="I10677" t="n">
        <v>1.9</v>
      </c>
      <c r="J10677" t="n">
        <v>0</v>
      </c>
      <c r="K10677" t="n">
        <v>0</v>
      </c>
      <c r="L10677" t="n">
        <v>0</v>
      </c>
      <c r="M10677" t="n">
        <v>0</v>
      </c>
      <c r="N10677" t="n">
        <v>0</v>
      </c>
      <c r="O10677" t="n">
        <v>0</v>
      </c>
      <c r="P10677" t="n">
        <v>0</v>
      </c>
      <c r="Q10677" t="n">
        <v>0</v>
      </c>
      <c r="R10677" t="n">
        <v>0</v>
      </c>
      <c r="S10677" t="n">
        <v>0</v>
      </c>
      <c r="T10677" t="n">
        <v>0</v>
      </c>
      <c r="U10677" t="n">
        <v>0</v>
      </c>
      <c r="V10677" s="2" t="inlineStr"/>
    </row>
    <row r="10678" ht="15" customHeight="1">
      <c r="A10678" t="inlineStr">
        <is>
          <t>A 43126-2026</t>
        </is>
      </c>
      <c r="B10678" t="inlineStr">
        <is>
          <t>avverkningsanmälan</t>
        </is>
      </c>
      <c r="C10678" t="inlineStr">
        <is>
          <t>Avverkning för att bevara och utveckla /försöksver</t>
        </is>
      </c>
      <c r="D10678" s="1" t="n">
        <v>46311</v>
      </c>
      <c r="E10678" s="1" t="n">
        <v>46326</v>
      </c>
      <c r="F10678" t="inlineStr">
        <is>
          <t>GÄVLEBORGS LÄN</t>
        </is>
      </c>
      <c r="G10678" t="inlineStr">
        <is>
          <t>OVANÅKER</t>
        </is>
      </c>
      <c r="I10678" t="n">
        <v>0.7</v>
      </c>
      <c r="J10678" t="n">
        <v>0</v>
      </c>
      <c r="K10678" t="n">
        <v>0</v>
      </c>
      <c r="L10678" t="n">
        <v>0</v>
      </c>
      <c r="M10678" t="n">
        <v>0</v>
      </c>
      <c r="N10678" t="n">
        <v>0</v>
      </c>
      <c r="O10678" t="n">
        <v>0</v>
      </c>
      <c r="P10678" t="n">
        <v>0</v>
      </c>
      <c r="Q10678" t="n">
        <v>0</v>
      </c>
      <c r="R10678" t="n">
        <v>0</v>
      </c>
      <c r="S10678" t="n">
        <v>0</v>
      </c>
      <c r="T10678" t="n">
        <v>0</v>
      </c>
      <c r="U10678" t="n">
        <v>0</v>
      </c>
      <c r="V10678" s="2" t="inlineStr"/>
    </row>
    <row r="10679" ht="15" customHeight="1">
      <c r="A10679" t="inlineStr">
        <is>
          <t>A 36280-2026</t>
        </is>
      </c>
      <c r="B10679" t="inlineStr">
        <is>
          <t>avverkningsanmälan</t>
        </is>
      </c>
      <c r="C10679" t="inlineStr">
        <is>
          <t>Avverkning för annat ändamål</t>
        </is>
      </c>
      <c r="D10679" s="1" t="n">
        <v>46268</v>
      </c>
      <c r="E10679" s="1" t="n">
        <v>46326</v>
      </c>
      <c r="F10679" t="inlineStr">
        <is>
          <t>GÄVLEBORGS LÄN</t>
        </is>
      </c>
      <c r="G10679" t="inlineStr">
        <is>
          <t>OCKELBO</t>
        </is>
      </c>
      <c r="H10679" t="inlineStr">
        <is>
          <t>Bergvik skog väst AB</t>
        </is>
      </c>
      <c r="I10679" t="n">
        <v>1.3</v>
      </c>
      <c r="J10679" t="n">
        <v>0</v>
      </c>
      <c r="K10679" t="n">
        <v>0</v>
      </c>
      <c r="L10679" t="n">
        <v>0</v>
      </c>
      <c r="M10679" t="n">
        <v>0</v>
      </c>
      <c r="N10679" t="n">
        <v>0</v>
      </c>
      <c r="O10679" t="n">
        <v>0</v>
      </c>
      <c r="P10679" t="n">
        <v>0</v>
      </c>
      <c r="Q10679" t="n">
        <v>0</v>
      </c>
      <c r="R10679" t="n">
        <v>0</v>
      </c>
      <c r="S10679" t="n">
        <v>0</v>
      </c>
      <c r="T10679" t="n">
        <v>0</v>
      </c>
      <c r="U10679" t="n">
        <v>0</v>
      </c>
      <c r="V10679" s="2" t="inlineStr"/>
    </row>
    <row r="10680" ht="15" customHeight="1">
      <c r="A10680" t="inlineStr">
        <is>
          <t>A 36257-2026</t>
        </is>
      </c>
      <c r="B10680" t="inlineStr">
        <is>
          <t>avverkningsanmälan</t>
        </is>
      </c>
      <c r="C10680" t="inlineStr">
        <is>
          <t>Föryngringsavverkning</t>
        </is>
      </c>
      <c r="D10680" s="1" t="n">
        <v>46268</v>
      </c>
      <c r="E10680" s="1" t="n">
        <v>46326</v>
      </c>
      <c r="F10680" t="inlineStr">
        <is>
          <t>GÄVLEBORGS LÄN</t>
        </is>
      </c>
      <c r="G10680" t="inlineStr">
        <is>
          <t>LJUSDAL</t>
        </is>
      </c>
      <c r="H10680" t="inlineStr">
        <is>
          <t>Bergvik skog väst AB</t>
        </is>
      </c>
      <c r="I10680" t="n">
        <v>1.6</v>
      </c>
      <c r="J10680" t="n">
        <v>0</v>
      </c>
      <c r="K10680" t="n">
        <v>0</v>
      </c>
      <c r="L10680" t="n">
        <v>0</v>
      </c>
      <c r="M10680" t="n">
        <v>0</v>
      </c>
      <c r="N10680" t="n">
        <v>0</v>
      </c>
      <c r="O10680" t="n">
        <v>0</v>
      </c>
      <c r="P10680" t="n">
        <v>0</v>
      </c>
      <c r="Q10680" t="n">
        <v>0</v>
      </c>
      <c r="R10680" t="n">
        <v>0</v>
      </c>
      <c r="S10680" t="n">
        <v>0</v>
      </c>
      <c r="T10680" t="n">
        <v>0</v>
      </c>
      <c r="U10680" t="n">
        <v>0</v>
      </c>
      <c r="V10680" s="2" t="inlineStr"/>
    </row>
    <row r="10681" ht="15" customHeight="1">
      <c r="A10681" t="inlineStr">
        <is>
          <t>A 36265-2026</t>
        </is>
      </c>
      <c r="B10681" t="inlineStr">
        <is>
          <t>avverkningsanmälan</t>
        </is>
      </c>
      <c r="C10681" t="inlineStr">
        <is>
          <t>Föryngringsavverkning</t>
        </is>
      </c>
      <c r="D10681" s="1" t="n">
        <v>46268</v>
      </c>
      <c r="E10681" s="1" t="n">
        <v>46326</v>
      </c>
      <c r="F10681" t="inlineStr">
        <is>
          <t>GÄVLEBORGS LÄN</t>
        </is>
      </c>
      <c r="G10681" t="inlineStr">
        <is>
          <t>OVANÅKER</t>
        </is>
      </c>
      <c r="H10681" t="inlineStr">
        <is>
          <t>Bergvik skog väst AB</t>
        </is>
      </c>
      <c r="I10681" t="n">
        <v>5.7</v>
      </c>
      <c r="J10681" t="n">
        <v>0</v>
      </c>
      <c r="K10681" t="n">
        <v>0</v>
      </c>
      <c r="L10681" t="n">
        <v>0</v>
      </c>
      <c r="M10681" t="n">
        <v>0</v>
      </c>
      <c r="N10681" t="n">
        <v>0</v>
      </c>
      <c r="O10681" t="n">
        <v>0</v>
      </c>
      <c r="P10681" t="n">
        <v>0</v>
      </c>
      <c r="Q10681" t="n">
        <v>0</v>
      </c>
      <c r="R10681" t="n">
        <v>0</v>
      </c>
      <c r="S10681" t="n">
        <v>0</v>
      </c>
      <c r="T10681" t="n">
        <v>0</v>
      </c>
      <c r="U10681" t="n">
        <v>0</v>
      </c>
      <c r="V10681" s="2" t="inlineStr"/>
    </row>
    <row r="10682" ht="15" customHeight="1">
      <c r="A10682" t="inlineStr">
        <is>
          <t>A 36357-2026</t>
        </is>
      </c>
      <c r="B10682" t="inlineStr">
        <is>
          <t>avverkningsanmälan</t>
        </is>
      </c>
      <c r="C10682" t="inlineStr">
        <is>
          <t>Föryngringsavverkning</t>
        </is>
      </c>
      <c r="D10682" s="1" t="n">
        <v>46268</v>
      </c>
      <c r="E10682" s="1" t="n">
        <v>46326</v>
      </c>
      <c r="F10682" t="inlineStr">
        <is>
          <t>GÄVLEBORGS LÄN</t>
        </is>
      </c>
      <c r="G10682" t="inlineStr">
        <is>
          <t>HUDIKSVALL</t>
        </is>
      </c>
      <c r="I10682" t="n">
        <v>2.1</v>
      </c>
      <c r="J10682" t="n">
        <v>0</v>
      </c>
      <c r="K10682" t="n">
        <v>0</v>
      </c>
      <c r="L10682" t="n">
        <v>0</v>
      </c>
      <c r="M10682" t="n">
        <v>0</v>
      </c>
      <c r="N10682" t="n">
        <v>0</v>
      </c>
      <c r="O10682" t="n">
        <v>0</v>
      </c>
      <c r="P10682" t="n">
        <v>0</v>
      </c>
      <c r="Q10682" t="n">
        <v>0</v>
      </c>
      <c r="R10682" t="n">
        <v>0</v>
      </c>
      <c r="S10682" t="n">
        <v>0</v>
      </c>
      <c r="T10682" t="n">
        <v>0</v>
      </c>
      <c r="U10682" t="n">
        <v>0</v>
      </c>
      <c r="V10682" s="2" t="inlineStr"/>
    </row>
    <row r="10683" ht="15" customHeight="1">
      <c r="A10683" t="inlineStr">
        <is>
          <t>A 36361-2026</t>
        </is>
      </c>
      <c r="B10683" t="inlineStr">
        <is>
          <t>avverkningsanmälan</t>
        </is>
      </c>
      <c r="C10683" t="inlineStr">
        <is>
          <t>Föryngringsavverkning</t>
        </is>
      </c>
      <c r="D10683" s="1" t="n">
        <v>46268</v>
      </c>
      <c r="E10683" s="1" t="n">
        <v>46326</v>
      </c>
      <c r="F10683" t="inlineStr">
        <is>
          <t>GÄVLEBORGS LÄN</t>
        </is>
      </c>
      <c r="G10683" t="inlineStr">
        <is>
          <t>SÖDERHAMN</t>
        </is>
      </c>
      <c r="I10683" t="n">
        <v>1.9</v>
      </c>
      <c r="J10683" t="n">
        <v>0</v>
      </c>
      <c r="K10683" t="n">
        <v>0</v>
      </c>
      <c r="L10683" t="n">
        <v>0</v>
      </c>
      <c r="M10683" t="n">
        <v>0</v>
      </c>
      <c r="N10683" t="n">
        <v>0</v>
      </c>
      <c r="O10683" t="n">
        <v>0</v>
      </c>
      <c r="P10683" t="n">
        <v>0</v>
      </c>
      <c r="Q10683" t="n">
        <v>0</v>
      </c>
      <c r="R10683" t="n">
        <v>0</v>
      </c>
      <c r="S10683" t="n">
        <v>0</v>
      </c>
      <c r="T10683" t="n">
        <v>0</v>
      </c>
      <c r="U10683" t="n">
        <v>0</v>
      </c>
      <c r="V10683" s="2" t="inlineStr"/>
    </row>
    <row r="10684" ht="15" customHeight="1">
      <c r="A10684" t="inlineStr">
        <is>
          <t>A 62496-2025</t>
        </is>
      </c>
      <c r="B10684" t="inlineStr">
        <is>
          <t>avverkningsanmälan</t>
        </is>
      </c>
      <c r="C10684" t="inlineStr">
        <is>
          <t>Föryngringsavverkning</t>
        </is>
      </c>
      <c r="D10684" s="1" t="n">
        <v>46007</v>
      </c>
      <c r="E10684" s="1" t="n">
        <v>46326</v>
      </c>
      <c r="F10684" t="inlineStr">
        <is>
          <t>GÄVLEBORGS LÄN</t>
        </is>
      </c>
      <c r="G10684" t="inlineStr">
        <is>
          <t>NORDANSTIG</t>
        </is>
      </c>
      <c r="I10684" t="n">
        <v>2.2</v>
      </c>
      <c r="J10684" t="n">
        <v>0</v>
      </c>
      <c r="K10684" t="n">
        <v>0</v>
      </c>
      <c r="L10684" t="n">
        <v>0</v>
      </c>
      <c r="M10684" t="n">
        <v>0</v>
      </c>
      <c r="N10684" t="n">
        <v>0</v>
      </c>
      <c r="O10684" t="n">
        <v>0</v>
      </c>
      <c r="P10684" t="n">
        <v>0</v>
      </c>
      <c r="Q10684" t="n">
        <v>0</v>
      </c>
      <c r="R10684" t="n">
        <v>0</v>
      </c>
      <c r="S10684" t="n">
        <v>0</v>
      </c>
      <c r="T10684" t="n">
        <v>0</v>
      </c>
      <c r="U10684" t="n">
        <v>0</v>
      </c>
      <c r="V10684" s="2" t="inlineStr"/>
    </row>
    <row r="10685" ht="15" customHeight="1">
      <c r="A10685" t="inlineStr">
        <is>
          <t>A 42925-2026</t>
        </is>
      </c>
      <c r="B10685" t="inlineStr">
        <is>
          <t>avverkningsanmälan</t>
        </is>
      </c>
      <c r="C10685" t="inlineStr">
        <is>
          <t>Föryngringsavverkning</t>
        </is>
      </c>
      <c r="D10685" s="1" t="n">
        <v>46310</v>
      </c>
      <c r="E10685" s="1" t="n">
        <v>46326</v>
      </c>
      <c r="F10685" t="inlineStr">
        <is>
          <t>GÄVLEBORGS LÄN</t>
        </is>
      </c>
      <c r="G10685" t="inlineStr">
        <is>
          <t>SANDVIKEN</t>
        </is>
      </c>
      <c r="I10685" t="n">
        <v>4.9</v>
      </c>
      <c r="J10685" t="n">
        <v>0</v>
      </c>
      <c r="K10685" t="n">
        <v>0</v>
      </c>
      <c r="L10685" t="n">
        <v>0</v>
      </c>
      <c r="M10685" t="n">
        <v>0</v>
      </c>
      <c r="N10685" t="n">
        <v>0</v>
      </c>
      <c r="O10685" t="n">
        <v>0</v>
      </c>
      <c r="P10685" t="n">
        <v>0</v>
      </c>
      <c r="Q10685" t="n">
        <v>0</v>
      </c>
      <c r="R10685" t="n">
        <v>0</v>
      </c>
      <c r="S10685" t="n">
        <v>0</v>
      </c>
      <c r="T10685" t="n">
        <v>0</v>
      </c>
      <c r="U10685" t="n">
        <v>0</v>
      </c>
      <c r="V10685" s="2" t="inlineStr"/>
    </row>
    <row r="10686" ht="15" customHeight="1">
      <c r="A10686" t="inlineStr">
        <is>
          <t>A 18880-2026</t>
        </is>
      </c>
      <c r="B10686" t="inlineStr">
        <is>
          <t>avverkningsanmälan</t>
        </is>
      </c>
      <c r="C10686" t="inlineStr">
        <is>
          <t>Föryngringsavverkning</t>
        </is>
      </c>
      <c r="D10686" s="1" t="n">
        <v>46129</v>
      </c>
      <c r="E10686" s="1" t="n">
        <v>46326</v>
      </c>
      <c r="F10686" t="inlineStr">
        <is>
          <t>GÄVLEBORGS LÄN</t>
        </is>
      </c>
      <c r="G10686" t="inlineStr">
        <is>
          <t>OVANÅKER</t>
        </is>
      </c>
      <c r="H10686" t="inlineStr">
        <is>
          <t>Sveaskog</t>
        </is>
      </c>
      <c r="I10686" t="n">
        <v>0.8</v>
      </c>
      <c r="J10686" t="n">
        <v>0</v>
      </c>
      <c r="K10686" t="n">
        <v>0</v>
      </c>
      <c r="L10686" t="n">
        <v>0</v>
      </c>
      <c r="M10686" t="n">
        <v>0</v>
      </c>
      <c r="N10686" t="n">
        <v>0</v>
      </c>
      <c r="O10686" t="n">
        <v>0</v>
      </c>
      <c r="P10686" t="n">
        <v>0</v>
      </c>
      <c r="Q10686" t="n">
        <v>0</v>
      </c>
      <c r="R10686" t="n">
        <v>0</v>
      </c>
      <c r="S10686" t="n">
        <v>0</v>
      </c>
      <c r="T10686" t="n">
        <v>0</v>
      </c>
      <c r="U10686" t="n">
        <v>0</v>
      </c>
      <c r="V10686" s="2" t="inlineStr"/>
    </row>
    <row r="10687" ht="15" customHeight="1">
      <c r="A10687" t="inlineStr">
        <is>
          <t>A 24110-2026</t>
        </is>
      </c>
      <c r="B10687" t="inlineStr">
        <is>
          <t>avverkningsanmälan</t>
        </is>
      </c>
      <c r="C10687" t="inlineStr">
        <is>
          <t>Föryngringsavverkning</t>
        </is>
      </c>
      <c r="D10687" s="1" t="n">
        <v>46168</v>
      </c>
      <c r="E10687" s="1" t="n">
        <v>46326</v>
      </c>
      <c r="F10687" t="inlineStr">
        <is>
          <t>GÄVLEBORGS LÄN</t>
        </is>
      </c>
      <c r="G10687" t="inlineStr">
        <is>
          <t>BOLLNÄS</t>
        </is>
      </c>
      <c r="I10687" t="n">
        <v>2.8</v>
      </c>
      <c r="J10687" t="n">
        <v>0</v>
      </c>
      <c r="K10687" t="n">
        <v>0</v>
      </c>
      <c r="L10687" t="n">
        <v>0</v>
      </c>
      <c r="M10687" t="n">
        <v>0</v>
      </c>
      <c r="N10687" t="n">
        <v>0</v>
      </c>
      <c r="O10687" t="n">
        <v>0</v>
      </c>
      <c r="P10687" t="n">
        <v>0</v>
      </c>
      <c r="Q10687" t="n">
        <v>0</v>
      </c>
      <c r="R10687" t="n">
        <v>0</v>
      </c>
      <c r="S10687" t="n">
        <v>0</v>
      </c>
      <c r="T10687" t="n">
        <v>0</v>
      </c>
      <c r="U10687" t="n">
        <v>0</v>
      </c>
      <c r="V10687" s="2" t="inlineStr"/>
    </row>
    <row r="10688" ht="15" customHeight="1">
      <c r="A10688" t="inlineStr">
        <is>
          <t>A 42940-2026</t>
        </is>
      </c>
      <c r="B10688" t="inlineStr">
        <is>
          <t>avverkningsanmälan</t>
        </is>
      </c>
      <c r="C10688" t="inlineStr">
        <is>
          <t>Föryngringsavverkning</t>
        </is>
      </c>
      <c r="D10688" s="1" t="n">
        <v>46310</v>
      </c>
      <c r="E10688" s="1" t="n">
        <v>46326</v>
      </c>
      <c r="F10688" t="inlineStr">
        <is>
          <t>GÄVLEBORGS LÄN</t>
        </is>
      </c>
      <c r="G10688" t="inlineStr">
        <is>
          <t>LJUSDAL</t>
        </is>
      </c>
      <c r="I10688" t="n">
        <v>0.8</v>
      </c>
      <c r="J10688" t="n">
        <v>0</v>
      </c>
      <c r="K10688" t="n">
        <v>0</v>
      </c>
      <c r="L10688" t="n">
        <v>0</v>
      </c>
      <c r="M10688" t="n">
        <v>0</v>
      </c>
      <c r="N10688" t="n">
        <v>0</v>
      </c>
      <c r="O10688" t="n">
        <v>0</v>
      </c>
      <c r="P10688" t="n">
        <v>0</v>
      </c>
      <c r="Q10688" t="n">
        <v>0</v>
      </c>
      <c r="R10688" t="n">
        <v>0</v>
      </c>
      <c r="S10688" t="n">
        <v>0</v>
      </c>
      <c r="T10688" t="n">
        <v>0</v>
      </c>
      <c r="U10688" t="n">
        <v>0</v>
      </c>
      <c r="V10688" s="2" t="inlineStr"/>
    </row>
    <row r="10689" ht="15" customHeight="1">
      <c r="A10689" t="inlineStr">
        <is>
          <t>A 42941-2026</t>
        </is>
      </c>
      <c r="B10689" t="inlineStr">
        <is>
          <t>avverkningsanmälan</t>
        </is>
      </c>
      <c r="C10689" t="inlineStr">
        <is>
          <t>Föryngringsavverkning</t>
        </is>
      </c>
      <c r="D10689" s="1" t="n">
        <v>46310</v>
      </c>
      <c r="E10689" s="1" t="n">
        <v>46326</v>
      </c>
      <c r="F10689" t="inlineStr">
        <is>
          <t>GÄVLEBORGS LÄN</t>
        </is>
      </c>
      <c r="G10689" t="inlineStr">
        <is>
          <t>LJUSDAL</t>
        </is>
      </c>
      <c r="I10689" t="n">
        <v>1.7</v>
      </c>
      <c r="J10689" t="n">
        <v>0</v>
      </c>
      <c r="K10689" t="n">
        <v>0</v>
      </c>
      <c r="L10689" t="n">
        <v>0</v>
      </c>
      <c r="M10689" t="n">
        <v>0</v>
      </c>
      <c r="N10689" t="n">
        <v>0</v>
      </c>
      <c r="O10689" t="n">
        <v>0</v>
      </c>
      <c r="P10689" t="n">
        <v>0</v>
      </c>
      <c r="Q10689" t="n">
        <v>0</v>
      </c>
      <c r="R10689" t="n">
        <v>0</v>
      </c>
      <c r="S10689" t="n">
        <v>0</v>
      </c>
      <c r="T10689" t="n">
        <v>0</v>
      </c>
      <c r="U10689" t="n">
        <v>0</v>
      </c>
      <c r="V10689" s="2" t="inlineStr"/>
    </row>
    <row r="10690" ht="15" customHeight="1">
      <c r="A10690" t="inlineStr">
        <is>
          <t>A 36371-2026</t>
        </is>
      </c>
      <c r="B10690" t="inlineStr">
        <is>
          <t>avverkningsanmälan</t>
        </is>
      </c>
      <c r="C10690" t="inlineStr">
        <is>
          <t>Föryngringsavverkning</t>
        </is>
      </c>
      <c r="D10690" s="1" t="n">
        <v>46268</v>
      </c>
      <c r="E10690" s="1" t="n">
        <v>46326</v>
      </c>
      <c r="F10690" t="inlineStr">
        <is>
          <t>GÄVLEBORGS LÄN</t>
        </is>
      </c>
      <c r="G10690" t="inlineStr">
        <is>
          <t>LJUSDAL</t>
        </is>
      </c>
      <c r="I10690" t="n">
        <v>2.9</v>
      </c>
      <c r="J10690" t="n">
        <v>0</v>
      </c>
      <c r="K10690" t="n">
        <v>0</v>
      </c>
      <c r="L10690" t="n">
        <v>0</v>
      </c>
      <c r="M10690" t="n">
        <v>0</v>
      </c>
      <c r="N10690" t="n">
        <v>0</v>
      </c>
      <c r="O10690" t="n">
        <v>0</v>
      </c>
      <c r="P10690" t="n">
        <v>0</v>
      </c>
      <c r="Q10690" t="n">
        <v>0</v>
      </c>
      <c r="R10690" t="n">
        <v>0</v>
      </c>
      <c r="S10690" t="n">
        <v>0</v>
      </c>
      <c r="T10690" t="n">
        <v>0</v>
      </c>
      <c r="U10690" t="n">
        <v>0</v>
      </c>
      <c r="V10690" s="2" t="inlineStr"/>
    </row>
    <row r="10691" ht="15" customHeight="1">
      <c r="A10691" t="inlineStr">
        <is>
          <t>A 43148-2026</t>
        </is>
      </c>
      <c r="B10691" t="inlineStr">
        <is>
          <t>avverkningsanmälan</t>
        </is>
      </c>
      <c r="C10691" t="inlineStr">
        <is>
          <t>Föryngringsavverkning</t>
        </is>
      </c>
      <c r="D10691" s="1" t="n">
        <v>46311</v>
      </c>
      <c r="E10691" s="1" t="n">
        <v>46326</v>
      </c>
      <c r="F10691" t="inlineStr">
        <is>
          <t>GÄVLEBORGS LÄN</t>
        </is>
      </c>
      <c r="G10691" t="inlineStr">
        <is>
          <t>SÖDERHAMN</t>
        </is>
      </c>
      <c r="I10691" t="n">
        <v>2.8</v>
      </c>
      <c r="J10691" t="n">
        <v>0</v>
      </c>
      <c r="K10691" t="n">
        <v>0</v>
      </c>
      <c r="L10691" t="n">
        <v>0</v>
      </c>
      <c r="M10691" t="n">
        <v>0</v>
      </c>
      <c r="N10691" t="n">
        <v>0</v>
      </c>
      <c r="O10691" t="n">
        <v>0</v>
      </c>
      <c r="P10691" t="n">
        <v>0</v>
      </c>
      <c r="Q10691" t="n">
        <v>0</v>
      </c>
      <c r="R10691" t="n">
        <v>0</v>
      </c>
      <c r="S10691" t="n">
        <v>0</v>
      </c>
      <c r="T10691" t="n">
        <v>0</v>
      </c>
      <c r="U10691" t="n">
        <v>0</v>
      </c>
      <c r="V10691" s="2" t="inlineStr"/>
    </row>
    <row r="10692" ht="15" customHeight="1">
      <c r="A10692" t="inlineStr">
        <is>
          <t>A 43122-2026</t>
        </is>
      </c>
      <c r="B10692" t="inlineStr">
        <is>
          <t>avverkningsanmälan</t>
        </is>
      </c>
      <c r="C10692" t="inlineStr">
        <is>
          <t>Föryngringsavverkning</t>
        </is>
      </c>
      <c r="D10692" s="1" t="n">
        <v>46311</v>
      </c>
      <c r="E10692" s="1" t="n">
        <v>46326</v>
      </c>
      <c r="F10692" t="inlineStr">
        <is>
          <t>GÄVLEBORGS LÄN</t>
        </is>
      </c>
      <c r="G10692" t="inlineStr">
        <is>
          <t>LJUSDAL</t>
        </is>
      </c>
      <c r="I10692" t="n">
        <v>0.7</v>
      </c>
      <c r="J10692" t="n">
        <v>0</v>
      </c>
      <c r="K10692" t="n">
        <v>0</v>
      </c>
      <c r="L10692" t="n">
        <v>0</v>
      </c>
      <c r="M10692" t="n">
        <v>0</v>
      </c>
      <c r="N10692" t="n">
        <v>0</v>
      </c>
      <c r="O10692" t="n">
        <v>0</v>
      </c>
      <c r="P10692" t="n">
        <v>0</v>
      </c>
      <c r="Q10692" t="n">
        <v>0</v>
      </c>
      <c r="R10692" t="n">
        <v>0</v>
      </c>
      <c r="S10692" t="n">
        <v>0</v>
      </c>
      <c r="T10692" t="n">
        <v>0</v>
      </c>
      <c r="U10692" t="n">
        <v>0</v>
      </c>
      <c r="V10692" s="2" t="inlineStr"/>
    </row>
    <row r="10693" ht="15" customHeight="1">
      <c r="A10693" t="inlineStr">
        <is>
          <t>A 43124-2026</t>
        </is>
      </c>
      <c r="B10693" t="inlineStr">
        <is>
          <t>avverkningsanmälan</t>
        </is>
      </c>
      <c r="C10693" t="inlineStr">
        <is>
          <t>Föryngringsavverkning</t>
        </is>
      </c>
      <c r="D10693" s="1" t="n">
        <v>46311</v>
      </c>
      <c r="E10693" s="1" t="n">
        <v>46326</v>
      </c>
      <c r="F10693" t="inlineStr">
        <is>
          <t>GÄVLEBORGS LÄN</t>
        </is>
      </c>
      <c r="G10693" t="inlineStr">
        <is>
          <t>LJUSDAL</t>
        </is>
      </c>
      <c r="I10693" t="n">
        <v>0.7</v>
      </c>
      <c r="J10693" t="n">
        <v>0</v>
      </c>
      <c r="K10693" t="n">
        <v>0</v>
      </c>
      <c r="L10693" t="n">
        <v>0</v>
      </c>
      <c r="M10693" t="n">
        <v>0</v>
      </c>
      <c r="N10693" t="n">
        <v>0</v>
      </c>
      <c r="O10693" t="n">
        <v>0</v>
      </c>
      <c r="P10693" t="n">
        <v>0</v>
      </c>
      <c r="Q10693" t="n">
        <v>0</v>
      </c>
      <c r="R10693" t="n">
        <v>0</v>
      </c>
      <c r="S10693" t="n">
        <v>0</v>
      </c>
      <c r="T10693" t="n">
        <v>0</v>
      </c>
      <c r="U10693" t="n">
        <v>0</v>
      </c>
      <c r="V10693" s="2" t="inlineStr"/>
    </row>
    <row r="10694" ht="15" customHeight="1">
      <c r="A10694" t="inlineStr">
        <is>
          <t>A 42845-2026</t>
        </is>
      </c>
      <c r="B10694" t="inlineStr">
        <is>
          <t>avverkningsanmälan</t>
        </is>
      </c>
      <c r="C10694" t="inlineStr">
        <is>
          <t>Föryngringsavverkning</t>
        </is>
      </c>
      <c r="D10694" s="1" t="n">
        <v>46310</v>
      </c>
      <c r="E10694" s="1" t="n">
        <v>46326</v>
      </c>
      <c r="F10694" t="inlineStr">
        <is>
          <t>GÄVLEBORGS LÄN</t>
        </is>
      </c>
      <c r="G10694" t="inlineStr">
        <is>
          <t>SÖDERHAMN</t>
        </is>
      </c>
      <c r="H10694" t="inlineStr">
        <is>
          <t>Övriga statliga verk och myndigheter</t>
        </is>
      </c>
      <c r="I10694" t="n">
        <v>4.7</v>
      </c>
      <c r="J10694" t="n">
        <v>0</v>
      </c>
      <c r="K10694" t="n">
        <v>0</v>
      </c>
      <c r="L10694" t="n">
        <v>0</v>
      </c>
      <c r="M10694" t="n">
        <v>0</v>
      </c>
      <c r="N10694" t="n">
        <v>0</v>
      </c>
      <c r="O10694" t="n">
        <v>0</v>
      </c>
      <c r="P10694" t="n">
        <v>0</v>
      </c>
      <c r="Q10694" t="n">
        <v>0</v>
      </c>
      <c r="R10694" t="n">
        <v>0</v>
      </c>
      <c r="S10694" t="n">
        <v>0</v>
      </c>
      <c r="T10694" t="n">
        <v>0</v>
      </c>
      <c r="U10694" t="n">
        <v>0</v>
      </c>
      <c r="V10694" s="2" t="inlineStr"/>
    </row>
    <row r="10695" ht="15" customHeight="1">
      <c r="A10695" t="inlineStr">
        <is>
          <t>A 43137-2026</t>
        </is>
      </c>
      <c r="B10695" t="inlineStr">
        <is>
          <t>avverkningsanmälan</t>
        </is>
      </c>
      <c r="C10695" t="inlineStr">
        <is>
          <t>Föryngringsavverkning</t>
        </is>
      </c>
      <c r="D10695" s="1" t="n">
        <v>46311</v>
      </c>
      <c r="E10695" s="1" t="n">
        <v>46326</v>
      </c>
      <c r="F10695" t="inlineStr">
        <is>
          <t>GÄVLEBORGS LÄN</t>
        </is>
      </c>
      <c r="G10695" t="inlineStr">
        <is>
          <t>HUDIKSVALL</t>
        </is>
      </c>
      <c r="I10695" t="n">
        <v>1.1</v>
      </c>
      <c r="J10695" t="n">
        <v>0</v>
      </c>
      <c r="K10695" t="n">
        <v>0</v>
      </c>
      <c r="L10695" t="n">
        <v>0</v>
      </c>
      <c r="M10695" t="n">
        <v>0</v>
      </c>
      <c r="N10695" t="n">
        <v>0</v>
      </c>
      <c r="O10695" t="n">
        <v>0</v>
      </c>
      <c r="P10695" t="n">
        <v>0</v>
      </c>
      <c r="Q10695" t="n">
        <v>0</v>
      </c>
      <c r="R10695" t="n">
        <v>0</v>
      </c>
      <c r="S10695" t="n">
        <v>0</v>
      </c>
      <c r="T10695" t="n">
        <v>0</v>
      </c>
      <c r="U10695" t="n">
        <v>0</v>
      </c>
      <c r="V10695" s="2" t="inlineStr"/>
    </row>
    <row r="10696" ht="15" customHeight="1">
      <c r="A10696" t="inlineStr">
        <is>
          <t>A 36321-2026</t>
        </is>
      </c>
      <c r="B10696" t="inlineStr">
        <is>
          <t>avverkningsanmälan</t>
        </is>
      </c>
      <c r="C10696" t="inlineStr">
        <is>
          <t>Föryngringsavverkning</t>
        </is>
      </c>
      <c r="D10696" s="1" t="n">
        <v>46268</v>
      </c>
      <c r="E10696" s="1" t="n">
        <v>46326</v>
      </c>
      <c r="F10696" t="inlineStr">
        <is>
          <t>GÄVLEBORGS LÄN</t>
        </is>
      </c>
      <c r="G10696" t="inlineStr">
        <is>
          <t>OVANÅKER</t>
        </is>
      </c>
      <c r="H10696" t="inlineStr">
        <is>
          <t>Bergvik skog väst AB</t>
        </is>
      </c>
      <c r="I10696" t="n">
        <v>0.4</v>
      </c>
      <c r="J10696" t="n">
        <v>0</v>
      </c>
      <c r="K10696" t="n">
        <v>0</v>
      </c>
      <c r="L10696" t="n">
        <v>0</v>
      </c>
      <c r="M10696" t="n">
        <v>0</v>
      </c>
      <c r="N10696" t="n">
        <v>0</v>
      </c>
      <c r="O10696" t="n">
        <v>0</v>
      </c>
      <c r="P10696" t="n">
        <v>0</v>
      </c>
      <c r="Q10696" t="n">
        <v>0</v>
      </c>
      <c r="R10696" t="n">
        <v>0</v>
      </c>
      <c r="S10696" t="n">
        <v>0</v>
      </c>
      <c r="T10696" t="n">
        <v>0</v>
      </c>
      <c r="U10696" t="n">
        <v>0</v>
      </c>
      <c r="V10696" s="2" t="inlineStr"/>
    </row>
    <row r="10697" ht="15" customHeight="1">
      <c r="A10697" t="inlineStr">
        <is>
          <t>A 6898-2026</t>
        </is>
      </c>
      <c r="B10697" t="inlineStr">
        <is>
          <t>avverkningsanmälan</t>
        </is>
      </c>
      <c r="C10697" t="inlineStr">
        <is>
          <t>Föryngringsavverkning</t>
        </is>
      </c>
      <c r="D10697" s="1" t="n">
        <v>46057</v>
      </c>
      <c r="E10697" s="1" t="n">
        <v>46326</v>
      </c>
      <c r="F10697" t="inlineStr">
        <is>
          <t>GÄVLEBORGS LÄN</t>
        </is>
      </c>
      <c r="G10697" t="inlineStr">
        <is>
          <t>BOLLNÄS</t>
        </is>
      </c>
      <c r="I10697" t="n">
        <v>2.2</v>
      </c>
      <c r="J10697" t="n">
        <v>0</v>
      </c>
      <c r="K10697" t="n">
        <v>0</v>
      </c>
      <c r="L10697" t="n">
        <v>0</v>
      </c>
      <c r="M10697" t="n">
        <v>0</v>
      </c>
      <c r="N10697" t="n">
        <v>0</v>
      </c>
      <c r="O10697" t="n">
        <v>0</v>
      </c>
      <c r="P10697" t="n">
        <v>0</v>
      </c>
      <c r="Q10697" t="n">
        <v>0</v>
      </c>
      <c r="R10697" t="n">
        <v>0</v>
      </c>
      <c r="S10697" t="n">
        <v>0</v>
      </c>
      <c r="T10697" t="n">
        <v>0</v>
      </c>
      <c r="U10697" t="n">
        <v>0</v>
      </c>
      <c r="V10697" s="2" t="inlineStr"/>
    </row>
    <row r="10698" ht="15" customHeight="1">
      <c r="A10698" t="inlineStr">
        <is>
          <t>A 36250-2026</t>
        </is>
      </c>
      <c r="B10698" t="inlineStr">
        <is>
          <t>avverkningsanmälan</t>
        </is>
      </c>
      <c r="C10698" t="inlineStr">
        <is>
          <t>Föryngringsavverkning</t>
        </is>
      </c>
      <c r="D10698" s="1" t="n">
        <v>46268</v>
      </c>
      <c r="E10698" s="1" t="n">
        <v>46326</v>
      </c>
      <c r="F10698" t="inlineStr">
        <is>
          <t>GÄVLEBORGS LÄN</t>
        </is>
      </c>
      <c r="G10698" t="inlineStr">
        <is>
          <t>OVANÅKER</t>
        </is>
      </c>
      <c r="H10698" t="inlineStr">
        <is>
          <t>Bergvik skog väst AB</t>
        </is>
      </c>
      <c r="I10698" t="n">
        <v>3.2</v>
      </c>
      <c r="J10698" t="n">
        <v>0</v>
      </c>
      <c r="K10698" t="n">
        <v>0</v>
      </c>
      <c r="L10698" t="n">
        <v>0</v>
      </c>
      <c r="M10698" t="n">
        <v>0</v>
      </c>
      <c r="N10698" t="n">
        <v>0</v>
      </c>
      <c r="O10698" t="n">
        <v>0</v>
      </c>
      <c r="P10698" t="n">
        <v>0</v>
      </c>
      <c r="Q10698" t="n">
        <v>0</v>
      </c>
      <c r="R10698" t="n">
        <v>0</v>
      </c>
      <c r="S10698" t="n">
        <v>0</v>
      </c>
      <c r="T10698" t="n">
        <v>0</v>
      </c>
      <c r="U10698" t="n">
        <v>0</v>
      </c>
      <c r="V10698" s="2" t="inlineStr"/>
    </row>
    <row r="10699" ht="15" customHeight="1">
      <c r="A10699" t="inlineStr">
        <is>
          <t>A 36251-2026</t>
        </is>
      </c>
      <c r="B10699" t="inlineStr">
        <is>
          <t>avverkningsanmälan</t>
        </is>
      </c>
      <c r="C10699" t="inlineStr">
        <is>
          <t>Föryngringsavverkning</t>
        </is>
      </c>
      <c r="D10699" s="1" t="n">
        <v>46268</v>
      </c>
      <c r="E10699" s="1" t="n">
        <v>46326</v>
      </c>
      <c r="F10699" t="inlineStr">
        <is>
          <t>GÄVLEBORGS LÄN</t>
        </is>
      </c>
      <c r="G10699" t="inlineStr">
        <is>
          <t>LJUSDAL</t>
        </is>
      </c>
      <c r="I10699" t="n">
        <v>3.6</v>
      </c>
      <c r="J10699" t="n">
        <v>0</v>
      </c>
      <c r="K10699" t="n">
        <v>0</v>
      </c>
      <c r="L10699" t="n">
        <v>0</v>
      </c>
      <c r="M10699" t="n">
        <v>0</v>
      </c>
      <c r="N10699" t="n">
        <v>0</v>
      </c>
      <c r="O10699" t="n">
        <v>0</v>
      </c>
      <c r="P10699" t="n">
        <v>0</v>
      </c>
      <c r="Q10699" t="n">
        <v>0</v>
      </c>
      <c r="R10699" t="n">
        <v>0</v>
      </c>
      <c r="S10699" t="n">
        <v>0</v>
      </c>
      <c r="T10699" t="n">
        <v>0</v>
      </c>
      <c r="U10699" t="n">
        <v>0</v>
      </c>
      <c r="V10699" s="2" t="inlineStr"/>
    </row>
    <row r="10700" ht="15" customHeight="1">
      <c r="A10700" t="inlineStr">
        <is>
          <t>A 1974-2026</t>
        </is>
      </c>
      <c r="B10700" t="inlineStr">
        <is>
          <t>avverkningsanmälan</t>
        </is>
      </c>
      <c r="C10700" t="inlineStr">
        <is>
          <t>Föryngringsavverkning</t>
        </is>
      </c>
      <c r="D10700" s="1" t="n">
        <v>46035</v>
      </c>
      <c r="E10700" s="1" t="n">
        <v>46326</v>
      </c>
      <c r="F10700" t="inlineStr">
        <is>
          <t>GÄVLEBORGS LÄN</t>
        </is>
      </c>
      <c r="G10700" t="inlineStr">
        <is>
          <t>SANDVIKEN</t>
        </is>
      </c>
      <c r="I10700" t="n">
        <v>6.9</v>
      </c>
      <c r="J10700" t="n">
        <v>0</v>
      </c>
      <c r="K10700" t="n">
        <v>0</v>
      </c>
      <c r="L10700" t="n">
        <v>0</v>
      </c>
      <c r="M10700" t="n">
        <v>0</v>
      </c>
      <c r="N10700" t="n">
        <v>0</v>
      </c>
      <c r="O10700" t="n">
        <v>0</v>
      </c>
      <c r="P10700" t="n">
        <v>0</v>
      </c>
      <c r="Q10700" t="n">
        <v>0</v>
      </c>
      <c r="R10700" t="n">
        <v>0</v>
      </c>
      <c r="S10700" t="n">
        <v>0</v>
      </c>
      <c r="T10700" t="n">
        <v>0</v>
      </c>
      <c r="U10700" t="n">
        <v>0</v>
      </c>
      <c r="V10700" s="2" t="inlineStr"/>
    </row>
    <row r="10701" ht="15" customHeight="1">
      <c r="A10701" t="inlineStr">
        <is>
          <t>A 36318-2026</t>
        </is>
      </c>
      <c r="B10701" t="inlineStr">
        <is>
          <t>avverkningsanmälan</t>
        </is>
      </c>
      <c r="C10701" t="inlineStr">
        <is>
          <t>Föryngringsavverkning</t>
        </is>
      </c>
      <c r="D10701" s="1" t="n">
        <v>46268</v>
      </c>
      <c r="E10701" s="1" t="n">
        <v>46326</v>
      </c>
      <c r="F10701" t="inlineStr">
        <is>
          <t>GÄVLEBORGS LÄN</t>
        </is>
      </c>
      <c r="G10701" t="inlineStr">
        <is>
          <t>HUDIKSVALL</t>
        </is>
      </c>
      <c r="I10701" t="n">
        <v>2.6</v>
      </c>
      <c r="J10701" t="n">
        <v>0</v>
      </c>
      <c r="K10701" t="n">
        <v>0</v>
      </c>
      <c r="L10701" t="n">
        <v>0</v>
      </c>
      <c r="M10701" t="n">
        <v>0</v>
      </c>
      <c r="N10701" t="n">
        <v>0</v>
      </c>
      <c r="O10701" t="n">
        <v>0</v>
      </c>
      <c r="P10701" t="n">
        <v>0</v>
      </c>
      <c r="Q10701" t="n">
        <v>0</v>
      </c>
      <c r="R10701" t="n">
        <v>0</v>
      </c>
      <c r="S10701" t="n">
        <v>0</v>
      </c>
      <c r="T10701" t="n">
        <v>0</v>
      </c>
      <c r="U10701" t="n">
        <v>0</v>
      </c>
      <c r="V10701" s="2" t="inlineStr"/>
    </row>
    <row r="10702" ht="15" customHeight="1">
      <c r="A10702" t="inlineStr">
        <is>
          <t>A 35492-2026</t>
        </is>
      </c>
      <c r="B10702" t="inlineStr">
        <is>
          <t>avverkningsanmälan</t>
        </is>
      </c>
      <c r="C10702" t="inlineStr">
        <is>
          <t>Avverkning för annat ändamål</t>
        </is>
      </c>
      <c r="D10702" s="1" t="n">
        <v>46262</v>
      </c>
      <c r="E10702" s="1" t="n">
        <v>46326</v>
      </c>
      <c r="F10702" t="inlineStr">
        <is>
          <t>GÄVLEBORGS LÄN</t>
        </is>
      </c>
      <c r="G10702" t="inlineStr">
        <is>
          <t>SANDVIKEN</t>
        </is>
      </c>
      <c r="I10702" t="n">
        <v>5.2</v>
      </c>
      <c r="J10702" t="n">
        <v>0</v>
      </c>
      <c r="K10702" t="n">
        <v>0</v>
      </c>
      <c r="L10702" t="n">
        <v>0</v>
      </c>
      <c r="M10702" t="n">
        <v>0</v>
      </c>
      <c r="N10702" t="n">
        <v>0</v>
      </c>
      <c r="O10702" t="n">
        <v>0</v>
      </c>
      <c r="P10702" t="n">
        <v>0</v>
      </c>
      <c r="Q10702" t="n">
        <v>0</v>
      </c>
      <c r="R10702" t="n">
        <v>0</v>
      </c>
      <c r="S10702" t="n">
        <v>0</v>
      </c>
      <c r="T10702" t="n">
        <v>0</v>
      </c>
      <c r="U10702" t="n">
        <v>0</v>
      </c>
      <c r="V10702" s="2" t="inlineStr"/>
    </row>
    <row r="10703" ht="15" customHeight="1">
      <c r="A10703" t="inlineStr">
        <is>
          <t>A 43006-2026</t>
        </is>
      </c>
      <c r="B10703" t="inlineStr">
        <is>
          <t>avverkningsanmälan</t>
        </is>
      </c>
      <c r="C10703" t="inlineStr">
        <is>
          <t>Föryngringsavverkning</t>
        </is>
      </c>
      <c r="D10703" s="1" t="n">
        <v>46311</v>
      </c>
      <c r="E10703" s="1" t="n">
        <v>46326</v>
      </c>
      <c r="F10703" t="inlineStr">
        <is>
          <t>GÄVLEBORGS LÄN</t>
        </is>
      </c>
      <c r="G10703" t="inlineStr">
        <is>
          <t>HUDIKSVALL</t>
        </is>
      </c>
      <c r="H10703" t="inlineStr">
        <is>
          <t>Holmen skog AB</t>
        </is>
      </c>
      <c r="I10703" t="n">
        <v>13</v>
      </c>
      <c r="J10703" t="n">
        <v>0</v>
      </c>
      <c r="K10703" t="n">
        <v>0</v>
      </c>
      <c r="L10703" t="n">
        <v>0</v>
      </c>
      <c r="M10703" t="n">
        <v>0</v>
      </c>
      <c r="N10703" t="n">
        <v>0</v>
      </c>
      <c r="O10703" t="n">
        <v>0</v>
      </c>
      <c r="P10703" t="n">
        <v>0</v>
      </c>
      <c r="Q10703" t="n">
        <v>0</v>
      </c>
      <c r="R10703" t="n">
        <v>0</v>
      </c>
      <c r="S10703" t="n">
        <v>0</v>
      </c>
      <c r="T10703" t="n">
        <v>0</v>
      </c>
      <c r="U10703" t="n">
        <v>0</v>
      </c>
      <c r="V10703" s="2" t="inlineStr"/>
    </row>
    <row r="10704" ht="15" customHeight="1">
      <c r="A10704" t="inlineStr">
        <is>
          <t>A 36091-2026</t>
        </is>
      </c>
      <c r="B10704" t="inlineStr">
        <is>
          <t>avverkningsanmälan</t>
        </is>
      </c>
      <c r="C10704" t="inlineStr">
        <is>
          <t>Föryngringsavverkning</t>
        </is>
      </c>
      <c r="D10704" s="1" t="n">
        <v>46267</v>
      </c>
      <c r="E10704" s="1" t="n">
        <v>46326</v>
      </c>
      <c r="F10704" t="inlineStr">
        <is>
          <t>GÄVLEBORGS LÄN</t>
        </is>
      </c>
      <c r="G10704" t="inlineStr">
        <is>
          <t>GÄVLE</t>
        </is>
      </c>
      <c r="H10704" t="inlineStr">
        <is>
          <t>Bergvik skog öst AB</t>
        </is>
      </c>
      <c r="I10704" t="n">
        <v>2.6</v>
      </c>
      <c r="J10704" t="n">
        <v>0</v>
      </c>
      <c r="K10704" t="n">
        <v>0</v>
      </c>
      <c r="L10704" t="n">
        <v>0</v>
      </c>
      <c r="M10704" t="n">
        <v>0</v>
      </c>
      <c r="N10704" t="n">
        <v>0</v>
      </c>
      <c r="O10704" t="n">
        <v>0</v>
      </c>
      <c r="P10704" t="n">
        <v>0</v>
      </c>
      <c r="Q10704" t="n">
        <v>0</v>
      </c>
      <c r="R10704" t="n">
        <v>0</v>
      </c>
      <c r="S10704" t="n">
        <v>0</v>
      </c>
      <c r="T10704" t="n">
        <v>0</v>
      </c>
      <c r="U10704" t="n">
        <v>0</v>
      </c>
      <c r="V10704" s="2" t="inlineStr"/>
    </row>
    <row r="10705" ht="15" customHeight="1">
      <c r="A10705" t="inlineStr">
        <is>
          <t>A 36042-2026</t>
        </is>
      </c>
      <c r="B10705" t="inlineStr">
        <is>
          <t>avverkningsanmälan</t>
        </is>
      </c>
      <c r="C10705" t="inlineStr">
        <is>
          <t>Föryngringsavverkning</t>
        </is>
      </c>
      <c r="D10705" s="1" t="n">
        <v>46267</v>
      </c>
      <c r="E10705" s="1" t="n">
        <v>46326</v>
      </c>
      <c r="F10705" t="inlineStr">
        <is>
          <t>GÄVLEBORGS LÄN</t>
        </is>
      </c>
      <c r="G10705" t="inlineStr">
        <is>
          <t>HUDIKSVALL</t>
        </is>
      </c>
      <c r="I10705" t="n">
        <v>1.2</v>
      </c>
      <c r="J10705" t="n">
        <v>0</v>
      </c>
      <c r="K10705" t="n">
        <v>0</v>
      </c>
      <c r="L10705" t="n">
        <v>0</v>
      </c>
      <c r="M10705" t="n">
        <v>0</v>
      </c>
      <c r="N10705" t="n">
        <v>0</v>
      </c>
      <c r="O10705" t="n">
        <v>0</v>
      </c>
      <c r="P10705" t="n">
        <v>0</v>
      </c>
      <c r="Q10705" t="n">
        <v>0</v>
      </c>
      <c r="R10705" t="n">
        <v>0</v>
      </c>
      <c r="S10705" t="n">
        <v>0</v>
      </c>
      <c r="T10705" t="n">
        <v>0</v>
      </c>
      <c r="U10705" t="n">
        <v>0</v>
      </c>
      <c r="V10705" s="2" t="inlineStr"/>
    </row>
    <row r="10706" ht="15" customHeight="1">
      <c r="A10706" t="inlineStr">
        <is>
          <t>A 36097-2026</t>
        </is>
      </c>
      <c r="B10706" t="inlineStr">
        <is>
          <t>avverkningsanmälan</t>
        </is>
      </c>
      <c r="C10706" t="inlineStr">
        <is>
          <t>Föryngringsavverkning</t>
        </is>
      </c>
      <c r="D10706" s="1" t="n">
        <v>46267</v>
      </c>
      <c r="E10706" s="1" t="n">
        <v>46326</v>
      </c>
      <c r="F10706" t="inlineStr">
        <is>
          <t>GÄVLEBORGS LÄN</t>
        </is>
      </c>
      <c r="G10706" t="inlineStr">
        <is>
          <t>OCKELBO</t>
        </is>
      </c>
      <c r="H10706" t="inlineStr">
        <is>
          <t>Bergvik skog väst AB</t>
        </is>
      </c>
      <c r="I10706" t="n">
        <v>1.6</v>
      </c>
      <c r="J10706" t="n">
        <v>0</v>
      </c>
      <c r="K10706" t="n">
        <v>0</v>
      </c>
      <c r="L10706" t="n">
        <v>0</v>
      </c>
      <c r="M10706" t="n">
        <v>0</v>
      </c>
      <c r="N10706" t="n">
        <v>0</v>
      </c>
      <c r="O10706" t="n">
        <v>0</v>
      </c>
      <c r="P10706" t="n">
        <v>0</v>
      </c>
      <c r="Q10706" t="n">
        <v>0</v>
      </c>
      <c r="R10706" t="n">
        <v>0</v>
      </c>
      <c r="S10706" t="n">
        <v>0</v>
      </c>
      <c r="T10706" t="n">
        <v>0</v>
      </c>
      <c r="U10706" t="n">
        <v>0</v>
      </c>
      <c r="V10706" s="2" t="inlineStr"/>
    </row>
    <row r="10707" ht="15" customHeight="1">
      <c r="A10707" t="inlineStr">
        <is>
          <t>A 36109-2026</t>
        </is>
      </c>
      <c r="B10707" t="inlineStr">
        <is>
          <t>avverkningsanmälan</t>
        </is>
      </c>
      <c r="C10707" t="inlineStr">
        <is>
          <t>Föryngringsavverkning</t>
        </is>
      </c>
      <c r="D10707" s="1" t="n">
        <v>46267</v>
      </c>
      <c r="E10707" s="1" t="n">
        <v>46326</v>
      </c>
      <c r="F10707" t="inlineStr">
        <is>
          <t>GÄVLEBORGS LÄN</t>
        </is>
      </c>
      <c r="G10707" t="inlineStr">
        <is>
          <t>BOLLNÄS</t>
        </is>
      </c>
      <c r="I10707" t="n">
        <v>1.5</v>
      </c>
      <c r="J10707" t="n">
        <v>0</v>
      </c>
      <c r="K10707" t="n">
        <v>0</v>
      </c>
      <c r="L10707" t="n">
        <v>0</v>
      </c>
      <c r="M10707" t="n">
        <v>0</v>
      </c>
      <c r="N10707" t="n">
        <v>0</v>
      </c>
      <c r="O10707" t="n">
        <v>0</v>
      </c>
      <c r="P10707" t="n">
        <v>0</v>
      </c>
      <c r="Q10707" t="n">
        <v>0</v>
      </c>
      <c r="R10707" t="n">
        <v>0</v>
      </c>
      <c r="S10707" t="n">
        <v>0</v>
      </c>
      <c r="T10707" t="n">
        <v>0</v>
      </c>
      <c r="U10707" t="n">
        <v>0</v>
      </c>
      <c r="V10707" s="2" t="inlineStr"/>
    </row>
    <row r="10708" ht="15" customHeight="1">
      <c r="A10708" t="inlineStr">
        <is>
          <t>A 36123-2026</t>
        </is>
      </c>
      <c r="B10708" t="inlineStr">
        <is>
          <t>avverkningsanmälan</t>
        </is>
      </c>
      <c r="C10708" t="inlineStr">
        <is>
          <t>Avverkning för annat ändamål</t>
        </is>
      </c>
      <c r="D10708" s="1" t="n">
        <v>46267</v>
      </c>
      <c r="E10708" s="1" t="n">
        <v>46326</v>
      </c>
      <c r="F10708" t="inlineStr">
        <is>
          <t>GÄVLEBORGS LÄN</t>
        </is>
      </c>
      <c r="G10708" t="inlineStr">
        <is>
          <t>LJUSDAL</t>
        </is>
      </c>
      <c r="H10708" t="inlineStr">
        <is>
          <t>Bergvik skog väst AB</t>
        </is>
      </c>
      <c r="I10708" t="n">
        <v>1</v>
      </c>
      <c r="J10708" t="n">
        <v>0</v>
      </c>
      <c r="K10708" t="n">
        <v>0</v>
      </c>
      <c r="L10708" t="n">
        <v>0</v>
      </c>
      <c r="M10708" t="n">
        <v>0</v>
      </c>
      <c r="N10708" t="n">
        <v>0</v>
      </c>
      <c r="O10708" t="n">
        <v>0</v>
      </c>
      <c r="P10708" t="n">
        <v>0</v>
      </c>
      <c r="Q10708" t="n">
        <v>0</v>
      </c>
      <c r="R10708" t="n">
        <v>0</v>
      </c>
      <c r="S10708" t="n">
        <v>0</v>
      </c>
      <c r="T10708" t="n">
        <v>0</v>
      </c>
      <c r="U10708" t="n">
        <v>0</v>
      </c>
      <c r="V10708" s="2" t="inlineStr"/>
    </row>
    <row r="10709" ht="15" customHeight="1">
      <c r="A10709" t="inlineStr">
        <is>
          <t>A 42877-2026</t>
        </is>
      </c>
      <c r="B10709" t="inlineStr">
        <is>
          <t>avverkningsanmälan</t>
        </is>
      </c>
      <c r="C10709" t="inlineStr">
        <is>
          <t>Föryngringsavverkning</t>
        </is>
      </c>
      <c r="D10709" s="1" t="n">
        <v>46310</v>
      </c>
      <c r="E10709" s="1" t="n">
        <v>46326</v>
      </c>
      <c r="F10709" t="inlineStr">
        <is>
          <t>GÄVLEBORGS LÄN</t>
        </is>
      </c>
      <c r="G10709" t="inlineStr">
        <is>
          <t>OVANÅKER</t>
        </is>
      </c>
      <c r="H10709" t="inlineStr">
        <is>
          <t>Bergvik skog väst AB</t>
        </is>
      </c>
      <c r="I10709" t="n">
        <v>8</v>
      </c>
      <c r="J10709" t="n">
        <v>0</v>
      </c>
      <c r="K10709" t="n">
        <v>0</v>
      </c>
      <c r="L10709" t="n">
        <v>0</v>
      </c>
      <c r="M10709" t="n">
        <v>0</v>
      </c>
      <c r="N10709" t="n">
        <v>0</v>
      </c>
      <c r="O10709" t="n">
        <v>0</v>
      </c>
      <c r="P10709" t="n">
        <v>0</v>
      </c>
      <c r="Q10709" t="n">
        <v>0</v>
      </c>
      <c r="R10709" t="n">
        <v>0</v>
      </c>
      <c r="S10709" t="n">
        <v>0</v>
      </c>
      <c r="T10709" t="n">
        <v>0</v>
      </c>
      <c r="U10709" t="n">
        <v>0</v>
      </c>
      <c r="V10709" s="2" t="inlineStr"/>
    </row>
    <row r="10710" ht="15" customHeight="1">
      <c r="A10710" t="inlineStr">
        <is>
          <t>A 43050-2026</t>
        </is>
      </c>
      <c r="B10710" t="inlineStr">
        <is>
          <t>avverkningsanmälan</t>
        </is>
      </c>
      <c r="C10710" t="inlineStr">
        <is>
          <t>Föryngringsavverkning</t>
        </is>
      </c>
      <c r="D10710" s="1" t="n">
        <v>46311</v>
      </c>
      <c r="E10710" s="1" t="n">
        <v>46326</v>
      </c>
      <c r="F10710" t="inlineStr">
        <is>
          <t>GÄVLEBORGS LÄN</t>
        </is>
      </c>
      <c r="G10710" t="inlineStr">
        <is>
          <t>LJUSDAL</t>
        </is>
      </c>
      <c r="H10710" t="inlineStr">
        <is>
          <t>Sveaskog</t>
        </is>
      </c>
      <c r="I10710" t="n">
        <v>1.6</v>
      </c>
      <c r="J10710" t="n">
        <v>0</v>
      </c>
      <c r="K10710" t="n">
        <v>0</v>
      </c>
      <c r="L10710" t="n">
        <v>0</v>
      </c>
      <c r="M10710" t="n">
        <v>0</v>
      </c>
      <c r="N10710" t="n">
        <v>0</v>
      </c>
      <c r="O10710" t="n">
        <v>0</v>
      </c>
      <c r="P10710" t="n">
        <v>0</v>
      </c>
      <c r="Q10710" t="n">
        <v>0</v>
      </c>
      <c r="R10710" t="n">
        <v>0</v>
      </c>
      <c r="S10710" t="n">
        <v>0</v>
      </c>
      <c r="T10710" t="n">
        <v>0</v>
      </c>
      <c r="U10710" t="n">
        <v>0</v>
      </c>
      <c r="V10710" s="2" t="inlineStr"/>
    </row>
    <row r="10711" ht="15" customHeight="1">
      <c r="A10711" t="inlineStr">
        <is>
          <t>A 43065-2026</t>
        </is>
      </c>
      <c r="B10711" t="inlineStr">
        <is>
          <t>avverkningsanmälan</t>
        </is>
      </c>
      <c r="C10711" t="inlineStr">
        <is>
          <t>Föryngringsavverkning</t>
        </is>
      </c>
      <c r="D10711" s="1" t="n">
        <v>46311</v>
      </c>
      <c r="E10711" s="1" t="n">
        <v>46326</v>
      </c>
      <c r="F10711" t="inlineStr">
        <is>
          <t>GÄVLEBORGS LÄN</t>
        </is>
      </c>
      <c r="G10711" t="inlineStr">
        <is>
          <t>HUDIKSVALL</t>
        </is>
      </c>
      <c r="I10711" t="n">
        <v>1.2</v>
      </c>
      <c r="J10711" t="n">
        <v>0</v>
      </c>
      <c r="K10711" t="n">
        <v>0</v>
      </c>
      <c r="L10711" t="n">
        <v>0</v>
      </c>
      <c r="M10711" t="n">
        <v>0</v>
      </c>
      <c r="N10711" t="n">
        <v>0</v>
      </c>
      <c r="O10711" t="n">
        <v>0</v>
      </c>
      <c r="P10711" t="n">
        <v>0</v>
      </c>
      <c r="Q10711" t="n">
        <v>0</v>
      </c>
      <c r="R10711" t="n">
        <v>0</v>
      </c>
      <c r="S10711" t="n">
        <v>0</v>
      </c>
      <c r="T10711" t="n">
        <v>0</v>
      </c>
      <c r="U10711" t="n">
        <v>0</v>
      </c>
      <c r="V10711" s="2" t="inlineStr"/>
    </row>
    <row r="10712" ht="15" customHeight="1">
      <c r="A10712" t="inlineStr">
        <is>
          <t>A 31274-2026</t>
        </is>
      </c>
      <c r="B10712" t="inlineStr">
        <is>
          <t>avverkningsanmälan</t>
        </is>
      </c>
      <c r="C10712" t="inlineStr">
        <is>
          <t>Föryngringsavverkning</t>
        </is>
      </c>
      <c r="D10712" s="1" t="n">
        <v>46218</v>
      </c>
      <c r="E10712" s="1" t="n">
        <v>46326</v>
      </c>
      <c r="F10712" t="inlineStr">
        <is>
          <t>GÄVLEBORGS LÄN</t>
        </is>
      </c>
      <c r="G10712" t="inlineStr">
        <is>
          <t>SÖDERHAMN</t>
        </is>
      </c>
      <c r="H10712" t="inlineStr">
        <is>
          <t>Bergvik skog väst AB</t>
        </is>
      </c>
      <c r="I10712" t="n">
        <v>0.9</v>
      </c>
      <c r="J10712" t="n">
        <v>0</v>
      </c>
      <c r="K10712" t="n">
        <v>0</v>
      </c>
      <c r="L10712" t="n">
        <v>0</v>
      </c>
      <c r="M10712" t="n">
        <v>0</v>
      </c>
      <c r="N10712" t="n">
        <v>0</v>
      </c>
      <c r="O10712" t="n">
        <v>0</v>
      </c>
      <c r="P10712" t="n">
        <v>0</v>
      </c>
      <c r="Q10712" t="n">
        <v>0</v>
      </c>
      <c r="R10712" t="n">
        <v>0</v>
      </c>
      <c r="S10712" t="n">
        <v>0</v>
      </c>
      <c r="T10712" t="n">
        <v>0</v>
      </c>
      <c r="U10712" t="n">
        <v>0</v>
      </c>
      <c r="V10712" s="2" t="inlineStr"/>
    </row>
    <row r="10713" ht="15" customHeight="1">
      <c r="A10713" t="inlineStr">
        <is>
          <t>A 43120-2026</t>
        </is>
      </c>
      <c r="B10713" t="inlineStr">
        <is>
          <t>avverkningsanmälan</t>
        </is>
      </c>
      <c r="C10713" t="inlineStr">
        <is>
          <t>Föryngringsavverkning</t>
        </is>
      </c>
      <c r="D10713" s="1" t="n">
        <v>46311</v>
      </c>
      <c r="E10713" s="1" t="n">
        <v>46326</v>
      </c>
      <c r="F10713" t="inlineStr">
        <is>
          <t>GÄVLEBORGS LÄN</t>
        </is>
      </c>
      <c r="G10713" t="inlineStr">
        <is>
          <t>OVANÅKER</t>
        </is>
      </c>
      <c r="I10713" t="n">
        <v>2.8</v>
      </c>
      <c r="J10713" t="n">
        <v>0</v>
      </c>
      <c r="K10713" t="n">
        <v>0</v>
      </c>
      <c r="L10713" t="n">
        <v>0</v>
      </c>
      <c r="M10713" t="n">
        <v>0</v>
      </c>
      <c r="N10713" t="n">
        <v>0</v>
      </c>
      <c r="O10713" t="n">
        <v>0</v>
      </c>
      <c r="P10713" t="n">
        <v>0</v>
      </c>
      <c r="Q10713" t="n">
        <v>0</v>
      </c>
      <c r="R10713" t="n">
        <v>0</v>
      </c>
      <c r="S10713" t="n">
        <v>0</v>
      </c>
      <c r="T10713" t="n">
        <v>0</v>
      </c>
      <c r="U10713" t="n">
        <v>0</v>
      </c>
      <c r="V10713" s="2" t="inlineStr"/>
    </row>
    <row r="10714" ht="15" customHeight="1">
      <c r="A10714" t="inlineStr">
        <is>
          <t>A 31566-2026</t>
        </is>
      </c>
      <c r="B10714" t="inlineStr">
        <is>
          <t>avverkningsanmälan</t>
        </is>
      </c>
      <c r="C10714" t="inlineStr">
        <is>
          <t>Föryngringsavverkning</t>
        </is>
      </c>
      <c r="D10714" s="1" t="n">
        <v>46223</v>
      </c>
      <c r="E10714" s="1" t="n">
        <v>46326</v>
      </c>
      <c r="F10714" t="inlineStr">
        <is>
          <t>GÄVLEBORGS LÄN</t>
        </is>
      </c>
      <c r="G10714" t="inlineStr">
        <is>
          <t>GÄVLE</t>
        </is>
      </c>
      <c r="H10714" t="inlineStr">
        <is>
          <t>Bergvik skog väst AB</t>
        </is>
      </c>
      <c r="I10714" t="n">
        <v>10.2</v>
      </c>
      <c r="J10714" t="n">
        <v>0</v>
      </c>
      <c r="K10714" t="n">
        <v>0</v>
      </c>
      <c r="L10714" t="n">
        <v>0</v>
      </c>
      <c r="M10714" t="n">
        <v>0</v>
      </c>
      <c r="N10714" t="n">
        <v>0</v>
      </c>
      <c r="O10714" t="n">
        <v>0</v>
      </c>
      <c r="P10714" t="n">
        <v>0</v>
      </c>
      <c r="Q10714" t="n">
        <v>0</v>
      </c>
      <c r="R10714" t="n">
        <v>0</v>
      </c>
      <c r="S10714" t="n">
        <v>0</v>
      </c>
      <c r="T10714" t="n">
        <v>0</v>
      </c>
      <c r="U10714" t="n">
        <v>0</v>
      </c>
      <c r="V10714" s="2" t="inlineStr"/>
    </row>
    <row r="10715" ht="15" customHeight="1">
      <c r="A10715" t="inlineStr">
        <is>
          <t>A 36061-2026</t>
        </is>
      </c>
      <c r="B10715" t="inlineStr">
        <is>
          <t>avverkningsanmälan</t>
        </is>
      </c>
      <c r="C10715" t="inlineStr">
        <is>
          <t>Föryngringsavverkning</t>
        </is>
      </c>
      <c r="D10715" s="1" t="n">
        <v>46267</v>
      </c>
      <c r="E10715" s="1" t="n">
        <v>46326</v>
      </c>
      <c r="F10715" t="inlineStr">
        <is>
          <t>GÄVLEBORGS LÄN</t>
        </is>
      </c>
      <c r="G10715" t="inlineStr">
        <is>
          <t>BOLLNÄS</t>
        </is>
      </c>
      <c r="H10715" t="inlineStr">
        <is>
          <t>Bergvik skog väst AB</t>
        </is>
      </c>
      <c r="I10715" t="n">
        <v>0.8</v>
      </c>
      <c r="J10715" t="n">
        <v>0</v>
      </c>
      <c r="K10715" t="n">
        <v>0</v>
      </c>
      <c r="L10715" t="n">
        <v>0</v>
      </c>
      <c r="M10715" t="n">
        <v>0</v>
      </c>
      <c r="N10715" t="n">
        <v>0</v>
      </c>
      <c r="O10715" t="n">
        <v>0</v>
      </c>
      <c r="P10715" t="n">
        <v>0</v>
      </c>
      <c r="Q10715" t="n">
        <v>0</v>
      </c>
      <c r="R10715" t="n">
        <v>0</v>
      </c>
      <c r="S10715" t="n">
        <v>0</v>
      </c>
      <c r="T10715" t="n">
        <v>0</v>
      </c>
      <c r="U10715" t="n">
        <v>0</v>
      </c>
      <c r="V10715" s="2" t="inlineStr"/>
    </row>
    <row r="10716" ht="15" customHeight="1">
      <c r="A10716" t="inlineStr">
        <is>
          <t>A 36079-2026</t>
        </is>
      </c>
      <c r="B10716" t="inlineStr">
        <is>
          <t>avverkningsanmälan</t>
        </is>
      </c>
      <c r="C10716" t="inlineStr">
        <is>
          <t>Föryngringsavverkning</t>
        </is>
      </c>
      <c r="D10716" s="1" t="n">
        <v>46267</v>
      </c>
      <c r="E10716" s="1" t="n">
        <v>46326</v>
      </c>
      <c r="F10716" t="inlineStr">
        <is>
          <t>GÄVLEBORGS LÄN</t>
        </is>
      </c>
      <c r="G10716" t="inlineStr">
        <is>
          <t>LJUSDAL</t>
        </is>
      </c>
      <c r="H10716" t="inlineStr">
        <is>
          <t>Bergvik skog väst AB</t>
        </is>
      </c>
      <c r="I10716" t="n">
        <v>9.199999999999999</v>
      </c>
      <c r="J10716" t="n">
        <v>0</v>
      </c>
      <c r="K10716" t="n">
        <v>0</v>
      </c>
      <c r="L10716" t="n">
        <v>0</v>
      </c>
      <c r="M10716" t="n">
        <v>0</v>
      </c>
      <c r="N10716" t="n">
        <v>0</v>
      </c>
      <c r="O10716" t="n">
        <v>0</v>
      </c>
      <c r="P10716" t="n">
        <v>0</v>
      </c>
      <c r="Q10716" t="n">
        <v>0</v>
      </c>
      <c r="R10716" t="n">
        <v>0</v>
      </c>
      <c r="S10716" t="n">
        <v>0</v>
      </c>
      <c r="T10716" t="n">
        <v>0</v>
      </c>
      <c r="U10716" t="n">
        <v>0</v>
      </c>
      <c r="V10716" s="2" t="inlineStr"/>
    </row>
    <row r="10717" ht="15" customHeight="1">
      <c r="A10717" t="inlineStr">
        <is>
          <t>A 36092-2026</t>
        </is>
      </c>
      <c r="B10717" t="inlineStr">
        <is>
          <t>avverkningsanmälan</t>
        </is>
      </c>
      <c r="C10717" t="inlineStr">
        <is>
          <t>Föryngringsavverkning</t>
        </is>
      </c>
      <c r="D10717" s="1" t="n">
        <v>46267</v>
      </c>
      <c r="E10717" s="1" t="n">
        <v>46326</v>
      </c>
      <c r="F10717" t="inlineStr">
        <is>
          <t>GÄVLEBORGS LÄN</t>
        </is>
      </c>
      <c r="G10717" t="inlineStr">
        <is>
          <t>LJUSDAL</t>
        </is>
      </c>
      <c r="I10717" t="n">
        <v>2.3</v>
      </c>
      <c r="J10717" t="n">
        <v>0</v>
      </c>
      <c r="K10717" t="n">
        <v>0</v>
      </c>
      <c r="L10717" t="n">
        <v>0</v>
      </c>
      <c r="M10717" t="n">
        <v>0</v>
      </c>
      <c r="N10717" t="n">
        <v>0</v>
      </c>
      <c r="O10717" t="n">
        <v>0</v>
      </c>
      <c r="P10717" t="n">
        <v>0</v>
      </c>
      <c r="Q10717" t="n">
        <v>0</v>
      </c>
      <c r="R10717" t="n">
        <v>0</v>
      </c>
      <c r="S10717" t="n">
        <v>0</v>
      </c>
      <c r="T10717" t="n">
        <v>0</v>
      </c>
      <c r="U10717" t="n">
        <v>0</v>
      </c>
      <c r="V10717" s="2" t="inlineStr"/>
    </row>
    <row r="10718" ht="15" customHeight="1">
      <c r="A10718" t="inlineStr">
        <is>
          <t>A 42876-2026</t>
        </is>
      </c>
      <c r="B10718" t="inlineStr">
        <is>
          <t>avverkningsanmälan</t>
        </is>
      </c>
      <c r="C10718" t="inlineStr">
        <is>
          <t>Föryngringsavverkning</t>
        </is>
      </c>
      <c r="D10718" s="1" t="n">
        <v>46310</v>
      </c>
      <c r="E10718" s="1" t="n">
        <v>46326</v>
      </c>
      <c r="F10718" t="inlineStr">
        <is>
          <t>GÄVLEBORGS LÄN</t>
        </is>
      </c>
      <c r="G10718" t="inlineStr">
        <is>
          <t>HUDIKSVALL</t>
        </is>
      </c>
      <c r="I10718" t="n">
        <v>15.7</v>
      </c>
      <c r="J10718" t="n">
        <v>0</v>
      </c>
      <c r="K10718" t="n">
        <v>0</v>
      </c>
      <c r="L10718" t="n">
        <v>0</v>
      </c>
      <c r="M10718" t="n">
        <v>0</v>
      </c>
      <c r="N10718" t="n">
        <v>0</v>
      </c>
      <c r="O10718" t="n">
        <v>0</v>
      </c>
      <c r="P10718" t="n">
        <v>0</v>
      </c>
      <c r="Q10718" t="n">
        <v>0</v>
      </c>
      <c r="R10718" t="n">
        <v>0</v>
      </c>
      <c r="S10718" t="n">
        <v>0</v>
      </c>
      <c r="T10718" t="n">
        <v>0</v>
      </c>
      <c r="U10718" t="n">
        <v>0</v>
      </c>
      <c r="V10718" s="2" t="inlineStr"/>
    </row>
    <row r="10719" ht="15" customHeight="1">
      <c r="A10719" t="inlineStr">
        <is>
          <t>A 42942-2026</t>
        </is>
      </c>
      <c r="B10719" t="inlineStr">
        <is>
          <t>avverkningsanmälan</t>
        </is>
      </c>
      <c r="C10719" t="inlineStr">
        <is>
          <t>Föryngringsavverkning</t>
        </is>
      </c>
      <c r="D10719" s="1" t="n">
        <v>46310</v>
      </c>
      <c r="E10719" s="1" t="n">
        <v>46326</v>
      </c>
      <c r="F10719" t="inlineStr">
        <is>
          <t>GÄVLEBORGS LÄN</t>
        </is>
      </c>
      <c r="G10719" t="inlineStr">
        <is>
          <t>LJUSDAL</t>
        </is>
      </c>
      <c r="I10719" t="n">
        <v>1.1</v>
      </c>
      <c r="J10719" t="n">
        <v>0</v>
      </c>
      <c r="K10719" t="n">
        <v>0</v>
      </c>
      <c r="L10719" t="n">
        <v>0</v>
      </c>
      <c r="M10719" t="n">
        <v>0</v>
      </c>
      <c r="N10719" t="n">
        <v>0</v>
      </c>
      <c r="O10719" t="n">
        <v>0</v>
      </c>
      <c r="P10719" t="n">
        <v>0</v>
      </c>
      <c r="Q10719" t="n">
        <v>0</v>
      </c>
      <c r="R10719" t="n">
        <v>0</v>
      </c>
      <c r="S10719" t="n">
        <v>0</v>
      </c>
      <c r="T10719" t="n">
        <v>0</v>
      </c>
      <c r="U10719" t="n">
        <v>0</v>
      </c>
      <c r="V10719" s="2" t="inlineStr"/>
    </row>
    <row r="10720" ht="15" customHeight="1">
      <c r="A10720" t="inlineStr">
        <is>
          <t>A 42951-2026</t>
        </is>
      </c>
      <c r="B10720" t="inlineStr">
        <is>
          <t>avverkningsanmälan</t>
        </is>
      </c>
      <c r="C10720" t="inlineStr">
        <is>
          <t>Föryngringsavverkning</t>
        </is>
      </c>
      <c r="D10720" s="1" t="n">
        <v>46310</v>
      </c>
      <c r="E10720" s="1" t="n">
        <v>46326</v>
      </c>
      <c r="F10720" t="inlineStr">
        <is>
          <t>GÄVLEBORGS LÄN</t>
        </is>
      </c>
      <c r="G10720" t="inlineStr">
        <is>
          <t>HUDIKSVALL</t>
        </is>
      </c>
      <c r="H10720" t="inlineStr">
        <is>
          <t>Holmen skog AB</t>
        </is>
      </c>
      <c r="I10720" t="n">
        <v>2.5</v>
      </c>
      <c r="J10720" t="n">
        <v>0</v>
      </c>
      <c r="K10720" t="n">
        <v>0</v>
      </c>
      <c r="L10720" t="n">
        <v>0</v>
      </c>
      <c r="M10720" t="n">
        <v>0</v>
      </c>
      <c r="N10720" t="n">
        <v>0</v>
      </c>
      <c r="O10720" t="n">
        <v>0</v>
      </c>
      <c r="P10720" t="n">
        <v>0</v>
      </c>
      <c r="Q10720" t="n">
        <v>0</v>
      </c>
      <c r="R10720" t="n">
        <v>0</v>
      </c>
      <c r="S10720" t="n">
        <v>0</v>
      </c>
      <c r="T10720" t="n">
        <v>0</v>
      </c>
      <c r="U10720" t="n">
        <v>0</v>
      </c>
      <c r="V10720" s="2" t="inlineStr"/>
    </row>
    <row r="10721" ht="15" customHeight="1">
      <c r="A10721" t="inlineStr">
        <is>
          <t>A 42980-2026</t>
        </is>
      </c>
      <c r="B10721" t="inlineStr">
        <is>
          <t>avverkningsanmälan</t>
        </is>
      </c>
      <c r="C10721" t="inlineStr">
        <is>
          <t>Föryngringsavverkning</t>
        </is>
      </c>
      <c r="D10721" s="1" t="n">
        <v>46310</v>
      </c>
      <c r="E10721" s="1" t="n">
        <v>46326</v>
      </c>
      <c r="F10721" t="inlineStr">
        <is>
          <t>GÄVLEBORGS LÄN</t>
        </is>
      </c>
      <c r="G10721" t="inlineStr">
        <is>
          <t>LJUSDAL</t>
        </is>
      </c>
      <c r="I10721" t="n">
        <v>2.6</v>
      </c>
      <c r="J10721" t="n">
        <v>0</v>
      </c>
      <c r="K10721" t="n">
        <v>0</v>
      </c>
      <c r="L10721" t="n">
        <v>0</v>
      </c>
      <c r="M10721" t="n">
        <v>0</v>
      </c>
      <c r="N10721" t="n">
        <v>0</v>
      </c>
      <c r="O10721" t="n">
        <v>0</v>
      </c>
      <c r="P10721" t="n">
        <v>0</v>
      </c>
      <c r="Q10721" t="n">
        <v>0</v>
      </c>
      <c r="R10721" t="n">
        <v>0</v>
      </c>
      <c r="S10721" t="n">
        <v>0</v>
      </c>
      <c r="T10721" t="n">
        <v>0</v>
      </c>
      <c r="U10721" t="n">
        <v>0</v>
      </c>
      <c r="V10721" s="2" t="inlineStr"/>
    </row>
    <row r="10722" ht="15" customHeight="1">
      <c r="A10722" t="inlineStr">
        <is>
          <t>A 43020-2026</t>
        </is>
      </c>
      <c r="B10722" t="inlineStr">
        <is>
          <t>avverkningsanmälan</t>
        </is>
      </c>
      <c r="C10722" t="inlineStr">
        <is>
          <t>Föryngringsavverkning</t>
        </is>
      </c>
      <c r="D10722" s="1" t="n">
        <v>46311</v>
      </c>
      <c r="E10722" s="1" t="n">
        <v>46326</v>
      </c>
      <c r="F10722" t="inlineStr">
        <is>
          <t>GÄVLEBORGS LÄN</t>
        </is>
      </c>
      <c r="G10722" t="inlineStr">
        <is>
          <t>HUDIKSVALL</t>
        </is>
      </c>
      <c r="H10722" t="inlineStr">
        <is>
          <t>Holmen skog AB</t>
        </is>
      </c>
      <c r="I10722" t="n">
        <v>2.5</v>
      </c>
      <c r="J10722" t="n">
        <v>0</v>
      </c>
      <c r="K10722" t="n">
        <v>0</v>
      </c>
      <c r="L10722" t="n">
        <v>0</v>
      </c>
      <c r="M10722" t="n">
        <v>0</v>
      </c>
      <c r="N10722" t="n">
        <v>0</v>
      </c>
      <c r="O10722" t="n">
        <v>0</v>
      </c>
      <c r="P10722" t="n">
        <v>0</v>
      </c>
      <c r="Q10722" t="n">
        <v>0</v>
      </c>
      <c r="R10722" t="n">
        <v>0</v>
      </c>
      <c r="S10722" t="n">
        <v>0</v>
      </c>
      <c r="T10722" t="n">
        <v>0</v>
      </c>
      <c r="U10722" t="n">
        <v>0</v>
      </c>
      <c r="V10722" s="2" t="inlineStr"/>
    </row>
    <row r="10723" ht="15" customHeight="1">
      <c r="A10723" t="inlineStr">
        <is>
          <t>A 43048-2026</t>
        </is>
      </c>
      <c r="B10723" t="inlineStr">
        <is>
          <t>avverkningsanmälan</t>
        </is>
      </c>
      <c r="C10723" t="inlineStr">
        <is>
          <t>Föryngringsavverkning</t>
        </is>
      </c>
      <c r="D10723" s="1" t="n">
        <v>46311</v>
      </c>
      <c r="E10723" s="1" t="n">
        <v>46326</v>
      </c>
      <c r="F10723" t="inlineStr">
        <is>
          <t>GÄVLEBORGS LÄN</t>
        </is>
      </c>
      <c r="G10723" t="inlineStr">
        <is>
          <t>LJUSDAL</t>
        </is>
      </c>
      <c r="H10723" t="inlineStr">
        <is>
          <t>Sveaskog</t>
        </is>
      </c>
      <c r="I10723" t="n">
        <v>7.2</v>
      </c>
      <c r="J10723" t="n">
        <v>0</v>
      </c>
      <c r="K10723" t="n">
        <v>0</v>
      </c>
      <c r="L10723" t="n">
        <v>0</v>
      </c>
      <c r="M10723" t="n">
        <v>0</v>
      </c>
      <c r="N10723" t="n">
        <v>0</v>
      </c>
      <c r="O10723" t="n">
        <v>0</v>
      </c>
      <c r="P10723" t="n">
        <v>0</v>
      </c>
      <c r="Q10723" t="n">
        <v>0</v>
      </c>
      <c r="R10723" t="n">
        <v>0</v>
      </c>
      <c r="S10723" t="n">
        <v>0</v>
      </c>
      <c r="T10723" t="n">
        <v>0</v>
      </c>
      <c r="U10723" t="n">
        <v>0</v>
      </c>
      <c r="V10723" s="2" t="inlineStr"/>
    </row>
    <row r="10724" ht="15" customHeight="1">
      <c r="A10724" t="inlineStr">
        <is>
          <t>A 43135-2026</t>
        </is>
      </c>
      <c r="B10724" t="inlineStr">
        <is>
          <t>avverkningsanmälan</t>
        </is>
      </c>
      <c r="C10724" t="inlineStr">
        <is>
          <t>Föryngringsavverkning</t>
        </is>
      </c>
      <c r="D10724" s="1" t="n">
        <v>46311</v>
      </c>
      <c r="E10724" s="1" t="n">
        <v>46326</v>
      </c>
      <c r="F10724" t="inlineStr">
        <is>
          <t>GÄVLEBORGS LÄN</t>
        </is>
      </c>
      <c r="G10724" t="inlineStr">
        <is>
          <t>OCKELBO</t>
        </is>
      </c>
      <c r="H10724" t="inlineStr">
        <is>
          <t>Bergvik skog väst AB</t>
        </is>
      </c>
      <c r="I10724" t="n">
        <v>0.7</v>
      </c>
      <c r="J10724" t="n">
        <v>0</v>
      </c>
      <c r="K10724" t="n">
        <v>0</v>
      </c>
      <c r="L10724" t="n">
        <v>0</v>
      </c>
      <c r="M10724" t="n">
        <v>0</v>
      </c>
      <c r="N10724" t="n">
        <v>0</v>
      </c>
      <c r="O10724" t="n">
        <v>0</v>
      </c>
      <c r="P10724" t="n">
        <v>0</v>
      </c>
      <c r="Q10724" t="n">
        <v>0</v>
      </c>
      <c r="R10724" t="n">
        <v>0</v>
      </c>
      <c r="S10724" t="n">
        <v>0</v>
      </c>
      <c r="T10724" t="n">
        <v>0</v>
      </c>
      <c r="U10724" t="n">
        <v>0</v>
      </c>
      <c r="V10724" s="2" t="inlineStr"/>
    </row>
    <row r="10725" ht="15" customHeight="1">
      <c r="A10725" t="inlineStr">
        <is>
          <t>A 43091-2026</t>
        </is>
      </c>
      <c r="B10725" t="inlineStr">
        <is>
          <t>avverkningsanmälan</t>
        </is>
      </c>
      <c r="C10725" t="inlineStr">
        <is>
          <t>Föryngringsavverkning</t>
        </is>
      </c>
      <c r="D10725" s="1" t="n">
        <v>46311</v>
      </c>
      <c r="E10725" s="1" t="n">
        <v>46326</v>
      </c>
      <c r="F10725" t="inlineStr">
        <is>
          <t>GÄVLEBORGS LÄN</t>
        </is>
      </c>
      <c r="G10725" t="inlineStr">
        <is>
          <t>HUDIKSVALL</t>
        </is>
      </c>
      <c r="I10725" t="n">
        <v>0.5</v>
      </c>
      <c r="J10725" t="n">
        <v>0</v>
      </c>
      <c r="K10725" t="n">
        <v>0</v>
      </c>
      <c r="L10725" t="n">
        <v>0</v>
      </c>
      <c r="M10725" t="n">
        <v>0</v>
      </c>
      <c r="N10725" t="n">
        <v>0</v>
      </c>
      <c r="O10725" t="n">
        <v>0</v>
      </c>
      <c r="P10725" t="n">
        <v>0</v>
      </c>
      <c r="Q10725" t="n">
        <v>0</v>
      </c>
      <c r="R10725" t="n">
        <v>0</v>
      </c>
      <c r="S10725" t="n">
        <v>0</v>
      </c>
      <c r="T10725" t="n">
        <v>0</v>
      </c>
      <c r="U10725" t="n">
        <v>0</v>
      </c>
      <c r="V10725" s="2" t="inlineStr"/>
    </row>
    <row r="10726" ht="15" customHeight="1">
      <c r="A10726" t="inlineStr">
        <is>
          <t>A 62495-2025</t>
        </is>
      </c>
      <c r="B10726" t="inlineStr">
        <is>
          <t>avverkningsanmälan</t>
        </is>
      </c>
      <c r="C10726" t="inlineStr">
        <is>
          <t>Föryngringsavverkning</t>
        </is>
      </c>
      <c r="D10726" s="1" t="n">
        <v>46007</v>
      </c>
      <c r="E10726" s="1" t="n">
        <v>46326</v>
      </c>
      <c r="F10726" t="inlineStr">
        <is>
          <t>GÄVLEBORGS LÄN</t>
        </is>
      </c>
      <c r="G10726" t="inlineStr">
        <is>
          <t>NORDANSTIG</t>
        </is>
      </c>
      <c r="I10726" t="n">
        <v>1.7</v>
      </c>
      <c r="J10726" t="n">
        <v>0</v>
      </c>
      <c r="K10726" t="n">
        <v>0</v>
      </c>
      <c r="L10726" t="n">
        <v>0</v>
      </c>
      <c r="M10726" t="n">
        <v>0</v>
      </c>
      <c r="N10726" t="n">
        <v>0</v>
      </c>
      <c r="O10726" t="n">
        <v>0</v>
      </c>
      <c r="P10726" t="n">
        <v>0</v>
      </c>
      <c r="Q10726" t="n">
        <v>0</v>
      </c>
      <c r="R10726" t="n">
        <v>0</v>
      </c>
      <c r="S10726" t="n">
        <v>0</v>
      </c>
      <c r="T10726" t="n">
        <v>0</v>
      </c>
      <c r="U10726" t="n">
        <v>0</v>
      </c>
      <c r="V10726" s="2" t="inlineStr"/>
    </row>
    <row r="10727" ht="15" customHeight="1">
      <c r="A10727" t="inlineStr">
        <is>
          <t>A 42922-2026</t>
        </is>
      </c>
      <c r="B10727" t="inlineStr">
        <is>
          <t>avverkningsanmälan</t>
        </is>
      </c>
      <c r="C10727" t="inlineStr">
        <is>
          <t>Föryngringsavverkning</t>
        </is>
      </c>
      <c r="D10727" s="1" t="n">
        <v>46310</v>
      </c>
      <c r="E10727" s="1" t="n">
        <v>46326</v>
      </c>
      <c r="F10727" t="inlineStr">
        <is>
          <t>GÄVLEBORGS LÄN</t>
        </is>
      </c>
      <c r="G10727" t="inlineStr">
        <is>
          <t>HUDIKSVALL</t>
        </is>
      </c>
      <c r="I10727" t="n">
        <v>5.6</v>
      </c>
      <c r="J10727" t="n">
        <v>0</v>
      </c>
      <c r="K10727" t="n">
        <v>0</v>
      </c>
      <c r="L10727" t="n">
        <v>0</v>
      </c>
      <c r="M10727" t="n">
        <v>0</v>
      </c>
      <c r="N10727" t="n">
        <v>0</v>
      </c>
      <c r="O10727" t="n">
        <v>0</v>
      </c>
      <c r="P10727" t="n">
        <v>0</v>
      </c>
      <c r="Q10727" t="n">
        <v>0</v>
      </c>
      <c r="R10727" t="n">
        <v>0</v>
      </c>
      <c r="S10727" t="n">
        <v>0</v>
      </c>
      <c r="T10727" t="n">
        <v>0</v>
      </c>
      <c r="U10727" t="n">
        <v>0</v>
      </c>
      <c r="V10727" s="2" t="inlineStr"/>
    </row>
    <row r="10728" ht="15" customHeight="1">
      <c r="A10728" t="inlineStr">
        <is>
          <t>A 36089-2026</t>
        </is>
      </c>
      <c r="B10728" t="inlineStr">
        <is>
          <t>avverkningsanmälan</t>
        </is>
      </c>
      <c r="C10728" t="inlineStr">
        <is>
          <t>Föryngringsavverkning</t>
        </is>
      </c>
      <c r="D10728" s="1" t="n">
        <v>46267</v>
      </c>
      <c r="E10728" s="1" t="n">
        <v>46326</v>
      </c>
      <c r="F10728" t="inlineStr">
        <is>
          <t>GÄVLEBORGS LÄN</t>
        </is>
      </c>
      <c r="G10728" t="inlineStr">
        <is>
          <t>GÄVLE</t>
        </is>
      </c>
      <c r="H10728" t="inlineStr">
        <is>
          <t>Bergvik skog öst AB</t>
        </is>
      </c>
      <c r="I10728" t="n">
        <v>1.4</v>
      </c>
      <c r="J10728" t="n">
        <v>0</v>
      </c>
      <c r="K10728" t="n">
        <v>0</v>
      </c>
      <c r="L10728" t="n">
        <v>0</v>
      </c>
      <c r="M10728" t="n">
        <v>0</v>
      </c>
      <c r="N10728" t="n">
        <v>0</v>
      </c>
      <c r="O10728" t="n">
        <v>0</v>
      </c>
      <c r="P10728" t="n">
        <v>0</v>
      </c>
      <c r="Q10728" t="n">
        <v>0</v>
      </c>
      <c r="R10728" t="n">
        <v>0</v>
      </c>
      <c r="S10728" t="n">
        <v>0</v>
      </c>
      <c r="T10728" t="n">
        <v>0</v>
      </c>
      <c r="U10728" t="n">
        <v>0</v>
      </c>
      <c r="V10728" s="2" t="inlineStr"/>
    </row>
    <row r="10729" ht="15" customHeight="1">
      <c r="A10729" t="inlineStr">
        <is>
          <t>A 36093-2026</t>
        </is>
      </c>
      <c r="B10729" t="inlineStr">
        <is>
          <t>avverkningsanmälan</t>
        </is>
      </c>
      <c r="C10729" t="inlineStr">
        <is>
          <t>Föryngringsavverkning</t>
        </is>
      </c>
      <c r="D10729" s="1" t="n">
        <v>46267</v>
      </c>
      <c r="E10729" s="1" t="n">
        <v>46326</v>
      </c>
      <c r="F10729" t="inlineStr">
        <is>
          <t>GÄVLEBORGS LÄN</t>
        </is>
      </c>
      <c r="G10729" t="inlineStr">
        <is>
          <t>GÄVLE</t>
        </is>
      </c>
      <c r="H10729" t="inlineStr">
        <is>
          <t>Bergvik skog öst AB</t>
        </is>
      </c>
      <c r="I10729" t="n">
        <v>5.4</v>
      </c>
      <c r="J10729" t="n">
        <v>0</v>
      </c>
      <c r="K10729" t="n">
        <v>0</v>
      </c>
      <c r="L10729" t="n">
        <v>0</v>
      </c>
      <c r="M10729" t="n">
        <v>0</v>
      </c>
      <c r="N10729" t="n">
        <v>0</v>
      </c>
      <c r="O10729" t="n">
        <v>0</v>
      </c>
      <c r="P10729" t="n">
        <v>0</v>
      </c>
      <c r="Q10729" t="n">
        <v>0</v>
      </c>
      <c r="R10729" t="n">
        <v>0</v>
      </c>
      <c r="S10729" t="n">
        <v>0</v>
      </c>
      <c r="T10729" t="n">
        <v>0</v>
      </c>
      <c r="U10729" t="n">
        <v>0</v>
      </c>
      <c r="V10729" s="2" t="inlineStr"/>
    </row>
    <row r="10730" ht="15" customHeight="1">
      <c r="A10730" t="inlineStr">
        <is>
          <t>A 36083-2026</t>
        </is>
      </c>
      <c r="B10730" t="inlineStr">
        <is>
          <t>avverkningsanmälan</t>
        </is>
      </c>
      <c r="C10730" t="inlineStr">
        <is>
          <t>Föryngringsavverkning</t>
        </is>
      </c>
      <c r="D10730" s="1" t="n">
        <v>46267</v>
      </c>
      <c r="E10730" s="1" t="n">
        <v>46326</v>
      </c>
      <c r="F10730" t="inlineStr">
        <is>
          <t>GÄVLEBORGS LÄN</t>
        </is>
      </c>
      <c r="G10730" t="inlineStr">
        <is>
          <t>LJUSDAL</t>
        </is>
      </c>
      <c r="H10730" t="inlineStr">
        <is>
          <t>Bergvik skog väst AB</t>
        </is>
      </c>
      <c r="I10730" t="n">
        <v>0.6</v>
      </c>
      <c r="J10730" t="n">
        <v>0</v>
      </c>
      <c r="K10730" t="n">
        <v>0</v>
      </c>
      <c r="L10730" t="n">
        <v>0</v>
      </c>
      <c r="M10730" t="n">
        <v>0</v>
      </c>
      <c r="N10730" t="n">
        <v>0</v>
      </c>
      <c r="O10730" t="n">
        <v>0</v>
      </c>
      <c r="P10730" t="n">
        <v>0</v>
      </c>
      <c r="Q10730" t="n">
        <v>0</v>
      </c>
      <c r="R10730" t="n">
        <v>0</v>
      </c>
      <c r="S10730" t="n">
        <v>0</v>
      </c>
      <c r="T10730" t="n">
        <v>0</v>
      </c>
      <c r="U10730" t="n">
        <v>0</v>
      </c>
      <c r="V10730" s="2" t="inlineStr"/>
    </row>
    <row r="10731" ht="15" customHeight="1">
      <c r="A10731" t="inlineStr">
        <is>
          <t>A 36086-2026</t>
        </is>
      </c>
      <c r="B10731" t="inlineStr">
        <is>
          <t>avverkningsanmälan</t>
        </is>
      </c>
      <c r="C10731" t="inlineStr">
        <is>
          <t>Föryngringsavverkning</t>
        </is>
      </c>
      <c r="D10731" s="1" t="n">
        <v>46267</v>
      </c>
      <c r="E10731" s="1" t="n">
        <v>46326</v>
      </c>
      <c r="F10731" t="inlineStr">
        <is>
          <t>GÄVLEBORGS LÄN</t>
        </is>
      </c>
      <c r="G10731" t="inlineStr">
        <is>
          <t>GÄVLE</t>
        </is>
      </c>
      <c r="H10731" t="inlineStr">
        <is>
          <t>Bergvik skog öst AB</t>
        </is>
      </c>
      <c r="I10731" t="n">
        <v>0.5</v>
      </c>
      <c r="J10731" t="n">
        <v>0</v>
      </c>
      <c r="K10731" t="n">
        <v>0</v>
      </c>
      <c r="L10731" t="n">
        <v>0</v>
      </c>
      <c r="M10731" t="n">
        <v>0</v>
      </c>
      <c r="N10731" t="n">
        <v>0</v>
      </c>
      <c r="O10731" t="n">
        <v>0</v>
      </c>
      <c r="P10731" t="n">
        <v>0</v>
      </c>
      <c r="Q10731" t="n">
        <v>0</v>
      </c>
      <c r="R10731" t="n">
        <v>0</v>
      </c>
      <c r="S10731" t="n">
        <v>0</v>
      </c>
      <c r="T10731" t="n">
        <v>0</v>
      </c>
      <c r="U10731" t="n">
        <v>0</v>
      </c>
      <c r="V10731" s="2" t="inlineStr"/>
    </row>
    <row r="10732" ht="15" customHeight="1">
      <c r="A10732" t="inlineStr">
        <is>
          <t>A 36131-2026</t>
        </is>
      </c>
      <c r="B10732" t="inlineStr">
        <is>
          <t>avverkningsanmälan</t>
        </is>
      </c>
      <c r="C10732" t="inlineStr">
        <is>
          <t>Föryngringsavverkning</t>
        </is>
      </c>
      <c r="D10732" s="1" t="n">
        <v>46267</v>
      </c>
      <c r="E10732" s="1" t="n">
        <v>46326</v>
      </c>
      <c r="F10732" t="inlineStr">
        <is>
          <t>GÄVLEBORGS LÄN</t>
        </is>
      </c>
      <c r="G10732" t="inlineStr">
        <is>
          <t>SÖDERHAMN</t>
        </is>
      </c>
      <c r="I10732" t="n">
        <v>4.1</v>
      </c>
      <c r="J10732" t="n">
        <v>0</v>
      </c>
      <c r="K10732" t="n">
        <v>0</v>
      </c>
      <c r="L10732" t="n">
        <v>0</v>
      </c>
      <c r="M10732" t="n">
        <v>0</v>
      </c>
      <c r="N10732" t="n">
        <v>0</v>
      </c>
      <c r="O10732" t="n">
        <v>0</v>
      </c>
      <c r="P10732" t="n">
        <v>0</v>
      </c>
      <c r="Q10732" t="n">
        <v>0</v>
      </c>
      <c r="R10732" t="n">
        <v>0</v>
      </c>
      <c r="S10732" t="n">
        <v>0</v>
      </c>
      <c r="T10732" t="n">
        <v>0</v>
      </c>
      <c r="U10732" t="n">
        <v>0</v>
      </c>
      <c r="V10732" s="2" t="inlineStr"/>
    </row>
    <row r="10733" ht="15" customHeight="1">
      <c r="A10733" t="inlineStr">
        <is>
          <t>A 36132-2026</t>
        </is>
      </c>
      <c r="B10733" t="inlineStr">
        <is>
          <t>avverkningsanmälan</t>
        </is>
      </c>
      <c r="C10733" t="inlineStr">
        <is>
          <t>Föryngringsavverkning</t>
        </is>
      </c>
      <c r="D10733" s="1" t="n">
        <v>46267</v>
      </c>
      <c r="E10733" s="1" t="n">
        <v>46326</v>
      </c>
      <c r="F10733" t="inlineStr">
        <is>
          <t>GÄVLEBORGS LÄN</t>
        </is>
      </c>
      <c r="G10733" t="inlineStr">
        <is>
          <t>GÄVLE</t>
        </is>
      </c>
      <c r="H10733" t="inlineStr">
        <is>
          <t>Bergvik skog öst AB</t>
        </is>
      </c>
      <c r="I10733" t="n">
        <v>1.3</v>
      </c>
      <c r="J10733" t="n">
        <v>0</v>
      </c>
      <c r="K10733" t="n">
        <v>0</v>
      </c>
      <c r="L10733" t="n">
        <v>0</v>
      </c>
      <c r="M10733" t="n">
        <v>0</v>
      </c>
      <c r="N10733" t="n">
        <v>0</v>
      </c>
      <c r="O10733" t="n">
        <v>0</v>
      </c>
      <c r="P10733" t="n">
        <v>0</v>
      </c>
      <c r="Q10733" t="n">
        <v>0</v>
      </c>
      <c r="R10733" t="n">
        <v>0</v>
      </c>
      <c r="S10733" t="n">
        <v>0</v>
      </c>
      <c r="T10733" t="n">
        <v>0</v>
      </c>
      <c r="U10733" t="n">
        <v>0</v>
      </c>
      <c r="V10733" s="2" t="inlineStr"/>
    </row>
    <row r="10734" ht="15" customHeight="1">
      <c r="A10734" t="inlineStr">
        <is>
          <t>A 31591-2026</t>
        </is>
      </c>
      <c r="B10734" t="inlineStr">
        <is>
          <t>avverkningsanmälan</t>
        </is>
      </c>
      <c r="C10734" t="inlineStr">
        <is>
          <t>Föryngringsavverkning</t>
        </is>
      </c>
      <c r="D10734" s="1" t="n">
        <v>46224</v>
      </c>
      <c r="E10734" s="1" t="n">
        <v>46326</v>
      </c>
      <c r="F10734" t="inlineStr">
        <is>
          <t>GÄVLEBORGS LÄN</t>
        </is>
      </c>
      <c r="G10734" t="inlineStr">
        <is>
          <t>OCKELBO</t>
        </is>
      </c>
      <c r="H10734" t="inlineStr">
        <is>
          <t>Bergvik skog väst AB</t>
        </is>
      </c>
      <c r="I10734" t="n">
        <v>0.7</v>
      </c>
      <c r="J10734" t="n">
        <v>0</v>
      </c>
      <c r="K10734" t="n">
        <v>0</v>
      </c>
      <c r="L10734" t="n">
        <v>0</v>
      </c>
      <c r="M10734" t="n">
        <v>0</v>
      </c>
      <c r="N10734" t="n">
        <v>0</v>
      </c>
      <c r="O10734" t="n">
        <v>0</v>
      </c>
      <c r="P10734" t="n">
        <v>0</v>
      </c>
      <c r="Q10734" t="n">
        <v>0</v>
      </c>
      <c r="R10734" t="n">
        <v>0</v>
      </c>
      <c r="S10734" t="n">
        <v>0</v>
      </c>
      <c r="T10734" t="n">
        <v>0</v>
      </c>
      <c r="U10734" t="n">
        <v>0</v>
      </c>
      <c r="V10734" s="2" t="inlineStr"/>
    </row>
    <row r="10735" ht="15" customHeight="1">
      <c r="A10735" t="inlineStr">
        <is>
          <t>A 36236-2026</t>
        </is>
      </c>
      <c r="B10735" t="inlineStr">
        <is>
          <t>avverkningsanmälan</t>
        </is>
      </c>
      <c r="C10735" t="inlineStr">
        <is>
          <t>Föryngringsavverkning</t>
        </is>
      </c>
      <c r="D10735" s="1" t="n">
        <v>46268</v>
      </c>
      <c r="E10735" s="1" t="n">
        <v>46326</v>
      </c>
      <c r="F10735" t="inlineStr">
        <is>
          <t>GÄVLEBORGS LÄN</t>
        </is>
      </c>
      <c r="G10735" t="inlineStr">
        <is>
          <t>LJUSDAL</t>
        </is>
      </c>
      <c r="H10735" t="inlineStr">
        <is>
          <t>Allmännings- och besparingsskogar</t>
        </is>
      </c>
      <c r="I10735" t="n">
        <v>6.6</v>
      </c>
      <c r="J10735" t="n">
        <v>0</v>
      </c>
      <c r="K10735" t="n">
        <v>0</v>
      </c>
      <c r="L10735" t="n">
        <v>0</v>
      </c>
      <c r="M10735" t="n">
        <v>0</v>
      </c>
      <c r="N10735" t="n">
        <v>0</v>
      </c>
      <c r="O10735" t="n">
        <v>0</v>
      </c>
      <c r="P10735" t="n">
        <v>0</v>
      </c>
      <c r="Q10735" t="n">
        <v>0</v>
      </c>
      <c r="R10735" t="n">
        <v>0</v>
      </c>
      <c r="S10735" t="n">
        <v>0</v>
      </c>
      <c r="T10735" t="n">
        <v>0</v>
      </c>
      <c r="U10735" t="n">
        <v>0</v>
      </c>
      <c r="V10735" s="2" t="inlineStr"/>
    </row>
    <row r="10736" ht="15" customHeight="1">
      <c r="A10736" t="inlineStr">
        <is>
          <t>A 36348-2026</t>
        </is>
      </c>
      <c r="B10736" t="inlineStr">
        <is>
          <t>avverkningsanmälan</t>
        </is>
      </c>
      <c r="C10736" t="inlineStr">
        <is>
          <t>Föryngringsavverkning</t>
        </is>
      </c>
      <c r="D10736" s="1" t="n">
        <v>46268</v>
      </c>
      <c r="E10736" s="1" t="n">
        <v>46326</v>
      </c>
      <c r="F10736" t="inlineStr">
        <is>
          <t>GÄVLEBORGS LÄN</t>
        </is>
      </c>
      <c r="G10736" t="inlineStr">
        <is>
          <t>OVANÅKER</t>
        </is>
      </c>
      <c r="H10736" t="inlineStr">
        <is>
          <t>Bergvik skog väst AB</t>
        </is>
      </c>
      <c r="I10736" t="n">
        <v>1.4</v>
      </c>
      <c r="J10736" t="n">
        <v>0</v>
      </c>
      <c r="K10736" t="n">
        <v>0</v>
      </c>
      <c r="L10736" t="n">
        <v>0</v>
      </c>
      <c r="M10736" t="n">
        <v>0</v>
      </c>
      <c r="N10736" t="n">
        <v>0</v>
      </c>
      <c r="O10736" t="n">
        <v>0</v>
      </c>
      <c r="P10736" t="n">
        <v>0</v>
      </c>
      <c r="Q10736" t="n">
        <v>0</v>
      </c>
      <c r="R10736" t="n">
        <v>0</v>
      </c>
      <c r="S10736" t="n">
        <v>0</v>
      </c>
      <c r="T10736" t="n">
        <v>0</v>
      </c>
      <c r="U10736" t="n">
        <v>0</v>
      </c>
      <c r="V10736" s="2" t="inlineStr"/>
    </row>
    <row r="10737" ht="15" customHeight="1">
      <c r="A10737" t="inlineStr">
        <is>
          <t>A 36380-2026</t>
        </is>
      </c>
      <c r="B10737" t="inlineStr">
        <is>
          <t>avverkningsanmälan</t>
        </is>
      </c>
      <c r="C10737" t="inlineStr">
        <is>
          <t>Föryngringsavverkning</t>
        </is>
      </c>
      <c r="D10737" s="1" t="n">
        <v>46268</v>
      </c>
      <c r="E10737" s="1" t="n">
        <v>46326</v>
      </c>
      <c r="F10737" t="inlineStr">
        <is>
          <t>GÄVLEBORGS LÄN</t>
        </is>
      </c>
      <c r="G10737" t="inlineStr">
        <is>
          <t>OCKELBO</t>
        </is>
      </c>
      <c r="H10737" t="inlineStr">
        <is>
          <t>Bergvik skog väst AB</t>
        </is>
      </c>
      <c r="I10737" t="n">
        <v>1.6</v>
      </c>
      <c r="J10737" t="n">
        <v>0</v>
      </c>
      <c r="K10737" t="n">
        <v>0</v>
      </c>
      <c r="L10737" t="n">
        <v>0</v>
      </c>
      <c r="M10737" t="n">
        <v>0</v>
      </c>
      <c r="N10737" t="n">
        <v>0</v>
      </c>
      <c r="O10737" t="n">
        <v>0</v>
      </c>
      <c r="P10737" t="n">
        <v>0</v>
      </c>
      <c r="Q10737" t="n">
        <v>0</v>
      </c>
      <c r="R10737" t="n">
        <v>0</v>
      </c>
      <c r="S10737" t="n">
        <v>0</v>
      </c>
      <c r="T10737" t="n">
        <v>0</v>
      </c>
      <c r="U10737" t="n">
        <v>0</v>
      </c>
      <c r="V10737" s="2" t="inlineStr"/>
    </row>
    <row r="10738" ht="15" customHeight="1">
      <c r="A10738" t="inlineStr">
        <is>
          <t>A 43123-2026</t>
        </is>
      </c>
      <c r="B10738" t="inlineStr">
        <is>
          <t>avverkningsanmälan</t>
        </is>
      </c>
      <c r="C10738" t="inlineStr">
        <is>
          <t>Föryngringsavverkning</t>
        </is>
      </c>
      <c r="D10738" s="1" t="n">
        <v>46311</v>
      </c>
      <c r="E10738" s="1" t="n">
        <v>46326</v>
      </c>
      <c r="F10738" t="inlineStr">
        <is>
          <t>GÄVLEBORGS LÄN</t>
        </is>
      </c>
      <c r="G10738" t="inlineStr">
        <is>
          <t>OVANÅKER</t>
        </is>
      </c>
      <c r="I10738" t="n">
        <v>0.8</v>
      </c>
      <c r="J10738" t="n">
        <v>0</v>
      </c>
      <c r="K10738" t="n">
        <v>0</v>
      </c>
      <c r="L10738" t="n">
        <v>0</v>
      </c>
      <c r="M10738" t="n">
        <v>0</v>
      </c>
      <c r="N10738" t="n">
        <v>0</v>
      </c>
      <c r="O10738" t="n">
        <v>0</v>
      </c>
      <c r="P10738" t="n">
        <v>0</v>
      </c>
      <c r="Q10738" t="n">
        <v>0</v>
      </c>
      <c r="R10738" t="n">
        <v>0</v>
      </c>
      <c r="S10738" t="n">
        <v>0</v>
      </c>
      <c r="T10738" t="n">
        <v>0</v>
      </c>
      <c r="U10738" t="n">
        <v>0</v>
      </c>
      <c r="V10738" s="2" t="inlineStr"/>
    </row>
    <row r="10739" ht="15" customHeight="1">
      <c r="A10739" t="inlineStr">
        <is>
          <t>A 43125-2026</t>
        </is>
      </c>
      <c r="B10739" t="inlineStr">
        <is>
          <t>avverkningsanmälan</t>
        </is>
      </c>
      <c r="C10739" t="inlineStr">
        <is>
          <t>Föryngringsavverkning</t>
        </is>
      </c>
      <c r="D10739" s="1" t="n">
        <v>46311</v>
      </c>
      <c r="E10739" s="1" t="n">
        <v>46326</v>
      </c>
      <c r="F10739" t="inlineStr">
        <is>
          <t>GÄVLEBORGS LÄN</t>
        </is>
      </c>
      <c r="G10739" t="inlineStr">
        <is>
          <t>LJUSDAL</t>
        </is>
      </c>
      <c r="I10739" t="n">
        <v>1.3</v>
      </c>
      <c r="J10739" t="n">
        <v>0</v>
      </c>
      <c r="K10739" t="n">
        <v>0</v>
      </c>
      <c r="L10739" t="n">
        <v>0</v>
      </c>
      <c r="M10739" t="n">
        <v>0</v>
      </c>
      <c r="N10739" t="n">
        <v>0</v>
      </c>
      <c r="O10739" t="n">
        <v>0</v>
      </c>
      <c r="P10739" t="n">
        <v>0</v>
      </c>
      <c r="Q10739" t="n">
        <v>0</v>
      </c>
      <c r="R10739" t="n">
        <v>0</v>
      </c>
      <c r="S10739" t="n">
        <v>0</v>
      </c>
      <c r="T10739" t="n">
        <v>0</v>
      </c>
      <c r="U10739" t="n">
        <v>0</v>
      </c>
      <c r="V10739" s="2" t="inlineStr"/>
    </row>
    <row r="10740" ht="15" customHeight="1">
      <c r="A10740" t="inlineStr">
        <is>
          <t>A 42931-2026</t>
        </is>
      </c>
      <c r="B10740" t="inlineStr">
        <is>
          <t>avverkningsanmälan</t>
        </is>
      </c>
      <c r="C10740" t="inlineStr">
        <is>
          <t>Föryngringsavverkning</t>
        </is>
      </c>
      <c r="D10740" s="1" t="n">
        <v>46310</v>
      </c>
      <c r="E10740" s="1" t="n">
        <v>46326</v>
      </c>
      <c r="F10740" t="inlineStr">
        <is>
          <t>GÄVLEBORGS LÄN</t>
        </is>
      </c>
      <c r="G10740" t="inlineStr">
        <is>
          <t>HUDIKSVALL</t>
        </is>
      </c>
      <c r="H10740" t="inlineStr">
        <is>
          <t>Holmen skog AB</t>
        </is>
      </c>
      <c r="I10740" t="n">
        <v>1.2</v>
      </c>
      <c r="J10740" t="n">
        <v>0</v>
      </c>
      <c r="K10740" t="n">
        <v>0</v>
      </c>
      <c r="L10740" t="n">
        <v>0</v>
      </c>
      <c r="M10740" t="n">
        <v>0</v>
      </c>
      <c r="N10740" t="n">
        <v>0</v>
      </c>
      <c r="O10740" t="n">
        <v>0</v>
      </c>
      <c r="P10740" t="n">
        <v>0</v>
      </c>
      <c r="Q10740" t="n">
        <v>0</v>
      </c>
      <c r="R10740" t="n">
        <v>0</v>
      </c>
      <c r="S10740" t="n">
        <v>0</v>
      </c>
      <c r="T10740" t="n">
        <v>0</v>
      </c>
      <c r="U10740" t="n">
        <v>0</v>
      </c>
      <c r="V10740" s="2" t="inlineStr"/>
    </row>
    <row r="10741" ht="15" customHeight="1">
      <c r="A10741" t="inlineStr">
        <is>
          <t>A 42839-2026</t>
        </is>
      </c>
      <c r="B10741" t="inlineStr">
        <is>
          <t>avverkningsanmälan</t>
        </is>
      </c>
      <c r="C10741" t="inlineStr">
        <is>
          <t>Föryngringsavverkning</t>
        </is>
      </c>
      <c r="D10741" s="1" t="n">
        <v>46310</v>
      </c>
      <c r="E10741" s="1" t="n">
        <v>46326</v>
      </c>
      <c r="F10741" t="inlineStr">
        <is>
          <t>GÄVLEBORGS LÄN</t>
        </is>
      </c>
      <c r="G10741" t="inlineStr">
        <is>
          <t>SÖDERHAMN</t>
        </is>
      </c>
      <c r="H10741" t="inlineStr">
        <is>
          <t>Övriga statliga verk och myndigheter</t>
        </is>
      </c>
      <c r="I10741" t="n">
        <v>9</v>
      </c>
      <c r="J10741" t="n">
        <v>0</v>
      </c>
      <c r="K10741" t="n">
        <v>0</v>
      </c>
      <c r="L10741" t="n">
        <v>0</v>
      </c>
      <c r="M10741" t="n">
        <v>0</v>
      </c>
      <c r="N10741" t="n">
        <v>0</v>
      </c>
      <c r="O10741" t="n">
        <v>0</v>
      </c>
      <c r="P10741" t="n">
        <v>0</v>
      </c>
      <c r="Q10741" t="n">
        <v>0</v>
      </c>
      <c r="R10741" t="n">
        <v>0</v>
      </c>
      <c r="S10741" t="n">
        <v>0</v>
      </c>
      <c r="T10741" t="n">
        <v>0</v>
      </c>
      <c r="U10741" t="n">
        <v>0</v>
      </c>
      <c r="V10741" s="2" t="inlineStr"/>
    </row>
    <row r="10742" ht="15" customHeight="1">
      <c r="A10742" t="inlineStr">
        <is>
          <t>A 42870-2026</t>
        </is>
      </c>
      <c r="B10742" t="inlineStr">
        <is>
          <t>avverkningsanmälan</t>
        </is>
      </c>
      <c r="C10742" t="inlineStr">
        <is>
          <t>Föryngringsavverkning</t>
        </is>
      </c>
      <c r="D10742" s="1" t="n">
        <v>46310</v>
      </c>
      <c r="E10742" s="1" t="n">
        <v>46326</v>
      </c>
      <c r="F10742" t="inlineStr">
        <is>
          <t>GÄVLEBORGS LÄN</t>
        </is>
      </c>
      <c r="G10742" t="inlineStr">
        <is>
          <t>HUDIKSVALL</t>
        </is>
      </c>
      <c r="I10742" t="n">
        <v>1.6</v>
      </c>
      <c r="J10742" t="n">
        <v>0</v>
      </c>
      <c r="K10742" t="n">
        <v>0</v>
      </c>
      <c r="L10742" t="n">
        <v>0</v>
      </c>
      <c r="M10742" t="n">
        <v>0</v>
      </c>
      <c r="N10742" t="n">
        <v>0</v>
      </c>
      <c r="O10742" t="n">
        <v>0</v>
      </c>
      <c r="P10742" t="n">
        <v>0</v>
      </c>
      <c r="Q10742" t="n">
        <v>0</v>
      </c>
      <c r="R10742" t="n">
        <v>0</v>
      </c>
      <c r="S10742" t="n">
        <v>0</v>
      </c>
      <c r="T10742" t="n">
        <v>0</v>
      </c>
      <c r="U10742" t="n">
        <v>0</v>
      </c>
      <c r="V10742" s="2" t="inlineStr"/>
    </row>
    <row r="10743" ht="15" customHeight="1">
      <c r="A10743" t="inlineStr">
        <is>
          <t>A 42904-2026</t>
        </is>
      </c>
      <c r="B10743" t="inlineStr">
        <is>
          <t>avverkningsanmälan</t>
        </is>
      </c>
      <c r="C10743" t="inlineStr">
        <is>
          <t>Föryngringsavverkning</t>
        </is>
      </c>
      <c r="D10743" s="1" t="n">
        <v>46310</v>
      </c>
      <c r="E10743" s="1" t="n">
        <v>46326</v>
      </c>
      <c r="F10743" t="inlineStr">
        <is>
          <t>GÄVLEBORGS LÄN</t>
        </is>
      </c>
      <c r="G10743" t="inlineStr">
        <is>
          <t>OVANÅKER</t>
        </is>
      </c>
      <c r="H10743" t="inlineStr">
        <is>
          <t>Bergvik skog väst AB</t>
        </is>
      </c>
      <c r="I10743" t="n">
        <v>0.7</v>
      </c>
      <c r="J10743" t="n">
        <v>0</v>
      </c>
      <c r="K10743" t="n">
        <v>0</v>
      </c>
      <c r="L10743" t="n">
        <v>0</v>
      </c>
      <c r="M10743" t="n">
        <v>0</v>
      </c>
      <c r="N10743" t="n">
        <v>0</v>
      </c>
      <c r="O10743" t="n">
        <v>0</v>
      </c>
      <c r="P10743" t="n">
        <v>0</v>
      </c>
      <c r="Q10743" t="n">
        <v>0</v>
      </c>
      <c r="R10743" t="n">
        <v>0</v>
      </c>
      <c r="S10743" t="n">
        <v>0</v>
      </c>
      <c r="T10743" t="n">
        <v>0</v>
      </c>
      <c r="U10743" t="n">
        <v>0</v>
      </c>
      <c r="V10743" s="2" t="inlineStr"/>
    </row>
    <row r="10744" ht="15" customHeight="1">
      <c r="A10744" t="inlineStr">
        <is>
          <t>A 42939-2026</t>
        </is>
      </c>
      <c r="B10744" t="inlineStr">
        <is>
          <t>avverkningsanmälan</t>
        </is>
      </c>
      <c r="C10744" t="inlineStr">
        <is>
          <t>Föryngringsavverkning</t>
        </is>
      </c>
      <c r="D10744" s="1" t="n">
        <v>46310</v>
      </c>
      <c r="E10744" s="1" t="n">
        <v>46326</v>
      </c>
      <c r="F10744" t="inlineStr">
        <is>
          <t>GÄVLEBORGS LÄN</t>
        </is>
      </c>
      <c r="G10744" t="inlineStr">
        <is>
          <t>OVANÅKER</t>
        </is>
      </c>
      <c r="H10744" t="inlineStr">
        <is>
          <t>Bergvik skog väst AB</t>
        </is>
      </c>
      <c r="I10744" t="n">
        <v>6.1</v>
      </c>
      <c r="J10744" t="n">
        <v>0</v>
      </c>
      <c r="K10744" t="n">
        <v>0</v>
      </c>
      <c r="L10744" t="n">
        <v>0</v>
      </c>
      <c r="M10744" t="n">
        <v>0</v>
      </c>
      <c r="N10744" t="n">
        <v>0</v>
      </c>
      <c r="O10744" t="n">
        <v>0</v>
      </c>
      <c r="P10744" t="n">
        <v>0</v>
      </c>
      <c r="Q10744" t="n">
        <v>0</v>
      </c>
      <c r="R10744" t="n">
        <v>0</v>
      </c>
      <c r="S10744" t="n">
        <v>0</v>
      </c>
      <c r="T10744" t="n">
        <v>0</v>
      </c>
      <c r="U10744" t="n">
        <v>0</v>
      </c>
      <c r="V10744" s="2" t="inlineStr"/>
    </row>
    <row r="10745" ht="15" customHeight="1">
      <c r="A10745" t="inlineStr">
        <is>
          <t>A 42943-2026</t>
        </is>
      </c>
      <c r="B10745" t="inlineStr">
        <is>
          <t>avverkningsanmälan</t>
        </is>
      </c>
      <c r="C10745" t="inlineStr">
        <is>
          <t>Föryngringsavverkning</t>
        </is>
      </c>
      <c r="D10745" s="1" t="n">
        <v>46310</v>
      </c>
      <c r="E10745" s="1" t="n">
        <v>46326</v>
      </c>
      <c r="F10745" t="inlineStr">
        <is>
          <t>GÄVLEBORGS LÄN</t>
        </is>
      </c>
      <c r="G10745" t="inlineStr">
        <is>
          <t>LJUSDAL</t>
        </is>
      </c>
      <c r="I10745" t="n">
        <v>1.9</v>
      </c>
      <c r="J10745" t="n">
        <v>0</v>
      </c>
      <c r="K10745" t="n">
        <v>0</v>
      </c>
      <c r="L10745" t="n">
        <v>0</v>
      </c>
      <c r="M10745" t="n">
        <v>0</v>
      </c>
      <c r="N10745" t="n">
        <v>0</v>
      </c>
      <c r="O10745" t="n">
        <v>0</v>
      </c>
      <c r="P10745" t="n">
        <v>0</v>
      </c>
      <c r="Q10745" t="n">
        <v>0</v>
      </c>
      <c r="R10745" t="n">
        <v>0</v>
      </c>
      <c r="S10745" t="n">
        <v>0</v>
      </c>
      <c r="T10745" t="n">
        <v>0</v>
      </c>
      <c r="U10745" t="n">
        <v>0</v>
      </c>
      <c r="V10745" s="2" t="inlineStr"/>
    </row>
    <row r="10746" ht="15" customHeight="1">
      <c r="A10746" t="inlineStr">
        <is>
          <t>A 42944-2026</t>
        </is>
      </c>
      <c r="B10746" t="inlineStr">
        <is>
          <t>avverkningsanmälan</t>
        </is>
      </c>
      <c r="C10746" t="inlineStr">
        <is>
          <t>Föryngringsavverkning</t>
        </is>
      </c>
      <c r="D10746" s="1" t="n">
        <v>46310</v>
      </c>
      <c r="E10746" s="1" t="n">
        <v>46326</v>
      </c>
      <c r="F10746" t="inlineStr">
        <is>
          <t>GÄVLEBORGS LÄN</t>
        </is>
      </c>
      <c r="G10746" t="inlineStr">
        <is>
          <t>LJUSDAL</t>
        </is>
      </c>
      <c r="I10746" t="n">
        <v>0.5</v>
      </c>
      <c r="J10746" t="n">
        <v>0</v>
      </c>
      <c r="K10746" t="n">
        <v>0</v>
      </c>
      <c r="L10746" t="n">
        <v>0</v>
      </c>
      <c r="M10746" t="n">
        <v>0</v>
      </c>
      <c r="N10746" t="n">
        <v>0</v>
      </c>
      <c r="O10746" t="n">
        <v>0</v>
      </c>
      <c r="P10746" t="n">
        <v>0</v>
      </c>
      <c r="Q10746" t="n">
        <v>0</v>
      </c>
      <c r="R10746" t="n">
        <v>0</v>
      </c>
      <c r="S10746" t="n">
        <v>0</v>
      </c>
      <c r="T10746" t="n">
        <v>0</v>
      </c>
      <c r="U10746" t="n">
        <v>0</v>
      </c>
      <c r="V10746" s="2" t="inlineStr"/>
    </row>
    <row r="10747" ht="15" customHeight="1">
      <c r="A10747" t="inlineStr">
        <is>
          <t>A 42946-2026</t>
        </is>
      </c>
      <c r="B10747" t="inlineStr">
        <is>
          <t>avverkningsanmälan</t>
        </is>
      </c>
      <c r="C10747" t="inlineStr">
        <is>
          <t>Föryngringsavverkning</t>
        </is>
      </c>
      <c r="D10747" s="1" t="n">
        <v>46310</v>
      </c>
      <c r="E10747" s="1" t="n">
        <v>46326</v>
      </c>
      <c r="F10747" t="inlineStr">
        <is>
          <t>GÄVLEBORGS LÄN</t>
        </is>
      </c>
      <c r="G10747" t="inlineStr">
        <is>
          <t>OVANÅKER</t>
        </is>
      </c>
      <c r="H10747" t="inlineStr">
        <is>
          <t>Bergvik skog väst AB</t>
        </is>
      </c>
      <c r="I10747" t="n">
        <v>3.4</v>
      </c>
      <c r="J10747" t="n">
        <v>0</v>
      </c>
      <c r="K10747" t="n">
        <v>0</v>
      </c>
      <c r="L10747" t="n">
        <v>0</v>
      </c>
      <c r="M10747" t="n">
        <v>0</v>
      </c>
      <c r="N10747" t="n">
        <v>0</v>
      </c>
      <c r="O10747" t="n">
        <v>0</v>
      </c>
      <c r="P10747" t="n">
        <v>0</v>
      </c>
      <c r="Q10747" t="n">
        <v>0</v>
      </c>
      <c r="R10747" t="n">
        <v>0</v>
      </c>
      <c r="S10747" t="n">
        <v>0</v>
      </c>
      <c r="T10747" t="n">
        <v>0</v>
      </c>
      <c r="U10747" t="n">
        <v>0</v>
      </c>
      <c r="V10747" s="2" t="inlineStr"/>
    </row>
    <row r="10748" ht="15" customHeight="1">
      <c r="A10748" t="inlineStr">
        <is>
          <t>A 36287-2026</t>
        </is>
      </c>
      <c r="B10748" t="inlineStr">
        <is>
          <t>avverkningsanmälan</t>
        </is>
      </c>
      <c r="C10748" t="inlineStr">
        <is>
          <t>Föryngringsavverkning</t>
        </is>
      </c>
      <c r="D10748" s="1" t="n">
        <v>46268</v>
      </c>
      <c r="E10748" s="1" t="n">
        <v>46326</v>
      </c>
      <c r="F10748" t="inlineStr">
        <is>
          <t>GÄVLEBORGS LÄN</t>
        </is>
      </c>
      <c r="G10748" t="inlineStr">
        <is>
          <t>LJUSDAL</t>
        </is>
      </c>
      <c r="H10748" t="inlineStr">
        <is>
          <t>Bergvik skog väst AB</t>
        </is>
      </c>
      <c r="I10748" t="n">
        <v>1.2</v>
      </c>
      <c r="J10748" t="n">
        <v>0</v>
      </c>
      <c r="K10748" t="n">
        <v>0</v>
      </c>
      <c r="L10748" t="n">
        <v>0</v>
      </c>
      <c r="M10748" t="n">
        <v>0</v>
      </c>
      <c r="N10748" t="n">
        <v>0</v>
      </c>
      <c r="O10748" t="n">
        <v>0</v>
      </c>
      <c r="P10748" t="n">
        <v>0</v>
      </c>
      <c r="Q10748" t="n">
        <v>0</v>
      </c>
      <c r="R10748" t="n">
        <v>0</v>
      </c>
      <c r="S10748" t="n">
        <v>0</v>
      </c>
      <c r="T10748" t="n">
        <v>0</v>
      </c>
      <c r="U10748" t="n">
        <v>0</v>
      </c>
      <c r="V10748" s="2" t="inlineStr"/>
    </row>
    <row r="10749" ht="15" customHeight="1">
      <c r="A10749" t="inlineStr">
        <is>
          <t>A 36664-2026</t>
        </is>
      </c>
      <c r="B10749" t="inlineStr">
        <is>
          <t>avverkningsanmälan</t>
        </is>
      </c>
      <c r="C10749" t="inlineStr">
        <is>
          <t>Föryngringsavverkning</t>
        </is>
      </c>
      <c r="D10749" s="1" t="n">
        <v>46272</v>
      </c>
      <c r="E10749" s="1" t="n">
        <v>46326</v>
      </c>
      <c r="F10749" t="inlineStr">
        <is>
          <t>GÄVLEBORGS LÄN</t>
        </is>
      </c>
      <c r="G10749" t="inlineStr">
        <is>
          <t>HUDIKSVALL</t>
        </is>
      </c>
      <c r="H10749" t="inlineStr">
        <is>
          <t>Holmen skog AB</t>
        </is>
      </c>
      <c r="I10749" t="n">
        <v>4.3</v>
      </c>
      <c r="J10749" t="n">
        <v>0</v>
      </c>
      <c r="K10749" t="n">
        <v>0</v>
      </c>
      <c r="L10749" t="n">
        <v>0</v>
      </c>
      <c r="M10749" t="n">
        <v>0</v>
      </c>
      <c r="N10749" t="n">
        <v>0</v>
      </c>
      <c r="O10749" t="n">
        <v>0</v>
      </c>
      <c r="P10749" t="n">
        <v>0</v>
      </c>
      <c r="Q10749" t="n">
        <v>0</v>
      </c>
      <c r="R10749" t="n">
        <v>0</v>
      </c>
      <c r="S10749" t="n">
        <v>0</v>
      </c>
      <c r="T10749" t="n">
        <v>0</v>
      </c>
      <c r="U10749" t="n">
        <v>0</v>
      </c>
      <c r="V10749" s="2" t="inlineStr"/>
    </row>
    <row r="10750" ht="15" customHeight="1">
      <c r="A10750" t="inlineStr">
        <is>
          <t>A 36323-2026</t>
        </is>
      </c>
      <c r="B10750" t="inlineStr">
        <is>
          <t>avverkningsanmälan</t>
        </is>
      </c>
      <c r="C10750" t="inlineStr">
        <is>
          <t>Föryngringsavverkning</t>
        </is>
      </c>
      <c r="D10750" s="1" t="n">
        <v>46268</v>
      </c>
      <c r="E10750" s="1" t="n">
        <v>46326</v>
      </c>
      <c r="F10750" t="inlineStr">
        <is>
          <t>GÄVLEBORGS LÄN</t>
        </is>
      </c>
      <c r="G10750" t="inlineStr">
        <is>
          <t>OVANÅKER</t>
        </is>
      </c>
      <c r="H10750" t="inlineStr">
        <is>
          <t>Bergvik skog väst AB</t>
        </is>
      </c>
      <c r="I10750" t="n">
        <v>0.8</v>
      </c>
      <c r="J10750" t="n">
        <v>0</v>
      </c>
      <c r="K10750" t="n">
        <v>0</v>
      </c>
      <c r="L10750" t="n">
        <v>0</v>
      </c>
      <c r="M10750" t="n">
        <v>0</v>
      </c>
      <c r="N10750" t="n">
        <v>0</v>
      </c>
      <c r="O10750" t="n">
        <v>0</v>
      </c>
      <c r="P10750" t="n">
        <v>0</v>
      </c>
      <c r="Q10750" t="n">
        <v>0</v>
      </c>
      <c r="R10750" t="n">
        <v>0</v>
      </c>
      <c r="S10750" t="n">
        <v>0</v>
      </c>
      <c r="T10750" t="n">
        <v>0</v>
      </c>
      <c r="U10750" t="n">
        <v>0</v>
      </c>
      <c r="V10750" s="2" t="inlineStr"/>
    </row>
    <row r="10751" ht="15" customHeight="1">
      <c r="A10751" t="inlineStr">
        <is>
          <t>A 36432-2026</t>
        </is>
      </c>
      <c r="B10751" t="inlineStr">
        <is>
          <t>avverkningsanmälan</t>
        </is>
      </c>
      <c r="C10751" t="inlineStr">
        <is>
          <t>Föryngringsavverkning</t>
        </is>
      </c>
      <c r="D10751" s="1" t="n">
        <v>46269</v>
      </c>
      <c r="E10751" s="1" t="n">
        <v>46326</v>
      </c>
      <c r="F10751" t="inlineStr">
        <is>
          <t>GÄVLEBORGS LÄN</t>
        </is>
      </c>
      <c r="G10751" t="inlineStr">
        <is>
          <t>NORDANSTIG</t>
        </is>
      </c>
      <c r="I10751" t="n">
        <v>1.2</v>
      </c>
      <c r="J10751" t="n">
        <v>0</v>
      </c>
      <c r="K10751" t="n">
        <v>0</v>
      </c>
      <c r="L10751" t="n">
        <v>0</v>
      </c>
      <c r="M10751" t="n">
        <v>0</v>
      </c>
      <c r="N10751" t="n">
        <v>0</v>
      </c>
      <c r="O10751" t="n">
        <v>0</v>
      </c>
      <c r="P10751" t="n">
        <v>0</v>
      </c>
      <c r="Q10751" t="n">
        <v>0</v>
      </c>
      <c r="R10751" t="n">
        <v>0</v>
      </c>
      <c r="S10751" t="n">
        <v>0</v>
      </c>
      <c r="T10751" t="n">
        <v>0</v>
      </c>
      <c r="U10751" t="n">
        <v>0</v>
      </c>
      <c r="V10751" s="2" t="inlineStr"/>
    </row>
    <row r="10752" ht="15" customHeight="1">
      <c r="A10752" t="inlineStr">
        <is>
          <t>A 36825-2026</t>
        </is>
      </c>
      <c r="B10752" t="inlineStr">
        <is>
          <t>avverkningsanmälan</t>
        </is>
      </c>
      <c r="C10752" t="inlineStr">
        <is>
          <t>Föryngringsavverkning</t>
        </is>
      </c>
      <c r="D10752" s="1" t="n">
        <v>46272</v>
      </c>
      <c r="E10752" s="1" t="n">
        <v>46326</v>
      </c>
      <c r="F10752" t="inlineStr">
        <is>
          <t>GÄVLEBORGS LÄN</t>
        </is>
      </c>
      <c r="G10752" t="inlineStr">
        <is>
          <t>NORDANSTIG</t>
        </is>
      </c>
      <c r="I10752" t="n">
        <v>0.8</v>
      </c>
      <c r="J10752" t="n">
        <v>0</v>
      </c>
      <c r="K10752" t="n">
        <v>0</v>
      </c>
      <c r="L10752" t="n">
        <v>0</v>
      </c>
      <c r="M10752" t="n">
        <v>0</v>
      </c>
      <c r="N10752" t="n">
        <v>0</v>
      </c>
      <c r="O10752" t="n">
        <v>0</v>
      </c>
      <c r="P10752" t="n">
        <v>0</v>
      </c>
      <c r="Q10752" t="n">
        <v>0</v>
      </c>
      <c r="R10752" t="n">
        <v>0</v>
      </c>
      <c r="S10752" t="n">
        <v>0</v>
      </c>
      <c r="T10752" t="n">
        <v>0</v>
      </c>
      <c r="U10752" t="n">
        <v>0</v>
      </c>
      <c r="V10752" s="2" t="inlineStr"/>
    </row>
    <row r="10753" ht="15" customHeight="1">
      <c r="A10753" t="inlineStr">
        <is>
          <t>A 43601-2026</t>
        </is>
      </c>
      <c r="B10753" t="inlineStr">
        <is>
          <t>avverkningsanmälan</t>
        </is>
      </c>
      <c r="C10753" t="inlineStr">
        <is>
          <t>Föryngringsavverkning</t>
        </is>
      </c>
      <c r="D10753" s="1" t="n">
        <v>46315</v>
      </c>
      <c r="E10753" s="1" t="n">
        <v>46326</v>
      </c>
      <c r="F10753" t="inlineStr">
        <is>
          <t>GÄVLEBORGS LÄN</t>
        </is>
      </c>
      <c r="G10753" t="inlineStr">
        <is>
          <t>SÖDERHAMN</t>
        </is>
      </c>
      <c r="I10753" t="n">
        <v>1.9</v>
      </c>
      <c r="J10753" t="n">
        <v>0</v>
      </c>
      <c r="K10753" t="n">
        <v>0</v>
      </c>
      <c r="L10753" t="n">
        <v>0</v>
      </c>
      <c r="M10753" t="n">
        <v>0</v>
      </c>
      <c r="N10753" t="n">
        <v>0</v>
      </c>
      <c r="O10753" t="n">
        <v>0</v>
      </c>
      <c r="P10753" t="n">
        <v>0</v>
      </c>
      <c r="Q10753" t="n">
        <v>0</v>
      </c>
      <c r="R10753" t="n">
        <v>0</v>
      </c>
      <c r="S10753" t="n">
        <v>0</v>
      </c>
      <c r="T10753" t="n">
        <v>0</v>
      </c>
      <c r="U10753" t="n">
        <v>0</v>
      </c>
      <c r="V10753" s="2" t="inlineStr"/>
    </row>
    <row r="10754" ht="15" customHeight="1">
      <c r="A10754" t="inlineStr">
        <is>
          <t>A 36528-2026</t>
        </is>
      </c>
      <c r="B10754" t="inlineStr">
        <is>
          <t>avverkningsanmälan</t>
        </is>
      </c>
      <c r="C10754" t="inlineStr">
        <is>
          <t>Föryngringsavverkning</t>
        </is>
      </c>
      <c r="D10754" s="1" t="n">
        <v>46269</v>
      </c>
      <c r="E10754" s="1" t="n">
        <v>46326</v>
      </c>
      <c r="F10754" t="inlineStr">
        <is>
          <t>GÄVLEBORGS LÄN</t>
        </is>
      </c>
      <c r="G10754" t="inlineStr">
        <is>
          <t>BOLLNÄS</t>
        </is>
      </c>
      <c r="H10754" t="inlineStr">
        <is>
          <t>Sveaskog</t>
        </is>
      </c>
      <c r="I10754" t="n">
        <v>8.699999999999999</v>
      </c>
      <c r="J10754" t="n">
        <v>0</v>
      </c>
      <c r="K10754" t="n">
        <v>0</v>
      </c>
      <c r="L10754" t="n">
        <v>0</v>
      </c>
      <c r="M10754" t="n">
        <v>0</v>
      </c>
      <c r="N10754" t="n">
        <v>0</v>
      </c>
      <c r="O10754" t="n">
        <v>0</v>
      </c>
      <c r="P10754" t="n">
        <v>0</v>
      </c>
      <c r="Q10754" t="n">
        <v>0</v>
      </c>
      <c r="R10754" t="n">
        <v>0</v>
      </c>
      <c r="S10754" t="n">
        <v>0</v>
      </c>
      <c r="T10754" t="n">
        <v>0</v>
      </c>
      <c r="U10754" t="n">
        <v>0</v>
      </c>
      <c r="V10754" s="2" t="inlineStr"/>
    </row>
    <row r="10755" ht="15" customHeight="1">
      <c r="A10755" t="inlineStr">
        <is>
          <t>A 36487-2026</t>
        </is>
      </c>
      <c r="B10755" t="inlineStr">
        <is>
          <t>avverkningsanmälan</t>
        </is>
      </c>
      <c r="C10755" t="inlineStr">
        <is>
          <t>Föryngringsavverkning</t>
        </is>
      </c>
      <c r="D10755" s="1" t="n">
        <v>46269</v>
      </c>
      <c r="E10755" s="1" t="n">
        <v>46326</v>
      </c>
      <c r="F10755" t="inlineStr">
        <is>
          <t>GÄVLEBORGS LÄN</t>
        </is>
      </c>
      <c r="G10755" t="inlineStr">
        <is>
          <t>BOLLNÄS</t>
        </is>
      </c>
      <c r="H10755" t="inlineStr">
        <is>
          <t>Bergvik skog väst AB</t>
        </is>
      </c>
      <c r="I10755" t="n">
        <v>2</v>
      </c>
      <c r="J10755" t="n">
        <v>0</v>
      </c>
      <c r="K10755" t="n">
        <v>0</v>
      </c>
      <c r="L10755" t="n">
        <v>0</v>
      </c>
      <c r="M10755" t="n">
        <v>0</v>
      </c>
      <c r="N10755" t="n">
        <v>0</v>
      </c>
      <c r="O10755" t="n">
        <v>0</v>
      </c>
      <c r="P10755" t="n">
        <v>0</v>
      </c>
      <c r="Q10755" t="n">
        <v>0</v>
      </c>
      <c r="R10755" t="n">
        <v>0</v>
      </c>
      <c r="S10755" t="n">
        <v>0</v>
      </c>
      <c r="T10755" t="n">
        <v>0</v>
      </c>
      <c r="U10755" t="n">
        <v>0</v>
      </c>
      <c r="V10755" s="2" t="inlineStr"/>
    </row>
    <row r="10756" ht="15" customHeight="1">
      <c r="A10756" t="inlineStr">
        <is>
          <t>A 43285-2026</t>
        </is>
      </c>
      <c r="B10756" t="inlineStr">
        <is>
          <t>avverkningsanmälan</t>
        </is>
      </c>
      <c r="C10756" t="inlineStr">
        <is>
          <t>Föryngringsavverkning</t>
        </is>
      </c>
      <c r="D10756" s="1" t="n">
        <v>46314</v>
      </c>
      <c r="E10756" s="1" t="n">
        <v>46326</v>
      </c>
      <c r="F10756" t="inlineStr">
        <is>
          <t>GÄVLEBORGS LÄN</t>
        </is>
      </c>
      <c r="G10756" t="inlineStr">
        <is>
          <t>NORDANSTIG</t>
        </is>
      </c>
      <c r="I10756" t="n">
        <v>0.9</v>
      </c>
      <c r="J10756" t="n">
        <v>0</v>
      </c>
      <c r="K10756" t="n">
        <v>0</v>
      </c>
      <c r="L10756" t="n">
        <v>0</v>
      </c>
      <c r="M10756" t="n">
        <v>0</v>
      </c>
      <c r="N10756" t="n">
        <v>0</v>
      </c>
      <c r="O10756" t="n">
        <v>0</v>
      </c>
      <c r="P10756" t="n">
        <v>0</v>
      </c>
      <c r="Q10756" t="n">
        <v>0</v>
      </c>
      <c r="R10756" t="n">
        <v>0</v>
      </c>
      <c r="S10756" t="n">
        <v>0</v>
      </c>
      <c r="T10756" t="n">
        <v>0</v>
      </c>
      <c r="U10756" t="n">
        <v>0</v>
      </c>
      <c r="V10756" s="2" t="inlineStr"/>
    </row>
    <row r="10757" ht="15" customHeight="1">
      <c r="A10757" t="inlineStr">
        <is>
          <t>A 43295-2026</t>
        </is>
      </c>
      <c r="B10757" t="inlineStr">
        <is>
          <t>avverkningsanmälan</t>
        </is>
      </c>
      <c r="C10757" t="inlineStr">
        <is>
          <t>Föryngringsavverkning</t>
        </is>
      </c>
      <c r="D10757" s="1" t="n">
        <v>46314</v>
      </c>
      <c r="E10757" s="1" t="n">
        <v>46326</v>
      </c>
      <c r="F10757" t="inlineStr">
        <is>
          <t>GÄVLEBORGS LÄN</t>
        </is>
      </c>
      <c r="G10757" t="inlineStr">
        <is>
          <t>OVANÅKER</t>
        </is>
      </c>
      <c r="I10757" t="n">
        <v>2.2</v>
      </c>
      <c r="J10757" t="n">
        <v>0</v>
      </c>
      <c r="K10757" t="n">
        <v>0</v>
      </c>
      <c r="L10757" t="n">
        <v>0</v>
      </c>
      <c r="M10757" t="n">
        <v>0</v>
      </c>
      <c r="N10757" t="n">
        <v>0</v>
      </c>
      <c r="O10757" t="n">
        <v>0</v>
      </c>
      <c r="P10757" t="n">
        <v>0</v>
      </c>
      <c r="Q10757" t="n">
        <v>0</v>
      </c>
      <c r="R10757" t="n">
        <v>0</v>
      </c>
      <c r="S10757" t="n">
        <v>0</v>
      </c>
      <c r="T10757" t="n">
        <v>0</v>
      </c>
      <c r="U10757" t="n">
        <v>0</v>
      </c>
      <c r="V10757" s="2" t="inlineStr"/>
    </row>
    <row r="10758" ht="15" customHeight="1">
      <c r="A10758" t="inlineStr">
        <is>
          <t>A 36788-2026</t>
        </is>
      </c>
      <c r="B10758" t="inlineStr">
        <is>
          <t>avverkningsanmälan</t>
        </is>
      </c>
      <c r="C10758" t="inlineStr">
        <is>
          <t>Föryngringsavverkning</t>
        </is>
      </c>
      <c r="D10758" s="1" t="n">
        <v>46272</v>
      </c>
      <c r="E10758" s="1" t="n">
        <v>46326</v>
      </c>
      <c r="F10758" t="inlineStr">
        <is>
          <t>GÄVLEBORGS LÄN</t>
        </is>
      </c>
      <c r="G10758" t="inlineStr">
        <is>
          <t>OVANÅKER</t>
        </is>
      </c>
      <c r="H10758" t="inlineStr">
        <is>
          <t>Bergvik skog väst AB</t>
        </is>
      </c>
      <c r="I10758" t="n">
        <v>7.2</v>
      </c>
      <c r="J10758" t="n">
        <v>0</v>
      </c>
      <c r="K10758" t="n">
        <v>0</v>
      </c>
      <c r="L10758" t="n">
        <v>0</v>
      </c>
      <c r="M10758" t="n">
        <v>0</v>
      </c>
      <c r="N10758" t="n">
        <v>0</v>
      </c>
      <c r="O10758" t="n">
        <v>0</v>
      </c>
      <c r="P10758" t="n">
        <v>0</v>
      </c>
      <c r="Q10758" t="n">
        <v>0</v>
      </c>
      <c r="R10758" t="n">
        <v>0</v>
      </c>
      <c r="S10758" t="n">
        <v>0</v>
      </c>
      <c r="T10758" t="n">
        <v>0</v>
      </c>
      <c r="U10758" t="n">
        <v>0</v>
      </c>
      <c r="V10758" s="2" t="inlineStr"/>
    </row>
    <row r="10759" ht="15" customHeight="1">
      <c r="A10759" t="inlineStr">
        <is>
          <t>A 43266-2026</t>
        </is>
      </c>
      <c r="B10759" t="inlineStr">
        <is>
          <t>avverkningsanmälan</t>
        </is>
      </c>
      <c r="C10759" t="inlineStr">
        <is>
          <t>Föryngringsavverkning</t>
        </is>
      </c>
      <c r="D10759" s="1" t="n">
        <v>46314</v>
      </c>
      <c r="E10759" s="1" t="n">
        <v>46326</v>
      </c>
      <c r="F10759" t="inlineStr">
        <is>
          <t>GÄVLEBORGS LÄN</t>
        </is>
      </c>
      <c r="G10759" t="inlineStr">
        <is>
          <t>GÄVLE</t>
        </is>
      </c>
      <c r="H10759" t="inlineStr">
        <is>
          <t>Bergvik skog öst AB</t>
        </is>
      </c>
      <c r="I10759" t="n">
        <v>6.9</v>
      </c>
      <c r="J10759" t="n">
        <v>0</v>
      </c>
      <c r="K10759" t="n">
        <v>0</v>
      </c>
      <c r="L10759" t="n">
        <v>0</v>
      </c>
      <c r="M10759" t="n">
        <v>0</v>
      </c>
      <c r="N10759" t="n">
        <v>0</v>
      </c>
      <c r="O10759" t="n">
        <v>0</v>
      </c>
      <c r="P10759" t="n">
        <v>0</v>
      </c>
      <c r="Q10759" t="n">
        <v>0</v>
      </c>
      <c r="R10759" t="n">
        <v>0</v>
      </c>
      <c r="S10759" t="n">
        <v>0</v>
      </c>
      <c r="T10759" t="n">
        <v>0</v>
      </c>
      <c r="U10759" t="n">
        <v>0</v>
      </c>
      <c r="V10759" s="2" t="inlineStr"/>
    </row>
    <row r="10760" ht="15" customHeight="1">
      <c r="A10760" t="inlineStr">
        <is>
          <t>A 36558-2026</t>
        </is>
      </c>
      <c r="B10760" t="inlineStr">
        <is>
          <t>avverkningsanmälan</t>
        </is>
      </c>
      <c r="C10760" t="inlineStr">
        <is>
          <t>Föryngringsavverkning</t>
        </is>
      </c>
      <c r="D10760" s="1" t="n">
        <v>46269</v>
      </c>
      <c r="E10760" s="1" t="n">
        <v>46326</v>
      </c>
      <c r="F10760" t="inlineStr">
        <is>
          <t>GÄVLEBORGS LÄN</t>
        </is>
      </c>
      <c r="G10760" t="inlineStr">
        <is>
          <t>GÄVLE</t>
        </is>
      </c>
      <c r="H10760" t="inlineStr">
        <is>
          <t>Bergvik skog öst AB</t>
        </is>
      </c>
      <c r="I10760" t="n">
        <v>3.1</v>
      </c>
      <c r="J10760" t="n">
        <v>0</v>
      </c>
      <c r="K10760" t="n">
        <v>0</v>
      </c>
      <c r="L10760" t="n">
        <v>0</v>
      </c>
      <c r="M10760" t="n">
        <v>0</v>
      </c>
      <c r="N10760" t="n">
        <v>0</v>
      </c>
      <c r="O10760" t="n">
        <v>0</v>
      </c>
      <c r="P10760" t="n">
        <v>0</v>
      </c>
      <c r="Q10760" t="n">
        <v>0</v>
      </c>
      <c r="R10760" t="n">
        <v>0</v>
      </c>
      <c r="S10760" t="n">
        <v>0</v>
      </c>
      <c r="T10760" t="n">
        <v>0</v>
      </c>
      <c r="U10760" t="n">
        <v>0</v>
      </c>
      <c r="V10760" s="2" t="inlineStr"/>
    </row>
    <row r="10761" ht="15" customHeight="1">
      <c r="A10761" t="inlineStr">
        <is>
          <t>A 36562-2026</t>
        </is>
      </c>
      <c r="B10761" t="inlineStr">
        <is>
          <t>avverkningsanmälan</t>
        </is>
      </c>
      <c r="C10761" t="inlineStr">
        <is>
          <t>Föryngringsavverkning</t>
        </is>
      </c>
      <c r="D10761" s="1" t="n">
        <v>46269</v>
      </c>
      <c r="E10761" s="1" t="n">
        <v>46326</v>
      </c>
      <c r="F10761" t="inlineStr">
        <is>
          <t>GÄVLEBORGS LÄN</t>
        </is>
      </c>
      <c r="G10761" t="inlineStr">
        <is>
          <t>OCKELBO</t>
        </is>
      </c>
      <c r="H10761" t="inlineStr">
        <is>
          <t>Bergvik skog väst AB</t>
        </is>
      </c>
      <c r="I10761" t="n">
        <v>1.1</v>
      </c>
      <c r="J10761" t="n">
        <v>0</v>
      </c>
      <c r="K10761" t="n">
        <v>0</v>
      </c>
      <c r="L10761" t="n">
        <v>0</v>
      </c>
      <c r="M10761" t="n">
        <v>0</v>
      </c>
      <c r="N10761" t="n">
        <v>0</v>
      </c>
      <c r="O10761" t="n">
        <v>0</v>
      </c>
      <c r="P10761" t="n">
        <v>0</v>
      </c>
      <c r="Q10761" t="n">
        <v>0</v>
      </c>
      <c r="R10761" t="n">
        <v>0</v>
      </c>
      <c r="S10761" t="n">
        <v>0</v>
      </c>
      <c r="T10761" t="n">
        <v>0</v>
      </c>
      <c r="U10761" t="n">
        <v>0</v>
      </c>
      <c r="V10761" s="2" t="inlineStr"/>
    </row>
    <row r="10762" ht="15" customHeight="1">
      <c r="A10762" t="inlineStr">
        <is>
          <t>A 36572-2026</t>
        </is>
      </c>
      <c r="B10762" t="inlineStr">
        <is>
          <t>avverkningsanmälan</t>
        </is>
      </c>
      <c r="C10762" t="inlineStr">
        <is>
          <t>Föryngringsavverkning</t>
        </is>
      </c>
      <c r="D10762" s="1" t="n">
        <v>46269</v>
      </c>
      <c r="E10762" s="1" t="n">
        <v>46326</v>
      </c>
      <c r="F10762" t="inlineStr">
        <is>
          <t>GÄVLEBORGS LÄN</t>
        </is>
      </c>
      <c r="G10762" t="inlineStr">
        <is>
          <t>BOLLNÄS</t>
        </is>
      </c>
      <c r="H10762" t="inlineStr">
        <is>
          <t>Kommuner</t>
        </is>
      </c>
      <c r="I10762" t="n">
        <v>1.2</v>
      </c>
      <c r="J10762" t="n">
        <v>0</v>
      </c>
      <c r="K10762" t="n">
        <v>0</v>
      </c>
      <c r="L10762" t="n">
        <v>0</v>
      </c>
      <c r="M10762" t="n">
        <v>0</v>
      </c>
      <c r="N10762" t="n">
        <v>0</v>
      </c>
      <c r="O10762" t="n">
        <v>0</v>
      </c>
      <c r="P10762" t="n">
        <v>0</v>
      </c>
      <c r="Q10762" t="n">
        <v>0</v>
      </c>
      <c r="R10762" t="n">
        <v>0</v>
      </c>
      <c r="S10762" t="n">
        <v>0</v>
      </c>
      <c r="T10762" t="n">
        <v>0</v>
      </c>
      <c r="U10762" t="n">
        <v>0</v>
      </c>
      <c r="V10762" s="2" t="inlineStr"/>
    </row>
    <row r="10763" ht="15" customHeight="1">
      <c r="A10763" t="inlineStr">
        <is>
          <t>A 36530-2026</t>
        </is>
      </c>
      <c r="B10763" t="inlineStr">
        <is>
          <t>avverkningsanmälan</t>
        </is>
      </c>
      <c r="C10763" t="inlineStr">
        <is>
          <t>Föryngringsavverkning</t>
        </is>
      </c>
      <c r="D10763" s="1" t="n">
        <v>46269</v>
      </c>
      <c r="E10763" s="1" t="n">
        <v>46326</v>
      </c>
      <c r="F10763" t="inlineStr">
        <is>
          <t>GÄVLEBORGS LÄN</t>
        </is>
      </c>
      <c r="G10763" t="inlineStr">
        <is>
          <t>GÄVLE</t>
        </is>
      </c>
      <c r="H10763" t="inlineStr">
        <is>
          <t>Bergvik skog öst AB</t>
        </is>
      </c>
      <c r="I10763" t="n">
        <v>1.1</v>
      </c>
      <c r="J10763" t="n">
        <v>0</v>
      </c>
      <c r="K10763" t="n">
        <v>0</v>
      </c>
      <c r="L10763" t="n">
        <v>0</v>
      </c>
      <c r="M10763" t="n">
        <v>0</v>
      </c>
      <c r="N10763" t="n">
        <v>0</v>
      </c>
      <c r="O10763" t="n">
        <v>0</v>
      </c>
      <c r="P10763" t="n">
        <v>0</v>
      </c>
      <c r="Q10763" t="n">
        <v>0</v>
      </c>
      <c r="R10763" t="n">
        <v>0</v>
      </c>
      <c r="S10763" t="n">
        <v>0</v>
      </c>
      <c r="T10763" t="n">
        <v>0</v>
      </c>
      <c r="U10763" t="n">
        <v>0</v>
      </c>
      <c r="V10763" s="2" t="inlineStr"/>
    </row>
    <row r="10764" ht="15" customHeight="1">
      <c r="A10764" t="inlineStr">
        <is>
          <t>A 36516-2026</t>
        </is>
      </c>
      <c r="B10764" t="inlineStr">
        <is>
          <t>avverkningsanmälan</t>
        </is>
      </c>
      <c r="C10764" t="inlineStr">
        <is>
          <t>Föryngringsavverkning</t>
        </is>
      </c>
      <c r="D10764" s="1" t="n">
        <v>46269</v>
      </c>
      <c r="E10764" s="1" t="n">
        <v>46326</v>
      </c>
      <c r="F10764" t="inlineStr">
        <is>
          <t>GÄVLEBORGS LÄN</t>
        </is>
      </c>
      <c r="G10764" t="inlineStr">
        <is>
          <t>LJUSDAL</t>
        </is>
      </c>
      <c r="H10764" t="inlineStr">
        <is>
          <t>Sveaskog</t>
        </is>
      </c>
      <c r="I10764" t="n">
        <v>1.9</v>
      </c>
      <c r="J10764" t="n">
        <v>0</v>
      </c>
      <c r="K10764" t="n">
        <v>0</v>
      </c>
      <c r="L10764" t="n">
        <v>0</v>
      </c>
      <c r="M10764" t="n">
        <v>0</v>
      </c>
      <c r="N10764" t="n">
        <v>0</v>
      </c>
      <c r="O10764" t="n">
        <v>0</v>
      </c>
      <c r="P10764" t="n">
        <v>0</v>
      </c>
      <c r="Q10764" t="n">
        <v>0</v>
      </c>
      <c r="R10764" t="n">
        <v>0</v>
      </c>
      <c r="S10764" t="n">
        <v>0</v>
      </c>
      <c r="T10764" t="n">
        <v>0</v>
      </c>
      <c r="U10764" t="n">
        <v>0</v>
      </c>
      <c r="V10764" s="2" t="inlineStr"/>
    </row>
    <row r="10765" ht="15" customHeight="1">
      <c r="A10765" t="inlineStr">
        <is>
          <t>A 36575-2026</t>
        </is>
      </c>
      <c r="B10765" t="inlineStr">
        <is>
          <t>avverkningsanmälan</t>
        </is>
      </c>
      <c r="C10765" t="inlineStr">
        <is>
          <t>Föryngringsavverkning</t>
        </is>
      </c>
      <c r="D10765" s="1" t="n">
        <v>46269</v>
      </c>
      <c r="E10765" s="1" t="n">
        <v>46326</v>
      </c>
      <c r="F10765" t="inlineStr">
        <is>
          <t>GÄVLEBORGS LÄN</t>
        </is>
      </c>
      <c r="G10765" t="inlineStr">
        <is>
          <t>BOLLNÄS</t>
        </is>
      </c>
      <c r="H10765" t="inlineStr">
        <is>
          <t>Kommuner</t>
        </is>
      </c>
      <c r="I10765" t="n">
        <v>1.3</v>
      </c>
      <c r="J10765" t="n">
        <v>0</v>
      </c>
      <c r="K10765" t="n">
        <v>0</v>
      </c>
      <c r="L10765" t="n">
        <v>0</v>
      </c>
      <c r="M10765" t="n">
        <v>0</v>
      </c>
      <c r="N10765" t="n">
        <v>0</v>
      </c>
      <c r="O10765" t="n">
        <v>0</v>
      </c>
      <c r="P10765" t="n">
        <v>0</v>
      </c>
      <c r="Q10765" t="n">
        <v>0</v>
      </c>
      <c r="R10765" t="n">
        <v>0</v>
      </c>
      <c r="S10765" t="n">
        <v>0</v>
      </c>
      <c r="T10765" t="n">
        <v>0</v>
      </c>
      <c r="U10765" t="n">
        <v>0</v>
      </c>
      <c r="V10765" s="2" t="inlineStr"/>
    </row>
    <row r="10766" ht="15" customHeight="1">
      <c r="A10766" t="inlineStr">
        <is>
          <t>A 13475-2026</t>
        </is>
      </c>
      <c r="B10766" t="inlineStr">
        <is>
          <t>avverkningsanmälan</t>
        </is>
      </c>
      <c r="C10766" t="inlineStr">
        <is>
          <t>Föryngringsavverkning</t>
        </is>
      </c>
      <c r="D10766" s="1" t="n">
        <v>46094</v>
      </c>
      <c r="E10766" s="1" t="n">
        <v>46326</v>
      </c>
      <c r="F10766" t="inlineStr">
        <is>
          <t>GÄVLEBORGS LÄN</t>
        </is>
      </c>
      <c r="G10766" t="inlineStr">
        <is>
          <t>GÄVLE</t>
        </is>
      </c>
      <c r="H10766" t="inlineStr">
        <is>
          <t>Bergvik skog öst AB</t>
        </is>
      </c>
      <c r="I10766" t="n">
        <v>1.1</v>
      </c>
      <c r="J10766" t="n">
        <v>0</v>
      </c>
      <c r="K10766" t="n">
        <v>0</v>
      </c>
      <c r="L10766" t="n">
        <v>0</v>
      </c>
      <c r="M10766" t="n">
        <v>0</v>
      </c>
      <c r="N10766" t="n">
        <v>0</v>
      </c>
      <c r="O10766" t="n">
        <v>0</v>
      </c>
      <c r="P10766" t="n">
        <v>0</v>
      </c>
      <c r="Q10766" t="n">
        <v>0</v>
      </c>
      <c r="R10766" t="n">
        <v>0</v>
      </c>
      <c r="S10766" t="n">
        <v>0</v>
      </c>
      <c r="T10766" t="n">
        <v>0</v>
      </c>
      <c r="U10766" t="n">
        <v>0</v>
      </c>
      <c r="V10766" s="2" t="inlineStr"/>
    </row>
    <row r="10767" ht="15" customHeight="1">
      <c r="A10767" t="inlineStr">
        <is>
          <t>A 36808-2026</t>
        </is>
      </c>
      <c r="B10767" t="inlineStr">
        <is>
          <t>avverkningsanmälan</t>
        </is>
      </c>
      <c r="C10767" t="inlineStr">
        <is>
          <t>Föryngringsavverkning</t>
        </is>
      </c>
      <c r="D10767" s="1" t="n">
        <v>46272</v>
      </c>
      <c r="E10767" s="1" t="n">
        <v>46326</v>
      </c>
      <c r="F10767" t="inlineStr">
        <is>
          <t>GÄVLEBORGS LÄN</t>
        </is>
      </c>
      <c r="G10767" t="inlineStr">
        <is>
          <t>HOFORS</t>
        </is>
      </c>
      <c r="I10767" t="n">
        <v>3.1</v>
      </c>
      <c r="J10767" t="n">
        <v>0</v>
      </c>
      <c r="K10767" t="n">
        <v>0</v>
      </c>
      <c r="L10767" t="n">
        <v>0</v>
      </c>
      <c r="M10767" t="n">
        <v>0</v>
      </c>
      <c r="N10767" t="n">
        <v>0</v>
      </c>
      <c r="O10767" t="n">
        <v>0</v>
      </c>
      <c r="P10767" t="n">
        <v>0</v>
      </c>
      <c r="Q10767" t="n">
        <v>0</v>
      </c>
      <c r="R10767" t="n">
        <v>0</v>
      </c>
      <c r="S10767" t="n">
        <v>0</v>
      </c>
      <c r="T10767" t="n">
        <v>0</v>
      </c>
      <c r="U10767" t="n">
        <v>0</v>
      </c>
      <c r="V10767" s="2" t="inlineStr"/>
    </row>
    <row r="10768" ht="15" customHeight="1">
      <c r="A10768" t="inlineStr">
        <is>
          <t>A 36979-2026</t>
        </is>
      </c>
      <c r="B10768" t="inlineStr">
        <is>
          <t>avverkningsanmälan</t>
        </is>
      </c>
      <c r="C10768" t="inlineStr">
        <is>
          <t>Föryngringsavverkning</t>
        </is>
      </c>
      <c r="D10768" s="1" t="n">
        <v>46273</v>
      </c>
      <c r="E10768" s="1" t="n">
        <v>46326</v>
      </c>
      <c r="F10768" t="inlineStr">
        <is>
          <t>GÄVLEBORGS LÄN</t>
        </is>
      </c>
      <c r="G10768" t="inlineStr">
        <is>
          <t>BOLLNÄS</t>
        </is>
      </c>
      <c r="I10768" t="n">
        <v>5.1</v>
      </c>
      <c r="J10768" t="n">
        <v>0</v>
      </c>
      <c r="K10768" t="n">
        <v>0</v>
      </c>
      <c r="L10768" t="n">
        <v>0</v>
      </c>
      <c r="M10768" t="n">
        <v>0</v>
      </c>
      <c r="N10768" t="n">
        <v>0</v>
      </c>
      <c r="O10768" t="n">
        <v>0</v>
      </c>
      <c r="P10768" t="n">
        <v>0</v>
      </c>
      <c r="Q10768" t="n">
        <v>0</v>
      </c>
      <c r="R10768" t="n">
        <v>0</v>
      </c>
      <c r="S10768" t="n">
        <v>0</v>
      </c>
      <c r="T10768" t="n">
        <v>0</v>
      </c>
      <c r="U10768" t="n">
        <v>0</v>
      </c>
      <c r="V10768" s="2" t="inlineStr"/>
    </row>
    <row r="10769" ht="15" customHeight="1">
      <c r="A10769" t="inlineStr">
        <is>
          <t>A 36835-2026</t>
        </is>
      </c>
      <c r="B10769" t="inlineStr">
        <is>
          <t>avverkningsanmälan</t>
        </is>
      </c>
      <c r="C10769" t="inlineStr">
        <is>
          <t>Föryngringsavverkning</t>
        </is>
      </c>
      <c r="D10769" s="1" t="n">
        <v>46272</v>
      </c>
      <c r="E10769" s="1" t="n">
        <v>46326</v>
      </c>
      <c r="F10769" t="inlineStr">
        <is>
          <t>GÄVLEBORGS LÄN</t>
        </is>
      </c>
      <c r="G10769" t="inlineStr">
        <is>
          <t>OVANÅKER</t>
        </is>
      </c>
      <c r="H10769" t="inlineStr">
        <is>
          <t>Bergvik skog väst AB</t>
        </is>
      </c>
      <c r="I10769" t="n">
        <v>1.2</v>
      </c>
      <c r="J10769" t="n">
        <v>0</v>
      </c>
      <c r="K10769" t="n">
        <v>0</v>
      </c>
      <c r="L10769" t="n">
        <v>0</v>
      </c>
      <c r="M10769" t="n">
        <v>0</v>
      </c>
      <c r="N10769" t="n">
        <v>0</v>
      </c>
      <c r="O10769" t="n">
        <v>0</v>
      </c>
      <c r="P10769" t="n">
        <v>0</v>
      </c>
      <c r="Q10769" t="n">
        <v>0</v>
      </c>
      <c r="R10769" t="n">
        <v>0</v>
      </c>
      <c r="S10769" t="n">
        <v>0</v>
      </c>
      <c r="T10769" t="n">
        <v>0</v>
      </c>
      <c r="U10769" t="n">
        <v>0</v>
      </c>
      <c r="V10769" s="2" t="inlineStr"/>
    </row>
    <row r="10770" ht="15" customHeight="1">
      <c r="A10770" t="inlineStr">
        <is>
          <t>A 36913-2026</t>
        </is>
      </c>
      <c r="B10770" t="inlineStr">
        <is>
          <t>avverkningsanmälan</t>
        </is>
      </c>
      <c r="C10770" t="inlineStr">
        <is>
          <t>Föryngringsavverkning</t>
        </is>
      </c>
      <c r="D10770" s="1" t="n">
        <v>46273</v>
      </c>
      <c r="E10770" s="1" t="n">
        <v>46326</v>
      </c>
      <c r="F10770" t="inlineStr">
        <is>
          <t>GÄVLEBORGS LÄN</t>
        </is>
      </c>
      <c r="G10770" t="inlineStr">
        <is>
          <t>BOLLNÄS</t>
        </is>
      </c>
      <c r="I10770" t="n">
        <v>2.1</v>
      </c>
      <c r="J10770" t="n">
        <v>0</v>
      </c>
      <c r="K10770" t="n">
        <v>0</v>
      </c>
      <c r="L10770" t="n">
        <v>0</v>
      </c>
      <c r="M10770" t="n">
        <v>0</v>
      </c>
      <c r="N10770" t="n">
        <v>0</v>
      </c>
      <c r="O10770" t="n">
        <v>0</v>
      </c>
      <c r="P10770" t="n">
        <v>0</v>
      </c>
      <c r="Q10770" t="n">
        <v>0</v>
      </c>
      <c r="R10770" t="n">
        <v>0</v>
      </c>
      <c r="S10770" t="n">
        <v>0</v>
      </c>
      <c r="T10770" t="n">
        <v>0</v>
      </c>
      <c r="U10770" t="n">
        <v>0</v>
      </c>
      <c r="V10770" s="2" t="inlineStr"/>
    </row>
    <row r="10771" ht="15" customHeight="1">
      <c r="A10771" t="inlineStr">
        <is>
          <t>A 34980-2026</t>
        </is>
      </c>
      <c r="B10771" t="inlineStr">
        <is>
          <t>avverkningsanmälan</t>
        </is>
      </c>
      <c r="C10771" t="inlineStr">
        <is>
          <t>Föryngringsavverkning</t>
        </is>
      </c>
      <c r="D10771" s="1" t="n">
        <v>46259</v>
      </c>
      <c r="E10771" s="1" t="n">
        <v>46326</v>
      </c>
      <c r="F10771" t="inlineStr">
        <is>
          <t>GÄVLEBORGS LÄN</t>
        </is>
      </c>
      <c r="G10771" t="inlineStr">
        <is>
          <t>HOFORS</t>
        </is>
      </c>
      <c r="H10771" t="inlineStr">
        <is>
          <t>Övriga statliga verk och myndigheter</t>
        </is>
      </c>
      <c r="I10771" t="n">
        <v>1.7</v>
      </c>
      <c r="J10771" t="n">
        <v>0</v>
      </c>
      <c r="K10771" t="n">
        <v>0</v>
      </c>
      <c r="L10771" t="n">
        <v>0</v>
      </c>
      <c r="M10771" t="n">
        <v>0</v>
      </c>
      <c r="N10771" t="n">
        <v>0</v>
      </c>
      <c r="O10771" t="n">
        <v>0</v>
      </c>
      <c r="P10771" t="n">
        <v>0</v>
      </c>
      <c r="Q10771" t="n">
        <v>0</v>
      </c>
      <c r="R10771" t="n">
        <v>0</v>
      </c>
      <c r="S10771" t="n">
        <v>0</v>
      </c>
      <c r="T10771" t="n">
        <v>0</v>
      </c>
      <c r="U10771" t="n">
        <v>0</v>
      </c>
      <c r="V10771" s="2" t="inlineStr"/>
    </row>
    <row r="10772" ht="15" customHeight="1">
      <c r="A10772" t="inlineStr">
        <is>
          <t>A 36579-2026</t>
        </is>
      </c>
      <c r="B10772" t="inlineStr">
        <is>
          <t>avverkningsanmälan</t>
        </is>
      </c>
      <c r="C10772" t="inlineStr">
        <is>
          <t>Föryngringsavverkning</t>
        </is>
      </c>
      <c r="D10772" s="1" t="n">
        <v>46269</v>
      </c>
      <c r="E10772" s="1" t="n">
        <v>46326</v>
      </c>
      <c r="F10772" t="inlineStr">
        <is>
          <t>GÄVLEBORGS LÄN</t>
        </is>
      </c>
      <c r="G10772" t="inlineStr">
        <is>
          <t>BOLLNÄS</t>
        </is>
      </c>
      <c r="I10772" t="n">
        <v>1.8</v>
      </c>
      <c r="J10772" t="n">
        <v>0</v>
      </c>
      <c r="K10772" t="n">
        <v>0</v>
      </c>
      <c r="L10772" t="n">
        <v>0</v>
      </c>
      <c r="M10772" t="n">
        <v>0</v>
      </c>
      <c r="N10772" t="n">
        <v>0</v>
      </c>
      <c r="O10772" t="n">
        <v>0</v>
      </c>
      <c r="P10772" t="n">
        <v>0</v>
      </c>
      <c r="Q10772" t="n">
        <v>0</v>
      </c>
      <c r="R10772" t="n">
        <v>0</v>
      </c>
      <c r="S10772" t="n">
        <v>0</v>
      </c>
      <c r="T10772" t="n">
        <v>0</v>
      </c>
      <c r="U10772" t="n">
        <v>0</v>
      </c>
      <c r="V10772" s="2" t="inlineStr"/>
    </row>
    <row r="10773" ht="15" customHeight="1">
      <c r="A10773" t="inlineStr">
        <is>
          <t>A 36658-2026</t>
        </is>
      </c>
      <c r="B10773" t="inlineStr">
        <is>
          <t>avverkningsanmälan</t>
        </is>
      </c>
      <c r="C10773" t="inlineStr">
        <is>
          <t>Föryngringsavverkning</t>
        </is>
      </c>
      <c r="D10773" s="1" t="n">
        <v>46272</v>
      </c>
      <c r="E10773" s="1" t="n">
        <v>46326</v>
      </c>
      <c r="F10773" t="inlineStr">
        <is>
          <t>GÄVLEBORGS LÄN</t>
        </is>
      </c>
      <c r="G10773" t="inlineStr">
        <is>
          <t>OVANÅKER</t>
        </is>
      </c>
      <c r="I10773" t="n">
        <v>4.8</v>
      </c>
      <c r="J10773" t="n">
        <v>0</v>
      </c>
      <c r="K10773" t="n">
        <v>0</v>
      </c>
      <c r="L10773" t="n">
        <v>0</v>
      </c>
      <c r="M10773" t="n">
        <v>0</v>
      </c>
      <c r="N10773" t="n">
        <v>0</v>
      </c>
      <c r="O10773" t="n">
        <v>0</v>
      </c>
      <c r="P10773" t="n">
        <v>0</v>
      </c>
      <c r="Q10773" t="n">
        <v>0</v>
      </c>
      <c r="R10773" t="n">
        <v>0</v>
      </c>
      <c r="S10773" t="n">
        <v>0</v>
      </c>
      <c r="T10773" t="n">
        <v>0</v>
      </c>
      <c r="U10773" t="n">
        <v>0</v>
      </c>
      <c r="V10773" s="2" t="inlineStr"/>
    </row>
    <row r="10774" ht="15" customHeight="1">
      <c r="A10774" t="inlineStr">
        <is>
          <t>A 36702-2026</t>
        </is>
      </c>
      <c r="B10774" t="inlineStr">
        <is>
          <t>avverkningsanmälan</t>
        </is>
      </c>
      <c r="C10774" t="inlineStr">
        <is>
          <t>Föryngringsavverkning</t>
        </is>
      </c>
      <c r="D10774" s="1" t="n">
        <v>46272</v>
      </c>
      <c r="E10774" s="1" t="n">
        <v>46326</v>
      </c>
      <c r="F10774" t="inlineStr">
        <is>
          <t>GÄVLEBORGS LÄN</t>
        </is>
      </c>
      <c r="G10774" t="inlineStr">
        <is>
          <t>BOLLNÄS</t>
        </is>
      </c>
      <c r="H10774" t="inlineStr">
        <is>
          <t>Bergvik skog väst AB</t>
        </is>
      </c>
      <c r="I10774" t="n">
        <v>6.5</v>
      </c>
      <c r="J10774" t="n">
        <v>0</v>
      </c>
      <c r="K10774" t="n">
        <v>0</v>
      </c>
      <c r="L10774" t="n">
        <v>0</v>
      </c>
      <c r="M10774" t="n">
        <v>0</v>
      </c>
      <c r="N10774" t="n">
        <v>0</v>
      </c>
      <c r="O10774" t="n">
        <v>0</v>
      </c>
      <c r="P10774" t="n">
        <v>0</v>
      </c>
      <c r="Q10774" t="n">
        <v>0</v>
      </c>
      <c r="R10774" t="n">
        <v>0</v>
      </c>
      <c r="S10774" t="n">
        <v>0</v>
      </c>
      <c r="T10774" t="n">
        <v>0</v>
      </c>
      <c r="U10774" t="n">
        <v>0</v>
      </c>
      <c r="V10774" s="2" t="inlineStr"/>
    </row>
    <row r="10775" ht="15" customHeight="1">
      <c r="A10775" t="inlineStr">
        <is>
          <t>A 43196-2026</t>
        </is>
      </c>
      <c r="B10775" t="inlineStr">
        <is>
          <t>avverkningsanmälan</t>
        </is>
      </c>
      <c r="C10775" t="inlineStr">
        <is>
          <t>Föryngringsavverkning</t>
        </is>
      </c>
      <c r="D10775" s="1" t="n">
        <v>46314</v>
      </c>
      <c r="E10775" s="1" t="n">
        <v>46326</v>
      </c>
      <c r="F10775" t="inlineStr">
        <is>
          <t>GÄVLEBORGS LÄN</t>
        </is>
      </c>
      <c r="G10775" t="inlineStr">
        <is>
          <t>GÄVLE</t>
        </is>
      </c>
      <c r="H10775" t="inlineStr">
        <is>
          <t>Bergvik skog öst AB</t>
        </is>
      </c>
      <c r="I10775" t="n">
        <v>1.9</v>
      </c>
      <c r="J10775" t="n">
        <v>0</v>
      </c>
      <c r="K10775" t="n">
        <v>0</v>
      </c>
      <c r="L10775" t="n">
        <v>0</v>
      </c>
      <c r="M10775" t="n">
        <v>0</v>
      </c>
      <c r="N10775" t="n">
        <v>0</v>
      </c>
      <c r="O10775" t="n">
        <v>0</v>
      </c>
      <c r="P10775" t="n">
        <v>0</v>
      </c>
      <c r="Q10775" t="n">
        <v>0</v>
      </c>
      <c r="R10775" t="n">
        <v>0</v>
      </c>
      <c r="S10775" t="n">
        <v>0</v>
      </c>
      <c r="T10775" t="n">
        <v>0</v>
      </c>
      <c r="U10775" t="n">
        <v>0</v>
      </c>
      <c r="V10775" s="2" t="inlineStr"/>
    </row>
    <row r="10776" ht="15" customHeight="1">
      <c r="A10776" t="inlineStr">
        <is>
          <t>A 43213-2026</t>
        </is>
      </c>
      <c r="B10776" t="inlineStr">
        <is>
          <t>avverkningsanmälan</t>
        </is>
      </c>
      <c r="C10776" t="inlineStr">
        <is>
          <t>Föryngringsavverkning</t>
        </is>
      </c>
      <c r="D10776" s="1" t="n">
        <v>46314</v>
      </c>
      <c r="E10776" s="1" t="n">
        <v>46326</v>
      </c>
      <c r="F10776" t="inlineStr">
        <is>
          <t>GÄVLEBORGS LÄN</t>
        </is>
      </c>
      <c r="G10776" t="inlineStr">
        <is>
          <t>GÄVLE</t>
        </is>
      </c>
      <c r="H10776" t="inlineStr">
        <is>
          <t>Bergvik skog öst AB</t>
        </is>
      </c>
      <c r="I10776" t="n">
        <v>6.5</v>
      </c>
      <c r="J10776" t="n">
        <v>0</v>
      </c>
      <c r="K10776" t="n">
        <v>0</v>
      </c>
      <c r="L10776" t="n">
        <v>0</v>
      </c>
      <c r="M10776" t="n">
        <v>0</v>
      </c>
      <c r="N10776" t="n">
        <v>0</v>
      </c>
      <c r="O10776" t="n">
        <v>0</v>
      </c>
      <c r="P10776" t="n">
        <v>0</v>
      </c>
      <c r="Q10776" t="n">
        <v>0</v>
      </c>
      <c r="R10776" t="n">
        <v>0</v>
      </c>
      <c r="S10776" t="n">
        <v>0</v>
      </c>
      <c r="T10776" t="n">
        <v>0</v>
      </c>
      <c r="U10776" t="n">
        <v>0</v>
      </c>
      <c r="V10776" s="2" t="inlineStr"/>
    </row>
    <row r="10777" ht="15" customHeight="1">
      <c r="A10777" t="inlineStr">
        <is>
          <t>A 36512-2026</t>
        </is>
      </c>
      <c r="B10777" t="inlineStr">
        <is>
          <t>avverkningsanmälan</t>
        </is>
      </c>
      <c r="C10777" t="inlineStr">
        <is>
          <t>Föryngringsavverkning</t>
        </is>
      </c>
      <c r="D10777" s="1" t="n">
        <v>46269</v>
      </c>
      <c r="E10777" s="1" t="n">
        <v>46326</v>
      </c>
      <c r="F10777" t="inlineStr">
        <is>
          <t>GÄVLEBORGS LÄN</t>
        </is>
      </c>
      <c r="G10777" t="inlineStr">
        <is>
          <t>GÄVLE</t>
        </is>
      </c>
      <c r="H10777" t="inlineStr">
        <is>
          <t>Bergvik skog öst AB</t>
        </is>
      </c>
      <c r="I10777" t="n">
        <v>3</v>
      </c>
      <c r="J10777" t="n">
        <v>0</v>
      </c>
      <c r="K10777" t="n">
        <v>0</v>
      </c>
      <c r="L10777" t="n">
        <v>0</v>
      </c>
      <c r="M10777" t="n">
        <v>0</v>
      </c>
      <c r="N10777" t="n">
        <v>0</v>
      </c>
      <c r="O10777" t="n">
        <v>0</v>
      </c>
      <c r="P10777" t="n">
        <v>0</v>
      </c>
      <c r="Q10777" t="n">
        <v>0</v>
      </c>
      <c r="R10777" t="n">
        <v>0</v>
      </c>
      <c r="S10777" t="n">
        <v>0</v>
      </c>
      <c r="T10777" t="n">
        <v>0</v>
      </c>
      <c r="U10777" t="n">
        <v>0</v>
      </c>
      <c r="V10777" s="2" t="inlineStr"/>
    </row>
    <row r="10778" ht="15" customHeight="1">
      <c r="A10778" t="inlineStr">
        <is>
          <t>A 36514-2026</t>
        </is>
      </c>
      <c r="B10778" t="inlineStr">
        <is>
          <t>avverkningsanmälan</t>
        </is>
      </c>
      <c r="C10778" t="inlineStr">
        <is>
          <t>Föryngringsavverkning</t>
        </is>
      </c>
      <c r="D10778" s="1" t="n">
        <v>46269</v>
      </c>
      <c r="E10778" s="1" t="n">
        <v>46326</v>
      </c>
      <c r="F10778" t="inlineStr">
        <is>
          <t>GÄVLEBORGS LÄN</t>
        </is>
      </c>
      <c r="G10778" t="inlineStr">
        <is>
          <t>LJUSDAL</t>
        </is>
      </c>
      <c r="H10778" t="inlineStr">
        <is>
          <t>Sveaskog</t>
        </is>
      </c>
      <c r="I10778" t="n">
        <v>2.1</v>
      </c>
      <c r="J10778" t="n">
        <v>0</v>
      </c>
      <c r="K10778" t="n">
        <v>0</v>
      </c>
      <c r="L10778" t="n">
        <v>0</v>
      </c>
      <c r="M10778" t="n">
        <v>0</v>
      </c>
      <c r="N10778" t="n">
        <v>0</v>
      </c>
      <c r="O10778" t="n">
        <v>0</v>
      </c>
      <c r="P10778" t="n">
        <v>0</v>
      </c>
      <c r="Q10778" t="n">
        <v>0</v>
      </c>
      <c r="R10778" t="n">
        <v>0</v>
      </c>
      <c r="S10778" t="n">
        <v>0</v>
      </c>
      <c r="T10778" t="n">
        <v>0</v>
      </c>
      <c r="U10778" t="n">
        <v>0</v>
      </c>
      <c r="V10778" s="2" t="inlineStr"/>
    </row>
    <row r="10779" ht="15" customHeight="1">
      <c r="A10779" t="inlineStr">
        <is>
          <t>A 36467-2026</t>
        </is>
      </c>
      <c r="B10779" t="inlineStr">
        <is>
          <t>avverkningsanmälan</t>
        </is>
      </c>
      <c r="C10779" t="inlineStr">
        <is>
          <t>Föryngringsavverkning</t>
        </is>
      </c>
      <c r="D10779" s="1" t="n">
        <v>46269</v>
      </c>
      <c r="E10779" s="1" t="n">
        <v>46326</v>
      </c>
      <c r="F10779" t="inlineStr">
        <is>
          <t>GÄVLEBORGS LÄN</t>
        </is>
      </c>
      <c r="G10779" t="inlineStr">
        <is>
          <t>OCKELBO</t>
        </is>
      </c>
      <c r="H10779" t="inlineStr">
        <is>
          <t>Bergvik skog väst AB</t>
        </is>
      </c>
      <c r="I10779" t="n">
        <v>2.6</v>
      </c>
      <c r="J10779" t="n">
        <v>0</v>
      </c>
      <c r="K10779" t="n">
        <v>0</v>
      </c>
      <c r="L10779" t="n">
        <v>0</v>
      </c>
      <c r="M10779" t="n">
        <v>0</v>
      </c>
      <c r="N10779" t="n">
        <v>0</v>
      </c>
      <c r="O10779" t="n">
        <v>0</v>
      </c>
      <c r="P10779" t="n">
        <v>0</v>
      </c>
      <c r="Q10779" t="n">
        <v>0</v>
      </c>
      <c r="R10779" t="n">
        <v>0</v>
      </c>
      <c r="S10779" t="n">
        <v>0</v>
      </c>
      <c r="T10779" t="n">
        <v>0</v>
      </c>
      <c r="U10779" t="n">
        <v>0</v>
      </c>
      <c r="V10779" s="2" t="inlineStr"/>
    </row>
    <row r="10780" ht="15" customHeight="1">
      <c r="A10780" t="inlineStr">
        <is>
          <t>A 43283-2026</t>
        </is>
      </c>
      <c r="B10780" t="inlineStr">
        <is>
          <t>avverkningsanmälan</t>
        </is>
      </c>
      <c r="C10780" t="inlineStr">
        <is>
          <t>Föryngringsavverkning</t>
        </is>
      </c>
      <c r="D10780" s="1" t="n">
        <v>46314</v>
      </c>
      <c r="E10780" s="1" t="n">
        <v>46326</v>
      </c>
      <c r="F10780" t="inlineStr">
        <is>
          <t>GÄVLEBORGS LÄN</t>
        </is>
      </c>
      <c r="G10780" t="inlineStr">
        <is>
          <t>SANDVIKEN</t>
        </is>
      </c>
      <c r="I10780" t="n">
        <v>0.7</v>
      </c>
      <c r="J10780" t="n">
        <v>0</v>
      </c>
      <c r="K10780" t="n">
        <v>0</v>
      </c>
      <c r="L10780" t="n">
        <v>0</v>
      </c>
      <c r="M10780" t="n">
        <v>0</v>
      </c>
      <c r="N10780" t="n">
        <v>0</v>
      </c>
      <c r="O10780" t="n">
        <v>0</v>
      </c>
      <c r="P10780" t="n">
        <v>0</v>
      </c>
      <c r="Q10780" t="n">
        <v>0</v>
      </c>
      <c r="R10780" t="n">
        <v>0</v>
      </c>
      <c r="S10780" t="n">
        <v>0</v>
      </c>
      <c r="T10780" t="n">
        <v>0</v>
      </c>
      <c r="U10780" t="n">
        <v>0</v>
      </c>
      <c r="V10780" s="2" t="inlineStr"/>
    </row>
    <row r="10781" ht="15" customHeight="1">
      <c r="A10781" t="inlineStr">
        <is>
          <t>A 43286-2026</t>
        </is>
      </c>
      <c r="B10781" t="inlineStr">
        <is>
          <t>avverkningsanmälan</t>
        </is>
      </c>
      <c r="C10781" t="inlineStr">
        <is>
          <t>Föryngringsavverkning</t>
        </is>
      </c>
      <c r="D10781" s="1" t="n">
        <v>46314</v>
      </c>
      <c r="E10781" s="1" t="n">
        <v>46326</v>
      </c>
      <c r="F10781" t="inlineStr">
        <is>
          <t>GÄVLEBORGS LÄN</t>
        </is>
      </c>
      <c r="G10781" t="inlineStr">
        <is>
          <t>SANDVIKEN</t>
        </is>
      </c>
      <c r="I10781" t="n">
        <v>3.1</v>
      </c>
      <c r="J10781" t="n">
        <v>0</v>
      </c>
      <c r="K10781" t="n">
        <v>0</v>
      </c>
      <c r="L10781" t="n">
        <v>0</v>
      </c>
      <c r="M10781" t="n">
        <v>0</v>
      </c>
      <c r="N10781" t="n">
        <v>0</v>
      </c>
      <c r="O10781" t="n">
        <v>0</v>
      </c>
      <c r="P10781" t="n">
        <v>0</v>
      </c>
      <c r="Q10781" t="n">
        <v>0</v>
      </c>
      <c r="R10781" t="n">
        <v>0</v>
      </c>
      <c r="S10781" t="n">
        <v>0</v>
      </c>
      <c r="T10781" t="n">
        <v>0</v>
      </c>
      <c r="U10781" t="n">
        <v>0</v>
      </c>
      <c r="V10781" s="2" t="inlineStr"/>
    </row>
    <row r="10782" ht="15" customHeight="1">
      <c r="A10782" t="inlineStr">
        <is>
          <t>A 36659-2026</t>
        </is>
      </c>
      <c r="B10782" t="inlineStr">
        <is>
          <t>avverkningsanmälan</t>
        </is>
      </c>
      <c r="C10782" t="inlineStr">
        <is>
          <t>Föryngringsavverkning</t>
        </is>
      </c>
      <c r="D10782" s="1" t="n">
        <v>46272</v>
      </c>
      <c r="E10782" s="1" t="n">
        <v>46326</v>
      </c>
      <c r="F10782" t="inlineStr">
        <is>
          <t>GÄVLEBORGS LÄN</t>
        </is>
      </c>
      <c r="G10782" t="inlineStr">
        <is>
          <t>OVANÅKER</t>
        </is>
      </c>
      <c r="I10782" t="n">
        <v>8.199999999999999</v>
      </c>
      <c r="J10782" t="n">
        <v>0</v>
      </c>
      <c r="K10782" t="n">
        <v>0</v>
      </c>
      <c r="L10782" t="n">
        <v>0</v>
      </c>
      <c r="M10782" t="n">
        <v>0</v>
      </c>
      <c r="N10782" t="n">
        <v>0</v>
      </c>
      <c r="O10782" t="n">
        <v>0</v>
      </c>
      <c r="P10782" t="n">
        <v>0</v>
      </c>
      <c r="Q10782" t="n">
        <v>0</v>
      </c>
      <c r="R10782" t="n">
        <v>0</v>
      </c>
      <c r="S10782" t="n">
        <v>0</v>
      </c>
      <c r="T10782" t="n">
        <v>0</v>
      </c>
      <c r="U10782" t="n">
        <v>0</v>
      </c>
      <c r="V10782" s="2" t="inlineStr"/>
    </row>
    <row r="10783" ht="15" customHeight="1">
      <c r="A10783" t="inlineStr">
        <is>
          <t>A 36694-2026</t>
        </is>
      </c>
      <c r="B10783" t="inlineStr">
        <is>
          <t>avverkningsanmälan</t>
        </is>
      </c>
      <c r="C10783" t="inlineStr">
        <is>
          <t>Föryngringsavverkning</t>
        </is>
      </c>
      <c r="D10783" s="1" t="n">
        <v>46272</v>
      </c>
      <c r="E10783" s="1" t="n">
        <v>46326</v>
      </c>
      <c r="F10783" t="inlineStr">
        <is>
          <t>GÄVLEBORGS LÄN</t>
        </is>
      </c>
      <c r="G10783" t="inlineStr">
        <is>
          <t>SÖDERHAMN</t>
        </is>
      </c>
      <c r="I10783" t="n">
        <v>1.7</v>
      </c>
      <c r="J10783" t="n">
        <v>0</v>
      </c>
      <c r="K10783" t="n">
        <v>0</v>
      </c>
      <c r="L10783" t="n">
        <v>0</v>
      </c>
      <c r="M10783" t="n">
        <v>0</v>
      </c>
      <c r="N10783" t="n">
        <v>0</v>
      </c>
      <c r="O10783" t="n">
        <v>0</v>
      </c>
      <c r="P10783" t="n">
        <v>0</v>
      </c>
      <c r="Q10783" t="n">
        <v>0</v>
      </c>
      <c r="R10783" t="n">
        <v>0</v>
      </c>
      <c r="S10783" t="n">
        <v>0</v>
      </c>
      <c r="T10783" t="n">
        <v>0</v>
      </c>
      <c r="U10783" t="n">
        <v>0</v>
      </c>
      <c r="V10783" s="2" t="inlineStr"/>
    </row>
    <row r="10784" ht="15" customHeight="1">
      <c r="A10784" t="inlineStr">
        <is>
          <t>A 43223-2026</t>
        </is>
      </c>
      <c r="B10784" t="inlineStr">
        <is>
          <t>avverkningsanmälan</t>
        </is>
      </c>
      <c r="C10784" t="inlineStr">
        <is>
          <t>Föryngringsavverkning</t>
        </is>
      </c>
      <c r="D10784" s="1" t="n">
        <v>46314</v>
      </c>
      <c r="E10784" s="1" t="n">
        <v>46326</v>
      </c>
      <c r="F10784" t="inlineStr">
        <is>
          <t>GÄVLEBORGS LÄN</t>
        </is>
      </c>
      <c r="G10784" t="inlineStr">
        <is>
          <t>BOLLNÄS</t>
        </is>
      </c>
      <c r="H10784" t="inlineStr">
        <is>
          <t>Bergvik skog öst AB</t>
        </is>
      </c>
      <c r="I10784" t="n">
        <v>1.4</v>
      </c>
      <c r="J10784" t="n">
        <v>0</v>
      </c>
      <c r="K10784" t="n">
        <v>0</v>
      </c>
      <c r="L10784" t="n">
        <v>0</v>
      </c>
      <c r="M10784" t="n">
        <v>0</v>
      </c>
      <c r="N10784" t="n">
        <v>0</v>
      </c>
      <c r="O10784" t="n">
        <v>0</v>
      </c>
      <c r="P10784" t="n">
        <v>0</v>
      </c>
      <c r="Q10784" t="n">
        <v>0</v>
      </c>
      <c r="R10784" t="n">
        <v>0</v>
      </c>
      <c r="S10784" t="n">
        <v>0</v>
      </c>
      <c r="T10784" t="n">
        <v>0</v>
      </c>
      <c r="U10784" t="n">
        <v>0</v>
      </c>
      <c r="V10784" s="2" t="inlineStr"/>
    </row>
    <row r="10785" ht="15" customHeight="1">
      <c r="A10785" t="inlineStr">
        <is>
          <t>A 36707-2026</t>
        </is>
      </c>
      <c r="B10785" t="inlineStr">
        <is>
          <t>avverkningsanmälan</t>
        </is>
      </c>
      <c r="C10785" t="inlineStr">
        <is>
          <t>Föryngringsavverkning</t>
        </is>
      </c>
      <c r="D10785" s="1" t="n">
        <v>46272</v>
      </c>
      <c r="E10785" s="1" t="n">
        <v>46326</v>
      </c>
      <c r="F10785" t="inlineStr">
        <is>
          <t>GÄVLEBORGS LÄN</t>
        </is>
      </c>
      <c r="G10785" t="inlineStr">
        <is>
          <t>HOFORS</t>
        </is>
      </c>
      <c r="I10785" t="n">
        <v>3.3</v>
      </c>
      <c r="J10785" t="n">
        <v>0</v>
      </c>
      <c r="K10785" t="n">
        <v>0</v>
      </c>
      <c r="L10785" t="n">
        <v>0</v>
      </c>
      <c r="M10785" t="n">
        <v>0</v>
      </c>
      <c r="N10785" t="n">
        <v>0</v>
      </c>
      <c r="O10785" t="n">
        <v>0</v>
      </c>
      <c r="P10785" t="n">
        <v>0</v>
      </c>
      <c r="Q10785" t="n">
        <v>0</v>
      </c>
      <c r="R10785" t="n">
        <v>0</v>
      </c>
      <c r="S10785" t="n">
        <v>0</v>
      </c>
      <c r="T10785" t="n">
        <v>0</v>
      </c>
      <c r="U10785" t="n">
        <v>0</v>
      </c>
      <c r="V10785" s="2" t="inlineStr"/>
    </row>
    <row r="10786" ht="15" customHeight="1">
      <c r="A10786" t="inlineStr">
        <is>
          <t>A 36732-2026</t>
        </is>
      </c>
      <c r="B10786" t="inlineStr">
        <is>
          <t>avverkningsanmälan</t>
        </is>
      </c>
      <c r="C10786" t="inlineStr">
        <is>
          <t>Föryngringsavverkning</t>
        </is>
      </c>
      <c r="D10786" s="1" t="n">
        <v>46272</v>
      </c>
      <c r="E10786" s="1" t="n">
        <v>46326</v>
      </c>
      <c r="F10786" t="inlineStr">
        <is>
          <t>GÄVLEBORGS LÄN</t>
        </is>
      </c>
      <c r="G10786" t="inlineStr">
        <is>
          <t>GÄVLE</t>
        </is>
      </c>
      <c r="I10786" t="n">
        <v>1.1</v>
      </c>
      <c r="J10786" t="n">
        <v>0</v>
      </c>
      <c r="K10786" t="n">
        <v>0</v>
      </c>
      <c r="L10786" t="n">
        <v>0</v>
      </c>
      <c r="M10786" t="n">
        <v>0</v>
      </c>
      <c r="N10786" t="n">
        <v>0</v>
      </c>
      <c r="O10786" t="n">
        <v>0</v>
      </c>
      <c r="P10786" t="n">
        <v>0</v>
      </c>
      <c r="Q10786" t="n">
        <v>0</v>
      </c>
      <c r="R10786" t="n">
        <v>0</v>
      </c>
      <c r="S10786" t="n">
        <v>0</v>
      </c>
      <c r="T10786" t="n">
        <v>0</v>
      </c>
      <c r="U10786" t="n">
        <v>0</v>
      </c>
      <c r="V10786" s="2" t="inlineStr"/>
    </row>
    <row r="10787" ht="15" customHeight="1">
      <c r="A10787" t="inlineStr">
        <is>
          <t>A 36739-2026</t>
        </is>
      </c>
      <c r="B10787" t="inlineStr">
        <is>
          <t>avverkningsanmälan</t>
        </is>
      </c>
      <c r="C10787" t="inlineStr">
        <is>
          <t>Föryngringsavverkning</t>
        </is>
      </c>
      <c r="D10787" s="1" t="n">
        <v>46272</v>
      </c>
      <c r="E10787" s="1" t="n">
        <v>46326</v>
      </c>
      <c r="F10787" t="inlineStr">
        <is>
          <t>GÄVLEBORGS LÄN</t>
        </is>
      </c>
      <c r="G10787" t="inlineStr">
        <is>
          <t>GÄVLE</t>
        </is>
      </c>
      <c r="I10787" t="n">
        <v>2</v>
      </c>
      <c r="J10787" t="n">
        <v>0</v>
      </c>
      <c r="K10787" t="n">
        <v>0</v>
      </c>
      <c r="L10787" t="n">
        <v>0</v>
      </c>
      <c r="M10787" t="n">
        <v>0</v>
      </c>
      <c r="N10787" t="n">
        <v>0</v>
      </c>
      <c r="O10787" t="n">
        <v>0</v>
      </c>
      <c r="P10787" t="n">
        <v>0</v>
      </c>
      <c r="Q10787" t="n">
        <v>0</v>
      </c>
      <c r="R10787" t="n">
        <v>0</v>
      </c>
      <c r="S10787" t="n">
        <v>0</v>
      </c>
      <c r="T10787" t="n">
        <v>0</v>
      </c>
      <c r="U10787" t="n">
        <v>0</v>
      </c>
      <c r="V10787" s="2" t="inlineStr"/>
    </row>
    <row r="10788" ht="15" customHeight="1">
      <c r="A10788" t="inlineStr">
        <is>
          <t>A 36757-2026</t>
        </is>
      </c>
      <c r="B10788" t="inlineStr">
        <is>
          <t>avverkningsanmälan</t>
        </is>
      </c>
      <c r="C10788" t="inlineStr">
        <is>
          <t>Föryngringsavverkning</t>
        </is>
      </c>
      <c r="D10788" s="1" t="n">
        <v>46272</v>
      </c>
      <c r="E10788" s="1" t="n">
        <v>46326</v>
      </c>
      <c r="F10788" t="inlineStr">
        <is>
          <t>GÄVLEBORGS LÄN</t>
        </is>
      </c>
      <c r="G10788" t="inlineStr">
        <is>
          <t>BOLLNÄS</t>
        </is>
      </c>
      <c r="H10788" t="inlineStr">
        <is>
          <t>Kommuner</t>
        </is>
      </c>
      <c r="I10788" t="n">
        <v>4</v>
      </c>
      <c r="J10788" t="n">
        <v>0</v>
      </c>
      <c r="K10788" t="n">
        <v>0</v>
      </c>
      <c r="L10788" t="n">
        <v>0</v>
      </c>
      <c r="M10788" t="n">
        <v>0</v>
      </c>
      <c r="N10788" t="n">
        <v>0</v>
      </c>
      <c r="O10788" t="n">
        <v>0</v>
      </c>
      <c r="P10788" t="n">
        <v>0</v>
      </c>
      <c r="Q10788" t="n">
        <v>0</v>
      </c>
      <c r="R10788" t="n">
        <v>0</v>
      </c>
      <c r="S10788" t="n">
        <v>0</v>
      </c>
      <c r="T10788" t="n">
        <v>0</v>
      </c>
      <c r="U10788" t="n">
        <v>0</v>
      </c>
      <c r="V10788" s="2" t="inlineStr"/>
    </row>
    <row r="10789" ht="15" customHeight="1">
      <c r="A10789" t="inlineStr">
        <is>
          <t>A 36278-2026</t>
        </is>
      </c>
      <c r="B10789" t="inlineStr">
        <is>
          <t>avverkningsanmälan</t>
        </is>
      </c>
      <c r="C10789" t="inlineStr">
        <is>
          <t>Föryngringsavverkning</t>
        </is>
      </c>
      <c r="D10789" s="1" t="n">
        <v>46268</v>
      </c>
      <c r="E10789" s="1" t="n">
        <v>46326</v>
      </c>
      <c r="F10789" t="inlineStr">
        <is>
          <t>GÄVLEBORGS LÄN</t>
        </is>
      </c>
      <c r="G10789" t="inlineStr">
        <is>
          <t>HOFORS</t>
        </is>
      </c>
      <c r="I10789" t="n">
        <v>2.8</v>
      </c>
      <c r="J10789" t="n">
        <v>0</v>
      </c>
      <c r="K10789" t="n">
        <v>0</v>
      </c>
      <c r="L10789" t="n">
        <v>0</v>
      </c>
      <c r="M10789" t="n">
        <v>0</v>
      </c>
      <c r="N10789" t="n">
        <v>0</v>
      </c>
      <c r="O10789" t="n">
        <v>0</v>
      </c>
      <c r="P10789" t="n">
        <v>0</v>
      </c>
      <c r="Q10789" t="n">
        <v>0</v>
      </c>
      <c r="R10789" t="n">
        <v>0</v>
      </c>
      <c r="S10789" t="n">
        <v>0</v>
      </c>
      <c r="T10789" t="n">
        <v>0</v>
      </c>
      <c r="U10789" t="n">
        <v>0</v>
      </c>
      <c r="V10789" s="2" t="inlineStr"/>
    </row>
    <row r="10790" ht="15" customHeight="1">
      <c r="A10790" t="inlineStr">
        <is>
          <t>A 36696-2026</t>
        </is>
      </c>
      <c r="B10790" t="inlineStr">
        <is>
          <t>avverkningsanmälan</t>
        </is>
      </c>
      <c r="C10790" t="inlineStr">
        <is>
          <t>Föryngringsavverkning</t>
        </is>
      </c>
      <c r="D10790" s="1" t="n">
        <v>46272</v>
      </c>
      <c r="E10790" s="1" t="n">
        <v>46326</v>
      </c>
      <c r="F10790" t="inlineStr">
        <is>
          <t>GÄVLEBORGS LÄN</t>
        </is>
      </c>
      <c r="G10790" t="inlineStr">
        <is>
          <t>BOLLNÄS</t>
        </is>
      </c>
      <c r="H10790" t="inlineStr">
        <is>
          <t>Bergvik skog väst AB</t>
        </is>
      </c>
      <c r="I10790" t="n">
        <v>5</v>
      </c>
      <c r="J10790" t="n">
        <v>0</v>
      </c>
      <c r="K10790" t="n">
        <v>0</v>
      </c>
      <c r="L10790" t="n">
        <v>0</v>
      </c>
      <c r="M10790" t="n">
        <v>0</v>
      </c>
      <c r="N10790" t="n">
        <v>0</v>
      </c>
      <c r="O10790" t="n">
        <v>0</v>
      </c>
      <c r="P10790" t="n">
        <v>0</v>
      </c>
      <c r="Q10790" t="n">
        <v>0</v>
      </c>
      <c r="R10790" t="n">
        <v>0</v>
      </c>
      <c r="S10790" t="n">
        <v>0</v>
      </c>
      <c r="T10790" t="n">
        <v>0</v>
      </c>
      <c r="U10790" t="n">
        <v>0</v>
      </c>
      <c r="V10790" s="2" t="inlineStr"/>
    </row>
    <row r="10791" ht="15" customHeight="1">
      <c r="A10791" t="inlineStr">
        <is>
          <t>A 43408-2026</t>
        </is>
      </c>
      <c r="B10791" t="inlineStr">
        <is>
          <t>avverkningsanmälan</t>
        </is>
      </c>
      <c r="C10791" t="inlineStr">
        <is>
          <t>Föryngringsavverkning</t>
        </is>
      </c>
      <c r="D10791" s="1" t="n">
        <v>46314</v>
      </c>
      <c r="E10791" s="1" t="n">
        <v>46326</v>
      </c>
      <c r="F10791" t="inlineStr">
        <is>
          <t>GÄVLEBORGS LÄN</t>
        </is>
      </c>
      <c r="G10791" t="inlineStr">
        <is>
          <t>NORDANSTIG</t>
        </is>
      </c>
      <c r="I10791" t="n">
        <v>5.2</v>
      </c>
      <c r="J10791" t="n">
        <v>0</v>
      </c>
      <c r="K10791" t="n">
        <v>0</v>
      </c>
      <c r="L10791" t="n">
        <v>0</v>
      </c>
      <c r="M10791" t="n">
        <v>0</v>
      </c>
      <c r="N10791" t="n">
        <v>0</v>
      </c>
      <c r="O10791" t="n">
        <v>0</v>
      </c>
      <c r="P10791" t="n">
        <v>0</v>
      </c>
      <c r="Q10791" t="n">
        <v>0</v>
      </c>
      <c r="R10791" t="n">
        <v>0</v>
      </c>
      <c r="S10791" t="n">
        <v>0</v>
      </c>
      <c r="T10791" t="n">
        <v>0</v>
      </c>
      <c r="U10791" t="n">
        <v>0</v>
      </c>
      <c r="V10791" s="2" t="inlineStr"/>
    </row>
    <row r="10792" ht="15" customHeight="1">
      <c r="A10792" t="inlineStr">
        <is>
          <t>A 43604-2026</t>
        </is>
      </c>
      <c r="B10792" t="inlineStr">
        <is>
          <t>avverkningsanmälan</t>
        </is>
      </c>
      <c r="C10792" t="inlineStr">
        <is>
          <t>Föryngringsavverkning</t>
        </is>
      </c>
      <c r="D10792" s="1" t="n">
        <v>46315</v>
      </c>
      <c r="E10792" s="1" t="n">
        <v>46326</v>
      </c>
      <c r="F10792" t="inlineStr">
        <is>
          <t>GÄVLEBORGS LÄN</t>
        </is>
      </c>
      <c r="G10792" t="inlineStr">
        <is>
          <t>OCKELBO</t>
        </is>
      </c>
      <c r="I10792" t="n">
        <v>0.7</v>
      </c>
      <c r="J10792" t="n">
        <v>0</v>
      </c>
      <c r="K10792" t="n">
        <v>0</v>
      </c>
      <c r="L10792" t="n">
        <v>0</v>
      </c>
      <c r="M10792" t="n">
        <v>0</v>
      </c>
      <c r="N10792" t="n">
        <v>0</v>
      </c>
      <c r="O10792" t="n">
        <v>0</v>
      </c>
      <c r="P10792" t="n">
        <v>0</v>
      </c>
      <c r="Q10792" t="n">
        <v>0</v>
      </c>
      <c r="R10792" t="n">
        <v>0</v>
      </c>
      <c r="S10792" t="n">
        <v>0</v>
      </c>
      <c r="T10792" t="n">
        <v>0</v>
      </c>
      <c r="U10792" t="n">
        <v>0</v>
      </c>
      <c r="V10792" s="2" t="inlineStr"/>
    </row>
    <row r="10793" ht="15" customHeight="1">
      <c r="A10793" t="inlineStr">
        <is>
          <t>A 36522-2026</t>
        </is>
      </c>
      <c r="B10793" t="inlineStr">
        <is>
          <t>avverkningsanmälan</t>
        </is>
      </c>
      <c r="C10793" t="inlineStr">
        <is>
          <t>Föryngringsavverkning</t>
        </is>
      </c>
      <c r="D10793" s="1" t="n">
        <v>46269</v>
      </c>
      <c r="E10793" s="1" t="n">
        <v>46326</v>
      </c>
      <c r="F10793" t="inlineStr">
        <is>
          <t>GÄVLEBORGS LÄN</t>
        </is>
      </c>
      <c r="G10793" t="inlineStr">
        <is>
          <t>GÄVLE</t>
        </is>
      </c>
      <c r="H10793" t="inlineStr">
        <is>
          <t>Bergvik skog öst AB</t>
        </is>
      </c>
      <c r="I10793" t="n">
        <v>1.4</v>
      </c>
      <c r="J10793" t="n">
        <v>0</v>
      </c>
      <c r="K10793" t="n">
        <v>0</v>
      </c>
      <c r="L10793" t="n">
        <v>0</v>
      </c>
      <c r="M10793" t="n">
        <v>0</v>
      </c>
      <c r="N10793" t="n">
        <v>0</v>
      </c>
      <c r="O10793" t="n">
        <v>0</v>
      </c>
      <c r="P10793" t="n">
        <v>0</v>
      </c>
      <c r="Q10793" t="n">
        <v>0</v>
      </c>
      <c r="R10793" t="n">
        <v>0</v>
      </c>
      <c r="S10793" t="n">
        <v>0</v>
      </c>
      <c r="T10793" t="n">
        <v>0</v>
      </c>
      <c r="U10793" t="n">
        <v>0</v>
      </c>
      <c r="V10793" s="2" t="inlineStr"/>
    </row>
    <row r="10794" ht="15" customHeight="1">
      <c r="A10794" t="inlineStr">
        <is>
          <t>A 36583-2026</t>
        </is>
      </c>
      <c r="B10794" t="inlineStr">
        <is>
          <t>avverkningsanmälan</t>
        </is>
      </c>
      <c r="C10794" t="inlineStr">
        <is>
          <t>Föryngringsavverkning</t>
        </is>
      </c>
      <c r="D10794" s="1" t="n">
        <v>46269</v>
      </c>
      <c r="E10794" s="1" t="n">
        <v>46326</v>
      </c>
      <c r="F10794" t="inlineStr">
        <is>
          <t>GÄVLEBORGS LÄN</t>
        </is>
      </c>
      <c r="G10794" t="inlineStr">
        <is>
          <t>LJUSDAL</t>
        </is>
      </c>
      <c r="I10794" t="n">
        <v>3.5</v>
      </c>
      <c r="J10794" t="n">
        <v>0</v>
      </c>
      <c r="K10794" t="n">
        <v>0</v>
      </c>
      <c r="L10794" t="n">
        <v>0</v>
      </c>
      <c r="M10794" t="n">
        <v>0</v>
      </c>
      <c r="N10794" t="n">
        <v>0</v>
      </c>
      <c r="O10794" t="n">
        <v>0</v>
      </c>
      <c r="P10794" t="n">
        <v>0</v>
      </c>
      <c r="Q10794" t="n">
        <v>0</v>
      </c>
      <c r="R10794" t="n">
        <v>0</v>
      </c>
      <c r="S10794" t="n">
        <v>0</v>
      </c>
      <c r="T10794" t="n">
        <v>0</v>
      </c>
      <c r="U10794" t="n">
        <v>0</v>
      </c>
      <c r="V10794" s="2" t="inlineStr"/>
    </row>
    <row r="10795" ht="15" customHeight="1">
      <c r="A10795" t="inlineStr">
        <is>
          <t>A 36589-2026</t>
        </is>
      </c>
      <c r="B10795" t="inlineStr">
        <is>
          <t>avverkningsanmälan</t>
        </is>
      </c>
      <c r="C10795" t="inlineStr">
        <is>
          <t>Föryngringsavverkning</t>
        </is>
      </c>
      <c r="D10795" s="1" t="n">
        <v>46269</v>
      </c>
      <c r="E10795" s="1" t="n">
        <v>46326</v>
      </c>
      <c r="F10795" t="inlineStr">
        <is>
          <t>GÄVLEBORGS LÄN</t>
        </is>
      </c>
      <c r="G10795" t="inlineStr">
        <is>
          <t>LJUSDAL</t>
        </is>
      </c>
      <c r="I10795" t="n">
        <v>2.4</v>
      </c>
      <c r="J10795" t="n">
        <v>0</v>
      </c>
      <c r="K10795" t="n">
        <v>0</v>
      </c>
      <c r="L10795" t="n">
        <v>0</v>
      </c>
      <c r="M10795" t="n">
        <v>0</v>
      </c>
      <c r="N10795" t="n">
        <v>0</v>
      </c>
      <c r="O10795" t="n">
        <v>0</v>
      </c>
      <c r="P10795" t="n">
        <v>0</v>
      </c>
      <c r="Q10795" t="n">
        <v>0</v>
      </c>
      <c r="R10795" t="n">
        <v>0</v>
      </c>
      <c r="S10795" t="n">
        <v>0</v>
      </c>
      <c r="T10795" t="n">
        <v>0</v>
      </c>
      <c r="U10795" t="n">
        <v>0</v>
      </c>
      <c r="V10795" s="2" t="inlineStr"/>
    </row>
    <row r="10796" ht="15" customHeight="1">
      <c r="A10796" t="inlineStr">
        <is>
          <t>A 43284-2026</t>
        </is>
      </c>
      <c r="B10796" t="inlineStr">
        <is>
          <t>avverkningsanmälan</t>
        </is>
      </c>
      <c r="C10796" t="inlineStr">
        <is>
          <t>Föryngringsavverkning</t>
        </is>
      </c>
      <c r="D10796" s="1" t="n">
        <v>46314</v>
      </c>
      <c r="E10796" s="1" t="n">
        <v>46326</v>
      </c>
      <c r="F10796" t="inlineStr">
        <is>
          <t>GÄVLEBORGS LÄN</t>
        </is>
      </c>
      <c r="G10796" t="inlineStr">
        <is>
          <t>SANDVIKEN</t>
        </is>
      </c>
      <c r="I10796" t="n">
        <v>1.9</v>
      </c>
      <c r="J10796" t="n">
        <v>0</v>
      </c>
      <c r="K10796" t="n">
        <v>0</v>
      </c>
      <c r="L10796" t="n">
        <v>0</v>
      </c>
      <c r="M10796" t="n">
        <v>0</v>
      </c>
      <c r="N10796" t="n">
        <v>0</v>
      </c>
      <c r="O10796" t="n">
        <v>0</v>
      </c>
      <c r="P10796" t="n">
        <v>0</v>
      </c>
      <c r="Q10796" t="n">
        <v>0</v>
      </c>
      <c r="R10796" t="n">
        <v>0</v>
      </c>
      <c r="S10796" t="n">
        <v>0</v>
      </c>
      <c r="T10796" t="n">
        <v>0</v>
      </c>
      <c r="U10796" t="n">
        <v>0</v>
      </c>
      <c r="V10796" s="2" t="inlineStr"/>
    </row>
    <row r="10797" ht="15" customHeight="1">
      <c r="A10797" t="inlineStr">
        <is>
          <t>A 43304-2026</t>
        </is>
      </c>
      <c r="B10797" t="inlineStr">
        <is>
          <t>avverkningsanmälan</t>
        </is>
      </c>
      <c r="C10797" t="inlineStr">
        <is>
          <t>Föryngringsavverkning</t>
        </is>
      </c>
      <c r="D10797" s="1" t="n">
        <v>46314</v>
      </c>
      <c r="E10797" s="1" t="n">
        <v>46326</v>
      </c>
      <c r="F10797" t="inlineStr">
        <is>
          <t>GÄVLEBORGS LÄN</t>
        </is>
      </c>
      <c r="G10797" t="inlineStr">
        <is>
          <t>SANDVIKEN</t>
        </is>
      </c>
      <c r="I10797" t="n">
        <v>3.7</v>
      </c>
      <c r="J10797" t="n">
        <v>0</v>
      </c>
      <c r="K10797" t="n">
        <v>0</v>
      </c>
      <c r="L10797" t="n">
        <v>0</v>
      </c>
      <c r="M10797" t="n">
        <v>0</v>
      </c>
      <c r="N10797" t="n">
        <v>0</v>
      </c>
      <c r="O10797" t="n">
        <v>0</v>
      </c>
      <c r="P10797" t="n">
        <v>0</v>
      </c>
      <c r="Q10797" t="n">
        <v>0</v>
      </c>
      <c r="R10797" t="n">
        <v>0</v>
      </c>
      <c r="S10797" t="n">
        <v>0</v>
      </c>
      <c r="T10797" t="n">
        <v>0</v>
      </c>
      <c r="U10797" t="n">
        <v>0</v>
      </c>
      <c r="V10797" s="2" t="inlineStr"/>
    </row>
    <row r="10798" ht="15" customHeight="1">
      <c r="A10798" t="inlineStr">
        <is>
          <t>A 36769-2026</t>
        </is>
      </c>
      <c r="B10798" t="inlineStr">
        <is>
          <t>avverkningsanmälan</t>
        </is>
      </c>
      <c r="C10798" t="inlineStr">
        <is>
          <t>Föryngringsavverkning</t>
        </is>
      </c>
      <c r="D10798" s="1" t="n">
        <v>46272</v>
      </c>
      <c r="E10798" s="1" t="n">
        <v>46326</v>
      </c>
      <c r="F10798" t="inlineStr">
        <is>
          <t>GÄVLEBORGS LÄN</t>
        </is>
      </c>
      <c r="G10798" t="inlineStr">
        <is>
          <t>BOLLNÄS</t>
        </is>
      </c>
      <c r="H10798" t="inlineStr">
        <is>
          <t>Bergvik skog väst AB</t>
        </is>
      </c>
      <c r="I10798" t="n">
        <v>12.1</v>
      </c>
      <c r="J10798" t="n">
        <v>0</v>
      </c>
      <c r="K10798" t="n">
        <v>0</v>
      </c>
      <c r="L10798" t="n">
        <v>0</v>
      </c>
      <c r="M10798" t="n">
        <v>0</v>
      </c>
      <c r="N10798" t="n">
        <v>0</v>
      </c>
      <c r="O10798" t="n">
        <v>0</v>
      </c>
      <c r="P10798" t="n">
        <v>0</v>
      </c>
      <c r="Q10798" t="n">
        <v>0</v>
      </c>
      <c r="R10798" t="n">
        <v>0</v>
      </c>
      <c r="S10798" t="n">
        <v>0</v>
      </c>
      <c r="T10798" t="n">
        <v>0</v>
      </c>
      <c r="U10798" t="n">
        <v>0</v>
      </c>
      <c r="V10798" s="2" t="inlineStr"/>
    </row>
    <row r="10799" ht="15" customHeight="1">
      <c r="A10799" t="inlineStr">
        <is>
          <t>A 36772-2026</t>
        </is>
      </c>
      <c r="B10799" t="inlineStr">
        <is>
          <t>avverkningsanmälan</t>
        </is>
      </c>
      <c r="C10799" t="inlineStr">
        <is>
          <t>Föryngringsavverkning</t>
        </is>
      </c>
      <c r="D10799" s="1" t="n">
        <v>46272</v>
      </c>
      <c r="E10799" s="1" t="n">
        <v>46326</v>
      </c>
      <c r="F10799" t="inlineStr">
        <is>
          <t>GÄVLEBORGS LÄN</t>
        </is>
      </c>
      <c r="G10799" t="inlineStr">
        <is>
          <t>BOLLNÄS</t>
        </is>
      </c>
      <c r="H10799" t="inlineStr">
        <is>
          <t>Bergvik skog väst AB</t>
        </is>
      </c>
      <c r="I10799" t="n">
        <v>3.1</v>
      </c>
      <c r="J10799" t="n">
        <v>0</v>
      </c>
      <c r="K10799" t="n">
        <v>0</v>
      </c>
      <c r="L10799" t="n">
        <v>0</v>
      </c>
      <c r="M10799" t="n">
        <v>0</v>
      </c>
      <c r="N10799" t="n">
        <v>0</v>
      </c>
      <c r="O10799" t="n">
        <v>0</v>
      </c>
      <c r="P10799" t="n">
        <v>0</v>
      </c>
      <c r="Q10799" t="n">
        <v>0</v>
      </c>
      <c r="R10799" t="n">
        <v>0</v>
      </c>
      <c r="S10799" t="n">
        <v>0</v>
      </c>
      <c r="T10799" t="n">
        <v>0</v>
      </c>
      <c r="U10799" t="n">
        <v>0</v>
      </c>
      <c r="V10799" s="2" t="inlineStr"/>
    </row>
    <row r="10800" ht="15" customHeight="1">
      <c r="A10800" t="inlineStr">
        <is>
          <t>A 43271-2026</t>
        </is>
      </c>
      <c r="B10800" t="inlineStr">
        <is>
          <t>avverkningsanmälan</t>
        </is>
      </c>
      <c r="C10800" t="inlineStr">
        <is>
          <t>Föryngringsavverkning</t>
        </is>
      </c>
      <c r="D10800" s="1" t="n">
        <v>46314</v>
      </c>
      <c r="E10800" s="1" t="n">
        <v>46326</v>
      </c>
      <c r="F10800" t="inlineStr">
        <is>
          <t>GÄVLEBORGS LÄN</t>
        </is>
      </c>
      <c r="G10800" t="inlineStr">
        <is>
          <t>NORDANSTIG</t>
        </is>
      </c>
      <c r="I10800" t="n">
        <v>1.8</v>
      </c>
      <c r="J10800" t="n">
        <v>0</v>
      </c>
      <c r="K10800" t="n">
        <v>0</v>
      </c>
      <c r="L10800" t="n">
        <v>0</v>
      </c>
      <c r="M10800" t="n">
        <v>0</v>
      </c>
      <c r="N10800" t="n">
        <v>0</v>
      </c>
      <c r="O10800" t="n">
        <v>0</v>
      </c>
      <c r="P10800" t="n">
        <v>0</v>
      </c>
      <c r="Q10800" t="n">
        <v>0</v>
      </c>
      <c r="R10800" t="n">
        <v>0</v>
      </c>
      <c r="S10800" t="n">
        <v>0</v>
      </c>
      <c r="T10800" t="n">
        <v>0</v>
      </c>
      <c r="U10800" t="n">
        <v>0</v>
      </c>
      <c r="V10800" s="2" t="inlineStr"/>
    </row>
    <row r="10801" ht="15" customHeight="1">
      <c r="A10801" t="inlineStr">
        <is>
          <t>A 43502-2026</t>
        </is>
      </c>
      <c r="B10801" t="inlineStr">
        <is>
          <t>avverkningsanmälan</t>
        </is>
      </c>
      <c r="C10801" t="inlineStr">
        <is>
          <t>Föryngringsavverkning</t>
        </is>
      </c>
      <c r="D10801" s="1" t="n">
        <v>46315</v>
      </c>
      <c r="E10801" s="1" t="n">
        <v>46326</v>
      </c>
      <c r="F10801" t="inlineStr">
        <is>
          <t>GÄVLEBORGS LÄN</t>
        </is>
      </c>
      <c r="G10801" t="inlineStr">
        <is>
          <t>GÄVLE</t>
        </is>
      </c>
      <c r="I10801" t="n">
        <v>1.9</v>
      </c>
      <c r="J10801" t="n">
        <v>0</v>
      </c>
      <c r="K10801" t="n">
        <v>0</v>
      </c>
      <c r="L10801" t="n">
        <v>0</v>
      </c>
      <c r="M10801" t="n">
        <v>0</v>
      </c>
      <c r="N10801" t="n">
        <v>0</v>
      </c>
      <c r="O10801" t="n">
        <v>0</v>
      </c>
      <c r="P10801" t="n">
        <v>0</v>
      </c>
      <c r="Q10801" t="n">
        <v>0</v>
      </c>
      <c r="R10801" t="n">
        <v>0</v>
      </c>
      <c r="S10801" t="n">
        <v>0</v>
      </c>
      <c r="T10801" t="n">
        <v>0</v>
      </c>
      <c r="U10801" t="n">
        <v>0</v>
      </c>
      <c r="V10801" s="2" t="inlineStr"/>
    </row>
    <row r="10802" ht="15" customHeight="1">
      <c r="A10802" t="inlineStr">
        <is>
          <t>A 36493-2026</t>
        </is>
      </c>
      <c r="B10802" t="inlineStr">
        <is>
          <t>avverkningsanmälan</t>
        </is>
      </c>
      <c r="C10802" t="inlineStr">
        <is>
          <t>Föryngringsavverkning</t>
        </is>
      </c>
      <c r="D10802" s="1" t="n">
        <v>46269</v>
      </c>
      <c r="E10802" s="1" t="n">
        <v>46326</v>
      </c>
      <c r="F10802" t="inlineStr">
        <is>
          <t>GÄVLEBORGS LÄN</t>
        </is>
      </c>
      <c r="G10802" t="inlineStr">
        <is>
          <t>OVANÅKER</t>
        </is>
      </c>
      <c r="H10802" t="inlineStr">
        <is>
          <t>Sveaskog</t>
        </is>
      </c>
      <c r="I10802" t="n">
        <v>2.3</v>
      </c>
      <c r="J10802" t="n">
        <v>0</v>
      </c>
      <c r="K10802" t="n">
        <v>0</v>
      </c>
      <c r="L10802" t="n">
        <v>0</v>
      </c>
      <c r="M10802" t="n">
        <v>0</v>
      </c>
      <c r="N10802" t="n">
        <v>0</v>
      </c>
      <c r="O10802" t="n">
        <v>0</v>
      </c>
      <c r="P10802" t="n">
        <v>0</v>
      </c>
      <c r="Q10802" t="n">
        <v>0</v>
      </c>
      <c r="R10802" t="n">
        <v>0</v>
      </c>
      <c r="S10802" t="n">
        <v>0</v>
      </c>
      <c r="T10802" t="n">
        <v>0</v>
      </c>
      <c r="U10802" t="n">
        <v>0</v>
      </c>
      <c r="V10802" s="2" t="inlineStr"/>
    </row>
    <row r="10803" ht="15" customHeight="1">
      <c r="A10803" t="inlineStr">
        <is>
          <t>A 31517-2026</t>
        </is>
      </c>
      <c r="B10803" t="inlineStr">
        <is>
          <t>avverkningsanmälan</t>
        </is>
      </c>
      <c r="C10803" t="inlineStr">
        <is>
          <t>Föryngringsavverkning</t>
        </is>
      </c>
      <c r="D10803" s="1" t="n">
        <v>46223</v>
      </c>
      <c r="E10803" s="1" t="n">
        <v>46326</v>
      </c>
      <c r="F10803" t="inlineStr">
        <is>
          <t>GÄVLEBORGS LÄN</t>
        </is>
      </c>
      <c r="G10803" t="inlineStr">
        <is>
          <t>OCKELBO</t>
        </is>
      </c>
      <c r="I10803" t="n">
        <v>1.9</v>
      </c>
      <c r="J10803" t="n">
        <v>0</v>
      </c>
      <c r="K10803" t="n">
        <v>0</v>
      </c>
      <c r="L10803" t="n">
        <v>0</v>
      </c>
      <c r="M10803" t="n">
        <v>0</v>
      </c>
      <c r="N10803" t="n">
        <v>0</v>
      </c>
      <c r="O10803" t="n">
        <v>0</v>
      </c>
      <c r="P10803" t="n">
        <v>0</v>
      </c>
      <c r="Q10803" t="n">
        <v>0</v>
      </c>
      <c r="R10803" t="n">
        <v>0</v>
      </c>
      <c r="S10803" t="n">
        <v>0</v>
      </c>
      <c r="T10803" t="n">
        <v>0</v>
      </c>
      <c r="U10803" t="n">
        <v>0</v>
      </c>
      <c r="V10803" s="2" t="inlineStr"/>
    </row>
    <row r="10804" ht="15" customHeight="1">
      <c r="A10804" t="inlineStr">
        <is>
          <t>A 31519-2026</t>
        </is>
      </c>
      <c r="B10804" t="inlineStr">
        <is>
          <t>avverkningsanmälan</t>
        </is>
      </c>
      <c r="C10804" t="inlineStr">
        <is>
          <t>Föryngringsavverkning</t>
        </is>
      </c>
      <c r="D10804" s="1" t="n">
        <v>46223</v>
      </c>
      <c r="E10804" s="1" t="n">
        <v>46326</v>
      </c>
      <c r="F10804" t="inlineStr">
        <is>
          <t>GÄVLEBORGS LÄN</t>
        </is>
      </c>
      <c r="G10804" t="inlineStr">
        <is>
          <t>OCKELBO</t>
        </is>
      </c>
      <c r="I10804" t="n">
        <v>1.7</v>
      </c>
      <c r="J10804" t="n">
        <v>0</v>
      </c>
      <c r="K10804" t="n">
        <v>0</v>
      </c>
      <c r="L10804" t="n">
        <v>0</v>
      </c>
      <c r="M10804" t="n">
        <v>0</v>
      </c>
      <c r="N10804" t="n">
        <v>0</v>
      </c>
      <c r="O10804" t="n">
        <v>0</v>
      </c>
      <c r="P10804" t="n">
        <v>0</v>
      </c>
      <c r="Q10804" t="n">
        <v>0</v>
      </c>
      <c r="R10804" t="n">
        <v>0</v>
      </c>
      <c r="S10804" t="n">
        <v>0</v>
      </c>
      <c r="T10804" t="n">
        <v>0</v>
      </c>
      <c r="U10804" t="n">
        <v>0</v>
      </c>
      <c r="V10804" s="2" t="inlineStr"/>
    </row>
    <row r="10805" ht="15" customHeight="1">
      <c r="A10805" t="inlineStr">
        <is>
          <t>A 36529-2026</t>
        </is>
      </c>
      <c r="B10805" t="inlineStr">
        <is>
          <t>avverkningsanmälan</t>
        </is>
      </c>
      <c r="C10805" t="inlineStr">
        <is>
          <t>Föryngringsavverkning</t>
        </is>
      </c>
      <c r="D10805" s="1" t="n">
        <v>46269</v>
      </c>
      <c r="E10805" s="1" t="n">
        <v>46326</v>
      </c>
      <c r="F10805" t="inlineStr">
        <is>
          <t>GÄVLEBORGS LÄN</t>
        </is>
      </c>
      <c r="G10805" t="inlineStr">
        <is>
          <t>BOLLNÄS</t>
        </is>
      </c>
      <c r="H10805" t="inlineStr">
        <is>
          <t>Sveaskog</t>
        </is>
      </c>
      <c r="I10805" t="n">
        <v>3.9</v>
      </c>
      <c r="J10805" t="n">
        <v>0</v>
      </c>
      <c r="K10805" t="n">
        <v>0</v>
      </c>
      <c r="L10805" t="n">
        <v>0</v>
      </c>
      <c r="M10805" t="n">
        <v>0</v>
      </c>
      <c r="N10805" t="n">
        <v>0</v>
      </c>
      <c r="O10805" t="n">
        <v>0</v>
      </c>
      <c r="P10805" t="n">
        <v>0</v>
      </c>
      <c r="Q10805" t="n">
        <v>0</v>
      </c>
      <c r="R10805" t="n">
        <v>0</v>
      </c>
      <c r="S10805" t="n">
        <v>0</v>
      </c>
      <c r="T10805" t="n">
        <v>0</v>
      </c>
      <c r="U10805" t="n">
        <v>0</v>
      </c>
      <c r="V10805" s="2" t="inlineStr"/>
    </row>
    <row r="10806" ht="15" customHeight="1">
      <c r="A10806" t="inlineStr">
        <is>
          <t>A 36574-2026</t>
        </is>
      </c>
      <c r="B10806" t="inlineStr">
        <is>
          <t>avverkningsanmälan</t>
        </is>
      </c>
      <c r="C10806" t="inlineStr">
        <is>
          <t>Föryngringsavverkning</t>
        </is>
      </c>
      <c r="D10806" s="1" t="n">
        <v>46269</v>
      </c>
      <c r="E10806" s="1" t="n">
        <v>46326</v>
      </c>
      <c r="F10806" t="inlineStr">
        <is>
          <t>GÄVLEBORGS LÄN</t>
        </is>
      </c>
      <c r="G10806" t="inlineStr">
        <is>
          <t>BOLLNÄS</t>
        </is>
      </c>
      <c r="H10806" t="inlineStr">
        <is>
          <t>Kommuner</t>
        </is>
      </c>
      <c r="I10806" t="n">
        <v>0.6</v>
      </c>
      <c r="J10806" t="n">
        <v>0</v>
      </c>
      <c r="K10806" t="n">
        <v>0</v>
      </c>
      <c r="L10806" t="n">
        <v>0</v>
      </c>
      <c r="M10806" t="n">
        <v>0</v>
      </c>
      <c r="N10806" t="n">
        <v>0</v>
      </c>
      <c r="O10806" t="n">
        <v>0</v>
      </c>
      <c r="P10806" t="n">
        <v>0</v>
      </c>
      <c r="Q10806" t="n">
        <v>0</v>
      </c>
      <c r="R10806" t="n">
        <v>0</v>
      </c>
      <c r="S10806" t="n">
        <v>0</v>
      </c>
      <c r="T10806" t="n">
        <v>0</v>
      </c>
      <c r="U10806" t="n">
        <v>0</v>
      </c>
      <c r="V10806" s="2" t="inlineStr"/>
    </row>
    <row r="10807" ht="15" customHeight="1">
      <c r="A10807" t="inlineStr">
        <is>
          <t>A 43581-2026</t>
        </is>
      </c>
      <c r="B10807" t="inlineStr">
        <is>
          <t>avverkningsanmälan</t>
        </is>
      </c>
      <c r="C10807" t="inlineStr">
        <is>
          <t>Föryngringsavverkning</t>
        </is>
      </c>
      <c r="D10807" s="1" t="n">
        <v>46315</v>
      </c>
      <c r="E10807" s="1" t="n">
        <v>46326</v>
      </c>
      <c r="F10807" t="inlineStr">
        <is>
          <t>GÄVLEBORGS LÄN</t>
        </is>
      </c>
      <c r="G10807" t="inlineStr">
        <is>
          <t>NORDANSTIG</t>
        </is>
      </c>
      <c r="H10807" t="inlineStr">
        <is>
          <t>Holmen skog AB</t>
        </is>
      </c>
      <c r="I10807" t="n">
        <v>1.4</v>
      </c>
      <c r="J10807" t="n">
        <v>0</v>
      </c>
      <c r="K10807" t="n">
        <v>0</v>
      </c>
      <c r="L10807" t="n">
        <v>0</v>
      </c>
      <c r="M10807" t="n">
        <v>0</v>
      </c>
      <c r="N10807" t="n">
        <v>0</v>
      </c>
      <c r="O10807" t="n">
        <v>0</v>
      </c>
      <c r="P10807" t="n">
        <v>0</v>
      </c>
      <c r="Q10807" t="n">
        <v>0</v>
      </c>
      <c r="R10807" t="n">
        <v>0</v>
      </c>
      <c r="S10807" t="n">
        <v>0</v>
      </c>
      <c r="T10807" t="n">
        <v>0</v>
      </c>
      <c r="U10807" t="n">
        <v>0</v>
      </c>
      <c r="V10807" s="2" t="inlineStr"/>
    </row>
    <row r="10808" ht="15" customHeight="1">
      <c r="A10808" t="inlineStr">
        <is>
          <t>A 43493-2026</t>
        </is>
      </c>
      <c r="B10808" t="inlineStr">
        <is>
          <t>avverkningsanmälan</t>
        </is>
      </c>
      <c r="C10808" t="inlineStr">
        <is>
          <t>Föryngringsavverkning</t>
        </is>
      </c>
      <c r="D10808" s="1" t="n">
        <v>46315</v>
      </c>
      <c r="E10808" s="1" t="n">
        <v>46326</v>
      </c>
      <c r="F10808" t="inlineStr">
        <is>
          <t>GÄVLEBORGS LÄN</t>
        </is>
      </c>
      <c r="G10808" t="inlineStr">
        <is>
          <t>GÄVLE</t>
        </is>
      </c>
      <c r="H10808" t="inlineStr">
        <is>
          <t>Bergvik skog öst AB</t>
        </is>
      </c>
      <c r="I10808" t="n">
        <v>2</v>
      </c>
      <c r="J10808" t="n">
        <v>0</v>
      </c>
      <c r="K10808" t="n">
        <v>0</v>
      </c>
      <c r="L10808" t="n">
        <v>0</v>
      </c>
      <c r="M10808" t="n">
        <v>0</v>
      </c>
      <c r="N10808" t="n">
        <v>0</v>
      </c>
      <c r="O10808" t="n">
        <v>0</v>
      </c>
      <c r="P10808" t="n">
        <v>0</v>
      </c>
      <c r="Q10808" t="n">
        <v>0</v>
      </c>
      <c r="R10808" t="n">
        <v>0</v>
      </c>
      <c r="S10808" t="n">
        <v>0</v>
      </c>
      <c r="T10808" t="n">
        <v>0</v>
      </c>
      <c r="U10808" t="n">
        <v>0</v>
      </c>
      <c r="V10808" s="2" t="inlineStr"/>
    </row>
    <row r="10809" ht="15" customHeight="1">
      <c r="A10809" t="inlineStr">
        <is>
          <t>A 43499-2026</t>
        </is>
      </c>
      <c r="B10809" t="inlineStr">
        <is>
          <t>avverkningsanmälan</t>
        </is>
      </c>
      <c r="C10809" t="inlineStr">
        <is>
          <t>Föryngringsavverkning</t>
        </is>
      </c>
      <c r="D10809" s="1" t="n">
        <v>46315</v>
      </c>
      <c r="E10809" s="1" t="n">
        <v>46326</v>
      </c>
      <c r="F10809" t="inlineStr">
        <is>
          <t>GÄVLEBORGS LÄN</t>
        </is>
      </c>
      <c r="G10809" t="inlineStr">
        <is>
          <t>NORDANSTIG</t>
        </is>
      </c>
      <c r="I10809" t="n">
        <v>2.6</v>
      </c>
      <c r="J10809" t="n">
        <v>0</v>
      </c>
      <c r="K10809" t="n">
        <v>0</v>
      </c>
      <c r="L10809" t="n">
        <v>0</v>
      </c>
      <c r="M10809" t="n">
        <v>0</v>
      </c>
      <c r="N10809" t="n">
        <v>0</v>
      </c>
      <c r="O10809" t="n">
        <v>0</v>
      </c>
      <c r="P10809" t="n">
        <v>0</v>
      </c>
      <c r="Q10809" t="n">
        <v>0</v>
      </c>
      <c r="R10809" t="n">
        <v>0</v>
      </c>
      <c r="S10809" t="n">
        <v>0</v>
      </c>
      <c r="T10809" t="n">
        <v>0</v>
      </c>
      <c r="U10809" t="n">
        <v>0</v>
      </c>
      <c r="V10809" s="2" t="inlineStr"/>
    </row>
    <row r="10810" ht="15" customHeight="1">
      <c r="A10810" t="inlineStr">
        <is>
          <t>A 36661-2026</t>
        </is>
      </c>
      <c r="B10810" t="inlineStr">
        <is>
          <t>avverkningsanmälan</t>
        </is>
      </c>
      <c r="C10810" t="inlineStr">
        <is>
          <t>Föryngringsavverkning</t>
        </is>
      </c>
      <c r="D10810" s="1" t="n">
        <v>46272</v>
      </c>
      <c r="E10810" s="1" t="n">
        <v>46326</v>
      </c>
      <c r="F10810" t="inlineStr">
        <is>
          <t>GÄVLEBORGS LÄN</t>
        </is>
      </c>
      <c r="G10810" t="inlineStr">
        <is>
          <t>BOLLNÄS</t>
        </is>
      </c>
      <c r="I10810" t="n">
        <v>3.8</v>
      </c>
      <c r="J10810" t="n">
        <v>0</v>
      </c>
      <c r="K10810" t="n">
        <v>0</v>
      </c>
      <c r="L10810" t="n">
        <v>0</v>
      </c>
      <c r="M10810" t="n">
        <v>0</v>
      </c>
      <c r="N10810" t="n">
        <v>0</v>
      </c>
      <c r="O10810" t="n">
        <v>0</v>
      </c>
      <c r="P10810" t="n">
        <v>0</v>
      </c>
      <c r="Q10810" t="n">
        <v>0</v>
      </c>
      <c r="R10810" t="n">
        <v>0</v>
      </c>
      <c r="S10810" t="n">
        <v>0</v>
      </c>
      <c r="T10810" t="n">
        <v>0</v>
      </c>
      <c r="U10810" t="n">
        <v>0</v>
      </c>
      <c r="V10810" s="2" t="inlineStr"/>
    </row>
    <row r="10811" ht="15" customHeight="1">
      <c r="A10811" t="inlineStr">
        <is>
          <t>A 43384-2026</t>
        </is>
      </c>
      <c r="B10811" t="inlineStr">
        <is>
          <t>avverkningsanmälan</t>
        </is>
      </c>
      <c r="C10811" t="inlineStr">
        <is>
          <t>Föryngringsavverkning</t>
        </is>
      </c>
      <c r="D10811" s="1" t="n">
        <v>46314</v>
      </c>
      <c r="E10811" s="1" t="n">
        <v>46326</v>
      </c>
      <c r="F10811" t="inlineStr">
        <is>
          <t>GÄVLEBORGS LÄN</t>
        </is>
      </c>
      <c r="G10811" t="inlineStr">
        <is>
          <t>BOLLNÄS</t>
        </is>
      </c>
      <c r="I10811" t="n">
        <v>1.6</v>
      </c>
      <c r="J10811" t="n">
        <v>0</v>
      </c>
      <c r="K10811" t="n">
        <v>0</v>
      </c>
      <c r="L10811" t="n">
        <v>0</v>
      </c>
      <c r="M10811" t="n">
        <v>0</v>
      </c>
      <c r="N10811" t="n">
        <v>0</v>
      </c>
      <c r="O10811" t="n">
        <v>0</v>
      </c>
      <c r="P10811" t="n">
        <v>0</v>
      </c>
      <c r="Q10811" t="n">
        <v>0</v>
      </c>
      <c r="R10811" t="n">
        <v>0</v>
      </c>
      <c r="S10811" t="n">
        <v>0</v>
      </c>
      <c r="T10811" t="n">
        <v>0</v>
      </c>
      <c r="U10811" t="n">
        <v>0</v>
      </c>
      <c r="V10811" s="2" t="inlineStr"/>
    </row>
    <row r="10812" ht="15" customHeight="1">
      <c r="A10812" t="inlineStr">
        <is>
          <t>A 43386-2026</t>
        </is>
      </c>
      <c r="B10812" t="inlineStr">
        <is>
          <t>avverkningsanmälan</t>
        </is>
      </c>
      <c r="C10812" t="inlineStr">
        <is>
          <t>Föryngringsavverkning</t>
        </is>
      </c>
      <c r="D10812" s="1" t="n">
        <v>46314</v>
      </c>
      <c r="E10812" s="1" t="n">
        <v>46326</v>
      </c>
      <c r="F10812" t="inlineStr">
        <is>
          <t>GÄVLEBORGS LÄN</t>
        </is>
      </c>
      <c r="G10812" t="inlineStr">
        <is>
          <t>SÖDERHAMN</t>
        </is>
      </c>
      <c r="H10812" t="inlineStr">
        <is>
          <t>Bergvik skog väst AB</t>
        </is>
      </c>
      <c r="I10812" t="n">
        <v>2.8</v>
      </c>
      <c r="J10812" t="n">
        <v>0</v>
      </c>
      <c r="K10812" t="n">
        <v>0</v>
      </c>
      <c r="L10812" t="n">
        <v>0</v>
      </c>
      <c r="M10812" t="n">
        <v>0</v>
      </c>
      <c r="N10812" t="n">
        <v>0</v>
      </c>
      <c r="O10812" t="n">
        <v>0</v>
      </c>
      <c r="P10812" t="n">
        <v>0</v>
      </c>
      <c r="Q10812" t="n">
        <v>0</v>
      </c>
      <c r="R10812" t="n">
        <v>0</v>
      </c>
      <c r="S10812" t="n">
        <v>0</v>
      </c>
      <c r="T10812" t="n">
        <v>0</v>
      </c>
      <c r="U10812" t="n">
        <v>0</v>
      </c>
      <c r="V10812" s="2" t="inlineStr"/>
    </row>
    <row r="10813" ht="15" customHeight="1">
      <c r="A10813" t="inlineStr">
        <is>
          <t>A 43298-2026</t>
        </is>
      </c>
      <c r="B10813" t="inlineStr">
        <is>
          <t>avverkningsanmälan</t>
        </is>
      </c>
      <c r="C10813" t="inlineStr">
        <is>
          <t>Föryngringsavverkning</t>
        </is>
      </c>
      <c r="D10813" s="1" t="n">
        <v>46314</v>
      </c>
      <c r="E10813" s="1" t="n">
        <v>46326</v>
      </c>
      <c r="F10813" t="inlineStr">
        <is>
          <t>GÄVLEBORGS LÄN</t>
        </is>
      </c>
      <c r="G10813" t="inlineStr">
        <is>
          <t>GÄVLE</t>
        </is>
      </c>
      <c r="H10813" t="inlineStr">
        <is>
          <t>Bergvik skog öst AB</t>
        </is>
      </c>
      <c r="I10813" t="n">
        <v>1.2</v>
      </c>
      <c r="J10813" t="n">
        <v>0</v>
      </c>
      <c r="K10813" t="n">
        <v>0</v>
      </c>
      <c r="L10813" t="n">
        <v>0</v>
      </c>
      <c r="M10813" t="n">
        <v>0</v>
      </c>
      <c r="N10813" t="n">
        <v>0</v>
      </c>
      <c r="O10813" t="n">
        <v>0</v>
      </c>
      <c r="P10813" t="n">
        <v>0</v>
      </c>
      <c r="Q10813" t="n">
        <v>0</v>
      </c>
      <c r="R10813" t="n">
        <v>0</v>
      </c>
      <c r="S10813" t="n">
        <v>0</v>
      </c>
      <c r="T10813" t="n">
        <v>0</v>
      </c>
      <c r="U10813" t="n">
        <v>0</v>
      </c>
      <c r="V10813" s="2" t="inlineStr"/>
    </row>
    <row r="10814" ht="15" customHeight="1">
      <c r="A10814" t="inlineStr">
        <is>
          <t>A 43497-2026</t>
        </is>
      </c>
      <c r="B10814" t="inlineStr">
        <is>
          <t>avverkningsanmälan</t>
        </is>
      </c>
      <c r="C10814" t="inlineStr">
        <is>
          <t>Föryngringsavverkning</t>
        </is>
      </c>
      <c r="D10814" s="1" t="n">
        <v>46315</v>
      </c>
      <c r="E10814" s="1" t="n">
        <v>46326</v>
      </c>
      <c r="F10814" t="inlineStr">
        <is>
          <t>GÄVLEBORGS LÄN</t>
        </is>
      </c>
      <c r="G10814" t="inlineStr">
        <is>
          <t>HUDIKSVALL</t>
        </is>
      </c>
      <c r="H10814" t="inlineStr">
        <is>
          <t>Holmen skog AB</t>
        </is>
      </c>
      <c r="I10814" t="n">
        <v>6.7</v>
      </c>
      <c r="J10814" t="n">
        <v>0</v>
      </c>
      <c r="K10814" t="n">
        <v>0</v>
      </c>
      <c r="L10814" t="n">
        <v>0</v>
      </c>
      <c r="M10814" t="n">
        <v>0</v>
      </c>
      <c r="N10814" t="n">
        <v>0</v>
      </c>
      <c r="O10814" t="n">
        <v>0</v>
      </c>
      <c r="P10814" t="n">
        <v>0</v>
      </c>
      <c r="Q10814" t="n">
        <v>0</v>
      </c>
      <c r="R10814" t="n">
        <v>0</v>
      </c>
      <c r="S10814" t="n">
        <v>0</v>
      </c>
      <c r="T10814" t="n">
        <v>0</v>
      </c>
      <c r="U10814" t="n">
        <v>0</v>
      </c>
      <c r="V10814" s="2" t="inlineStr"/>
    </row>
    <row r="10815" ht="15" customHeight="1">
      <c r="A10815" t="inlineStr">
        <is>
          <t>A 36970-2026</t>
        </is>
      </c>
      <c r="B10815" t="inlineStr">
        <is>
          <t>avverkningsanmälan</t>
        </is>
      </c>
      <c r="C10815" t="inlineStr">
        <is>
          <t>Föryngringsavverkning</t>
        </is>
      </c>
      <c r="D10815" s="1" t="n">
        <v>46273</v>
      </c>
      <c r="E10815" s="1" t="n">
        <v>46326</v>
      </c>
      <c r="F10815" t="inlineStr">
        <is>
          <t>GÄVLEBORGS LÄN</t>
        </is>
      </c>
      <c r="G10815" t="inlineStr">
        <is>
          <t>BOLLNÄS</t>
        </is>
      </c>
      <c r="I10815" t="n">
        <v>5.3</v>
      </c>
      <c r="J10815" t="n">
        <v>0</v>
      </c>
      <c r="K10815" t="n">
        <v>0</v>
      </c>
      <c r="L10815" t="n">
        <v>0</v>
      </c>
      <c r="M10815" t="n">
        <v>0</v>
      </c>
      <c r="N10815" t="n">
        <v>0</v>
      </c>
      <c r="O10815" t="n">
        <v>0</v>
      </c>
      <c r="P10815" t="n">
        <v>0</v>
      </c>
      <c r="Q10815" t="n">
        <v>0</v>
      </c>
      <c r="R10815" t="n">
        <v>0</v>
      </c>
      <c r="S10815" t="n">
        <v>0</v>
      </c>
      <c r="T10815" t="n">
        <v>0</v>
      </c>
      <c r="U10815" t="n">
        <v>0</v>
      </c>
      <c r="V10815" s="2" t="inlineStr"/>
    </row>
    <row r="10816" ht="15" customHeight="1">
      <c r="A10816" t="inlineStr">
        <is>
          <t>A 43824-2026</t>
        </is>
      </c>
      <c r="B10816" t="inlineStr">
        <is>
          <t>avverkningsanmälan</t>
        </is>
      </c>
      <c r="C10816" t="inlineStr">
        <is>
          <t>Föryngringsavverkning</t>
        </is>
      </c>
      <c r="D10816" s="1" t="n">
        <v>46316</v>
      </c>
      <c r="E10816" s="1" t="n">
        <v>46326</v>
      </c>
      <c r="F10816" t="inlineStr">
        <is>
          <t>GÄVLEBORGS LÄN</t>
        </is>
      </c>
      <c r="G10816" t="inlineStr">
        <is>
          <t>BOLLNÄS</t>
        </is>
      </c>
      <c r="H10816" t="inlineStr">
        <is>
          <t>Bergvik skog öst AB</t>
        </is>
      </c>
      <c r="I10816" t="n">
        <v>1</v>
      </c>
      <c r="J10816" t="n">
        <v>0</v>
      </c>
      <c r="K10816" t="n">
        <v>0</v>
      </c>
      <c r="L10816" t="n">
        <v>0</v>
      </c>
      <c r="M10816" t="n">
        <v>0</v>
      </c>
      <c r="N10816" t="n">
        <v>0</v>
      </c>
      <c r="O10816" t="n">
        <v>0</v>
      </c>
      <c r="P10816" t="n">
        <v>0</v>
      </c>
      <c r="Q10816" t="n">
        <v>0</v>
      </c>
      <c r="R10816" t="n">
        <v>0</v>
      </c>
      <c r="S10816" t="n">
        <v>0</v>
      </c>
      <c r="T10816" t="n">
        <v>0</v>
      </c>
      <c r="U10816" t="n">
        <v>0</v>
      </c>
      <c r="V10816" s="2" t="inlineStr"/>
    </row>
    <row r="10817" ht="15" customHeight="1">
      <c r="A10817" t="inlineStr">
        <is>
          <t>A 43852-2026</t>
        </is>
      </c>
      <c r="B10817" t="inlineStr">
        <is>
          <t>avverkningsanmälan</t>
        </is>
      </c>
      <c r="C10817" t="inlineStr">
        <is>
          <t>Föryngringsavverkning</t>
        </is>
      </c>
      <c r="D10817" s="1" t="n">
        <v>46316</v>
      </c>
      <c r="E10817" s="1" t="n">
        <v>46326</v>
      </c>
      <c r="F10817" t="inlineStr">
        <is>
          <t>GÄVLEBORGS LÄN</t>
        </is>
      </c>
      <c r="G10817" t="inlineStr">
        <is>
          <t>BOLLNÄS</t>
        </is>
      </c>
      <c r="H10817" t="inlineStr">
        <is>
          <t>Bergvik skog öst AB</t>
        </is>
      </c>
      <c r="I10817" t="n">
        <v>6.2</v>
      </c>
      <c r="J10817" t="n">
        <v>0</v>
      </c>
      <c r="K10817" t="n">
        <v>0</v>
      </c>
      <c r="L10817" t="n">
        <v>0</v>
      </c>
      <c r="M10817" t="n">
        <v>0</v>
      </c>
      <c r="N10817" t="n">
        <v>0</v>
      </c>
      <c r="O10817" t="n">
        <v>0</v>
      </c>
      <c r="P10817" t="n">
        <v>0</v>
      </c>
      <c r="Q10817" t="n">
        <v>0</v>
      </c>
      <c r="R10817" t="n">
        <v>0</v>
      </c>
      <c r="S10817" t="n">
        <v>0</v>
      </c>
      <c r="T10817" t="n">
        <v>0</v>
      </c>
      <c r="U10817" t="n">
        <v>0</v>
      </c>
      <c r="V10817" s="2" t="inlineStr"/>
    </row>
    <row r="10818" ht="15" customHeight="1">
      <c r="A10818" t="inlineStr">
        <is>
          <t>A 31530-2026</t>
        </is>
      </c>
      <c r="B10818" t="inlineStr">
        <is>
          <t>avverkningsanmälan</t>
        </is>
      </c>
      <c r="C10818" t="inlineStr">
        <is>
          <t>Föryngringsavverkning</t>
        </is>
      </c>
      <c r="D10818" s="1" t="n">
        <v>46223</v>
      </c>
      <c r="E10818" s="1" t="n">
        <v>46326</v>
      </c>
      <c r="F10818" t="inlineStr">
        <is>
          <t>GÄVLEBORGS LÄN</t>
        </is>
      </c>
      <c r="G10818" t="inlineStr">
        <is>
          <t>OCKELBO</t>
        </is>
      </c>
      <c r="H10818" t="inlineStr">
        <is>
          <t>Bergvik skog väst AB</t>
        </is>
      </c>
      <c r="I10818" t="n">
        <v>1.1</v>
      </c>
      <c r="J10818" t="n">
        <v>0</v>
      </c>
      <c r="K10818" t="n">
        <v>0</v>
      </c>
      <c r="L10818" t="n">
        <v>0</v>
      </c>
      <c r="M10818" t="n">
        <v>0</v>
      </c>
      <c r="N10818" t="n">
        <v>0</v>
      </c>
      <c r="O10818" t="n">
        <v>0</v>
      </c>
      <c r="P10818" t="n">
        <v>0</v>
      </c>
      <c r="Q10818" t="n">
        <v>0</v>
      </c>
      <c r="R10818" t="n">
        <v>0</v>
      </c>
      <c r="S10818" t="n">
        <v>0</v>
      </c>
      <c r="T10818" t="n">
        <v>0</v>
      </c>
      <c r="U10818" t="n">
        <v>0</v>
      </c>
      <c r="V10818" s="2" t="inlineStr"/>
    </row>
    <row r="10819" ht="15" customHeight="1">
      <c r="A10819" t="inlineStr">
        <is>
          <t>A 34765-2026</t>
        </is>
      </c>
      <c r="B10819" t="inlineStr">
        <is>
          <t>avverkningsanmälan</t>
        </is>
      </c>
      <c r="C10819" t="inlineStr">
        <is>
          <t>Föryngringsavverkning</t>
        </is>
      </c>
      <c r="D10819" s="1" t="n">
        <v>46258</v>
      </c>
      <c r="E10819" s="1" t="n">
        <v>46326</v>
      </c>
      <c r="F10819" t="inlineStr">
        <is>
          <t>GÄVLEBORGS LÄN</t>
        </is>
      </c>
      <c r="G10819" t="inlineStr">
        <is>
          <t>OCKELBO</t>
        </is>
      </c>
      <c r="H10819" t="inlineStr">
        <is>
          <t>Bergvik skog väst AB</t>
        </is>
      </c>
      <c r="I10819" t="n">
        <v>1.6</v>
      </c>
      <c r="J10819" t="n">
        <v>0</v>
      </c>
      <c r="K10819" t="n">
        <v>0</v>
      </c>
      <c r="L10819" t="n">
        <v>0</v>
      </c>
      <c r="M10819" t="n">
        <v>0</v>
      </c>
      <c r="N10819" t="n">
        <v>0</v>
      </c>
      <c r="O10819" t="n">
        <v>0</v>
      </c>
      <c r="P10819" t="n">
        <v>0</v>
      </c>
      <c r="Q10819" t="n">
        <v>0</v>
      </c>
      <c r="R10819" t="n">
        <v>0</v>
      </c>
      <c r="S10819" t="n">
        <v>0</v>
      </c>
      <c r="T10819" t="n">
        <v>0</v>
      </c>
      <c r="U10819" t="n">
        <v>0</v>
      </c>
      <c r="V10819" s="2" t="inlineStr"/>
    </row>
    <row r="10820" ht="15" customHeight="1">
      <c r="A10820" t="inlineStr">
        <is>
          <t>A 43794-2026</t>
        </is>
      </c>
      <c r="B10820" t="inlineStr">
        <is>
          <t>avverkningsanmälan</t>
        </is>
      </c>
      <c r="C10820" t="inlineStr">
        <is>
          <t>Föryngringsavverkning</t>
        </is>
      </c>
      <c r="D10820" s="1" t="n">
        <v>46316</v>
      </c>
      <c r="E10820" s="1" t="n">
        <v>46326</v>
      </c>
      <c r="F10820" t="inlineStr">
        <is>
          <t>GÄVLEBORGS LÄN</t>
        </is>
      </c>
      <c r="G10820" t="inlineStr">
        <is>
          <t>BOLLNÄS</t>
        </is>
      </c>
      <c r="H10820" t="inlineStr">
        <is>
          <t>Bergvik skog öst AB</t>
        </is>
      </c>
      <c r="I10820" t="n">
        <v>10.2</v>
      </c>
      <c r="J10820" t="n">
        <v>0</v>
      </c>
      <c r="K10820" t="n">
        <v>0</v>
      </c>
      <c r="L10820" t="n">
        <v>0</v>
      </c>
      <c r="M10820" t="n">
        <v>0</v>
      </c>
      <c r="N10820" t="n">
        <v>0</v>
      </c>
      <c r="O10820" t="n">
        <v>0</v>
      </c>
      <c r="P10820" t="n">
        <v>0</v>
      </c>
      <c r="Q10820" t="n">
        <v>0</v>
      </c>
      <c r="R10820" t="n">
        <v>0</v>
      </c>
      <c r="S10820" t="n">
        <v>0</v>
      </c>
      <c r="T10820" t="n">
        <v>0</v>
      </c>
      <c r="U10820" t="n">
        <v>0</v>
      </c>
      <c r="V10820" s="2" t="inlineStr"/>
    </row>
    <row r="10821" ht="15" customHeight="1">
      <c r="A10821" t="inlineStr">
        <is>
          <t>A 43942-2026</t>
        </is>
      </c>
      <c r="B10821" t="inlineStr">
        <is>
          <t>avverkningsanmälan</t>
        </is>
      </c>
      <c r="C10821" t="inlineStr">
        <is>
          <t>Föryngringsavverkning</t>
        </is>
      </c>
      <c r="D10821" s="1" t="n">
        <v>46317</v>
      </c>
      <c r="E10821" s="1" t="n">
        <v>46326</v>
      </c>
      <c r="F10821" t="inlineStr">
        <is>
          <t>GÄVLEBORGS LÄN</t>
        </is>
      </c>
      <c r="G10821" t="inlineStr">
        <is>
          <t>SÖDERHAMN</t>
        </is>
      </c>
      <c r="H10821" t="inlineStr">
        <is>
          <t>Bergvik skog väst AB</t>
        </is>
      </c>
      <c r="I10821" t="n">
        <v>1.9</v>
      </c>
      <c r="J10821" t="n">
        <v>0</v>
      </c>
      <c r="K10821" t="n">
        <v>0</v>
      </c>
      <c r="L10821" t="n">
        <v>0</v>
      </c>
      <c r="M10821" t="n">
        <v>0</v>
      </c>
      <c r="N10821" t="n">
        <v>0</v>
      </c>
      <c r="O10821" t="n">
        <v>0</v>
      </c>
      <c r="P10821" t="n">
        <v>0</v>
      </c>
      <c r="Q10821" t="n">
        <v>0</v>
      </c>
      <c r="R10821" t="n">
        <v>0</v>
      </c>
      <c r="S10821" t="n">
        <v>0</v>
      </c>
      <c r="T10821" t="n">
        <v>0</v>
      </c>
      <c r="U10821" t="n">
        <v>0</v>
      </c>
      <c r="V10821" s="2" t="inlineStr"/>
    </row>
    <row r="10822" ht="15" customHeight="1">
      <c r="A10822" t="inlineStr">
        <is>
          <t>A 31722-2026</t>
        </is>
      </c>
      <c r="B10822" t="inlineStr">
        <is>
          <t>avverkningsanmälan</t>
        </is>
      </c>
      <c r="C10822" t="inlineStr">
        <is>
          <t>Föryngringsavverkning</t>
        </is>
      </c>
      <c r="D10822" s="1" t="n">
        <v>46226</v>
      </c>
      <c r="E10822" s="1" t="n">
        <v>46326</v>
      </c>
      <c r="F10822" t="inlineStr">
        <is>
          <t>GÄVLEBORGS LÄN</t>
        </is>
      </c>
      <c r="G10822" t="inlineStr">
        <is>
          <t>BOLLNÄS</t>
        </is>
      </c>
      <c r="H10822" t="inlineStr">
        <is>
          <t>Bergvik skog väst AB</t>
        </is>
      </c>
      <c r="I10822" t="n">
        <v>2.4</v>
      </c>
      <c r="J10822" t="n">
        <v>0</v>
      </c>
      <c r="K10822" t="n">
        <v>0</v>
      </c>
      <c r="L10822" t="n">
        <v>0</v>
      </c>
      <c r="M10822" t="n">
        <v>0</v>
      </c>
      <c r="N10822" t="n">
        <v>0</v>
      </c>
      <c r="O10822" t="n">
        <v>0</v>
      </c>
      <c r="P10822" t="n">
        <v>0</v>
      </c>
      <c r="Q10822" t="n">
        <v>0</v>
      </c>
      <c r="R10822" t="n">
        <v>0</v>
      </c>
      <c r="S10822" t="n">
        <v>0</v>
      </c>
      <c r="T10822" t="n">
        <v>0</v>
      </c>
      <c r="U10822" t="n">
        <v>0</v>
      </c>
      <c r="V10822" s="2" t="inlineStr"/>
    </row>
    <row r="10823" ht="15" customHeight="1">
      <c r="A10823" t="inlineStr">
        <is>
          <t>A 32740-2026</t>
        </is>
      </c>
      <c r="B10823" t="inlineStr">
        <is>
          <t>avverkningsanmälan</t>
        </is>
      </c>
      <c r="C10823" t="inlineStr">
        <is>
          <t>Föryngringsavverkning</t>
        </is>
      </c>
      <c r="D10823" s="1" t="n">
        <v>46241</v>
      </c>
      <c r="E10823" s="1" t="n">
        <v>46326</v>
      </c>
      <c r="F10823" t="inlineStr">
        <is>
          <t>GÄVLEBORGS LÄN</t>
        </is>
      </c>
      <c r="G10823" t="inlineStr">
        <is>
          <t>LJUSDAL</t>
        </is>
      </c>
      <c r="H10823" t="inlineStr">
        <is>
          <t>Bergvik skog väst AB</t>
        </is>
      </c>
      <c r="I10823" t="n">
        <v>1.1</v>
      </c>
      <c r="J10823" t="n">
        <v>0</v>
      </c>
      <c r="K10823" t="n">
        <v>0</v>
      </c>
      <c r="L10823" t="n">
        <v>0</v>
      </c>
      <c r="M10823" t="n">
        <v>0</v>
      </c>
      <c r="N10823" t="n">
        <v>0</v>
      </c>
      <c r="O10823" t="n">
        <v>0</v>
      </c>
      <c r="P10823" t="n">
        <v>0</v>
      </c>
      <c r="Q10823" t="n">
        <v>0</v>
      </c>
      <c r="R10823" t="n">
        <v>0</v>
      </c>
      <c r="S10823" t="n">
        <v>0</v>
      </c>
      <c r="T10823" t="n">
        <v>0</v>
      </c>
      <c r="U10823" t="n">
        <v>0</v>
      </c>
      <c r="V10823" s="2" t="inlineStr"/>
    </row>
    <row r="10824" ht="15" customHeight="1">
      <c r="A10824" t="inlineStr">
        <is>
          <t>A 37028-2026</t>
        </is>
      </c>
      <c r="B10824" t="inlineStr">
        <is>
          <t>avverkningsanmälan</t>
        </is>
      </c>
      <c r="C10824" t="inlineStr">
        <is>
          <t>Föryngringsavverkning</t>
        </is>
      </c>
      <c r="D10824" s="1" t="n">
        <v>46273</v>
      </c>
      <c r="E10824" s="1" t="n">
        <v>46326</v>
      </c>
      <c r="F10824" t="inlineStr">
        <is>
          <t>GÄVLEBORGS LÄN</t>
        </is>
      </c>
      <c r="G10824" t="inlineStr">
        <is>
          <t>NORDANSTIG</t>
        </is>
      </c>
      <c r="H10824" t="inlineStr">
        <is>
          <t>SCA</t>
        </is>
      </c>
      <c r="I10824" t="n">
        <v>6.9</v>
      </c>
      <c r="J10824" t="n">
        <v>0</v>
      </c>
      <c r="K10824" t="n">
        <v>0</v>
      </c>
      <c r="L10824" t="n">
        <v>0</v>
      </c>
      <c r="M10824" t="n">
        <v>0</v>
      </c>
      <c r="N10824" t="n">
        <v>0</v>
      </c>
      <c r="O10824" t="n">
        <v>0</v>
      </c>
      <c r="P10824" t="n">
        <v>0</v>
      </c>
      <c r="Q10824" t="n">
        <v>0</v>
      </c>
      <c r="R10824" t="n">
        <v>0</v>
      </c>
      <c r="S10824" t="n">
        <v>0</v>
      </c>
      <c r="T10824" t="n">
        <v>0</v>
      </c>
      <c r="U10824" t="n">
        <v>0</v>
      </c>
      <c r="V10824" s="2" t="inlineStr"/>
    </row>
    <row r="10825" ht="15" customHeight="1">
      <c r="A10825" t="inlineStr">
        <is>
          <t>A 37046-2026</t>
        </is>
      </c>
      <c r="B10825" t="inlineStr">
        <is>
          <t>avverkningsanmälan</t>
        </is>
      </c>
      <c r="C10825" t="inlineStr">
        <is>
          <t>Föryngringsavverkning</t>
        </is>
      </c>
      <c r="D10825" s="1" t="n">
        <v>46273</v>
      </c>
      <c r="E10825" s="1" t="n">
        <v>46326</v>
      </c>
      <c r="F10825" t="inlineStr">
        <is>
          <t>GÄVLEBORGS LÄN</t>
        </is>
      </c>
      <c r="G10825" t="inlineStr">
        <is>
          <t>BOLLNÄS</t>
        </is>
      </c>
      <c r="I10825" t="n">
        <v>2.2</v>
      </c>
      <c r="J10825" t="n">
        <v>0</v>
      </c>
      <c r="K10825" t="n">
        <v>0</v>
      </c>
      <c r="L10825" t="n">
        <v>0</v>
      </c>
      <c r="M10825" t="n">
        <v>0</v>
      </c>
      <c r="N10825" t="n">
        <v>0</v>
      </c>
      <c r="O10825" t="n">
        <v>0</v>
      </c>
      <c r="P10825" t="n">
        <v>0</v>
      </c>
      <c r="Q10825" t="n">
        <v>0</v>
      </c>
      <c r="R10825" t="n">
        <v>0</v>
      </c>
      <c r="S10825" t="n">
        <v>0</v>
      </c>
      <c r="T10825" t="n">
        <v>0</v>
      </c>
      <c r="U10825" t="n">
        <v>0</v>
      </c>
      <c r="V10825" s="2" t="inlineStr"/>
    </row>
    <row r="10826" ht="15" customHeight="1">
      <c r="A10826" t="inlineStr">
        <is>
          <t>A 37096-2026</t>
        </is>
      </c>
      <c r="B10826" t="inlineStr">
        <is>
          <t>avverkningsanmälan</t>
        </is>
      </c>
      <c r="C10826" t="inlineStr">
        <is>
          <t>Föryngringsavverkning</t>
        </is>
      </c>
      <c r="D10826" s="1" t="n">
        <v>46274</v>
      </c>
      <c r="E10826" s="1" t="n">
        <v>46326</v>
      </c>
      <c r="F10826" t="inlineStr">
        <is>
          <t>GÄVLEBORGS LÄN</t>
        </is>
      </c>
      <c r="G10826" t="inlineStr">
        <is>
          <t>OVANÅKER</t>
        </is>
      </c>
      <c r="I10826" t="n">
        <v>1.7</v>
      </c>
      <c r="J10826" t="n">
        <v>0</v>
      </c>
      <c r="K10826" t="n">
        <v>0</v>
      </c>
      <c r="L10826" t="n">
        <v>0</v>
      </c>
      <c r="M10826" t="n">
        <v>0</v>
      </c>
      <c r="N10826" t="n">
        <v>0</v>
      </c>
      <c r="O10826" t="n">
        <v>0</v>
      </c>
      <c r="P10826" t="n">
        <v>0</v>
      </c>
      <c r="Q10826" t="n">
        <v>0</v>
      </c>
      <c r="R10826" t="n">
        <v>0</v>
      </c>
      <c r="S10826" t="n">
        <v>0</v>
      </c>
      <c r="T10826" t="n">
        <v>0</v>
      </c>
      <c r="U10826" t="n">
        <v>0</v>
      </c>
      <c r="V10826" s="2" t="inlineStr"/>
    </row>
    <row r="10827" ht="15" customHeight="1">
      <c r="A10827" t="inlineStr">
        <is>
          <t>A 32918-2026</t>
        </is>
      </c>
      <c r="B10827" t="inlineStr">
        <is>
          <t>avverkningsanmälan</t>
        </is>
      </c>
      <c r="C10827" t="inlineStr">
        <is>
          <t>Föryngringsavverkning</t>
        </is>
      </c>
      <c r="D10827" s="1" t="n">
        <v>46244</v>
      </c>
      <c r="E10827" s="1" t="n">
        <v>46326</v>
      </c>
      <c r="F10827" t="inlineStr">
        <is>
          <t>GÄVLEBORGS LÄN</t>
        </is>
      </c>
      <c r="G10827" t="inlineStr">
        <is>
          <t>LJUSDAL</t>
        </is>
      </c>
      <c r="I10827" t="n">
        <v>0.4</v>
      </c>
      <c r="J10827" t="n">
        <v>0</v>
      </c>
      <c r="K10827" t="n">
        <v>0</v>
      </c>
      <c r="L10827" t="n">
        <v>0</v>
      </c>
      <c r="M10827" t="n">
        <v>0</v>
      </c>
      <c r="N10827" t="n">
        <v>0</v>
      </c>
      <c r="O10827" t="n">
        <v>0</v>
      </c>
      <c r="P10827" t="n">
        <v>0</v>
      </c>
      <c r="Q10827" t="n">
        <v>0</v>
      </c>
      <c r="R10827" t="n">
        <v>0</v>
      </c>
      <c r="S10827" t="n">
        <v>0</v>
      </c>
      <c r="T10827" t="n">
        <v>0</v>
      </c>
      <c r="U10827" t="n">
        <v>0</v>
      </c>
      <c r="V10827" s="2" t="inlineStr"/>
    </row>
    <row r="10828" ht="15" customHeight="1">
      <c r="A10828" t="inlineStr">
        <is>
          <t>A 37016-2026</t>
        </is>
      </c>
      <c r="B10828" t="inlineStr">
        <is>
          <t>avverkningsanmälan</t>
        </is>
      </c>
      <c r="C10828" t="inlineStr">
        <is>
          <t>Föryngringsavverkning</t>
        </is>
      </c>
      <c r="D10828" s="1" t="n">
        <v>46273</v>
      </c>
      <c r="E10828" s="1" t="n">
        <v>46326</v>
      </c>
      <c r="F10828" t="inlineStr">
        <is>
          <t>GÄVLEBORGS LÄN</t>
        </is>
      </c>
      <c r="G10828" t="inlineStr">
        <is>
          <t>NORDANSTIG</t>
        </is>
      </c>
      <c r="I10828" t="n">
        <v>1.2</v>
      </c>
      <c r="J10828" t="n">
        <v>0</v>
      </c>
      <c r="K10828" t="n">
        <v>0</v>
      </c>
      <c r="L10828" t="n">
        <v>0</v>
      </c>
      <c r="M10828" t="n">
        <v>0</v>
      </c>
      <c r="N10828" t="n">
        <v>0</v>
      </c>
      <c r="O10828" t="n">
        <v>0</v>
      </c>
      <c r="P10828" t="n">
        <v>0</v>
      </c>
      <c r="Q10828" t="n">
        <v>0</v>
      </c>
      <c r="R10828" t="n">
        <v>0</v>
      </c>
      <c r="S10828" t="n">
        <v>0</v>
      </c>
      <c r="T10828" t="n">
        <v>0</v>
      </c>
      <c r="U10828" t="n">
        <v>0</v>
      </c>
      <c r="V10828" s="2" t="inlineStr"/>
    </row>
    <row r="10829" ht="15" customHeight="1">
      <c r="A10829" t="inlineStr">
        <is>
          <t>A 36714-2026</t>
        </is>
      </c>
      <c r="B10829" t="inlineStr">
        <is>
          <t>avverkningsanmälan</t>
        </is>
      </c>
      <c r="C10829" t="inlineStr">
        <is>
          <t>Föryngringsavverkning</t>
        </is>
      </c>
      <c r="D10829" s="1" t="n">
        <v>46272</v>
      </c>
      <c r="E10829" s="1" t="n">
        <v>46326</v>
      </c>
      <c r="F10829" t="inlineStr">
        <is>
          <t>GÄVLEBORGS LÄN</t>
        </is>
      </c>
      <c r="G10829" t="inlineStr">
        <is>
          <t>NORDANSTIG</t>
        </is>
      </c>
      <c r="I10829" t="n">
        <v>3</v>
      </c>
      <c r="J10829" t="n">
        <v>0</v>
      </c>
      <c r="K10829" t="n">
        <v>0</v>
      </c>
      <c r="L10829" t="n">
        <v>0</v>
      </c>
      <c r="M10829" t="n">
        <v>0</v>
      </c>
      <c r="N10829" t="n">
        <v>0</v>
      </c>
      <c r="O10829" t="n">
        <v>0</v>
      </c>
      <c r="P10829" t="n">
        <v>0</v>
      </c>
      <c r="Q10829" t="n">
        <v>0</v>
      </c>
      <c r="R10829" t="n">
        <v>0</v>
      </c>
      <c r="S10829" t="n">
        <v>0</v>
      </c>
      <c r="T10829" t="n">
        <v>0</v>
      </c>
      <c r="U10829" t="n">
        <v>0</v>
      </c>
      <c r="V10829" s="2" t="inlineStr"/>
    </row>
    <row r="10830" ht="15" customHeight="1">
      <c r="A10830" t="inlineStr">
        <is>
          <t>A 37009-2026</t>
        </is>
      </c>
      <c r="B10830" t="inlineStr">
        <is>
          <t>avverkningsanmälan</t>
        </is>
      </c>
      <c r="C10830" t="inlineStr">
        <is>
          <t>Föryngringsavverkning</t>
        </is>
      </c>
      <c r="D10830" s="1" t="n">
        <v>46273</v>
      </c>
      <c r="E10830" s="1" t="n">
        <v>46326</v>
      </c>
      <c r="F10830" t="inlineStr">
        <is>
          <t>GÄVLEBORGS LÄN</t>
        </is>
      </c>
      <c r="G10830" t="inlineStr">
        <is>
          <t>HUDIKSVALL</t>
        </is>
      </c>
      <c r="I10830" t="n">
        <v>1.6</v>
      </c>
      <c r="J10830" t="n">
        <v>0</v>
      </c>
      <c r="K10830" t="n">
        <v>0</v>
      </c>
      <c r="L10830" t="n">
        <v>0</v>
      </c>
      <c r="M10830" t="n">
        <v>0</v>
      </c>
      <c r="N10830" t="n">
        <v>0</v>
      </c>
      <c r="O10830" t="n">
        <v>0</v>
      </c>
      <c r="P10830" t="n">
        <v>0</v>
      </c>
      <c r="Q10830" t="n">
        <v>0</v>
      </c>
      <c r="R10830" t="n">
        <v>0</v>
      </c>
      <c r="S10830" t="n">
        <v>0</v>
      </c>
      <c r="T10830" t="n">
        <v>0</v>
      </c>
      <c r="U10830" t="n">
        <v>0</v>
      </c>
      <c r="V10830" s="2" t="inlineStr"/>
    </row>
    <row r="10831" ht="15" customHeight="1">
      <c r="A10831" t="inlineStr">
        <is>
          <t>A 37013-2026</t>
        </is>
      </c>
      <c r="B10831" t="inlineStr">
        <is>
          <t>avverkningsanmälan</t>
        </is>
      </c>
      <c r="C10831" t="inlineStr">
        <is>
          <t>Föryngringsavverkning</t>
        </is>
      </c>
      <c r="D10831" s="1" t="n">
        <v>46273</v>
      </c>
      <c r="E10831" s="1" t="n">
        <v>46326</v>
      </c>
      <c r="F10831" t="inlineStr">
        <is>
          <t>GÄVLEBORGS LÄN</t>
        </is>
      </c>
      <c r="G10831" t="inlineStr">
        <is>
          <t>NORDANSTIG</t>
        </is>
      </c>
      <c r="I10831" t="n">
        <v>1.4</v>
      </c>
      <c r="J10831" t="n">
        <v>0</v>
      </c>
      <c r="K10831" t="n">
        <v>0</v>
      </c>
      <c r="L10831" t="n">
        <v>0</v>
      </c>
      <c r="M10831" t="n">
        <v>0</v>
      </c>
      <c r="N10831" t="n">
        <v>0</v>
      </c>
      <c r="O10831" t="n">
        <v>0</v>
      </c>
      <c r="P10831" t="n">
        <v>0</v>
      </c>
      <c r="Q10831" t="n">
        <v>0</v>
      </c>
      <c r="R10831" t="n">
        <v>0</v>
      </c>
      <c r="S10831" t="n">
        <v>0</v>
      </c>
      <c r="T10831" t="n">
        <v>0</v>
      </c>
      <c r="U10831" t="n">
        <v>0</v>
      </c>
      <c r="V10831" s="2" t="inlineStr"/>
    </row>
    <row r="10832" ht="15" customHeight="1">
      <c r="A10832" t="inlineStr">
        <is>
          <t>A 43721-2026</t>
        </is>
      </c>
      <c r="B10832" t="inlineStr">
        <is>
          <t>avverkningsanmälan</t>
        </is>
      </c>
      <c r="C10832" t="inlineStr">
        <is>
          <t>Föryngringsavverkning</t>
        </is>
      </c>
      <c r="D10832" s="1" t="n">
        <v>46316</v>
      </c>
      <c r="E10832" s="1" t="n">
        <v>46326</v>
      </c>
      <c r="F10832" t="inlineStr">
        <is>
          <t>GÄVLEBORGS LÄN</t>
        </is>
      </c>
      <c r="G10832" t="inlineStr">
        <is>
          <t>BOLLNÄS</t>
        </is>
      </c>
      <c r="H10832" t="inlineStr">
        <is>
          <t>Bergvik skog öst AB</t>
        </is>
      </c>
      <c r="I10832" t="n">
        <v>0.9</v>
      </c>
      <c r="J10832" t="n">
        <v>0</v>
      </c>
      <c r="K10832" t="n">
        <v>0</v>
      </c>
      <c r="L10832" t="n">
        <v>0</v>
      </c>
      <c r="M10832" t="n">
        <v>0</v>
      </c>
      <c r="N10832" t="n">
        <v>0</v>
      </c>
      <c r="O10832" t="n">
        <v>0</v>
      </c>
      <c r="P10832" t="n">
        <v>0</v>
      </c>
      <c r="Q10832" t="n">
        <v>0</v>
      </c>
      <c r="R10832" t="n">
        <v>0</v>
      </c>
      <c r="S10832" t="n">
        <v>0</v>
      </c>
      <c r="T10832" t="n">
        <v>0</v>
      </c>
      <c r="U10832" t="n">
        <v>0</v>
      </c>
      <c r="V10832" s="2" t="inlineStr"/>
    </row>
    <row r="10833" ht="15" customHeight="1">
      <c r="A10833" t="inlineStr">
        <is>
          <t>A 37093-2026</t>
        </is>
      </c>
      <c r="B10833" t="inlineStr">
        <is>
          <t>avverkningsanmälan</t>
        </is>
      </c>
      <c r="C10833" t="inlineStr">
        <is>
          <t>Föryngringsavverkning</t>
        </is>
      </c>
      <c r="D10833" s="1" t="n">
        <v>46273</v>
      </c>
      <c r="E10833" s="1" t="n">
        <v>46326</v>
      </c>
      <c r="F10833" t="inlineStr">
        <is>
          <t>GÄVLEBORGS LÄN</t>
        </is>
      </c>
      <c r="G10833" t="inlineStr">
        <is>
          <t>BOLLNÄS</t>
        </is>
      </c>
      <c r="H10833" t="inlineStr">
        <is>
          <t>Bergvik skog väst AB</t>
        </is>
      </c>
      <c r="I10833" t="n">
        <v>5.2</v>
      </c>
      <c r="J10833" t="n">
        <v>0</v>
      </c>
      <c r="K10833" t="n">
        <v>0</v>
      </c>
      <c r="L10833" t="n">
        <v>0</v>
      </c>
      <c r="M10833" t="n">
        <v>0</v>
      </c>
      <c r="N10833" t="n">
        <v>0</v>
      </c>
      <c r="O10833" t="n">
        <v>0</v>
      </c>
      <c r="P10833" t="n">
        <v>0</v>
      </c>
      <c r="Q10833" t="n">
        <v>0</v>
      </c>
      <c r="R10833" t="n">
        <v>0</v>
      </c>
      <c r="S10833" t="n">
        <v>0</v>
      </c>
      <c r="T10833" t="n">
        <v>0</v>
      </c>
      <c r="U10833" t="n">
        <v>0</v>
      </c>
      <c r="V10833" s="2" t="inlineStr"/>
    </row>
    <row r="10834" ht="15" customHeight="1">
      <c r="A10834" t="inlineStr">
        <is>
          <t>A 43737-2026</t>
        </is>
      </c>
      <c r="B10834" t="inlineStr">
        <is>
          <t>avverkningsanmälan</t>
        </is>
      </c>
      <c r="C10834" t="inlineStr">
        <is>
          <t>Föryngringsavverkning</t>
        </is>
      </c>
      <c r="D10834" s="1" t="n">
        <v>46316</v>
      </c>
      <c r="E10834" s="1" t="n">
        <v>46326</v>
      </c>
      <c r="F10834" t="inlineStr">
        <is>
          <t>GÄVLEBORGS LÄN</t>
        </is>
      </c>
      <c r="G10834" t="inlineStr">
        <is>
          <t>LJUSDAL</t>
        </is>
      </c>
      <c r="H10834" t="inlineStr">
        <is>
          <t>Sveaskog</t>
        </is>
      </c>
      <c r="I10834" t="n">
        <v>3.4</v>
      </c>
      <c r="J10834" t="n">
        <v>0</v>
      </c>
      <c r="K10834" t="n">
        <v>0</v>
      </c>
      <c r="L10834" t="n">
        <v>0</v>
      </c>
      <c r="M10834" t="n">
        <v>0</v>
      </c>
      <c r="N10834" t="n">
        <v>0</v>
      </c>
      <c r="O10834" t="n">
        <v>0</v>
      </c>
      <c r="P10834" t="n">
        <v>0</v>
      </c>
      <c r="Q10834" t="n">
        <v>0</v>
      </c>
      <c r="R10834" t="n">
        <v>0</v>
      </c>
      <c r="S10834" t="n">
        <v>0</v>
      </c>
      <c r="T10834" t="n">
        <v>0</v>
      </c>
      <c r="U10834" t="n">
        <v>0</v>
      </c>
      <c r="V10834" s="2" t="inlineStr"/>
    </row>
    <row r="10835" ht="15" customHeight="1">
      <c r="A10835" t="inlineStr">
        <is>
          <t>A 37073-2026</t>
        </is>
      </c>
      <c r="B10835" t="inlineStr">
        <is>
          <t>avverkningsanmälan</t>
        </is>
      </c>
      <c r="C10835" t="inlineStr">
        <is>
          <t>Föryngringsavverkning</t>
        </is>
      </c>
      <c r="D10835" s="1" t="n">
        <v>46273</v>
      </c>
      <c r="E10835" s="1" t="n">
        <v>46326</v>
      </c>
      <c r="F10835" t="inlineStr">
        <is>
          <t>GÄVLEBORGS LÄN</t>
        </is>
      </c>
      <c r="G10835" t="inlineStr">
        <is>
          <t>LJUSDAL</t>
        </is>
      </c>
      <c r="H10835" t="inlineStr">
        <is>
          <t>Sveaskog</t>
        </is>
      </c>
      <c r="I10835" t="n">
        <v>0.7</v>
      </c>
      <c r="J10835" t="n">
        <v>0</v>
      </c>
      <c r="K10835" t="n">
        <v>0</v>
      </c>
      <c r="L10835" t="n">
        <v>0</v>
      </c>
      <c r="M10835" t="n">
        <v>0</v>
      </c>
      <c r="N10835" t="n">
        <v>0</v>
      </c>
      <c r="O10835" t="n">
        <v>0</v>
      </c>
      <c r="P10835" t="n">
        <v>0</v>
      </c>
      <c r="Q10835" t="n">
        <v>0</v>
      </c>
      <c r="R10835" t="n">
        <v>0</v>
      </c>
      <c r="S10835" t="n">
        <v>0</v>
      </c>
      <c r="T10835" t="n">
        <v>0</v>
      </c>
      <c r="U10835" t="n">
        <v>0</v>
      </c>
      <c r="V10835" s="2" t="inlineStr"/>
    </row>
    <row r="10836" ht="15" customHeight="1">
      <c r="A10836" t="inlineStr">
        <is>
          <t>A 37182-2026</t>
        </is>
      </c>
      <c r="B10836" t="inlineStr">
        <is>
          <t>avverkningsanmälan</t>
        </is>
      </c>
      <c r="C10836" t="inlineStr">
        <is>
          <t>Föryngringsavverkning</t>
        </is>
      </c>
      <c r="D10836" s="1" t="n">
        <v>46274</v>
      </c>
      <c r="E10836" s="1" t="n">
        <v>46326</v>
      </c>
      <c r="F10836" t="inlineStr">
        <is>
          <t>GÄVLEBORGS LÄN</t>
        </is>
      </c>
      <c r="G10836" t="inlineStr">
        <is>
          <t>HOFORS</t>
        </is>
      </c>
      <c r="I10836" t="n">
        <v>4</v>
      </c>
      <c r="J10836" t="n">
        <v>0</v>
      </c>
      <c r="K10836" t="n">
        <v>0</v>
      </c>
      <c r="L10836" t="n">
        <v>0</v>
      </c>
      <c r="M10836" t="n">
        <v>0</v>
      </c>
      <c r="N10836" t="n">
        <v>0</v>
      </c>
      <c r="O10836" t="n">
        <v>0</v>
      </c>
      <c r="P10836" t="n">
        <v>0</v>
      </c>
      <c r="Q10836" t="n">
        <v>0</v>
      </c>
      <c r="R10836" t="n">
        <v>0</v>
      </c>
      <c r="S10836" t="n">
        <v>0</v>
      </c>
      <c r="T10836" t="n">
        <v>0</v>
      </c>
      <c r="U10836" t="n">
        <v>0</v>
      </c>
      <c r="V10836" s="2" t="inlineStr"/>
    </row>
    <row r="10837" ht="15" customHeight="1">
      <c r="A10837" t="inlineStr">
        <is>
          <t>A 43913-2026</t>
        </is>
      </c>
      <c r="B10837" t="inlineStr">
        <is>
          <t>avverkningsanmälan</t>
        </is>
      </c>
      <c r="C10837" t="inlineStr">
        <is>
          <t>Föryngringsavverkning</t>
        </is>
      </c>
      <c r="D10837" s="1" t="n">
        <v>46317</v>
      </c>
      <c r="E10837" s="1" t="n">
        <v>46326</v>
      </c>
      <c r="F10837" t="inlineStr">
        <is>
          <t>GÄVLEBORGS LÄN</t>
        </is>
      </c>
      <c r="G10837" t="inlineStr">
        <is>
          <t>SÖDERHAMN</t>
        </is>
      </c>
      <c r="H10837" t="inlineStr">
        <is>
          <t>Bergvik skog väst AB</t>
        </is>
      </c>
      <c r="I10837" t="n">
        <v>1.6</v>
      </c>
      <c r="J10837" t="n">
        <v>0</v>
      </c>
      <c r="K10837" t="n">
        <v>0</v>
      </c>
      <c r="L10837" t="n">
        <v>0</v>
      </c>
      <c r="M10837" t="n">
        <v>0</v>
      </c>
      <c r="N10837" t="n">
        <v>0</v>
      </c>
      <c r="O10837" t="n">
        <v>0</v>
      </c>
      <c r="P10837" t="n">
        <v>0</v>
      </c>
      <c r="Q10837" t="n">
        <v>0</v>
      </c>
      <c r="R10837" t="n">
        <v>0</v>
      </c>
      <c r="S10837" t="n">
        <v>0</v>
      </c>
      <c r="T10837" t="n">
        <v>0</v>
      </c>
      <c r="U10837" t="n">
        <v>0</v>
      </c>
      <c r="V10837" s="2" t="inlineStr"/>
    </row>
    <row r="10838" ht="15" customHeight="1">
      <c r="A10838" t="inlineStr">
        <is>
          <t>A 37134-2026</t>
        </is>
      </c>
      <c r="B10838" t="inlineStr">
        <is>
          <t>avverkningsanmälan</t>
        </is>
      </c>
      <c r="C10838" t="inlineStr">
        <is>
          <t>Föryngringsavverkning</t>
        </is>
      </c>
      <c r="D10838" s="1" t="n">
        <v>46274</v>
      </c>
      <c r="E10838" s="1" t="n">
        <v>46326</v>
      </c>
      <c r="F10838" t="inlineStr">
        <is>
          <t>GÄVLEBORGS LÄN</t>
        </is>
      </c>
      <c r="G10838" t="inlineStr">
        <is>
          <t>GÄVLE</t>
        </is>
      </c>
      <c r="H10838" t="inlineStr">
        <is>
          <t>Bergvik skog väst AB</t>
        </is>
      </c>
      <c r="I10838" t="n">
        <v>1.3</v>
      </c>
      <c r="J10838" t="n">
        <v>0</v>
      </c>
      <c r="K10838" t="n">
        <v>0</v>
      </c>
      <c r="L10838" t="n">
        <v>0</v>
      </c>
      <c r="M10838" t="n">
        <v>0</v>
      </c>
      <c r="N10838" t="n">
        <v>0</v>
      </c>
      <c r="O10838" t="n">
        <v>0</v>
      </c>
      <c r="P10838" t="n">
        <v>0</v>
      </c>
      <c r="Q10838" t="n">
        <v>0</v>
      </c>
      <c r="R10838" t="n">
        <v>0</v>
      </c>
      <c r="S10838" t="n">
        <v>0</v>
      </c>
      <c r="T10838" t="n">
        <v>0</v>
      </c>
      <c r="U10838" t="n">
        <v>0</v>
      </c>
      <c r="V10838" s="2" t="inlineStr"/>
    </row>
    <row r="10839" ht="15" customHeight="1">
      <c r="A10839" t="inlineStr">
        <is>
          <t>A 37135-2026</t>
        </is>
      </c>
      <c r="B10839" t="inlineStr">
        <is>
          <t>avverkningsanmälan</t>
        </is>
      </c>
      <c r="C10839" t="inlineStr">
        <is>
          <t>Föryngringsavverkning</t>
        </is>
      </c>
      <c r="D10839" s="1" t="n">
        <v>46274</v>
      </c>
      <c r="E10839" s="1" t="n">
        <v>46326</v>
      </c>
      <c r="F10839" t="inlineStr">
        <is>
          <t>GÄVLEBORGS LÄN</t>
        </is>
      </c>
      <c r="G10839" t="inlineStr">
        <is>
          <t>NORDANSTIG</t>
        </is>
      </c>
      <c r="I10839" t="n">
        <v>1</v>
      </c>
      <c r="J10839" t="n">
        <v>0</v>
      </c>
      <c r="K10839" t="n">
        <v>0</v>
      </c>
      <c r="L10839" t="n">
        <v>0</v>
      </c>
      <c r="M10839" t="n">
        <v>0</v>
      </c>
      <c r="N10839" t="n">
        <v>0</v>
      </c>
      <c r="O10839" t="n">
        <v>0</v>
      </c>
      <c r="P10839" t="n">
        <v>0</v>
      </c>
      <c r="Q10839" t="n">
        <v>0</v>
      </c>
      <c r="R10839" t="n">
        <v>0</v>
      </c>
      <c r="S10839" t="n">
        <v>0</v>
      </c>
      <c r="T10839" t="n">
        <v>0</v>
      </c>
      <c r="U10839" t="n">
        <v>0</v>
      </c>
      <c r="V10839" s="2" t="inlineStr"/>
    </row>
    <row r="10840" ht="15" customHeight="1">
      <c r="A10840" t="inlineStr">
        <is>
          <t>A 37148-2026</t>
        </is>
      </c>
      <c r="B10840" t="inlineStr">
        <is>
          <t>avverkningsanmälan</t>
        </is>
      </c>
      <c r="C10840" t="inlineStr">
        <is>
          <t>Föryngringsavverkning</t>
        </is>
      </c>
      <c r="D10840" s="1" t="n">
        <v>46274</v>
      </c>
      <c r="E10840" s="1" t="n">
        <v>46326</v>
      </c>
      <c r="F10840" t="inlineStr">
        <is>
          <t>GÄVLEBORGS LÄN</t>
        </is>
      </c>
      <c r="G10840" t="inlineStr">
        <is>
          <t>HOFORS</t>
        </is>
      </c>
      <c r="I10840" t="n">
        <v>0.4</v>
      </c>
      <c r="J10840" t="n">
        <v>0</v>
      </c>
      <c r="K10840" t="n">
        <v>0</v>
      </c>
      <c r="L10840" t="n">
        <v>0</v>
      </c>
      <c r="M10840" t="n">
        <v>0</v>
      </c>
      <c r="N10840" t="n">
        <v>0</v>
      </c>
      <c r="O10840" t="n">
        <v>0</v>
      </c>
      <c r="P10840" t="n">
        <v>0</v>
      </c>
      <c r="Q10840" t="n">
        <v>0</v>
      </c>
      <c r="R10840" t="n">
        <v>0</v>
      </c>
      <c r="S10840" t="n">
        <v>0</v>
      </c>
      <c r="T10840" t="n">
        <v>0</v>
      </c>
      <c r="U10840" t="n">
        <v>0</v>
      </c>
      <c r="V10840" s="2" t="inlineStr"/>
    </row>
    <row r="10841" ht="15" customHeight="1">
      <c r="A10841" t="inlineStr">
        <is>
          <t>A 37181-2026</t>
        </is>
      </c>
      <c r="B10841" t="inlineStr">
        <is>
          <t>avverkningsanmälan</t>
        </is>
      </c>
      <c r="C10841" t="inlineStr">
        <is>
          <t>Föryngringsavverkning</t>
        </is>
      </c>
      <c r="D10841" s="1" t="n">
        <v>46274</v>
      </c>
      <c r="E10841" s="1" t="n">
        <v>46326</v>
      </c>
      <c r="F10841" t="inlineStr">
        <is>
          <t>GÄVLEBORGS LÄN</t>
        </is>
      </c>
      <c r="G10841" t="inlineStr">
        <is>
          <t>LJUSDAL</t>
        </is>
      </c>
      <c r="H10841" t="inlineStr">
        <is>
          <t>Sveaskog</t>
        </is>
      </c>
      <c r="I10841" t="n">
        <v>1.9</v>
      </c>
      <c r="J10841" t="n">
        <v>0</v>
      </c>
      <c r="K10841" t="n">
        <v>0</v>
      </c>
      <c r="L10841" t="n">
        <v>0</v>
      </c>
      <c r="M10841" t="n">
        <v>0</v>
      </c>
      <c r="N10841" t="n">
        <v>0</v>
      </c>
      <c r="O10841" t="n">
        <v>0</v>
      </c>
      <c r="P10841" t="n">
        <v>0</v>
      </c>
      <c r="Q10841" t="n">
        <v>0</v>
      </c>
      <c r="R10841" t="n">
        <v>0</v>
      </c>
      <c r="S10841" t="n">
        <v>0</v>
      </c>
      <c r="T10841" t="n">
        <v>0</v>
      </c>
      <c r="U10841" t="n">
        <v>0</v>
      </c>
      <c r="V10841" s="2" t="inlineStr"/>
    </row>
    <row r="10842" ht="15" customHeight="1">
      <c r="A10842" t="inlineStr">
        <is>
          <t>A 37272-2026</t>
        </is>
      </c>
      <c r="B10842" t="inlineStr">
        <is>
          <t>avverkningsanmälan</t>
        </is>
      </c>
      <c r="C10842" t="inlineStr">
        <is>
          <t>Föryngringsavverkning</t>
        </is>
      </c>
      <c r="D10842" s="1" t="n">
        <v>46274</v>
      </c>
      <c r="E10842" s="1" t="n">
        <v>46326</v>
      </c>
      <c r="F10842" t="inlineStr">
        <is>
          <t>GÄVLEBORGS LÄN</t>
        </is>
      </c>
      <c r="G10842" t="inlineStr">
        <is>
          <t>BOLLNÄS</t>
        </is>
      </c>
      <c r="H10842" t="inlineStr">
        <is>
          <t>Bergvik skog väst AB</t>
        </is>
      </c>
      <c r="I10842" t="n">
        <v>1.1</v>
      </c>
      <c r="J10842" t="n">
        <v>0</v>
      </c>
      <c r="K10842" t="n">
        <v>0</v>
      </c>
      <c r="L10842" t="n">
        <v>0</v>
      </c>
      <c r="M10842" t="n">
        <v>0</v>
      </c>
      <c r="N10842" t="n">
        <v>0</v>
      </c>
      <c r="O10842" t="n">
        <v>0</v>
      </c>
      <c r="P10842" t="n">
        <v>0</v>
      </c>
      <c r="Q10842" t="n">
        <v>0</v>
      </c>
      <c r="R10842" t="n">
        <v>0</v>
      </c>
      <c r="S10842" t="n">
        <v>0</v>
      </c>
      <c r="T10842" t="n">
        <v>0</v>
      </c>
      <c r="U10842" t="n">
        <v>0</v>
      </c>
      <c r="V10842" s="2" t="inlineStr"/>
    </row>
    <row r="10843" ht="15" customHeight="1">
      <c r="A10843" t="inlineStr">
        <is>
          <t>A 37044-2026</t>
        </is>
      </c>
      <c r="B10843" t="inlineStr">
        <is>
          <t>avverkningsanmälan</t>
        </is>
      </c>
      <c r="C10843" t="inlineStr">
        <is>
          <t>Föryngringsavverkning</t>
        </is>
      </c>
      <c r="D10843" s="1" t="n">
        <v>46273</v>
      </c>
      <c r="E10843" s="1" t="n">
        <v>46326</v>
      </c>
      <c r="F10843" t="inlineStr">
        <is>
          <t>GÄVLEBORGS LÄN</t>
        </is>
      </c>
      <c r="G10843" t="inlineStr">
        <is>
          <t>BOLLNÄS</t>
        </is>
      </c>
      <c r="I10843" t="n">
        <v>0.6</v>
      </c>
      <c r="J10843" t="n">
        <v>0</v>
      </c>
      <c r="K10843" t="n">
        <v>0</v>
      </c>
      <c r="L10843" t="n">
        <v>0</v>
      </c>
      <c r="M10843" t="n">
        <v>0</v>
      </c>
      <c r="N10843" t="n">
        <v>0</v>
      </c>
      <c r="O10843" t="n">
        <v>0</v>
      </c>
      <c r="P10843" t="n">
        <v>0</v>
      </c>
      <c r="Q10843" t="n">
        <v>0</v>
      </c>
      <c r="R10843" t="n">
        <v>0</v>
      </c>
      <c r="S10843" t="n">
        <v>0</v>
      </c>
      <c r="T10843" t="n">
        <v>0</v>
      </c>
      <c r="U10843" t="n">
        <v>0</v>
      </c>
      <c r="V10843" s="2" t="inlineStr"/>
    </row>
    <row r="10844" ht="15" customHeight="1">
      <c r="A10844" t="inlineStr">
        <is>
          <t>A 31643-2026</t>
        </is>
      </c>
      <c r="B10844" t="inlineStr">
        <is>
          <t>avverkningsanmälan</t>
        </is>
      </c>
      <c r="C10844" t="inlineStr">
        <is>
          <t>Föryngringsavverkning</t>
        </is>
      </c>
      <c r="D10844" s="1" t="n">
        <v>46225</v>
      </c>
      <c r="E10844" s="1" t="n">
        <v>46326</v>
      </c>
      <c r="F10844" t="inlineStr">
        <is>
          <t>GÄVLEBORGS LÄN</t>
        </is>
      </c>
      <c r="G10844" t="inlineStr">
        <is>
          <t>BOLLNÄS</t>
        </is>
      </c>
      <c r="H10844" t="inlineStr">
        <is>
          <t>Bergvik skog väst AB</t>
        </is>
      </c>
      <c r="I10844" t="n">
        <v>3</v>
      </c>
      <c r="J10844" t="n">
        <v>0</v>
      </c>
      <c r="K10844" t="n">
        <v>0</v>
      </c>
      <c r="L10844" t="n">
        <v>0</v>
      </c>
      <c r="M10844" t="n">
        <v>0</v>
      </c>
      <c r="N10844" t="n">
        <v>0</v>
      </c>
      <c r="O10844" t="n">
        <v>0</v>
      </c>
      <c r="P10844" t="n">
        <v>0</v>
      </c>
      <c r="Q10844" t="n">
        <v>0</v>
      </c>
      <c r="R10844" t="n">
        <v>0</v>
      </c>
      <c r="S10844" t="n">
        <v>0</v>
      </c>
      <c r="T10844" t="n">
        <v>0</v>
      </c>
      <c r="U10844" t="n">
        <v>0</v>
      </c>
      <c r="V10844" s="2" t="inlineStr"/>
    </row>
    <row r="10845" ht="15" customHeight="1">
      <c r="A10845" t="inlineStr">
        <is>
          <t>A 36962-2026</t>
        </is>
      </c>
      <c r="B10845" t="inlineStr">
        <is>
          <t>avverkningsanmälan</t>
        </is>
      </c>
      <c r="C10845" t="inlineStr">
        <is>
          <t>Föryngringsavverkning</t>
        </is>
      </c>
      <c r="D10845" s="1" t="n">
        <v>46273</v>
      </c>
      <c r="E10845" s="1" t="n">
        <v>46326</v>
      </c>
      <c r="F10845" t="inlineStr">
        <is>
          <t>GÄVLEBORGS LÄN</t>
        </is>
      </c>
      <c r="G10845" t="inlineStr">
        <is>
          <t>GÄVLE</t>
        </is>
      </c>
      <c r="H10845" t="inlineStr">
        <is>
          <t>Bergvik skog öst AB</t>
        </is>
      </c>
      <c r="I10845" t="n">
        <v>1.4</v>
      </c>
      <c r="J10845" t="n">
        <v>0</v>
      </c>
      <c r="K10845" t="n">
        <v>0</v>
      </c>
      <c r="L10845" t="n">
        <v>0</v>
      </c>
      <c r="M10845" t="n">
        <v>0</v>
      </c>
      <c r="N10845" t="n">
        <v>0</v>
      </c>
      <c r="O10845" t="n">
        <v>0</v>
      </c>
      <c r="P10845" t="n">
        <v>0</v>
      </c>
      <c r="Q10845" t="n">
        <v>0</v>
      </c>
      <c r="R10845" t="n">
        <v>0</v>
      </c>
      <c r="S10845" t="n">
        <v>0</v>
      </c>
      <c r="T10845" t="n">
        <v>0</v>
      </c>
      <c r="U10845" t="n">
        <v>0</v>
      </c>
      <c r="V10845" s="2" t="inlineStr"/>
    </row>
    <row r="10846" ht="15" customHeight="1">
      <c r="A10846" t="inlineStr">
        <is>
          <t>A 37150-2026</t>
        </is>
      </c>
      <c r="B10846" t="inlineStr">
        <is>
          <t>avverkningsanmälan</t>
        </is>
      </c>
      <c r="C10846" t="inlineStr">
        <is>
          <t>Föryngringsavverkning</t>
        </is>
      </c>
      <c r="D10846" s="1" t="n">
        <v>46274</v>
      </c>
      <c r="E10846" s="1" t="n">
        <v>46326</v>
      </c>
      <c r="F10846" t="inlineStr">
        <is>
          <t>GÄVLEBORGS LÄN</t>
        </is>
      </c>
      <c r="G10846" t="inlineStr">
        <is>
          <t>GÄVLE</t>
        </is>
      </c>
      <c r="H10846" t="inlineStr">
        <is>
          <t>Bergvik skog öst AB</t>
        </is>
      </c>
      <c r="I10846" t="n">
        <v>2.1</v>
      </c>
      <c r="J10846" t="n">
        <v>0</v>
      </c>
      <c r="K10846" t="n">
        <v>0</v>
      </c>
      <c r="L10846" t="n">
        <v>0</v>
      </c>
      <c r="M10846" t="n">
        <v>0</v>
      </c>
      <c r="N10846" t="n">
        <v>0</v>
      </c>
      <c r="O10846" t="n">
        <v>0</v>
      </c>
      <c r="P10846" t="n">
        <v>0</v>
      </c>
      <c r="Q10846" t="n">
        <v>0</v>
      </c>
      <c r="R10846" t="n">
        <v>0</v>
      </c>
      <c r="S10846" t="n">
        <v>0</v>
      </c>
      <c r="T10846" t="n">
        <v>0</v>
      </c>
      <c r="U10846" t="n">
        <v>0</v>
      </c>
      <c r="V10846" s="2" t="inlineStr"/>
    </row>
    <row r="10847" ht="15" customHeight="1">
      <c r="A10847" t="inlineStr">
        <is>
          <t>A 43966-2026</t>
        </is>
      </c>
      <c r="B10847" t="inlineStr">
        <is>
          <t>avverkningsanmälan</t>
        </is>
      </c>
      <c r="C10847" t="inlineStr">
        <is>
          <t>Föryngringsavverkning</t>
        </is>
      </c>
      <c r="D10847" s="1" t="n">
        <v>46314</v>
      </c>
      <c r="E10847" s="1" t="n">
        <v>46326</v>
      </c>
      <c r="F10847" t="inlineStr">
        <is>
          <t>GÄVLEBORGS LÄN</t>
        </is>
      </c>
      <c r="G10847" t="inlineStr">
        <is>
          <t>OVANÅKER</t>
        </is>
      </c>
      <c r="I10847" t="n">
        <v>1</v>
      </c>
      <c r="J10847" t="n">
        <v>0</v>
      </c>
      <c r="K10847" t="n">
        <v>0</v>
      </c>
      <c r="L10847" t="n">
        <v>0</v>
      </c>
      <c r="M10847" t="n">
        <v>0</v>
      </c>
      <c r="N10847" t="n">
        <v>0</v>
      </c>
      <c r="O10847" t="n">
        <v>0</v>
      </c>
      <c r="P10847" t="n">
        <v>0</v>
      </c>
      <c r="Q10847" t="n">
        <v>0</v>
      </c>
      <c r="R10847" t="n">
        <v>0</v>
      </c>
      <c r="S10847" t="n">
        <v>0</v>
      </c>
      <c r="T10847" t="n">
        <v>0</v>
      </c>
      <c r="U10847" t="n">
        <v>0</v>
      </c>
      <c r="V10847" s="2" t="inlineStr"/>
    </row>
    <row r="10848" ht="15" customHeight="1">
      <c r="A10848" t="inlineStr">
        <is>
          <t>A 44020-2026</t>
        </is>
      </c>
      <c r="B10848" t="inlineStr">
        <is>
          <t>avverkningsanmälan</t>
        </is>
      </c>
      <c r="C10848" t="inlineStr">
        <is>
          <t>Föryngringsavverkning</t>
        </is>
      </c>
      <c r="D10848" s="1" t="n">
        <v>46317</v>
      </c>
      <c r="E10848" s="1" t="n">
        <v>46326</v>
      </c>
      <c r="F10848" t="inlineStr">
        <is>
          <t>GÄVLEBORGS LÄN</t>
        </is>
      </c>
      <c r="G10848" t="inlineStr">
        <is>
          <t>BOLLNÄS</t>
        </is>
      </c>
      <c r="I10848" t="n">
        <v>5</v>
      </c>
      <c r="J10848" t="n">
        <v>0</v>
      </c>
      <c r="K10848" t="n">
        <v>0</v>
      </c>
      <c r="L10848" t="n">
        <v>0</v>
      </c>
      <c r="M10848" t="n">
        <v>0</v>
      </c>
      <c r="N10848" t="n">
        <v>0</v>
      </c>
      <c r="O10848" t="n">
        <v>0</v>
      </c>
      <c r="P10848" t="n">
        <v>0</v>
      </c>
      <c r="Q10848" t="n">
        <v>0</v>
      </c>
      <c r="R10848" t="n">
        <v>0</v>
      </c>
      <c r="S10848" t="n">
        <v>0</v>
      </c>
      <c r="T10848" t="n">
        <v>0</v>
      </c>
      <c r="U10848" t="n">
        <v>0</v>
      </c>
      <c r="V10848" s="2" t="inlineStr"/>
    </row>
    <row r="10849" ht="15" customHeight="1">
      <c r="A10849" t="inlineStr">
        <is>
          <t>A 31571-2026</t>
        </is>
      </c>
      <c r="B10849" t="inlineStr">
        <is>
          <t>avverkningsanmälan</t>
        </is>
      </c>
      <c r="C10849" t="inlineStr">
        <is>
          <t>Föryngringsavverkning</t>
        </is>
      </c>
      <c r="D10849" s="1" t="n">
        <v>46224</v>
      </c>
      <c r="E10849" s="1" t="n">
        <v>46326</v>
      </c>
      <c r="F10849" t="inlineStr">
        <is>
          <t>GÄVLEBORGS LÄN</t>
        </is>
      </c>
      <c r="G10849" t="inlineStr">
        <is>
          <t>OCKELBO</t>
        </is>
      </c>
      <c r="H10849" t="inlineStr">
        <is>
          <t>Bergvik skog väst AB</t>
        </is>
      </c>
      <c r="I10849" t="n">
        <v>2.5</v>
      </c>
      <c r="J10849" t="n">
        <v>0</v>
      </c>
      <c r="K10849" t="n">
        <v>0</v>
      </c>
      <c r="L10849" t="n">
        <v>0</v>
      </c>
      <c r="M10849" t="n">
        <v>0</v>
      </c>
      <c r="N10849" t="n">
        <v>0</v>
      </c>
      <c r="O10849" t="n">
        <v>0</v>
      </c>
      <c r="P10849" t="n">
        <v>0</v>
      </c>
      <c r="Q10849" t="n">
        <v>0</v>
      </c>
      <c r="R10849" t="n">
        <v>0</v>
      </c>
      <c r="S10849" t="n">
        <v>0</v>
      </c>
      <c r="T10849" t="n">
        <v>0</v>
      </c>
      <c r="U10849" t="n">
        <v>0</v>
      </c>
      <c r="V10849" s="2" t="inlineStr"/>
    </row>
    <row r="10850" ht="15" customHeight="1">
      <c r="A10850" t="inlineStr">
        <is>
          <t>A 31689-2026</t>
        </is>
      </c>
      <c r="B10850" t="inlineStr">
        <is>
          <t>avverkningsanmälan</t>
        </is>
      </c>
      <c r="C10850" t="inlineStr">
        <is>
          <t>Föryngringsavverkning</t>
        </is>
      </c>
      <c r="D10850" s="1" t="n">
        <v>46226</v>
      </c>
      <c r="E10850" s="1" t="n">
        <v>46326</v>
      </c>
      <c r="F10850" t="inlineStr">
        <is>
          <t>GÄVLEBORGS LÄN</t>
        </is>
      </c>
      <c r="G10850" t="inlineStr">
        <is>
          <t>LJUSDAL</t>
        </is>
      </c>
      <c r="H10850" t="inlineStr">
        <is>
          <t>Bergvik skog väst AB</t>
        </is>
      </c>
      <c r="I10850" t="n">
        <v>0.9</v>
      </c>
      <c r="J10850" t="n">
        <v>0</v>
      </c>
      <c r="K10850" t="n">
        <v>0</v>
      </c>
      <c r="L10850" t="n">
        <v>0</v>
      </c>
      <c r="M10850" t="n">
        <v>0</v>
      </c>
      <c r="N10850" t="n">
        <v>0</v>
      </c>
      <c r="O10850" t="n">
        <v>0</v>
      </c>
      <c r="P10850" t="n">
        <v>0</v>
      </c>
      <c r="Q10850" t="n">
        <v>0</v>
      </c>
      <c r="R10850" t="n">
        <v>0</v>
      </c>
      <c r="S10850" t="n">
        <v>0</v>
      </c>
      <c r="T10850" t="n">
        <v>0</v>
      </c>
      <c r="U10850" t="n">
        <v>0</v>
      </c>
      <c r="V10850" s="2" t="inlineStr"/>
    </row>
    <row r="10851" ht="15" customHeight="1">
      <c r="A10851" t="inlineStr">
        <is>
          <t>A 37070-2026</t>
        </is>
      </c>
      <c r="B10851" t="inlineStr">
        <is>
          <t>avverkningsanmälan</t>
        </is>
      </c>
      <c r="C10851" t="inlineStr">
        <is>
          <t>Föryngringsavverkning</t>
        </is>
      </c>
      <c r="D10851" s="1" t="n">
        <v>46273</v>
      </c>
      <c r="E10851" s="1" t="n">
        <v>46326</v>
      </c>
      <c r="F10851" t="inlineStr">
        <is>
          <t>GÄVLEBORGS LÄN</t>
        </is>
      </c>
      <c r="G10851" t="inlineStr">
        <is>
          <t>LJUSDAL</t>
        </is>
      </c>
      <c r="H10851" t="inlineStr">
        <is>
          <t>Sveaskog</t>
        </is>
      </c>
      <c r="I10851" t="n">
        <v>6.3</v>
      </c>
      <c r="J10851" t="n">
        <v>0</v>
      </c>
      <c r="K10851" t="n">
        <v>0</v>
      </c>
      <c r="L10851" t="n">
        <v>0</v>
      </c>
      <c r="M10851" t="n">
        <v>0</v>
      </c>
      <c r="N10851" t="n">
        <v>0</v>
      </c>
      <c r="O10851" t="n">
        <v>0</v>
      </c>
      <c r="P10851" t="n">
        <v>0</v>
      </c>
      <c r="Q10851" t="n">
        <v>0</v>
      </c>
      <c r="R10851" t="n">
        <v>0</v>
      </c>
      <c r="S10851" t="n">
        <v>0</v>
      </c>
      <c r="T10851" t="n">
        <v>0</v>
      </c>
      <c r="U10851" t="n">
        <v>0</v>
      </c>
      <c r="V10851" s="2" t="inlineStr"/>
    </row>
    <row r="10852" ht="15" customHeight="1">
      <c r="A10852" t="inlineStr">
        <is>
          <t>A 31971-2026</t>
        </is>
      </c>
      <c r="B10852" t="inlineStr">
        <is>
          <t>avverkningsanmälan</t>
        </is>
      </c>
      <c r="C10852" t="inlineStr">
        <is>
          <t>Föryngringsavverkning</t>
        </is>
      </c>
      <c r="D10852" s="1" t="n">
        <v>46232</v>
      </c>
      <c r="E10852" s="1" t="n">
        <v>46326</v>
      </c>
      <c r="F10852" t="inlineStr">
        <is>
          <t>GÄVLEBORGS LÄN</t>
        </is>
      </c>
      <c r="G10852" t="inlineStr">
        <is>
          <t>OCKELBO</t>
        </is>
      </c>
      <c r="H10852" t="inlineStr">
        <is>
          <t>Bergvik skog väst AB</t>
        </is>
      </c>
      <c r="I10852" t="n">
        <v>1.2</v>
      </c>
      <c r="J10852" t="n">
        <v>0</v>
      </c>
      <c r="K10852" t="n">
        <v>0</v>
      </c>
      <c r="L10852" t="n">
        <v>0</v>
      </c>
      <c r="M10852" t="n">
        <v>0</v>
      </c>
      <c r="N10852" t="n">
        <v>0</v>
      </c>
      <c r="O10852" t="n">
        <v>0</v>
      </c>
      <c r="P10852" t="n">
        <v>0</v>
      </c>
      <c r="Q10852" t="n">
        <v>0</v>
      </c>
      <c r="R10852" t="n">
        <v>0</v>
      </c>
      <c r="S10852" t="n">
        <v>0</v>
      </c>
      <c r="T10852" t="n">
        <v>0</v>
      </c>
      <c r="U10852" t="n">
        <v>0</v>
      </c>
      <c r="V10852" s="2" t="inlineStr"/>
    </row>
    <row r="10853" ht="15" customHeight="1">
      <c r="A10853" t="inlineStr">
        <is>
          <t>A 36881-2026</t>
        </is>
      </c>
      <c r="B10853" t="inlineStr">
        <is>
          <t>avverkningsanmälan</t>
        </is>
      </c>
      <c r="C10853" t="inlineStr">
        <is>
          <t>Föryngringsavverkning</t>
        </is>
      </c>
      <c r="D10853" s="1" t="n">
        <v>46273</v>
      </c>
      <c r="E10853" s="1" t="n">
        <v>46326</v>
      </c>
      <c r="F10853" t="inlineStr">
        <is>
          <t>GÄVLEBORGS LÄN</t>
        </is>
      </c>
      <c r="G10853" t="inlineStr">
        <is>
          <t>BOLLNÄS</t>
        </is>
      </c>
      <c r="H10853" t="inlineStr">
        <is>
          <t>Bergvik skog väst AB</t>
        </is>
      </c>
      <c r="I10853" t="n">
        <v>3.3</v>
      </c>
      <c r="J10853" t="n">
        <v>0</v>
      </c>
      <c r="K10853" t="n">
        <v>0</v>
      </c>
      <c r="L10853" t="n">
        <v>0</v>
      </c>
      <c r="M10853" t="n">
        <v>0</v>
      </c>
      <c r="N10853" t="n">
        <v>0</v>
      </c>
      <c r="O10853" t="n">
        <v>0</v>
      </c>
      <c r="P10853" t="n">
        <v>0</v>
      </c>
      <c r="Q10853" t="n">
        <v>0</v>
      </c>
      <c r="R10853" t="n">
        <v>0</v>
      </c>
      <c r="S10853" t="n">
        <v>0</v>
      </c>
      <c r="T10853" t="n">
        <v>0</v>
      </c>
      <c r="U10853" t="n">
        <v>0</v>
      </c>
      <c r="V10853" s="2" t="inlineStr"/>
    </row>
    <row r="10854" ht="15" customHeight="1">
      <c r="A10854" t="inlineStr">
        <is>
          <t>A 36909-2026</t>
        </is>
      </c>
      <c r="B10854" t="inlineStr">
        <is>
          <t>avverkningsanmälan</t>
        </is>
      </c>
      <c r="C10854" t="inlineStr">
        <is>
          <t>Föryngringsavverkning</t>
        </is>
      </c>
      <c r="D10854" s="1" t="n">
        <v>46273</v>
      </c>
      <c r="E10854" s="1" t="n">
        <v>46326</v>
      </c>
      <c r="F10854" t="inlineStr">
        <is>
          <t>GÄVLEBORGS LÄN</t>
        </is>
      </c>
      <c r="G10854" t="inlineStr">
        <is>
          <t>GÄVLE</t>
        </is>
      </c>
      <c r="H10854" t="inlineStr">
        <is>
          <t>Bergvik skog öst AB</t>
        </is>
      </c>
      <c r="I10854" t="n">
        <v>5.2</v>
      </c>
      <c r="J10854" t="n">
        <v>0</v>
      </c>
      <c r="K10854" t="n">
        <v>0</v>
      </c>
      <c r="L10854" t="n">
        <v>0</v>
      </c>
      <c r="M10854" t="n">
        <v>0</v>
      </c>
      <c r="N10854" t="n">
        <v>0</v>
      </c>
      <c r="O10854" t="n">
        <v>0</v>
      </c>
      <c r="P10854" t="n">
        <v>0</v>
      </c>
      <c r="Q10854" t="n">
        <v>0</v>
      </c>
      <c r="R10854" t="n">
        <v>0</v>
      </c>
      <c r="S10854" t="n">
        <v>0</v>
      </c>
      <c r="T10854" t="n">
        <v>0</v>
      </c>
      <c r="U10854" t="n">
        <v>0</v>
      </c>
      <c r="V10854" s="2" t="inlineStr"/>
    </row>
    <row r="10855" ht="15" customHeight="1">
      <c r="A10855" t="inlineStr">
        <is>
          <t>A 43931-2026</t>
        </is>
      </c>
      <c r="B10855" t="inlineStr">
        <is>
          <t>avverkningsanmälan</t>
        </is>
      </c>
      <c r="C10855" t="inlineStr">
        <is>
          <t>Föryngringsavverkning</t>
        </is>
      </c>
      <c r="D10855" s="1" t="n">
        <v>46317</v>
      </c>
      <c r="E10855" s="1" t="n">
        <v>46326</v>
      </c>
      <c r="F10855" t="inlineStr">
        <is>
          <t>GÄVLEBORGS LÄN</t>
        </is>
      </c>
      <c r="G10855" t="inlineStr">
        <is>
          <t>NORDANSTIG</t>
        </is>
      </c>
      <c r="I10855" t="n">
        <v>1</v>
      </c>
      <c r="J10855" t="n">
        <v>0</v>
      </c>
      <c r="K10855" t="n">
        <v>0</v>
      </c>
      <c r="L10855" t="n">
        <v>0</v>
      </c>
      <c r="M10855" t="n">
        <v>0</v>
      </c>
      <c r="N10855" t="n">
        <v>0</v>
      </c>
      <c r="O10855" t="n">
        <v>0</v>
      </c>
      <c r="P10855" t="n">
        <v>0</v>
      </c>
      <c r="Q10855" t="n">
        <v>0</v>
      </c>
      <c r="R10855" t="n">
        <v>0</v>
      </c>
      <c r="S10855" t="n">
        <v>0</v>
      </c>
      <c r="T10855" t="n">
        <v>0</v>
      </c>
      <c r="U10855" t="n">
        <v>0</v>
      </c>
      <c r="V10855" s="2" t="inlineStr"/>
    </row>
    <row r="10856" ht="15" customHeight="1">
      <c r="A10856" t="inlineStr">
        <is>
          <t>A 43784-2026</t>
        </is>
      </c>
      <c r="B10856" t="inlineStr">
        <is>
          <t>avverkningsanmälan</t>
        </is>
      </c>
      <c r="C10856" t="inlineStr">
        <is>
          <t>Föryngringsavverkning</t>
        </is>
      </c>
      <c r="D10856" s="1" t="n">
        <v>46316</v>
      </c>
      <c r="E10856" s="1" t="n">
        <v>46326</v>
      </c>
      <c r="F10856" t="inlineStr">
        <is>
          <t>GÄVLEBORGS LÄN</t>
        </is>
      </c>
      <c r="G10856" t="inlineStr">
        <is>
          <t>OVANÅKER</t>
        </is>
      </c>
      <c r="H10856" t="inlineStr">
        <is>
          <t>Bergvik skog väst AB</t>
        </is>
      </c>
      <c r="I10856" t="n">
        <v>3.5</v>
      </c>
      <c r="J10856" t="n">
        <v>0</v>
      </c>
      <c r="K10856" t="n">
        <v>0</v>
      </c>
      <c r="L10856" t="n">
        <v>0</v>
      </c>
      <c r="M10856" t="n">
        <v>0</v>
      </c>
      <c r="N10856" t="n">
        <v>0</v>
      </c>
      <c r="O10856" t="n">
        <v>0</v>
      </c>
      <c r="P10856" t="n">
        <v>0</v>
      </c>
      <c r="Q10856" t="n">
        <v>0</v>
      </c>
      <c r="R10856" t="n">
        <v>0</v>
      </c>
      <c r="S10856" t="n">
        <v>0</v>
      </c>
      <c r="T10856" t="n">
        <v>0</v>
      </c>
      <c r="U10856" t="n">
        <v>0</v>
      </c>
      <c r="V10856" s="2" t="inlineStr"/>
    </row>
    <row r="10857" ht="15" customHeight="1">
      <c r="A10857" t="inlineStr">
        <is>
          <t>A 36894-2026</t>
        </is>
      </c>
      <c r="B10857" t="inlineStr">
        <is>
          <t>avverkningsanmälan</t>
        </is>
      </c>
      <c r="C10857" t="inlineStr">
        <is>
          <t>Föryngringsavverkning</t>
        </is>
      </c>
      <c r="D10857" s="1" t="n">
        <v>46273</v>
      </c>
      <c r="E10857" s="1" t="n">
        <v>46326</v>
      </c>
      <c r="F10857" t="inlineStr">
        <is>
          <t>GÄVLEBORGS LÄN</t>
        </is>
      </c>
      <c r="G10857" t="inlineStr">
        <is>
          <t>HUDIKSVALL</t>
        </is>
      </c>
      <c r="H10857" t="inlineStr">
        <is>
          <t>Holmen skog AB</t>
        </is>
      </c>
      <c r="I10857" t="n">
        <v>3.7</v>
      </c>
      <c r="J10857" t="n">
        <v>0</v>
      </c>
      <c r="K10857" t="n">
        <v>0</v>
      </c>
      <c r="L10857" t="n">
        <v>0</v>
      </c>
      <c r="M10857" t="n">
        <v>0</v>
      </c>
      <c r="N10857" t="n">
        <v>0</v>
      </c>
      <c r="O10857" t="n">
        <v>0</v>
      </c>
      <c r="P10857" t="n">
        <v>0</v>
      </c>
      <c r="Q10857" t="n">
        <v>0</v>
      </c>
      <c r="R10857" t="n">
        <v>0</v>
      </c>
      <c r="S10857" t="n">
        <v>0</v>
      </c>
      <c r="T10857" t="n">
        <v>0</v>
      </c>
      <c r="U10857" t="n">
        <v>0</v>
      </c>
      <c r="V10857" s="2" t="inlineStr"/>
    </row>
    <row r="10858" ht="15" customHeight="1">
      <c r="A10858" t="inlineStr">
        <is>
          <t>A 36730-2026</t>
        </is>
      </c>
      <c r="B10858" t="inlineStr">
        <is>
          <t>avverkningsanmälan</t>
        </is>
      </c>
      <c r="C10858" t="inlineStr">
        <is>
          <t>Föryngringsavverkning</t>
        </is>
      </c>
      <c r="D10858" s="1" t="n">
        <v>46272</v>
      </c>
      <c r="E10858" s="1" t="n">
        <v>46326</v>
      </c>
      <c r="F10858" t="inlineStr">
        <is>
          <t>GÄVLEBORGS LÄN</t>
        </is>
      </c>
      <c r="G10858" t="inlineStr">
        <is>
          <t>HUDIKSVALL</t>
        </is>
      </c>
      <c r="I10858" t="n">
        <v>4.2</v>
      </c>
      <c r="J10858" t="n">
        <v>0</v>
      </c>
      <c r="K10858" t="n">
        <v>0</v>
      </c>
      <c r="L10858" t="n">
        <v>0</v>
      </c>
      <c r="M10858" t="n">
        <v>0</v>
      </c>
      <c r="N10858" t="n">
        <v>0</v>
      </c>
      <c r="O10858" t="n">
        <v>0</v>
      </c>
      <c r="P10858" t="n">
        <v>0</v>
      </c>
      <c r="Q10858" t="n">
        <v>0</v>
      </c>
      <c r="R10858" t="n">
        <v>0</v>
      </c>
      <c r="S10858" t="n">
        <v>0</v>
      </c>
      <c r="T10858" t="n">
        <v>0</v>
      </c>
      <c r="U10858" t="n">
        <v>0</v>
      </c>
      <c r="V10858" s="2" t="inlineStr"/>
    </row>
    <row r="10859" ht="15" customHeight="1">
      <c r="A10859" t="inlineStr">
        <is>
          <t>A 37276-2026</t>
        </is>
      </c>
      <c r="B10859" t="inlineStr">
        <is>
          <t>avverkningsanmälan</t>
        </is>
      </c>
      <c r="C10859" t="inlineStr">
        <is>
          <t>Föryngringsavverkning</t>
        </is>
      </c>
      <c r="D10859" s="1" t="n">
        <v>46274</v>
      </c>
      <c r="E10859" s="1" t="n">
        <v>46326</v>
      </c>
      <c r="F10859" t="inlineStr">
        <is>
          <t>GÄVLEBORGS LÄN</t>
        </is>
      </c>
      <c r="G10859" t="inlineStr">
        <is>
          <t>BOLLNÄS</t>
        </is>
      </c>
      <c r="H10859" t="inlineStr">
        <is>
          <t>Bergvik skog väst AB</t>
        </is>
      </c>
      <c r="I10859" t="n">
        <v>2.8</v>
      </c>
      <c r="J10859" t="n">
        <v>0</v>
      </c>
      <c r="K10859" t="n">
        <v>0</v>
      </c>
      <c r="L10859" t="n">
        <v>0</v>
      </c>
      <c r="M10859" t="n">
        <v>0</v>
      </c>
      <c r="N10859" t="n">
        <v>0</v>
      </c>
      <c r="O10859" t="n">
        <v>0</v>
      </c>
      <c r="P10859" t="n">
        <v>0</v>
      </c>
      <c r="Q10859" t="n">
        <v>0</v>
      </c>
      <c r="R10859" t="n">
        <v>0</v>
      </c>
      <c r="S10859" t="n">
        <v>0</v>
      </c>
      <c r="T10859" t="n">
        <v>0</v>
      </c>
      <c r="U10859" t="n">
        <v>0</v>
      </c>
      <c r="V10859" s="2" t="inlineStr"/>
    </row>
    <row r="10860" ht="15" customHeight="1">
      <c r="A10860" t="inlineStr">
        <is>
          <t>A 36935-2026</t>
        </is>
      </c>
      <c r="B10860" t="inlineStr">
        <is>
          <t>avverkningsanmälan</t>
        </is>
      </c>
      <c r="C10860" t="inlineStr">
        <is>
          <t>Föryngringsavverkning</t>
        </is>
      </c>
      <c r="D10860" s="1" t="n">
        <v>46273</v>
      </c>
      <c r="E10860" s="1" t="n">
        <v>46326</v>
      </c>
      <c r="F10860" t="inlineStr">
        <is>
          <t>GÄVLEBORGS LÄN</t>
        </is>
      </c>
      <c r="G10860" t="inlineStr">
        <is>
          <t>GÄVLE</t>
        </is>
      </c>
      <c r="H10860" t="inlineStr">
        <is>
          <t>Bergvik skog öst AB</t>
        </is>
      </c>
      <c r="I10860" t="n">
        <v>6.1</v>
      </c>
      <c r="J10860" t="n">
        <v>0</v>
      </c>
      <c r="K10860" t="n">
        <v>0</v>
      </c>
      <c r="L10860" t="n">
        <v>0</v>
      </c>
      <c r="M10860" t="n">
        <v>0</v>
      </c>
      <c r="N10860" t="n">
        <v>0</v>
      </c>
      <c r="O10860" t="n">
        <v>0</v>
      </c>
      <c r="P10860" t="n">
        <v>0</v>
      </c>
      <c r="Q10860" t="n">
        <v>0</v>
      </c>
      <c r="R10860" t="n">
        <v>0</v>
      </c>
      <c r="S10860" t="n">
        <v>0</v>
      </c>
      <c r="T10860" t="n">
        <v>0</v>
      </c>
      <c r="U10860" t="n">
        <v>0</v>
      </c>
      <c r="V10860" s="2" t="inlineStr"/>
    </row>
    <row r="10861" ht="15" customHeight="1">
      <c r="A10861" t="inlineStr">
        <is>
          <t>A 36945-2026</t>
        </is>
      </c>
      <c r="B10861" t="inlineStr">
        <is>
          <t>avverkningsanmälan</t>
        </is>
      </c>
      <c r="C10861" t="inlineStr">
        <is>
          <t>Föryngringsavverkning</t>
        </is>
      </c>
      <c r="D10861" s="1" t="n">
        <v>46273</v>
      </c>
      <c r="E10861" s="1" t="n">
        <v>46326</v>
      </c>
      <c r="F10861" t="inlineStr">
        <is>
          <t>GÄVLEBORGS LÄN</t>
        </is>
      </c>
      <c r="G10861" t="inlineStr">
        <is>
          <t>GÄVLE</t>
        </is>
      </c>
      <c r="H10861" t="inlineStr">
        <is>
          <t>Bergvik skog öst AB</t>
        </is>
      </c>
      <c r="I10861" t="n">
        <v>2.1</v>
      </c>
      <c r="J10861" t="n">
        <v>0</v>
      </c>
      <c r="K10861" t="n">
        <v>0</v>
      </c>
      <c r="L10861" t="n">
        <v>0</v>
      </c>
      <c r="M10861" t="n">
        <v>0</v>
      </c>
      <c r="N10861" t="n">
        <v>0</v>
      </c>
      <c r="O10861" t="n">
        <v>0</v>
      </c>
      <c r="P10861" t="n">
        <v>0</v>
      </c>
      <c r="Q10861" t="n">
        <v>0</v>
      </c>
      <c r="R10861" t="n">
        <v>0</v>
      </c>
      <c r="S10861" t="n">
        <v>0</v>
      </c>
      <c r="T10861" t="n">
        <v>0</v>
      </c>
      <c r="U10861" t="n">
        <v>0</v>
      </c>
      <c r="V10861" s="2" t="inlineStr"/>
    </row>
    <row r="10862" ht="15" customHeight="1">
      <c r="A10862" t="inlineStr">
        <is>
          <t>A 36957-2026</t>
        </is>
      </c>
      <c r="B10862" t="inlineStr">
        <is>
          <t>avverkningsanmälan</t>
        </is>
      </c>
      <c r="C10862" t="inlineStr">
        <is>
          <t>Föryngringsavverkning</t>
        </is>
      </c>
      <c r="D10862" s="1" t="n">
        <v>46273</v>
      </c>
      <c r="E10862" s="1" t="n">
        <v>46326</v>
      </c>
      <c r="F10862" t="inlineStr">
        <is>
          <t>GÄVLEBORGS LÄN</t>
        </is>
      </c>
      <c r="G10862" t="inlineStr">
        <is>
          <t>GÄVLE</t>
        </is>
      </c>
      <c r="H10862" t="inlineStr">
        <is>
          <t>Bergvik skog öst AB</t>
        </is>
      </c>
      <c r="I10862" t="n">
        <v>1.5</v>
      </c>
      <c r="J10862" t="n">
        <v>0</v>
      </c>
      <c r="K10862" t="n">
        <v>0</v>
      </c>
      <c r="L10862" t="n">
        <v>0</v>
      </c>
      <c r="M10862" t="n">
        <v>0</v>
      </c>
      <c r="N10862" t="n">
        <v>0</v>
      </c>
      <c r="O10862" t="n">
        <v>0</v>
      </c>
      <c r="P10862" t="n">
        <v>0</v>
      </c>
      <c r="Q10862" t="n">
        <v>0</v>
      </c>
      <c r="R10862" t="n">
        <v>0</v>
      </c>
      <c r="S10862" t="n">
        <v>0</v>
      </c>
      <c r="T10862" t="n">
        <v>0</v>
      </c>
      <c r="U10862" t="n">
        <v>0</v>
      </c>
      <c r="V10862" s="2" t="inlineStr"/>
    </row>
    <row r="10863" ht="15" customHeight="1">
      <c r="A10863" t="inlineStr">
        <is>
          <t>A 36784-2026</t>
        </is>
      </c>
      <c r="B10863" t="inlineStr">
        <is>
          <t>avverkningsanmälan</t>
        </is>
      </c>
      <c r="C10863" t="inlineStr">
        <is>
          <t>Föryngringsavverkning</t>
        </is>
      </c>
      <c r="D10863" s="1" t="n">
        <v>46272</v>
      </c>
      <c r="E10863" s="1" t="n">
        <v>46326</v>
      </c>
      <c r="F10863" t="inlineStr">
        <is>
          <t>GÄVLEBORGS LÄN</t>
        </is>
      </c>
      <c r="G10863" t="inlineStr">
        <is>
          <t>GÄVLE</t>
        </is>
      </c>
      <c r="H10863" t="inlineStr">
        <is>
          <t>Bergvik skog väst AB</t>
        </is>
      </c>
      <c r="I10863" t="n">
        <v>2.3</v>
      </c>
      <c r="J10863" t="n">
        <v>0</v>
      </c>
      <c r="K10863" t="n">
        <v>0</v>
      </c>
      <c r="L10863" t="n">
        <v>0</v>
      </c>
      <c r="M10863" t="n">
        <v>0</v>
      </c>
      <c r="N10863" t="n">
        <v>0</v>
      </c>
      <c r="O10863" t="n">
        <v>0</v>
      </c>
      <c r="P10863" t="n">
        <v>0</v>
      </c>
      <c r="Q10863" t="n">
        <v>0</v>
      </c>
      <c r="R10863" t="n">
        <v>0</v>
      </c>
      <c r="S10863" t="n">
        <v>0</v>
      </c>
      <c r="T10863" t="n">
        <v>0</v>
      </c>
      <c r="U10863" t="n">
        <v>0</v>
      </c>
      <c r="V10863" s="2" t="inlineStr"/>
    </row>
    <row r="10864" ht="15" customHeight="1">
      <c r="A10864" t="inlineStr">
        <is>
          <t>A 37202-2026</t>
        </is>
      </c>
      <c r="B10864" t="inlineStr">
        <is>
          <t>avverkningsanmälan</t>
        </is>
      </c>
      <c r="C10864" t="inlineStr">
        <is>
          <t>Föryngringsavverkning</t>
        </is>
      </c>
      <c r="D10864" s="1" t="n">
        <v>46274</v>
      </c>
      <c r="E10864" s="1" t="n">
        <v>46326</v>
      </c>
      <c r="F10864" t="inlineStr">
        <is>
          <t>GÄVLEBORGS LÄN</t>
        </is>
      </c>
      <c r="G10864" t="inlineStr">
        <is>
          <t>OVANÅKER</t>
        </is>
      </c>
      <c r="I10864" t="n">
        <v>1.5</v>
      </c>
      <c r="J10864" t="n">
        <v>0</v>
      </c>
      <c r="K10864" t="n">
        <v>0</v>
      </c>
      <c r="L10864" t="n">
        <v>0</v>
      </c>
      <c r="M10864" t="n">
        <v>0</v>
      </c>
      <c r="N10864" t="n">
        <v>0</v>
      </c>
      <c r="O10864" t="n">
        <v>0</v>
      </c>
      <c r="P10864" t="n">
        <v>0</v>
      </c>
      <c r="Q10864" t="n">
        <v>0</v>
      </c>
      <c r="R10864" t="n">
        <v>0</v>
      </c>
      <c r="S10864" t="n">
        <v>0</v>
      </c>
      <c r="T10864" t="n">
        <v>0</v>
      </c>
      <c r="U10864" t="n">
        <v>0</v>
      </c>
      <c r="V10864" s="2" t="inlineStr"/>
    </row>
    <row r="10865" ht="15" customHeight="1">
      <c r="A10865" t="inlineStr">
        <is>
          <t>A 37223-2026</t>
        </is>
      </c>
      <c r="B10865" t="inlineStr">
        <is>
          <t>avverkningsanmälan</t>
        </is>
      </c>
      <c r="C10865" t="inlineStr">
        <is>
          <t>Föryngringsavverkning</t>
        </is>
      </c>
      <c r="D10865" s="1" t="n">
        <v>46274</v>
      </c>
      <c r="E10865" s="1" t="n">
        <v>46326</v>
      </c>
      <c r="F10865" t="inlineStr">
        <is>
          <t>GÄVLEBORGS LÄN</t>
        </is>
      </c>
      <c r="G10865" t="inlineStr">
        <is>
          <t>GÄVLE</t>
        </is>
      </c>
      <c r="H10865" t="inlineStr">
        <is>
          <t>Bergvik skog öst AB</t>
        </is>
      </c>
      <c r="I10865" t="n">
        <v>0.9</v>
      </c>
      <c r="J10865" t="n">
        <v>0</v>
      </c>
      <c r="K10865" t="n">
        <v>0</v>
      </c>
      <c r="L10865" t="n">
        <v>0</v>
      </c>
      <c r="M10865" t="n">
        <v>0</v>
      </c>
      <c r="N10865" t="n">
        <v>0</v>
      </c>
      <c r="O10865" t="n">
        <v>0</v>
      </c>
      <c r="P10865" t="n">
        <v>0</v>
      </c>
      <c r="Q10865" t="n">
        <v>0</v>
      </c>
      <c r="R10865" t="n">
        <v>0</v>
      </c>
      <c r="S10865" t="n">
        <v>0</v>
      </c>
      <c r="T10865" t="n">
        <v>0</v>
      </c>
      <c r="U10865" t="n">
        <v>0</v>
      </c>
      <c r="V10865" s="2" t="inlineStr"/>
    </row>
    <row r="10866" ht="15" customHeight="1">
      <c r="A10866" t="inlineStr">
        <is>
          <t>A 44039-2026</t>
        </is>
      </c>
      <c r="B10866" t="inlineStr">
        <is>
          <t>avverkningsanmälan</t>
        </is>
      </c>
      <c r="C10866" t="inlineStr">
        <is>
          <t>Föryngringsavverkning</t>
        </is>
      </c>
      <c r="D10866" s="1" t="n">
        <v>46317</v>
      </c>
      <c r="E10866" s="1" t="n">
        <v>46326</v>
      </c>
      <c r="F10866" t="inlineStr">
        <is>
          <t>GÄVLEBORGS LÄN</t>
        </is>
      </c>
      <c r="G10866" t="inlineStr">
        <is>
          <t>OCKELBO</t>
        </is>
      </c>
      <c r="I10866" t="n">
        <v>2.9</v>
      </c>
      <c r="J10866" t="n">
        <v>0</v>
      </c>
      <c r="K10866" t="n">
        <v>0</v>
      </c>
      <c r="L10866" t="n">
        <v>0</v>
      </c>
      <c r="M10866" t="n">
        <v>0</v>
      </c>
      <c r="N10866" t="n">
        <v>0</v>
      </c>
      <c r="O10866" t="n">
        <v>0</v>
      </c>
      <c r="P10866" t="n">
        <v>0</v>
      </c>
      <c r="Q10866" t="n">
        <v>0</v>
      </c>
      <c r="R10866" t="n">
        <v>0</v>
      </c>
      <c r="S10866" t="n">
        <v>0</v>
      </c>
      <c r="T10866" t="n">
        <v>0</v>
      </c>
      <c r="U10866" t="n">
        <v>0</v>
      </c>
      <c r="V10866" s="2" t="inlineStr"/>
    </row>
    <row r="10867" ht="15" customHeight="1">
      <c r="A10867" t="inlineStr">
        <is>
          <t>A 43780-2026</t>
        </is>
      </c>
      <c r="B10867" t="inlineStr">
        <is>
          <t>avverkningsanmälan</t>
        </is>
      </c>
      <c r="C10867" t="inlineStr">
        <is>
          <t>Föryngringsavverkning</t>
        </is>
      </c>
      <c r="D10867" s="1" t="n">
        <v>46316</v>
      </c>
      <c r="E10867" s="1" t="n">
        <v>46326</v>
      </c>
      <c r="F10867" t="inlineStr">
        <is>
          <t>GÄVLEBORGS LÄN</t>
        </is>
      </c>
      <c r="G10867" t="inlineStr">
        <is>
          <t>OVANÅKER</t>
        </is>
      </c>
      <c r="H10867" t="inlineStr">
        <is>
          <t>Bergvik skog väst AB</t>
        </is>
      </c>
      <c r="I10867" t="n">
        <v>5.4</v>
      </c>
      <c r="J10867" t="n">
        <v>0</v>
      </c>
      <c r="K10867" t="n">
        <v>0</v>
      </c>
      <c r="L10867" t="n">
        <v>0</v>
      </c>
      <c r="M10867" t="n">
        <v>0</v>
      </c>
      <c r="N10867" t="n">
        <v>0</v>
      </c>
      <c r="O10867" t="n">
        <v>0</v>
      </c>
      <c r="P10867" t="n">
        <v>0</v>
      </c>
      <c r="Q10867" t="n">
        <v>0</v>
      </c>
      <c r="R10867" t="n">
        <v>0</v>
      </c>
      <c r="S10867" t="n">
        <v>0</v>
      </c>
      <c r="T10867" t="n">
        <v>0</v>
      </c>
      <c r="U10867" t="n">
        <v>0</v>
      </c>
      <c r="V10867" s="2" t="inlineStr"/>
    </row>
    <row r="10868" ht="15" customHeight="1">
      <c r="A10868" t="inlineStr">
        <is>
          <t>A 43838-2026</t>
        </is>
      </c>
      <c r="B10868" t="inlineStr">
        <is>
          <t>avverkningsanmälan</t>
        </is>
      </c>
      <c r="C10868" t="inlineStr">
        <is>
          <t>Föryngringsavverkning</t>
        </is>
      </c>
      <c r="D10868" s="1" t="n">
        <v>46316</v>
      </c>
      <c r="E10868" s="1" t="n">
        <v>46326</v>
      </c>
      <c r="F10868" t="inlineStr">
        <is>
          <t>GÄVLEBORGS LÄN</t>
        </is>
      </c>
      <c r="G10868" t="inlineStr">
        <is>
          <t>GÄVLE</t>
        </is>
      </c>
      <c r="I10868" t="n">
        <v>3.3</v>
      </c>
      <c r="J10868" t="n">
        <v>0</v>
      </c>
      <c r="K10868" t="n">
        <v>0</v>
      </c>
      <c r="L10868" t="n">
        <v>0</v>
      </c>
      <c r="M10868" t="n">
        <v>0</v>
      </c>
      <c r="N10868" t="n">
        <v>0</v>
      </c>
      <c r="O10868" t="n">
        <v>0</v>
      </c>
      <c r="P10868" t="n">
        <v>0</v>
      </c>
      <c r="Q10868" t="n">
        <v>0</v>
      </c>
      <c r="R10868" t="n">
        <v>0</v>
      </c>
      <c r="S10868" t="n">
        <v>0</v>
      </c>
      <c r="T10868" t="n">
        <v>0</v>
      </c>
      <c r="U10868" t="n">
        <v>0</v>
      </c>
      <c r="V10868" s="2" t="inlineStr"/>
    </row>
    <row r="10869" ht="15" customHeight="1">
      <c r="A10869" t="inlineStr">
        <is>
          <t>A 44014-2026</t>
        </is>
      </c>
      <c r="B10869" t="inlineStr">
        <is>
          <t>avverkningsanmälan</t>
        </is>
      </c>
      <c r="C10869" t="inlineStr">
        <is>
          <t>Föryngringsavverkning</t>
        </is>
      </c>
      <c r="D10869" s="1" t="n">
        <v>46317</v>
      </c>
      <c r="E10869" s="1" t="n">
        <v>46326</v>
      </c>
      <c r="F10869" t="inlineStr">
        <is>
          <t>GÄVLEBORGS LÄN</t>
        </is>
      </c>
      <c r="G10869" t="inlineStr">
        <is>
          <t>HUDIKSVALL</t>
        </is>
      </c>
      <c r="I10869" t="n">
        <v>2</v>
      </c>
      <c r="J10869" t="n">
        <v>0</v>
      </c>
      <c r="K10869" t="n">
        <v>0</v>
      </c>
      <c r="L10869" t="n">
        <v>0</v>
      </c>
      <c r="M10869" t="n">
        <v>0</v>
      </c>
      <c r="N10869" t="n">
        <v>0</v>
      </c>
      <c r="O10869" t="n">
        <v>0</v>
      </c>
      <c r="P10869" t="n">
        <v>0</v>
      </c>
      <c r="Q10869" t="n">
        <v>0</v>
      </c>
      <c r="R10869" t="n">
        <v>0</v>
      </c>
      <c r="S10869" t="n">
        <v>0</v>
      </c>
      <c r="T10869" t="n">
        <v>0</v>
      </c>
      <c r="U10869" t="n">
        <v>0</v>
      </c>
      <c r="V10869" s="2" t="inlineStr"/>
    </row>
    <row r="10870" ht="15" customHeight="1">
      <c r="A10870" t="inlineStr">
        <is>
          <t>A 43749-2026</t>
        </is>
      </c>
      <c r="B10870" t="inlineStr">
        <is>
          <t>avverkningsanmälan</t>
        </is>
      </c>
      <c r="C10870" t="inlineStr">
        <is>
          <t>Föryngringsavverkning</t>
        </is>
      </c>
      <c r="D10870" s="1" t="n">
        <v>46316</v>
      </c>
      <c r="E10870" s="1" t="n">
        <v>46326</v>
      </c>
      <c r="F10870" t="inlineStr">
        <is>
          <t>GÄVLEBORGS LÄN</t>
        </is>
      </c>
      <c r="G10870" t="inlineStr">
        <is>
          <t>HUDIKSVALL</t>
        </is>
      </c>
      <c r="I10870" t="n">
        <v>3.1</v>
      </c>
      <c r="J10870" t="n">
        <v>0</v>
      </c>
      <c r="K10870" t="n">
        <v>0</v>
      </c>
      <c r="L10870" t="n">
        <v>0</v>
      </c>
      <c r="M10870" t="n">
        <v>0</v>
      </c>
      <c r="N10870" t="n">
        <v>0</v>
      </c>
      <c r="O10870" t="n">
        <v>0</v>
      </c>
      <c r="P10870" t="n">
        <v>0</v>
      </c>
      <c r="Q10870" t="n">
        <v>0</v>
      </c>
      <c r="R10870" t="n">
        <v>0</v>
      </c>
      <c r="S10870" t="n">
        <v>0</v>
      </c>
      <c r="T10870" t="n">
        <v>0</v>
      </c>
      <c r="U10870" t="n">
        <v>0</v>
      </c>
      <c r="V10870" s="2" t="inlineStr"/>
    </row>
    <row r="10871" ht="15" customHeight="1">
      <c r="A10871" t="inlineStr">
        <is>
          <t>A 31443-2026</t>
        </is>
      </c>
      <c r="B10871" t="inlineStr">
        <is>
          <t>avverkningsanmälan</t>
        </is>
      </c>
      <c r="C10871" t="inlineStr">
        <is>
          <t>Föryngringsavverkning</t>
        </is>
      </c>
      <c r="D10871" s="1" t="n">
        <v>46220</v>
      </c>
      <c r="E10871" s="1" t="n">
        <v>46326</v>
      </c>
      <c r="F10871" t="inlineStr">
        <is>
          <t>GÄVLEBORGS LÄN</t>
        </is>
      </c>
      <c r="G10871" t="inlineStr">
        <is>
          <t>OCKELBO</t>
        </is>
      </c>
      <c r="H10871" t="inlineStr">
        <is>
          <t>Bergvik skog väst AB</t>
        </is>
      </c>
      <c r="I10871" t="n">
        <v>1.4</v>
      </c>
      <c r="J10871" t="n">
        <v>0</v>
      </c>
      <c r="K10871" t="n">
        <v>0</v>
      </c>
      <c r="L10871" t="n">
        <v>0</v>
      </c>
      <c r="M10871" t="n">
        <v>0</v>
      </c>
      <c r="N10871" t="n">
        <v>0</v>
      </c>
      <c r="O10871" t="n">
        <v>0</v>
      </c>
      <c r="P10871" t="n">
        <v>0</v>
      </c>
      <c r="Q10871" t="n">
        <v>0</v>
      </c>
      <c r="R10871" t="n">
        <v>0</v>
      </c>
      <c r="S10871" t="n">
        <v>0</v>
      </c>
      <c r="T10871" t="n">
        <v>0</v>
      </c>
      <c r="U10871" t="n">
        <v>0</v>
      </c>
      <c r="V10871" s="2" t="inlineStr"/>
    </row>
    <row r="10872" ht="15" customHeight="1">
      <c r="A10872" t="inlineStr">
        <is>
          <t>A 37241-2026</t>
        </is>
      </c>
      <c r="B10872" t="inlineStr">
        <is>
          <t>avverkningsanmälan</t>
        </is>
      </c>
      <c r="C10872" t="inlineStr">
        <is>
          <t>Föryngringsavverkning</t>
        </is>
      </c>
      <c r="D10872" s="1" t="n">
        <v>46274</v>
      </c>
      <c r="E10872" s="1" t="n">
        <v>46326</v>
      </c>
      <c r="F10872" t="inlineStr">
        <is>
          <t>GÄVLEBORGS LÄN</t>
        </is>
      </c>
      <c r="G10872" t="inlineStr">
        <is>
          <t>NORDANSTIG</t>
        </is>
      </c>
      <c r="I10872" t="n">
        <v>0.7</v>
      </c>
      <c r="J10872" t="n">
        <v>0</v>
      </c>
      <c r="K10872" t="n">
        <v>0</v>
      </c>
      <c r="L10872" t="n">
        <v>0</v>
      </c>
      <c r="M10872" t="n">
        <v>0</v>
      </c>
      <c r="N10872" t="n">
        <v>0</v>
      </c>
      <c r="O10872" t="n">
        <v>0</v>
      </c>
      <c r="P10872" t="n">
        <v>0</v>
      </c>
      <c r="Q10872" t="n">
        <v>0</v>
      </c>
      <c r="R10872" t="n">
        <v>0</v>
      </c>
      <c r="S10872" t="n">
        <v>0</v>
      </c>
      <c r="T10872" t="n">
        <v>0</v>
      </c>
      <c r="U10872" t="n">
        <v>0</v>
      </c>
      <c r="V10872" s="2" t="inlineStr"/>
    </row>
    <row r="10873" ht="15" customHeight="1">
      <c r="A10873" t="inlineStr">
        <is>
          <t>A 44001-2026</t>
        </is>
      </c>
      <c r="B10873" t="inlineStr">
        <is>
          <t>avverkningsanmälan</t>
        </is>
      </c>
      <c r="C10873" t="inlineStr">
        <is>
          <t>Föryngringsavverkning</t>
        </is>
      </c>
      <c r="D10873" s="1" t="n">
        <v>46317</v>
      </c>
      <c r="E10873" s="1" t="n">
        <v>46326</v>
      </c>
      <c r="F10873" t="inlineStr">
        <is>
          <t>GÄVLEBORGS LÄN</t>
        </is>
      </c>
      <c r="G10873" t="inlineStr">
        <is>
          <t>LJUSDAL</t>
        </is>
      </c>
      <c r="I10873" t="n">
        <v>0.9</v>
      </c>
      <c r="J10873" t="n">
        <v>0</v>
      </c>
      <c r="K10873" t="n">
        <v>0</v>
      </c>
      <c r="L10873" t="n">
        <v>0</v>
      </c>
      <c r="M10873" t="n">
        <v>0</v>
      </c>
      <c r="N10873" t="n">
        <v>0</v>
      </c>
      <c r="O10873" t="n">
        <v>0</v>
      </c>
      <c r="P10873" t="n">
        <v>0</v>
      </c>
      <c r="Q10873" t="n">
        <v>0</v>
      </c>
      <c r="R10873" t="n">
        <v>0</v>
      </c>
      <c r="S10873" t="n">
        <v>0</v>
      </c>
      <c r="T10873" t="n">
        <v>0</v>
      </c>
      <c r="U10873" t="n">
        <v>0</v>
      </c>
      <c r="V10873" s="2" t="inlineStr"/>
    </row>
    <row r="10874" ht="15" customHeight="1">
      <c r="A10874" t="inlineStr">
        <is>
          <t>A 44032-2026</t>
        </is>
      </c>
      <c r="B10874" t="inlineStr">
        <is>
          <t>avverkningsanmälan</t>
        </is>
      </c>
      <c r="C10874" t="inlineStr">
        <is>
          <t>Föryngringsavverkning</t>
        </is>
      </c>
      <c r="D10874" s="1" t="n">
        <v>46317</v>
      </c>
      <c r="E10874" s="1" t="n">
        <v>46326</v>
      </c>
      <c r="F10874" t="inlineStr">
        <is>
          <t>GÄVLEBORGS LÄN</t>
        </is>
      </c>
      <c r="G10874" t="inlineStr">
        <is>
          <t>LJUSDAL</t>
        </is>
      </c>
      <c r="I10874" t="n">
        <v>0.9</v>
      </c>
      <c r="J10874" t="n">
        <v>0</v>
      </c>
      <c r="K10874" t="n">
        <v>0</v>
      </c>
      <c r="L10874" t="n">
        <v>0</v>
      </c>
      <c r="M10874" t="n">
        <v>0</v>
      </c>
      <c r="N10874" t="n">
        <v>0</v>
      </c>
      <c r="O10874" t="n">
        <v>0</v>
      </c>
      <c r="P10874" t="n">
        <v>0</v>
      </c>
      <c r="Q10874" t="n">
        <v>0</v>
      </c>
      <c r="R10874" t="n">
        <v>0</v>
      </c>
      <c r="S10874" t="n">
        <v>0</v>
      </c>
      <c r="T10874" t="n">
        <v>0</v>
      </c>
      <c r="U10874" t="n">
        <v>0</v>
      </c>
      <c r="V10874" s="2" t="inlineStr"/>
    </row>
    <row r="10875" ht="15" customHeight="1">
      <c r="A10875" t="inlineStr">
        <is>
          <t>A 37281-2026</t>
        </is>
      </c>
      <c r="B10875" t="inlineStr">
        <is>
          <t>avverkningsanmälan</t>
        </is>
      </c>
      <c r="C10875" t="inlineStr">
        <is>
          <t>Föryngringsavverkning</t>
        </is>
      </c>
      <c r="D10875" s="1" t="n">
        <v>46274</v>
      </c>
      <c r="E10875" s="1" t="n">
        <v>46326</v>
      </c>
      <c r="F10875" t="inlineStr">
        <is>
          <t>GÄVLEBORGS LÄN</t>
        </is>
      </c>
      <c r="G10875" t="inlineStr">
        <is>
          <t>HUDIKSVALL</t>
        </is>
      </c>
      <c r="H10875" t="inlineStr">
        <is>
          <t>Holmen skog AB</t>
        </is>
      </c>
      <c r="I10875" t="n">
        <v>3</v>
      </c>
      <c r="J10875" t="n">
        <v>0</v>
      </c>
      <c r="K10875" t="n">
        <v>0</v>
      </c>
      <c r="L10875" t="n">
        <v>0</v>
      </c>
      <c r="M10875" t="n">
        <v>0</v>
      </c>
      <c r="N10875" t="n">
        <v>0</v>
      </c>
      <c r="O10875" t="n">
        <v>0</v>
      </c>
      <c r="P10875" t="n">
        <v>0</v>
      </c>
      <c r="Q10875" t="n">
        <v>0</v>
      </c>
      <c r="R10875" t="n">
        <v>0</v>
      </c>
      <c r="S10875" t="n">
        <v>0</v>
      </c>
      <c r="T10875" t="n">
        <v>0</v>
      </c>
      <c r="U10875" t="n">
        <v>0</v>
      </c>
      <c r="V10875" s="2" t="inlineStr"/>
    </row>
    <row r="10876" ht="15" customHeight="1">
      <c r="A10876" t="inlineStr">
        <is>
          <t>A 43877-2026</t>
        </is>
      </c>
      <c r="B10876" t="inlineStr">
        <is>
          <t>avverkningsanmälan</t>
        </is>
      </c>
      <c r="C10876" t="inlineStr">
        <is>
          <t>Föryngringsavverkning</t>
        </is>
      </c>
      <c r="D10876" s="1" t="n">
        <v>46317</v>
      </c>
      <c r="E10876" s="1" t="n">
        <v>46326</v>
      </c>
      <c r="F10876" t="inlineStr">
        <is>
          <t>GÄVLEBORGS LÄN</t>
        </is>
      </c>
      <c r="G10876" t="inlineStr">
        <is>
          <t>SÖDERHAMN</t>
        </is>
      </c>
      <c r="H10876" t="inlineStr">
        <is>
          <t>Bergvik skog väst AB</t>
        </is>
      </c>
      <c r="I10876" t="n">
        <v>1.5</v>
      </c>
      <c r="J10876" t="n">
        <v>0</v>
      </c>
      <c r="K10876" t="n">
        <v>0</v>
      </c>
      <c r="L10876" t="n">
        <v>0</v>
      </c>
      <c r="M10876" t="n">
        <v>0</v>
      </c>
      <c r="N10876" t="n">
        <v>0</v>
      </c>
      <c r="O10876" t="n">
        <v>0</v>
      </c>
      <c r="P10876" t="n">
        <v>0</v>
      </c>
      <c r="Q10876" t="n">
        <v>0</v>
      </c>
      <c r="R10876" t="n">
        <v>0</v>
      </c>
      <c r="S10876" t="n">
        <v>0</v>
      </c>
      <c r="T10876" t="n">
        <v>0</v>
      </c>
      <c r="U10876" t="n">
        <v>0</v>
      </c>
      <c r="V10876" s="2" t="inlineStr"/>
    </row>
    <row r="10877" ht="15" customHeight="1">
      <c r="A10877" t="inlineStr">
        <is>
          <t>A 36920-2026</t>
        </is>
      </c>
      <c r="B10877" t="inlineStr">
        <is>
          <t>avverkningsanmälan</t>
        </is>
      </c>
      <c r="C10877" t="inlineStr">
        <is>
          <t>Föryngringsavverkning</t>
        </is>
      </c>
      <c r="D10877" s="1" t="n">
        <v>46273</v>
      </c>
      <c r="E10877" s="1" t="n">
        <v>46326</v>
      </c>
      <c r="F10877" t="inlineStr">
        <is>
          <t>GÄVLEBORGS LÄN</t>
        </is>
      </c>
      <c r="G10877" t="inlineStr">
        <is>
          <t>GÄVLE</t>
        </is>
      </c>
      <c r="H10877" t="inlineStr">
        <is>
          <t>Bergvik skog öst AB</t>
        </is>
      </c>
      <c r="I10877" t="n">
        <v>0.8</v>
      </c>
      <c r="J10877" t="n">
        <v>0</v>
      </c>
      <c r="K10877" t="n">
        <v>0</v>
      </c>
      <c r="L10877" t="n">
        <v>0</v>
      </c>
      <c r="M10877" t="n">
        <v>0</v>
      </c>
      <c r="N10877" t="n">
        <v>0</v>
      </c>
      <c r="O10877" t="n">
        <v>0</v>
      </c>
      <c r="P10877" t="n">
        <v>0</v>
      </c>
      <c r="Q10877" t="n">
        <v>0</v>
      </c>
      <c r="R10877" t="n">
        <v>0</v>
      </c>
      <c r="S10877" t="n">
        <v>0</v>
      </c>
      <c r="T10877" t="n">
        <v>0</v>
      </c>
      <c r="U10877" t="n">
        <v>0</v>
      </c>
      <c r="V10877" s="2" t="inlineStr"/>
    </row>
    <row r="10878" ht="15" customHeight="1">
      <c r="A10878" t="inlineStr">
        <is>
          <t>A 43683-2026</t>
        </is>
      </c>
      <c r="B10878" t="inlineStr">
        <is>
          <t>avverkningsanmälan</t>
        </is>
      </c>
      <c r="C10878" t="inlineStr">
        <is>
          <t>Föryngringsavverkning</t>
        </is>
      </c>
      <c r="D10878" s="1" t="n">
        <v>46316</v>
      </c>
      <c r="E10878" s="1" t="n">
        <v>46326</v>
      </c>
      <c r="F10878" t="inlineStr">
        <is>
          <t>GÄVLEBORGS LÄN</t>
        </is>
      </c>
      <c r="G10878" t="inlineStr">
        <is>
          <t>HUDIKSVALL</t>
        </is>
      </c>
      <c r="I10878" t="n">
        <v>2.4</v>
      </c>
      <c r="J10878" t="n">
        <v>0</v>
      </c>
      <c r="K10878" t="n">
        <v>0</v>
      </c>
      <c r="L10878" t="n">
        <v>0</v>
      </c>
      <c r="M10878" t="n">
        <v>0</v>
      </c>
      <c r="N10878" t="n">
        <v>0</v>
      </c>
      <c r="O10878" t="n">
        <v>0</v>
      </c>
      <c r="P10878" t="n">
        <v>0</v>
      </c>
      <c r="Q10878" t="n">
        <v>0</v>
      </c>
      <c r="R10878" t="n">
        <v>0</v>
      </c>
      <c r="S10878" t="n">
        <v>0</v>
      </c>
      <c r="T10878" t="n">
        <v>0</v>
      </c>
      <c r="U10878" t="n">
        <v>0</v>
      </c>
      <c r="V10878" s="2" t="inlineStr"/>
    </row>
    <row r="10879" ht="15" customHeight="1">
      <c r="A10879" t="inlineStr">
        <is>
          <t>A 43708-2026</t>
        </is>
      </c>
      <c r="B10879" t="inlineStr">
        <is>
          <t>avverkningsanmälan</t>
        </is>
      </c>
      <c r="C10879" t="inlineStr">
        <is>
          <t>Föryngringsavverkning</t>
        </is>
      </c>
      <c r="D10879" s="1" t="n">
        <v>46316</v>
      </c>
      <c r="E10879" s="1" t="n">
        <v>46326</v>
      </c>
      <c r="F10879" t="inlineStr">
        <is>
          <t>GÄVLEBORGS LÄN</t>
        </is>
      </c>
      <c r="G10879" t="inlineStr">
        <is>
          <t>HUDIKSVALL</t>
        </is>
      </c>
      <c r="H10879" t="inlineStr">
        <is>
          <t>Holmen skog AB</t>
        </is>
      </c>
      <c r="I10879" t="n">
        <v>27.2</v>
      </c>
      <c r="J10879" t="n">
        <v>0</v>
      </c>
      <c r="K10879" t="n">
        <v>0</v>
      </c>
      <c r="L10879" t="n">
        <v>0</v>
      </c>
      <c r="M10879" t="n">
        <v>0</v>
      </c>
      <c r="N10879" t="n">
        <v>0</v>
      </c>
      <c r="O10879" t="n">
        <v>0</v>
      </c>
      <c r="P10879" t="n">
        <v>0</v>
      </c>
      <c r="Q10879" t="n">
        <v>0</v>
      </c>
      <c r="R10879" t="n">
        <v>0</v>
      </c>
      <c r="S10879" t="n">
        <v>0</v>
      </c>
      <c r="T10879" t="n">
        <v>0</v>
      </c>
      <c r="U10879" t="n">
        <v>0</v>
      </c>
      <c r="V10879" s="2" t="inlineStr"/>
    </row>
    <row r="10880" ht="15" customHeight="1">
      <c r="A10880" t="inlineStr">
        <is>
          <t>A 43718-2026</t>
        </is>
      </c>
      <c r="B10880" t="inlineStr">
        <is>
          <t>avverkningsanmälan</t>
        </is>
      </c>
      <c r="C10880" t="inlineStr">
        <is>
          <t>Föryngringsavverkning</t>
        </is>
      </c>
      <c r="D10880" s="1" t="n">
        <v>46316</v>
      </c>
      <c r="E10880" s="1" t="n">
        <v>46326</v>
      </c>
      <c r="F10880" t="inlineStr">
        <is>
          <t>GÄVLEBORGS LÄN</t>
        </is>
      </c>
      <c r="G10880" t="inlineStr">
        <is>
          <t>HUDIKSVALL</t>
        </is>
      </c>
      <c r="H10880" t="inlineStr">
        <is>
          <t>Holmen skog AB</t>
        </is>
      </c>
      <c r="I10880" t="n">
        <v>5.6</v>
      </c>
      <c r="J10880" t="n">
        <v>0</v>
      </c>
      <c r="K10880" t="n">
        <v>0</v>
      </c>
      <c r="L10880" t="n">
        <v>0</v>
      </c>
      <c r="M10880" t="n">
        <v>0</v>
      </c>
      <c r="N10880" t="n">
        <v>0</v>
      </c>
      <c r="O10880" t="n">
        <v>0</v>
      </c>
      <c r="P10880" t="n">
        <v>0</v>
      </c>
      <c r="Q10880" t="n">
        <v>0</v>
      </c>
      <c r="R10880" t="n">
        <v>0</v>
      </c>
      <c r="S10880" t="n">
        <v>0</v>
      </c>
      <c r="T10880" t="n">
        <v>0</v>
      </c>
      <c r="U10880" t="n">
        <v>0</v>
      </c>
      <c r="V10880" s="2" t="inlineStr"/>
    </row>
    <row r="10881" ht="15" customHeight="1">
      <c r="A10881" t="inlineStr">
        <is>
          <t>A 43754-2026</t>
        </is>
      </c>
      <c r="B10881" t="inlineStr">
        <is>
          <t>avverkningsanmälan</t>
        </is>
      </c>
      <c r="C10881" t="inlineStr">
        <is>
          <t>Föryngringsavverkning</t>
        </is>
      </c>
      <c r="D10881" s="1" t="n">
        <v>46316</v>
      </c>
      <c r="E10881" s="1" t="n">
        <v>46326</v>
      </c>
      <c r="F10881" t="inlineStr">
        <is>
          <t>GÄVLEBORGS LÄN</t>
        </is>
      </c>
      <c r="G10881" t="inlineStr">
        <is>
          <t>BOLLNÄS</t>
        </is>
      </c>
      <c r="H10881" t="inlineStr">
        <is>
          <t>Bergvik skog öst AB</t>
        </is>
      </c>
      <c r="I10881" t="n">
        <v>5.2</v>
      </c>
      <c r="J10881" t="n">
        <v>0</v>
      </c>
      <c r="K10881" t="n">
        <v>0</v>
      </c>
      <c r="L10881" t="n">
        <v>0</v>
      </c>
      <c r="M10881" t="n">
        <v>0</v>
      </c>
      <c r="N10881" t="n">
        <v>0</v>
      </c>
      <c r="O10881" t="n">
        <v>0</v>
      </c>
      <c r="P10881" t="n">
        <v>0</v>
      </c>
      <c r="Q10881" t="n">
        <v>0</v>
      </c>
      <c r="R10881" t="n">
        <v>0</v>
      </c>
      <c r="S10881" t="n">
        <v>0</v>
      </c>
      <c r="T10881" t="n">
        <v>0</v>
      </c>
      <c r="U10881" t="n">
        <v>0</v>
      </c>
      <c r="V10881" s="2" t="inlineStr"/>
    </row>
    <row r="10882" ht="15" customHeight="1">
      <c r="A10882" t="inlineStr">
        <is>
          <t>A 43758-2026</t>
        </is>
      </c>
      <c r="B10882" t="inlineStr">
        <is>
          <t>avverkningsanmälan</t>
        </is>
      </c>
      <c r="C10882" t="inlineStr">
        <is>
          <t>Föryngringsavverkning</t>
        </is>
      </c>
      <c r="D10882" s="1" t="n">
        <v>46316</v>
      </c>
      <c r="E10882" s="1" t="n">
        <v>46326</v>
      </c>
      <c r="F10882" t="inlineStr">
        <is>
          <t>GÄVLEBORGS LÄN</t>
        </is>
      </c>
      <c r="G10882" t="inlineStr">
        <is>
          <t>OCKELBO</t>
        </is>
      </c>
      <c r="I10882" t="n">
        <v>0.9</v>
      </c>
      <c r="J10882" t="n">
        <v>0</v>
      </c>
      <c r="K10882" t="n">
        <v>0</v>
      </c>
      <c r="L10882" t="n">
        <v>0</v>
      </c>
      <c r="M10882" t="n">
        <v>0</v>
      </c>
      <c r="N10882" t="n">
        <v>0</v>
      </c>
      <c r="O10882" t="n">
        <v>0</v>
      </c>
      <c r="P10882" t="n">
        <v>0</v>
      </c>
      <c r="Q10882" t="n">
        <v>0</v>
      </c>
      <c r="R10882" t="n">
        <v>0</v>
      </c>
      <c r="S10882" t="n">
        <v>0</v>
      </c>
      <c r="T10882" t="n">
        <v>0</v>
      </c>
      <c r="U10882" t="n">
        <v>0</v>
      </c>
      <c r="V10882" s="2" t="inlineStr"/>
    </row>
    <row r="10883" ht="15" customHeight="1">
      <c r="A10883" t="inlineStr">
        <is>
          <t>A 3324-2026</t>
        </is>
      </c>
      <c r="B10883" t="inlineStr">
        <is>
          <t>avverkningsanmälan</t>
        </is>
      </c>
      <c r="C10883" t="inlineStr">
        <is>
          <t>Föryngringsavverkning</t>
        </is>
      </c>
      <c r="D10883" s="1" t="n">
        <v>46041</v>
      </c>
      <c r="E10883" s="1" t="n">
        <v>46326</v>
      </c>
      <c r="F10883" t="inlineStr">
        <is>
          <t>GÄVLEBORGS LÄN</t>
        </is>
      </c>
      <c r="G10883" t="inlineStr">
        <is>
          <t>BOLLNÄS</t>
        </is>
      </c>
      <c r="I10883" t="n">
        <v>1.2</v>
      </c>
      <c r="J10883" t="n">
        <v>0</v>
      </c>
      <c r="K10883" t="n">
        <v>0</v>
      </c>
      <c r="L10883" t="n">
        <v>0</v>
      </c>
      <c r="M10883" t="n">
        <v>0</v>
      </c>
      <c r="N10883" t="n">
        <v>0</v>
      </c>
      <c r="O10883" t="n">
        <v>0</v>
      </c>
      <c r="P10883" t="n">
        <v>0</v>
      </c>
      <c r="Q10883" t="n">
        <v>0</v>
      </c>
      <c r="R10883" t="n">
        <v>0</v>
      </c>
      <c r="S10883" t="n">
        <v>0</v>
      </c>
      <c r="T10883" t="n">
        <v>0</v>
      </c>
      <c r="U10883" t="n">
        <v>0</v>
      </c>
      <c r="V10883" s="2" t="inlineStr"/>
    </row>
    <row r="10884" ht="15" customHeight="1">
      <c r="A10884" t="inlineStr">
        <is>
          <t>A 43922-2026</t>
        </is>
      </c>
      <c r="B10884" t="inlineStr">
        <is>
          <t>avverkningsanmälan</t>
        </is>
      </c>
      <c r="C10884" t="inlineStr">
        <is>
          <t>Föryngringsavverkning</t>
        </is>
      </c>
      <c r="D10884" s="1" t="n">
        <v>46317</v>
      </c>
      <c r="E10884" s="1" t="n">
        <v>46326</v>
      </c>
      <c r="F10884" t="inlineStr">
        <is>
          <t>GÄVLEBORGS LÄN</t>
        </is>
      </c>
      <c r="G10884" t="inlineStr">
        <is>
          <t>OVANÅKER</t>
        </is>
      </c>
      <c r="I10884" t="n">
        <v>3.7</v>
      </c>
      <c r="J10884" t="n">
        <v>0</v>
      </c>
      <c r="K10884" t="n">
        <v>0</v>
      </c>
      <c r="L10884" t="n">
        <v>0</v>
      </c>
      <c r="M10884" t="n">
        <v>0</v>
      </c>
      <c r="N10884" t="n">
        <v>0</v>
      </c>
      <c r="O10884" t="n">
        <v>0</v>
      </c>
      <c r="P10884" t="n">
        <v>0</v>
      </c>
      <c r="Q10884" t="n">
        <v>0</v>
      </c>
      <c r="R10884" t="n">
        <v>0</v>
      </c>
      <c r="S10884" t="n">
        <v>0</v>
      </c>
      <c r="T10884" t="n">
        <v>0</v>
      </c>
      <c r="U10884" t="n">
        <v>0</v>
      </c>
      <c r="V10884" s="2" t="inlineStr"/>
    </row>
    <row r="10885" ht="15" customHeight="1">
      <c r="A10885" t="inlineStr">
        <is>
          <t>A 43932-2026</t>
        </is>
      </c>
      <c r="B10885" t="inlineStr">
        <is>
          <t>avverkningsanmälan</t>
        </is>
      </c>
      <c r="C10885" t="inlineStr">
        <is>
          <t>Föryngringsavverkning</t>
        </is>
      </c>
      <c r="D10885" s="1" t="n">
        <v>46317</v>
      </c>
      <c r="E10885" s="1" t="n">
        <v>46326</v>
      </c>
      <c r="F10885" t="inlineStr">
        <is>
          <t>GÄVLEBORGS LÄN</t>
        </is>
      </c>
      <c r="G10885" t="inlineStr">
        <is>
          <t>NORDANSTIG</t>
        </is>
      </c>
      <c r="I10885" t="n">
        <v>3.2</v>
      </c>
      <c r="J10885" t="n">
        <v>0</v>
      </c>
      <c r="K10885" t="n">
        <v>0</v>
      </c>
      <c r="L10885" t="n">
        <v>0</v>
      </c>
      <c r="M10885" t="n">
        <v>0</v>
      </c>
      <c r="N10885" t="n">
        <v>0</v>
      </c>
      <c r="O10885" t="n">
        <v>0</v>
      </c>
      <c r="P10885" t="n">
        <v>0</v>
      </c>
      <c r="Q10885" t="n">
        <v>0</v>
      </c>
      <c r="R10885" t="n">
        <v>0</v>
      </c>
      <c r="S10885" t="n">
        <v>0</v>
      </c>
      <c r="T10885" t="n">
        <v>0</v>
      </c>
      <c r="U10885" t="n">
        <v>0</v>
      </c>
      <c r="V10885" s="2" t="inlineStr"/>
    </row>
    <row r="10886" ht="15" customHeight="1">
      <c r="A10886" t="inlineStr">
        <is>
          <t>A 37085-2026</t>
        </is>
      </c>
      <c r="B10886" t="inlineStr">
        <is>
          <t>avverkningsanmälan</t>
        </is>
      </c>
      <c r="C10886" t="inlineStr">
        <is>
          <t>Föryngringsavverkning</t>
        </is>
      </c>
      <c r="D10886" s="1" t="n">
        <v>46273</v>
      </c>
      <c r="E10886" s="1" t="n">
        <v>46326</v>
      </c>
      <c r="F10886" t="inlineStr">
        <is>
          <t>GÄVLEBORGS LÄN</t>
        </is>
      </c>
      <c r="G10886" t="inlineStr">
        <is>
          <t>LJUSDAL</t>
        </is>
      </c>
      <c r="H10886" t="inlineStr">
        <is>
          <t>Sveaskog</t>
        </is>
      </c>
      <c r="I10886" t="n">
        <v>3.6</v>
      </c>
      <c r="J10886" t="n">
        <v>0</v>
      </c>
      <c r="K10886" t="n">
        <v>0</v>
      </c>
      <c r="L10886" t="n">
        <v>0</v>
      </c>
      <c r="M10886" t="n">
        <v>0</v>
      </c>
      <c r="N10886" t="n">
        <v>0</v>
      </c>
      <c r="O10886" t="n">
        <v>0</v>
      </c>
      <c r="P10886" t="n">
        <v>0</v>
      </c>
      <c r="Q10886" t="n">
        <v>0</v>
      </c>
      <c r="R10886" t="n">
        <v>0</v>
      </c>
      <c r="S10886" t="n">
        <v>0</v>
      </c>
      <c r="T10886" t="n">
        <v>0</v>
      </c>
      <c r="U10886" t="n">
        <v>0</v>
      </c>
      <c r="V10886" s="2" t="inlineStr"/>
    </row>
    <row r="10887" ht="15" customHeight="1">
      <c r="A10887" t="inlineStr">
        <is>
          <t>A 1252-2026</t>
        </is>
      </c>
      <c r="B10887" t="inlineStr">
        <is>
          <t>avverkningsanmälan</t>
        </is>
      </c>
      <c r="C10887" t="inlineStr">
        <is>
          <t>Föryngringsavverkning</t>
        </is>
      </c>
      <c r="D10887" s="1" t="n">
        <v>46031</v>
      </c>
      <c r="E10887" s="1" t="n">
        <v>46326</v>
      </c>
      <c r="F10887" t="inlineStr">
        <is>
          <t>GÄVLEBORGS LÄN</t>
        </is>
      </c>
      <c r="G10887" t="inlineStr">
        <is>
          <t>GÄVLE</t>
        </is>
      </c>
      <c r="I10887" t="n">
        <v>4.2</v>
      </c>
      <c r="J10887" t="n">
        <v>0</v>
      </c>
      <c r="K10887" t="n">
        <v>0</v>
      </c>
      <c r="L10887" t="n">
        <v>0</v>
      </c>
      <c r="M10887" t="n">
        <v>0</v>
      </c>
      <c r="N10887" t="n">
        <v>0</v>
      </c>
      <c r="O10887" t="n">
        <v>0</v>
      </c>
      <c r="P10887" t="n">
        <v>0</v>
      </c>
      <c r="Q10887" t="n">
        <v>0</v>
      </c>
      <c r="R10887" t="n">
        <v>0</v>
      </c>
      <c r="S10887" t="n">
        <v>0</v>
      </c>
      <c r="T10887" t="n">
        <v>0</v>
      </c>
      <c r="U10887" t="n">
        <v>0</v>
      </c>
      <c r="V10887" s="2" t="inlineStr"/>
    </row>
    <row r="10888" ht="15" customHeight="1">
      <c r="A10888" t="inlineStr">
        <is>
          <t>A 34405-2026</t>
        </is>
      </c>
      <c r="B10888" t="inlineStr">
        <is>
          <t>avverkningsanmälan</t>
        </is>
      </c>
      <c r="C10888" t="inlineStr">
        <is>
          <t>Föryngringsavverkning</t>
        </is>
      </c>
      <c r="D10888" s="1" t="n">
        <v>46254</v>
      </c>
      <c r="E10888" s="1" t="n">
        <v>46326</v>
      </c>
      <c r="F10888" t="inlineStr">
        <is>
          <t>GÄVLEBORGS LÄN</t>
        </is>
      </c>
      <c r="G10888" t="inlineStr">
        <is>
          <t>BOLLNÄS</t>
        </is>
      </c>
      <c r="I10888" t="n">
        <v>41.4</v>
      </c>
      <c r="J10888" t="n">
        <v>0</v>
      </c>
      <c r="K10888" t="n">
        <v>0</v>
      </c>
      <c r="L10888" t="n">
        <v>0</v>
      </c>
      <c r="M10888" t="n">
        <v>0</v>
      </c>
      <c r="N10888" t="n">
        <v>0</v>
      </c>
      <c r="O10888" t="n">
        <v>0</v>
      </c>
      <c r="P10888" t="n">
        <v>0</v>
      </c>
      <c r="Q10888" t="n">
        <v>0</v>
      </c>
      <c r="R10888" t="n">
        <v>0</v>
      </c>
      <c r="S10888" t="n">
        <v>0</v>
      </c>
      <c r="T10888" t="n">
        <v>0</v>
      </c>
      <c r="U10888" t="n">
        <v>0</v>
      </c>
      <c r="V10888" s="2" t="inlineStr"/>
    </row>
    <row r="10889" ht="15" customHeight="1">
      <c r="A10889" t="inlineStr">
        <is>
          <t>A 37024-2026</t>
        </is>
      </c>
      <c r="B10889" t="inlineStr">
        <is>
          <t>avverkningsanmälan</t>
        </is>
      </c>
      <c r="C10889" t="inlineStr">
        <is>
          <t>Föryngringsavverkning</t>
        </is>
      </c>
      <c r="D10889" s="1" t="n">
        <v>46273</v>
      </c>
      <c r="E10889" s="1" t="n">
        <v>46326</v>
      </c>
      <c r="F10889" t="inlineStr">
        <is>
          <t>GÄVLEBORGS LÄN</t>
        </is>
      </c>
      <c r="G10889" t="inlineStr">
        <is>
          <t>SANDVIKEN</t>
        </is>
      </c>
      <c r="I10889" t="n">
        <v>1.5</v>
      </c>
      <c r="J10889" t="n">
        <v>0</v>
      </c>
      <c r="K10889" t="n">
        <v>0</v>
      </c>
      <c r="L10889" t="n">
        <v>0</v>
      </c>
      <c r="M10889" t="n">
        <v>0</v>
      </c>
      <c r="N10889" t="n">
        <v>0</v>
      </c>
      <c r="O10889" t="n">
        <v>0</v>
      </c>
      <c r="P10889" t="n">
        <v>0</v>
      </c>
      <c r="Q10889" t="n">
        <v>0</v>
      </c>
      <c r="R10889" t="n">
        <v>0</v>
      </c>
      <c r="S10889" t="n">
        <v>0</v>
      </c>
      <c r="T10889" t="n">
        <v>0</v>
      </c>
      <c r="U10889" t="n">
        <v>0</v>
      </c>
      <c r="V10889" s="2" t="inlineStr"/>
    </row>
    <row r="10890" ht="15" customHeight="1">
      <c r="A10890" t="inlineStr">
        <is>
          <t>A 35155-2026</t>
        </is>
      </c>
      <c r="B10890" t="inlineStr">
        <is>
          <t>avverkningsanmälan</t>
        </is>
      </c>
      <c r="C10890" t="inlineStr">
        <is>
          <t>Föryngringsavverkning</t>
        </is>
      </c>
      <c r="D10890" s="1" t="n">
        <v>46260</v>
      </c>
      <c r="E10890" s="1" t="n">
        <v>46326</v>
      </c>
      <c r="F10890" t="inlineStr">
        <is>
          <t>GÄVLEBORGS LÄN</t>
        </is>
      </c>
      <c r="G10890" t="inlineStr">
        <is>
          <t>OCKELBO</t>
        </is>
      </c>
      <c r="H10890" t="inlineStr">
        <is>
          <t>Bergvik skog väst AB</t>
        </is>
      </c>
      <c r="I10890" t="n">
        <v>1.5</v>
      </c>
      <c r="J10890" t="n">
        <v>0</v>
      </c>
      <c r="K10890" t="n">
        <v>0</v>
      </c>
      <c r="L10890" t="n">
        <v>0</v>
      </c>
      <c r="M10890" t="n">
        <v>0</v>
      </c>
      <c r="N10890" t="n">
        <v>0</v>
      </c>
      <c r="O10890" t="n">
        <v>0</v>
      </c>
      <c r="P10890" t="n">
        <v>0</v>
      </c>
      <c r="Q10890" t="n">
        <v>0</v>
      </c>
      <c r="R10890" t="n">
        <v>0</v>
      </c>
      <c r="S10890" t="n">
        <v>0</v>
      </c>
      <c r="T10890" t="n">
        <v>0</v>
      </c>
      <c r="U10890" t="n">
        <v>0</v>
      </c>
      <c r="V10890" s="2" t="inlineStr"/>
    </row>
    <row r="10891" ht="15" customHeight="1">
      <c r="A10891" t="inlineStr">
        <is>
          <t>A 37660-2026</t>
        </is>
      </c>
      <c r="B10891" t="inlineStr">
        <is>
          <t>avverkningsanmälan</t>
        </is>
      </c>
      <c r="C10891" t="inlineStr">
        <is>
          <t>Föryngringsavverkning</t>
        </is>
      </c>
      <c r="D10891" s="1" t="n">
        <v>46276</v>
      </c>
      <c r="E10891" s="1" t="n">
        <v>46326</v>
      </c>
      <c r="F10891" t="inlineStr">
        <is>
          <t>GÄVLEBORGS LÄN</t>
        </is>
      </c>
      <c r="G10891" t="inlineStr">
        <is>
          <t>BOLLNÄS</t>
        </is>
      </c>
      <c r="I10891" t="n">
        <v>1.6</v>
      </c>
      <c r="J10891" t="n">
        <v>0</v>
      </c>
      <c r="K10891" t="n">
        <v>0</v>
      </c>
      <c r="L10891" t="n">
        <v>0</v>
      </c>
      <c r="M10891" t="n">
        <v>0</v>
      </c>
      <c r="N10891" t="n">
        <v>0</v>
      </c>
      <c r="O10891" t="n">
        <v>0</v>
      </c>
      <c r="P10891" t="n">
        <v>0</v>
      </c>
      <c r="Q10891" t="n">
        <v>0</v>
      </c>
      <c r="R10891" t="n">
        <v>0</v>
      </c>
      <c r="S10891" t="n">
        <v>0</v>
      </c>
      <c r="T10891" t="n">
        <v>0</v>
      </c>
      <c r="U10891" t="n">
        <v>0</v>
      </c>
      <c r="V10891" s="2" t="inlineStr"/>
    </row>
    <row r="10892" ht="15" customHeight="1">
      <c r="A10892" t="inlineStr">
        <is>
          <t>A 44246-2026</t>
        </is>
      </c>
      <c r="B10892" t="inlineStr">
        <is>
          <t>avverkningsanmälan</t>
        </is>
      </c>
      <c r="C10892" t="inlineStr">
        <is>
          <t>Föryngringsavverkning</t>
        </is>
      </c>
      <c r="D10892" s="1" t="n">
        <v>46318</v>
      </c>
      <c r="E10892" s="1" t="n">
        <v>46326</v>
      </c>
      <c r="F10892" t="inlineStr">
        <is>
          <t>GÄVLEBORGS LÄN</t>
        </is>
      </c>
      <c r="G10892" t="inlineStr">
        <is>
          <t>GÄVLE</t>
        </is>
      </c>
      <c r="H10892" t="inlineStr">
        <is>
          <t>Bergvik skog väst AB</t>
        </is>
      </c>
      <c r="I10892" t="n">
        <v>0.5</v>
      </c>
      <c r="J10892" t="n">
        <v>0</v>
      </c>
      <c r="K10892" t="n">
        <v>0</v>
      </c>
      <c r="L10892" t="n">
        <v>0</v>
      </c>
      <c r="M10892" t="n">
        <v>0</v>
      </c>
      <c r="N10892" t="n">
        <v>0</v>
      </c>
      <c r="O10892" t="n">
        <v>0</v>
      </c>
      <c r="P10892" t="n">
        <v>0</v>
      </c>
      <c r="Q10892" t="n">
        <v>0</v>
      </c>
      <c r="R10892" t="n">
        <v>0</v>
      </c>
      <c r="S10892" t="n">
        <v>0</v>
      </c>
      <c r="T10892" t="n">
        <v>0</v>
      </c>
      <c r="U10892" t="n">
        <v>0</v>
      </c>
      <c r="V10892" s="2" t="inlineStr"/>
    </row>
    <row r="10893" ht="15" customHeight="1">
      <c r="A10893" t="inlineStr">
        <is>
          <t>A 37672-2026</t>
        </is>
      </c>
      <c r="B10893" t="inlineStr">
        <is>
          <t>avverkningsanmälan</t>
        </is>
      </c>
      <c r="C10893" t="inlineStr">
        <is>
          <t>Föryngringsavverkning</t>
        </is>
      </c>
      <c r="D10893" s="1" t="n">
        <v>46277</v>
      </c>
      <c r="E10893" s="1" t="n">
        <v>46326</v>
      </c>
      <c r="F10893" t="inlineStr">
        <is>
          <t>GÄVLEBORGS LÄN</t>
        </is>
      </c>
      <c r="G10893" t="inlineStr">
        <is>
          <t>OVANÅKER</t>
        </is>
      </c>
      <c r="H10893" t="inlineStr">
        <is>
          <t>Bergvik skog väst AB</t>
        </is>
      </c>
      <c r="I10893" t="n">
        <v>1</v>
      </c>
      <c r="J10893" t="n">
        <v>0</v>
      </c>
      <c r="K10893" t="n">
        <v>0</v>
      </c>
      <c r="L10893" t="n">
        <v>0</v>
      </c>
      <c r="M10893" t="n">
        <v>0</v>
      </c>
      <c r="N10893" t="n">
        <v>0</v>
      </c>
      <c r="O10893" t="n">
        <v>0</v>
      </c>
      <c r="P10893" t="n">
        <v>0</v>
      </c>
      <c r="Q10893" t="n">
        <v>0</v>
      </c>
      <c r="R10893" t="n">
        <v>0</v>
      </c>
      <c r="S10893" t="n">
        <v>0</v>
      </c>
      <c r="T10893" t="n">
        <v>0</v>
      </c>
      <c r="U10893" t="n">
        <v>0</v>
      </c>
      <c r="V10893" s="2" t="inlineStr"/>
    </row>
    <row r="10894" ht="15" customHeight="1">
      <c r="A10894" t="inlineStr">
        <is>
          <t>A 37154-2026</t>
        </is>
      </c>
      <c r="B10894" t="inlineStr">
        <is>
          <t>avverkningsanmälan</t>
        </is>
      </c>
      <c r="C10894" t="inlineStr">
        <is>
          <t>Föryngringsavverkning</t>
        </is>
      </c>
      <c r="D10894" s="1" t="n">
        <v>46274</v>
      </c>
      <c r="E10894" s="1" t="n">
        <v>46326</v>
      </c>
      <c r="F10894" t="inlineStr">
        <is>
          <t>GÄVLEBORGS LÄN</t>
        </is>
      </c>
      <c r="G10894" t="inlineStr">
        <is>
          <t>HUDIKSVALL</t>
        </is>
      </c>
      <c r="I10894" t="n">
        <v>1.5</v>
      </c>
      <c r="J10894" t="n">
        <v>0</v>
      </c>
      <c r="K10894" t="n">
        <v>0</v>
      </c>
      <c r="L10894" t="n">
        <v>0</v>
      </c>
      <c r="M10894" t="n">
        <v>0</v>
      </c>
      <c r="N10894" t="n">
        <v>0</v>
      </c>
      <c r="O10894" t="n">
        <v>0</v>
      </c>
      <c r="P10894" t="n">
        <v>0</v>
      </c>
      <c r="Q10894" t="n">
        <v>0</v>
      </c>
      <c r="R10894" t="n">
        <v>0</v>
      </c>
      <c r="S10894" t="n">
        <v>0</v>
      </c>
      <c r="T10894" t="n">
        <v>0</v>
      </c>
      <c r="U10894" t="n">
        <v>0</v>
      </c>
      <c r="V10894" s="2" t="inlineStr"/>
    </row>
    <row r="10895" ht="15" customHeight="1">
      <c r="A10895" t="inlineStr">
        <is>
          <t>A 37318-2026</t>
        </is>
      </c>
      <c r="B10895" t="inlineStr">
        <is>
          <t>avverkningsanmälan</t>
        </is>
      </c>
      <c r="C10895" t="inlineStr">
        <is>
          <t>Föryngringsavverkning</t>
        </is>
      </c>
      <c r="D10895" s="1" t="n">
        <v>46275</v>
      </c>
      <c r="E10895" s="1" t="n">
        <v>46326</v>
      </c>
      <c r="F10895" t="inlineStr">
        <is>
          <t>GÄVLEBORGS LÄN</t>
        </is>
      </c>
      <c r="G10895" t="inlineStr">
        <is>
          <t>BOLLNÄS</t>
        </is>
      </c>
      <c r="I10895" t="n">
        <v>1.5</v>
      </c>
      <c r="J10895" t="n">
        <v>0</v>
      </c>
      <c r="K10895" t="n">
        <v>0</v>
      </c>
      <c r="L10895" t="n">
        <v>0</v>
      </c>
      <c r="M10895" t="n">
        <v>0</v>
      </c>
      <c r="N10895" t="n">
        <v>0</v>
      </c>
      <c r="O10895" t="n">
        <v>0</v>
      </c>
      <c r="P10895" t="n">
        <v>0</v>
      </c>
      <c r="Q10895" t="n">
        <v>0</v>
      </c>
      <c r="R10895" t="n">
        <v>0</v>
      </c>
      <c r="S10895" t="n">
        <v>0</v>
      </c>
      <c r="T10895" t="n">
        <v>0</v>
      </c>
      <c r="U10895" t="n">
        <v>0</v>
      </c>
      <c r="V10895" s="2" t="inlineStr"/>
    </row>
    <row r="10896" ht="15" customHeight="1">
      <c r="A10896" t="inlineStr">
        <is>
          <t>A 37607-2026</t>
        </is>
      </c>
      <c r="B10896" t="inlineStr">
        <is>
          <t>avverkningsanmälan</t>
        </is>
      </c>
      <c r="C10896" t="inlineStr">
        <is>
          <t>Föryngringsavverkning</t>
        </is>
      </c>
      <c r="D10896" s="1" t="n">
        <v>46276</v>
      </c>
      <c r="E10896" s="1" t="n">
        <v>46326</v>
      </c>
      <c r="F10896" t="inlineStr">
        <is>
          <t>GÄVLEBORGS LÄN</t>
        </is>
      </c>
      <c r="G10896" t="inlineStr">
        <is>
          <t>LJUSDAL</t>
        </is>
      </c>
      <c r="H10896" t="inlineStr">
        <is>
          <t>Sveaskog</t>
        </is>
      </c>
      <c r="I10896" t="n">
        <v>1.3</v>
      </c>
      <c r="J10896" t="n">
        <v>0</v>
      </c>
      <c r="K10896" t="n">
        <v>0</v>
      </c>
      <c r="L10896" t="n">
        <v>0</v>
      </c>
      <c r="M10896" t="n">
        <v>0</v>
      </c>
      <c r="N10896" t="n">
        <v>0</v>
      </c>
      <c r="O10896" t="n">
        <v>0</v>
      </c>
      <c r="P10896" t="n">
        <v>0</v>
      </c>
      <c r="Q10896" t="n">
        <v>0</v>
      </c>
      <c r="R10896" t="n">
        <v>0</v>
      </c>
      <c r="S10896" t="n">
        <v>0</v>
      </c>
      <c r="T10896" t="n">
        <v>0</v>
      </c>
      <c r="U10896" t="n">
        <v>0</v>
      </c>
      <c r="V10896" s="2" t="inlineStr"/>
    </row>
    <row r="10897" ht="15" customHeight="1">
      <c r="A10897" t="inlineStr">
        <is>
          <t>A 44187-2026</t>
        </is>
      </c>
      <c r="B10897" t="inlineStr">
        <is>
          <t>avverkningsanmälan</t>
        </is>
      </c>
      <c r="C10897" t="inlineStr">
        <is>
          <t>Föryngringsavverkning</t>
        </is>
      </c>
      <c r="D10897" s="1" t="n">
        <v>46318</v>
      </c>
      <c r="E10897" s="1" t="n">
        <v>46326</v>
      </c>
      <c r="F10897" t="inlineStr">
        <is>
          <t>GÄVLEBORGS LÄN</t>
        </is>
      </c>
      <c r="G10897" t="inlineStr">
        <is>
          <t>LJUSDAL</t>
        </is>
      </c>
      <c r="H10897" t="inlineStr">
        <is>
          <t>Allmännings- och besparingsskogar</t>
        </is>
      </c>
      <c r="I10897" t="n">
        <v>29.8</v>
      </c>
      <c r="J10897" t="n">
        <v>0</v>
      </c>
      <c r="K10897" t="n">
        <v>0</v>
      </c>
      <c r="L10897" t="n">
        <v>0</v>
      </c>
      <c r="M10897" t="n">
        <v>0</v>
      </c>
      <c r="N10897" t="n">
        <v>0</v>
      </c>
      <c r="O10897" t="n">
        <v>0</v>
      </c>
      <c r="P10897" t="n">
        <v>0</v>
      </c>
      <c r="Q10897" t="n">
        <v>0</v>
      </c>
      <c r="R10897" t="n">
        <v>0</v>
      </c>
      <c r="S10897" t="n">
        <v>0</v>
      </c>
      <c r="T10897" t="n">
        <v>0</v>
      </c>
      <c r="U10897" t="n">
        <v>0</v>
      </c>
      <c r="V10897" s="2" t="inlineStr"/>
    </row>
    <row r="10898" ht="15" customHeight="1">
      <c r="A10898" t="inlineStr">
        <is>
          <t>A 37603-2026</t>
        </is>
      </c>
      <c r="B10898" t="inlineStr">
        <is>
          <t>avverkningsanmälan</t>
        </is>
      </c>
      <c r="C10898" t="inlineStr">
        <is>
          <t>Föryngringsavverkning</t>
        </is>
      </c>
      <c r="D10898" s="1" t="n">
        <v>46276</v>
      </c>
      <c r="E10898" s="1" t="n">
        <v>46326</v>
      </c>
      <c r="F10898" t="inlineStr">
        <is>
          <t>GÄVLEBORGS LÄN</t>
        </is>
      </c>
      <c r="G10898" t="inlineStr">
        <is>
          <t>LJUSDAL</t>
        </is>
      </c>
      <c r="I10898" t="n">
        <v>1.3</v>
      </c>
      <c r="J10898" t="n">
        <v>0</v>
      </c>
      <c r="K10898" t="n">
        <v>0</v>
      </c>
      <c r="L10898" t="n">
        <v>0</v>
      </c>
      <c r="M10898" t="n">
        <v>0</v>
      </c>
      <c r="N10898" t="n">
        <v>0</v>
      </c>
      <c r="O10898" t="n">
        <v>0</v>
      </c>
      <c r="P10898" t="n">
        <v>0</v>
      </c>
      <c r="Q10898" t="n">
        <v>0</v>
      </c>
      <c r="R10898" t="n">
        <v>0</v>
      </c>
      <c r="S10898" t="n">
        <v>0</v>
      </c>
      <c r="T10898" t="n">
        <v>0</v>
      </c>
      <c r="U10898" t="n">
        <v>0</v>
      </c>
      <c r="V10898" s="2" t="inlineStr"/>
    </row>
    <row r="10899" ht="15" customHeight="1">
      <c r="A10899" t="inlineStr">
        <is>
          <t>A 37658-2026</t>
        </is>
      </c>
      <c r="B10899" t="inlineStr">
        <is>
          <t>avverkningsanmälan</t>
        </is>
      </c>
      <c r="C10899" t="inlineStr">
        <is>
          <t>Föryngringsavverkning</t>
        </is>
      </c>
      <c r="D10899" s="1" t="n">
        <v>46276</v>
      </c>
      <c r="E10899" s="1" t="n">
        <v>46326</v>
      </c>
      <c r="F10899" t="inlineStr">
        <is>
          <t>GÄVLEBORGS LÄN</t>
        </is>
      </c>
      <c r="G10899" t="inlineStr">
        <is>
          <t>BOLLNÄS</t>
        </is>
      </c>
      <c r="I10899" t="n">
        <v>4.3</v>
      </c>
      <c r="J10899" t="n">
        <v>0</v>
      </c>
      <c r="K10899" t="n">
        <v>0</v>
      </c>
      <c r="L10899" t="n">
        <v>0</v>
      </c>
      <c r="M10899" t="n">
        <v>0</v>
      </c>
      <c r="N10899" t="n">
        <v>0</v>
      </c>
      <c r="O10899" t="n">
        <v>0</v>
      </c>
      <c r="P10899" t="n">
        <v>0</v>
      </c>
      <c r="Q10899" t="n">
        <v>0</v>
      </c>
      <c r="R10899" t="n">
        <v>0</v>
      </c>
      <c r="S10899" t="n">
        <v>0</v>
      </c>
      <c r="T10899" t="n">
        <v>0</v>
      </c>
      <c r="U10899" t="n">
        <v>0</v>
      </c>
      <c r="V10899" s="2" t="inlineStr"/>
    </row>
    <row r="10900" ht="15" customHeight="1">
      <c r="A10900" t="inlineStr">
        <is>
          <t>A 37659-2026</t>
        </is>
      </c>
      <c r="B10900" t="inlineStr">
        <is>
          <t>avverkningsanmälan</t>
        </is>
      </c>
      <c r="C10900" t="inlineStr">
        <is>
          <t>Föryngringsavverkning</t>
        </is>
      </c>
      <c r="D10900" s="1" t="n">
        <v>46276</v>
      </c>
      <c r="E10900" s="1" t="n">
        <v>46326</v>
      </c>
      <c r="F10900" t="inlineStr">
        <is>
          <t>GÄVLEBORGS LÄN</t>
        </is>
      </c>
      <c r="G10900" t="inlineStr">
        <is>
          <t>BOLLNÄS</t>
        </is>
      </c>
      <c r="I10900" t="n">
        <v>1.5</v>
      </c>
      <c r="J10900" t="n">
        <v>0</v>
      </c>
      <c r="K10900" t="n">
        <v>0</v>
      </c>
      <c r="L10900" t="n">
        <v>0</v>
      </c>
      <c r="M10900" t="n">
        <v>0</v>
      </c>
      <c r="N10900" t="n">
        <v>0</v>
      </c>
      <c r="O10900" t="n">
        <v>0</v>
      </c>
      <c r="P10900" t="n">
        <v>0</v>
      </c>
      <c r="Q10900" t="n">
        <v>0</v>
      </c>
      <c r="R10900" t="n">
        <v>0</v>
      </c>
      <c r="S10900" t="n">
        <v>0</v>
      </c>
      <c r="T10900" t="n">
        <v>0</v>
      </c>
      <c r="U10900" t="n">
        <v>0</v>
      </c>
      <c r="V10900" s="2" t="inlineStr"/>
    </row>
    <row r="10901" ht="15" customHeight="1">
      <c r="A10901" t="inlineStr">
        <is>
          <t>A 37664-2026</t>
        </is>
      </c>
      <c r="B10901" t="inlineStr">
        <is>
          <t>avverkningsanmälan</t>
        </is>
      </c>
      <c r="C10901" t="inlineStr">
        <is>
          <t>Föryngringsavverkning</t>
        </is>
      </c>
      <c r="D10901" s="1" t="n">
        <v>46276</v>
      </c>
      <c r="E10901" s="1" t="n">
        <v>46326</v>
      </c>
      <c r="F10901" t="inlineStr">
        <is>
          <t>GÄVLEBORGS LÄN</t>
        </is>
      </c>
      <c r="G10901" t="inlineStr">
        <is>
          <t>BOLLNÄS</t>
        </is>
      </c>
      <c r="H10901" t="inlineStr">
        <is>
          <t>Bergvik skog väst AB</t>
        </is>
      </c>
      <c r="I10901" t="n">
        <v>17.2</v>
      </c>
      <c r="J10901" t="n">
        <v>0</v>
      </c>
      <c r="K10901" t="n">
        <v>0</v>
      </c>
      <c r="L10901" t="n">
        <v>0</v>
      </c>
      <c r="M10901" t="n">
        <v>0</v>
      </c>
      <c r="N10901" t="n">
        <v>0</v>
      </c>
      <c r="O10901" t="n">
        <v>0</v>
      </c>
      <c r="P10901" t="n">
        <v>0</v>
      </c>
      <c r="Q10901" t="n">
        <v>0</v>
      </c>
      <c r="R10901" t="n">
        <v>0</v>
      </c>
      <c r="S10901" t="n">
        <v>0</v>
      </c>
      <c r="T10901" t="n">
        <v>0</v>
      </c>
      <c r="U10901" t="n">
        <v>0</v>
      </c>
      <c r="V10901" s="2" t="inlineStr"/>
    </row>
    <row r="10902" ht="15" customHeight="1">
      <c r="A10902" t="inlineStr">
        <is>
          <t>A 57928-2024</t>
        </is>
      </c>
      <c r="B10902" t="inlineStr">
        <is>
          <t>avverkningsanmälan</t>
        </is>
      </c>
      <c r="C10902" t="inlineStr">
        <is>
          <t>Föryngringsavverkning</t>
        </is>
      </c>
      <c r="D10902" s="1" t="n">
        <v>45631</v>
      </c>
      <c r="E10902" s="1" t="n">
        <v>46326</v>
      </c>
      <c r="F10902" t="inlineStr">
        <is>
          <t>GÄVLEBORGS LÄN</t>
        </is>
      </c>
      <c r="G10902" t="inlineStr">
        <is>
          <t>GÄVLE</t>
        </is>
      </c>
      <c r="H10902" t="inlineStr">
        <is>
          <t>Bergvik skog öst AB</t>
        </is>
      </c>
      <c r="I10902" t="n">
        <v>10.9</v>
      </c>
      <c r="J10902" t="n">
        <v>0</v>
      </c>
      <c r="K10902" t="n">
        <v>0</v>
      </c>
      <c r="L10902" t="n">
        <v>0</v>
      </c>
      <c r="M10902" t="n">
        <v>0</v>
      </c>
      <c r="N10902" t="n">
        <v>0</v>
      </c>
      <c r="O10902" t="n">
        <v>0</v>
      </c>
      <c r="P10902" t="n">
        <v>0</v>
      </c>
      <c r="Q10902" t="n">
        <v>0</v>
      </c>
      <c r="R10902" t="n">
        <v>0</v>
      </c>
      <c r="S10902" t="n">
        <v>0</v>
      </c>
      <c r="T10902" t="n">
        <v>0</v>
      </c>
      <c r="U10902" t="n">
        <v>0</v>
      </c>
      <c r="V10902" s="2" t="inlineStr"/>
    </row>
    <row r="10903" ht="15" customHeight="1">
      <c r="A10903" t="inlineStr">
        <is>
          <t>A 59325-2025</t>
        </is>
      </c>
      <c r="B10903" t="inlineStr">
        <is>
          <t>avverkningsanmälan</t>
        </is>
      </c>
      <c r="C10903" t="inlineStr">
        <is>
          <t>Föryngringsavverkning</t>
        </is>
      </c>
      <c r="D10903" s="1" t="n">
        <v>45989</v>
      </c>
      <c r="E10903" s="1" t="n">
        <v>46326</v>
      </c>
      <c r="F10903" t="inlineStr">
        <is>
          <t>GÄVLEBORGS LÄN</t>
        </is>
      </c>
      <c r="G10903" t="inlineStr">
        <is>
          <t>HUDIKSVALL</t>
        </is>
      </c>
      <c r="I10903" t="n">
        <v>4.5</v>
      </c>
      <c r="J10903" t="n">
        <v>0</v>
      </c>
      <c r="K10903" t="n">
        <v>0</v>
      </c>
      <c r="L10903" t="n">
        <v>0</v>
      </c>
      <c r="M10903" t="n">
        <v>0</v>
      </c>
      <c r="N10903" t="n">
        <v>0</v>
      </c>
      <c r="O10903" t="n">
        <v>0</v>
      </c>
      <c r="P10903" t="n">
        <v>0</v>
      </c>
      <c r="Q10903" t="n">
        <v>0</v>
      </c>
      <c r="R10903" t="n">
        <v>0</v>
      </c>
      <c r="S10903" t="n">
        <v>0</v>
      </c>
      <c r="T10903" t="n">
        <v>0</v>
      </c>
      <c r="U10903" t="n">
        <v>0</v>
      </c>
      <c r="V10903" s="2" t="inlineStr"/>
    </row>
    <row r="10904" ht="15" customHeight="1">
      <c r="A10904" t="inlineStr">
        <is>
          <t>A 37457-2026</t>
        </is>
      </c>
      <c r="B10904" t="inlineStr">
        <is>
          <t>avverkningsanmälan</t>
        </is>
      </c>
      <c r="C10904" t="inlineStr">
        <is>
          <t>Föryngringsavverkning</t>
        </is>
      </c>
      <c r="D10904" s="1" t="n">
        <v>46275</v>
      </c>
      <c r="E10904" s="1" t="n">
        <v>46326</v>
      </c>
      <c r="F10904" t="inlineStr">
        <is>
          <t>GÄVLEBORGS LÄN</t>
        </is>
      </c>
      <c r="G10904" t="inlineStr">
        <is>
          <t>HUDIKSVALL</t>
        </is>
      </c>
      <c r="H10904" t="inlineStr">
        <is>
          <t>Holmen skog AB</t>
        </is>
      </c>
      <c r="I10904" t="n">
        <v>1.3</v>
      </c>
      <c r="J10904" t="n">
        <v>0</v>
      </c>
      <c r="K10904" t="n">
        <v>0</v>
      </c>
      <c r="L10904" t="n">
        <v>0</v>
      </c>
      <c r="M10904" t="n">
        <v>0</v>
      </c>
      <c r="N10904" t="n">
        <v>0</v>
      </c>
      <c r="O10904" t="n">
        <v>0</v>
      </c>
      <c r="P10904" t="n">
        <v>0</v>
      </c>
      <c r="Q10904" t="n">
        <v>0</v>
      </c>
      <c r="R10904" t="n">
        <v>0</v>
      </c>
      <c r="S10904" t="n">
        <v>0</v>
      </c>
      <c r="T10904" t="n">
        <v>0</v>
      </c>
      <c r="U10904" t="n">
        <v>0</v>
      </c>
      <c r="V10904" s="2" t="inlineStr"/>
      <c r="Z10904">
        <f>HYPERLINK("https://klasma.github.io/Logging_2184/knärot/A 37457-2026 karta knärot.png", "A 37457-2026")</f>
        <v/>
      </c>
      <c r="AA10904">
        <f>HYPERLINK("https://klasma.github.io/Logging_2184/klagomål/A 37457-2026 FSC-klagomål.docx", "A 37457-2026")</f>
        <v/>
      </c>
      <c r="AB10904">
        <f>HYPERLINK("https://klasma.github.io/Logging_2184/klagomålsmail/A 37457-2026 FSC-klagomål mail.docx", "A 37457-2026")</f>
        <v/>
      </c>
      <c r="AC10904">
        <f>HYPERLINK("https://klasma.github.io/Logging_2184/tillsyn/A 37457-2026 tillsynsbegäran.docx", "A 37457-2026")</f>
        <v/>
      </c>
      <c r="AD10904">
        <f>HYPERLINK("https://klasma.github.io/Logging_2184/tillsynsmail/A 37457-2026 tillsynsbegäran mail.docx", "A 37457-2026")</f>
        <v/>
      </c>
    </row>
    <row r="10905" ht="15" customHeight="1">
      <c r="A10905" t="inlineStr">
        <is>
          <t>A 37320-2026</t>
        </is>
      </c>
      <c r="B10905" t="inlineStr">
        <is>
          <t>avverkningsanmälan</t>
        </is>
      </c>
      <c r="C10905" t="inlineStr">
        <is>
          <t>Föryngringsavverkning</t>
        </is>
      </c>
      <c r="D10905" s="1" t="n">
        <v>46275</v>
      </c>
      <c r="E10905" s="1" t="n">
        <v>46326</v>
      </c>
      <c r="F10905" t="inlineStr">
        <is>
          <t>GÄVLEBORGS LÄN</t>
        </is>
      </c>
      <c r="G10905" t="inlineStr">
        <is>
          <t>SÖDERHAMN</t>
        </is>
      </c>
      <c r="I10905" t="n">
        <v>1.6</v>
      </c>
      <c r="J10905" t="n">
        <v>0</v>
      </c>
      <c r="K10905" t="n">
        <v>0</v>
      </c>
      <c r="L10905" t="n">
        <v>0</v>
      </c>
      <c r="M10905" t="n">
        <v>0</v>
      </c>
      <c r="N10905" t="n">
        <v>0</v>
      </c>
      <c r="O10905" t="n">
        <v>0</v>
      </c>
      <c r="P10905" t="n">
        <v>0</v>
      </c>
      <c r="Q10905" t="n">
        <v>0</v>
      </c>
      <c r="R10905" t="n">
        <v>0</v>
      </c>
      <c r="S10905" t="n">
        <v>0</v>
      </c>
      <c r="T10905" t="n">
        <v>0</v>
      </c>
      <c r="U10905" t="n">
        <v>0</v>
      </c>
      <c r="V10905" s="2" t="inlineStr"/>
    </row>
    <row r="10906" ht="15" customHeight="1">
      <c r="A10906" t="inlineStr">
        <is>
          <t>A 37368-2026</t>
        </is>
      </c>
      <c r="B10906" t="inlineStr">
        <is>
          <t>avverkningsanmälan</t>
        </is>
      </c>
      <c r="C10906" t="inlineStr">
        <is>
          <t>Föryngringsavverkning</t>
        </is>
      </c>
      <c r="D10906" s="1" t="n">
        <v>46275</v>
      </c>
      <c r="E10906" s="1" t="n">
        <v>46326</v>
      </c>
      <c r="F10906" t="inlineStr">
        <is>
          <t>GÄVLEBORGS LÄN</t>
        </is>
      </c>
      <c r="G10906" t="inlineStr">
        <is>
          <t>BOLLNÄS</t>
        </is>
      </c>
      <c r="H10906" t="inlineStr">
        <is>
          <t>Bergvik skog väst AB</t>
        </is>
      </c>
      <c r="I10906" t="n">
        <v>3.6</v>
      </c>
      <c r="J10906" t="n">
        <v>0</v>
      </c>
      <c r="K10906" t="n">
        <v>0</v>
      </c>
      <c r="L10906" t="n">
        <v>0</v>
      </c>
      <c r="M10906" t="n">
        <v>0</v>
      </c>
      <c r="N10906" t="n">
        <v>0</v>
      </c>
      <c r="O10906" t="n">
        <v>0</v>
      </c>
      <c r="P10906" t="n">
        <v>0</v>
      </c>
      <c r="Q10906" t="n">
        <v>0</v>
      </c>
      <c r="R10906" t="n">
        <v>0</v>
      </c>
      <c r="S10906" t="n">
        <v>0</v>
      </c>
      <c r="T10906" t="n">
        <v>0</v>
      </c>
      <c r="U10906" t="n">
        <v>0</v>
      </c>
      <c r="V10906" s="2" t="inlineStr"/>
    </row>
    <row r="10907" ht="15" customHeight="1">
      <c r="A10907" t="inlineStr">
        <is>
          <t>A 44182-2026</t>
        </is>
      </c>
      <c r="B10907" t="inlineStr">
        <is>
          <t>avverkningsanmälan</t>
        </is>
      </c>
      <c r="C10907" t="inlineStr">
        <is>
          <t>Föryngringsavverkning</t>
        </is>
      </c>
      <c r="D10907" s="1" t="n">
        <v>46318</v>
      </c>
      <c r="E10907" s="1" t="n">
        <v>46326</v>
      </c>
      <c r="F10907" t="inlineStr">
        <is>
          <t>GÄVLEBORGS LÄN</t>
        </is>
      </c>
      <c r="G10907" t="inlineStr">
        <is>
          <t>OVANÅKER</t>
        </is>
      </c>
      <c r="I10907" t="n">
        <v>10.2</v>
      </c>
      <c r="J10907" t="n">
        <v>0</v>
      </c>
      <c r="K10907" t="n">
        <v>0</v>
      </c>
      <c r="L10907" t="n">
        <v>0</v>
      </c>
      <c r="M10907" t="n">
        <v>0</v>
      </c>
      <c r="N10907" t="n">
        <v>0</v>
      </c>
      <c r="O10907" t="n">
        <v>0</v>
      </c>
      <c r="P10907" t="n">
        <v>0</v>
      </c>
      <c r="Q10907" t="n">
        <v>0</v>
      </c>
      <c r="R10907" t="n">
        <v>0</v>
      </c>
      <c r="S10907" t="n">
        <v>0</v>
      </c>
      <c r="T10907" t="n">
        <v>0</v>
      </c>
      <c r="U10907" t="n">
        <v>0</v>
      </c>
      <c r="V10907" s="2" t="inlineStr"/>
    </row>
    <row r="10908" ht="15" customHeight="1">
      <c r="A10908" t="inlineStr">
        <is>
          <t>A 35311-2025</t>
        </is>
      </c>
      <c r="B10908" t="inlineStr">
        <is>
          <t>avverkningsanmälan</t>
        </is>
      </c>
      <c r="C10908" t="inlineStr">
        <is>
          <t>Föryngringsavverkning</t>
        </is>
      </c>
      <c r="D10908" s="1" t="n">
        <v>45854</v>
      </c>
      <c r="E10908" s="1" t="n">
        <v>46326</v>
      </c>
      <c r="F10908" t="inlineStr">
        <is>
          <t>GÄVLEBORGS LÄN</t>
        </is>
      </c>
      <c r="G10908" t="inlineStr">
        <is>
          <t>OVANÅKER</t>
        </is>
      </c>
      <c r="H10908" t="inlineStr">
        <is>
          <t>Bergvik skog väst AB</t>
        </is>
      </c>
      <c r="I10908" t="n">
        <v>4.2</v>
      </c>
      <c r="J10908" t="n">
        <v>0</v>
      </c>
      <c r="K10908" t="n">
        <v>0</v>
      </c>
      <c r="L10908" t="n">
        <v>0</v>
      </c>
      <c r="M10908" t="n">
        <v>0</v>
      </c>
      <c r="N10908" t="n">
        <v>0</v>
      </c>
      <c r="O10908" t="n">
        <v>0</v>
      </c>
      <c r="P10908" t="n">
        <v>0</v>
      </c>
      <c r="Q10908" t="n">
        <v>0</v>
      </c>
      <c r="R10908" t="n">
        <v>0</v>
      </c>
      <c r="S10908" t="n">
        <v>0</v>
      </c>
      <c r="T10908" t="n">
        <v>0</v>
      </c>
      <c r="U10908" t="n">
        <v>0</v>
      </c>
      <c r="V10908" s="2" t="inlineStr"/>
    </row>
    <row r="10909" ht="15" customHeight="1">
      <c r="A10909" t="inlineStr">
        <is>
          <t>A 44188-2026</t>
        </is>
      </c>
      <c r="B10909" t="inlineStr">
        <is>
          <t>avverkningsanmälan</t>
        </is>
      </c>
      <c r="C10909" t="inlineStr">
        <is>
          <t>Föryngringsavverkning</t>
        </is>
      </c>
      <c r="D10909" s="1" t="n">
        <v>46318</v>
      </c>
      <c r="E10909" s="1" t="n">
        <v>46326</v>
      </c>
      <c r="F10909" t="inlineStr">
        <is>
          <t>GÄVLEBORGS LÄN</t>
        </is>
      </c>
      <c r="G10909" t="inlineStr">
        <is>
          <t>OVANÅKER</t>
        </is>
      </c>
      <c r="I10909" t="n">
        <v>1.2</v>
      </c>
      <c r="J10909" t="n">
        <v>0</v>
      </c>
      <c r="K10909" t="n">
        <v>0</v>
      </c>
      <c r="L10909" t="n">
        <v>0</v>
      </c>
      <c r="M10909" t="n">
        <v>0</v>
      </c>
      <c r="N10909" t="n">
        <v>0</v>
      </c>
      <c r="O10909" t="n">
        <v>0</v>
      </c>
      <c r="P10909" t="n">
        <v>0</v>
      </c>
      <c r="Q10909" t="n">
        <v>0</v>
      </c>
      <c r="R10909" t="n">
        <v>0</v>
      </c>
      <c r="S10909" t="n">
        <v>0</v>
      </c>
      <c r="T10909" t="n">
        <v>0</v>
      </c>
      <c r="U10909" t="n">
        <v>0</v>
      </c>
      <c r="V10909" s="2" t="inlineStr"/>
    </row>
    <row r="10910" ht="15" customHeight="1">
      <c r="A10910" t="inlineStr">
        <is>
          <t>A 44189-2026</t>
        </is>
      </c>
      <c r="B10910" t="inlineStr">
        <is>
          <t>avverkningsanmälan</t>
        </is>
      </c>
      <c r="C10910" t="inlineStr">
        <is>
          <t>Avverkning för att bevara och utveckla /försöksver</t>
        </is>
      </c>
      <c r="D10910" s="1" t="n">
        <v>46318</v>
      </c>
      <c r="E10910" s="1" t="n">
        <v>46326</v>
      </c>
      <c r="F10910" t="inlineStr">
        <is>
          <t>GÄVLEBORGS LÄN</t>
        </is>
      </c>
      <c r="G10910" t="inlineStr">
        <is>
          <t>GÄVLE</t>
        </is>
      </c>
      <c r="H10910" t="inlineStr">
        <is>
          <t>Bergvik skog väst AB</t>
        </is>
      </c>
      <c r="I10910" t="n">
        <v>0.5</v>
      </c>
      <c r="J10910" t="n">
        <v>0</v>
      </c>
      <c r="K10910" t="n">
        <v>0</v>
      </c>
      <c r="L10910" t="n">
        <v>0</v>
      </c>
      <c r="M10910" t="n">
        <v>0</v>
      </c>
      <c r="N10910" t="n">
        <v>0</v>
      </c>
      <c r="O10910" t="n">
        <v>0</v>
      </c>
      <c r="P10910" t="n">
        <v>0</v>
      </c>
      <c r="Q10910" t="n">
        <v>0</v>
      </c>
      <c r="R10910" t="n">
        <v>0</v>
      </c>
      <c r="S10910" t="n">
        <v>0</v>
      </c>
      <c r="T10910" t="n">
        <v>0</v>
      </c>
      <c r="U10910" t="n">
        <v>0</v>
      </c>
      <c r="V10910" s="2" t="inlineStr"/>
    </row>
    <row r="10911" ht="15" customHeight="1">
      <c r="A10911" t="inlineStr">
        <is>
          <t>A 14905-2026</t>
        </is>
      </c>
      <c r="B10911" t="inlineStr">
        <is>
          <t>avverkningsanmälan</t>
        </is>
      </c>
      <c r="C10911" t="inlineStr">
        <is>
          <t>Föryngringsavverkning</t>
        </is>
      </c>
      <c r="D10911" s="1" t="n">
        <v>46104</v>
      </c>
      <c r="E10911" s="1" t="n">
        <v>46326</v>
      </c>
      <c r="F10911" t="inlineStr">
        <is>
          <t>GÄVLEBORGS LÄN</t>
        </is>
      </c>
      <c r="G10911" t="inlineStr">
        <is>
          <t>OCKELBO</t>
        </is>
      </c>
      <c r="H10911" t="inlineStr">
        <is>
          <t>Bergvik skog väst AB</t>
        </is>
      </c>
      <c r="I10911" t="n">
        <v>3.9</v>
      </c>
      <c r="J10911" t="n">
        <v>0</v>
      </c>
      <c r="K10911" t="n">
        <v>0</v>
      </c>
      <c r="L10911" t="n">
        <v>0</v>
      </c>
      <c r="M10911" t="n">
        <v>0</v>
      </c>
      <c r="N10911" t="n">
        <v>0</v>
      </c>
      <c r="O10911" t="n">
        <v>0</v>
      </c>
      <c r="P10911" t="n">
        <v>0</v>
      </c>
      <c r="Q10911" t="n">
        <v>0</v>
      </c>
      <c r="R10911" t="n">
        <v>0</v>
      </c>
      <c r="S10911" t="n">
        <v>0</v>
      </c>
      <c r="T10911" t="n">
        <v>0</v>
      </c>
      <c r="U10911" t="n">
        <v>0</v>
      </c>
      <c r="V10911" s="2" t="inlineStr"/>
    </row>
    <row r="10912" ht="15" customHeight="1">
      <c r="A10912" t="inlineStr">
        <is>
          <t>A 44086-2026</t>
        </is>
      </c>
      <c r="B10912" t="inlineStr">
        <is>
          <t>avverkningsanmälan</t>
        </is>
      </c>
      <c r="C10912" t="inlineStr">
        <is>
          <t>Föryngringsavverkning</t>
        </is>
      </c>
      <c r="D10912" s="1" t="n">
        <v>46314</v>
      </c>
      <c r="E10912" s="1" t="n">
        <v>46326</v>
      </c>
      <c r="F10912" t="inlineStr">
        <is>
          <t>GÄVLEBORGS LÄN</t>
        </is>
      </c>
      <c r="G10912" t="inlineStr">
        <is>
          <t>OVANÅKER</t>
        </is>
      </c>
      <c r="I10912" t="n">
        <v>9.6</v>
      </c>
      <c r="J10912" t="n">
        <v>0</v>
      </c>
      <c r="K10912" t="n">
        <v>0</v>
      </c>
      <c r="L10912" t="n">
        <v>0</v>
      </c>
      <c r="M10912" t="n">
        <v>0</v>
      </c>
      <c r="N10912" t="n">
        <v>0</v>
      </c>
      <c r="O10912" t="n">
        <v>0</v>
      </c>
      <c r="P10912" t="n">
        <v>0</v>
      </c>
      <c r="Q10912" t="n">
        <v>0</v>
      </c>
      <c r="R10912" t="n">
        <v>0</v>
      </c>
      <c r="S10912" t="n">
        <v>0</v>
      </c>
      <c r="T10912" t="n">
        <v>0</v>
      </c>
      <c r="U10912" t="n">
        <v>0</v>
      </c>
      <c r="V10912" s="2" t="inlineStr"/>
    </row>
    <row r="10913" ht="15" customHeight="1">
      <c r="A10913" t="inlineStr">
        <is>
          <t>A 15340-2026</t>
        </is>
      </c>
      <c r="B10913" t="inlineStr">
        <is>
          <t>avverkningsanmälan</t>
        </is>
      </c>
      <c r="C10913" t="inlineStr">
        <is>
          <t>Avverkning för annat ändamål</t>
        </is>
      </c>
      <c r="D10913" s="1" t="n">
        <v>46105</v>
      </c>
      <c r="E10913" s="1" t="n">
        <v>46326</v>
      </c>
      <c r="F10913" t="inlineStr">
        <is>
          <t>GÄVLEBORGS LÄN</t>
        </is>
      </c>
      <c r="G10913" t="inlineStr">
        <is>
          <t>SANDVIKEN</t>
        </is>
      </c>
      <c r="I10913" t="n">
        <v>1.8</v>
      </c>
      <c r="J10913" t="n">
        <v>0</v>
      </c>
      <c r="K10913" t="n">
        <v>0</v>
      </c>
      <c r="L10913" t="n">
        <v>0</v>
      </c>
      <c r="M10913" t="n">
        <v>0</v>
      </c>
      <c r="N10913" t="n">
        <v>0</v>
      </c>
      <c r="O10913" t="n">
        <v>0</v>
      </c>
      <c r="P10913" t="n">
        <v>0</v>
      </c>
      <c r="Q10913" t="n">
        <v>0</v>
      </c>
      <c r="R10913" t="n">
        <v>0</v>
      </c>
      <c r="S10913" t="n">
        <v>0</v>
      </c>
      <c r="T10913" t="n">
        <v>0</v>
      </c>
      <c r="U10913" t="n">
        <v>0</v>
      </c>
      <c r="V10913" s="2" t="inlineStr"/>
    </row>
    <row r="10914" ht="15" customHeight="1">
      <c r="A10914" t="inlineStr">
        <is>
          <t>A 44122-2026</t>
        </is>
      </c>
      <c r="B10914" t="inlineStr">
        <is>
          <t>avverkningsanmälan</t>
        </is>
      </c>
      <c r="C10914" t="inlineStr">
        <is>
          <t>Föryngringsavverkning</t>
        </is>
      </c>
      <c r="D10914" s="1" t="n">
        <v>46318</v>
      </c>
      <c r="E10914" s="1" t="n">
        <v>46326</v>
      </c>
      <c r="F10914" t="inlineStr">
        <is>
          <t>GÄVLEBORGS LÄN</t>
        </is>
      </c>
      <c r="G10914" t="inlineStr">
        <is>
          <t>HUDIKSVALL</t>
        </is>
      </c>
      <c r="H10914" t="inlineStr">
        <is>
          <t>Holmen skog AB</t>
        </is>
      </c>
      <c r="I10914" t="n">
        <v>4.9</v>
      </c>
      <c r="J10914" t="n">
        <v>0</v>
      </c>
      <c r="K10914" t="n">
        <v>0</v>
      </c>
      <c r="L10914" t="n">
        <v>0</v>
      </c>
      <c r="M10914" t="n">
        <v>0</v>
      </c>
      <c r="N10914" t="n">
        <v>0</v>
      </c>
      <c r="O10914" t="n">
        <v>0</v>
      </c>
      <c r="P10914" t="n">
        <v>0</v>
      </c>
      <c r="Q10914" t="n">
        <v>0</v>
      </c>
      <c r="R10914" t="n">
        <v>0</v>
      </c>
      <c r="S10914" t="n">
        <v>0</v>
      </c>
      <c r="T10914" t="n">
        <v>0</v>
      </c>
      <c r="U10914" t="n">
        <v>0</v>
      </c>
      <c r="V10914" s="2" t="inlineStr"/>
    </row>
    <row r="10915" ht="15" customHeight="1">
      <c r="A10915" t="inlineStr">
        <is>
          <t>A 44129-2026</t>
        </is>
      </c>
      <c r="B10915" t="inlineStr">
        <is>
          <t>avverkningsanmälan</t>
        </is>
      </c>
      <c r="C10915" t="inlineStr">
        <is>
          <t>Föryngringsavverkning</t>
        </is>
      </c>
      <c r="D10915" s="1" t="n">
        <v>46318</v>
      </c>
      <c r="E10915" s="1" t="n">
        <v>46326</v>
      </c>
      <c r="F10915" t="inlineStr">
        <is>
          <t>GÄVLEBORGS LÄN</t>
        </is>
      </c>
      <c r="G10915" t="inlineStr">
        <is>
          <t>LJUSDAL</t>
        </is>
      </c>
      <c r="H10915" t="inlineStr">
        <is>
          <t>Allmännings- och besparingsskogar</t>
        </is>
      </c>
      <c r="I10915" t="n">
        <v>6.1</v>
      </c>
      <c r="J10915" t="n">
        <v>0</v>
      </c>
      <c r="K10915" t="n">
        <v>0</v>
      </c>
      <c r="L10915" t="n">
        <v>0</v>
      </c>
      <c r="M10915" t="n">
        <v>0</v>
      </c>
      <c r="N10915" t="n">
        <v>0</v>
      </c>
      <c r="O10915" t="n">
        <v>0</v>
      </c>
      <c r="P10915" t="n">
        <v>0</v>
      </c>
      <c r="Q10915" t="n">
        <v>0</v>
      </c>
      <c r="R10915" t="n">
        <v>0</v>
      </c>
      <c r="S10915" t="n">
        <v>0</v>
      </c>
      <c r="T10915" t="n">
        <v>0</v>
      </c>
      <c r="U10915" t="n">
        <v>0</v>
      </c>
      <c r="V10915" s="2" t="inlineStr"/>
    </row>
    <row r="10916" ht="15" customHeight="1">
      <c r="A10916" t="inlineStr">
        <is>
          <t>A 44143-2026</t>
        </is>
      </c>
      <c r="B10916" t="inlineStr">
        <is>
          <t>avverkningsanmälan</t>
        </is>
      </c>
      <c r="C10916" t="inlineStr">
        <is>
          <t>Föryngringsavverkning</t>
        </is>
      </c>
      <c r="D10916" s="1" t="n">
        <v>46318</v>
      </c>
      <c r="E10916" s="1" t="n">
        <v>46326</v>
      </c>
      <c r="F10916" t="inlineStr">
        <is>
          <t>GÄVLEBORGS LÄN</t>
        </is>
      </c>
      <c r="G10916" t="inlineStr">
        <is>
          <t>HUDIKSVALL</t>
        </is>
      </c>
      <c r="H10916" t="inlineStr">
        <is>
          <t>Holmen skog AB</t>
        </is>
      </c>
      <c r="I10916" t="n">
        <v>2.3</v>
      </c>
      <c r="J10916" t="n">
        <v>0</v>
      </c>
      <c r="K10916" t="n">
        <v>0</v>
      </c>
      <c r="L10916" t="n">
        <v>0</v>
      </c>
      <c r="M10916" t="n">
        <v>0</v>
      </c>
      <c r="N10916" t="n">
        <v>0</v>
      </c>
      <c r="O10916" t="n">
        <v>0</v>
      </c>
      <c r="P10916" t="n">
        <v>0</v>
      </c>
      <c r="Q10916" t="n">
        <v>0</v>
      </c>
      <c r="R10916" t="n">
        <v>0</v>
      </c>
      <c r="S10916" t="n">
        <v>0</v>
      </c>
      <c r="T10916" t="n">
        <v>0</v>
      </c>
      <c r="U10916" t="n">
        <v>0</v>
      </c>
      <c r="V10916" s="2" t="inlineStr"/>
    </row>
    <row r="10917" ht="15" customHeight="1">
      <c r="A10917" t="inlineStr">
        <is>
          <t>A 37455-2026</t>
        </is>
      </c>
      <c r="B10917" t="inlineStr">
        <is>
          <t>avverkningsanmälan</t>
        </is>
      </c>
      <c r="C10917" t="inlineStr">
        <is>
          <t>Avverkning för annat ändamål</t>
        </is>
      </c>
      <c r="D10917" s="1" t="n">
        <v>46275</v>
      </c>
      <c r="E10917" s="1" t="n">
        <v>46326</v>
      </c>
      <c r="F10917" t="inlineStr">
        <is>
          <t>GÄVLEBORGS LÄN</t>
        </is>
      </c>
      <c r="G10917" t="inlineStr">
        <is>
          <t>SANDVIKEN</t>
        </is>
      </c>
      <c r="I10917" t="n">
        <v>0.4</v>
      </c>
      <c r="J10917" t="n">
        <v>0</v>
      </c>
      <c r="K10917" t="n">
        <v>0</v>
      </c>
      <c r="L10917" t="n">
        <v>0</v>
      </c>
      <c r="M10917" t="n">
        <v>0</v>
      </c>
      <c r="N10917" t="n">
        <v>0</v>
      </c>
      <c r="O10917" t="n">
        <v>0</v>
      </c>
      <c r="P10917" t="n">
        <v>0</v>
      </c>
      <c r="Q10917" t="n">
        <v>0</v>
      </c>
      <c r="R10917" t="n">
        <v>0</v>
      </c>
      <c r="S10917" t="n">
        <v>0</v>
      </c>
      <c r="T10917" t="n">
        <v>0</v>
      </c>
      <c r="U10917" t="n">
        <v>0</v>
      </c>
      <c r="V10917" s="2" t="inlineStr"/>
    </row>
    <row r="10918" ht="15" customHeight="1">
      <c r="A10918" t="inlineStr">
        <is>
          <t>A 44138-2026</t>
        </is>
      </c>
      <c r="B10918" t="inlineStr">
        <is>
          <t>avverkningsanmälan</t>
        </is>
      </c>
      <c r="C10918" t="inlineStr">
        <is>
          <t>Föryngringsavverkning</t>
        </is>
      </c>
      <c r="D10918" s="1" t="n">
        <v>46318</v>
      </c>
      <c r="E10918" s="1" t="n">
        <v>46326</v>
      </c>
      <c r="F10918" t="inlineStr">
        <is>
          <t>GÄVLEBORGS LÄN</t>
        </is>
      </c>
      <c r="G10918" t="inlineStr">
        <is>
          <t>OVANÅKER</t>
        </is>
      </c>
      <c r="I10918" t="n">
        <v>1.3</v>
      </c>
      <c r="J10918" t="n">
        <v>0</v>
      </c>
      <c r="K10918" t="n">
        <v>0</v>
      </c>
      <c r="L10918" t="n">
        <v>0</v>
      </c>
      <c r="M10918" t="n">
        <v>0</v>
      </c>
      <c r="N10918" t="n">
        <v>0</v>
      </c>
      <c r="O10918" t="n">
        <v>0</v>
      </c>
      <c r="P10918" t="n">
        <v>0</v>
      </c>
      <c r="Q10918" t="n">
        <v>0</v>
      </c>
      <c r="R10918" t="n">
        <v>0</v>
      </c>
      <c r="S10918" t="n">
        <v>0</v>
      </c>
      <c r="T10918" t="n">
        <v>0</v>
      </c>
      <c r="U10918" t="n">
        <v>0</v>
      </c>
      <c r="V10918" s="2" t="inlineStr"/>
    </row>
    <row r="10919" ht="15" customHeight="1">
      <c r="A10919" t="inlineStr">
        <is>
          <t>A 44293-2026</t>
        </is>
      </c>
      <c r="B10919" t="inlineStr">
        <is>
          <t>avverkningsanmälan</t>
        </is>
      </c>
      <c r="C10919" t="inlineStr">
        <is>
          <t>Föryngringsavverkning</t>
        </is>
      </c>
      <c r="D10919" s="1" t="n">
        <v>46318</v>
      </c>
      <c r="E10919" s="1" t="n">
        <v>46326</v>
      </c>
      <c r="F10919" t="inlineStr">
        <is>
          <t>GÄVLEBORGS LÄN</t>
        </is>
      </c>
      <c r="G10919" t="inlineStr">
        <is>
          <t>NORDANSTIG</t>
        </is>
      </c>
      <c r="I10919" t="n">
        <v>5.2</v>
      </c>
      <c r="J10919" t="n">
        <v>0</v>
      </c>
      <c r="K10919" t="n">
        <v>0</v>
      </c>
      <c r="L10919" t="n">
        <v>0</v>
      </c>
      <c r="M10919" t="n">
        <v>0</v>
      </c>
      <c r="N10919" t="n">
        <v>0</v>
      </c>
      <c r="O10919" t="n">
        <v>0</v>
      </c>
      <c r="P10919" t="n">
        <v>0</v>
      </c>
      <c r="Q10919" t="n">
        <v>0</v>
      </c>
      <c r="R10919" t="n">
        <v>0</v>
      </c>
      <c r="S10919" t="n">
        <v>0</v>
      </c>
      <c r="T10919" t="n">
        <v>0</v>
      </c>
      <c r="U10919" t="n">
        <v>0</v>
      </c>
      <c r="V10919" s="2" t="inlineStr"/>
    </row>
    <row r="10920" ht="15" customHeight="1">
      <c r="A10920" t="inlineStr">
        <is>
          <t>A 44315-2026</t>
        </is>
      </c>
      <c r="B10920" t="inlineStr">
        <is>
          <t>avverkningsanmälan</t>
        </is>
      </c>
      <c r="C10920" t="inlineStr">
        <is>
          <t>Föryngringsavverkning</t>
        </is>
      </c>
      <c r="D10920" s="1" t="n">
        <v>46320</v>
      </c>
      <c r="E10920" s="1" t="n">
        <v>46326</v>
      </c>
      <c r="F10920" t="inlineStr">
        <is>
          <t>GÄVLEBORGS LÄN</t>
        </is>
      </c>
      <c r="G10920" t="inlineStr">
        <is>
          <t>HUDIKSVALL</t>
        </is>
      </c>
      <c r="I10920" t="n">
        <v>0.2</v>
      </c>
      <c r="J10920" t="n">
        <v>0</v>
      </c>
      <c r="K10920" t="n">
        <v>0</v>
      </c>
      <c r="L10920" t="n">
        <v>0</v>
      </c>
      <c r="M10920" t="n">
        <v>0</v>
      </c>
      <c r="N10920" t="n">
        <v>0</v>
      </c>
      <c r="O10920" t="n">
        <v>0</v>
      </c>
      <c r="P10920" t="n">
        <v>0</v>
      </c>
      <c r="Q10920" t="n">
        <v>0</v>
      </c>
      <c r="R10920" t="n">
        <v>0</v>
      </c>
      <c r="S10920" t="n">
        <v>0</v>
      </c>
      <c r="T10920" t="n">
        <v>0</v>
      </c>
      <c r="U10920" t="n">
        <v>0</v>
      </c>
      <c r="V10920" s="2" t="inlineStr"/>
    </row>
    <row r="10921" ht="15" customHeight="1">
      <c r="A10921" t="inlineStr">
        <is>
          <t>A 44323-2026</t>
        </is>
      </c>
      <c r="B10921" t="inlineStr">
        <is>
          <t>avverkningsanmälan</t>
        </is>
      </c>
      <c r="C10921" t="inlineStr">
        <is>
          <t>Föryngringsavverkning</t>
        </is>
      </c>
      <c r="D10921" s="1" t="n">
        <v>46321</v>
      </c>
      <c r="E10921" s="1" t="n">
        <v>46326</v>
      </c>
      <c r="F10921" t="inlineStr">
        <is>
          <t>GÄVLEBORGS LÄN</t>
        </is>
      </c>
      <c r="G10921" t="inlineStr">
        <is>
          <t>OVANÅKER</t>
        </is>
      </c>
      <c r="I10921" t="n">
        <v>2</v>
      </c>
      <c r="J10921" t="n">
        <v>0</v>
      </c>
      <c r="K10921" t="n">
        <v>0</v>
      </c>
      <c r="L10921" t="n">
        <v>0</v>
      </c>
      <c r="M10921" t="n">
        <v>0</v>
      </c>
      <c r="N10921" t="n">
        <v>0</v>
      </c>
      <c r="O10921" t="n">
        <v>0</v>
      </c>
      <c r="P10921" t="n">
        <v>0</v>
      </c>
      <c r="Q10921" t="n">
        <v>0</v>
      </c>
      <c r="R10921" t="n">
        <v>0</v>
      </c>
      <c r="S10921" t="n">
        <v>0</v>
      </c>
      <c r="T10921" t="n">
        <v>0</v>
      </c>
      <c r="U10921" t="n">
        <v>0</v>
      </c>
      <c r="V10921" s="2" t="inlineStr"/>
    </row>
    <row r="10922" ht="15" customHeight="1">
      <c r="A10922" t="inlineStr">
        <is>
          <t>A 26238-2026</t>
        </is>
      </c>
      <c r="B10922" t="inlineStr">
        <is>
          <t>avverkningsanmälan</t>
        </is>
      </c>
      <c r="C10922" t="inlineStr">
        <is>
          <t>Föryngringsavverkning</t>
        </is>
      </c>
      <c r="D10922" s="1" t="n">
        <v>46182</v>
      </c>
      <c r="E10922" s="1" t="n">
        <v>46326</v>
      </c>
      <c r="F10922" t="inlineStr">
        <is>
          <t>GÄVLEBORGS LÄN</t>
        </is>
      </c>
      <c r="G10922" t="inlineStr">
        <is>
          <t>NORDANSTIG</t>
        </is>
      </c>
      <c r="H10922" t="inlineStr">
        <is>
          <t>SCA</t>
        </is>
      </c>
      <c r="I10922" t="n">
        <v>1.1</v>
      </c>
      <c r="J10922" t="n">
        <v>0</v>
      </c>
      <c r="K10922" t="n">
        <v>0</v>
      </c>
      <c r="L10922" t="n">
        <v>0</v>
      </c>
      <c r="M10922" t="n">
        <v>0</v>
      </c>
      <c r="N10922" t="n">
        <v>0</v>
      </c>
      <c r="O10922" t="n">
        <v>0</v>
      </c>
      <c r="P10922" t="n">
        <v>0</v>
      </c>
      <c r="Q10922" t="n">
        <v>0</v>
      </c>
      <c r="R10922" t="n">
        <v>0</v>
      </c>
      <c r="S10922" t="n">
        <v>0</v>
      </c>
      <c r="T10922" t="n">
        <v>0</v>
      </c>
      <c r="U10922" t="n">
        <v>0</v>
      </c>
      <c r="V10922" s="2" t="inlineStr"/>
    </row>
    <row r="10923" ht="15" customHeight="1">
      <c r="A10923" t="inlineStr">
        <is>
          <t>A 15718-2026</t>
        </is>
      </c>
      <c r="B10923" t="inlineStr">
        <is>
          <t>avverkningsanmälan</t>
        </is>
      </c>
      <c r="C10923" t="inlineStr">
        <is>
          <t>Föryngringsavverkning</t>
        </is>
      </c>
      <c r="D10923" s="1" t="n">
        <v>46107</v>
      </c>
      <c r="E10923" s="1" t="n">
        <v>46326</v>
      </c>
      <c r="F10923" t="inlineStr">
        <is>
          <t>GÄVLEBORGS LÄN</t>
        </is>
      </c>
      <c r="G10923" t="inlineStr">
        <is>
          <t>BOLLNÄS</t>
        </is>
      </c>
      <c r="I10923" t="n">
        <v>2.8</v>
      </c>
      <c r="J10923" t="n">
        <v>0</v>
      </c>
      <c r="K10923" t="n">
        <v>0</v>
      </c>
      <c r="L10923" t="n">
        <v>0</v>
      </c>
      <c r="M10923" t="n">
        <v>0</v>
      </c>
      <c r="N10923" t="n">
        <v>0</v>
      </c>
      <c r="O10923" t="n">
        <v>0</v>
      </c>
      <c r="P10923" t="n">
        <v>0</v>
      </c>
      <c r="Q10923" t="n">
        <v>0</v>
      </c>
      <c r="R10923" t="n">
        <v>0</v>
      </c>
      <c r="S10923" t="n">
        <v>0</v>
      </c>
      <c r="T10923" t="n">
        <v>0</v>
      </c>
      <c r="U10923" t="n">
        <v>0</v>
      </c>
      <c r="V10923" s="2" t="inlineStr"/>
    </row>
    <row r="10924" ht="15" customHeight="1">
      <c r="A10924" t="inlineStr">
        <is>
          <t>A 37559-2026</t>
        </is>
      </c>
      <c r="B10924" t="inlineStr">
        <is>
          <t>avverkningsanmälan</t>
        </is>
      </c>
      <c r="C10924" t="inlineStr">
        <is>
          <t>Föryngringsavverkning</t>
        </is>
      </c>
      <c r="D10924" s="1" t="n">
        <v>46276</v>
      </c>
      <c r="E10924" s="1" t="n">
        <v>46326</v>
      </c>
      <c r="F10924" t="inlineStr">
        <is>
          <t>GÄVLEBORGS LÄN</t>
        </is>
      </c>
      <c r="G10924" t="inlineStr">
        <is>
          <t>BOLLNÄS</t>
        </is>
      </c>
      <c r="H10924" t="inlineStr">
        <is>
          <t>Bergvik skog väst AB</t>
        </is>
      </c>
      <c r="I10924" t="n">
        <v>5.5</v>
      </c>
      <c r="J10924" t="n">
        <v>0</v>
      </c>
      <c r="K10924" t="n">
        <v>0</v>
      </c>
      <c r="L10924" t="n">
        <v>0</v>
      </c>
      <c r="M10924" t="n">
        <v>0</v>
      </c>
      <c r="N10924" t="n">
        <v>0</v>
      </c>
      <c r="O10924" t="n">
        <v>0</v>
      </c>
      <c r="P10924" t="n">
        <v>0</v>
      </c>
      <c r="Q10924" t="n">
        <v>0</v>
      </c>
      <c r="R10924" t="n">
        <v>0</v>
      </c>
      <c r="S10924" t="n">
        <v>0</v>
      </c>
      <c r="T10924" t="n">
        <v>0</v>
      </c>
      <c r="U10924" t="n">
        <v>0</v>
      </c>
      <c r="V10924" s="2" t="inlineStr"/>
    </row>
    <row r="10925" ht="15" customHeight="1">
      <c r="A10925" t="inlineStr">
        <is>
          <t>A 37573-2026</t>
        </is>
      </c>
      <c r="B10925" t="inlineStr">
        <is>
          <t>avverkningsanmälan</t>
        </is>
      </c>
      <c r="C10925" t="inlineStr">
        <is>
          <t>Föryngringsavverkning</t>
        </is>
      </c>
      <c r="D10925" s="1" t="n">
        <v>46276</v>
      </c>
      <c r="E10925" s="1" t="n">
        <v>46326</v>
      </c>
      <c r="F10925" t="inlineStr">
        <is>
          <t>GÄVLEBORGS LÄN</t>
        </is>
      </c>
      <c r="G10925" t="inlineStr">
        <is>
          <t>GÄVLE</t>
        </is>
      </c>
      <c r="H10925" t="inlineStr">
        <is>
          <t>Bergvik skog väst AB</t>
        </is>
      </c>
      <c r="I10925" t="n">
        <v>2.2</v>
      </c>
      <c r="J10925" t="n">
        <v>0</v>
      </c>
      <c r="K10925" t="n">
        <v>0</v>
      </c>
      <c r="L10925" t="n">
        <v>0</v>
      </c>
      <c r="M10925" t="n">
        <v>0</v>
      </c>
      <c r="N10925" t="n">
        <v>0</v>
      </c>
      <c r="O10925" t="n">
        <v>0</v>
      </c>
      <c r="P10925" t="n">
        <v>0</v>
      </c>
      <c r="Q10925" t="n">
        <v>0</v>
      </c>
      <c r="R10925" t="n">
        <v>0</v>
      </c>
      <c r="S10925" t="n">
        <v>0</v>
      </c>
      <c r="T10925" t="n">
        <v>0</v>
      </c>
      <c r="U10925" t="n">
        <v>0</v>
      </c>
      <c r="V10925" s="2" t="inlineStr"/>
    </row>
    <row r="10926" ht="15" customHeight="1">
      <c r="A10926" t="inlineStr">
        <is>
          <t>A 37391-2026</t>
        </is>
      </c>
      <c r="B10926" t="inlineStr">
        <is>
          <t>avverkningsanmälan</t>
        </is>
      </c>
      <c r="C10926" t="inlineStr">
        <is>
          <t>Föryngringsavverkning</t>
        </is>
      </c>
      <c r="D10926" s="1" t="n">
        <v>46275</v>
      </c>
      <c r="E10926" s="1" t="n">
        <v>46326</v>
      </c>
      <c r="F10926" t="inlineStr">
        <is>
          <t>GÄVLEBORGS LÄN</t>
        </is>
      </c>
      <c r="G10926" t="inlineStr">
        <is>
          <t>GÄVLE</t>
        </is>
      </c>
      <c r="H10926" t="inlineStr">
        <is>
          <t>Bergvik skog väst AB</t>
        </is>
      </c>
      <c r="I10926" t="n">
        <v>1.5</v>
      </c>
      <c r="J10926" t="n">
        <v>0</v>
      </c>
      <c r="K10926" t="n">
        <v>0</v>
      </c>
      <c r="L10926" t="n">
        <v>0</v>
      </c>
      <c r="M10926" t="n">
        <v>0</v>
      </c>
      <c r="N10926" t="n">
        <v>0</v>
      </c>
      <c r="O10926" t="n">
        <v>0</v>
      </c>
      <c r="P10926" t="n">
        <v>0</v>
      </c>
      <c r="Q10926" t="n">
        <v>0</v>
      </c>
      <c r="R10926" t="n">
        <v>0</v>
      </c>
      <c r="S10926" t="n">
        <v>0</v>
      </c>
      <c r="T10926" t="n">
        <v>0</v>
      </c>
      <c r="U10926" t="n">
        <v>0</v>
      </c>
      <c r="V10926" s="2" t="inlineStr"/>
    </row>
    <row r="10927" ht="15" customHeight="1">
      <c r="A10927" t="inlineStr">
        <is>
          <t>A 37401-2026</t>
        </is>
      </c>
      <c r="B10927" t="inlineStr">
        <is>
          <t>avverkningsanmälan</t>
        </is>
      </c>
      <c r="C10927" t="inlineStr">
        <is>
          <t>Föryngringsavverkning</t>
        </is>
      </c>
      <c r="D10927" s="1" t="n">
        <v>46275</v>
      </c>
      <c r="E10927" s="1" t="n">
        <v>46326</v>
      </c>
      <c r="F10927" t="inlineStr">
        <is>
          <t>GÄVLEBORGS LÄN</t>
        </is>
      </c>
      <c r="G10927" t="inlineStr">
        <is>
          <t>GÄVLE</t>
        </is>
      </c>
      <c r="H10927" t="inlineStr">
        <is>
          <t>Bergvik skog väst AB</t>
        </is>
      </c>
      <c r="I10927" t="n">
        <v>19.1</v>
      </c>
      <c r="J10927" t="n">
        <v>0</v>
      </c>
      <c r="K10927" t="n">
        <v>0</v>
      </c>
      <c r="L10927" t="n">
        <v>0</v>
      </c>
      <c r="M10927" t="n">
        <v>0</v>
      </c>
      <c r="N10927" t="n">
        <v>0</v>
      </c>
      <c r="O10927" t="n">
        <v>0</v>
      </c>
      <c r="P10927" t="n">
        <v>0</v>
      </c>
      <c r="Q10927" t="n">
        <v>0</v>
      </c>
      <c r="R10927" t="n">
        <v>0</v>
      </c>
      <c r="S10927" t="n">
        <v>0</v>
      </c>
      <c r="T10927" t="n">
        <v>0</v>
      </c>
      <c r="U10927" t="n">
        <v>0</v>
      </c>
      <c r="V10927" s="2" t="inlineStr"/>
    </row>
    <row r="10928" ht="15" customHeight="1">
      <c r="A10928" t="inlineStr">
        <is>
          <t>A 44091-2026</t>
        </is>
      </c>
      <c r="B10928" t="inlineStr">
        <is>
          <t>avverkningsanmälan</t>
        </is>
      </c>
      <c r="C10928" t="inlineStr">
        <is>
          <t>Föryngringsavverkning</t>
        </is>
      </c>
      <c r="D10928" s="1" t="n">
        <v>46318</v>
      </c>
      <c r="E10928" s="1" t="n">
        <v>46326</v>
      </c>
      <c r="F10928" t="inlineStr">
        <is>
          <t>GÄVLEBORGS LÄN</t>
        </is>
      </c>
      <c r="G10928" t="inlineStr">
        <is>
          <t>OVANÅKER</t>
        </is>
      </c>
      <c r="I10928" t="n">
        <v>3.2</v>
      </c>
      <c r="J10928" t="n">
        <v>0</v>
      </c>
      <c r="K10928" t="n">
        <v>0</v>
      </c>
      <c r="L10928" t="n">
        <v>0</v>
      </c>
      <c r="M10928" t="n">
        <v>0</v>
      </c>
      <c r="N10928" t="n">
        <v>0</v>
      </c>
      <c r="O10928" t="n">
        <v>0</v>
      </c>
      <c r="P10928" t="n">
        <v>0</v>
      </c>
      <c r="Q10928" t="n">
        <v>0</v>
      </c>
      <c r="R10928" t="n">
        <v>0</v>
      </c>
      <c r="S10928" t="n">
        <v>0</v>
      </c>
      <c r="T10928" t="n">
        <v>0</v>
      </c>
      <c r="U10928" t="n">
        <v>0</v>
      </c>
      <c r="V10928" s="2" t="inlineStr"/>
    </row>
    <row r="10929" ht="15" customHeight="1">
      <c r="A10929" t="inlineStr">
        <is>
          <t>A 44095-2026</t>
        </is>
      </c>
      <c r="B10929" t="inlineStr">
        <is>
          <t>avverkningsanmälan</t>
        </is>
      </c>
      <c r="C10929" t="inlineStr">
        <is>
          <t>Föryngringsavverkning</t>
        </is>
      </c>
      <c r="D10929" s="1" t="n">
        <v>46318</v>
      </c>
      <c r="E10929" s="1" t="n">
        <v>46326</v>
      </c>
      <c r="F10929" t="inlineStr">
        <is>
          <t>GÄVLEBORGS LÄN</t>
        </is>
      </c>
      <c r="G10929" t="inlineStr">
        <is>
          <t>OVANÅKER</t>
        </is>
      </c>
      <c r="I10929" t="n">
        <v>0.9</v>
      </c>
      <c r="J10929" t="n">
        <v>0</v>
      </c>
      <c r="K10929" t="n">
        <v>0</v>
      </c>
      <c r="L10929" t="n">
        <v>0</v>
      </c>
      <c r="M10929" t="n">
        <v>0</v>
      </c>
      <c r="N10929" t="n">
        <v>0</v>
      </c>
      <c r="O10929" t="n">
        <v>0</v>
      </c>
      <c r="P10929" t="n">
        <v>0</v>
      </c>
      <c r="Q10929" t="n">
        <v>0</v>
      </c>
      <c r="R10929" t="n">
        <v>0</v>
      </c>
      <c r="S10929" t="n">
        <v>0</v>
      </c>
      <c r="T10929" t="n">
        <v>0</v>
      </c>
      <c r="U10929" t="n">
        <v>0</v>
      </c>
      <c r="V10929" s="2" t="inlineStr"/>
    </row>
    <row r="10930" ht="15" customHeight="1">
      <c r="A10930" t="inlineStr">
        <is>
          <t>A 37454-2026</t>
        </is>
      </c>
      <c r="B10930" t="inlineStr">
        <is>
          <t>avverkningsanmälan</t>
        </is>
      </c>
      <c r="C10930" t="inlineStr">
        <is>
          <t>Föryngringsavverkning</t>
        </is>
      </c>
      <c r="D10930" s="1" t="n">
        <v>46275</v>
      </c>
      <c r="E10930" s="1" t="n">
        <v>46326</v>
      </c>
      <c r="F10930" t="inlineStr">
        <is>
          <t>GÄVLEBORGS LÄN</t>
        </is>
      </c>
      <c r="G10930" t="inlineStr">
        <is>
          <t>NORDANSTIG</t>
        </is>
      </c>
      <c r="I10930" t="n">
        <v>0.9</v>
      </c>
      <c r="J10930" t="n">
        <v>0</v>
      </c>
      <c r="K10930" t="n">
        <v>0</v>
      </c>
      <c r="L10930" t="n">
        <v>0</v>
      </c>
      <c r="M10930" t="n">
        <v>0</v>
      </c>
      <c r="N10930" t="n">
        <v>0</v>
      </c>
      <c r="O10930" t="n">
        <v>0</v>
      </c>
      <c r="P10930" t="n">
        <v>0</v>
      </c>
      <c r="Q10930" t="n">
        <v>0</v>
      </c>
      <c r="R10930" t="n">
        <v>0</v>
      </c>
      <c r="S10930" t="n">
        <v>0</v>
      </c>
      <c r="T10930" t="n">
        <v>0</v>
      </c>
      <c r="U10930" t="n">
        <v>0</v>
      </c>
      <c r="V10930" s="2" t="inlineStr"/>
    </row>
    <row r="10931" ht="15" customHeight="1">
      <c r="A10931" t="inlineStr">
        <is>
          <t>A 37509-2026</t>
        </is>
      </c>
      <c r="B10931" t="inlineStr">
        <is>
          <t>avverkningsanmälan</t>
        </is>
      </c>
      <c r="C10931" t="inlineStr">
        <is>
          <t>Föryngringsavverkning</t>
        </is>
      </c>
      <c r="D10931" s="1" t="n">
        <v>46276</v>
      </c>
      <c r="E10931" s="1" t="n">
        <v>46326</v>
      </c>
      <c r="F10931" t="inlineStr">
        <is>
          <t>GÄVLEBORGS LÄN</t>
        </is>
      </c>
      <c r="G10931" t="inlineStr">
        <is>
          <t>OVANÅKER</t>
        </is>
      </c>
      <c r="I10931" t="n">
        <v>6.8</v>
      </c>
      <c r="J10931" t="n">
        <v>0</v>
      </c>
      <c r="K10931" t="n">
        <v>0</v>
      </c>
      <c r="L10931" t="n">
        <v>0</v>
      </c>
      <c r="M10931" t="n">
        <v>0</v>
      </c>
      <c r="N10931" t="n">
        <v>0</v>
      </c>
      <c r="O10931" t="n">
        <v>0</v>
      </c>
      <c r="P10931" t="n">
        <v>0</v>
      </c>
      <c r="Q10931" t="n">
        <v>0</v>
      </c>
      <c r="R10931" t="n">
        <v>0</v>
      </c>
      <c r="S10931" t="n">
        <v>0</v>
      </c>
      <c r="T10931" t="n">
        <v>0</v>
      </c>
      <c r="U10931" t="n">
        <v>0</v>
      </c>
      <c r="V10931" s="2" t="inlineStr"/>
    </row>
    <row r="10932" ht="15" customHeight="1">
      <c r="A10932" t="inlineStr">
        <is>
          <t>A 37520-2026</t>
        </is>
      </c>
      <c r="B10932" t="inlineStr">
        <is>
          <t>avverkningsanmälan</t>
        </is>
      </c>
      <c r="C10932" t="inlineStr">
        <is>
          <t>Föryngringsavverkning</t>
        </is>
      </c>
      <c r="D10932" s="1" t="n">
        <v>46276</v>
      </c>
      <c r="E10932" s="1" t="n">
        <v>46326</v>
      </c>
      <c r="F10932" t="inlineStr">
        <is>
          <t>GÄVLEBORGS LÄN</t>
        </is>
      </c>
      <c r="G10932" t="inlineStr">
        <is>
          <t>BOLLNÄS</t>
        </is>
      </c>
      <c r="H10932" t="inlineStr">
        <is>
          <t>Bergvik skog väst AB</t>
        </is>
      </c>
      <c r="I10932" t="n">
        <v>4</v>
      </c>
      <c r="J10932" t="n">
        <v>0</v>
      </c>
      <c r="K10932" t="n">
        <v>0</v>
      </c>
      <c r="L10932" t="n">
        <v>0</v>
      </c>
      <c r="M10932" t="n">
        <v>0</v>
      </c>
      <c r="N10932" t="n">
        <v>0</v>
      </c>
      <c r="O10932" t="n">
        <v>0</v>
      </c>
      <c r="P10932" t="n">
        <v>0</v>
      </c>
      <c r="Q10932" t="n">
        <v>0</v>
      </c>
      <c r="R10932" t="n">
        <v>0</v>
      </c>
      <c r="S10932" t="n">
        <v>0</v>
      </c>
      <c r="T10932" t="n">
        <v>0</v>
      </c>
      <c r="U10932" t="n">
        <v>0</v>
      </c>
      <c r="V10932" s="2" t="inlineStr"/>
    </row>
    <row r="10933" ht="15" customHeight="1">
      <c r="A10933" t="inlineStr">
        <is>
          <t>A 37418-2026</t>
        </is>
      </c>
      <c r="B10933" t="inlineStr">
        <is>
          <t>avverkningsanmälan</t>
        </is>
      </c>
      <c r="C10933" t="inlineStr">
        <is>
          <t>Föryngringsavverkning</t>
        </is>
      </c>
      <c r="D10933" s="1" t="n">
        <v>46275</v>
      </c>
      <c r="E10933" s="1" t="n">
        <v>46326</v>
      </c>
      <c r="F10933" t="inlineStr">
        <is>
          <t>GÄVLEBORGS LÄN</t>
        </is>
      </c>
      <c r="G10933" t="inlineStr">
        <is>
          <t>LJUSDAL</t>
        </is>
      </c>
      <c r="H10933" t="inlineStr">
        <is>
          <t>Allmännings- och besparingsskogar</t>
        </is>
      </c>
      <c r="I10933" t="n">
        <v>12.7</v>
      </c>
      <c r="J10933" t="n">
        <v>0</v>
      </c>
      <c r="K10933" t="n">
        <v>0</v>
      </c>
      <c r="L10933" t="n">
        <v>0</v>
      </c>
      <c r="M10933" t="n">
        <v>0</v>
      </c>
      <c r="N10933" t="n">
        <v>0</v>
      </c>
      <c r="O10933" t="n">
        <v>0</v>
      </c>
      <c r="P10933" t="n">
        <v>0</v>
      </c>
      <c r="Q10933" t="n">
        <v>0</v>
      </c>
      <c r="R10933" t="n">
        <v>0</v>
      </c>
      <c r="S10933" t="n">
        <v>0</v>
      </c>
      <c r="T10933" t="n">
        <v>0</v>
      </c>
      <c r="U10933" t="n">
        <v>0</v>
      </c>
      <c r="V10933" s="2" t="inlineStr"/>
    </row>
    <row r="10934" ht="15" customHeight="1">
      <c r="A10934" t="inlineStr">
        <is>
          <t>A 44217-2026</t>
        </is>
      </c>
      <c r="B10934" t="inlineStr">
        <is>
          <t>avverkningsanmälan</t>
        </is>
      </c>
      <c r="C10934" t="inlineStr">
        <is>
          <t>Föryngringsavverkning</t>
        </is>
      </c>
      <c r="D10934" s="1" t="n">
        <v>46318</v>
      </c>
      <c r="E10934" s="1" t="n">
        <v>46326</v>
      </c>
      <c r="F10934" t="inlineStr">
        <is>
          <t>GÄVLEBORGS LÄN</t>
        </is>
      </c>
      <c r="G10934" t="inlineStr">
        <is>
          <t>GÄVLE</t>
        </is>
      </c>
      <c r="H10934" t="inlineStr">
        <is>
          <t>Bergvik skog väst AB</t>
        </is>
      </c>
      <c r="I10934" t="n">
        <v>2.4</v>
      </c>
      <c r="J10934" t="n">
        <v>0</v>
      </c>
      <c r="K10934" t="n">
        <v>0</v>
      </c>
      <c r="L10934" t="n">
        <v>0</v>
      </c>
      <c r="M10934" t="n">
        <v>0</v>
      </c>
      <c r="N10934" t="n">
        <v>0</v>
      </c>
      <c r="O10934" t="n">
        <v>0</v>
      </c>
      <c r="P10934" t="n">
        <v>0</v>
      </c>
      <c r="Q10934" t="n">
        <v>0</v>
      </c>
      <c r="R10934" t="n">
        <v>0</v>
      </c>
      <c r="S10934" t="n">
        <v>0</v>
      </c>
      <c r="T10934" t="n">
        <v>0</v>
      </c>
      <c r="U10934" t="n">
        <v>0</v>
      </c>
      <c r="V10934" s="2" t="inlineStr"/>
    </row>
    <row r="10935" ht="15" customHeight="1">
      <c r="A10935" t="inlineStr">
        <is>
          <t>A 37512-2026</t>
        </is>
      </c>
      <c r="B10935" t="inlineStr">
        <is>
          <t>avverkningsanmälan</t>
        </is>
      </c>
      <c r="C10935" t="inlineStr">
        <is>
          <t>Föryngringsavverkning</t>
        </is>
      </c>
      <c r="D10935" s="1" t="n">
        <v>46276</v>
      </c>
      <c r="E10935" s="1" t="n">
        <v>46326</v>
      </c>
      <c r="F10935" t="inlineStr">
        <is>
          <t>GÄVLEBORGS LÄN</t>
        </is>
      </c>
      <c r="G10935" t="inlineStr">
        <is>
          <t>BOLLNÄS</t>
        </is>
      </c>
      <c r="H10935" t="inlineStr">
        <is>
          <t>Bergvik skog väst AB</t>
        </is>
      </c>
      <c r="I10935" t="n">
        <v>13.1</v>
      </c>
      <c r="J10935" t="n">
        <v>0</v>
      </c>
      <c r="K10935" t="n">
        <v>0</v>
      </c>
      <c r="L10935" t="n">
        <v>0</v>
      </c>
      <c r="M10935" t="n">
        <v>0</v>
      </c>
      <c r="N10935" t="n">
        <v>0</v>
      </c>
      <c r="O10935" t="n">
        <v>0</v>
      </c>
      <c r="P10935" t="n">
        <v>0</v>
      </c>
      <c r="Q10935" t="n">
        <v>0</v>
      </c>
      <c r="R10935" t="n">
        <v>0</v>
      </c>
      <c r="S10935" t="n">
        <v>0</v>
      </c>
      <c r="T10935" t="n">
        <v>0</v>
      </c>
      <c r="U10935" t="n">
        <v>0</v>
      </c>
      <c r="V10935" s="2" t="inlineStr"/>
    </row>
    <row r="10936" ht="15" customHeight="1">
      <c r="A10936" t="inlineStr">
        <is>
          <t>A 44259-2026</t>
        </is>
      </c>
      <c r="B10936" t="inlineStr">
        <is>
          <t>avverkningsanmälan</t>
        </is>
      </c>
      <c r="C10936" t="inlineStr">
        <is>
          <t>Föryngringsavverkning</t>
        </is>
      </c>
      <c r="D10936" s="1" t="n">
        <v>46318</v>
      </c>
      <c r="E10936" s="1" t="n">
        <v>46326</v>
      </c>
      <c r="F10936" t="inlineStr">
        <is>
          <t>GÄVLEBORGS LÄN</t>
        </is>
      </c>
      <c r="G10936" t="inlineStr">
        <is>
          <t>LJUSDAL</t>
        </is>
      </c>
      <c r="I10936" t="n">
        <v>2.2</v>
      </c>
      <c r="J10936" t="n">
        <v>0</v>
      </c>
      <c r="K10936" t="n">
        <v>0</v>
      </c>
      <c r="L10936" t="n">
        <v>0</v>
      </c>
      <c r="M10936" t="n">
        <v>0</v>
      </c>
      <c r="N10936" t="n">
        <v>0</v>
      </c>
      <c r="O10936" t="n">
        <v>0</v>
      </c>
      <c r="P10936" t="n">
        <v>0</v>
      </c>
      <c r="Q10936" t="n">
        <v>0</v>
      </c>
      <c r="R10936" t="n">
        <v>0</v>
      </c>
      <c r="S10936" t="n">
        <v>0</v>
      </c>
      <c r="T10936" t="n">
        <v>0</v>
      </c>
      <c r="U10936" t="n">
        <v>0</v>
      </c>
      <c r="V10936" s="2" t="inlineStr"/>
    </row>
    <row r="10937" ht="15" customHeight="1">
      <c r="A10937" t="inlineStr">
        <is>
          <t>A 37487-2026</t>
        </is>
      </c>
      <c r="B10937" t="inlineStr">
        <is>
          <t>avverkningsanmälan</t>
        </is>
      </c>
      <c r="C10937" t="inlineStr">
        <is>
          <t>Föryngringsavverkning</t>
        </is>
      </c>
      <c r="D10937" s="1" t="n">
        <v>46275</v>
      </c>
      <c r="E10937" s="1" t="n">
        <v>46326</v>
      </c>
      <c r="F10937" t="inlineStr">
        <is>
          <t>GÄVLEBORGS LÄN</t>
        </is>
      </c>
      <c r="G10937" t="inlineStr">
        <is>
          <t>OCKELBO</t>
        </is>
      </c>
      <c r="H10937" t="inlineStr">
        <is>
          <t>Bergvik skog väst AB</t>
        </is>
      </c>
      <c r="I10937" t="n">
        <v>3</v>
      </c>
      <c r="J10937" t="n">
        <v>0</v>
      </c>
      <c r="K10937" t="n">
        <v>0</v>
      </c>
      <c r="L10937" t="n">
        <v>0</v>
      </c>
      <c r="M10937" t="n">
        <v>0</v>
      </c>
      <c r="N10937" t="n">
        <v>0</v>
      </c>
      <c r="O10937" t="n">
        <v>0</v>
      </c>
      <c r="P10937" t="n">
        <v>0</v>
      </c>
      <c r="Q10937" t="n">
        <v>0</v>
      </c>
      <c r="R10937" t="n">
        <v>0</v>
      </c>
      <c r="S10937" t="n">
        <v>0</v>
      </c>
      <c r="T10937" t="n">
        <v>0</v>
      </c>
      <c r="U10937" t="n">
        <v>0</v>
      </c>
      <c r="V10937" s="2" t="inlineStr"/>
    </row>
    <row r="10938" ht="15" customHeight="1">
      <c r="A10938" t="inlineStr">
        <is>
          <t>A 44114-2026</t>
        </is>
      </c>
      <c r="B10938" t="inlineStr">
        <is>
          <t>avverkningsanmälan</t>
        </is>
      </c>
      <c r="C10938" t="inlineStr">
        <is>
          <t>Föryngringsavverkning</t>
        </is>
      </c>
      <c r="D10938" s="1" t="n">
        <v>46318</v>
      </c>
      <c r="E10938" s="1" t="n">
        <v>46326</v>
      </c>
      <c r="F10938" t="inlineStr">
        <is>
          <t>GÄVLEBORGS LÄN</t>
        </is>
      </c>
      <c r="G10938" t="inlineStr">
        <is>
          <t>SÖDERHAMN</t>
        </is>
      </c>
      <c r="H10938" t="inlineStr">
        <is>
          <t>Bergvik skog väst AB</t>
        </is>
      </c>
      <c r="I10938" t="n">
        <v>4.8</v>
      </c>
      <c r="J10938" t="n">
        <v>0</v>
      </c>
      <c r="K10938" t="n">
        <v>0</v>
      </c>
      <c r="L10938" t="n">
        <v>0</v>
      </c>
      <c r="M10938" t="n">
        <v>0</v>
      </c>
      <c r="N10938" t="n">
        <v>0</v>
      </c>
      <c r="O10938" t="n">
        <v>0</v>
      </c>
      <c r="P10938" t="n">
        <v>0</v>
      </c>
      <c r="Q10938" t="n">
        <v>0</v>
      </c>
      <c r="R10938" t="n">
        <v>0</v>
      </c>
      <c r="S10938" t="n">
        <v>0</v>
      </c>
      <c r="T10938" t="n">
        <v>0</v>
      </c>
      <c r="U10938" t="n">
        <v>0</v>
      </c>
      <c r="V10938" s="2" t="inlineStr"/>
    </row>
    <row r="10939" ht="15" customHeight="1">
      <c r="A10939" t="inlineStr">
        <is>
          <t>A 37317-2026</t>
        </is>
      </c>
      <c r="B10939" t="inlineStr">
        <is>
          <t>avverkningsanmälan</t>
        </is>
      </c>
      <c r="C10939" t="inlineStr">
        <is>
          <t>Föryngringsavverkning</t>
        </is>
      </c>
      <c r="D10939" s="1" t="n">
        <v>46275</v>
      </c>
      <c r="E10939" s="1" t="n">
        <v>46326</v>
      </c>
      <c r="F10939" t="inlineStr">
        <is>
          <t>GÄVLEBORGS LÄN</t>
        </is>
      </c>
      <c r="G10939" t="inlineStr">
        <is>
          <t>LJUSDAL</t>
        </is>
      </c>
      <c r="I10939" t="n">
        <v>1</v>
      </c>
      <c r="J10939" t="n">
        <v>0</v>
      </c>
      <c r="K10939" t="n">
        <v>0</v>
      </c>
      <c r="L10939" t="n">
        <v>0</v>
      </c>
      <c r="M10939" t="n">
        <v>0</v>
      </c>
      <c r="N10939" t="n">
        <v>0</v>
      </c>
      <c r="O10939" t="n">
        <v>0</v>
      </c>
      <c r="P10939" t="n">
        <v>0</v>
      </c>
      <c r="Q10939" t="n">
        <v>0</v>
      </c>
      <c r="R10939" t="n">
        <v>0</v>
      </c>
      <c r="S10939" t="n">
        <v>0</v>
      </c>
      <c r="T10939" t="n">
        <v>0</v>
      </c>
      <c r="U10939" t="n">
        <v>0</v>
      </c>
      <c r="V10939" s="2" t="inlineStr"/>
    </row>
    <row r="10940" ht="15" customHeight="1">
      <c r="A10940" t="inlineStr">
        <is>
          <t>A 37321-2026</t>
        </is>
      </c>
      <c r="B10940" t="inlineStr">
        <is>
          <t>avverkningsanmälan</t>
        </is>
      </c>
      <c r="C10940" t="inlineStr">
        <is>
          <t>Föryngringsavverkning</t>
        </is>
      </c>
      <c r="D10940" s="1" t="n">
        <v>46275</v>
      </c>
      <c r="E10940" s="1" t="n">
        <v>46326</v>
      </c>
      <c r="F10940" t="inlineStr">
        <is>
          <t>GÄVLEBORGS LÄN</t>
        </is>
      </c>
      <c r="G10940" t="inlineStr">
        <is>
          <t>OCKELBO</t>
        </is>
      </c>
      <c r="H10940" t="inlineStr">
        <is>
          <t>Bergvik skog väst AB</t>
        </is>
      </c>
      <c r="I10940" t="n">
        <v>2.8</v>
      </c>
      <c r="J10940" t="n">
        <v>0</v>
      </c>
      <c r="K10940" t="n">
        <v>0</v>
      </c>
      <c r="L10940" t="n">
        <v>0</v>
      </c>
      <c r="M10940" t="n">
        <v>0</v>
      </c>
      <c r="N10940" t="n">
        <v>0</v>
      </c>
      <c r="O10940" t="n">
        <v>0</v>
      </c>
      <c r="P10940" t="n">
        <v>0</v>
      </c>
      <c r="Q10940" t="n">
        <v>0</v>
      </c>
      <c r="R10940" t="n">
        <v>0</v>
      </c>
      <c r="S10940" t="n">
        <v>0</v>
      </c>
      <c r="T10940" t="n">
        <v>0</v>
      </c>
      <c r="U10940" t="n">
        <v>0</v>
      </c>
      <c r="V10940" s="2" t="inlineStr"/>
    </row>
    <row r="10941" ht="15" customHeight="1">
      <c r="A10941" t="inlineStr">
        <is>
          <t>A 37563-2026</t>
        </is>
      </c>
      <c r="B10941" t="inlineStr">
        <is>
          <t>avverkningsanmälan</t>
        </is>
      </c>
      <c r="C10941" t="inlineStr">
        <is>
          <t>Föryngringsavverkning</t>
        </is>
      </c>
      <c r="D10941" s="1" t="n">
        <v>46276</v>
      </c>
      <c r="E10941" s="1" t="n">
        <v>46326</v>
      </c>
      <c r="F10941" t="inlineStr">
        <is>
          <t>GÄVLEBORGS LÄN</t>
        </is>
      </c>
      <c r="G10941" t="inlineStr">
        <is>
          <t>LJUSDAL</t>
        </is>
      </c>
      <c r="I10941" t="n">
        <v>2.6</v>
      </c>
      <c r="J10941" t="n">
        <v>0</v>
      </c>
      <c r="K10941" t="n">
        <v>0</v>
      </c>
      <c r="L10941" t="n">
        <v>0</v>
      </c>
      <c r="M10941" t="n">
        <v>0</v>
      </c>
      <c r="N10941" t="n">
        <v>0</v>
      </c>
      <c r="O10941" t="n">
        <v>0</v>
      </c>
      <c r="P10941" t="n">
        <v>0</v>
      </c>
      <c r="Q10941" t="n">
        <v>0</v>
      </c>
      <c r="R10941" t="n">
        <v>0</v>
      </c>
      <c r="S10941" t="n">
        <v>0</v>
      </c>
      <c r="T10941" t="n">
        <v>0</v>
      </c>
      <c r="U10941" t="n">
        <v>0</v>
      </c>
      <c r="V10941" s="2" t="inlineStr"/>
    </row>
    <row r="10942" ht="15" customHeight="1">
      <c r="A10942" t="inlineStr">
        <is>
          <t>A 44190-2026</t>
        </is>
      </c>
      <c r="B10942" t="inlineStr">
        <is>
          <t>avverkningsanmälan</t>
        </is>
      </c>
      <c r="C10942" t="inlineStr">
        <is>
          <t>Föryngringsavverkning</t>
        </is>
      </c>
      <c r="D10942" s="1" t="n">
        <v>46318</v>
      </c>
      <c r="E10942" s="1" t="n">
        <v>46326</v>
      </c>
      <c r="F10942" t="inlineStr">
        <is>
          <t>GÄVLEBORGS LÄN</t>
        </is>
      </c>
      <c r="G10942" t="inlineStr">
        <is>
          <t>OVANÅKER</t>
        </is>
      </c>
      <c r="I10942" t="n">
        <v>1.9</v>
      </c>
      <c r="J10942" t="n">
        <v>0</v>
      </c>
      <c r="K10942" t="n">
        <v>0</v>
      </c>
      <c r="L10942" t="n">
        <v>0</v>
      </c>
      <c r="M10942" t="n">
        <v>0</v>
      </c>
      <c r="N10942" t="n">
        <v>0</v>
      </c>
      <c r="O10942" t="n">
        <v>0</v>
      </c>
      <c r="P10942" t="n">
        <v>0</v>
      </c>
      <c r="Q10942" t="n">
        <v>0</v>
      </c>
      <c r="R10942" t="n">
        <v>0</v>
      </c>
      <c r="S10942" t="n">
        <v>0</v>
      </c>
      <c r="T10942" t="n">
        <v>0</v>
      </c>
      <c r="U10942" t="n">
        <v>0</v>
      </c>
      <c r="V10942" s="2" t="inlineStr"/>
    </row>
    <row r="10943" ht="15" customHeight="1">
      <c r="A10943" t="inlineStr">
        <is>
          <t>A 37611-2026</t>
        </is>
      </c>
      <c r="B10943" t="inlineStr">
        <is>
          <t>avverkningsanmälan</t>
        </is>
      </c>
      <c r="C10943" t="inlineStr">
        <is>
          <t>Föryngringsavverkning</t>
        </is>
      </c>
      <c r="D10943" s="1" t="n">
        <v>46276</v>
      </c>
      <c r="E10943" s="1" t="n">
        <v>46326</v>
      </c>
      <c r="F10943" t="inlineStr">
        <is>
          <t>GÄVLEBORGS LÄN</t>
        </is>
      </c>
      <c r="G10943" t="inlineStr">
        <is>
          <t>GÄVLE</t>
        </is>
      </c>
      <c r="H10943" t="inlineStr">
        <is>
          <t>Bergvik skog öst AB</t>
        </is>
      </c>
      <c r="I10943" t="n">
        <v>2.5</v>
      </c>
      <c r="J10943" t="n">
        <v>0</v>
      </c>
      <c r="K10943" t="n">
        <v>0</v>
      </c>
      <c r="L10943" t="n">
        <v>0</v>
      </c>
      <c r="M10943" t="n">
        <v>0</v>
      </c>
      <c r="N10943" t="n">
        <v>0</v>
      </c>
      <c r="O10943" t="n">
        <v>0</v>
      </c>
      <c r="P10943" t="n">
        <v>0</v>
      </c>
      <c r="Q10943" t="n">
        <v>0</v>
      </c>
      <c r="R10943" t="n">
        <v>0</v>
      </c>
      <c r="S10943" t="n">
        <v>0</v>
      </c>
      <c r="T10943" t="n">
        <v>0</v>
      </c>
      <c r="U10943" t="n">
        <v>0</v>
      </c>
      <c r="V10943" s="2" t="inlineStr"/>
    </row>
    <row r="10944" ht="15" customHeight="1">
      <c r="A10944" t="inlineStr">
        <is>
          <t>A 37637-2026</t>
        </is>
      </c>
      <c r="B10944" t="inlineStr">
        <is>
          <t>avverkningsanmälan</t>
        </is>
      </c>
      <c r="C10944" t="inlineStr">
        <is>
          <t>Föryngringsavverkning</t>
        </is>
      </c>
      <c r="D10944" s="1" t="n">
        <v>46276</v>
      </c>
      <c r="E10944" s="1" t="n">
        <v>46326</v>
      </c>
      <c r="F10944" t="inlineStr">
        <is>
          <t>GÄVLEBORGS LÄN</t>
        </is>
      </c>
      <c r="G10944" t="inlineStr">
        <is>
          <t>HUDIKSVALL</t>
        </is>
      </c>
      <c r="H10944" t="inlineStr">
        <is>
          <t>Sveaskog</t>
        </is>
      </c>
      <c r="I10944" t="n">
        <v>0.8</v>
      </c>
      <c r="J10944" t="n">
        <v>0</v>
      </c>
      <c r="K10944" t="n">
        <v>0</v>
      </c>
      <c r="L10944" t="n">
        <v>0</v>
      </c>
      <c r="M10944" t="n">
        <v>0</v>
      </c>
      <c r="N10944" t="n">
        <v>0</v>
      </c>
      <c r="O10944" t="n">
        <v>0</v>
      </c>
      <c r="P10944" t="n">
        <v>0</v>
      </c>
      <c r="Q10944" t="n">
        <v>0</v>
      </c>
      <c r="R10944" t="n">
        <v>0</v>
      </c>
      <c r="S10944" t="n">
        <v>0</v>
      </c>
      <c r="T10944" t="n">
        <v>0</v>
      </c>
      <c r="U10944" t="n">
        <v>0</v>
      </c>
      <c r="V10944" s="2" t="inlineStr"/>
    </row>
    <row r="10945" ht="15" customHeight="1">
      <c r="A10945" t="inlineStr">
        <is>
          <t>A 37640-2026</t>
        </is>
      </c>
      <c r="B10945" t="inlineStr">
        <is>
          <t>avverkningsanmälan</t>
        </is>
      </c>
      <c r="C10945" t="inlineStr">
        <is>
          <t>Föryngringsavverkning</t>
        </is>
      </c>
      <c r="D10945" s="1" t="n">
        <v>46276</v>
      </c>
      <c r="E10945" s="1" t="n">
        <v>46326</v>
      </c>
      <c r="F10945" t="inlineStr">
        <is>
          <t>GÄVLEBORGS LÄN</t>
        </is>
      </c>
      <c r="G10945" t="inlineStr">
        <is>
          <t>GÄVLE</t>
        </is>
      </c>
      <c r="H10945" t="inlineStr">
        <is>
          <t>Bergvik skog öst AB</t>
        </is>
      </c>
      <c r="I10945" t="n">
        <v>6.5</v>
      </c>
      <c r="J10945" t="n">
        <v>0</v>
      </c>
      <c r="K10945" t="n">
        <v>0</v>
      </c>
      <c r="L10945" t="n">
        <v>0</v>
      </c>
      <c r="M10945" t="n">
        <v>0</v>
      </c>
      <c r="N10945" t="n">
        <v>0</v>
      </c>
      <c r="O10945" t="n">
        <v>0</v>
      </c>
      <c r="P10945" t="n">
        <v>0</v>
      </c>
      <c r="Q10945" t="n">
        <v>0</v>
      </c>
      <c r="R10945" t="n">
        <v>0</v>
      </c>
      <c r="S10945" t="n">
        <v>0</v>
      </c>
      <c r="T10945" t="n">
        <v>0</v>
      </c>
      <c r="U10945" t="n">
        <v>0</v>
      </c>
      <c r="V10945" s="2" t="inlineStr"/>
    </row>
    <row r="10946" ht="15" customHeight="1">
      <c r="A10946" t="inlineStr">
        <is>
          <t>A 44454-2026</t>
        </is>
      </c>
      <c r="B10946" t="inlineStr">
        <is>
          <t>avverkningsanmälan</t>
        </is>
      </c>
      <c r="C10946" t="inlineStr">
        <is>
          <t>Föryngringsavverkning</t>
        </is>
      </c>
      <c r="D10946" s="1" t="n">
        <v>46321</v>
      </c>
      <c r="E10946" s="1" t="n">
        <v>46326</v>
      </c>
      <c r="F10946" t="inlineStr">
        <is>
          <t>GÄVLEBORGS LÄN</t>
        </is>
      </c>
      <c r="G10946" t="inlineStr">
        <is>
          <t>BOLLNÄS</t>
        </is>
      </c>
      <c r="I10946" t="n">
        <v>1.7</v>
      </c>
      <c r="J10946" t="n">
        <v>0</v>
      </c>
      <c r="K10946" t="n">
        <v>0</v>
      </c>
      <c r="L10946" t="n">
        <v>0</v>
      </c>
      <c r="M10946" t="n">
        <v>0</v>
      </c>
      <c r="N10946" t="n">
        <v>0</v>
      </c>
      <c r="O10946" t="n">
        <v>0</v>
      </c>
      <c r="P10946" t="n">
        <v>0</v>
      </c>
      <c r="Q10946" t="n">
        <v>0</v>
      </c>
      <c r="R10946" t="n">
        <v>0</v>
      </c>
      <c r="S10946" t="n">
        <v>0</v>
      </c>
      <c r="T10946" t="n">
        <v>0</v>
      </c>
      <c r="U10946" t="n">
        <v>0</v>
      </c>
      <c r="V10946" s="2" t="inlineStr"/>
    </row>
    <row r="10947" ht="15" customHeight="1">
      <c r="A10947" t="inlineStr">
        <is>
          <t>A 44910-2026</t>
        </is>
      </c>
      <c r="B10947" t="inlineStr">
        <is>
          <t>avverkningsanmälan</t>
        </is>
      </c>
      <c r="C10947" t="inlineStr">
        <is>
          <t>Föryngringsavverkning</t>
        </is>
      </c>
      <c r="D10947" s="1" t="n">
        <v>46323</v>
      </c>
      <c r="E10947" s="1" t="n">
        <v>46326</v>
      </c>
      <c r="F10947" t="inlineStr">
        <is>
          <t>GÄVLEBORGS LÄN</t>
        </is>
      </c>
      <c r="G10947" t="inlineStr">
        <is>
          <t>SANDVIKEN</t>
        </is>
      </c>
      <c r="I10947" t="n">
        <v>0.7</v>
      </c>
      <c r="J10947" t="n">
        <v>0</v>
      </c>
      <c r="K10947" t="n">
        <v>0</v>
      </c>
      <c r="L10947" t="n">
        <v>0</v>
      </c>
      <c r="M10947" t="n">
        <v>0</v>
      </c>
      <c r="N10947" t="n">
        <v>0</v>
      </c>
      <c r="O10947" t="n">
        <v>0</v>
      </c>
      <c r="P10947" t="n">
        <v>0</v>
      </c>
      <c r="Q10947" t="n">
        <v>0</v>
      </c>
      <c r="R10947" t="n">
        <v>0</v>
      </c>
      <c r="S10947" t="n">
        <v>0</v>
      </c>
      <c r="T10947" t="n">
        <v>0</v>
      </c>
      <c r="U10947" t="n">
        <v>0</v>
      </c>
      <c r="V10947" s="2" t="inlineStr"/>
    </row>
    <row r="10948" ht="15" customHeight="1">
      <c r="A10948" t="inlineStr">
        <is>
          <t>A 37906-2026</t>
        </is>
      </c>
      <c r="B10948" t="inlineStr">
        <is>
          <t>avverkningsanmälan</t>
        </is>
      </c>
      <c r="C10948" t="inlineStr">
        <is>
          <t>Föryngringsavverkning</t>
        </is>
      </c>
      <c r="D10948" s="1" t="n">
        <v>46279</v>
      </c>
      <c r="E10948" s="1" t="n">
        <v>46326</v>
      </c>
      <c r="F10948" t="inlineStr">
        <is>
          <t>GÄVLEBORGS LÄN</t>
        </is>
      </c>
      <c r="G10948" t="inlineStr">
        <is>
          <t>LJUSDAL</t>
        </is>
      </c>
      <c r="I10948" t="n">
        <v>6.6</v>
      </c>
      <c r="J10948" t="n">
        <v>0</v>
      </c>
      <c r="K10948" t="n">
        <v>0</v>
      </c>
      <c r="L10948" t="n">
        <v>0</v>
      </c>
      <c r="M10948" t="n">
        <v>0</v>
      </c>
      <c r="N10948" t="n">
        <v>0</v>
      </c>
      <c r="O10948" t="n">
        <v>0</v>
      </c>
      <c r="P10948" t="n">
        <v>0</v>
      </c>
      <c r="Q10948" t="n">
        <v>0</v>
      </c>
      <c r="R10948" t="n">
        <v>0</v>
      </c>
      <c r="S10948" t="n">
        <v>0</v>
      </c>
      <c r="T10948" t="n">
        <v>0</v>
      </c>
      <c r="U10948" t="n">
        <v>0</v>
      </c>
      <c r="V10948" s="2" t="inlineStr"/>
    </row>
    <row r="10949" ht="15" customHeight="1">
      <c r="A10949" t="inlineStr">
        <is>
          <t>A 44633-2026</t>
        </is>
      </c>
      <c r="B10949" t="inlineStr">
        <is>
          <t>avverkningsanmälan</t>
        </is>
      </c>
      <c r="C10949" t="inlineStr">
        <is>
          <t>Föryngringsavverkning</t>
        </is>
      </c>
      <c r="D10949" s="1" t="n">
        <v>46322</v>
      </c>
      <c r="E10949" s="1" t="n">
        <v>46326</v>
      </c>
      <c r="F10949" t="inlineStr">
        <is>
          <t>GÄVLEBORGS LÄN</t>
        </is>
      </c>
      <c r="G10949" t="inlineStr">
        <is>
          <t>LJUSDAL</t>
        </is>
      </c>
      <c r="I10949" t="n">
        <v>2</v>
      </c>
      <c r="J10949" t="n">
        <v>0</v>
      </c>
      <c r="K10949" t="n">
        <v>0</v>
      </c>
      <c r="L10949" t="n">
        <v>0</v>
      </c>
      <c r="M10949" t="n">
        <v>0</v>
      </c>
      <c r="N10949" t="n">
        <v>0</v>
      </c>
      <c r="O10949" t="n">
        <v>0</v>
      </c>
      <c r="P10949" t="n">
        <v>0</v>
      </c>
      <c r="Q10949" t="n">
        <v>0</v>
      </c>
      <c r="R10949" t="n">
        <v>0</v>
      </c>
      <c r="S10949" t="n">
        <v>0</v>
      </c>
      <c r="T10949" t="n">
        <v>0</v>
      </c>
      <c r="U10949" t="n">
        <v>0</v>
      </c>
      <c r="V10949" s="2" t="inlineStr"/>
    </row>
    <row r="10950" ht="15" customHeight="1">
      <c r="A10950" t="inlineStr">
        <is>
          <t>A 44675-2026</t>
        </is>
      </c>
      <c r="B10950" t="inlineStr">
        <is>
          <t>avverkningsanmälan</t>
        </is>
      </c>
      <c r="C10950" t="inlineStr">
        <is>
          <t>Föryngringsavverkning</t>
        </is>
      </c>
      <c r="D10950" s="1" t="n">
        <v>46322</v>
      </c>
      <c r="E10950" s="1" t="n">
        <v>46326</v>
      </c>
      <c r="F10950" t="inlineStr">
        <is>
          <t>GÄVLEBORGS LÄN</t>
        </is>
      </c>
      <c r="G10950" t="inlineStr">
        <is>
          <t>SÖDERHAMN</t>
        </is>
      </c>
      <c r="I10950" t="n">
        <v>1.4</v>
      </c>
      <c r="J10950" t="n">
        <v>0</v>
      </c>
      <c r="K10950" t="n">
        <v>0</v>
      </c>
      <c r="L10950" t="n">
        <v>0</v>
      </c>
      <c r="M10950" t="n">
        <v>0</v>
      </c>
      <c r="N10950" t="n">
        <v>0</v>
      </c>
      <c r="O10950" t="n">
        <v>0</v>
      </c>
      <c r="P10950" t="n">
        <v>0</v>
      </c>
      <c r="Q10950" t="n">
        <v>0</v>
      </c>
      <c r="R10950" t="n">
        <v>0</v>
      </c>
      <c r="S10950" t="n">
        <v>0</v>
      </c>
      <c r="T10950" t="n">
        <v>0</v>
      </c>
      <c r="U10950" t="n">
        <v>0</v>
      </c>
      <c r="V10950" s="2" t="inlineStr"/>
    </row>
    <row r="10951" ht="15" customHeight="1">
      <c r="A10951" t="inlineStr">
        <is>
          <t>A 37691-2026</t>
        </is>
      </c>
      <c r="B10951" t="inlineStr">
        <is>
          <t>avverkningsanmälan</t>
        </is>
      </c>
      <c r="C10951" t="inlineStr">
        <is>
          <t>Föryngringsavverkning</t>
        </is>
      </c>
      <c r="D10951" s="1" t="n">
        <v>46279</v>
      </c>
      <c r="E10951" s="1" t="n">
        <v>46326</v>
      </c>
      <c r="F10951" t="inlineStr">
        <is>
          <t>GÄVLEBORGS LÄN</t>
        </is>
      </c>
      <c r="G10951" t="inlineStr">
        <is>
          <t>BOLLNÄS</t>
        </is>
      </c>
      <c r="H10951" t="inlineStr">
        <is>
          <t>Bergvik skog väst AB</t>
        </is>
      </c>
      <c r="I10951" t="n">
        <v>1.3</v>
      </c>
      <c r="J10951" t="n">
        <v>0</v>
      </c>
      <c r="K10951" t="n">
        <v>0</v>
      </c>
      <c r="L10951" t="n">
        <v>0</v>
      </c>
      <c r="M10951" t="n">
        <v>0</v>
      </c>
      <c r="N10951" t="n">
        <v>0</v>
      </c>
      <c r="O10951" t="n">
        <v>0</v>
      </c>
      <c r="P10951" t="n">
        <v>0</v>
      </c>
      <c r="Q10951" t="n">
        <v>0</v>
      </c>
      <c r="R10951" t="n">
        <v>0</v>
      </c>
      <c r="S10951" t="n">
        <v>0</v>
      </c>
      <c r="T10951" t="n">
        <v>0</v>
      </c>
      <c r="U10951" t="n">
        <v>0</v>
      </c>
      <c r="V10951" s="2" t="inlineStr"/>
    </row>
    <row r="10952" ht="15" customHeight="1">
      <c r="A10952" t="inlineStr">
        <is>
          <t>A 37939-2026</t>
        </is>
      </c>
      <c r="B10952" t="inlineStr">
        <is>
          <t>avverkningsanmälan</t>
        </is>
      </c>
      <c r="C10952" t="inlineStr">
        <is>
          <t>Föryngringsavverkning</t>
        </is>
      </c>
      <c r="D10952" s="1" t="n">
        <v>46280</v>
      </c>
      <c r="E10952" s="1" t="n">
        <v>46326</v>
      </c>
      <c r="F10952" t="inlineStr">
        <is>
          <t>GÄVLEBORGS LÄN</t>
        </is>
      </c>
      <c r="G10952" t="inlineStr">
        <is>
          <t>BOLLNÄS</t>
        </is>
      </c>
      <c r="H10952" t="inlineStr">
        <is>
          <t>Bergvik skog väst AB</t>
        </is>
      </c>
      <c r="I10952" t="n">
        <v>1.5</v>
      </c>
      <c r="J10952" t="n">
        <v>0</v>
      </c>
      <c r="K10952" t="n">
        <v>0</v>
      </c>
      <c r="L10952" t="n">
        <v>0</v>
      </c>
      <c r="M10952" t="n">
        <v>0</v>
      </c>
      <c r="N10952" t="n">
        <v>0</v>
      </c>
      <c r="O10952" t="n">
        <v>0</v>
      </c>
      <c r="P10952" t="n">
        <v>0</v>
      </c>
      <c r="Q10952" t="n">
        <v>0</v>
      </c>
      <c r="R10952" t="n">
        <v>0</v>
      </c>
      <c r="S10952" t="n">
        <v>0</v>
      </c>
      <c r="T10952" t="n">
        <v>0</v>
      </c>
      <c r="U10952" t="n">
        <v>0</v>
      </c>
      <c r="V10952" s="2" t="inlineStr"/>
    </row>
    <row r="10953" ht="15" customHeight="1">
      <c r="A10953" t="inlineStr">
        <is>
          <t>A 44660-2026</t>
        </is>
      </c>
      <c r="B10953" t="inlineStr">
        <is>
          <t>avverkningsanmälan</t>
        </is>
      </c>
      <c r="C10953" t="inlineStr">
        <is>
          <t>Föryngringsavverkning</t>
        </is>
      </c>
      <c r="D10953" s="1" t="n">
        <v>46322</v>
      </c>
      <c r="E10953" s="1" t="n">
        <v>46326</v>
      </c>
      <c r="F10953" t="inlineStr">
        <is>
          <t>GÄVLEBORGS LÄN</t>
        </is>
      </c>
      <c r="G10953" t="inlineStr">
        <is>
          <t>SÖDERHAMN</t>
        </is>
      </c>
      <c r="I10953" t="n">
        <v>0.7</v>
      </c>
      <c r="J10953" t="n">
        <v>0</v>
      </c>
      <c r="K10953" t="n">
        <v>0</v>
      </c>
      <c r="L10953" t="n">
        <v>0</v>
      </c>
      <c r="M10953" t="n">
        <v>0</v>
      </c>
      <c r="N10953" t="n">
        <v>0</v>
      </c>
      <c r="O10953" t="n">
        <v>0</v>
      </c>
      <c r="P10953" t="n">
        <v>0</v>
      </c>
      <c r="Q10953" t="n">
        <v>0</v>
      </c>
      <c r="R10953" t="n">
        <v>0</v>
      </c>
      <c r="S10953" t="n">
        <v>0</v>
      </c>
      <c r="T10953" t="n">
        <v>0</v>
      </c>
      <c r="U10953" t="n">
        <v>0</v>
      </c>
      <c r="V10953" s="2" t="inlineStr"/>
    </row>
    <row r="10954" ht="15" customHeight="1">
      <c r="A10954" t="inlineStr">
        <is>
          <t>A 38047-2026</t>
        </is>
      </c>
      <c r="B10954" t="inlineStr">
        <is>
          <t>avverkningsanmälan</t>
        </is>
      </c>
      <c r="C10954" t="inlineStr">
        <is>
          <t>Föryngringsavverkning</t>
        </is>
      </c>
      <c r="D10954" s="1" t="n">
        <v>46280</v>
      </c>
      <c r="E10954" s="1" t="n">
        <v>46326</v>
      </c>
      <c r="F10954" t="inlineStr">
        <is>
          <t>GÄVLEBORGS LÄN</t>
        </is>
      </c>
      <c r="G10954" t="inlineStr">
        <is>
          <t>SANDVIKEN</t>
        </is>
      </c>
      <c r="H10954" t="inlineStr">
        <is>
          <t>Kommuner</t>
        </is>
      </c>
      <c r="I10954" t="n">
        <v>1.9</v>
      </c>
      <c r="J10954" t="n">
        <v>0</v>
      </c>
      <c r="K10954" t="n">
        <v>0</v>
      </c>
      <c r="L10954" t="n">
        <v>0</v>
      </c>
      <c r="M10954" t="n">
        <v>0</v>
      </c>
      <c r="N10954" t="n">
        <v>0</v>
      </c>
      <c r="O10954" t="n">
        <v>0</v>
      </c>
      <c r="P10954" t="n">
        <v>0</v>
      </c>
      <c r="Q10954" t="n">
        <v>0</v>
      </c>
      <c r="R10954" t="n">
        <v>0</v>
      </c>
      <c r="S10954" t="n">
        <v>0</v>
      </c>
      <c r="T10954" t="n">
        <v>0</v>
      </c>
      <c r="U10954" t="n">
        <v>0</v>
      </c>
      <c r="V10954" s="2" t="inlineStr"/>
    </row>
    <row r="10955" ht="15" customHeight="1">
      <c r="A10955" t="inlineStr">
        <is>
          <t>A 38012-2026</t>
        </is>
      </c>
      <c r="B10955" t="inlineStr">
        <is>
          <t>avverkningsanmälan</t>
        </is>
      </c>
      <c r="C10955" t="inlineStr">
        <is>
          <t>Föryngringsavverkning</t>
        </is>
      </c>
      <c r="D10955" s="1" t="n">
        <v>46280</v>
      </c>
      <c r="E10955" s="1" t="n">
        <v>46326</v>
      </c>
      <c r="F10955" t="inlineStr">
        <is>
          <t>GÄVLEBORGS LÄN</t>
        </is>
      </c>
      <c r="G10955" t="inlineStr">
        <is>
          <t>GÄVLE</t>
        </is>
      </c>
      <c r="H10955" t="inlineStr">
        <is>
          <t>Bergvik skog öst AB</t>
        </is>
      </c>
      <c r="I10955" t="n">
        <v>7</v>
      </c>
      <c r="J10955" t="n">
        <v>0</v>
      </c>
      <c r="K10955" t="n">
        <v>0</v>
      </c>
      <c r="L10955" t="n">
        <v>0</v>
      </c>
      <c r="M10955" t="n">
        <v>0</v>
      </c>
      <c r="N10955" t="n">
        <v>0</v>
      </c>
      <c r="O10955" t="n">
        <v>0</v>
      </c>
      <c r="P10955" t="n">
        <v>0</v>
      </c>
      <c r="Q10955" t="n">
        <v>0</v>
      </c>
      <c r="R10955" t="n">
        <v>0</v>
      </c>
      <c r="S10955" t="n">
        <v>0</v>
      </c>
      <c r="T10955" t="n">
        <v>0</v>
      </c>
      <c r="U10955" t="n">
        <v>0</v>
      </c>
      <c r="V10955" s="2" t="inlineStr"/>
    </row>
    <row r="10956" ht="15" customHeight="1">
      <c r="A10956" t="inlineStr">
        <is>
          <t>A 40588-2026</t>
        </is>
      </c>
      <c r="B10956" t="inlineStr">
        <is>
          <t>avverkningsanmälan</t>
        </is>
      </c>
      <c r="C10956" t="inlineStr">
        <is>
          <t>Avverkning för annat ändamål</t>
        </is>
      </c>
      <c r="D10956" s="1" t="n">
        <v>46295</v>
      </c>
      <c r="E10956" s="1" t="n">
        <v>46326</v>
      </c>
      <c r="F10956" t="inlineStr">
        <is>
          <t>GÄVLEBORGS LÄN</t>
        </is>
      </c>
      <c r="G10956" t="inlineStr">
        <is>
          <t>HUDIKSVALL</t>
        </is>
      </c>
      <c r="I10956" t="n">
        <v>3.9</v>
      </c>
      <c r="J10956" t="n">
        <v>0</v>
      </c>
      <c r="K10956" t="n">
        <v>0</v>
      </c>
      <c r="L10956" t="n">
        <v>0</v>
      </c>
      <c r="M10956" t="n">
        <v>0</v>
      </c>
      <c r="N10956" t="n">
        <v>0</v>
      </c>
      <c r="O10956" t="n">
        <v>0</v>
      </c>
      <c r="P10956" t="n">
        <v>0</v>
      </c>
      <c r="Q10956" t="n">
        <v>0</v>
      </c>
      <c r="R10956" t="n">
        <v>0</v>
      </c>
      <c r="S10956" t="n">
        <v>0</v>
      </c>
      <c r="T10956" t="n">
        <v>0</v>
      </c>
      <c r="U10956" t="n">
        <v>0</v>
      </c>
      <c r="V10956" s="2" t="inlineStr"/>
    </row>
    <row r="10957" ht="15" customHeight="1">
      <c r="A10957" t="inlineStr">
        <is>
          <t>A 44470-2026</t>
        </is>
      </c>
      <c r="B10957" t="inlineStr">
        <is>
          <t>avverkningsanmälan</t>
        </is>
      </c>
      <c r="C10957" t="inlineStr">
        <is>
          <t>Föryngringsavverkning</t>
        </is>
      </c>
      <c r="D10957" s="1" t="n">
        <v>46321</v>
      </c>
      <c r="E10957" s="1" t="n">
        <v>46326</v>
      </c>
      <c r="F10957" t="inlineStr">
        <is>
          <t>GÄVLEBORGS LÄN</t>
        </is>
      </c>
      <c r="G10957" t="inlineStr">
        <is>
          <t>NORDANSTIG</t>
        </is>
      </c>
      <c r="H10957" t="inlineStr">
        <is>
          <t>Holmen skog AB</t>
        </is>
      </c>
      <c r="I10957" t="n">
        <v>2.6</v>
      </c>
      <c r="J10957" t="n">
        <v>0</v>
      </c>
      <c r="K10957" t="n">
        <v>0</v>
      </c>
      <c r="L10957" t="n">
        <v>0</v>
      </c>
      <c r="M10957" t="n">
        <v>0</v>
      </c>
      <c r="N10957" t="n">
        <v>0</v>
      </c>
      <c r="O10957" t="n">
        <v>0</v>
      </c>
      <c r="P10957" t="n">
        <v>0</v>
      </c>
      <c r="Q10957" t="n">
        <v>0</v>
      </c>
      <c r="R10957" t="n">
        <v>0</v>
      </c>
      <c r="S10957" t="n">
        <v>0</v>
      </c>
      <c r="T10957" t="n">
        <v>0</v>
      </c>
      <c r="U10957" t="n">
        <v>0</v>
      </c>
      <c r="V10957" s="2" t="inlineStr"/>
    </row>
    <row r="10958" ht="15" customHeight="1">
      <c r="A10958" t="inlineStr">
        <is>
          <t>A 44764-2026</t>
        </is>
      </c>
      <c r="B10958" t="inlineStr">
        <is>
          <t>avverkningsanmälan</t>
        </is>
      </c>
      <c r="C10958" t="inlineStr">
        <is>
          <t>Föryngringsavverkning</t>
        </is>
      </c>
      <c r="D10958" s="1" t="n">
        <v>46322</v>
      </c>
      <c r="E10958" s="1" t="n">
        <v>46326</v>
      </c>
      <c r="F10958" t="inlineStr">
        <is>
          <t>GÄVLEBORGS LÄN</t>
        </is>
      </c>
      <c r="G10958" t="inlineStr">
        <is>
          <t>LJUSDAL</t>
        </is>
      </c>
      <c r="I10958" t="n">
        <v>0.8</v>
      </c>
      <c r="J10958" t="n">
        <v>0</v>
      </c>
      <c r="K10958" t="n">
        <v>0</v>
      </c>
      <c r="L10958" t="n">
        <v>0</v>
      </c>
      <c r="M10958" t="n">
        <v>0</v>
      </c>
      <c r="N10958" t="n">
        <v>0</v>
      </c>
      <c r="O10958" t="n">
        <v>0</v>
      </c>
      <c r="P10958" t="n">
        <v>0</v>
      </c>
      <c r="Q10958" t="n">
        <v>0</v>
      </c>
      <c r="R10958" t="n">
        <v>0</v>
      </c>
      <c r="S10958" t="n">
        <v>0</v>
      </c>
      <c r="T10958" t="n">
        <v>0</v>
      </c>
      <c r="U10958" t="n">
        <v>0</v>
      </c>
      <c r="V10958" s="2" t="inlineStr"/>
    </row>
    <row r="10959" ht="15" customHeight="1">
      <c r="A10959" t="inlineStr">
        <is>
          <t>A 44431-2026</t>
        </is>
      </c>
      <c r="B10959" t="inlineStr">
        <is>
          <t>avverkningsanmälan</t>
        </is>
      </c>
      <c r="C10959" t="inlineStr">
        <is>
          <t>Föryngringsavverkning</t>
        </is>
      </c>
      <c r="D10959" s="1" t="n">
        <v>46321</v>
      </c>
      <c r="E10959" s="1" t="n">
        <v>46326</v>
      </c>
      <c r="F10959" t="inlineStr">
        <is>
          <t>GÄVLEBORGS LÄN</t>
        </is>
      </c>
      <c r="G10959" t="inlineStr">
        <is>
          <t>OVANÅKER</t>
        </is>
      </c>
      <c r="H10959" t="inlineStr">
        <is>
          <t>Bergvik skog väst AB</t>
        </is>
      </c>
      <c r="I10959" t="n">
        <v>9.9</v>
      </c>
      <c r="J10959" t="n">
        <v>0</v>
      </c>
      <c r="K10959" t="n">
        <v>0</v>
      </c>
      <c r="L10959" t="n">
        <v>0</v>
      </c>
      <c r="M10959" t="n">
        <v>0</v>
      </c>
      <c r="N10959" t="n">
        <v>0</v>
      </c>
      <c r="O10959" t="n">
        <v>0</v>
      </c>
      <c r="P10959" t="n">
        <v>0</v>
      </c>
      <c r="Q10959" t="n">
        <v>0</v>
      </c>
      <c r="R10959" t="n">
        <v>0</v>
      </c>
      <c r="S10959" t="n">
        <v>0</v>
      </c>
      <c r="T10959" t="n">
        <v>0</v>
      </c>
      <c r="U10959" t="n">
        <v>0</v>
      </c>
      <c r="V10959" s="2" t="inlineStr"/>
    </row>
    <row r="10960" ht="15" customHeight="1">
      <c r="A10960" t="inlineStr">
        <is>
          <t>A 44332-2026</t>
        </is>
      </c>
      <c r="B10960" t="inlineStr">
        <is>
          <t>avverkningsanmälan</t>
        </is>
      </c>
      <c r="C10960" t="inlineStr">
        <is>
          <t>Föryngringsavverkning</t>
        </is>
      </c>
      <c r="D10960" s="1" t="n">
        <v>46321</v>
      </c>
      <c r="E10960" s="1" t="n">
        <v>46326</v>
      </c>
      <c r="F10960" t="inlineStr">
        <is>
          <t>GÄVLEBORGS LÄN</t>
        </is>
      </c>
      <c r="G10960" t="inlineStr">
        <is>
          <t>OVANÅKER</t>
        </is>
      </c>
      <c r="H10960" t="inlineStr">
        <is>
          <t>Bergvik skog väst AB</t>
        </is>
      </c>
      <c r="I10960" t="n">
        <v>25.3</v>
      </c>
      <c r="J10960" t="n">
        <v>0</v>
      </c>
      <c r="K10960" t="n">
        <v>0</v>
      </c>
      <c r="L10960" t="n">
        <v>0</v>
      </c>
      <c r="M10960" t="n">
        <v>0</v>
      </c>
      <c r="N10960" t="n">
        <v>0</v>
      </c>
      <c r="O10960" t="n">
        <v>0</v>
      </c>
      <c r="P10960" t="n">
        <v>0</v>
      </c>
      <c r="Q10960" t="n">
        <v>0</v>
      </c>
      <c r="R10960" t="n">
        <v>0</v>
      </c>
      <c r="S10960" t="n">
        <v>0</v>
      </c>
      <c r="T10960" t="n">
        <v>0</v>
      </c>
      <c r="U10960" t="n">
        <v>0</v>
      </c>
      <c r="V10960" s="2" t="inlineStr"/>
    </row>
    <row r="10961" ht="15" customHeight="1">
      <c r="A10961" t="inlineStr">
        <is>
          <t>A 44759-2026</t>
        </is>
      </c>
      <c r="B10961" t="inlineStr">
        <is>
          <t>avverkningsanmälan</t>
        </is>
      </c>
      <c r="C10961" t="inlineStr">
        <is>
          <t>Föryngringsavverkning</t>
        </is>
      </c>
      <c r="D10961" s="1" t="n">
        <v>46322</v>
      </c>
      <c r="E10961" s="1" t="n">
        <v>46326</v>
      </c>
      <c r="F10961" t="inlineStr">
        <is>
          <t>GÄVLEBORGS LÄN</t>
        </is>
      </c>
      <c r="G10961" t="inlineStr">
        <is>
          <t>LJUSDAL</t>
        </is>
      </c>
      <c r="I10961" t="n">
        <v>2.5</v>
      </c>
      <c r="J10961" t="n">
        <v>0</v>
      </c>
      <c r="K10961" t="n">
        <v>0</v>
      </c>
      <c r="L10961" t="n">
        <v>0</v>
      </c>
      <c r="M10961" t="n">
        <v>0</v>
      </c>
      <c r="N10961" t="n">
        <v>0</v>
      </c>
      <c r="O10961" t="n">
        <v>0</v>
      </c>
      <c r="P10961" t="n">
        <v>0</v>
      </c>
      <c r="Q10961" t="n">
        <v>0</v>
      </c>
      <c r="R10961" t="n">
        <v>0</v>
      </c>
      <c r="S10961" t="n">
        <v>0</v>
      </c>
      <c r="T10961" t="n">
        <v>0</v>
      </c>
      <c r="U10961" t="n">
        <v>0</v>
      </c>
      <c r="V10961" s="2" t="inlineStr"/>
    </row>
    <row r="10962" ht="15" customHeight="1">
      <c r="A10962" t="inlineStr">
        <is>
          <t>A 44760-2026</t>
        </is>
      </c>
      <c r="B10962" t="inlineStr">
        <is>
          <t>avverkningsanmälan</t>
        </is>
      </c>
      <c r="C10962" t="inlineStr">
        <is>
          <t>Föryngringsavverkning</t>
        </is>
      </c>
      <c r="D10962" s="1" t="n">
        <v>46322</v>
      </c>
      <c r="E10962" s="1" t="n">
        <v>46326</v>
      </c>
      <c r="F10962" t="inlineStr">
        <is>
          <t>GÄVLEBORGS LÄN</t>
        </is>
      </c>
      <c r="G10962" t="inlineStr">
        <is>
          <t>LJUSDAL</t>
        </is>
      </c>
      <c r="I10962" t="n">
        <v>0.8</v>
      </c>
      <c r="J10962" t="n">
        <v>0</v>
      </c>
      <c r="K10962" t="n">
        <v>0</v>
      </c>
      <c r="L10962" t="n">
        <v>0</v>
      </c>
      <c r="M10962" t="n">
        <v>0</v>
      </c>
      <c r="N10962" t="n">
        <v>0</v>
      </c>
      <c r="O10962" t="n">
        <v>0</v>
      </c>
      <c r="P10962" t="n">
        <v>0</v>
      </c>
      <c r="Q10962" t="n">
        <v>0</v>
      </c>
      <c r="R10962" t="n">
        <v>0</v>
      </c>
      <c r="S10962" t="n">
        <v>0</v>
      </c>
      <c r="T10962" t="n">
        <v>0</v>
      </c>
      <c r="U10962" t="n">
        <v>0</v>
      </c>
      <c r="V10962" s="2" t="inlineStr"/>
    </row>
    <row r="10963" ht="15" customHeight="1">
      <c r="A10963" t="inlineStr">
        <is>
          <t>A 38044-2026</t>
        </is>
      </c>
      <c r="B10963" t="inlineStr">
        <is>
          <t>avverkningsanmälan</t>
        </is>
      </c>
      <c r="C10963" t="inlineStr">
        <is>
          <t>Föryngringsavverkning</t>
        </is>
      </c>
      <c r="D10963" s="1" t="n">
        <v>46280</v>
      </c>
      <c r="E10963" s="1" t="n">
        <v>46326</v>
      </c>
      <c r="F10963" t="inlineStr">
        <is>
          <t>GÄVLEBORGS LÄN</t>
        </is>
      </c>
      <c r="G10963" t="inlineStr">
        <is>
          <t>OVANÅKER</t>
        </is>
      </c>
      <c r="I10963" t="n">
        <v>1.7</v>
      </c>
      <c r="J10963" t="n">
        <v>0</v>
      </c>
      <c r="K10963" t="n">
        <v>0</v>
      </c>
      <c r="L10963" t="n">
        <v>0</v>
      </c>
      <c r="M10963" t="n">
        <v>0</v>
      </c>
      <c r="N10963" t="n">
        <v>0</v>
      </c>
      <c r="O10963" t="n">
        <v>0</v>
      </c>
      <c r="P10963" t="n">
        <v>0</v>
      </c>
      <c r="Q10963" t="n">
        <v>0</v>
      </c>
      <c r="R10963" t="n">
        <v>0</v>
      </c>
      <c r="S10963" t="n">
        <v>0</v>
      </c>
      <c r="T10963" t="n">
        <v>0</v>
      </c>
      <c r="U10963" t="n">
        <v>0</v>
      </c>
      <c r="V10963" s="2" t="inlineStr"/>
    </row>
    <row r="10964" ht="15" customHeight="1">
      <c r="A10964" t="inlineStr">
        <is>
          <t>A 38049-2026</t>
        </is>
      </c>
      <c r="B10964" t="inlineStr">
        <is>
          <t>avverkningsanmälan</t>
        </is>
      </c>
      <c r="C10964" t="inlineStr">
        <is>
          <t>Föryngringsavverkning</t>
        </is>
      </c>
      <c r="D10964" s="1" t="n">
        <v>46280</v>
      </c>
      <c r="E10964" s="1" t="n">
        <v>46326</v>
      </c>
      <c r="F10964" t="inlineStr">
        <is>
          <t>GÄVLEBORGS LÄN</t>
        </is>
      </c>
      <c r="G10964" t="inlineStr">
        <is>
          <t>GÄVLE</t>
        </is>
      </c>
      <c r="H10964" t="inlineStr">
        <is>
          <t>Bergvik skog öst AB</t>
        </is>
      </c>
      <c r="I10964" t="n">
        <v>0.7</v>
      </c>
      <c r="J10964" t="n">
        <v>0</v>
      </c>
      <c r="K10964" t="n">
        <v>0</v>
      </c>
      <c r="L10964" t="n">
        <v>0</v>
      </c>
      <c r="M10964" t="n">
        <v>0</v>
      </c>
      <c r="N10964" t="n">
        <v>0</v>
      </c>
      <c r="O10964" t="n">
        <v>0</v>
      </c>
      <c r="P10964" t="n">
        <v>0</v>
      </c>
      <c r="Q10964" t="n">
        <v>0</v>
      </c>
      <c r="R10964" t="n">
        <v>0</v>
      </c>
      <c r="S10964" t="n">
        <v>0</v>
      </c>
      <c r="T10964" t="n">
        <v>0</v>
      </c>
      <c r="U10964" t="n">
        <v>0</v>
      </c>
      <c r="V10964" s="2" t="inlineStr"/>
    </row>
    <row r="10965" ht="15" customHeight="1">
      <c r="A10965" t="inlineStr">
        <is>
          <t>A 37927-2026</t>
        </is>
      </c>
      <c r="B10965" t="inlineStr">
        <is>
          <t>avverkningsanmälan</t>
        </is>
      </c>
      <c r="C10965" t="inlineStr">
        <is>
          <t>Föryngringsavverkning</t>
        </is>
      </c>
      <c r="D10965" s="1" t="n">
        <v>46280</v>
      </c>
      <c r="E10965" s="1" t="n">
        <v>46326</v>
      </c>
      <c r="F10965" t="inlineStr">
        <is>
          <t>GÄVLEBORGS LÄN</t>
        </is>
      </c>
      <c r="G10965" t="inlineStr">
        <is>
          <t>LJUSDAL</t>
        </is>
      </c>
      <c r="H10965" t="inlineStr">
        <is>
          <t>SCA</t>
        </is>
      </c>
      <c r="I10965" t="n">
        <v>2.1</v>
      </c>
      <c r="J10965" t="n">
        <v>0</v>
      </c>
      <c r="K10965" t="n">
        <v>0</v>
      </c>
      <c r="L10965" t="n">
        <v>0</v>
      </c>
      <c r="M10965" t="n">
        <v>0</v>
      </c>
      <c r="N10965" t="n">
        <v>0</v>
      </c>
      <c r="O10965" t="n">
        <v>0</v>
      </c>
      <c r="P10965" t="n">
        <v>0</v>
      </c>
      <c r="Q10965" t="n">
        <v>0</v>
      </c>
      <c r="R10965" t="n">
        <v>0</v>
      </c>
      <c r="S10965" t="n">
        <v>0</v>
      </c>
      <c r="T10965" t="n">
        <v>0</v>
      </c>
      <c r="U10965" t="n">
        <v>0</v>
      </c>
      <c r="V10965" s="2" t="inlineStr"/>
    </row>
    <row r="10966" ht="15" customHeight="1">
      <c r="A10966" t="inlineStr">
        <is>
          <t>A 37765-2026</t>
        </is>
      </c>
      <c r="B10966" t="inlineStr">
        <is>
          <t>avverkningsanmälan</t>
        </is>
      </c>
      <c r="C10966" t="inlineStr">
        <is>
          <t>Föryngringsavverkning</t>
        </is>
      </c>
      <c r="D10966" s="1" t="n">
        <v>46279</v>
      </c>
      <c r="E10966" s="1" t="n">
        <v>46326</v>
      </c>
      <c r="F10966" t="inlineStr">
        <is>
          <t>GÄVLEBORGS LÄN</t>
        </is>
      </c>
      <c r="G10966" t="inlineStr">
        <is>
          <t>GÄVLE</t>
        </is>
      </c>
      <c r="H10966" t="inlineStr">
        <is>
          <t>Bergvik skog väst AB</t>
        </is>
      </c>
      <c r="I10966" t="n">
        <v>1</v>
      </c>
      <c r="J10966" t="n">
        <v>0</v>
      </c>
      <c r="K10966" t="n">
        <v>0</v>
      </c>
      <c r="L10966" t="n">
        <v>0</v>
      </c>
      <c r="M10966" t="n">
        <v>0</v>
      </c>
      <c r="N10966" t="n">
        <v>0</v>
      </c>
      <c r="O10966" t="n">
        <v>0</v>
      </c>
      <c r="P10966" t="n">
        <v>0</v>
      </c>
      <c r="Q10966" t="n">
        <v>0</v>
      </c>
      <c r="R10966" t="n">
        <v>0</v>
      </c>
      <c r="S10966" t="n">
        <v>0</v>
      </c>
      <c r="T10966" t="n">
        <v>0</v>
      </c>
      <c r="U10966" t="n">
        <v>0</v>
      </c>
      <c r="V10966" s="2" t="inlineStr"/>
    </row>
    <row r="10967" ht="15" customHeight="1">
      <c r="A10967" t="inlineStr">
        <is>
          <t>A 40149-2026</t>
        </is>
      </c>
      <c r="B10967" t="inlineStr">
        <is>
          <t>avverkningsanmälan</t>
        </is>
      </c>
      <c r="C10967" t="inlineStr">
        <is>
          <t>Föryngringsavverkning</t>
        </is>
      </c>
      <c r="D10967" s="1" t="n">
        <v>46293</v>
      </c>
      <c r="E10967" s="1" t="n">
        <v>46326</v>
      </c>
      <c r="F10967" t="inlineStr">
        <is>
          <t>GÄVLEBORGS LÄN</t>
        </is>
      </c>
      <c r="G10967" t="inlineStr">
        <is>
          <t>OCKELBO</t>
        </is>
      </c>
      <c r="H10967" t="inlineStr">
        <is>
          <t>Bergvik skog väst AB</t>
        </is>
      </c>
      <c r="I10967" t="n">
        <v>2.2</v>
      </c>
      <c r="J10967" t="n">
        <v>0</v>
      </c>
      <c r="K10967" t="n">
        <v>0</v>
      </c>
      <c r="L10967" t="n">
        <v>0</v>
      </c>
      <c r="M10967" t="n">
        <v>0</v>
      </c>
      <c r="N10967" t="n">
        <v>0</v>
      </c>
      <c r="O10967" t="n">
        <v>0</v>
      </c>
      <c r="P10967" t="n">
        <v>0</v>
      </c>
      <c r="Q10967" t="n">
        <v>0</v>
      </c>
      <c r="R10967" t="n">
        <v>0</v>
      </c>
      <c r="S10967" t="n">
        <v>0</v>
      </c>
      <c r="T10967" t="n">
        <v>0</v>
      </c>
      <c r="U10967" t="n">
        <v>0</v>
      </c>
      <c r="V10967" s="2" t="inlineStr"/>
    </row>
    <row r="10968" ht="15" customHeight="1">
      <c r="A10968" t="inlineStr">
        <is>
          <t>A 44333-2026</t>
        </is>
      </c>
      <c r="B10968" t="inlineStr">
        <is>
          <t>avverkningsanmälan</t>
        </is>
      </c>
      <c r="C10968" t="inlineStr">
        <is>
          <t>Föryngringsavverkning</t>
        </is>
      </c>
      <c r="D10968" s="1" t="n">
        <v>46321</v>
      </c>
      <c r="E10968" s="1" t="n">
        <v>46326</v>
      </c>
      <c r="F10968" t="inlineStr">
        <is>
          <t>GÄVLEBORGS LÄN</t>
        </is>
      </c>
      <c r="G10968" t="inlineStr">
        <is>
          <t>OVANÅKER</t>
        </is>
      </c>
      <c r="H10968" t="inlineStr">
        <is>
          <t>Bergvik skog väst AB</t>
        </is>
      </c>
      <c r="I10968" t="n">
        <v>2.5</v>
      </c>
      <c r="J10968" t="n">
        <v>0</v>
      </c>
      <c r="K10968" t="n">
        <v>0</v>
      </c>
      <c r="L10968" t="n">
        <v>0</v>
      </c>
      <c r="M10968" t="n">
        <v>0</v>
      </c>
      <c r="N10968" t="n">
        <v>0</v>
      </c>
      <c r="O10968" t="n">
        <v>0</v>
      </c>
      <c r="P10968" t="n">
        <v>0</v>
      </c>
      <c r="Q10968" t="n">
        <v>0</v>
      </c>
      <c r="R10968" t="n">
        <v>0</v>
      </c>
      <c r="S10968" t="n">
        <v>0</v>
      </c>
      <c r="T10968" t="n">
        <v>0</v>
      </c>
      <c r="U10968" t="n">
        <v>0</v>
      </c>
      <c r="V10968" s="2" t="inlineStr"/>
    </row>
    <row r="10969" ht="15" customHeight="1">
      <c r="A10969" t="inlineStr">
        <is>
          <t>A 44374-2026</t>
        </is>
      </c>
      <c r="B10969" t="inlineStr">
        <is>
          <t>avverkningsanmälan</t>
        </is>
      </c>
      <c r="C10969" t="inlineStr">
        <is>
          <t>Föryngringsavverkning</t>
        </is>
      </c>
      <c r="D10969" s="1" t="n">
        <v>46321</v>
      </c>
      <c r="E10969" s="1" t="n">
        <v>46326</v>
      </c>
      <c r="F10969" t="inlineStr">
        <is>
          <t>GÄVLEBORGS LÄN</t>
        </is>
      </c>
      <c r="G10969" t="inlineStr">
        <is>
          <t>NORDANSTIG</t>
        </is>
      </c>
      <c r="H10969" t="inlineStr">
        <is>
          <t>Holmen skog AB</t>
        </is>
      </c>
      <c r="I10969" t="n">
        <v>15</v>
      </c>
      <c r="J10969" t="n">
        <v>0</v>
      </c>
      <c r="K10969" t="n">
        <v>0</v>
      </c>
      <c r="L10969" t="n">
        <v>0</v>
      </c>
      <c r="M10969" t="n">
        <v>0</v>
      </c>
      <c r="N10969" t="n">
        <v>0</v>
      </c>
      <c r="O10969" t="n">
        <v>0</v>
      </c>
      <c r="P10969" t="n">
        <v>0</v>
      </c>
      <c r="Q10969" t="n">
        <v>0</v>
      </c>
      <c r="R10969" t="n">
        <v>0</v>
      </c>
      <c r="S10969" t="n">
        <v>0</v>
      </c>
      <c r="T10969" t="n">
        <v>0</v>
      </c>
      <c r="U10969" t="n">
        <v>0</v>
      </c>
      <c r="V10969" s="2" t="inlineStr"/>
    </row>
    <row r="10970" ht="15" customHeight="1">
      <c r="A10970" t="inlineStr">
        <is>
          <t>A 44490-2026</t>
        </is>
      </c>
      <c r="B10970" t="inlineStr">
        <is>
          <t>avverkningsanmälan</t>
        </is>
      </c>
      <c r="C10970" t="inlineStr">
        <is>
          <t>Föryngringsavverkning</t>
        </is>
      </c>
      <c r="D10970" s="1" t="n">
        <v>46321</v>
      </c>
      <c r="E10970" s="1" t="n">
        <v>46326</v>
      </c>
      <c r="F10970" t="inlineStr">
        <is>
          <t>GÄVLEBORGS LÄN</t>
        </is>
      </c>
      <c r="G10970" t="inlineStr">
        <is>
          <t>OVANÅKER</t>
        </is>
      </c>
      <c r="I10970" t="n">
        <v>2.9</v>
      </c>
      <c r="J10970" t="n">
        <v>0</v>
      </c>
      <c r="K10970" t="n">
        <v>0</v>
      </c>
      <c r="L10970" t="n">
        <v>0</v>
      </c>
      <c r="M10970" t="n">
        <v>0</v>
      </c>
      <c r="N10970" t="n">
        <v>0</v>
      </c>
      <c r="O10970" t="n">
        <v>0</v>
      </c>
      <c r="P10970" t="n">
        <v>0</v>
      </c>
      <c r="Q10970" t="n">
        <v>0</v>
      </c>
      <c r="R10970" t="n">
        <v>0</v>
      </c>
      <c r="S10970" t="n">
        <v>0</v>
      </c>
      <c r="T10970" t="n">
        <v>0</v>
      </c>
      <c r="U10970" t="n">
        <v>0</v>
      </c>
      <c r="V10970" s="2" t="inlineStr"/>
    </row>
    <row r="10971" ht="15" customHeight="1">
      <c r="A10971" t="inlineStr">
        <is>
          <t>A 23476-2026</t>
        </is>
      </c>
      <c r="B10971" t="inlineStr">
        <is>
          <t>avverkningsanmälan</t>
        </is>
      </c>
      <c r="C10971" t="inlineStr">
        <is>
          <t>Föryngringsavverkning</t>
        </is>
      </c>
      <c r="D10971" s="1" t="n">
        <v>46163</v>
      </c>
      <c r="E10971" s="1" t="n">
        <v>46326</v>
      </c>
      <c r="F10971" t="inlineStr">
        <is>
          <t>GÄVLEBORGS LÄN</t>
        </is>
      </c>
      <c r="G10971" t="inlineStr">
        <is>
          <t>SANDVIKEN</t>
        </is>
      </c>
      <c r="H10971" t="inlineStr">
        <is>
          <t>Övriga statliga verk och myndigheter</t>
        </is>
      </c>
      <c r="I10971" t="n">
        <v>4.9</v>
      </c>
      <c r="J10971" t="n">
        <v>0</v>
      </c>
      <c r="K10971" t="n">
        <v>0</v>
      </c>
      <c r="L10971" t="n">
        <v>0</v>
      </c>
      <c r="M10971" t="n">
        <v>0</v>
      </c>
      <c r="N10971" t="n">
        <v>0</v>
      </c>
      <c r="O10971" t="n">
        <v>0</v>
      </c>
      <c r="P10971" t="n">
        <v>0</v>
      </c>
      <c r="Q10971" t="n">
        <v>0</v>
      </c>
      <c r="R10971" t="n">
        <v>0</v>
      </c>
      <c r="S10971" t="n">
        <v>0</v>
      </c>
      <c r="T10971" t="n">
        <v>0</v>
      </c>
      <c r="U10971" t="n">
        <v>0</v>
      </c>
      <c r="V10971" s="2" t="inlineStr"/>
    </row>
    <row r="10972" ht="15" customHeight="1">
      <c r="A10972" t="inlineStr">
        <is>
          <t>A 37979-2026</t>
        </is>
      </c>
      <c r="B10972" t="inlineStr">
        <is>
          <t>avverkningsanmälan</t>
        </is>
      </c>
      <c r="C10972" t="inlineStr">
        <is>
          <t>Föryngringsavverkning</t>
        </is>
      </c>
      <c r="D10972" s="1" t="n">
        <v>46280</v>
      </c>
      <c r="E10972" s="1" t="n">
        <v>46326</v>
      </c>
      <c r="F10972" t="inlineStr">
        <is>
          <t>GÄVLEBORGS LÄN</t>
        </is>
      </c>
      <c r="G10972" t="inlineStr">
        <is>
          <t>NORDANSTIG</t>
        </is>
      </c>
      <c r="I10972" t="n">
        <v>6.5</v>
      </c>
      <c r="J10972" t="n">
        <v>0</v>
      </c>
      <c r="K10972" t="n">
        <v>0</v>
      </c>
      <c r="L10972" t="n">
        <v>0</v>
      </c>
      <c r="M10972" t="n">
        <v>0</v>
      </c>
      <c r="N10972" t="n">
        <v>0</v>
      </c>
      <c r="O10972" t="n">
        <v>0</v>
      </c>
      <c r="P10972" t="n">
        <v>0</v>
      </c>
      <c r="Q10972" t="n">
        <v>0</v>
      </c>
      <c r="R10972" t="n">
        <v>0</v>
      </c>
      <c r="S10972" t="n">
        <v>0</v>
      </c>
      <c r="T10972" t="n">
        <v>0</v>
      </c>
      <c r="U10972" t="n">
        <v>0</v>
      </c>
      <c r="V10972" s="2" t="inlineStr"/>
    </row>
    <row r="10973" ht="15" customHeight="1">
      <c r="A10973" t="inlineStr">
        <is>
          <t>A 44472-2026</t>
        </is>
      </c>
      <c r="B10973" t="inlineStr">
        <is>
          <t>avverkningsanmälan</t>
        </is>
      </c>
      <c r="C10973" t="inlineStr">
        <is>
          <t>Föryngringsavverkning</t>
        </is>
      </c>
      <c r="D10973" s="1" t="n">
        <v>46321</v>
      </c>
      <c r="E10973" s="1" t="n">
        <v>46326</v>
      </c>
      <c r="F10973" t="inlineStr">
        <is>
          <t>GÄVLEBORGS LÄN</t>
        </is>
      </c>
      <c r="G10973" t="inlineStr">
        <is>
          <t>HUDIKSVALL</t>
        </is>
      </c>
      <c r="H10973" t="inlineStr">
        <is>
          <t>Holmen skog AB</t>
        </is>
      </c>
      <c r="I10973" t="n">
        <v>3.1</v>
      </c>
      <c r="J10973" t="n">
        <v>0</v>
      </c>
      <c r="K10973" t="n">
        <v>0</v>
      </c>
      <c r="L10973" t="n">
        <v>0</v>
      </c>
      <c r="M10973" t="n">
        <v>0</v>
      </c>
      <c r="N10973" t="n">
        <v>0</v>
      </c>
      <c r="O10973" t="n">
        <v>0</v>
      </c>
      <c r="P10973" t="n">
        <v>0</v>
      </c>
      <c r="Q10973" t="n">
        <v>0</v>
      </c>
      <c r="R10973" t="n">
        <v>0</v>
      </c>
      <c r="S10973" t="n">
        <v>0</v>
      </c>
      <c r="T10973" t="n">
        <v>0</v>
      </c>
      <c r="U10973" t="n">
        <v>0</v>
      </c>
      <c r="V10973" s="2" t="inlineStr"/>
    </row>
    <row r="10974" ht="15" customHeight="1">
      <c r="A10974" t="inlineStr">
        <is>
          <t>A 44503-2026</t>
        </is>
      </c>
      <c r="B10974" t="inlineStr">
        <is>
          <t>avverkningsanmälan</t>
        </is>
      </c>
      <c r="C10974" t="inlineStr">
        <is>
          <t>Föryngringsavverkning</t>
        </is>
      </c>
      <c r="D10974" s="1" t="n">
        <v>46321</v>
      </c>
      <c r="E10974" s="1" t="n">
        <v>46326</v>
      </c>
      <c r="F10974" t="inlineStr">
        <is>
          <t>GÄVLEBORGS LÄN</t>
        </is>
      </c>
      <c r="G10974" t="inlineStr">
        <is>
          <t>HUDIKSVALL</t>
        </is>
      </c>
      <c r="H10974" t="inlineStr">
        <is>
          <t>Holmen skog AB</t>
        </is>
      </c>
      <c r="I10974" t="n">
        <v>1.4</v>
      </c>
      <c r="J10974" t="n">
        <v>0</v>
      </c>
      <c r="K10974" t="n">
        <v>0</v>
      </c>
      <c r="L10974" t="n">
        <v>0</v>
      </c>
      <c r="M10974" t="n">
        <v>0</v>
      </c>
      <c r="N10974" t="n">
        <v>0</v>
      </c>
      <c r="O10974" t="n">
        <v>0</v>
      </c>
      <c r="P10974" t="n">
        <v>0</v>
      </c>
      <c r="Q10974" t="n">
        <v>0</v>
      </c>
      <c r="R10974" t="n">
        <v>0</v>
      </c>
      <c r="S10974" t="n">
        <v>0</v>
      </c>
      <c r="T10974" t="n">
        <v>0</v>
      </c>
      <c r="U10974" t="n">
        <v>0</v>
      </c>
      <c r="V10974" s="2" t="inlineStr"/>
    </row>
    <row r="10975" ht="15" customHeight="1">
      <c r="A10975" t="inlineStr">
        <is>
          <t>A 44821-2026</t>
        </is>
      </c>
      <c r="B10975" t="inlineStr">
        <is>
          <t>avverkningsanmälan</t>
        </is>
      </c>
      <c r="C10975" t="inlineStr">
        <is>
          <t>Föryngringsavverkning</t>
        </is>
      </c>
      <c r="D10975" s="1" t="n">
        <v>46323</v>
      </c>
      <c r="E10975" s="1" t="n">
        <v>46326</v>
      </c>
      <c r="F10975" t="inlineStr">
        <is>
          <t>GÄVLEBORGS LÄN</t>
        </is>
      </c>
      <c r="G10975" t="inlineStr">
        <is>
          <t>SÖDERHAMN</t>
        </is>
      </c>
      <c r="I10975" t="n">
        <v>1.3</v>
      </c>
      <c r="J10975" t="n">
        <v>0</v>
      </c>
      <c r="K10975" t="n">
        <v>0</v>
      </c>
      <c r="L10975" t="n">
        <v>0</v>
      </c>
      <c r="M10975" t="n">
        <v>0</v>
      </c>
      <c r="N10975" t="n">
        <v>0</v>
      </c>
      <c r="O10975" t="n">
        <v>0</v>
      </c>
      <c r="P10975" t="n">
        <v>0</v>
      </c>
      <c r="Q10975" t="n">
        <v>0</v>
      </c>
      <c r="R10975" t="n">
        <v>0</v>
      </c>
      <c r="S10975" t="n">
        <v>0</v>
      </c>
      <c r="T10975" t="n">
        <v>0</v>
      </c>
      <c r="U10975" t="n">
        <v>0</v>
      </c>
      <c r="V10975" s="2" t="inlineStr"/>
    </row>
    <row r="10976" ht="15" customHeight="1">
      <c r="A10976" t="inlineStr">
        <is>
          <t>A 18020-2026</t>
        </is>
      </c>
      <c r="B10976" t="inlineStr">
        <is>
          <t>avverkningsanmälan</t>
        </is>
      </c>
      <c r="C10976" t="inlineStr">
        <is>
          <t>Föryngringsavverkning</t>
        </is>
      </c>
      <c r="D10976" s="1" t="n">
        <v>46125</v>
      </c>
      <c r="E10976" s="1" t="n">
        <v>46326</v>
      </c>
      <c r="F10976" t="inlineStr">
        <is>
          <t>GÄVLEBORGS LÄN</t>
        </is>
      </c>
      <c r="G10976" t="inlineStr">
        <is>
          <t>NORDANSTIG</t>
        </is>
      </c>
      <c r="I10976" t="n">
        <v>1.3</v>
      </c>
      <c r="J10976" t="n">
        <v>0</v>
      </c>
      <c r="K10976" t="n">
        <v>0</v>
      </c>
      <c r="L10976" t="n">
        <v>0</v>
      </c>
      <c r="M10976" t="n">
        <v>0</v>
      </c>
      <c r="N10976" t="n">
        <v>0</v>
      </c>
      <c r="O10976" t="n">
        <v>0</v>
      </c>
      <c r="P10976" t="n">
        <v>0</v>
      </c>
      <c r="Q10976" t="n">
        <v>0</v>
      </c>
      <c r="R10976" t="n">
        <v>0</v>
      </c>
      <c r="S10976" t="n">
        <v>0</v>
      </c>
      <c r="T10976" t="n">
        <v>0</v>
      </c>
      <c r="U10976" t="n">
        <v>0</v>
      </c>
      <c r="V10976" s="2" t="inlineStr"/>
    </row>
    <row r="10977" ht="15" customHeight="1">
      <c r="A10977" t="inlineStr">
        <is>
          <t>A 44770-2026</t>
        </is>
      </c>
      <c r="B10977" t="inlineStr">
        <is>
          <t>avverkningsanmälan</t>
        </is>
      </c>
      <c r="C10977" t="inlineStr">
        <is>
          <t>Föryngringsavverkning</t>
        </is>
      </c>
      <c r="D10977" s="1" t="n">
        <v>46322</v>
      </c>
      <c r="E10977" s="1" t="n">
        <v>46326</v>
      </c>
      <c r="F10977" t="inlineStr">
        <is>
          <t>GÄVLEBORGS LÄN</t>
        </is>
      </c>
      <c r="G10977" t="inlineStr">
        <is>
          <t>HUDIKSVALL</t>
        </is>
      </c>
      <c r="I10977" t="n">
        <v>1.2</v>
      </c>
      <c r="J10977" t="n">
        <v>0</v>
      </c>
      <c r="K10977" t="n">
        <v>0</v>
      </c>
      <c r="L10977" t="n">
        <v>0</v>
      </c>
      <c r="M10977" t="n">
        <v>0</v>
      </c>
      <c r="N10977" t="n">
        <v>0</v>
      </c>
      <c r="O10977" t="n">
        <v>0</v>
      </c>
      <c r="P10977" t="n">
        <v>0</v>
      </c>
      <c r="Q10977" t="n">
        <v>0</v>
      </c>
      <c r="R10977" t="n">
        <v>0</v>
      </c>
      <c r="S10977" t="n">
        <v>0</v>
      </c>
      <c r="T10977" t="n">
        <v>0</v>
      </c>
      <c r="U10977" t="n">
        <v>0</v>
      </c>
      <c r="V10977" s="2" t="inlineStr"/>
    </row>
    <row r="10978" ht="15" customHeight="1">
      <c r="A10978" t="inlineStr">
        <is>
          <t>A 44590-2026</t>
        </is>
      </c>
      <c r="B10978" t="inlineStr">
        <is>
          <t>avverkningsanmälan</t>
        </is>
      </c>
      <c r="C10978" t="inlineStr">
        <is>
          <t>Föryngringsavverkning</t>
        </is>
      </c>
      <c r="D10978" s="1" t="n">
        <v>46321</v>
      </c>
      <c r="E10978" s="1" t="n">
        <v>46326</v>
      </c>
      <c r="F10978" t="inlineStr">
        <is>
          <t>GÄVLEBORGS LÄN</t>
        </is>
      </c>
      <c r="G10978" t="inlineStr">
        <is>
          <t>NORDANSTIG</t>
        </is>
      </c>
      <c r="I10978" t="n">
        <v>0.6</v>
      </c>
      <c r="J10978" t="n">
        <v>0</v>
      </c>
      <c r="K10978" t="n">
        <v>0</v>
      </c>
      <c r="L10978" t="n">
        <v>0</v>
      </c>
      <c r="M10978" t="n">
        <v>0</v>
      </c>
      <c r="N10978" t="n">
        <v>0</v>
      </c>
      <c r="O10978" t="n">
        <v>0</v>
      </c>
      <c r="P10978" t="n">
        <v>0</v>
      </c>
      <c r="Q10978" t="n">
        <v>0</v>
      </c>
      <c r="R10978" t="n">
        <v>0</v>
      </c>
      <c r="S10978" t="n">
        <v>0</v>
      </c>
      <c r="T10978" t="n">
        <v>0</v>
      </c>
      <c r="U10978" t="n">
        <v>0</v>
      </c>
      <c r="V10978" s="2" t="inlineStr"/>
    </row>
    <row r="10979" ht="15" customHeight="1">
      <c r="A10979" t="inlineStr">
        <is>
          <t>A 44601-2026</t>
        </is>
      </c>
      <c r="B10979" t="inlineStr">
        <is>
          <t>avverkningsanmälan</t>
        </is>
      </c>
      <c r="C10979" t="inlineStr">
        <is>
          <t>Föryngringsavverkning</t>
        </is>
      </c>
      <c r="D10979" s="1" t="n">
        <v>46322</v>
      </c>
      <c r="E10979" s="1" t="n">
        <v>46326</v>
      </c>
      <c r="F10979" t="inlineStr">
        <is>
          <t>GÄVLEBORGS LÄN</t>
        </is>
      </c>
      <c r="G10979" t="inlineStr">
        <is>
          <t>HUDIKSVALL</t>
        </is>
      </c>
      <c r="I10979" t="n">
        <v>18.8</v>
      </c>
      <c r="J10979" t="n">
        <v>0</v>
      </c>
      <c r="K10979" t="n">
        <v>0</v>
      </c>
      <c r="L10979" t="n">
        <v>0</v>
      </c>
      <c r="M10979" t="n">
        <v>0</v>
      </c>
      <c r="N10979" t="n">
        <v>0</v>
      </c>
      <c r="O10979" t="n">
        <v>0</v>
      </c>
      <c r="P10979" t="n">
        <v>0</v>
      </c>
      <c r="Q10979" t="n">
        <v>0</v>
      </c>
      <c r="R10979" t="n">
        <v>0</v>
      </c>
      <c r="S10979" t="n">
        <v>0</v>
      </c>
      <c r="T10979" t="n">
        <v>0</v>
      </c>
      <c r="U10979" t="n">
        <v>0</v>
      </c>
      <c r="V10979" s="2" t="inlineStr"/>
    </row>
    <row r="10980" ht="15" customHeight="1">
      <c r="A10980" t="inlineStr">
        <is>
          <t>A 44482-2026</t>
        </is>
      </c>
      <c r="B10980" t="inlineStr">
        <is>
          <t>avverkningsanmälan</t>
        </is>
      </c>
      <c r="C10980" t="inlineStr">
        <is>
          <t>Föryngringsavverkning</t>
        </is>
      </c>
      <c r="D10980" s="1" t="n">
        <v>46321</v>
      </c>
      <c r="E10980" s="1" t="n">
        <v>46326</v>
      </c>
      <c r="F10980" t="inlineStr">
        <is>
          <t>GÄVLEBORGS LÄN</t>
        </is>
      </c>
      <c r="G10980" t="inlineStr">
        <is>
          <t>OVANÅKER</t>
        </is>
      </c>
      <c r="I10980" t="n">
        <v>3.3</v>
      </c>
      <c r="J10980" t="n">
        <v>0</v>
      </c>
      <c r="K10980" t="n">
        <v>0</v>
      </c>
      <c r="L10980" t="n">
        <v>0</v>
      </c>
      <c r="M10980" t="n">
        <v>0</v>
      </c>
      <c r="N10980" t="n">
        <v>0</v>
      </c>
      <c r="O10980" t="n">
        <v>0</v>
      </c>
      <c r="P10980" t="n">
        <v>0</v>
      </c>
      <c r="Q10980" t="n">
        <v>0</v>
      </c>
      <c r="R10980" t="n">
        <v>0</v>
      </c>
      <c r="S10980" t="n">
        <v>0</v>
      </c>
      <c r="T10980" t="n">
        <v>0</v>
      </c>
      <c r="U10980" t="n">
        <v>0</v>
      </c>
      <c r="V10980" s="2" t="inlineStr"/>
    </row>
    <row r="10981" ht="15" customHeight="1">
      <c r="A10981" t="inlineStr">
        <is>
          <t>A 44446-2026</t>
        </is>
      </c>
      <c r="B10981" t="inlineStr">
        <is>
          <t>avverkningsanmälan</t>
        </is>
      </c>
      <c r="C10981" t="inlineStr">
        <is>
          <t>Föryngringsavverkning</t>
        </is>
      </c>
      <c r="D10981" s="1" t="n">
        <v>46321</v>
      </c>
      <c r="E10981" s="1" t="n">
        <v>46326</v>
      </c>
      <c r="F10981" t="inlineStr">
        <is>
          <t>GÄVLEBORGS LÄN</t>
        </is>
      </c>
      <c r="G10981" t="inlineStr">
        <is>
          <t>HUDIKSVALL</t>
        </is>
      </c>
      <c r="H10981" t="inlineStr">
        <is>
          <t>Holmen skog AB</t>
        </is>
      </c>
      <c r="I10981" t="n">
        <v>1.3</v>
      </c>
      <c r="J10981" t="n">
        <v>0</v>
      </c>
      <c r="K10981" t="n">
        <v>0</v>
      </c>
      <c r="L10981" t="n">
        <v>0</v>
      </c>
      <c r="M10981" t="n">
        <v>0</v>
      </c>
      <c r="N10981" t="n">
        <v>0</v>
      </c>
      <c r="O10981" t="n">
        <v>0</v>
      </c>
      <c r="P10981" t="n">
        <v>0</v>
      </c>
      <c r="Q10981" t="n">
        <v>0</v>
      </c>
      <c r="R10981" t="n">
        <v>0</v>
      </c>
      <c r="S10981" t="n">
        <v>0</v>
      </c>
      <c r="T10981" t="n">
        <v>0</v>
      </c>
      <c r="U10981" t="n">
        <v>0</v>
      </c>
      <c r="V10981" s="2" t="inlineStr"/>
    </row>
    <row r="10982" ht="15" customHeight="1">
      <c r="A10982" t="inlineStr">
        <is>
          <t>A 37803-2026</t>
        </is>
      </c>
      <c r="B10982" t="inlineStr">
        <is>
          <t>avverkningsanmälan</t>
        </is>
      </c>
      <c r="C10982" t="inlineStr">
        <is>
          <t>Föryngringsavverkning</t>
        </is>
      </c>
      <c r="D10982" s="1" t="n">
        <v>46279</v>
      </c>
      <c r="E10982" s="1" t="n">
        <v>46326</v>
      </c>
      <c r="F10982" t="inlineStr">
        <is>
          <t>GÄVLEBORGS LÄN</t>
        </is>
      </c>
      <c r="G10982" t="inlineStr">
        <is>
          <t>LJUSDAL</t>
        </is>
      </c>
      <c r="I10982" t="n">
        <v>6.4</v>
      </c>
      <c r="J10982" t="n">
        <v>0</v>
      </c>
      <c r="K10982" t="n">
        <v>0</v>
      </c>
      <c r="L10982" t="n">
        <v>0</v>
      </c>
      <c r="M10982" t="n">
        <v>0</v>
      </c>
      <c r="N10982" t="n">
        <v>0</v>
      </c>
      <c r="O10982" t="n">
        <v>0</v>
      </c>
      <c r="P10982" t="n">
        <v>0</v>
      </c>
      <c r="Q10982" t="n">
        <v>0</v>
      </c>
      <c r="R10982" t="n">
        <v>0</v>
      </c>
      <c r="S10982" t="n">
        <v>0</v>
      </c>
      <c r="T10982" t="n">
        <v>0</v>
      </c>
      <c r="U10982" t="n">
        <v>0</v>
      </c>
      <c r="V10982" s="2" t="inlineStr"/>
    </row>
    <row r="10983" ht="15" customHeight="1">
      <c r="A10983" t="inlineStr">
        <is>
          <t>A 44542-2026</t>
        </is>
      </c>
      <c r="B10983" t="inlineStr">
        <is>
          <t>avverkningsanmälan</t>
        </is>
      </c>
      <c r="C10983" t="inlineStr">
        <is>
          <t>Föryngringsavverkning</t>
        </is>
      </c>
      <c r="D10983" s="1" t="n">
        <v>46321</v>
      </c>
      <c r="E10983" s="1" t="n">
        <v>46326</v>
      </c>
      <c r="F10983" t="inlineStr">
        <is>
          <t>GÄVLEBORGS LÄN</t>
        </is>
      </c>
      <c r="G10983" t="inlineStr">
        <is>
          <t>OCKELBO</t>
        </is>
      </c>
      <c r="I10983" t="n">
        <v>2.9</v>
      </c>
      <c r="J10983" t="n">
        <v>0</v>
      </c>
      <c r="K10983" t="n">
        <v>0</v>
      </c>
      <c r="L10983" t="n">
        <v>0</v>
      </c>
      <c r="M10983" t="n">
        <v>0</v>
      </c>
      <c r="N10983" t="n">
        <v>0</v>
      </c>
      <c r="O10983" t="n">
        <v>0</v>
      </c>
      <c r="P10983" t="n">
        <v>0</v>
      </c>
      <c r="Q10983" t="n">
        <v>0</v>
      </c>
      <c r="R10983" t="n">
        <v>0</v>
      </c>
      <c r="S10983" t="n">
        <v>0</v>
      </c>
      <c r="T10983" t="n">
        <v>0</v>
      </c>
      <c r="U10983" t="n">
        <v>0</v>
      </c>
      <c r="V10983" s="2" t="inlineStr"/>
    </row>
    <row r="10984" ht="15" customHeight="1">
      <c r="A10984" t="inlineStr">
        <is>
          <t>A 44546-2026</t>
        </is>
      </c>
      <c r="B10984" t="inlineStr">
        <is>
          <t>avverkningsanmälan</t>
        </is>
      </c>
      <c r="C10984" t="inlineStr">
        <is>
          <t>Föryngringsavverkning</t>
        </is>
      </c>
      <c r="D10984" s="1" t="n">
        <v>46321</v>
      </c>
      <c r="E10984" s="1" t="n">
        <v>46326</v>
      </c>
      <c r="F10984" t="inlineStr">
        <is>
          <t>GÄVLEBORGS LÄN</t>
        </is>
      </c>
      <c r="G10984" t="inlineStr">
        <is>
          <t>GÄVLE</t>
        </is>
      </c>
      <c r="H10984" t="inlineStr">
        <is>
          <t>Bergvik skog öst AB</t>
        </is>
      </c>
      <c r="I10984" t="n">
        <v>3.5</v>
      </c>
      <c r="J10984" t="n">
        <v>0</v>
      </c>
      <c r="K10984" t="n">
        <v>0</v>
      </c>
      <c r="L10984" t="n">
        <v>0</v>
      </c>
      <c r="M10984" t="n">
        <v>0</v>
      </c>
      <c r="N10984" t="n">
        <v>0</v>
      </c>
      <c r="O10984" t="n">
        <v>0</v>
      </c>
      <c r="P10984" t="n">
        <v>0</v>
      </c>
      <c r="Q10984" t="n">
        <v>0</v>
      </c>
      <c r="R10984" t="n">
        <v>0</v>
      </c>
      <c r="S10984" t="n">
        <v>0</v>
      </c>
      <c r="T10984" t="n">
        <v>0</v>
      </c>
      <c r="U10984" t="n">
        <v>0</v>
      </c>
      <c r="V10984" s="2" t="inlineStr"/>
    </row>
    <row r="10985" ht="15" customHeight="1">
      <c r="A10985" t="inlineStr">
        <is>
          <t>A 44551-2026</t>
        </is>
      </c>
      <c r="B10985" t="inlineStr">
        <is>
          <t>avverkningsanmälan</t>
        </is>
      </c>
      <c r="C10985" t="inlineStr">
        <is>
          <t>Föryngringsavverkning</t>
        </is>
      </c>
      <c r="D10985" s="1" t="n">
        <v>46321</v>
      </c>
      <c r="E10985" s="1" t="n">
        <v>46326</v>
      </c>
      <c r="F10985" t="inlineStr">
        <is>
          <t>GÄVLEBORGS LÄN</t>
        </is>
      </c>
      <c r="G10985" t="inlineStr">
        <is>
          <t>GÄVLE</t>
        </is>
      </c>
      <c r="H10985" t="inlineStr">
        <is>
          <t>Bergvik skog öst AB</t>
        </is>
      </c>
      <c r="I10985" t="n">
        <v>2.7</v>
      </c>
      <c r="J10985" t="n">
        <v>0</v>
      </c>
      <c r="K10985" t="n">
        <v>0</v>
      </c>
      <c r="L10985" t="n">
        <v>0</v>
      </c>
      <c r="M10985" t="n">
        <v>0</v>
      </c>
      <c r="N10985" t="n">
        <v>0</v>
      </c>
      <c r="O10985" t="n">
        <v>0</v>
      </c>
      <c r="P10985" t="n">
        <v>0</v>
      </c>
      <c r="Q10985" t="n">
        <v>0</v>
      </c>
      <c r="R10985" t="n">
        <v>0</v>
      </c>
      <c r="S10985" t="n">
        <v>0</v>
      </c>
      <c r="T10985" t="n">
        <v>0</v>
      </c>
      <c r="U10985" t="n">
        <v>0</v>
      </c>
      <c r="V10985" s="2" t="inlineStr"/>
    </row>
    <row r="10986" ht="15" customHeight="1">
      <c r="A10986" t="inlineStr">
        <is>
          <t>A 37926-2026</t>
        </is>
      </c>
      <c r="B10986" t="inlineStr">
        <is>
          <t>avverkningsanmälan</t>
        </is>
      </c>
      <c r="C10986" t="inlineStr">
        <is>
          <t>Föryngringsavverkning</t>
        </is>
      </c>
      <c r="D10986" s="1" t="n">
        <v>46280</v>
      </c>
      <c r="E10986" s="1" t="n">
        <v>46326</v>
      </c>
      <c r="F10986" t="inlineStr">
        <is>
          <t>GÄVLEBORGS LÄN</t>
        </is>
      </c>
      <c r="G10986" t="inlineStr">
        <is>
          <t>LJUSDAL</t>
        </is>
      </c>
      <c r="H10986" t="inlineStr">
        <is>
          <t>SCA</t>
        </is>
      </c>
      <c r="I10986" t="n">
        <v>7.1</v>
      </c>
      <c r="J10986" t="n">
        <v>0</v>
      </c>
      <c r="K10986" t="n">
        <v>0</v>
      </c>
      <c r="L10986" t="n">
        <v>0</v>
      </c>
      <c r="M10986" t="n">
        <v>0</v>
      </c>
      <c r="N10986" t="n">
        <v>0</v>
      </c>
      <c r="O10986" t="n">
        <v>0</v>
      </c>
      <c r="P10986" t="n">
        <v>0</v>
      </c>
      <c r="Q10986" t="n">
        <v>0</v>
      </c>
      <c r="R10986" t="n">
        <v>0</v>
      </c>
      <c r="S10986" t="n">
        <v>0</v>
      </c>
      <c r="T10986" t="n">
        <v>0</v>
      </c>
      <c r="U10986" t="n">
        <v>0</v>
      </c>
      <c r="V10986" s="2" t="inlineStr"/>
    </row>
    <row r="10987" ht="15" customHeight="1">
      <c r="A10987" t="inlineStr">
        <is>
          <t>A 37934-2026</t>
        </is>
      </c>
      <c r="B10987" t="inlineStr">
        <is>
          <t>avverkningsanmälan</t>
        </is>
      </c>
      <c r="C10987" t="inlineStr">
        <is>
          <t>Föryngringsavverkning</t>
        </is>
      </c>
      <c r="D10987" s="1" t="n">
        <v>46280</v>
      </c>
      <c r="E10987" s="1" t="n">
        <v>46326</v>
      </c>
      <c r="F10987" t="inlineStr">
        <is>
          <t>GÄVLEBORGS LÄN</t>
        </is>
      </c>
      <c r="G10987" t="inlineStr">
        <is>
          <t>GÄVLE</t>
        </is>
      </c>
      <c r="H10987" t="inlineStr">
        <is>
          <t>Bergvik skog öst AB</t>
        </is>
      </c>
      <c r="I10987" t="n">
        <v>4.3</v>
      </c>
      <c r="J10987" t="n">
        <v>0</v>
      </c>
      <c r="K10987" t="n">
        <v>0</v>
      </c>
      <c r="L10987" t="n">
        <v>0</v>
      </c>
      <c r="M10987" t="n">
        <v>0</v>
      </c>
      <c r="N10987" t="n">
        <v>0</v>
      </c>
      <c r="O10987" t="n">
        <v>0</v>
      </c>
      <c r="P10987" t="n">
        <v>0</v>
      </c>
      <c r="Q10987" t="n">
        <v>0</v>
      </c>
      <c r="R10987" t="n">
        <v>0</v>
      </c>
      <c r="S10987" t="n">
        <v>0</v>
      </c>
      <c r="T10987" t="n">
        <v>0</v>
      </c>
      <c r="U10987" t="n">
        <v>0</v>
      </c>
      <c r="V10987" s="2" t="inlineStr"/>
    </row>
    <row r="10988" ht="15" customHeight="1">
      <c r="A10988" t="inlineStr">
        <is>
          <t>A 37935-2026</t>
        </is>
      </c>
      <c r="B10988" t="inlineStr">
        <is>
          <t>avverkningsanmälan</t>
        </is>
      </c>
      <c r="C10988" t="inlineStr">
        <is>
          <t>Föryngringsavverkning</t>
        </is>
      </c>
      <c r="D10988" s="1" t="n">
        <v>46280</v>
      </c>
      <c r="E10988" s="1" t="n">
        <v>46326</v>
      </c>
      <c r="F10988" t="inlineStr">
        <is>
          <t>GÄVLEBORGS LÄN</t>
        </is>
      </c>
      <c r="G10988" t="inlineStr">
        <is>
          <t>GÄVLE</t>
        </is>
      </c>
      <c r="H10988" t="inlineStr">
        <is>
          <t>Bergvik skog öst AB</t>
        </is>
      </c>
      <c r="I10988" t="n">
        <v>2.3</v>
      </c>
      <c r="J10988" t="n">
        <v>0</v>
      </c>
      <c r="K10988" t="n">
        <v>0</v>
      </c>
      <c r="L10988" t="n">
        <v>0</v>
      </c>
      <c r="M10988" t="n">
        <v>0</v>
      </c>
      <c r="N10988" t="n">
        <v>0</v>
      </c>
      <c r="O10988" t="n">
        <v>0</v>
      </c>
      <c r="P10988" t="n">
        <v>0</v>
      </c>
      <c r="Q10988" t="n">
        <v>0</v>
      </c>
      <c r="R10988" t="n">
        <v>0</v>
      </c>
      <c r="S10988" t="n">
        <v>0</v>
      </c>
      <c r="T10988" t="n">
        <v>0</v>
      </c>
      <c r="U10988" t="n">
        <v>0</v>
      </c>
      <c r="V10988" s="2" t="inlineStr"/>
    </row>
    <row r="10989" ht="15" customHeight="1">
      <c r="A10989" t="inlineStr">
        <is>
          <t>A 37967-2026</t>
        </is>
      </c>
      <c r="B10989" t="inlineStr">
        <is>
          <t>avverkningsanmälan</t>
        </is>
      </c>
      <c r="C10989" t="inlineStr">
        <is>
          <t>Föryngringsavverkning</t>
        </is>
      </c>
      <c r="D10989" s="1" t="n">
        <v>46280</v>
      </c>
      <c r="E10989" s="1" t="n">
        <v>46326</v>
      </c>
      <c r="F10989" t="inlineStr">
        <is>
          <t>GÄVLEBORGS LÄN</t>
        </is>
      </c>
      <c r="G10989" t="inlineStr">
        <is>
          <t>HUDIKSVALL</t>
        </is>
      </c>
      <c r="I10989" t="n">
        <v>3.9</v>
      </c>
      <c r="J10989" t="n">
        <v>0</v>
      </c>
      <c r="K10989" t="n">
        <v>0</v>
      </c>
      <c r="L10989" t="n">
        <v>0</v>
      </c>
      <c r="M10989" t="n">
        <v>0</v>
      </c>
      <c r="N10989" t="n">
        <v>0</v>
      </c>
      <c r="O10989" t="n">
        <v>0</v>
      </c>
      <c r="P10989" t="n">
        <v>0</v>
      </c>
      <c r="Q10989" t="n">
        <v>0</v>
      </c>
      <c r="R10989" t="n">
        <v>0</v>
      </c>
      <c r="S10989" t="n">
        <v>0</v>
      </c>
      <c r="T10989" t="n">
        <v>0</v>
      </c>
      <c r="U10989" t="n">
        <v>0</v>
      </c>
      <c r="V10989" s="2" t="inlineStr"/>
    </row>
    <row r="10990" ht="15" customHeight="1">
      <c r="A10990" t="inlineStr">
        <is>
          <t>A 42960-2026</t>
        </is>
      </c>
      <c r="B10990" t="inlineStr">
        <is>
          <t>avverkningsanmälan</t>
        </is>
      </c>
      <c r="C10990" t="inlineStr">
        <is>
          <t>Föryngringsavverkning</t>
        </is>
      </c>
      <c r="D10990" s="1" t="n">
        <v>46310</v>
      </c>
      <c r="E10990" s="1" t="n">
        <v>46326</v>
      </c>
      <c r="F10990" t="inlineStr">
        <is>
          <t>GÄVLEBORGS LÄN</t>
        </is>
      </c>
      <c r="G10990" t="inlineStr">
        <is>
          <t>LJUSDAL</t>
        </is>
      </c>
      <c r="H10990" t="inlineStr">
        <is>
          <t>Allmännings- och besparingsskogar</t>
        </is>
      </c>
      <c r="I10990" t="n">
        <v>8.1</v>
      </c>
      <c r="J10990" t="n">
        <v>0</v>
      </c>
      <c r="K10990" t="n">
        <v>0</v>
      </c>
      <c r="L10990" t="n">
        <v>0</v>
      </c>
      <c r="M10990" t="n">
        <v>0</v>
      </c>
      <c r="N10990" t="n">
        <v>0</v>
      </c>
      <c r="O10990" t="n">
        <v>0</v>
      </c>
      <c r="P10990" t="n">
        <v>0</v>
      </c>
      <c r="Q10990" t="n">
        <v>0</v>
      </c>
      <c r="R10990" t="n">
        <v>0</v>
      </c>
      <c r="S10990" t="n">
        <v>0</v>
      </c>
      <c r="T10990" t="n">
        <v>0</v>
      </c>
      <c r="U10990" t="n">
        <v>0</v>
      </c>
      <c r="V10990" s="2" t="inlineStr"/>
    </row>
    <row r="10991" ht="15" customHeight="1">
      <c r="A10991" t="inlineStr">
        <is>
          <t>A 13428-2026</t>
        </is>
      </c>
      <c r="B10991" t="inlineStr">
        <is>
          <t>avverkningsanmälan</t>
        </is>
      </c>
      <c r="C10991" t="inlineStr">
        <is>
          <t>Föryngringsavverkning</t>
        </is>
      </c>
      <c r="D10991" s="1" t="n">
        <v>46094</v>
      </c>
      <c r="E10991" s="1" t="n">
        <v>46326</v>
      </c>
      <c r="F10991" t="inlineStr">
        <is>
          <t>GÄVLEBORGS LÄN</t>
        </is>
      </c>
      <c r="G10991" t="inlineStr">
        <is>
          <t>OCKELBO</t>
        </is>
      </c>
      <c r="H10991" t="inlineStr">
        <is>
          <t>Bergvik skog väst AB</t>
        </is>
      </c>
      <c r="I10991" t="n">
        <v>0.5</v>
      </c>
      <c r="J10991" t="n">
        <v>0</v>
      </c>
      <c r="K10991" t="n">
        <v>0</v>
      </c>
      <c r="L10991" t="n">
        <v>0</v>
      </c>
      <c r="M10991" t="n">
        <v>0</v>
      </c>
      <c r="N10991" t="n">
        <v>0</v>
      </c>
      <c r="O10991" t="n">
        <v>0</v>
      </c>
      <c r="P10991" t="n">
        <v>0</v>
      </c>
      <c r="Q10991" t="n">
        <v>0</v>
      </c>
      <c r="R10991" t="n">
        <v>0</v>
      </c>
      <c r="S10991" t="n">
        <v>0</v>
      </c>
      <c r="T10991" t="n">
        <v>0</v>
      </c>
      <c r="U10991" t="n">
        <v>0</v>
      </c>
      <c r="V10991" s="2" t="inlineStr"/>
    </row>
    <row r="10992" ht="15" customHeight="1">
      <c r="A10992" t="inlineStr">
        <is>
          <t>A 44375-2026</t>
        </is>
      </c>
      <c r="B10992" t="inlineStr">
        <is>
          <t>avverkningsanmälan</t>
        </is>
      </c>
      <c r="C10992" t="inlineStr">
        <is>
          <t>Föryngringsavverkning</t>
        </is>
      </c>
      <c r="D10992" s="1" t="n">
        <v>46321</v>
      </c>
      <c r="E10992" s="1" t="n">
        <v>46326</v>
      </c>
      <c r="F10992" t="inlineStr">
        <is>
          <t>GÄVLEBORGS LÄN</t>
        </is>
      </c>
      <c r="G10992" t="inlineStr">
        <is>
          <t>GÄVLE</t>
        </is>
      </c>
      <c r="H10992" t="inlineStr">
        <is>
          <t>Bergvik skog väst AB</t>
        </is>
      </c>
      <c r="I10992" t="n">
        <v>1.2</v>
      </c>
      <c r="J10992" t="n">
        <v>0</v>
      </c>
      <c r="K10992" t="n">
        <v>0</v>
      </c>
      <c r="L10992" t="n">
        <v>0</v>
      </c>
      <c r="M10992" t="n">
        <v>0</v>
      </c>
      <c r="N10992" t="n">
        <v>0</v>
      </c>
      <c r="O10992" t="n">
        <v>0</v>
      </c>
      <c r="P10992" t="n">
        <v>0</v>
      </c>
      <c r="Q10992" t="n">
        <v>0</v>
      </c>
      <c r="R10992" t="n">
        <v>0</v>
      </c>
      <c r="S10992" t="n">
        <v>0</v>
      </c>
      <c r="T10992" t="n">
        <v>0</v>
      </c>
      <c r="U10992" t="n">
        <v>0</v>
      </c>
      <c r="V10992" s="2" t="inlineStr"/>
    </row>
    <row r="10993" ht="15" customHeight="1">
      <c r="A10993" t="inlineStr">
        <is>
          <t>A 44434-2026</t>
        </is>
      </c>
      <c r="B10993" t="inlineStr">
        <is>
          <t>avverkningsanmälan</t>
        </is>
      </c>
      <c r="C10993" t="inlineStr">
        <is>
          <t>Föryngringsavverkning</t>
        </is>
      </c>
      <c r="D10993" s="1" t="n">
        <v>46321</v>
      </c>
      <c r="E10993" s="1" t="n">
        <v>46326</v>
      </c>
      <c r="F10993" t="inlineStr">
        <is>
          <t>GÄVLEBORGS LÄN</t>
        </is>
      </c>
      <c r="G10993" t="inlineStr">
        <is>
          <t>HUDIKSVALL</t>
        </is>
      </c>
      <c r="H10993" t="inlineStr">
        <is>
          <t>Holmen skog AB</t>
        </is>
      </c>
      <c r="I10993" t="n">
        <v>1.9</v>
      </c>
      <c r="J10993" t="n">
        <v>0</v>
      </c>
      <c r="K10993" t="n">
        <v>0</v>
      </c>
      <c r="L10993" t="n">
        <v>0</v>
      </c>
      <c r="M10993" t="n">
        <v>0</v>
      </c>
      <c r="N10993" t="n">
        <v>0</v>
      </c>
      <c r="O10993" t="n">
        <v>0</v>
      </c>
      <c r="P10993" t="n">
        <v>0</v>
      </c>
      <c r="Q10993" t="n">
        <v>0</v>
      </c>
      <c r="R10993" t="n">
        <v>0</v>
      </c>
      <c r="S10993" t="n">
        <v>0</v>
      </c>
      <c r="T10993" t="n">
        <v>0</v>
      </c>
      <c r="U10993" t="n">
        <v>0</v>
      </c>
      <c r="V10993" s="2" t="inlineStr"/>
    </row>
    <row r="10994" ht="15" customHeight="1">
      <c r="A10994" t="inlineStr">
        <is>
          <t>A 38033-2026</t>
        </is>
      </c>
      <c r="B10994" t="inlineStr">
        <is>
          <t>avverkningsanmälan</t>
        </is>
      </c>
      <c r="C10994" t="inlineStr">
        <is>
          <t>Föryngringsavverkning</t>
        </is>
      </c>
      <c r="D10994" s="1" t="n">
        <v>46280</v>
      </c>
      <c r="E10994" s="1" t="n">
        <v>46326</v>
      </c>
      <c r="F10994" t="inlineStr">
        <is>
          <t>GÄVLEBORGS LÄN</t>
        </is>
      </c>
      <c r="G10994" t="inlineStr">
        <is>
          <t>BOLLNÄS</t>
        </is>
      </c>
      <c r="I10994" t="n">
        <v>1.2</v>
      </c>
      <c r="J10994" t="n">
        <v>0</v>
      </c>
      <c r="K10994" t="n">
        <v>0</v>
      </c>
      <c r="L10994" t="n">
        <v>0</v>
      </c>
      <c r="M10994" t="n">
        <v>0</v>
      </c>
      <c r="N10994" t="n">
        <v>0</v>
      </c>
      <c r="O10994" t="n">
        <v>0</v>
      </c>
      <c r="P10994" t="n">
        <v>0</v>
      </c>
      <c r="Q10994" t="n">
        <v>0</v>
      </c>
      <c r="R10994" t="n">
        <v>0</v>
      </c>
      <c r="S10994" t="n">
        <v>0</v>
      </c>
      <c r="T10994" t="n">
        <v>0</v>
      </c>
      <c r="U10994" t="n">
        <v>0</v>
      </c>
      <c r="V10994" s="2" t="inlineStr"/>
    </row>
    <row r="10995" ht="15" customHeight="1">
      <c r="A10995" t="inlineStr">
        <is>
          <t>A 44815-2026</t>
        </is>
      </c>
      <c r="B10995" t="inlineStr">
        <is>
          <t>avverkningsanmälan</t>
        </is>
      </c>
      <c r="C10995" t="inlineStr">
        <is>
          <t>Föryngringsavverkning</t>
        </is>
      </c>
      <c r="D10995" s="1" t="n">
        <v>46323</v>
      </c>
      <c r="E10995" s="1" t="n">
        <v>46326</v>
      </c>
      <c r="F10995" t="inlineStr">
        <is>
          <t>GÄVLEBORGS LÄN</t>
        </is>
      </c>
      <c r="G10995" t="inlineStr">
        <is>
          <t>HUDIKSVALL</t>
        </is>
      </c>
      <c r="I10995" t="n">
        <v>1.1</v>
      </c>
      <c r="J10995" t="n">
        <v>0</v>
      </c>
      <c r="K10995" t="n">
        <v>0</v>
      </c>
      <c r="L10995" t="n">
        <v>0</v>
      </c>
      <c r="M10995" t="n">
        <v>0</v>
      </c>
      <c r="N10995" t="n">
        <v>0</v>
      </c>
      <c r="O10995" t="n">
        <v>0</v>
      </c>
      <c r="P10995" t="n">
        <v>0</v>
      </c>
      <c r="Q10995" t="n">
        <v>0</v>
      </c>
      <c r="R10995" t="n">
        <v>0</v>
      </c>
      <c r="S10995" t="n">
        <v>0</v>
      </c>
      <c r="T10995" t="n">
        <v>0</v>
      </c>
      <c r="U10995" t="n">
        <v>0</v>
      </c>
      <c r="V10995" s="2" t="inlineStr"/>
    </row>
    <row r="10996" ht="15" customHeight="1">
      <c r="A10996" t="inlineStr">
        <is>
          <t>A 37938-2026</t>
        </is>
      </c>
      <c r="B10996" t="inlineStr">
        <is>
          <t>avverkningsanmälan</t>
        </is>
      </c>
      <c r="C10996" t="inlineStr">
        <is>
          <t>Föryngringsavverkning</t>
        </is>
      </c>
      <c r="D10996" s="1" t="n">
        <v>46280</v>
      </c>
      <c r="E10996" s="1" t="n">
        <v>46326</v>
      </c>
      <c r="F10996" t="inlineStr">
        <is>
          <t>GÄVLEBORGS LÄN</t>
        </is>
      </c>
      <c r="G10996" t="inlineStr">
        <is>
          <t>GÄVLE</t>
        </is>
      </c>
      <c r="H10996" t="inlineStr">
        <is>
          <t>Bergvik skog öst AB</t>
        </is>
      </c>
      <c r="I10996" t="n">
        <v>0.6</v>
      </c>
      <c r="J10996" t="n">
        <v>0</v>
      </c>
      <c r="K10996" t="n">
        <v>0</v>
      </c>
      <c r="L10996" t="n">
        <v>0</v>
      </c>
      <c r="M10996" t="n">
        <v>0</v>
      </c>
      <c r="N10996" t="n">
        <v>0</v>
      </c>
      <c r="O10996" t="n">
        <v>0</v>
      </c>
      <c r="P10996" t="n">
        <v>0</v>
      </c>
      <c r="Q10996" t="n">
        <v>0</v>
      </c>
      <c r="R10996" t="n">
        <v>0</v>
      </c>
      <c r="S10996" t="n">
        <v>0</v>
      </c>
      <c r="T10996" t="n">
        <v>0</v>
      </c>
      <c r="U10996" t="n">
        <v>0</v>
      </c>
      <c r="V10996" s="2" t="inlineStr"/>
    </row>
    <row r="10997" ht="15" customHeight="1">
      <c r="A10997" t="inlineStr">
        <is>
          <t>A 38191-2026</t>
        </is>
      </c>
      <c r="B10997" t="inlineStr">
        <is>
          <t>avverkningsanmälan</t>
        </is>
      </c>
      <c r="C10997" t="inlineStr">
        <is>
          <t>Avverkning för annat ändamål</t>
        </is>
      </c>
      <c r="D10997" s="1" t="n">
        <v>46281</v>
      </c>
      <c r="E10997" s="1" t="n">
        <v>46326</v>
      </c>
      <c r="F10997" t="inlineStr">
        <is>
          <t>GÄVLEBORGS LÄN</t>
        </is>
      </c>
      <c r="G10997" t="inlineStr">
        <is>
          <t>GÄVLE</t>
        </is>
      </c>
      <c r="I10997" t="n">
        <v>1.6</v>
      </c>
      <c r="J10997" t="n">
        <v>0</v>
      </c>
      <c r="K10997" t="n">
        <v>0</v>
      </c>
      <c r="L10997" t="n">
        <v>0</v>
      </c>
      <c r="M10997" t="n">
        <v>0</v>
      </c>
      <c r="N10997" t="n">
        <v>0</v>
      </c>
      <c r="O10997" t="n">
        <v>0</v>
      </c>
      <c r="P10997" t="n">
        <v>0</v>
      </c>
      <c r="Q10997" t="n">
        <v>0</v>
      </c>
      <c r="R10997" t="n">
        <v>0</v>
      </c>
      <c r="S10997" t="n">
        <v>0</v>
      </c>
      <c r="T10997" t="n">
        <v>0</v>
      </c>
      <c r="U10997" t="n">
        <v>0</v>
      </c>
      <c r="V10997" s="2" t="inlineStr"/>
    </row>
    <row r="10998" ht="15" customHeight="1">
      <c r="A10998" t="inlineStr">
        <is>
          <t>A 37732-2026</t>
        </is>
      </c>
      <c r="B10998" t="inlineStr">
        <is>
          <t>avverkningsanmälan</t>
        </is>
      </c>
      <c r="C10998" t="inlineStr">
        <is>
          <t>Föryngringsavverkning</t>
        </is>
      </c>
      <c r="D10998" s="1" t="n">
        <v>46279</v>
      </c>
      <c r="E10998" s="1" t="n">
        <v>46326</v>
      </c>
      <c r="F10998" t="inlineStr">
        <is>
          <t>GÄVLEBORGS LÄN</t>
        </is>
      </c>
      <c r="G10998" t="inlineStr">
        <is>
          <t>BOLLNÄS</t>
        </is>
      </c>
      <c r="H10998" t="inlineStr">
        <is>
          <t>Bergvik skog väst AB</t>
        </is>
      </c>
      <c r="I10998" t="n">
        <v>1.3</v>
      </c>
      <c r="J10998" t="n">
        <v>0</v>
      </c>
      <c r="K10998" t="n">
        <v>0</v>
      </c>
      <c r="L10998" t="n">
        <v>0</v>
      </c>
      <c r="M10998" t="n">
        <v>0</v>
      </c>
      <c r="N10998" t="n">
        <v>0</v>
      </c>
      <c r="O10998" t="n">
        <v>0</v>
      </c>
      <c r="P10998" t="n">
        <v>0</v>
      </c>
      <c r="Q10998" t="n">
        <v>0</v>
      </c>
      <c r="R10998" t="n">
        <v>0</v>
      </c>
      <c r="S10998" t="n">
        <v>0</v>
      </c>
      <c r="T10998" t="n">
        <v>0</v>
      </c>
      <c r="U10998" t="n">
        <v>0</v>
      </c>
      <c r="V10998" s="2" t="inlineStr"/>
    </row>
    <row r="10999" ht="15" customHeight="1">
      <c r="A10999" t="inlineStr">
        <is>
          <t>A 44619-2026</t>
        </is>
      </c>
      <c r="B10999" t="inlineStr">
        <is>
          <t>avverkningsanmälan</t>
        </is>
      </c>
      <c r="C10999" t="inlineStr">
        <is>
          <t>Föryngringsavverkning</t>
        </is>
      </c>
      <c r="D10999" s="1" t="n">
        <v>46322</v>
      </c>
      <c r="E10999" s="1" t="n">
        <v>46326</v>
      </c>
      <c r="F10999" t="inlineStr">
        <is>
          <t>GÄVLEBORGS LÄN</t>
        </is>
      </c>
      <c r="G10999" t="inlineStr">
        <is>
          <t>BOLLNÄS</t>
        </is>
      </c>
      <c r="H10999" t="inlineStr">
        <is>
          <t>Bergvik skog väst AB</t>
        </is>
      </c>
      <c r="I10999" t="n">
        <v>1.6</v>
      </c>
      <c r="J10999" t="n">
        <v>0</v>
      </c>
      <c r="K10999" t="n">
        <v>0</v>
      </c>
      <c r="L10999" t="n">
        <v>0</v>
      </c>
      <c r="M10999" t="n">
        <v>0</v>
      </c>
      <c r="N10999" t="n">
        <v>0</v>
      </c>
      <c r="O10999" t="n">
        <v>0</v>
      </c>
      <c r="P10999" t="n">
        <v>0</v>
      </c>
      <c r="Q10999" t="n">
        <v>0</v>
      </c>
      <c r="R10999" t="n">
        <v>0</v>
      </c>
      <c r="S10999" t="n">
        <v>0</v>
      </c>
      <c r="T10999" t="n">
        <v>0</v>
      </c>
      <c r="U10999" t="n">
        <v>0</v>
      </c>
      <c r="V10999" s="2" t="inlineStr"/>
    </row>
    <row r="11000" ht="15" customHeight="1">
      <c r="A11000" t="inlineStr">
        <is>
          <t>A 44620-2026</t>
        </is>
      </c>
      <c r="B11000" t="inlineStr">
        <is>
          <t>avverkningsanmälan</t>
        </is>
      </c>
      <c r="C11000" t="inlineStr">
        <is>
          <t>Föryngringsavverkning</t>
        </is>
      </c>
      <c r="D11000" s="1" t="n">
        <v>46322</v>
      </c>
      <c r="E11000" s="1" t="n">
        <v>46326</v>
      </c>
      <c r="F11000" t="inlineStr">
        <is>
          <t>GÄVLEBORGS LÄN</t>
        </is>
      </c>
      <c r="G11000" t="inlineStr">
        <is>
          <t>HUDIKSVALL</t>
        </is>
      </c>
      <c r="H11000" t="inlineStr">
        <is>
          <t>Holmen skog AB</t>
        </is>
      </c>
      <c r="I11000" t="n">
        <v>7.9</v>
      </c>
      <c r="J11000" t="n">
        <v>0</v>
      </c>
      <c r="K11000" t="n">
        <v>0</v>
      </c>
      <c r="L11000" t="n">
        <v>0</v>
      </c>
      <c r="M11000" t="n">
        <v>0</v>
      </c>
      <c r="N11000" t="n">
        <v>0</v>
      </c>
      <c r="O11000" t="n">
        <v>0</v>
      </c>
      <c r="P11000" t="n">
        <v>0</v>
      </c>
      <c r="Q11000" t="n">
        <v>0</v>
      </c>
      <c r="R11000" t="n">
        <v>0</v>
      </c>
      <c r="S11000" t="n">
        <v>0</v>
      </c>
      <c r="T11000" t="n">
        <v>0</v>
      </c>
      <c r="U11000" t="n">
        <v>0</v>
      </c>
      <c r="V11000" s="2" t="inlineStr"/>
    </row>
    <row r="11001" ht="15" customHeight="1">
      <c r="A11001" t="inlineStr">
        <is>
          <t>A 38051-2026</t>
        </is>
      </c>
      <c r="B11001" t="inlineStr">
        <is>
          <t>avverkningsanmälan</t>
        </is>
      </c>
      <c r="C11001" t="inlineStr">
        <is>
          <t>Föryngringsavverkning</t>
        </is>
      </c>
      <c r="D11001" s="1" t="n">
        <v>46280</v>
      </c>
      <c r="E11001" s="1" t="n">
        <v>46326</v>
      </c>
      <c r="F11001" t="inlineStr">
        <is>
          <t>GÄVLEBORGS LÄN</t>
        </is>
      </c>
      <c r="G11001" t="inlineStr">
        <is>
          <t>GÄVLE</t>
        </is>
      </c>
      <c r="H11001" t="inlineStr">
        <is>
          <t>Bergvik skog öst AB</t>
        </is>
      </c>
      <c r="I11001" t="n">
        <v>1.2</v>
      </c>
      <c r="J11001" t="n">
        <v>0</v>
      </c>
      <c r="K11001" t="n">
        <v>0</v>
      </c>
      <c r="L11001" t="n">
        <v>0</v>
      </c>
      <c r="M11001" t="n">
        <v>0</v>
      </c>
      <c r="N11001" t="n">
        <v>0</v>
      </c>
      <c r="O11001" t="n">
        <v>0</v>
      </c>
      <c r="P11001" t="n">
        <v>0</v>
      </c>
      <c r="Q11001" t="n">
        <v>0</v>
      </c>
      <c r="R11001" t="n">
        <v>0</v>
      </c>
      <c r="S11001" t="n">
        <v>0</v>
      </c>
      <c r="T11001" t="n">
        <v>0</v>
      </c>
      <c r="U11001" t="n">
        <v>0</v>
      </c>
      <c r="V11001" s="2" t="inlineStr"/>
    </row>
    <row r="11002" ht="15" customHeight="1">
      <c r="A11002" t="inlineStr">
        <is>
          <t>A 44376-2026</t>
        </is>
      </c>
      <c r="B11002" t="inlineStr">
        <is>
          <t>avverkningsanmälan</t>
        </is>
      </c>
      <c r="C11002" t="inlineStr">
        <is>
          <t>Föryngringsavverkning</t>
        </is>
      </c>
      <c r="D11002" s="1" t="n">
        <v>46321</v>
      </c>
      <c r="E11002" s="1" t="n">
        <v>46326</v>
      </c>
      <c r="F11002" t="inlineStr">
        <is>
          <t>GÄVLEBORGS LÄN</t>
        </is>
      </c>
      <c r="G11002" t="inlineStr">
        <is>
          <t>LJUSDAL</t>
        </is>
      </c>
      <c r="H11002" t="inlineStr">
        <is>
          <t>Holmen skog AB</t>
        </is>
      </c>
      <c r="I11002" t="n">
        <v>2.3</v>
      </c>
      <c r="J11002" t="n">
        <v>0</v>
      </c>
      <c r="K11002" t="n">
        <v>0</v>
      </c>
      <c r="L11002" t="n">
        <v>0</v>
      </c>
      <c r="M11002" t="n">
        <v>0</v>
      </c>
      <c r="N11002" t="n">
        <v>0</v>
      </c>
      <c r="O11002" t="n">
        <v>0</v>
      </c>
      <c r="P11002" t="n">
        <v>0</v>
      </c>
      <c r="Q11002" t="n">
        <v>0</v>
      </c>
      <c r="R11002" t="n">
        <v>0</v>
      </c>
      <c r="S11002" t="n">
        <v>0</v>
      </c>
      <c r="T11002" t="n">
        <v>0</v>
      </c>
      <c r="U11002" t="n">
        <v>0</v>
      </c>
      <c r="V11002" s="2" t="inlineStr"/>
    </row>
    <row r="11003" ht="15" customHeight="1">
      <c r="A11003" t="inlineStr">
        <is>
          <t>A 44471-2026</t>
        </is>
      </c>
      <c r="B11003" t="inlineStr">
        <is>
          <t>avverkningsanmälan</t>
        </is>
      </c>
      <c r="C11003" t="inlineStr">
        <is>
          <t>Föryngringsavverkning</t>
        </is>
      </c>
      <c r="D11003" s="1" t="n">
        <v>46321</v>
      </c>
      <c r="E11003" s="1" t="n">
        <v>46326</v>
      </c>
      <c r="F11003" t="inlineStr">
        <is>
          <t>GÄVLEBORGS LÄN</t>
        </is>
      </c>
      <c r="G11003" t="inlineStr">
        <is>
          <t>OVANÅKER</t>
        </is>
      </c>
      <c r="H11003" t="inlineStr">
        <is>
          <t>Bergvik skog väst AB</t>
        </is>
      </c>
      <c r="I11003" t="n">
        <v>4.1</v>
      </c>
      <c r="J11003" t="n">
        <v>0</v>
      </c>
      <c r="K11003" t="n">
        <v>0</v>
      </c>
      <c r="L11003" t="n">
        <v>0</v>
      </c>
      <c r="M11003" t="n">
        <v>0</v>
      </c>
      <c r="N11003" t="n">
        <v>0</v>
      </c>
      <c r="O11003" t="n">
        <v>0</v>
      </c>
      <c r="P11003" t="n">
        <v>0</v>
      </c>
      <c r="Q11003" t="n">
        <v>0</v>
      </c>
      <c r="R11003" t="n">
        <v>0</v>
      </c>
      <c r="S11003" t="n">
        <v>0</v>
      </c>
      <c r="T11003" t="n">
        <v>0</v>
      </c>
      <c r="U11003" t="n">
        <v>0</v>
      </c>
      <c r="V11003" s="2" t="inlineStr"/>
    </row>
    <row r="11004" ht="15" customHeight="1">
      <c r="A11004" t="inlineStr">
        <is>
          <t>A 44564-2026</t>
        </is>
      </c>
      <c r="B11004" t="inlineStr">
        <is>
          <t>avverkningsanmälan</t>
        </is>
      </c>
      <c r="C11004" t="inlineStr">
        <is>
          <t>Föryngringsavverkning</t>
        </is>
      </c>
      <c r="D11004" s="1" t="n">
        <v>46321</v>
      </c>
      <c r="E11004" s="1" t="n">
        <v>46326</v>
      </c>
      <c r="F11004" t="inlineStr">
        <is>
          <t>GÄVLEBORGS LÄN</t>
        </is>
      </c>
      <c r="G11004" t="inlineStr">
        <is>
          <t>GÄVLE</t>
        </is>
      </c>
      <c r="H11004" t="inlineStr">
        <is>
          <t>Bergvik skog öst AB</t>
        </is>
      </c>
      <c r="I11004" t="n">
        <v>2.6</v>
      </c>
      <c r="J11004" t="n">
        <v>0</v>
      </c>
      <c r="K11004" t="n">
        <v>0</v>
      </c>
      <c r="L11004" t="n">
        <v>0</v>
      </c>
      <c r="M11004" t="n">
        <v>0</v>
      </c>
      <c r="N11004" t="n">
        <v>0</v>
      </c>
      <c r="O11004" t="n">
        <v>0</v>
      </c>
      <c r="P11004" t="n">
        <v>0</v>
      </c>
      <c r="Q11004" t="n">
        <v>0</v>
      </c>
      <c r="R11004" t="n">
        <v>0</v>
      </c>
      <c r="S11004" t="n">
        <v>0</v>
      </c>
      <c r="T11004" t="n">
        <v>0</v>
      </c>
      <c r="U11004" t="n">
        <v>0</v>
      </c>
      <c r="V11004" s="2" t="inlineStr"/>
    </row>
    <row r="11005" ht="15" customHeight="1">
      <c r="A11005" t="inlineStr">
        <is>
          <t>A 44497-2026</t>
        </is>
      </c>
      <c r="B11005" t="inlineStr">
        <is>
          <t>avverkningsanmälan</t>
        </is>
      </c>
      <c r="C11005" t="inlineStr">
        <is>
          <t>Föryngringsavverkning</t>
        </is>
      </c>
      <c r="D11005" s="1" t="n">
        <v>46321</v>
      </c>
      <c r="E11005" s="1" t="n">
        <v>46326</v>
      </c>
      <c r="F11005" t="inlineStr">
        <is>
          <t>GÄVLEBORGS LÄN</t>
        </is>
      </c>
      <c r="G11005" t="inlineStr">
        <is>
          <t>OVANÅKER</t>
        </is>
      </c>
      <c r="H11005" t="inlineStr">
        <is>
          <t>Bergvik skog väst AB</t>
        </is>
      </c>
      <c r="I11005" t="n">
        <v>2.8</v>
      </c>
      <c r="J11005" t="n">
        <v>0</v>
      </c>
      <c r="K11005" t="n">
        <v>0</v>
      </c>
      <c r="L11005" t="n">
        <v>0</v>
      </c>
      <c r="M11005" t="n">
        <v>0</v>
      </c>
      <c r="N11005" t="n">
        <v>0</v>
      </c>
      <c r="O11005" t="n">
        <v>0</v>
      </c>
      <c r="P11005" t="n">
        <v>0</v>
      </c>
      <c r="Q11005" t="n">
        <v>0</v>
      </c>
      <c r="R11005" t="n">
        <v>0</v>
      </c>
      <c r="S11005" t="n">
        <v>0</v>
      </c>
      <c r="T11005" t="n">
        <v>0</v>
      </c>
      <c r="U11005" t="n">
        <v>0</v>
      </c>
      <c r="V11005" s="2" t="inlineStr"/>
    </row>
    <row r="11006" ht="15" customHeight="1">
      <c r="A11006" t="inlineStr">
        <is>
          <t>A 44514-2026</t>
        </is>
      </c>
      <c r="B11006" t="inlineStr">
        <is>
          <t>avverkningsanmälan</t>
        </is>
      </c>
      <c r="C11006" t="inlineStr">
        <is>
          <t>Föryngringsavverkning</t>
        </is>
      </c>
      <c r="D11006" s="1" t="n">
        <v>46321</v>
      </c>
      <c r="E11006" s="1" t="n">
        <v>46326</v>
      </c>
      <c r="F11006" t="inlineStr">
        <is>
          <t>GÄVLEBORGS LÄN</t>
        </is>
      </c>
      <c r="G11006" t="inlineStr">
        <is>
          <t>OCKELBO</t>
        </is>
      </c>
      <c r="H11006" t="inlineStr">
        <is>
          <t>Bergvik skog väst AB</t>
        </is>
      </c>
      <c r="I11006" t="n">
        <v>0.7</v>
      </c>
      <c r="J11006" t="n">
        <v>0</v>
      </c>
      <c r="K11006" t="n">
        <v>0</v>
      </c>
      <c r="L11006" t="n">
        <v>0</v>
      </c>
      <c r="M11006" t="n">
        <v>0</v>
      </c>
      <c r="N11006" t="n">
        <v>0</v>
      </c>
      <c r="O11006" t="n">
        <v>0</v>
      </c>
      <c r="P11006" t="n">
        <v>0</v>
      </c>
      <c r="Q11006" t="n">
        <v>0</v>
      </c>
      <c r="R11006" t="n">
        <v>0</v>
      </c>
      <c r="S11006" t="n">
        <v>0</v>
      </c>
      <c r="T11006" t="n">
        <v>0</v>
      </c>
      <c r="U11006" t="n">
        <v>0</v>
      </c>
      <c r="V11006" s="2" t="inlineStr"/>
    </row>
    <row r="11007" ht="15" customHeight="1">
      <c r="A11007" t="inlineStr">
        <is>
          <t>A 44517-2026</t>
        </is>
      </c>
      <c r="B11007" t="inlineStr">
        <is>
          <t>avverkningsanmälan</t>
        </is>
      </c>
      <c r="C11007" t="inlineStr">
        <is>
          <t>Föryngringsavverkning</t>
        </is>
      </c>
      <c r="D11007" s="1" t="n">
        <v>46321</v>
      </c>
      <c r="E11007" s="1" t="n">
        <v>46326</v>
      </c>
      <c r="F11007" t="inlineStr">
        <is>
          <t>GÄVLEBORGS LÄN</t>
        </is>
      </c>
      <c r="G11007" t="inlineStr">
        <is>
          <t>OVANÅKER</t>
        </is>
      </c>
      <c r="H11007" t="inlineStr">
        <is>
          <t>Bergvik skog väst AB</t>
        </is>
      </c>
      <c r="I11007" t="n">
        <v>5</v>
      </c>
      <c r="J11007" t="n">
        <v>0</v>
      </c>
      <c r="K11007" t="n">
        <v>0</v>
      </c>
      <c r="L11007" t="n">
        <v>0</v>
      </c>
      <c r="M11007" t="n">
        <v>0</v>
      </c>
      <c r="N11007" t="n">
        <v>0</v>
      </c>
      <c r="O11007" t="n">
        <v>0</v>
      </c>
      <c r="P11007" t="n">
        <v>0</v>
      </c>
      <c r="Q11007" t="n">
        <v>0</v>
      </c>
      <c r="R11007" t="n">
        <v>0</v>
      </c>
      <c r="S11007" t="n">
        <v>0</v>
      </c>
      <c r="T11007" t="n">
        <v>0</v>
      </c>
      <c r="U11007" t="n">
        <v>0</v>
      </c>
      <c r="V11007" s="2" t="inlineStr"/>
    </row>
    <row r="11008" ht="15" customHeight="1">
      <c r="A11008" t="inlineStr">
        <is>
          <t>A 44558-2026</t>
        </is>
      </c>
      <c r="B11008" t="inlineStr">
        <is>
          <t>avverkningsanmälan</t>
        </is>
      </c>
      <c r="C11008" t="inlineStr">
        <is>
          <t>Föryngringsavverkning</t>
        </is>
      </c>
      <c r="D11008" s="1" t="n">
        <v>46321</v>
      </c>
      <c r="E11008" s="1" t="n">
        <v>46326</v>
      </c>
      <c r="F11008" t="inlineStr">
        <is>
          <t>GÄVLEBORGS LÄN</t>
        </is>
      </c>
      <c r="G11008" t="inlineStr">
        <is>
          <t>GÄVLE</t>
        </is>
      </c>
      <c r="H11008" t="inlineStr">
        <is>
          <t>Bergvik skog öst AB</t>
        </is>
      </c>
      <c r="I11008" t="n">
        <v>2</v>
      </c>
      <c r="J11008" t="n">
        <v>0</v>
      </c>
      <c r="K11008" t="n">
        <v>0</v>
      </c>
      <c r="L11008" t="n">
        <v>0</v>
      </c>
      <c r="M11008" t="n">
        <v>0</v>
      </c>
      <c r="N11008" t="n">
        <v>0</v>
      </c>
      <c r="O11008" t="n">
        <v>0</v>
      </c>
      <c r="P11008" t="n">
        <v>0</v>
      </c>
      <c r="Q11008" t="n">
        <v>0</v>
      </c>
      <c r="R11008" t="n">
        <v>0</v>
      </c>
      <c r="S11008" t="n">
        <v>0</v>
      </c>
      <c r="T11008" t="n">
        <v>0</v>
      </c>
      <c r="U11008" t="n">
        <v>0</v>
      </c>
      <c r="V11008" s="2" t="inlineStr"/>
    </row>
    <row r="11009" ht="15" customHeight="1">
      <c r="A11009" t="inlineStr">
        <is>
          <t>A 38014-2026</t>
        </is>
      </c>
      <c r="B11009" t="inlineStr">
        <is>
          <t>avverkningsanmälan</t>
        </is>
      </c>
      <c r="C11009" t="inlineStr">
        <is>
          <t>Föryngringsavverkning</t>
        </is>
      </c>
      <c r="D11009" s="1" t="n">
        <v>46280</v>
      </c>
      <c r="E11009" s="1" t="n">
        <v>46326</v>
      </c>
      <c r="F11009" t="inlineStr">
        <is>
          <t>GÄVLEBORGS LÄN</t>
        </is>
      </c>
      <c r="G11009" t="inlineStr">
        <is>
          <t>GÄVLE</t>
        </is>
      </c>
      <c r="H11009" t="inlineStr">
        <is>
          <t>Bergvik skog öst AB</t>
        </is>
      </c>
      <c r="I11009" t="n">
        <v>12.4</v>
      </c>
      <c r="J11009" t="n">
        <v>0</v>
      </c>
      <c r="K11009" t="n">
        <v>0</v>
      </c>
      <c r="L11009" t="n">
        <v>0</v>
      </c>
      <c r="M11009" t="n">
        <v>0</v>
      </c>
      <c r="N11009" t="n">
        <v>0</v>
      </c>
      <c r="O11009" t="n">
        <v>0</v>
      </c>
      <c r="P11009" t="n">
        <v>0</v>
      </c>
      <c r="Q11009" t="n">
        <v>0</v>
      </c>
      <c r="R11009" t="n">
        <v>0</v>
      </c>
      <c r="S11009" t="n">
        <v>0</v>
      </c>
      <c r="T11009" t="n">
        <v>0</v>
      </c>
      <c r="U11009" t="n">
        <v>0</v>
      </c>
      <c r="V11009" s="2" t="inlineStr"/>
    </row>
    <row r="11010" ht="15" customHeight="1">
      <c r="A11010" t="inlineStr">
        <is>
          <t>A 38045-2026</t>
        </is>
      </c>
      <c r="B11010" t="inlineStr">
        <is>
          <t>avverkningsanmälan</t>
        </is>
      </c>
      <c r="C11010" t="inlineStr">
        <is>
          <t>Föryngringsavverkning</t>
        </is>
      </c>
      <c r="D11010" s="1" t="n">
        <v>46280</v>
      </c>
      <c r="E11010" s="1" t="n">
        <v>46326</v>
      </c>
      <c r="F11010" t="inlineStr">
        <is>
          <t>GÄVLEBORGS LÄN</t>
        </is>
      </c>
      <c r="G11010" t="inlineStr">
        <is>
          <t>GÄVLE</t>
        </is>
      </c>
      <c r="H11010" t="inlineStr">
        <is>
          <t>Bergvik skog öst AB</t>
        </is>
      </c>
      <c r="I11010" t="n">
        <v>13.9</v>
      </c>
      <c r="J11010" t="n">
        <v>0</v>
      </c>
      <c r="K11010" t="n">
        <v>0</v>
      </c>
      <c r="L11010" t="n">
        <v>0</v>
      </c>
      <c r="M11010" t="n">
        <v>0</v>
      </c>
      <c r="N11010" t="n">
        <v>0</v>
      </c>
      <c r="O11010" t="n">
        <v>0</v>
      </c>
      <c r="P11010" t="n">
        <v>0</v>
      </c>
      <c r="Q11010" t="n">
        <v>0</v>
      </c>
      <c r="R11010" t="n">
        <v>0</v>
      </c>
      <c r="S11010" t="n">
        <v>0</v>
      </c>
      <c r="T11010" t="n">
        <v>0</v>
      </c>
      <c r="U11010" t="n">
        <v>0</v>
      </c>
      <c r="V11010" s="2" t="inlineStr"/>
    </row>
    <row r="11011" ht="15" customHeight="1">
      <c r="A11011" t="inlineStr">
        <is>
          <t>A 37937-2026</t>
        </is>
      </c>
      <c r="B11011" t="inlineStr">
        <is>
          <t>avverkningsanmälan</t>
        </is>
      </c>
      <c r="C11011" t="inlineStr">
        <is>
          <t>Föryngringsavverkning</t>
        </is>
      </c>
      <c r="D11011" s="1" t="n">
        <v>46280</v>
      </c>
      <c r="E11011" s="1" t="n">
        <v>46326</v>
      </c>
      <c r="F11011" t="inlineStr">
        <is>
          <t>GÄVLEBORGS LÄN</t>
        </is>
      </c>
      <c r="G11011" t="inlineStr">
        <is>
          <t>GÄVLE</t>
        </is>
      </c>
      <c r="H11011" t="inlineStr">
        <is>
          <t>Bergvik skog öst AB</t>
        </is>
      </c>
      <c r="I11011" t="n">
        <v>1.1</v>
      </c>
      <c r="J11011" t="n">
        <v>0</v>
      </c>
      <c r="K11011" t="n">
        <v>0</v>
      </c>
      <c r="L11011" t="n">
        <v>0</v>
      </c>
      <c r="M11011" t="n">
        <v>0</v>
      </c>
      <c r="N11011" t="n">
        <v>0</v>
      </c>
      <c r="O11011" t="n">
        <v>0</v>
      </c>
      <c r="P11011" t="n">
        <v>0</v>
      </c>
      <c r="Q11011" t="n">
        <v>0</v>
      </c>
      <c r="R11011" t="n">
        <v>0</v>
      </c>
      <c r="S11011" t="n">
        <v>0</v>
      </c>
      <c r="T11011" t="n">
        <v>0</v>
      </c>
      <c r="U11011" t="n">
        <v>0</v>
      </c>
      <c r="V11011" s="2" t="inlineStr"/>
    </row>
    <row r="11012" ht="15" customHeight="1">
      <c r="A11012" t="inlineStr">
        <is>
          <t>A 37959-2026</t>
        </is>
      </c>
      <c r="B11012" t="inlineStr">
        <is>
          <t>avverkningsanmälan</t>
        </is>
      </c>
      <c r="C11012" t="inlineStr">
        <is>
          <t>Avverkning för annat ändamål</t>
        </is>
      </c>
      <c r="D11012" s="1" t="n">
        <v>46280</v>
      </c>
      <c r="E11012" s="1" t="n">
        <v>46326</v>
      </c>
      <c r="F11012" t="inlineStr">
        <is>
          <t>GÄVLEBORGS LÄN</t>
        </is>
      </c>
      <c r="G11012" t="inlineStr">
        <is>
          <t>HUDIKSVALL</t>
        </is>
      </c>
      <c r="I11012" t="n">
        <v>0.4</v>
      </c>
      <c r="J11012" t="n">
        <v>0</v>
      </c>
      <c r="K11012" t="n">
        <v>0</v>
      </c>
      <c r="L11012" t="n">
        <v>0</v>
      </c>
      <c r="M11012" t="n">
        <v>0</v>
      </c>
      <c r="N11012" t="n">
        <v>0</v>
      </c>
      <c r="O11012" t="n">
        <v>0</v>
      </c>
      <c r="P11012" t="n">
        <v>0</v>
      </c>
      <c r="Q11012" t="n">
        <v>0</v>
      </c>
      <c r="R11012" t="n">
        <v>0</v>
      </c>
      <c r="S11012" t="n">
        <v>0</v>
      </c>
      <c r="T11012" t="n">
        <v>0</v>
      </c>
      <c r="U11012" t="n">
        <v>0</v>
      </c>
      <c r="V11012" s="2" t="inlineStr"/>
    </row>
    <row r="11013" ht="15" customHeight="1">
      <c r="A11013" t="inlineStr">
        <is>
          <t>A 44654-2026</t>
        </is>
      </c>
      <c r="B11013" t="inlineStr">
        <is>
          <t>avverkningsanmälan</t>
        </is>
      </c>
      <c r="C11013" t="inlineStr">
        <is>
          <t>Föryngringsavverkning</t>
        </is>
      </c>
      <c r="D11013" s="1" t="n">
        <v>46322</v>
      </c>
      <c r="E11013" s="1" t="n">
        <v>46326</v>
      </c>
      <c r="F11013" t="inlineStr">
        <is>
          <t>GÄVLEBORGS LÄN</t>
        </is>
      </c>
      <c r="G11013" t="inlineStr">
        <is>
          <t>BOLLNÄS</t>
        </is>
      </c>
      <c r="H11013" t="inlineStr">
        <is>
          <t>Bergvik skog väst AB</t>
        </is>
      </c>
      <c r="I11013" t="n">
        <v>1.2</v>
      </c>
      <c r="J11013" t="n">
        <v>0</v>
      </c>
      <c r="K11013" t="n">
        <v>0</v>
      </c>
      <c r="L11013" t="n">
        <v>0</v>
      </c>
      <c r="M11013" t="n">
        <v>0</v>
      </c>
      <c r="N11013" t="n">
        <v>0</v>
      </c>
      <c r="O11013" t="n">
        <v>0</v>
      </c>
      <c r="P11013" t="n">
        <v>0</v>
      </c>
      <c r="Q11013" t="n">
        <v>0</v>
      </c>
      <c r="R11013" t="n">
        <v>0</v>
      </c>
      <c r="S11013" t="n">
        <v>0</v>
      </c>
      <c r="T11013" t="n">
        <v>0</v>
      </c>
      <c r="U11013" t="n">
        <v>0</v>
      </c>
      <c r="V11013" s="2" t="inlineStr"/>
    </row>
    <row r="11014" ht="15" customHeight="1">
      <c r="A11014" t="inlineStr">
        <is>
          <t>A 37841-2026</t>
        </is>
      </c>
      <c r="B11014" t="inlineStr">
        <is>
          <t>avverkningsanmälan</t>
        </is>
      </c>
      <c r="C11014" t="inlineStr">
        <is>
          <t>Föryngringsavverkning</t>
        </is>
      </c>
      <c r="D11014" s="1" t="n">
        <v>46279</v>
      </c>
      <c r="E11014" s="1" t="n">
        <v>46326</v>
      </c>
      <c r="F11014" t="inlineStr">
        <is>
          <t>GÄVLEBORGS LÄN</t>
        </is>
      </c>
      <c r="G11014" t="inlineStr">
        <is>
          <t>OCKELBO</t>
        </is>
      </c>
      <c r="H11014" t="inlineStr">
        <is>
          <t>Bergvik skog väst AB</t>
        </is>
      </c>
      <c r="I11014" t="n">
        <v>1</v>
      </c>
      <c r="J11014" t="n">
        <v>0</v>
      </c>
      <c r="K11014" t="n">
        <v>0</v>
      </c>
      <c r="L11014" t="n">
        <v>0</v>
      </c>
      <c r="M11014" t="n">
        <v>0</v>
      </c>
      <c r="N11014" t="n">
        <v>0</v>
      </c>
      <c r="O11014" t="n">
        <v>0</v>
      </c>
      <c r="P11014" t="n">
        <v>0</v>
      </c>
      <c r="Q11014" t="n">
        <v>0</v>
      </c>
      <c r="R11014" t="n">
        <v>0</v>
      </c>
      <c r="S11014" t="n">
        <v>0</v>
      </c>
      <c r="T11014" t="n">
        <v>0</v>
      </c>
      <c r="U11014" t="n">
        <v>0</v>
      </c>
      <c r="V11014" s="2" t="inlineStr"/>
    </row>
    <row r="11015" ht="15" customHeight="1">
      <c r="A11015" t="inlineStr">
        <is>
          <t>A 37980-2026</t>
        </is>
      </c>
      <c r="B11015" t="inlineStr">
        <is>
          <t>avverkningsanmälan</t>
        </is>
      </c>
      <c r="C11015" t="inlineStr">
        <is>
          <t>Föryngringsavverkning</t>
        </is>
      </c>
      <c r="D11015" s="1" t="n">
        <v>46280</v>
      </c>
      <c r="E11015" s="1" t="n">
        <v>46326</v>
      </c>
      <c r="F11015" t="inlineStr">
        <is>
          <t>GÄVLEBORGS LÄN</t>
        </is>
      </c>
      <c r="G11015" t="inlineStr">
        <is>
          <t>BOLLNÄS</t>
        </is>
      </c>
      <c r="I11015" t="n">
        <v>2.2</v>
      </c>
      <c r="J11015" t="n">
        <v>0</v>
      </c>
      <c r="K11015" t="n">
        <v>0</v>
      </c>
      <c r="L11015" t="n">
        <v>0</v>
      </c>
      <c r="M11015" t="n">
        <v>0</v>
      </c>
      <c r="N11015" t="n">
        <v>0</v>
      </c>
      <c r="O11015" t="n">
        <v>0</v>
      </c>
      <c r="P11015" t="n">
        <v>0</v>
      </c>
      <c r="Q11015" t="n">
        <v>0</v>
      </c>
      <c r="R11015" t="n">
        <v>0</v>
      </c>
      <c r="S11015" t="n">
        <v>0</v>
      </c>
      <c r="T11015" t="n">
        <v>0</v>
      </c>
      <c r="U11015" t="n">
        <v>0</v>
      </c>
      <c r="V11015" s="2" t="inlineStr"/>
    </row>
    <row r="11016" ht="15" customHeight="1">
      <c r="A11016" t="inlineStr">
        <is>
          <t>A 44914-2026</t>
        </is>
      </c>
      <c r="B11016" t="inlineStr">
        <is>
          <t>avverkningsanmälan</t>
        </is>
      </c>
      <c r="C11016" t="inlineStr">
        <is>
          <t>Föryngringsavverkning</t>
        </is>
      </c>
      <c r="D11016" s="1" t="n">
        <v>46323</v>
      </c>
      <c r="E11016" s="1" t="n">
        <v>46326</v>
      </c>
      <c r="F11016" t="inlineStr">
        <is>
          <t>GÄVLEBORGS LÄN</t>
        </is>
      </c>
      <c r="G11016" t="inlineStr">
        <is>
          <t>GÄVLE</t>
        </is>
      </c>
      <c r="H11016" t="inlineStr">
        <is>
          <t>Bergvik skog öst AB</t>
        </is>
      </c>
      <c r="I11016" t="n">
        <v>2.2</v>
      </c>
      <c r="J11016" t="n">
        <v>0</v>
      </c>
      <c r="K11016" t="n">
        <v>0</v>
      </c>
      <c r="L11016" t="n">
        <v>0</v>
      </c>
      <c r="M11016" t="n">
        <v>0</v>
      </c>
      <c r="N11016" t="n">
        <v>0</v>
      </c>
      <c r="O11016" t="n">
        <v>0</v>
      </c>
      <c r="P11016" t="n">
        <v>0</v>
      </c>
      <c r="Q11016" t="n">
        <v>0</v>
      </c>
      <c r="R11016" t="n">
        <v>0</v>
      </c>
      <c r="S11016" t="n">
        <v>0</v>
      </c>
      <c r="T11016" t="n">
        <v>0</v>
      </c>
      <c r="U11016" t="n">
        <v>0</v>
      </c>
      <c r="V11016" s="2" t="inlineStr"/>
    </row>
    <row r="11017" ht="15" customHeight="1">
      <c r="A11017" t="inlineStr">
        <is>
          <t>A 44459-2026</t>
        </is>
      </c>
      <c r="B11017" t="inlineStr">
        <is>
          <t>avverkningsanmälan</t>
        </is>
      </c>
      <c r="C11017" t="inlineStr">
        <is>
          <t>Föryngringsavverkning</t>
        </is>
      </c>
      <c r="D11017" s="1" t="n">
        <v>46321</v>
      </c>
      <c r="E11017" s="1" t="n">
        <v>46326</v>
      </c>
      <c r="F11017" t="inlineStr">
        <is>
          <t>GÄVLEBORGS LÄN</t>
        </is>
      </c>
      <c r="G11017" t="inlineStr">
        <is>
          <t>GÄVLE</t>
        </is>
      </c>
      <c r="I11017" t="n">
        <v>0.8</v>
      </c>
      <c r="J11017" t="n">
        <v>0</v>
      </c>
      <c r="K11017" t="n">
        <v>0</v>
      </c>
      <c r="L11017" t="n">
        <v>0</v>
      </c>
      <c r="M11017" t="n">
        <v>0</v>
      </c>
      <c r="N11017" t="n">
        <v>0</v>
      </c>
      <c r="O11017" t="n">
        <v>0</v>
      </c>
      <c r="P11017" t="n">
        <v>0</v>
      </c>
      <c r="Q11017" t="n">
        <v>0</v>
      </c>
      <c r="R11017" t="n">
        <v>0</v>
      </c>
      <c r="S11017" t="n">
        <v>0</v>
      </c>
      <c r="T11017" t="n">
        <v>0</v>
      </c>
      <c r="U11017" t="n">
        <v>0</v>
      </c>
      <c r="V11017" s="2" t="inlineStr"/>
    </row>
    <row r="11018" ht="15" customHeight="1">
      <c r="A11018" t="inlineStr">
        <is>
          <t>A 37977-2026</t>
        </is>
      </c>
      <c r="B11018" t="inlineStr">
        <is>
          <t>avverkningsanmälan</t>
        </is>
      </c>
      <c r="C11018" t="inlineStr">
        <is>
          <t>Föryngringsavverkning</t>
        </is>
      </c>
      <c r="D11018" s="1" t="n">
        <v>46280</v>
      </c>
      <c r="E11018" s="1" t="n">
        <v>46326</v>
      </c>
      <c r="F11018" t="inlineStr">
        <is>
          <t>GÄVLEBORGS LÄN</t>
        </is>
      </c>
      <c r="G11018" t="inlineStr">
        <is>
          <t>NORDANSTIG</t>
        </is>
      </c>
      <c r="I11018" t="n">
        <v>3.3</v>
      </c>
      <c r="J11018" t="n">
        <v>0</v>
      </c>
      <c r="K11018" t="n">
        <v>0</v>
      </c>
      <c r="L11018" t="n">
        <v>0</v>
      </c>
      <c r="M11018" t="n">
        <v>0</v>
      </c>
      <c r="N11018" t="n">
        <v>0</v>
      </c>
      <c r="O11018" t="n">
        <v>0</v>
      </c>
      <c r="P11018" t="n">
        <v>0</v>
      </c>
      <c r="Q11018" t="n">
        <v>0</v>
      </c>
      <c r="R11018" t="n">
        <v>0</v>
      </c>
      <c r="S11018" t="n">
        <v>0</v>
      </c>
      <c r="T11018" t="n">
        <v>0</v>
      </c>
      <c r="U11018" t="n">
        <v>0</v>
      </c>
      <c r="V11018" s="2" t="inlineStr"/>
    </row>
    <row r="11019" ht="15" customHeight="1">
      <c r="A11019" t="inlineStr">
        <is>
          <t>A 44510-2026</t>
        </is>
      </c>
      <c r="B11019" t="inlineStr">
        <is>
          <t>avverkningsanmälan</t>
        </is>
      </c>
      <c r="C11019" t="inlineStr">
        <is>
          <t>Föryngringsavverkning</t>
        </is>
      </c>
      <c r="D11019" s="1" t="n">
        <v>46321</v>
      </c>
      <c r="E11019" s="1" t="n">
        <v>46326</v>
      </c>
      <c r="F11019" t="inlineStr">
        <is>
          <t>GÄVLEBORGS LÄN</t>
        </is>
      </c>
      <c r="G11019" t="inlineStr">
        <is>
          <t>NORDANSTIG</t>
        </is>
      </c>
      <c r="I11019" t="n">
        <v>0.5</v>
      </c>
      <c r="J11019" t="n">
        <v>0</v>
      </c>
      <c r="K11019" t="n">
        <v>0</v>
      </c>
      <c r="L11019" t="n">
        <v>0</v>
      </c>
      <c r="M11019" t="n">
        <v>0</v>
      </c>
      <c r="N11019" t="n">
        <v>0</v>
      </c>
      <c r="O11019" t="n">
        <v>0</v>
      </c>
      <c r="P11019" t="n">
        <v>0</v>
      </c>
      <c r="Q11019" t="n">
        <v>0</v>
      </c>
      <c r="R11019" t="n">
        <v>0</v>
      </c>
      <c r="S11019" t="n">
        <v>0</v>
      </c>
      <c r="T11019" t="n">
        <v>0</v>
      </c>
      <c r="U11019" t="n">
        <v>0</v>
      </c>
      <c r="V11019" s="2" t="inlineStr"/>
    </row>
    <row r="11020" ht="15" customHeight="1">
      <c r="A11020" t="inlineStr">
        <is>
          <t>A 37553-2026</t>
        </is>
      </c>
      <c r="B11020" t="inlineStr">
        <is>
          <t>avverkningsanmälan</t>
        </is>
      </c>
      <c r="C11020" t="inlineStr">
        <is>
          <t>Föryngringsavverkning</t>
        </is>
      </c>
      <c r="D11020" s="1" t="n">
        <v>46276</v>
      </c>
      <c r="E11020" s="1" t="n">
        <v>46326</v>
      </c>
      <c r="F11020" t="inlineStr">
        <is>
          <t>GÄVLEBORGS LÄN</t>
        </is>
      </c>
      <c r="G11020" t="inlineStr">
        <is>
          <t>GÄVLE</t>
        </is>
      </c>
      <c r="H11020" t="inlineStr">
        <is>
          <t>Bergvik skog väst AB</t>
        </is>
      </c>
      <c r="I11020" t="n">
        <v>1</v>
      </c>
      <c r="J11020" t="n">
        <v>0</v>
      </c>
      <c r="K11020" t="n">
        <v>0</v>
      </c>
      <c r="L11020" t="n">
        <v>0</v>
      </c>
      <c r="M11020" t="n">
        <v>0</v>
      </c>
      <c r="N11020" t="n">
        <v>0</v>
      </c>
      <c r="O11020" t="n">
        <v>0</v>
      </c>
      <c r="P11020" t="n">
        <v>0</v>
      </c>
      <c r="Q11020" t="n">
        <v>0</v>
      </c>
      <c r="R11020" t="n">
        <v>0</v>
      </c>
      <c r="S11020" t="n">
        <v>0</v>
      </c>
      <c r="T11020" t="n">
        <v>0</v>
      </c>
      <c r="U11020" t="n">
        <v>0</v>
      </c>
      <c r="V11020" s="2" t="inlineStr"/>
    </row>
    <row r="11021" ht="15" customHeight="1">
      <c r="A11021" t="inlineStr">
        <is>
          <t>A 44703-2026</t>
        </is>
      </c>
      <c r="B11021" t="inlineStr">
        <is>
          <t>avverkningsanmälan</t>
        </is>
      </c>
      <c r="C11021" t="inlineStr">
        <is>
          <t>Föryngringsavverkning</t>
        </is>
      </c>
      <c r="D11021" s="1" t="n">
        <v>46322</v>
      </c>
      <c r="E11021" s="1" t="n">
        <v>46326</v>
      </c>
      <c r="F11021" t="inlineStr">
        <is>
          <t>GÄVLEBORGS LÄN</t>
        </is>
      </c>
      <c r="G11021" t="inlineStr">
        <is>
          <t>GÄVLE</t>
        </is>
      </c>
      <c r="H11021" t="inlineStr">
        <is>
          <t>Bergvik skog väst AB</t>
        </is>
      </c>
      <c r="I11021" t="n">
        <v>1.4</v>
      </c>
      <c r="J11021" t="n">
        <v>0</v>
      </c>
      <c r="K11021" t="n">
        <v>0</v>
      </c>
      <c r="L11021" t="n">
        <v>0</v>
      </c>
      <c r="M11021" t="n">
        <v>0</v>
      </c>
      <c r="N11021" t="n">
        <v>0</v>
      </c>
      <c r="O11021" t="n">
        <v>0</v>
      </c>
      <c r="P11021" t="n">
        <v>0</v>
      </c>
      <c r="Q11021" t="n">
        <v>0</v>
      </c>
      <c r="R11021" t="n">
        <v>0</v>
      </c>
      <c r="S11021" t="n">
        <v>0</v>
      </c>
      <c r="T11021" t="n">
        <v>0</v>
      </c>
      <c r="U11021" t="n">
        <v>0</v>
      </c>
      <c r="V11021" s="2" t="inlineStr"/>
    </row>
    <row r="11022" ht="15" customHeight="1">
      <c r="A11022" t="inlineStr">
        <is>
          <t>A 45283-2026</t>
        </is>
      </c>
      <c r="B11022" t="inlineStr">
        <is>
          <t>avverkningsanmälan</t>
        </is>
      </c>
      <c r="C11022" t="inlineStr">
        <is>
          <t>Föryngringsavverkning</t>
        </is>
      </c>
      <c r="D11022" s="1" t="n">
        <v>46325</v>
      </c>
      <c r="E11022" s="1" t="n">
        <v>46326</v>
      </c>
      <c r="F11022" t="inlineStr">
        <is>
          <t>GÄVLEBORGS LÄN</t>
        </is>
      </c>
      <c r="G11022" t="inlineStr">
        <is>
          <t>GÄVLE</t>
        </is>
      </c>
      <c r="H11022" t="inlineStr">
        <is>
          <t>Bergvik skog väst AB</t>
        </is>
      </c>
      <c r="I11022" t="n">
        <v>5</v>
      </c>
      <c r="J11022" t="n">
        <v>0</v>
      </c>
      <c r="K11022" t="n">
        <v>0</v>
      </c>
      <c r="L11022" t="n">
        <v>0</v>
      </c>
      <c r="M11022" t="n">
        <v>0</v>
      </c>
      <c r="N11022" t="n">
        <v>0</v>
      </c>
      <c r="O11022" t="n">
        <v>0</v>
      </c>
      <c r="P11022" t="n">
        <v>0</v>
      </c>
      <c r="Q11022" t="n">
        <v>0</v>
      </c>
      <c r="R11022" t="n">
        <v>0</v>
      </c>
      <c r="S11022" t="n">
        <v>0</v>
      </c>
      <c r="T11022" t="n">
        <v>0</v>
      </c>
      <c r="U11022" t="n">
        <v>0</v>
      </c>
      <c r="V11022" s="2" t="inlineStr"/>
    </row>
    <row r="11023" ht="15" customHeight="1">
      <c r="A11023" t="inlineStr">
        <is>
          <t>A 45285-2026</t>
        </is>
      </c>
      <c r="B11023" t="inlineStr">
        <is>
          <t>avverkningsanmälan</t>
        </is>
      </c>
      <c r="C11023" t="inlineStr">
        <is>
          <t>Föryngringsavverkning</t>
        </is>
      </c>
      <c r="D11023" s="1" t="n">
        <v>46325</v>
      </c>
      <c r="E11023" s="1" t="n">
        <v>46326</v>
      </c>
      <c r="F11023" t="inlineStr">
        <is>
          <t>GÄVLEBORGS LÄN</t>
        </is>
      </c>
      <c r="G11023" t="inlineStr">
        <is>
          <t>LJUSDAL</t>
        </is>
      </c>
      <c r="H11023" t="inlineStr">
        <is>
          <t>Allmännings- och besparingsskogar</t>
        </is>
      </c>
      <c r="I11023" t="n">
        <v>4.3</v>
      </c>
      <c r="J11023" t="n">
        <v>0</v>
      </c>
      <c r="K11023" t="n">
        <v>0</v>
      </c>
      <c r="L11023" t="n">
        <v>0</v>
      </c>
      <c r="M11023" t="n">
        <v>0</v>
      </c>
      <c r="N11023" t="n">
        <v>0</v>
      </c>
      <c r="O11023" t="n">
        <v>0</v>
      </c>
      <c r="P11023" t="n">
        <v>0</v>
      </c>
      <c r="Q11023" t="n">
        <v>0</v>
      </c>
      <c r="R11023" t="n">
        <v>0</v>
      </c>
      <c r="S11023" t="n">
        <v>0</v>
      </c>
      <c r="T11023" t="n">
        <v>0</v>
      </c>
      <c r="U11023" t="n">
        <v>0</v>
      </c>
      <c r="V11023" s="2" t="inlineStr"/>
    </row>
    <row r="11024" ht="15" customHeight="1">
      <c r="A11024" t="inlineStr">
        <is>
          <t>A 38331-2026</t>
        </is>
      </c>
      <c r="B11024" t="inlineStr">
        <is>
          <t>avverkningsanmälan</t>
        </is>
      </c>
      <c r="C11024" t="inlineStr">
        <is>
          <t>Föryngringsavverkning</t>
        </is>
      </c>
      <c r="D11024" s="1" t="n">
        <v>46282</v>
      </c>
      <c r="E11024" s="1" t="n">
        <v>46326</v>
      </c>
      <c r="F11024" t="inlineStr">
        <is>
          <t>GÄVLEBORGS LÄN</t>
        </is>
      </c>
      <c r="G11024" t="inlineStr">
        <is>
          <t>GÄVLE</t>
        </is>
      </c>
      <c r="H11024" t="inlineStr">
        <is>
          <t>Bergvik skog öst AB</t>
        </is>
      </c>
      <c r="I11024" t="n">
        <v>0.6</v>
      </c>
      <c r="J11024" t="n">
        <v>0</v>
      </c>
      <c r="K11024" t="n">
        <v>0</v>
      </c>
      <c r="L11024" t="n">
        <v>0</v>
      </c>
      <c r="M11024" t="n">
        <v>0</v>
      </c>
      <c r="N11024" t="n">
        <v>0</v>
      </c>
      <c r="O11024" t="n">
        <v>0</v>
      </c>
      <c r="P11024" t="n">
        <v>0</v>
      </c>
      <c r="Q11024" t="n">
        <v>0</v>
      </c>
      <c r="R11024" t="n">
        <v>0</v>
      </c>
      <c r="S11024" t="n">
        <v>0</v>
      </c>
      <c r="T11024" t="n">
        <v>0</v>
      </c>
      <c r="U11024" t="n">
        <v>0</v>
      </c>
      <c r="V11024" s="2" t="inlineStr"/>
    </row>
    <row r="11025" ht="15" customHeight="1">
      <c r="A11025" t="inlineStr">
        <is>
          <t>A 38402-2026</t>
        </is>
      </c>
      <c r="B11025" t="inlineStr">
        <is>
          <t>avverkningsanmälan</t>
        </is>
      </c>
      <c r="C11025" t="inlineStr">
        <is>
          <t>Föryngringsavverkning</t>
        </is>
      </c>
      <c r="D11025" s="1" t="n">
        <v>46282</v>
      </c>
      <c r="E11025" s="1" t="n">
        <v>46326</v>
      </c>
      <c r="F11025" t="inlineStr">
        <is>
          <t>GÄVLEBORGS LÄN</t>
        </is>
      </c>
      <c r="G11025" t="inlineStr">
        <is>
          <t>BOLLNÄS</t>
        </is>
      </c>
      <c r="H11025" t="inlineStr">
        <is>
          <t>Bergvik skog väst AB</t>
        </is>
      </c>
      <c r="I11025" t="n">
        <v>3.4</v>
      </c>
      <c r="J11025" t="n">
        <v>0</v>
      </c>
      <c r="K11025" t="n">
        <v>0</v>
      </c>
      <c r="L11025" t="n">
        <v>0</v>
      </c>
      <c r="M11025" t="n">
        <v>0</v>
      </c>
      <c r="N11025" t="n">
        <v>0</v>
      </c>
      <c r="O11025" t="n">
        <v>0</v>
      </c>
      <c r="P11025" t="n">
        <v>0</v>
      </c>
      <c r="Q11025" t="n">
        <v>0</v>
      </c>
      <c r="R11025" t="n">
        <v>0</v>
      </c>
      <c r="S11025" t="n">
        <v>0</v>
      </c>
      <c r="T11025" t="n">
        <v>0</v>
      </c>
      <c r="U11025" t="n">
        <v>0</v>
      </c>
      <c r="V11025" s="2" t="inlineStr"/>
    </row>
    <row r="11026" ht="15" customHeight="1">
      <c r="A11026" t="inlineStr">
        <is>
          <t>A 18326-2026</t>
        </is>
      </c>
      <c r="B11026" t="inlineStr">
        <is>
          <t>avverkningsanmälan</t>
        </is>
      </c>
      <c r="C11026" t="inlineStr">
        <is>
          <t>Avverkning för annat ändamål</t>
        </is>
      </c>
      <c r="D11026" s="1" t="n">
        <v>46126</v>
      </c>
      <c r="E11026" s="1" t="n">
        <v>46326</v>
      </c>
      <c r="F11026" t="inlineStr">
        <is>
          <t>GÄVLEBORGS LÄN</t>
        </is>
      </c>
      <c r="G11026" t="inlineStr">
        <is>
          <t>OCKELBO</t>
        </is>
      </c>
      <c r="I11026" t="n">
        <v>0.9</v>
      </c>
      <c r="J11026" t="n">
        <v>0</v>
      </c>
      <c r="K11026" t="n">
        <v>0</v>
      </c>
      <c r="L11026" t="n">
        <v>0</v>
      </c>
      <c r="M11026" t="n">
        <v>0</v>
      </c>
      <c r="N11026" t="n">
        <v>0</v>
      </c>
      <c r="O11026" t="n">
        <v>0</v>
      </c>
      <c r="P11026" t="n">
        <v>0</v>
      </c>
      <c r="Q11026" t="n">
        <v>0</v>
      </c>
      <c r="R11026" t="n">
        <v>0</v>
      </c>
      <c r="S11026" t="n">
        <v>0</v>
      </c>
      <c r="T11026" t="n">
        <v>0</v>
      </c>
      <c r="U11026" t="n">
        <v>0</v>
      </c>
      <c r="V11026" s="2" t="inlineStr"/>
    </row>
    <row r="11027" ht="15" customHeight="1">
      <c r="A11027" t="inlineStr">
        <is>
          <t>A 45157-2026</t>
        </is>
      </c>
      <c r="B11027" t="inlineStr">
        <is>
          <t>avverkningsanmälan</t>
        </is>
      </c>
      <c r="C11027" t="inlineStr">
        <is>
          <t>Föryngringsavverkning</t>
        </is>
      </c>
      <c r="D11027" s="1" t="n">
        <v>46325</v>
      </c>
      <c r="E11027" s="1" t="n">
        <v>46326</v>
      </c>
      <c r="F11027" t="inlineStr">
        <is>
          <t>GÄVLEBORGS LÄN</t>
        </is>
      </c>
      <c r="G11027" t="inlineStr">
        <is>
          <t>HUDIKSVALL</t>
        </is>
      </c>
      <c r="H11027" t="inlineStr">
        <is>
          <t>Holmen skog AB</t>
        </is>
      </c>
      <c r="I11027" t="n">
        <v>4.8</v>
      </c>
      <c r="J11027" t="n">
        <v>0</v>
      </c>
      <c r="K11027" t="n">
        <v>0</v>
      </c>
      <c r="L11027" t="n">
        <v>0</v>
      </c>
      <c r="M11027" t="n">
        <v>0</v>
      </c>
      <c r="N11027" t="n">
        <v>0</v>
      </c>
      <c r="O11027" t="n">
        <v>0</v>
      </c>
      <c r="P11027" t="n">
        <v>0</v>
      </c>
      <c r="Q11027" t="n">
        <v>0</v>
      </c>
      <c r="R11027" t="n">
        <v>0</v>
      </c>
      <c r="S11027" t="n">
        <v>0</v>
      </c>
      <c r="T11027" t="n">
        <v>0</v>
      </c>
      <c r="U11027" t="n">
        <v>0</v>
      </c>
      <c r="V11027" s="2" t="inlineStr"/>
    </row>
    <row r="11028" ht="15" customHeight="1">
      <c r="A11028" t="inlineStr">
        <is>
          <t>A 45174-2026</t>
        </is>
      </c>
      <c r="B11028" t="inlineStr">
        <is>
          <t>avverkningsanmälan</t>
        </is>
      </c>
      <c r="C11028" t="inlineStr">
        <is>
          <t>Föryngringsavverkning</t>
        </is>
      </c>
      <c r="D11028" s="1" t="n">
        <v>46325</v>
      </c>
      <c r="E11028" s="1" t="n">
        <v>46326</v>
      </c>
      <c r="F11028" t="inlineStr">
        <is>
          <t>GÄVLEBORGS LÄN</t>
        </is>
      </c>
      <c r="G11028" t="inlineStr">
        <is>
          <t>HUDIKSVALL</t>
        </is>
      </c>
      <c r="I11028" t="n">
        <v>1.9</v>
      </c>
      <c r="J11028" t="n">
        <v>0</v>
      </c>
      <c r="K11028" t="n">
        <v>0</v>
      </c>
      <c r="L11028" t="n">
        <v>0</v>
      </c>
      <c r="M11028" t="n">
        <v>0</v>
      </c>
      <c r="N11028" t="n">
        <v>0</v>
      </c>
      <c r="O11028" t="n">
        <v>0</v>
      </c>
      <c r="P11028" t="n">
        <v>0</v>
      </c>
      <c r="Q11028" t="n">
        <v>0</v>
      </c>
      <c r="R11028" t="n">
        <v>0</v>
      </c>
      <c r="S11028" t="n">
        <v>0</v>
      </c>
      <c r="T11028" t="n">
        <v>0</v>
      </c>
      <c r="U11028" t="n">
        <v>0</v>
      </c>
      <c r="V11028" s="2" t="inlineStr"/>
    </row>
    <row r="11029" ht="15" customHeight="1">
      <c r="A11029" t="inlineStr">
        <is>
          <t>A 21548-2026</t>
        </is>
      </c>
      <c r="B11029" t="inlineStr">
        <is>
          <t>avverkningsanmälan</t>
        </is>
      </c>
      <c r="C11029" t="inlineStr">
        <is>
          <t>Föryngringsavverkning</t>
        </is>
      </c>
      <c r="D11029" s="1" t="n">
        <v>46148</v>
      </c>
      <c r="E11029" s="1" t="n">
        <v>46326</v>
      </c>
      <c r="F11029" t="inlineStr">
        <is>
          <t>GÄVLEBORGS LÄN</t>
        </is>
      </c>
      <c r="G11029" t="inlineStr">
        <is>
          <t>SÖDERHAMN</t>
        </is>
      </c>
      <c r="I11029" t="n">
        <v>1.1</v>
      </c>
      <c r="J11029" t="n">
        <v>0</v>
      </c>
      <c r="K11029" t="n">
        <v>0</v>
      </c>
      <c r="L11029" t="n">
        <v>0</v>
      </c>
      <c r="M11029" t="n">
        <v>0</v>
      </c>
      <c r="N11029" t="n">
        <v>0</v>
      </c>
      <c r="O11029" t="n">
        <v>0</v>
      </c>
      <c r="P11029" t="n">
        <v>0</v>
      </c>
      <c r="Q11029" t="n">
        <v>0</v>
      </c>
      <c r="R11029" t="n">
        <v>0</v>
      </c>
      <c r="S11029" t="n">
        <v>0</v>
      </c>
      <c r="T11029" t="n">
        <v>0</v>
      </c>
      <c r="U11029" t="n">
        <v>0</v>
      </c>
      <c r="V11029" s="2" t="inlineStr"/>
    </row>
    <row r="11030" ht="15" customHeight="1">
      <c r="A11030" t="inlineStr">
        <is>
          <t>A 44994-2026</t>
        </is>
      </c>
      <c r="B11030" t="inlineStr">
        <is>
          <t>avverkningsanmälan</t>
        </is>
      </c>
      <c r="C11030" t="inlineStr">
        <is>
          <t>Föryngringsavverkning</t>
        </is>
      </c>
      <c r="D11030" s="1" t="n">
        <v>46324</v>
      </c>
      <c r="E11030" s="1" t="n">
        <v>46326</v>
      </c>
      <c r="F11030" t="inlineStr">
        <is>
          <t>GÄVLEBORGS LÄN</t>
        </is>
      </c>
      <c r="G11030" t="inlineStr">
        <is>
          <t>GÄVLE</t>
        </is>
      </c>
      <c r="H11030" t="inlineStr">
        <is>
          <t>Bergvik skog öst AB</t>
        </is>
      </c>
      <c r="I11030" t="n">
        <v>5</v>
      </c>
      <c r="J11030" t="n">
        <v>0</v>
      </c>
      <c r="K11030" t="n">
        <v>0</v>
      </c>
      <c r="L11030" t="n">
        <v>0</v>
      </c>
      <c r="M11030" t="n">
        <v>0</v>
      </c>
      <c r="N11030" t="n">
        <v>0</v>
      </c>
      <c r="O11030" t="n">
        <v>0</v>
      </c>
      <c r="P11030" t="n">
        <v>0</v>
      </c>
      <c r="Q11030" t="n">
        <v>0</v>
      </c>
      <c r="R11030" t="n">
        <v>0</v>
      </c>
      <c r="S11030" t="n">
        <v>0</v>
      </c>
      <c r="T11030" t="n">
        <v>0</v>
      </c>
      <c r="U11030" t="n">
        <v>0</v>
      </c>
      <c r="V11030" s="2" t="inlineStr"/>
    </row>
    <row r="11031" ht="15" customHeight="1">
      <c r="A11031" t="inlineStr">
        <is>
          <t>A 45037-2026</t>
        </is>
      </c>
      <c r="B11031" t="inlineStr">
        <is>
          <t>avverkningsanmälan</t>
        </is>
      </c>
      <c r="C11031" t="inlineStr">
        <is>
          <t>Föryngringsavverkning</t>
        </is>
      </c>
      <c r="D11031" s="1" t="n">
        <v>46324</v>
      </c>
      <c r="E11031" s="1" t="n">
        <v>46326</v>
      </c>
      <c r="F11031" t="inlineStr">
        <is>
          <t>GÄVLEBORGS LÄN</t>
        </is>
      </c>
      <c r="G11031" t="inlineStr">
        <is>
          <t>GÄVLE</t>
        </is>
      </c>
      <c r="H11031" t="inlineStr">
        <is>
          <t>Bergvik skog öst AB</t>
        </is>
      </c>
      <c r="I11031" t="n">
        <v>4.5</v>
      </c>
      <c r="J11031" t="n">
        <v>0</v>
      </c>
      <c r="K11031" t="n">
        <v>0</v>
      </c>
      <c r="L11031" t="n">
        <v>0</v>
      </c>
      <c r="M11031" t="n">
        <v>0</v>
      </c>
      <c r="N11031" t="n">
        <v>0</v>
      </c>
      <c r="O11031" t="n">
        <v>0</v>
      </c>
      <c r="P11031" t="n">
        <v>0</v>
      </c>
      <c r="Q11031" t="n">
        <v>0</v>
      </c>
      <c r="R11031" t="n">
        <v>0</v>
      </c>
      <c r="S11031" t="n">
        <v>0</v>
      </c>
      <c r="T11031" t="n">
        <v>0</v>
      </c>
      <c r="U11031" t="n">
        <v>0</v>
      </c>
      <c r="V11031" s="2" t="inlineStr"/>
    </row>
    <row r="11032" ht="15" customHeight="1">
      <c r="A11032" t="inlineStr">
        <is>
          <t>A 38607-2026</t>
        </is>
      </c>
      <c r="B11032" t="inlineStr">
        <is>
          <t>avverkningsanmälan</t>
        </is>
      </c>
      <c r="C11032" t="inlineStr">
        <is>
          <t>Föryngringsavverkning</t>
        </is>
      </c>
      <c r="D11032" s="1" t="n">
        <v>46283</v>
      </c>
      <c r="E11032" s="1" t="n">
        <v>46326</v>
      </c>
      <c r="F11032" t="inlineStr">
        <is>
          <t>GÄVLEBORGS LÄN</t>
        </is>
      </c>
      <c r="G11032" t="inlineStr">
        <is>
          <t>BOLLNÄS</t>
        </is>
      </c>
      <c r="H11032" t="inlineStr">
        <is>
          <t>Sveaskog</t>
        </is>
      </c>
      <c r="I11032" t="n">
        <v>1.4</v>
      </c>
      <c r="J11032" t="n">
        <v>0</v>
      </c>
      <c r="K11032" t="n">
        <v>0</v>
      </c>
      <c r="L11032" t="n">
        <v>0</v>
      </c>
      <c r="M11032" t="n">
        <v>0</v>
      </c>
      <c r="N11032" t="n">
        <v>0</v>
      </c>
      <c r="O11032" t="n">
        <v>0</v>
      </c>
      <c r="P11032" t="n">
        <v>0</v>
      </c>
      <c r="Q11032" t="n">
        <v>0</v>
      </c>
      <c r="R11032" t="n">
        <v>0</v>
      </c>
      <c r="S11032" t="n">
        <v>0</v>
      </c>
      <c r="T11032" t="n">
        <v>0</v>
      </c>
      <c r="U11032" t="n">
        <v>0</v>
      </c>
      <c r="V11032" s="2" t="inlineStr"/>
    </row>
    <row r="11033" ht="15" customHeight="1">
      <c r="A11033" t="inlineStr">
        <is>
          <t>A 38551-2026</t>
        </is>
      </c>
      <c r="B11033" t="inlineStr">
        <is>
          <t>avverkningsanmälan</t>
        </is>
      </c>
      <c r="C11033" t="inlineStr">
        <is>
          <t>Föryngringsavverkning</t>
        </is>
      </c>
      <c r="D11033" s="1" t="n">
        <v>46283</v>
      </c>
      <c r="E11033" s="1" t="n">
        <v>46326</v>
      </c>
      <c r="F11033" t="inlineStr">
        <is>
          <t>GÄVLEBORGS LÄN</t>
        </is>
      </c>
      <c r="G11033" t="inlineStr">
        <is>
          <t>GÄVLE</t>
        </is>
      </c>
      <c r="H11033" t="inlineStr">
        <is>
          <t>Bergvik skog väst AB</t>
        </is>
      </c>
      <c r="I11033" t="n">
        <v>1.1</v>
      </c>
      <c r="J11033" t="n">
        <v>0</v>
      </c>
      <c r="K11033" t="n">
        <v>0</v>
      </c>
      <c r="L11033" t="n">
        <v>0</v>
      </c>
      <c r="M11033" t="n">
        <v>0</v>
      </c>
      <c r="N11033" t="n">
        <v>0</v>
      </c>
      <c r="O11033" t="n">
        <v>0</v>
      </c>
      <c r="P11033" t="n">
        <v>0</v>
      </c>
      <c r="Q11033" t="n">
        <v>0</v>
      </c>
      <c r="R11033" t="n">
        <v>0</v>
      </c>
      <c r="S11033" t="n">
        <v>0</v>
      </c>
      <c r="T11033" t="n">
        <v>0</v>
      </c>
      <c r="U11033" t="n">
        <v>0</v>
      </c>
      <c r="V11033" s="2" t="inlineStr"/>
    </row>
    <row r="11034" ht="15" customHeight="1">
      <c r="A11034" t="inlineStr">
        <is>
          <t>A 45063-2026</t>
        </is>
      </c>
      <c r="B11034" t="inlineStr">
        <is>
          <t>avverkningsanmälan</t>
        </is>
      </c>
      <c r="C11034" t="inlineStr">
        <is>
          <t>Föryngringsavverkning</t>
        </is>
      </c>
      <c r="D11034" s="1" t="n">
        <v>46324</v>
      </c>
      <c r="E11034" s="1" t="n">
        <v>46326</v>
      </c>
      <c r="F11034" t="inlineStr">
        <is>
          <t>GÄVLEBORGS LÄN</t>
        </is>
      </c>
      <c r="G11034" t="inlineStr">
        <is>
          <t>GÄVLE</t>
        </is>
      </c>
      <c r="H11034" t="inlineStr">
        <is>
          <t>Bergvik skog öst AB</t>
        </is>
      </c>
      <c r="I11034" t="n">
        <v>8.699999999999999</v>
      </c>
      <c r="J11034" t="n">
        <v>0</v>
      </c>
      <c r="K11034" t="n">
        <v>0</v>
      </c>
      <c r="L11034" t="n">
        <v>0</v>
      </c>
      <c r="M11034" t="n">
        <v>0</v>
      </c>
      <c r="N11034" t="n">
        <v>0</v>
      </c>
      <c r="O11034" t="n">
        <v>0</v>
      </c>
      <c r="P11034" t="n">
        <v>0</v>
      </c>
      <c r="Q11034" t="n">
        <v>0</v>
      </c>
      <c r="R11034" t="n">
        <v>0</v>
      </c>
      <c r="S11034" t="n">
        <v>0</v>
      </c>
      <c r="T11034" t="n">
        <v>0</v>
      </c>
      <c r="U11034" t="n">
        <v>0</v>
      </c>
      <c r="V11034" s="2" t="inlineStr"/>
    </row>
    <row r="11035" ht="15" customHeight="1">
      <c r="A11035" t="inlineStr">
        <is>
          <t>A 38555-2026</t>
        </is>
      </c>
      <c r="B11035" t="inlineStr">
        <is>
          <t>avverkningsanmälan</t>
        </is>
      </c>
      <c r="C11035" t="inlineStr">
        <is>
          <t>Föryngringsavverkning</t>
        </is>
      </c>
      <c r="D11035" s="1" t="n">
        <v>46283</v>
      </c>
      <c r="E11035" s="1" t="n">
        <v>46326</v>
      </c>
      <c r="F11035" t="inlineStr">
        <is>
          <t>GÄVLEBORGS LÄN</t>
        </is>
      </c>
      <c r="G11035" t="inlineStr">
        <is>
          <t>BOLLNÄS</t>
        </is>
      </c>
      <c r="H11035" t="inlineStr">
        <is>
          <t>Sveaskog</t>
        </is>
      </c>
      <c r="I11035" t="n">
        <v>5.5</v>
      </c>
      <c r="J11035" t="n">
        <v>0</v>
      </c>
      <c r="K11035" t="n">
        <v>0</v>
      </c>
      <c r="L11035" t="n">
        <v>0</v>
      </c>
      <c r="M11035" t="n">
        <v>0</v>
      </c>
      <c r="N11035" t="n">
        <v>0</v>
      </c>
      <c r="O11035" t="n">
        <v>0</v>
      </c>
      <c r="P11035" t="n">
        <v>0</v>
      </c>
      <c r="Q11035" t="n">
        <v>0</v>
      </c>
      <c r="R11035" t="n">
        <v>0</v>
      </c>
      <c r="S11035" t="n">
        <v>0</v>
      </c>
      <c r="T11035" t="n">
        <v>0</v>
      </c>
      <c r="U11035" t="n">
        <v>0</v>
      </c>
      <c r="V11035" s="2" t="inlineStr"/>
    </row>
    <row r="11036" ht="15" customHeight="1">
      <c r="A11036" t="inlineStr">
        <is>
          <t>A 45210-2026</t>
        </is>
      </c>
      <c r="B11036" t="inlineStr">
        <is>
          <t>avverkningsanmälan</t>
        </is>
      </c>
      <c r="C11036" t="inlineStr">
        <is>
          <t>Föryngringsavverkning</t>
        </is>
      </c>
      <c r="D11036" s="1" t="n">
        <v>46325</v>
      </c>
      <c r="E11036" s="1" t="n">
        <v>46326</v>
      </c>
      <c r="F11036" t="inlineStr">
        <is>
          <t>GÄVLEBORGS LÄN</t>
        </is>
      </c>
      <c r="G11036" t="inlineStr">
        <is>
          <t>SANDVIKEN</t>
        </is>
      </c>
      <c r="I11036" t="n">
        <v>2.2</v>
      </c>
      <c r="J11036" t="n">
        <v>0</v>
      </c>
      <c r="K11036" t="n">
        <v>0</v>
      </c>
      <c r="L11036" t="n">
        <v>0</v>
      </c>
      <c r="M11036" t="n">
        <v>0</v>
      </c>
      <c r="N11036" t="n">
        <v>0</v>
      </c>
      <c r="O11036" t="n">
        <v>0</v>
      </c>
      <c r="P11036" t="n">
        <v>0</v>
      </c>
      <c r="Q11036" t="n">
        <v>0</v>
      </c>
      <c r="R11036" t="n">
        <v>0</v>
      </c>
      <c r="S11036" t="n">
        <v>0</v>
      </c>
      <c r="T11036" t="n">
        <v>0</v>
      </c>
      <c r="U11036" t="n">
        <v>0</v>
      </c>
      <c r="V11036" s="2" t="inlineStr"/>
    </row>
    <row r="11037" ht="15" customHeight="1">
      <c r="A11037" t="inlineStr">
        <is>
          <t>A 38609-2026</t>
        </is>
      </c>
      <c r="B11037" t="inlineStr">
        <is>
          <t>avverkningsanmälan</t>
        </is>
      </c>
      <c r="C11037" t="inlineStr">
        <is>
          <t>Föryngringsavverkning</t>
        </is>
      </c>
      <c r="D11037" s="1" t="n">
        <v>46283</v>
      </c>
      <c r="E11037" s="1" t="n">
        <v>46326</v>
      </c>
      <c r="F11037" t="inlineStr">
        <is>
          <t>GÄVLEBORGS LÄN</t>
        </is>
      </c>
      <c r="G11037" t="inlineStr">
        <is>
          <t>GÄVLE</t>
        </is>
      </c>
      <c r="H11037" t="inlineStr">
        <is>
          <t>Bergvik skog öst AB</t>
        </is>
      </c>
      <c r="I11037" t="n">
        <v>2.1</v>
      </c>
      <c r="J11037" t="n">
        <v>0</v>
      </c>
      <c r="K11037" t="n">
        <v>0</v>
      </c>
      <c r="L11037" t="n">
        <v>0</v>
      </c>
      <c r="M11037" t="n">
        <v>0</v>
      </c>
      <c r="N11037" t="n">
        <v>0</v>
      </c>
      <c r="O11037" t="n">
        <v>0</v>
      </c>
      <c r="P11037" t="n">
        <v>0</v>
      </c>
      <c r="Q11037" t="n">
        <v>0</v>
      </c>
      <c r="R11037" t="n">
        <v>0</v>
      </c>
      <c r="S11037" t="n">
        <v>0</v>
      </c>
      <c r="T11037" t="n">
        <v>0</v>
      </c>
      <c r="U11037" t="n">
        <v>0</v>
      </c>
      <c r="V11037" s="2" t="inlineStr"/>
    </row>
    <row r="11038" ht="15" customHeight="1">
      <c r="A11038" t="inlineStr">
        <is>
          <t>A 38623-2026</t>
        </is>
      </c>
      <c r="B11038" t="inlineStr">
        <is>
          <t>avverkningsanmälan</t>
        </is>
      </c>
      <c r="C11038" t="inlineStr">
        <is>
          <t>Föryngringsavverkning</t>
        </is>
      </c>
      <c r="D11038" s="1" t="n">
        <v>46283</v>
      </c>
      <c r="E11038" s="1" t="n">
        <v>46326</v>
      </c>
      <c r="F11038" t="inlineStr">
        <is>
          <t>GÄVLEBORGS LÄN</t>
        </is>
      </c>
      <c r="G11038" t="inlineStr">
        <is>
          <t>GÄVLE</t>
        </is>
      </c>
      <c r="H11038" t="inlineStr">
        <is>
          <t>Bergvik skog väst AB</t>
        </is>
      </c>
      <c r="I11038" t="n">
        <v>8.5</v>
      </c>
      <c r="J11038" t="n">
        <v>0</v>
      </c>
      <c r="K11038" t="n">
        <v>0</v>
      </c>
      <c r="L11038" t="n">
        <v>0</v>
      </c>
      <c r="M11038" t="n">
        <v>0</v>
      </c>
      <c r="N11038" t="n">
        <v>0</v>
      </c>
      <c r="O11038" t="n">
        <v>0</v>
      </c>
      <c r="P11038" t="n">
        <v>0</v>
      </c>
      <c r="Q11038" t="n">
        <v>0</v>
      </c>
      <c r="R11038" t="n">
        <v>0</v>
      </c>
      <c r="S11038" t="n">
        <v>0</v>
      </c>
      <c r="T11038" t="n">
        <v>0</v>
      </c>
      <c r="U11038" t="n">
        <v>0</v>
      </c>
      <c r="V11038" s="2" t="inlineStr"/>
    </row>
    <row r="11039" ht="15" customHeight="1">
      <c r="A11039" t="inlineStr">
        <is>
          <t>A 38624-2026</t>
        </is>
      </c>
      <c r="B11039" t="inlineStr">
        <is>
          <t>avverkningsanmälan</t>
        </is>
      </c>
      <c r="C11039" t="inlineStr">
        <is>
          <t>Föryngringsavverkning</t>
        </is>
      </c>
      <c r="D11039" s="1" t="n">
        <v>46283</v>
      </c>
      <c r="E11039" s="1" t="n">
        <v>46326</v>
      </c>
      <c r="F11039" t="inlineStr">
        <is>
          <t>GÄVLEBORGS LÄN</t>
        </is>
      </c>
      <c r="G11039" t="inlineStr">
        <is>
          <t>GÄVLE</t>
        </is>
      </c>
      <c r="H11039" t="inlineStr">
        <is>
          <t>Bergvik skog öst AB</t>
        </is>
      </c>
      <c r="I11039" t="n">
        <v>1.6</v>
      </c>
      <c r="J11039" t="n">
        <v>0</v>
      </c>
      <c r="K11039" t="n">
        <v>0</v>
      </c>
      <c r="L11039" t="n">
        <v>0</v>
      </c>
      <c r="M11039" t="n">
        <v>0</v>
      </c>
      <c r="N11039" t="n">
        <v>0</v>
      </c>
      <c r="O11039" t="n">
        <v>0</v>
      </c>
      <c r="P11039" t="n">
        <v>0</v>
      </c>
      <c r="Q11039" t="n">
        <v>0</v>
      </c>
      <c r="R11039" t="n">
        <v>0</v>
      </c>
      <c r="S11039" t="n">
        <v>0</v>
      </c>
      <c r="T11039" t="n">
        <v>0</v>
      </c>
      <c r="U11039" t="n">
        <v>0</v>
      </c>
      <c r="V11039" s="2" t="inlineStr"/>
    </row>
    <row r="11040" ht="15" customHeight="1">
      <c r="A11040" t="inlineStr">
        <is>
          <t>A 38653-2026</t>
        </is>
      </c>
      <c r="B11040" t="inlineStr">
        <is>
          <t>avverkningsanmälan</t>
        </is>
      </c>
      <c r="C11040" t="inlineStr">
        <is>
          <t>Föryngringsavverkning</t>
        </is>
      </c>
      <c r="D11040" s="1" t="n">
        <v>46283</v>
      </c>
      <c r="E11040" s="1" t="n">
        <v>46326</v>
      </c>
      <c r="F11040" t="inlineStr">
        <is>
          <t>GÄVLEBORGS LÄN</t>
        </is>
      </c>
      <c r="G11040" t="inlineStr">
        <is>
          <t>GÄVLE</t>
        </is>
      </c>
      <c r="H11040" t="inlineStr">
        <is>
          <t>Bergvik skog väst AB</t>
        </is>
      </c>
      <c r="I11040" t="n">
        <v>0.5</v>
      </c>
      <c r="J11040" t="n">
        <v>0</v>
      </c>
      <c r="K11040" t="n">
        <v>0</v>
      </c>
      <c r="L11040" t="n">
        <v>0</v>
      </c>
      <c r="M11040" t="n">
        <v>0</v>
      </c>
      <c r="N11040" t="n">
        <v>0</v>
      </c>
      <c r="O11040" t="n">
        <v>0</v>
      </c>
      <c r="P11040" t="n">
        <v>0</v>
      </c>
      <c r="Q11040" t="n">
        <v>0</v>
      </c>
      <c r="R11040" t="n">
        <v>0</v>
      </c>
      <c r="S11040" t="n">
        <v>0</v>
      </c>
      <c r="T11040" t="n">
        <v>0</v>
      </c>
      <c r="U11040" t="n">
        <v>0</v>
      </c>
      <c r="V11040" s="2" t="inlineStr"/>
    </row>
    <row r="11041" ht="15" customHeight="1">
      <c r="A11041" t="inlineStr">
        <is>
          <t>A 38587-2026</t>
        </is>
      </c>
      <c r="B11041" t="inlineStr">
        <is>
          <t>avverkningsanmälan</t>
        </is>
      </c>
      <c r="C11041" t="inlineStr">
        <is>
          <t>Föryngringsavverkning</t>
        </is>
      </c>
      <c r="D11041" s="1" t="n">
        <v>46283</v>
      </c>
      <c r="E11041" s="1" t="n">
        <v>46326</v>
      </c>
      <c r="F11041" t="inlineStr">
        <is>
          <t>GÄVLEBORGS LÄN</t>
        </is>
      </c>
      <c r="G11041" t="inlineStr">
        <is>
          <t>GÄVLE</t>
        </is>
      </c>
      <c r="H11041" t="inlineStr">
        <is>
          <t>Bergvik skog öst AB</t>
        </is>
      </c>
      <c r="I11041" t="n">
        <v>1.3</v>
      </c>
      <c r="J11041" t="n">
        <v>0</v>
      </c>
      <c r="K11041" t="n">
        <v>0</v>
      </c>
      <c r="L11041" t="n">
        <v>0</v>
      </c>
      <c r="M11041" t="n">
        <v>0</v>
      </c>
      <c r="N11041" t="n">
        <v>0</v>
      </c>
      <c r="O11041" t="n">
        <v>0</v>
      </c>
      <c r="P11041" t="n">
        <v>0</v>
      </c>
      <c r="Q11041" t="n">
        <v>0</v>
      </c>
      <c r="R11041" t="n">
        <v>0</v>
      </c>
      <c r="S11041" t="n">
        <v>0</v>
      </c>
      <c r="T11041" t="n">
        <v>0</v>
      </c>
      <c r="U11041" t="n">
        <v>0</v>
      </c>
      <c r="V11041" s="2" t="inlineStr"/>
    </row>
    <row r="11042" ht="15" customHeight="1">
      <c r="A11042" t="inlineStr">
        <is>
          <t>A 38249-2026</t>
        </is>
      </c>
      <c r="B11042" t="inlineStr">
        <is>
          <t>avverkningsanmälan</t>
        </is>
      </c>
      <c r="C11042" t="inlineStr">
        <is>
          <t>Föryngringsavverkning</t>
        </is>
      </c>
      <c r="D11042" s="1" t="n">
        <v>46281</v>
      </c>
      <c r="E11042" s="1" t="n">
        <v>46326</v>
      </c>
      <c r="F11042" t="inlineStr">
        <is>
          <t>GÄVLEBORGS LÄN</t>
        </is>
      </c>
      <c r="G11042" t="inlineStr">
        <is>
          <t>SÖDERHAMN</t>
        </is>
      </c>
      <c r="I11042" t="n">
        <v>1.7</v>
      </c>
      <c r="J11042" t="n">
        <v>0</v>
      </c>
      <c r="K11042" t="n">
        <v>0</v>
      </c>
      <c r="L11042" t="n">
        <v>0</v>
      </c>
      <c r="M11042" t="n">
        <v>0</v>
      </c>
      <c r="N11042" t="n">
        <v>0</v>
      </c>
      <c r="O11042" t="n">
        <v>0</v>
      </c>
      <c r="P11042" t="n">
        <v>0</v>
      </c>
      <c r="Q11042" t="n">
        <v>0</v>
      </c>
      <c r="R11042" t="n">
        <v>0</v>
      </c>
      <c r="S11042" t="n">
        <v>0</v>
      </c>
      <c r="T11042" t="n">
        <v>0</v>
      </c>
      <c r="U11042" t="n">
        <v>0</v>
      </c>
      <c r="V11042" s="2" t="inlineStr"/>
    </row>
    <row r="11043" ht="15" customHeight="1">
      <c r="A11043" t="inlineStr">
        <is>
          <t>A 38393-2026</t>
        </is>
      </c>
      <c r="B11043" t="inlineStr">
        <is>
          <t>avverkningsanmälan</t>
        </is>
      </c>
      <c r="C11043" t="inlineStr">
        <is>
          <t>Föryngringsavverkning</t>
        </is>
      </c>
      <c r="D11043" s="1" t="n">
        <v>46282</v>
      </c>
      <c r="E11043" s="1" t="n">
        <v>46326</v>
      </c>
      <c r="F11043" t="inlineStr">
        <is>
          <t>GÄVLEBORGS LÄN</t>
        </is>
      </c>
      <c r="G11043" t="inlineStr">
        <is>
          <t>GÄVLE</t>
        </is>
      </c>
      <c r="H11043" t="inlineStr">
        <is>
          <t>Bergvik skog öst AB</t>
        </is>
      </c>
      <c r="I11043" t="n">
        <v>19.8</v>
      </c>
      <c r="J11043" t="n">
        <v>0</v>
      </c>
      <c r="K11043" t="n">
        <v>0</v>
      </c>
      <c r="L11043" t="n">
        <v>0</v>
      </c>
      <c r="M11043" t="n">
        <v>0</v>
      </c>
      <c r="N11043" t="n">
        <v>0</v>
      </c>
      <c r="O11043" t="n">
        <v>0</v>
      </c>
      <c r="P11043" t="n">
        <v>0</v>
      </c>
      <c r="Q11043" t="n">
        <v>0</v>
      </c>
      <c r="R11043" t="n">
        <v>0</v>
      </c>
      <c r="S11043" t="n">
        <v>0</v>
      </c>
      <c r="T11043" t="n">
        <v>0</v>
      </c>
      <c r="U11043" t="n">
        <v>0</v>
      </c>
      <c r="V11043" s="2" t="inlineStr"/>
    </row>
    <row r="11044" ht="15" customHeight="1">
      <c r="A11044" t="inlineStr">
        <is>
          <t>A 45214-2026</t>
        </is>
      </c>
      <c r="B11044" t="inlineStr">
        <is>
          <t>avverkningsanmälan</t>
        </is>
      </c>
      <c r="C11044" t="inlineStr">
        <is>
          <t>Föryngringsavverkning</t>
        </is>
      </c>
      <c r="D11044" s="1" t="n">
        <v>46325</v>
      </c>
      <c r="E11044" s="1" t="n">
        <v>46326</v>
      </c>
      <c r="F11044" t="inlineStr">
        <is>
          <t>GÄVLEBORGS LÄN</t>
        </is>
      </c>
      <c r="G11044" t="inlineStr">
        <is>
          <t>HUDIKSVALL</t>
        </is>
      </c>
      <c r="I11044" t="n">
        <v>2.2</v>
      </c>
      <c r="J11044" t="n">
        <v>0</v>
      </c>
      <c r="K11044" t="n">
        <v>0</v>
      </c>
      <c r="L11044" t="n">
        <v>0</v>
      </c>
      <c r="M11044" t="n">
        <v>0</v>
      </c>
      <c r="N11044" t="n">
        <v>0</v>
      </c>
      <c r="O11044" t="n">
        <v>0</v>
      </c>
      <c r="P11044" t="n">
        <v>0</v>
      </c>
      <c r="Q11044" t="n">
        <v>0</v>
      </c>
      <c r="R11044" t="n">
        <v>0</v>
      </c>
      <c r="S11044" t="n">
        <v>0</v>
      </c>
      <c r="T11044" t="n">
        <v>0</v>
      </c>
      <c r="U11044" t="n">
        <v>0</v>
      </c>
      <c r="V11044" s="2" t="inlineStr"/>
    </row>
    <row r="11045" ht="15" customHeight="1">
      <c r="A11045" t="inlineStr">
        <is>
          <t>A 45048-2026</t>
        </is>
      </c>
      <c r="B11045" t="inlineStr">
        <is>
          <t>avverkningsanmälan</t>
        </is>
      </c>
      <c r="C11045" t="inlineStr">
        <is>
          <t>Föryngringsavverkning</t>
        </is>
      </c>
      <c r="D11045" s="1" t="n">
        <v>46324</v>
      </c>
      <c r="E11045" s="1" t="n">
        <v>46326</v>
      </c>
      <c r="F11045" t="inlineStr">
        <is>
          <t>GÄVLEBORGS LÄN</t>
        </is>
      </c>
      <c r="G11045" t="inlineStr">
        <is>
          <t>GÄVLE</t>
        </is>
      </c>
      <c r="H11045" t="inlineStr">
        <is>
          <t>Bergvik skog väst AB</t>
        </is>
      </c>
      <c r="I11045" t="n">
        <v>7.5</v>
      </c>
      <c r="J11045" t="n">
        <v>0</v>
      </c>
      <c r="K11045" t="n">
        <v>0</v>
      </c>
      <c r="L11045" t="n">
        <v>0</v>
      </c>
      <c r="M11045" t="n">
        <v>0</v>
      </c>
      <c r="N11045" t="n">
        <v>0</v>
      </c>
      <c r="O11045" t="n">
        <v>0</v>
      </c>
      <c r="P11045" t="n">
        <v>0</v>
      </c>
      <c r="Q11045" t="n">
        <v>0</v>
      </c>
      <c r="R11045" t="n">
        <v>0</v>
      </c>
      <c r="S11045" t="n">
        <v>0</v>
      </c>
      <c r="T11045" t="n">
        <v>0</v>
      </c>
      <c r="U11045" t="n">
        <v>0</v>
      </c>
      <c r="V11045" s="2" t="inlineStr"/>
    </row>
    <row r="11046" ht="15" customHeight="1">
      <c r="A11046" t="inlineStr">
        <is>
          <t>A 37759-2026</t>
        </is>
      </c>
      <c r="B11046" t="inlineStr">
        <is>
          <t>avverkningsanmälan</t>
        </is>
      </c>
      <c r="C11046" t="inlineStr">
        <is>
          <t>Föryngringsavverkning</t>
        </is>
      </c>
      <c r="D11046" s="1" t="n">
        <v>46279</v>
      </c>
      <c r="E11046" s="1" t="n">
        <v>46326</v>
      </c>
      <c r="F11046" t="inlineStr">
        <is>
          <t>GÄVLEBORGS LÄN</t>
        </is>
      </c>
      <c r="G11046" t="inlineStr">
        <is>
          <t>GÄVLE</t>
        </is>
      </c>
      <c r="I11046" t="n">
        <v>2.2</v>
      </c>
      <c r="J11046" t="n">
        <v>0</v>
      </c>
      <c r="K11046" t="n">
        <v>0</v>
      </c>
      <c r="L11046" t="n">
        <v>0</v>
      </c>
      <c r="M11046" t="n">
        <v>0</v>
      </c>
      <c r="N11046" t="n">
        <v>0</v>
      </c>
      <c r="O11046" t="n">
        <v>0</v>
      </c>
      <c r="P11046" t="n">
        <v>0</v>
      </c>
      <c r="Q11046" t="n">
        <v>0</v>
      </c>
      <c r="R11046" t="n">
        <v>0</v>
      </c>
      <c r="S11046" t="n">
        <v>0</v>
      </c>
      <c r="T11046" t="n">
        <v>0</v>
      </c>
      <c r="U11046" t="n">
        <v>0</v>
      </c>
      <c r="V11046" s="2" t="inlineStr"/>
    </row>
    <row r="11047" ht="15" customHeight="1">
      <c r="A11047" t="inlineStr">
        <is>
          <t>A 38333-2026</t>
        </is>
      </c>
      <c r="B11047" t="inlineStr">
        <is>
          <t>avverkningsanmälan</t>
        </is>
      </c>
      <c r="C11047" t="inlineStr">
        <is>
          <t>Föryngringsavverkning</t>
        </is>
      </c>
      <c r="D11047" s="1" t="n">
        <v>46282</v>
      </c>
      <c r="E11047" s="1" t="n">
        <v>46326</v>
      </c>
      <c r="F11047" t="inlineStr">
        <is>
          <t>GÄVLEBORGS LÄN</t>
        </is>
      </c>
      <c r="G11047" t="inlineStr">
        <is>
          <t>GÄVLE</t>
        </is>
      </c>
      <c r="H11047" t="inlineStr">
        <is>
          <t>Bergvik skog öst AB</t>
        </is>
      </c>
      <c r="I11047" t="n">
        <v>1.1</v>
      </c>
      <c r="J11047" t="n">
        <v>0</v>
      </c>
      <c r="K11047" t="n">
        <v>0</v>
      </c>
      <c r="L11047" t="n">
        <v>0</v>
      </c>
      <c r="M11047" t="n">
        <v>0</v>
      </c>
      <c r="N11047" t="n">
        <v>0</v>
      </c>
      <c r="O11047" t="n">
        <v>0</v>
      </c>
      <c r="P11047" t="n">
        <v>0</v>
      </c>
      <c r="Q11047" t="n">
        <v>0</v>
      </c>
      <c r="R11047" t="n">
        <v>0</v>
      </c>
      <c r="S11047" t="n">
        <v>0</v>
      </c>
      <c r="T11047" t="n">
        <v>0</v>
      </c>
      <c r="U11047" t="n">
        <v>0</v>
      </c>
      <c r="V11047" s="2" t="inlineStr"/>
    </row>
    <row r="11048" ht="15" customHeight="1">
      <c r="A11048" t="inlineStr">
        <is>
          <t>A 38335-2026</t>
        </is>
      </c>
      <c r="B11048" t="inlineStr">
        <is>
          <t>avverkningsanmälan</t>
        </is>
      </c>
      <c r="C11048" t="inlineStr">
        <is>
          <t>Föryngringsavverkning</t>
        </is>
      </c>
      <c r="D11048" s="1" t="n">
        <v>46282</v>
      </c>
      <c r="E11048" s="1" t="n">
        <v>46326</v>
      </c>
      <c r="F11048" t="inlineStr">
        <is>
          <t>GÄVLEBORGS LÄN</t>
        </is>
      </c>
      <c r="G11048" t="inlineStr">
        <is>
          <t>GÄVLE</t>
        </is>
      </c>
      <c r="H11048" t="inlineStr">
        <is>
          <t>Bergvik skog öst AB</t>
        </is>
      </c>
      <c r="I11048" t="n">
        <v>1.9</v>
      </c>
      <c r="J11048" t="n">
        <v>0</v>
      </c>
      <c r="K11048" t="n">
        <v>0</v>
      </c>
      <c r="L11048" t="n">
        <v>0</v>
      </c>
      <c r="M11048" t="n">
        <v>0</v>
      </c>
      <c r="N11048" t="n">
        <v>0</v>
      </c>
      <c r="O11048" t="n">
        <v>0</v>
      </c>
      <c r="P11048" t="n">
        <v>0</v>
      </c>
      <c r="Q11048" t="n">
        <v>0</v>
      </c>
      <c r="R11048" t="n">
        <v>0</v>
      </c>
      <c r="S11048" t="n">
        <v>0</v>
      </c>
      <c r="T11048" t="n">
        <v>0</v>
      </c>
      <c r="U11048" t="n">
        <v>0</v>
      </c>
      <c r="V11048" s="2" t="inlineStr"/>
    </row>
    <row r="11049" ht="15" customHeight="1">
      <c r="A11049" t="inlineStr">
        <is>
          <t>A 38568-2026</t>
        </is>
      </c>
      <c r="B11049" t="inlineStr">
        <is>
          <t>avverkningsanmälan</t>
        </is>
      </c>
      <c r="C11049" t="inlineStr">
        <is>
          <t>Föryngringsavverkning</t>
        </is>
      </c>
      <c r="D11049" s="1" t="n">
        <v>46283</v>
      </c>
      <c r="E11049" s="1" t="n">
        <v>46326</v>
      </c>
      <c r="F11049" t="inlineStr">
        <is>
          <t>GÄVLEBORGS LÄN</t>
        </is>
      </c>
      <c r="G11049" t="inlineStr">
        <is>
          <t>GÄVLE</t>
        </is>
      </c>
      <c r="H11049" t="inlineStr">
        <is>
          <t>Bergvik skog väst AB</t>
        </is>
      </c>
      <c r="I11049" t="n">
        <v>4.6</v>
      </c>
      <c r="J11049" t="n">
        <v>0</v>
      </c>
      <c r="K11049" t="n">
        <v>0</v>
      </c>
      <c r="L11049" t="n">
        <v>0</v>
      </c>
      <c r="M11049" t="n">
        <v>0</v>
      </c>
      <c r="N11049" t="n">
        <v>0</v>
      </c>
      <c r="O11049" t="n">
        <v>0</v>
      </c>
      <c r="P11049" t="n">
        <v>0</v>
      </c>
      <c r="Q11049" t="n">
        <v>0</v>
      </c>
      <c r="R11049" t="n">
        <v>0</v>
      </c>
      <c r="S11049" t="n">
        <v>0</v>
      </c>
      <c r="T11049" t="n">
        <v>0</v>
      </c>
      <c r="U11049" t="n">
        <v>0</v>
      </c>
      <c r="V11049" s="2" t="inlineStr"/>
    </row>
    <row r="11050" ht="15" customHeight="1">
      <c r="A11050" t="inlineStr">
        <is>
          <t>A 38581-2026</t>
        </is>
      </c>
      <c r="B11050" t="inlineStr">
        <is>
          <t>avverkningsanmälan</t>
        </is>
      </c>
      <c r="C11050" t="inlineStr">
        <is>
          <t>Föryngringsavverkning</t>
        </is>
      </c>
      <c r="D11050" s="1" t="n">
        <v>46283</v>
      </c>
      <c r="E11050" s="1" t="n">
        <v>46326</v>
      </c>
      <c r="F11050" t="inlineStr">
        <is>
          <t>GÄVLEBORGS LÄN</t>
        </is>
      </c>
      <c r="G11050" t="inlineStr">
        <is>
          <t>OVANÅKER</t>
        </is>
      </c>
      <c r="H11050" t="inlineStr">
        <is>
          <t>Sveaskog</t>
        </is>
      </c>
      <c r="I11050" t="n">
        <v>2.7</v>
      </c>
      <c r="J11050" t="n">
        <v>0</v>
      </c>
      <c r="K11050" t="n">
        <v>0</v>
      </c>
      <c r="L11050" t="n">
        <v>0</v>
      </c>
      <c r="M11050" t="n">
        <v>0</v>
      </c>
      <c r="N11050" t="n">
        <v>0</v>
      </c>
      <c r="O11050" t="n">
        <v>0</v>
      </c>
      <c r="P11050" t="n">
        <v>0</v>
      </c>
      <c r="Q11050" t="n">
        <v>0</v>
      </c>
      <c r="R11050" t="n">
        <v>0</v>
      </c>
      <c r="S11050" t="n">
        <v>0</v>
      </c>
      <c r="T11050" t="n">
        <v>0</v>
      </c>
      <c r="U11050" t="n">
        <v>0</v>
      </c>
      <c r="V11050" s="2" t="inlineStr"/>
    </row>
    <row r="11051" ht="15" customHeight="1">
      <c r="A11051" t="inlineStr">
        <is>
          <t>A 38307-2026</t>
        </is>
      </c>
      <c r="B11051" t="inlineStr">
        <is>
          <t>avverkningsanmälan</t>
        </is>
      </c>
      <c r="C11051" t="inlineStr">
        <is>
          <t>Föryngringsavverkning</t>
        </is>
      </c>
      <c r="D11051" s="1" t="n">
        <v>46282</v>
      </c>
      <c r="E11051" s="1" t="n">
        <v>46326</v>
      </c>
      <c r="F11051" t="inlineStr">
        <is>
          <t>GÄVLEBORGS LÄN</t>
        </is>
      </c>
      <c r="G11051" t="inlineStr">
        <is>
          <t>OVANÅKER</t>
        </is>
      </c>
      <c r="H11051" t="inlineStr">
        <is>
          <t>Bergvik skog väst AB</t>
        </is>
      </c>
      <c r="I11051" t="n">
        <v>11.1</v>
      </c>
      <c r="J11051" t="n">
        <v>0</v>
      </c>
      <c r="K11051" t="n">
        <v>0</v>
      </c>
      <c r="L11051" t="n">
        <v>0</v>
      </c>
      <c r="M11051" t="n">
        <v>0</v>
      </c>
      <c r="N11051" t="n">
        <v>0</v>
      </c>
      <c r="O11051" t="n">
        <v>0</v>
      </c>
      <c r="P11051" t="n">
        <v>0</v>
      </c>
      <c r="Q11051" t="n">
        <v>0</v>
      </c>
      <c r="R11051" t="n">
        <v>0</v>
      </c>
      <c r="S11051" t="n">
        <v>0</v>
      </c>
      <c r="T11051" t="n">
        <v>0</v>
      </c>
      <c r="U11051" t="n">
        <v>0</v>
      </c>
      <c r="V11051" s="2" t="inlineStr"/>
    </row>
    <row r="11052" ht="15" customHeight="1">
      <c r="A11052" t="inlineStr">
        <is>
          <t>A 38308-2026</t>
        </is>
      </c>
      <c r="B11052" t="inlineStr">
        <is>
          <t>avverkningsanmälan</t>
        </is>
      </c>
      <c r="C11052" t="inlineStr">
        <is>
          <t>Föryngringsavverkning</t>
        </is>
      </c>
      <c r="D11052" s="1" t="n">
        <v>46282</v>
      </c>
      <c r="E11052" s="1" t="n">
        <v>46326</v>
      </c>
      <c r="F11052" t="inlineStr">
        <is>
          <t>GÄVLEBORGS LÄN</t>
        </is>
      </c>
      <c r="G11052" t="inlineStr">
        <is>
          <t>HUDIKSVALL</t>
        </is>
      </c>
      <c r="I11052" t="n">
        <v>3.9</v>
      </c>
      <c r="J11052" t="n">
        <v>0</v>
      </c>
      <c r="K11052" t="n">
        <v>0</v>
      </c>
      <c r="L11052" t="n">
        <v>0</v>
      </c>
      <c r="M11052" t="n">
        <v>0</v>
      </c>
      <c r="N11052" t="n">
        <v>0</v>
      </c>
      <c r="O11052" t="n">
        <v>0</v>
      </c>
      <c r="P11052" t="n">
        <v>0</v>
      </c>
      <c r="Q11052" t="n">
        <v>0</v>
      </c>
      <c r="R11052" t="n">
        <v>0</v>
      </c>
      <c r="S11052" t="n">
        <v>0</v>
      </c>
      <c r="T11052" t="n">
        <v>0</v>
      </c>
      <c r="U11052" t="n">
        <v>0</v>
      </c>
      <c r="V11052" s="2" t="inlineStr"/>
    </row>
    <row r="11053" ht="15" customHeight="1">
      <c r="A11053" t="inlineStr">
        <is>
          <t>A 38524-2026</t>
        </is>
      </c>
      <c r="B11053" t="inlineStr">
        <is>
          <t>avverkningsanmälan</t>
        </is>
      </c>
      <c r="C11053" t="inlineStr">
        <is>
          <t>Föryngringsavverkning</t>
        </is>
      </c>
      <c r="D11053" s="1" t="n">
        <v>46283</v>
      </c>
      <c r="E11053" s="1" t="n">
        <v>46326</v>
      </c>
      <c r="F11053" t="inlineStr">
        <is>
          <t>GÄVLEBORGS LÄN</t>
        </is>
      </c>
      <c r="G11053" t="inlineStr">
        <is>
          <t>GÄVLE</t>
        </is>
      </c>
      <c r="H11053" t="inlineStr">
        <is>
          <t>Bergvik skog väst AB</t>
        </is>
      </c>
      <c r="I11053" t="n">
        <v>1.2</v>
      </c>
      <c r="J11053" t="n">
        <v>0</v>
      </c>
      <c r="K11053" t="n">
        <v>0</v>
      </c>
      <c r="L11053" t="n">
        <v>0</v>
      </c>
      <c r="M11053" t="n">
        <v>0</v>
      </c>
      <c r="N11053" t="n">
        <v>0</v>
      </c>
      <c r="O11053" t="n">
        <v>0</v>
      </c>
      <c r="P11053" t="n">
        <v>0</v>
      </c>
      <c r="Q11053" t="n">
        <v>0</v>
      </c>
      <c r="R11053" t="n">
        <v>0</v>
      </c>
      <c r="S11053" t="n">
        <v>0</v>
      </c>
      <c r="T11053" t="n">
        <v>0</v>
      </c>
      <c r="U11053" t="n">
        <v>0</v>
      </c>
      <c r="V11053" s="2" t="inlineStr"/>
    </row>
    <row r="11054" ht="15" customHeight="1">
      <c r="A11054" t="inlineStr">
        <is>
          <t>A 38371-2026</t>
        </is>
      </c>
      <c r="B11054" t="inlineStr">
        <is>
          <t>avverkningsanmälan</t>
        </is>
      </c>
      <c r="C11054" t="inlineStr">
        <is>
          <t>Föryngringsavverkning</t>
        </is>
      </c>
      <c r="D11054" s="1" t="n">
        <v>46282</v>
      </c>
      <c r="E11054" s="1" t="n">
        <v>46326</v>
      </c>
      <c r="F11054" t="inlineStr">
        <is>
          <t>GÄVLEBORGS LÄN</t>
        </is>
      </c>
      <c r="G11054" t="inlineStr">
        <is>
          <t>OVANÅKER</t>
        </is>
      </c>
      <c r="H11054" t="inlineStr">
        <is>
          <t>Bergvik skog väst AB</t>
        </is>
      </c>
      <c r="I11054" t="n">
        <v>2.6</v>
      </c>
      <c r="J11054" t="n">
        <v>0</v>
      </c>
      <c r="K11054" t="n">
        <v>0</v>
      </c>
      <c r="L11054" t="n">
        <v>0</v>
      </c>
      <c r="M11054" t="n">
        <v>0</v>
      </c>
      <c r="N11054" t="n">
        <v>0</v>
      </c>
      <c r="O11054" t="n">
        <v>0</v>
      </c>
      <c r="P11054" t="n">
        <v>0</v>
      </c>
      <c r="Q11054" t="n">
        <v>0</v>
      </c>
      <c r="R11054" t="n">
        <v>0</v>
      </c>
      <c r="S11054" t="n">
        <v>0</v>
      </c>
      <c r="T11054" t="n">
        <v>0</v>
      </c>
      <c r="U11054" t="n">
        <v>0</v>
      </c>
      <c r="V11054" s="2" t="inlineStr"/>
    </row>
    <row r="11055" ht="15" customHeight="1">
      <c r="A11055" t="inlineStr">
        <is>
          <t>A 38388-2026</t>
        </is>
      </c>
      <c r="B11055" t="inlineStr">
        <is>
          <t>avverkningsanmälan</t>
        </is>
      </c>
      <c r="C11055" t="inlineStr">
        <is>
          <t>Föryngringsavverkning</t>
        </is>
      </c>
      <c r="D11055" s="1" t="n">
        <v>46282</v>
      </c>
      <c r="E11055" s="1" t="n">
        <v>46326</v>
      </c>
      <c r="F11055" t="inlineStr">
        <is>
          <t>GÄVLEBORGS LÄN</t>
        </is>
      </c>
      <c r="G11055" t="inlineStr">
        <is>
          <t>HUDIKSVALL</t>
        </is>
      </c>
      <c r="I11055" t="n">
        <v>3.1</v>
      </c>
      <c r="J11055" t="n">
        <v>0</v>
      </c>
      <c r="K11055" t="n">
        <v>0</v>
      </c>
      <c r="L11055" t="n">
        <v>0</v>
      </c>
      <c r="M11055" t="n">
        <v>0</v>
      </c>
      <c r="N11055" t="n">
        <v>0</v>
      </c>
      <c r="O11055" t="n">
        <v>0</v>
      </c>
      <c r="P11055" t="n">
        <v>0</v>
      </c>
      <c r="Q11055" t="n">
        <v>0</v>
      </c>
      <c r="R11055" t="n">
        <v>0</v>
      </c>
      <c r="S11055" t="n">
        <v>0</v>
      </c>
      <c r="T11055" t="n">
        <v>0</v>
      </c>
      <c r="U11055" t="n">
        <v>0</v>
      </c>
      <c r="V11055" s="2" t="inlineStr"/>
    </row>
    <row r="11056" ht="15" customHeight="1">
      <c r="A11056" t="inlineStr">
        <is>
          <t>A 38403-2026</t>
        </is>
      </c>
      <c r="B11056" t="inlineStr">
        <is>
          <t>avverkningsanmälan</t>
        </is>
      </c>
      <c r="C11056" t="inlineStr">
        <is>
          <t>Föryngringsavverkning</t>
        </is>
      </c>
      <c r="D11056" s="1" t="n">
        <v>46282</v>
      </c>
      <c r="E11056" s="1" t="n">
        <v>46326</v>
      </c>
      <c r="F11056" t="inlineStr">
        <is>
          <t>GÄVLEBORGS LÄN</t>
        </is>
      </c>
      <c r="G11056" t="inlineStr">
        <is>
          <t>BOLLNÄS</t>
        </is>
      </c>
      <c r="H11056" t="inlineStr">
        <is>
          <t>Bergvik skog väst AB</t>
        </is>
      </c>
      <c r="I11056" t="n">
        <v>2.2</v>
      </c>
      <c r="J11056" t="n">
        <v>0</v>
      </c>
      <c r="K11056" t="n">
        <v>0</v>
      </c>
      <c r="L11056" t="n">
        <v>0</v>
      </c>
      <c r="M11056" t="n">
        <v>0</v>
      </c>
      <c r="N11056" t="n">
        <v>0</v>
      </c>
      <c r="O11056" t="n">
        <v>0</v>
      </c>
      <c r="P11056" t="n">
        <v>0</v>
      </c>
      <c r="Q11056" t="n">
        <v>0</v>
      </c>
      <c r="R11056" t="n">
        <v>0</v>
      </c>
      <c r="S11056" t="n">
        <v>0</v>
      </c>
      <c r="T11056" t="n">
        <v>0</v>
      </c>
      <c r="U11056" t="n">
        <v>0</v>
      </c>
      <c r="V11056" s="2" t="inlineStr"/>
    </row>
    <row r="11057" ht="15" customHeight="1">
      <c r="A11057" t="inlineStr">
        <is>
          <t>A 38706-2026</t>
        </is>
      </c>
      <c r="B11057" t="inlineStr">
        <is>
          <t>avverkningsanmälan</t>
        </is>
      </c>
      <c r="C11057" t="inlineStr">
        <is>
          <t>Föryngringsavverkning</t>
        </is>
      </c>
      <c r="D11057" s="1" t="n">
        <v>46283</v>
      </c>
      <c r="E11057" s="1" t="n">
        <v>46326</v>
      </c>
      <c r="F11057" t="inlineStr">
        <is>
          <t>GÄVLEBORGS LÄN</t>
        </is>
      </c>
      <c r="G11057" t="inlineStr">
        <is>
          <t>LJUSDAL</t>
        </is>
      </c>
      <c r="I11057" t="n">
        <v>3.4</v>
      </c>
      <c r="J11057" t="n">
        <v>0</v>
      </c>
      <c r="K11057" t="n">
        <v>0</v>
      </c>
      <c r="L11057" t="n">
        <v>0</v>
      </c>
      <c r="M11057" t="n">
        <v>0</v>
      </c>
      <c r="N11057" t="n">
        <v>0</v>
      </c>
      <c r="O11057" t="n">
        <v>0</v>
      </c>
      <c r="P11057" t="n">
        <v>0</v>
      </c>
      <c r="Q11057" t="n">
        <v>0</v>
      </c>
      <c r="R11057" t="n">
        <v>0</v>
      </c>
      <c r="S11057" t="n">
        <v>0</v>
      </c>
      <c r="T11057" t="n">
        <v>0</v>
      </c>
      <c r="U11057" t="n">
        <v>0</v>
      </c>
      <c r="V11057" s="2" t="inlineStr"/>
    </row>
    <row r="11058" ht="15" customHeight="1">
      <c r="A11058" t="inlineStr">
        <is>
          <t>A 38447-2026</t>
        </is>
      </c>
      <c r="B11058" t="inlineStr">
        <is>
          <t>avverkningsanmälan</t>
        </is>
      </c>
      <c r="C11058" t="inlineStr">
        <is>
          <t>Föryngringsavverkning</t>
        </is>
      </c>
      <c r="D11058" s="1" t="n">
        <v>46282</v>
      </c>
      <c r="E11058" s="1" t="n">
        <v>46326</v>
      </c>
      <c r="F11058" t="inlineStr">
        <is>
          <t>GÄVLEBORGS LÄN</t>
        </is>
      </c>
      <c r="G11058" t="inlineStr">
        <is>
          <t>HUDIKSVALL</t>
        </is>
      </c>
      <c r="I11058" t="n">
        <v>2.9</v>
      </c>
      <c r="J11058" t="n">
        <v>0</v>
      </c>
      <c r="K11058" t="n">
        <v>0</v>
      </c>
      <c r="L11058" t="n">
        <v>0</v>
      </c>
      <c r="M11058" t="n">
        <v>0</v>
      </c>
      <c r="N11058" t="n">
        <v>0</v>
      </c>
      <c r="O11058" t="n">
        <v>0</v>
      </c>
      <c r="P11058" t="n">
        <v>0</v>
      </c>
      <c r="Q11058" t="n">
        <v>0</v>
      </c>
      <c r="R11058" t="n">
        <v>0</v>
      </c>
      <c r="S11058" t="n">
        <v>0</v>
      </c>
      <c r="T11058" t="n">
        <v>0</v>
      </c>
      <c r="U11058" t="n">
        <v>0</v>
      </c>
      <c r="V11058" s="2" t="inlineStr"/>
    </row>
    <row r="11059" ht="15" customHeight="1">
      <c r="A11059" t="inlineStr">
        <is>
          <t>A 38125-2026</t>
        </is>
      </c>
      <c r="B11059" t="inlineStr">
        <is>
          <t>avverkningsanmälan</t>
        </is>
      </c>
      <c r="C11059" t="inlineStr">
        <is>
          <t>Föryngringsavverkning</t>
        </is>
      </c>
      <c r="D11059" s="1" t="n">
        <v>46281</v>
      </c>
      <c r="E11059" s="1" t="n">
        <v>46326</v>
      </c>
      <c r="F11059" t="inlineStr">
        <is>
          <t>GÄVLEBORGS LÄN</t>
        </is>
      </c>
      <c r="G11059" t="inlineStr">
        <is>
          <t>BOLLNÄS</t>
        </is>
      </c>
      <c r="I11059" t="n">
        <v>0.9</v>
      </c>
      <c r="J11059" t="n">
        <v>0</v>
      </c>
      <c r="K11059" t="n">
        <v>0</v>
      </c>
      <c r="L11059" t="n">
        <v>0</v>
      </c>
      <c r="M11059" t="n">
        <v>0</v>
      </c>
      <c r="N11059" t="n">
        <v>0</v>
      </c>
      <c r="O11059" t="n">
        <v>0</v>
      </c>
      <c r="P11059" t="n">
        <v>0</v>
      </c>
      <c r="Q11059" t="n">
        <v>0</v>
      </c>
      <c r="R11059" t="n">
        <v>0</v>
      </c>
      <c r="S11059" t="n">
        <v>0</v>
      </c>
      <c r="T11059" t="n">
        <v>0</v>
      </c>
      <c r="U11059" t="n">
        <v>0</v>
      </c>
      <c r="V11059" s="2" t="inlineStr"/>
    </row>
    <row r="11060" ht="15" customHeight="1">
      <c r="A11060" t="inlineStr">
        <is>
          <t>A 38268-2026</t>
        </is>
      </c>
      <c r="B11060" t="inlineStr">
        <is>
          <t>avverkningsanmälan</t>
        </is>
      </c>
      <c r="C11060" t="inlineStr">
        <is>
          <t>Föryngringsavverkning</t>
        </is>
      </c>
      <c r="D11060" s="1" t="n">
        <v>46281</v>
      </c>
      <c r="E11060" s="1" t="n">
        <v>46326</v>
      </c>
      <c r="F11060" t="inlineStr">
        <is>
          <t>GÄVLEBORGS LÄN</t>
        </is>
      </c>
      <c r="G11060" t="inlineStr">
        <is>
          <t>OVANÅKER</t>
        </is>
      </c>
      <c r="H11060" t="inlineStr">
        <is>
          <t>Sveaskog</t>
        </is>
      </c>
      <c r="I11060" t="n">
        <v>2.9</v>
      </c>
      <c r="J11060" t="n">
        <v>0</v>
      </c>
      <c r="K11060" t="n">
        <v>0</v>
      </c>
      <c r="L11060" t="n">
        <v>0</v>
      </c>
      <c r="M11060" t="n">
        <v>0</v>
      </c>
      <c r="N11060" t="n">
        <v>0</v>
      </c>
      <c r="O11060" t="n">
        <v>0</v>
      </c>
      <c r="P11060" t="n">
        <v>0</v>
      </c>
      <c r="Q11060" t="n">
        <v>0</v>
      </c>
      <c r="R11060" t="n">
        <v>0</v>
      </c>
      <c r="S11060" t="n">
        <v>0</v>
      </c>
      <c r="T11060" t="n">
        <v>0</v>
      </c>
      <c r="U11060" t="n">
        <v>0</v>
      </c>
      <c r="V11060" s="2" t="inlineStr"/>
    </row>
    <row r="11061" ht="15" customHeight="1">
      <c r="A11061" t="inlineStr">
        <is>
          <t>A 45038-2026</t>
        </is>
      </c>
      <c r="B11061" t="inlineStr">
        <is>
          <t>avverkningsanmälan</t>
        </is>
      </c>
      <c r="C11061" t="inlineStr">
        <is>
          <t>Föryngringsavverkning</t>
        </is>
      </c>
      <c r="D11061" s="1" t="n">
        <v>46324</v>
      </c>
      <c r="E11061" s="1" t="n">
        <v>46326</v>
      </c>
      <c r="F11061" t="inlineStr">
        <is>
          <t>GÄVLEBORGS LÄN</t>
        </is>
      </c>
      <c r="G11061" t="inlineStr">
        <is>
          <t>SÖDERHAMN</t>
        </is>
      </c>
      <c r="I11061" t="n">
        <v>3</v>
      </c>
      <c r="J11061" t="n">
        <v>0</v>
      </c>
      <c r="K11061" t="n">
        <v>0</v>
      </c>
      <c r="L11061" t="n">
        <v>0</v>
      </c>
      <c r="M11061" t="n">
        <v>0</v>
      </c>
      <c r="N11061" t="n">
        <v>0</v>
      </c>
      <c r="O11061" t="n">
        <v>0</v>
      </c>
      <c r="P11061" t="n">
        <v>0</v>
      </c>
      <c r="Q11061" t="n">
        <v>0</v>
      </c>
      <c r="R11061" t="n">
        <v>0</v>
      </c>
      <c r="S11061" t="n">
        <v>0</v>
      </c>
      <c r="T11061" t="n">
        <v>0</v>
      </c>
      <c r="U11061" t="n">
        <v>0</v>
      </c>
      <c r="V11061" s="2" t="inlineStr"/>
    </row>
    <row r="11062" ht="15" customHeight="1">
      <c r="A11062" t="inlineStr">
        <is>
          <t>A 45193-2026</t>
        </is>
      </c>
      <c r="B11062" t="inlineStr">
        <is>
          <t>avverkningsanmälan</t>
        </is>
      </c>
      <c r="C11062" t="inlineStr">
        <is>
          <t>Föryngringsavverkning</t>
        </is>
      </c>
      <c r="D11062" s="1" t="n">
        <v>46325</v>
      </c>
      <c r="E11062" s="1" t="n">
        <v>46326</v>
      </c>
      <c r="F11062" t="inlineStr">
        <is>
          <t>GÄVLEBORGS LÄN</t>
        </is>
      </c>
      <c r="G11062" t="inlineStr">
        <is>
          <t>SANDVIKEN</t>
        </is>
      </c>
      <c r="I11062" t="n">
        <v>1.7</v>
      </c>
      <c r="J11062" t="n">
        <v>0</v>
      </c>
      <c r="K11062" t="n">
        <v>0</v>
      </c>
      <c r="L11062" t="n">
        <v>0</v>
      </c>
      <c r="M11062" t="n">
        <v>0</v>
      </c>
      <c r="N11062" t="n">
        <v>0</v>
      </c>
      <c r="O11062" t="n">
        <v>0</v>
      </c>
      <c r="P11062" t="n">
        <v>0</v>
      </c>
      <c r="Q11062" t="n">
        <v>0</v>
      </c>
      <c r="R11062" t="n">
        <v>0</v>
      </c>
      <c r="S11062" t="n">
        <v>0</v>
      </c>
      <c r="T11062" t="n">
        <v>0</v>
      </c>
      <c r="U11062" t="n">
        <v>0</v>
      </c>
      <c r="V11062" s="2" t="inlineStr"/>
    </row>
    <row r="11063" ht="15" customHeight="1">
      <c r="A11063" t="inlineStr">
        <is>
          <t>A 45228-2026</t>
        </is>
      </c>
      <c r="B11063" t="inlineStr">
        <is>
          <t>avverkningsanmälan</t>
        </is>
      </c>
      <c r="C11063" t="inlineStr">
        <is>
          <t>Föryngringsavverkning</t>
        </is>
      </c>
      <c r="D11063" s="1" t="n">
        <v>46325</v>
      </c>
      <c r="E11063" s="1" t="n">
        <v>46326</v>
      </c>
      <c r="F11063" t="inlineStr">
        <is>
          <t>GÄVLEBORGS LÄN</t>
        </is>
      </c>
      <c r="G11063" t="inlineStr">
        <is>
          <t>HUDIKSVALL</t>
        </is>
      </c>
      <c r="I11063" t="n">
        <v>6.7</v>
      </c>
      <c r="J11063" t="n">
        <v>0</v>
      </c>
      <c r="K11063" t="n">
        <v>0</v>
      </c>
      <c r="L11063" t="n">
        <v>0</v>
      </c>
      <c r="M11063" t="n">
        <v>0</v>
      </c>
      <c r="N11063" t="n">
        <v>0</v>
      </c>
      <c r="O11063" t="n">
        <v>0</v>
      </c>
      <c r="P11063" t="n">
        <v>0</v>
      </c>
      <c r="Q11063" t="n">
        <v>0</v>
      </c>
      <c r="R11063" t="n">
        <v>0</v>
      </c>
      <c r="S11063" t="n">
        <v>0</v>
      </c>
      <c r="T11063" t="n">
        <v>0</v>
      </c>
      <c r="U11063" t="n">
        <v>0</v>
      </c>
      <c r="V11063" s="2" t="inlineStr"/>
    </row>
    <row r="11064" ht="15" customHeight="1">
      <c r="A11064" t="inlineStr">
        <is>
          <t>A 38385-2026</t>
        </is>
      </c>
      <c r="B11064" t="inlineStr">
        <is>
          <t>avverkningsanmälan</t>
        </is>
      </c>
      <c r="C11064" t="inlineStr">
        <is>
          <t>Föryngringsavverkning</t>
        </is>
      </c>
      <c r="D11064" s="1" t="n">
        <v>46282</v>
      </c>
      <c r="E11064" s="1" t="n">
        <v>46326</v>
      </c>
      <c r="F11064" t="inlineStr">
        <is>
          <t>GÄVLEBORGS LÄN</t>
        </is>
      </c>
      <c r="G11064" t="inlineStr">
        <is>
          <t>HUDIKSVALL</t>
        </is>
      </c>
      <c r="I11064" t="n">
        <v>3.8</v>
      </c>
      <c r="J11064" t="n">
        <v>0</v>
      </c>
      <c r="K11064" t="n">
        <v>0</v>
      </c>
      <c r="L11064" t="n">
        <v>0</v>
      </c>
      <c r="M11064" t="n">
        <v>0</v>
      </c>
      <c r="N11064" t="n">
        <v>0</v>
      </c>
      <c r="O11064" t="n">
        <v>0</v>
      </c>
      <c r="P11064" t="n">
        <v>0</v>
      </c>
      <c r="Q11064" t="n">
        <v>0</v>
      </c>
      <c r="R11064" t="n">
        <v>0</v>
      </c>
      <c r="S11064" t="n">
        <v>0</v>
      </c>
      <c r="T11064" t="n">
        <v>0</v>
      </c>
      <c r="U11064" t="n">
        <v>0</v>
      </c>
      <c r="V11064" s="2" t="inlineStr"/>
    </row>
    <row r="11065" ht="15" customHeight="1">
      <c r="A11065" t="inlineStr">
        <is>
          <t>A 38443-2026</t>
        </is>
      </c>
      <c r="B11065" t="inlineStr">
        <is>
          <t>avverkningsanmälan</t>
        </is>
      </c>
      <c r="C11065" t="inlineStr">
        <is>
          <t>Föryngringsavverkning</t>
        </is>
      </c>
      <c r="D11065" s="1" t="n">
        <v>46282</v>
      </c>
      <c r="E11065" s="1" t="n">
        <v>46326</v>
      </c>
      <c r="F11065" t="inlineStr">
        <is>
          <t>GÄVLEBORGS LÄN</t>
        </is>
      </c>
      <c r="G11065" t="inlineStr">
        <is>
          <t>HUDIKSVALL</t>
        </is>
      </c>
      <c r="H11065" t="inlineStr">
        <is>
          <t>Sveaskog</t>
        </is>
      </c>
      <c r="I11065" t="n">
        <v>18</v>
      </c>
      <c r="J11065" t="n">
        <v>0</v>
      </c>
      <c r="K11065" t="n">
        <v>0</v>
      </c>
      <c r="L11065" t="n">
        <v>0</v>
      </c>
      <c r="M11065" t="n">
        <v>0</v>
      </c>
      <c r="N11065" t="n">
        <v>0</v>
      </c>
      <c r="O11065" t="n">
        <v>0</v>
      </c>
      <c r="P11065" t="n">
        <v>0</v>
      </c>
      <c r="Q11065" t="n">
        <v>0</v>
      </c>
      <c r="R11065" t="n">
        <v>0</v>
      </c>
      <c r="S11065" t="n">
        <v>0</v>
      </c>
      <c r="T11065" t="n">
        <v>0</v>
      </c>
      <c r="U11065" t="n">
        <v>0</v>
      </c>
      <c r="V11065" s="2" t="inlineStr"/>
    </row>
    <row r="11066" ht="15" customHeight="1">
      <c r="A11066" t="inlineStr">
        <is>
          <t>A 38548-2026</t>
        </is>
      </c>
      <c r="B11066" t="inlineStr">
        <is>
          <t>avverkningsanmälan</t>
        </is>
      </c>
      <c r="C11066" t="inlineStr">
        <is>
          <t>Föryngringsavverkning</t>
        </is>
      </c>
      <c r="D11066" s="1" t="n">
        <v>46283</v>
      </c>
      <c r="E11066" s="1" t="n">
        <v>46326</v>
      </c>
      <c r="F11066" t="inlineStr">
        <is>
          <t>GÄVLEBORGS LÄN</t>
        </is>
      </c>
      <c r="G11066" t="inlineStr">
        <is>
          <t>NORDANSTIG</t>
        </is>
      </c>
      <c r="I11066" t="n">
        <v>0.7</v>
      </c>
      <c r="J11066" t="n">
        <v>0</v>
      </c>
      <c r="K11066" t="n">
        <v>0</v>
      </c>
      <c r="L11066" t="n">
        <v>0</v>
      </c>
      <c r="M11066" t="n">
        <v>0</v>
      </c>
      <c r="N11066" t="n">
        <v>0</v>
      </c>
      <c r="O11066" t="n">
        <v>0</v>
      </c>
      <c r="P11066" t="n">
        <v>0</v>
      </c>
      <c r="Q11066" t="n">
        <v>0</v>
      </c>
      <c r="R11066" t="n">
        <v>0</v>
      </c>
      <c r="S11066" t="n">
        <v>0</v>
      </c>
      <c r="T11066" t="n">
        <v>0</v>
      </c>
      <c r="U11066" t="n">
        <v>0</v>
      </c>
      <c r="V11066" s="2" t="inlineStr"/>
    </row>
    <row r="11067" ht="15" customHeight="1">
      <c r="A11067" t="inlineStr">
        <is>
          <t>A 3793-2026</t>
        </is>
      </c>
      <c r="B11067" t="inlineStr">
        <is>
          <t>avverkningsanmälan</t>
        </is>
      </c>
      <c r="C11067" t="inlineStr">
        <is>
          <t>Föryngringsavverkning</t>
        </is>
      </c>
      <c r="D11067" s="1" t="n">
        <v>46043</v>
      </c>
      <c r="E11067" s="1" t="n">
        <v>46326</v>
      </c>
      <c r="F11067" t="inlineStr">
        <is>
          <t>GÄVLEBORGS LÄN</t>
        </is>
      </c>
      <c r="G11067" t="inlineStr">
        <is>
          <t>SÖDERHAMN</t>
        </is>
      </c>
      <c r="I11067" t="n">
        <v>20.9</v>
      </c>
      <c r="J11067" t="n">
        <v>0</v>
      </c>
      <c r="K11067" t="n">
        <v>0</v>
      </c>
      <c r="L11067" t="n">
        <v>0</v>
      </c>
      <c r="M11067" t="n">
        <v>0</v>
      </c>
      <c r="N11067" t="n">
        <v>0</v>
      </c>
      <c r="O11067" t="n">
        <v>0</v>
      </c>
      <c r="P11067" t="n">
        <v>0</v>
      </c>
      <c r="Q11067" t="n">
        <v>0</v>
      </c>
      <c r="R11067" t="n">
        <v>0</v>
      </c>
      <c r="S11067" t="n">
        <v>0</v>
      </c>
      <c r="T11067" t="n">
        <v>0</v>
      </c>
      <c r="U11067" t="n">
        <v>0</v>
      </c>
      <c r="V11067" s="2" t="inlineStr"/>
    </row>
    <row r="11068" ht="15" customHeight="1">
      <c r="A11068" t="inlineStr">
        <is>
          <t>A 38610-2026</t>
        </is>
      </c>
      <c r="B11068" t="inlineStr">
        <is>
          <t>avverkningsanmälan</t>
        </is>
      </c>
      <c r="C11068" t="inlineStr">
        <is>
          <t>Föryngringsavverkning</t>
        </is>
      </c>
      <c r="D11068" s="1" t="n">
        <v>46283</v>
      </c>
      <c r="E11068" s="1" t="n">
        <v>46326</v>
      </c>
      <c r="F11068" t="inlineStr">
        <is>
          <t>GÄVLEBORGS LÄN</t>
        </is>
      </c>
      <c r="G11068" t="inlineStr">
        <is>
          <t>BOLLNÄS</t>
        </is>
      </c>
      <c r="H11068" t="inlineStr">
        <is>
          <t>Sveaskog</t>
        </is>
      </c>
      <c r="I11068" t="n">
        <v>1.6</v>
      </c>
      <c r="J11068" t="n">
        <v>0</v>
      </c>
      <c r="K11068" t="n">
        <v>0</v>
      </c>
      <c r="L11068" t="n">
        <v>0</v>
      </c>
      <c r="M11068" t="n">
        <v>0</v>
      </c>
      <c r="N11068" t="n">
        <v>0</v>
      </c>
      <c r="O11068" t="n">
        <v>0</v>
      </c>
      <c r="P11068" t="n">
        <v>0</v>
      </c>
      <c r="Q11068" t="n">
        <v>0</v>
      </c>
      <c r="R11068" t="n">
        <v>0</v>
      </c>
      <c r="S11068" t="n">
        <v>0</v>
      </c>
      <c r="T11068" t="n">
        <v>0</v>
      </c>
      <c r="U11068" t="n">
        <v>0</v>
      </c>
      <c r="V11068" s="2" t="inlineStr"/>
    </row>
    <row r="11069" ht="15" customHeight="1">
      <c r="A11069" t="inlineStr">
        <is>
          <t>A 38386-2026</t>
        </is>
      </c>
      <c r="B11069" t="inlineStr">
        <is>
          <t>avverkningsanmälan</t>
        </is>
      </c>
      <c r="C11069" t="inlineStr">
        <is>
          <t>Föryngringsavverkning</t>
        </is>
      </c>
      <c r="D11069" s="1" t="n">
        <v>46282</v>
      </c>
      <c r="E11069" s="1" t="n">
        <v>46326</v>
      </c>
      <c r="F11069" t="inlineStr">
        <is>
          <t>GÄVLEBORGS LÄN</t>
        </is>
      </c>
      <c r="G11069" t="inlineStr">
        <is>
          <t>GÄVLE</t>
        </is>
      </c>
      <c r="H11069" t="inlineStr">
        <is>
          <t>Bergvik skog öst AB</t>
        </is>
      </c>
      <c r="I11069" t="n">
        <v>1.9</v>
      </c>
      <c r="J11069" t="n">
        <v>0</v>
      </c>
      <c r="K11069" t="n">
        <v>0</v>
      </c>
      <c r="L11069" t="n">
        <v>0</v>
      </c>
      <c r="M11069" t="n">
        <v>0</v>
      </c>
      <c r="N11069" t="n">
        <v>0</v>
      </c>
      <c r="O11069" t="n">
        <v>0</v>
      </c>
      <c r="P11069" t="n">
        <v>0</v>
      </c>
      <c r="Q11069" t="n">
        <v>0</v>
      </c>
      <c r="R11069" t="n">
        <v>0</v>
      </c>
      <c r="S11069" t="n">
        <v>0</v>
      </c>
      <c r="T11069" t="n">
        <v>0</v>
      </c>
      <c r="U11069" t="n">
        <v>0</v>
      </c>
      <c r="V11069" s="2" t="inlineStr"/>
    </row>
    <row r="11070" ht="15" customHeight="1">
      <c r="A11070" t="inlineStr">
        <is>
          <t>A 45085-2026</t>
        </is>
      </c>
      <c r="B11070" t="inlineStr">
        <is>
          <t>avverkningsanmälan</t>
        </is>
      </c>
      <c r="C11070" t="inlineStr">
        <is>
          <t>Föryngringsavverkning</t>
        </is>
      </c>
      <c r="D11070" s="1" t="n">
        <v>46324</v>
      </c>
      <c r="E11070" s="1" t="n">
        <v>46326</v>
      </c>
      <c r="F11070" t="inlineStr">
        <is>
          <t>GÄVLEBORGS LÄN</t>
        </is>
      </c>
      <c r="G11070" t="inlineStr">
        <is>
          <t>GÄVLE</t>
        </is>
      </c>
      <c r="H11070" t="inlineStr">
        <is>
          <t>Bergvik skog öst AB</t>
        </is>
      </c>
      <c r="I11070" t="n">
        <v>5.5</v>
      </c>
      <c r="J11070" t="n">
        <v>0</v>
      </c>
      <c r="K11070" t="n">
        <v>0</v>
      </c>
      <c r="L11070" t="n">
        <v>0</v>
      </c>
      <c r="M11070" t="n">
        <v>0</v>
      </c>
      <c r="N11070" t="n">
        <v>0</v>
      </c>
      <c r="O11070" t="n">
        <v>0</v>
      </c>
      <c r="P11070" t="n">
        <v>0</v>
      </c>
      <c r="Q11070" t="n">
        <v>0</v>
      </c>
      <c r="R11070" t="n">
        <v>0</v>
      </c>
      <c r="S11070" t="n">
        <v>0</v>
      </c>
      <c r="T11070" t="n">
        <v>0</v>
      </c>
      <c r="U11070" t="n">
        <v>0</v>
      </c>
      <c r="V11070" s="2" t="inlineStr"/>
    </row>
    <row r="11071" ht="15" customHeight="1">
      <c r="A11071" t="inlineStr">
        <is>
          <t>A 38711-2026</t>
        </is>
      </c>
      <c r="B11071" t="inlineStr">
        <is>
          <t>avverkningsanmälan</t>
        </is>
      </c>
      <c r="C11071" t="inlineStr">
        <is>
          <t>Avverkning för annat ändamål</t>
        </is>
      </c>
      <c r="D11071" s="1" t="n">
        <v>46283</v>
      </c>
      <c r="E11071" s="1" t="n">
        <v>46326</v>
      </c>
      <c r="F11071" t="inlineStr">
        <is>
          <t>GÄVLEBORGS LÄN</t>
        </is>
      </c>
      <c r="G11071" t="inlineStr">
        <is>
          <t>OVANÅKER</t>
        </is>
      </c>
      <c r="I11071" t="n">
        <v>0.6</v>
      </c>
      <c r="J11071" t="n">
        <v>0</v>
      </c>
      <c r="K11071" t="n">
        <v>0</v>
      </c>
      <c r="L11071" t="n">
        <v>0</v>
      </c>
      <c r="M11071" t="n">
        <v>0</v>
      </c>
      <c r="N11071" t="n">
        <v>0</v>
      </c>
      <c r="O11071" t="n">
        <v>0</v>
      </c>
      <c r="P11071" t="n">
        <v>0</v>
      </c>
      <c r="Q11071" t="n">
        <v>0</v>
      </c>
      <c r="R11071" t="n">
        <v>0</v>
      </c>
      <c r="S11071" t="n">
        <v>0</v>
      </c>
      <c r="T11071" t="n">
        <v>0</v>
      </c>
      <c r="U11071" t="n">
        <v>0</v>
      </c>
      <c r="V11071" s="2" t="inlineStr"/>
    </row>
    <row r="11072" ht="15" customHeight="1">
      <c r="A11072" t="inlineStr">
        <is>
          <t>A 38130-2026</t>
        </is>
      </c>
      <c r="B11072" t="inlineStr">
        <is>
          <t>avverkningsanmälan</t>
        </is>
      </c>
      <c r="C11072" t="inlineStr">
        <is>
          <t>Föryngringsavverkning</t>
        </is>
      </c>
      <c r="D11072" s="1" t="n">
        <v>46281</v>
      </c>
      <c r="E11072" s="1" t="n">
        <v>46326</v>
      </c>
      <c r="F11072" t="inlineStr">
        <is>
          <t>GÄVLEBORGS LÄN</t>
        </is>
      </c>
      <c r="G11072" t="inlineStr">
        <is>
          <t>GÄVLE</t>
        </is>
      </c>
      <c r="H11072" t="inlineStr">
        <is>
          <t>Bergvik skog öst AB</t>
        </is>
      </c>
      <c r="I11072" t="n">
        <v>5.8</v>
      </c>
      <c r="J11072" t="n">
        <v>0</v>
      </c>
      <c r="K11072" t="n">
        <v>0</v>
      </c>
      <c r="L11072" t="n">
        <v>0</v>
      </c>
      <c r="M11072" t="n">
        <v>0</v>
      </c>
      <c r="N11072" t="n">
        <v>0</v>
      </c>
      <c r="O11072" t="n">
        <v>0</v>
      </c>
      <c r="P11072" t="n">
        <v>0</v>
      </c>
      <c r="Q11072" t="n">
        <v>0</v>
      </c>
      <c r="R11072" t="n">
        <v>0</v>
      </c>
      <c r="S11072" t="n">
        <v>0</v>
      </c>
      <c r="T11072" t="n">
        <v>0</v>
      </c>
      <c r="U11072" t="n">
        <v>0</v>
      </c>
      <c r="V11072" s="2" t="inlineStr"/>
    </row>
    <row r="11073" ht="15" customHeight="1">
      <c r="A11073" t="inlineStr">
        <is>
          <t>A 38552-2026</t>
        </is>
      </c>
      <c r="B11073" t="inlineStr">
        <is>
          <t>avverkningsanmälan</t>
        </is>
      </c>
      <c r="C11073" t="inlineStr">
        <is>
          <t>Föryngringsavverkning</t>
        </is>
      </c>
      <c r="D11073" s="1" t="n">
        <v>46283</v>
      </c>
      <c r="E11073" s="1" t="n">
        <v>46326</v>
      </c>
      <c r="F11073" t="inlineStr">
        <is>
          <t>GÄVLEBORGS LÄN</t>
        </is>
      </c>
      <c r="G11073" t="inlineStr">
        <is>
          <t>GÄVLE</t>
        </is>
      </c>
      <c r="H11073" t="inlineStr">
        <is>
          <t>Bergvik skog väst AB</t>
        </is>
      </c>
      <c r="I11073" t="n">
        <v>1.1</v>
      </c>
      <c r="J11073" t="n">
        <v>0</v>
      </c>
      <c r="K11073" t="n">
        <v>0</v>
      </c>
      <c r="L11073" t="n">
        <v>0</v>
      </c>
      <c r="M11073" t="n">
        <v>0</v>
      </c>
      <c r="N11073" t="n">
        <v>0</v>
      </c>
      <c r="O11073" t="n">
        <v>0</v>
      </c>
      <c r="P11073" t="n">
        <v>0</v>
      </c>
      <c r="Q11073" t="n">
        <v>0</v>
      </c>
      <c r="R11073" t="n">
        <v>0</v>
      </c>
      <c r="S11073" t="n">
        <v>0</v>
      </c>
      <c r="T11073" t="n">
        <v>0</v>
      </c>
      <c r="U11073" t="n">
        <v>0</v>
      </c>
      <c r="V11073" s="2" t="inlineStr"/>
    </row>
    <row r="11074" ht="15" customHeight="1">
      <c r="A11074" t="inlineStr">
        <is>
          <t>A 38562-2026</t>
        </is>
      </c>
      <c r="B11074" t="inlineStr">
        <is>
          <t>avverkningsanmälan</t>
        </is>
      </c>
      <c r="C11074" t="inlineStr">
        <is>
          <t>Föryngringsavverkning</t>
        </is>
      </c>
      <c r="D11074" s="1" t="n">
        <v>46283</v>
      </c>
      <c r="E11074" s="1" t="n">
        <v>46326</v>
      </c>
      <c r="F11074" t="inlineStr">
        <is>
          <t>GÄVLEBORGS LÄN</t>
        </is>
      </c>
      <c r="G11074" t="inlineStr">
        <is>
          <t>GÄVLE</t>
        </is>
      </c>
      <c r="H11074" t="inlineStr">
        <is>
          <t>Bergvik skog öst AB</t>
        </is>
      </c>
      <c r="I11074" t="n">
        <v>2.4</v>
      </c>
      <c r="J11074" t="n">
        <v>0</v>
      </c>
      <c r="K11074" t="n">
        <v>0</v>
      </c>
      <c r="L11074" t="n">
        <v>0</v>
      </c>
      <c r="M11074" t="n">
        <v>0</v>
      </c>
      <c r="N11074" t="n">
        <v>0</v>
      </c>
      <c r="O11074" t="n">
        <v>0</v>
      </c>
      <c r="P11074" t="n">
        <v>0</v>
      </c>
      <c r="Q11074" t="n">
        <v>0</v>
      </c>
      <c r="R11074" t="n">
        <v>0</v>
      </c>
      <c r="S11074" t="n">
        <v>0</v>
      </c>
      <c r="T11074" t="n">
        <v>0</v>
      </c>
      <c r="U11074" t="n">
        <v>0</v>
      </c>
      <c r="V11074" s="2" t="inlineStr"/>
    </row>
    <row r="11075" ht="15" customHeight="1">
      <c r="A11075" t="inlineStr">
        <is>
          <t>A 38566-2026</t>
        </is>
      </c>
      <c r="B11075" t="inlineStr">
        <is>
          <t>avverkningsanmälan</t>
        </is>
      </c>
      <c r="C11075" t="inlineStr">
        <is>
          <t>Föryngringsavverkning</t>
        </is>
      </c>
      <c r="D11075" s="1" t="n">
        <v>46283</v>
      </c>
      <c r="E11075" s="1" t="n">
        <v>46326</v>
      </c>
      <c r="F11075" t="inlineStr">
        <is>
          <t>GÄVLEBORGS LÄN</t>
        </is>
      </c>
      <c r="G11075" t="inlineStr">
        <is>
          <t>HUDIKSVALL</t>
        </is>
      </c>
      <c r="H11075" t="inlineStr">
        <is>
          <t>Holmen skog AB</t>
        </is>
      </c>
      <c r="I11075" t="n">
        <v>1.8</v>
      </c>
      <c r="J11075" t="n">
        <v>0</v>
      </c>
      <c r="K11075" t="n">
        <v>0</v>
      </c>
      <c r="L11075" t="n">
        <v>0</v>
      </c>
      <c r="M11075" t="n">
        <v>0</v>
      </c>
      <c r="N11075" t="n">
        <v>0</v>
      </c>
      <c r="O11075" t="n">
        <v>0</v>
      </c>
      <c r="P11075" t="n">
        <v>0</v>
      </c>
      <c r="Q11075" t="n">
        <v>0</v>
      </c>
      <c r="R11075" t="n">
        <v>0</v>
      </c>
      <c r="S11075" t="n">
        <v>0</v>
      </c>
      <c r="T11075" t="n">
        <v>0</v>
      </c>
      <c r="U11075" t="n">
        <v>0</v>
      </c>
      <c r="V11075" s="2" t="inlineStr"/>
    </row>
    <row r="11076" ht="15" customHeight="1">
      <c r="A11076" t="inlineStr">
        <is>
          <t>A 38559-2026</t>
        </is>
      </c>
      <c r="B11076" t="inlineStr">
        <is>
          <t>avverkningsanmälan</t>
        </is>
      </c>
      <c r="C11076" t="inlineStr">
        <is>
          <t>Föryngringsavverkning</t>
        </is>
      </c>
      <c r="D11076" s="1" t="n">
        <v>46283</v>
      </c>
      <c r="E11076" s="1" t="n">
        <v>46326</v>
      </c>
      <c r="F11076" t="inlineStr">
        <is>
          <t>GÄVLEBORGS LÄN</t>
        </is>
      </c>
      <c r="G11076" t="inlineStr">
        <is>
          <t>BOLLNÄS</t>
        </is>
      </c>
      <c r="H11076" t="inlineStr">
        <is>
          <t>Sveaskog</t>
        </is>
      </c>
      <c r="I11076" t="n">
        <v>0.5</v>
      </c>
      <c r="J11076" t="n">
        <v>0</v>
      </c>
      <c r="K11076" t="n">
        <v>0</v>
      </c>
      <c r="L11076" t="n">
        <v>0</v>
      </c>
      <c r="M11076" t="n">
        <v>0</v>
      </c>
      <c r="N11076" t="n">
        <v>0</v>
      </c>
      <c r="O11076" t="n">
        <v>0</v>
      </c>
      <c r="P11076" t="n">
        <v>0</v>
      </c>
      <c r="Q11076" t="n">
        <v>0</v>
      </c>
      <c r="R11076" t="n">
        <v>0</v>
      </c>
      <c r="S11076" t="n">
        <v>0</v>
      </c>
      <c r="T11076" t="n">
        <v>0</v>
      </c>
      <c r="U11076" t="n">
        <v>0</v>
      </c>
      <c r="V11076" s="2" t="inlineStr"/>
    </row>
    <row r="11077" ht="15" customHeight="1">
      <c r="A11077" t="inlineStr">
        <is>
          <t>A 38380-2026</t>
        </is>
      </c>
      <c r="B11077" t="inlineStr">
        <is>
          <t>avverkningsanmälan</t>
        </is>
      </c>
      <c r="C11077" t="inlineStr">
        <is>
          <t>Föryngringsavverkning</t>
        </is>
      </c>
      <c r="D11077" s="1" t="n">
        <v>46282</v>
      </c>
      <c r="E11077" s="1" t="n">
        <v>46326</v>
      </c>
      <c r="F11077" t="inlineStr">
        <is>
          <t>GÄVLEBORGS LÄN</t>
        </is>
      </c>
      <c r="G11077" t="inlineStr">
        <is>
          <t>NORDANSTIG</t>
        </is>
      </c>
      <c r="I11077" t="n">
        <v>3.5</v>
      </c>
      <c r="J11077" t="n">
        <v>0</v>
      </c>
      <c r="K11077" t="n">
        <v>0</v>
      </c>
      <c r="L11077" t="n">
        <v>0</v>
      </c>
      <c r="M11077" t="n">
        <v>0</v>
      </c>
      <c r="N11077" t="n">
        <v>0</v>
      </c>
      <c r="O11077" t="n">
        <v>0</v>
      </c>
      <c r="P11077" t="n">
        <v>0</v>
      </c>
      <c r="Q11077" t="n">
        <v>0</v>
      </c>
      <c r="R11077" t="n">
        <v>0</v>
      </c>
      <c r="S11077" t="n">
        <v>0</v>
      </c>
      <c r="T11077" t="n">
        <v>0</v>
      </c>
      <c r="U11077" t="n">
        <v>0</v>
      </c>
      <c r="V11077" s="2" t="inlineStr"/>
    </row>
    <row r="11078" ht="15" customHeight="1">
      <c r="A11078" t="inlineStr">
        <is>
          <t>A 38602-2026</t>
        </is>
      </c>
      <c r="B11078" t="inlineStr">
        <is>
          <t>avverkningsanmälan</t>
        </is>
      </c>
      <c r="C11078" t="inlineStr">
        <is>
          <t>Föryngringsavverkning</t>
        </is>
      </c>
      <c r="D11078" s="1" t="n">
        <v>46283</v>
      </c>
      <c r="E11078" s="1" t="n">
        <v>46326</v>
      </c>
      <c r="F11078" t="inlineStr">
        <is>
          <t>GÄVLEBORGS LÄN</t>
        </is>
      </c>
      <c r="G11078" t="inlineStr">
        <is>
          <t>HUDIKSVALL</t>
        </is>
      </c>
      <c r="H11078" t="inlineStr">
        <is>
          <t>Holmen skog AB</t>
        </is>
      </c>
      <c r="I11078" t="n">
        <v>1.1</v>
      </c>
      <c r="J11078" t="n">
        <v>0</v>
      </c>
      <c r="K11078" t="n">
        <v>0</v>
      </c>
      <c r="L11078" t="n">
        <v>0</v>
      </c>
      <c r="M11078" t="n">
        <v>0</v>
      </c>
      <c r="N11078" t="n">
        <v>0</v>
      </c>
      <c r="O11078" t="n">
        <v>0</v>
      </c>
      <c r="P11078" t="n">
        <v>0</v>
      </c>
      <c r="Q11078" t="n">
        <v>0</v>
      </c>
      <c r="R11078" t="n">
        <v>0</v>
      </c>
      <c r="S11078" t="n">
        <v>0</v>
      </c>
      <c r="T11078" t="n">
        <v>0</v>
      </c>
      <c r="U11078" t="n">
        <v>0</v>
      </c>
      <c r="V11078" s="2" t="inlineStr"/>
    </row>
    <row r="11079" ht="15" customHeight="1">
      <c r="A11079" t="inlineStr">
        <is>
          <t>A 38616-2026</t>
        </is>
      </c>
      <c r="B11079" t="inlineStr">
        <is>
          <t>avverkningsanmälan</t>
        </is>
      </c>
      <c r="C11079" t="inlineStr">
        <is>
          <t>Föryngringsavverkning</t>
        </is>
      </c>
      <c r="D11079" s="1" t="n">
        <v>46283</v>
      </c>
      <c r="E11079" s="1" t="n">
        <v>46326</v>
      </c>
      <c r="F11079" t="inlineStr">
        <is>
          <t>GÄVLEBORGS LÄN</t>
        </is>
      </c>
      <c r="G11079" t="inlineStr">
        <is>
          <t>HUDIKSVALL</t>
        </is>
      </c>
      <c r="I11079" t="n">
        <v>9.9</v>
      </c>
      <c r="J11079" t="n">
        <v>0</v>
      </c>
      <c r="K11079" t="n">
        <v>0</v>
      </c>
      <c r="L11079" t="n">
        <v>0</v>
      </c>
      <c r="M11079" t="n">
        <v>0</v>
      </c>
      <c r="N11079" t="n">
        <v>0</v>
      </c>
      <c r="O11079" t="n">
        <v>0</v>
      </c>
      <c r="P11079" t="n">
        <v>0</v>
      </c>
      <c r="Q11079" t="n">
        <v>0</v>
      </c>
      <c r="R11079" t="n">
        <v>0</v>
      </c>
      <c r="S11079" t="n">
        <v>0</v>
      </c>
      <c r="T11079" t="n">
        <v>0</v>
      </c>
      <c r="U11079" t="n">
        <v>0</v>
      </c>
      <c r="V11079" s="2" t="inlineStr"/>
    </row>
    <row r="11080" ht="15" customHeight="1">
      <c r="A11080" t="inlineStr">
        <is>
          <t>A 45252-2026</t>
        </is>
      </c>
      <c r="B11080" t="inlineStr">
        <is>
          <t>avverkningsanmälan</t>
        </is>
      </c>
      <c r="C11080" t="inlineStr">
        <is>
          <t>Föryngringsavverkning</t>
        </is>
      </c>
      <c r="D11080" s="1" t="n">
        <v>46325</v>
      </c>
      <c r="E11080" s="1" t="n">
        <v>46326</v>
      </c>
      <c r="F11080" t="inlineStr">
        <is>
          <t>GÄVLEBORGS LÄN</t>
        </is>
      </c>
      <c r="G11080" t="inlineStr">
        <is>
          <t>GÄVLE</t>
        </is>
      </c>
      <c r="H11080" t="inlineStr">
        <is>
          <t>Bergvik skog öst AB</t>
        </is>
      </c>
      <c r="I11080" t="n">
        <v>0.9</v>
      </c>
      <c r="J11080" t="n">
        <v>0</v>
      </c>
      <c r="K11080" t="n">
        <v>0</v>
      </c>
      <c r="L11080" t="n">
        <v>0</v>
      </c>
      <c r="M11080" t="n">
        <v>0</v>
      </c>
      <c r="N11080" t="n">
        <v>0</v>
      </c>
      <c r="O11080" t="n">
        <v>0</v>
      </c>
      <c r="P11080" t="n">
        <v>0</v>
      </c>
      <c r="Q11080" t="n">
        <v>0</v>
      </c>
      <c r="R11080" t="n">
        <v>0</v>
      </c>
      <c r="S11080" t="n">
        <v>0</v>
      </c>
      <c r="T11080" t="n">
        <v>0</v>
      </c>
      <c r="U11080" t="n">
        <v>0</v>
      </c>
      <c r="V11080" s="2" t="inlineStr"/>
    </row>
    <row r="11081" ht="15" customHeight="1">
      <c r="A11081" t="inlineStr">
        <is>
          <t>A 45086-2026</t>
        </is>
      </c>
      <c r="B11081" t="inlineStr">
        <is>
          <t>avverkningsanmälan</t>
        </is>
      </c>
      <c r="C11081" t="inlineStr">
        <is>
          <t>Föryngringsavverkning</t>
        </is>
      </c>
      <c r="D11081" s="1" t="n">
        <v>46324</v>
      </c>
      <c r="E11081" s="1" t="n">
        <v>46326</v>
      </c>
      <c r="F11081" t="inlineStr">
        <is>
          <t>GÄVLEBORGS LÄN</t>
        </is>
      </c>
      <c r="G11081" t="inlineStr">
        <is>
          <t>GÄVLE</t>
        </is>
      </c>
      <c r="H11081" t="inlineStr">
        <is>
          <t>Bergvik skog öst AB</t>
        </is>
      </c>
      <c r="I11081" t="n">
        <v>2.8</v>
      </c>
      <c r="J11081" t="n">
        <v>0</v>
      </c>
      <c r="K11081" t="n">
        <v>0</v>
      </c>
      <c r="L11081" t="n">
        <v>0</v>
      </c>
      <c r="M11081" t="n">
        <v>0</v>
      </c>
      <c r="N11081" t="n">
        <v>0</v>
      </c>
      <c r="O11081" t="n">
        <v>0</v>
      </c>
      <c r="P11081" t="n">
        <v>0</v>
      </c>
      <c r="Q11081" t="n">
        <v>0</v>
      </c>
      <c r="R11081" t="n">
        <v>0</v>
      </c>
      <c r="S11081" t="n">
        <v>0</v>
      </c>
      <c r="T11081" t="n">
        <v>0</v>
      </c>
      <c r="U11081" t="n">
        <v>0</v>
      </c>
      <c r="V11081" s="2" t="inlineStr"/>
    </row>
    <row r="11082" ht="15" customHeight="1">
      <c r="A11082" t="inlineStr">
        <is>
          <t>A 48336-2023</t>
        </is>
      </c>
      <c r="B11082" t="inlineStr">
        <is>
          <t>avverkningsanmälan</t>
        </is>
      </c>
      <c r="C11082" t="inlineStr">
        <is>
          <t>Föryngringsavverkning</t>
        </is>
      </c>
      <c r="D11082" s="1" t="n">
        <v>45205</v>
      </c>
      <c r="E11082" s="1" t="n">
        <v>46326</v>
      </c>
      <c r="F11082" t="inlineStr">
        <is>
          <t>GÄVLEBORGS LÄN</t>
        </is>
      </c>
      <c r="G11082" t="inlineStr">
        <is>
          <t>BOLLNÄS</t>
        </is>
      </c>
      <c r="I11082" t="n">
        <v>6.1</v>
      </c>
      <c r="J11082" t="n">
        <v>0</v>
      </c>
      <c r="K11082" t="n">
        <v>0</v>
      </c>
      <c r="L11082" t="n">
        <v>0</v>
      </c>
      <c r="M11082" t="n">
        <v>0</v>
      </c>
      <c r="N11082" t="n">
        <v>0</v>
      </c>
      <c r="O11082" t="n">
        <v>0</v>
      </c>
      <c r="P11082" t="n">
        <v>0</v>
      </c>
      <c r="Q11082" t="n">
        <v>0</v>
      </c>
      <c r="R11082" t="n">
        <v>0</v>
      </c>
      <c r="S11082" t="n">
        <v>0</v>
      </c>
      <c r="T11082" t="n">
        <v>0</v>
      </c>
      <c r="U11082" t="n">
        <v>0</v>
      </c>
      <c r="V11082" s="2" t="inlineStr"/>
    </row>
    <row r="11083" ht="15" customHeight="1">
      <c r="A11083" t="inlineStr">
        <is>
          <t>A 38334-2026</t>
        </is>
      </c>
      <c r="B11083" t="inlineStr">
        <is>
          <t>avverkningsanmälan</t>
        </is>
      </c>
      <c r="C11083" t="inlineStr">
        <is>
          <t>Föryngringsavverkning</t>
        </is>
      </c>
      <c r="D11083" s="1" t="n">
        <v>46282</v>
      </c>
      <c r="E11083" s="1" t="n">
        <v>46326</v>
      </c>
      <c r="F11083" t="inlineStr">
        <is>
          <t>GÄVLEBORGS LÄN</t>
        </is>
      </c>
      <c r="G11083" t="inlineStr">
        <is>
          <t>GÄVLE</t>
        </is>
      </c>
      <c r="H11083" t="inlineStr">
        <is>
          <t>Bergvik skog öst AB</t>
        </is>
      </c>
      <c r="I11083" t="n">
        <v>2.8</v>
      </c>
      <c r="J11083" t="n">
        <v>0</v>
      </c>
      <c r="K11083" t="n">
        <v>0</v>
      </c>
      <c r="L11083" t="n">
        <v>0</v>
      </c>
      <c r="M11083" t="n">
        <v>0</v>
      </c>
      <c r="N11083" t="n">
        <v>0</v>
      </c>
      <c r="O11083" t="n">
        <v>0</v>
      </c>
      <c r="P11083" t="n">
        <v>0</v>
      </c>
      <c r="Q11083" t="n">
        <v>0</v>
      </c>
      <c r="R11083" t="n">
        <v>0</v>
      </c>
      <c r="S11083" t="n">
        <v>0</v>
      </c>
      <c r="T11083" t="n">
        <v>0</v>
      </c>
      <c r="U11083" t="n">
        <v>0</v>
      </c>
      <c r="V11083" s="2" t="inlineStr"/>
    </row>
    <row r="11084" ht="15" customHeight="1">
      <c r="A11084" t="inlineStr">
        <is>
          <t>A 45308-2026</t>
        </is>
      </c>
      <c r="B11084" t="inlineStr">
        <is>
          <t>avverkningsanmälan</t>
        </is>
      </c>
      <c r="C11084" t="inlineStr">
        <is>
          <t>Föryngringsavverkning</t>
        </is>
      </c>
      <c r="D11084" s="1" t="n">
        <v>46325</v>
      </c>
      <c r="E11084" s="1" t="n">
        <v>46326</v>
      </c>
      <c r="F11084" t="inlineStr">
        <is>
          <t>GÄVLEBORGS LÄN</t>
        </is>
      </c>
      <c r="G11084" t="inlineStr">
        <is>
          <t>OCKELBO</t>
        </is>
      </c>
      <c r="H11084" t="inlineStr">
        <is>
          <t>Bergvik skog väst AB</t>
        </is>
      </c>
      <c r="I11084" t="n">
        <v>6.2</v>
      </c>
      <c r="J11084" t="n">
        <v>0</v>
      </c>
      <c r="K11084" t="n">
        <v>0</v>
      </c>
      <c r="L11084" t="n">
        <v>0</v>
      </c>
      <c r="M11084" t="n">
        <v>0</v>
      </c>
      <c r="N11084" t="n">
        <v>0</v>
      </c>
      <c r="O11084" t="n">
        <v>0</v>
      </c>
      <c r="P11084" t="n">
        <v>0</v>
      </c>
      <c r="Q11084" t="n">
        <v>0</v>
      </c>
      <c r="R11084" t="n">
        <v>0</v>
      </c>
      <c r="S11084" t="n">
        <v>0</v>
      </c>
      <c r="T11084" t="n">
        <v>0</v>
      </c>
      <c r="U11084" t="n">
        <v>0</v>
      </c>
      <c r="V11084" s="2" t="inlineStr"/>
    </row>
    <row r="11085" ht="15" customHeight="1">
      <c r="A11085" t="inlineStr">
        <is>
          <t>A 45005-2026</t>
        </is>
      </c>
      <c r="B11085" t="inlineStr">
        <is>
          <t>avverkningsanmälan</t>
        </is>
      </c>
      <c r="C11085" t="inlineStr">
        <is>
          <t>Föryngringsavverkning</t>
        </is>
      </c>
      <c r="D11085" s="1" t="n">
        <v>46324</v>
      </c>
      <c r="E11085" s="1" t="n">
        <v>46326</v>
      </c>
      <c r="F11085" t="inlineStr">
        <is>
          <t>GÄVLEBORGS LÄN</t>
        </is>
      </c>
      <c r="G11085" t="inlineStr">
        <is>
          <t>OVANÅKER</t>
        </is>
      </c>
      <c r="I11085" t="n">
        <v>9.1</v>
      </c>
      <c r="J11085" t="n">
        <v>0</v>
      </c>
      <c r="K11085" t="n">
        <v>0</v>
      </c>
      <c r="L11085" t="n">
        <v>0</v>
      </c>
      <c r="M11085" t="n">
        <v>0</v>
      </c>
      <c r="N11085" t="n">
        <v>0</v>
      </c>
      <c r="O11085" t="n">
        <v>0</v>
      </c>
      <c r="P11085" t="n">
        <v>0</v>
      </c>
      <c r="Q11085" t="n">
        <v>0</v>
      </c>
      <c r="R11085" t="n">
        <v>0</v>
      </c>
      <c r="S11085" t="n">
        <v>0</v>
      </c>
      <c r="T11085" t="n">
        <v>0</v>
      </c>
      <c r="U11085" t="n">
        <v>0</v>
      </c>
      <c r="V11085" s="2" t="inlineStr"/>
    </row>
    <row r="11086" ht="15" customHeight="1">
      <c r="A11086" t="inlineStr">
        <is>
          <t>A 38173-2026</t>
        </is>
      </c>
      <c r="B11086" t="inlineStr">
        <is>
          <t>avverkningsanmälan</t>
        </is>
      </c>
      <c r="C11086" t="inlineStr">
        <is>
          <t>Föryngringsavverkning</t>
        </is>
      </c>
      <c r="D11086" s="1" t="n">
        <v>46281</v>
      </c>
      <c r="E11086" s="1" t="n">
        <v>46326</v>
      </c>
      <c r="F11086" t="inlineStr">
        <is>
          <t>GÄVLEBORGS LÄN</t>
        </is>
      </c>
      <c r="G11086" t="inlineStr">
        <is>
          <t>HUDIKSVALL</t>
        </is>
      </c>
      <c r="I11086" t="n">
        <v>17.3</v>
      </c>
      <c r="J11086" t="n">
        <v>0</v>
      </c>
      <c r="K11086" t="n">
        <v>0</v>
      </c>
      <c r="L11086" t="n">
        <v>0</v>
      </c>
      <c r="M11086" t="n">
        <v>0</v>
      </c>
      <c r="N11086" t="n">
        <v>0</v>
      </c>
      <c r="O11086" t="n">
        <v>0</v>
      </c>
      <c r="P11086" t="n">
        <v>0</v>
      </c>
      <c r="Q11086" t="n">
        <v>0</v>
      </c>
      <c r="R11086" t="n">
        <v>0</v>
      </c>
      <c r="S11086" t="n">
        <v>0</v>
      </c>
      <c r="T11086" t="n">
        <v>0</v>
      </c>
      <c r="U11086" t="n">
        <v>0</v>
      </c>
      <c r="V11086" s="2" t="inlineStr"/>
    </row>
    <row r="11087" ht="15" customHeight="1">
      <c r="A11087" t="inlineStr">
        <is>
          <t>A 45169-2026</t>
        </is>
      </c>
      <c r="B11087" t="inlineStr">
        <is>
          <t>avverkningsanmälan</t>
        </is>
      </c>
      <c r="C11087" t="inlineStr">
        <is>
          <t>Föryngringsavverkning</t>
        </is>
      </c>
      <c r="D11087" s="1" t="n">
        <v>46325</v>
      </c>
      <c r="E11087" s="1" t="n">
        <v>46326</v>
      </c>
      <c r="F11087" t="inlineStr">
        <is>
          <t>GÄVLEBORGS LÄN</t>
        </is>
      </c>
      <c r="G11087" t="inlineStr">
        <is>
          <t>HUDIKSVALL</t>
        </is>
      </c>
      <c r="I11087" t="n">
        <v>1.4</v>
      </c>
      <c r="J11087" t="n">
        <v>0</v>
      </c>
      <c r="K11087" t="n">
        <v>0</v>
      </c>
      <c r="L11087" t="n">
        <v>0</v>
      </c>
      <c r="M11087" t="n">
        <v>0</v>
      </c>
      <c r="N11087" t="n">
        <v>0</v>
      </c>
      <c r="O11087" t="n">
        <v>0</v>
      </c>
      <c r="P11087" t="n">
        <v>0</v>
      </c>
      <c r="Q11087" t="n">
        <v>0</v>
      </c>
      <c r="R11087" t="n">
        <v>0</v>
      </c>
      <c r="S11087" t="n">
        <v>0</v>
      </c>
      <c r="T11087" t="n">
        <v>0</v>
      </c>
      <c r="U11087" t="n">
        <v>0</v>
      </c>
      <c r="V11087" s="2" t="inlineStr"/>
    </row>
    <row r="11088" ht="15" customHeight="1">
      <c r="A11088" t="inlineStr">
        <is>
          <t>A 45202-2026</t>
        </is>
      </c>
      <c r="B11088" t="inlineStr">
        <is>
          <t>avverkningsanmälan</t>
        </is>
      </c>
      <c r="C11088" t="inlineStr">
        <is>
          <t>Föryngringsavverkning</t>
        </is>
      </c>
      <c r="D11088" s="1" t="n">
        <v>46325</v>
      </c>
      <c r="E11088" s="1" t="n">
        <v>46326</v>
      </c>
      <c r="F11088" t="inlineStr">
        <is>
          <t>GÄVLEBORGS LÄN</t>
        </is>
      </c>
      <c r="G11088" t="inlineStr">
        <is>
          <t>LJUSDAL</t>
        </is>
      </c>
      <c r="H11088" t="inlineStr">
        <is>
          <t>Allmännings- och besparingsskogar</t>
        </is>
      </c>
      <c r="I11088" t="n">
        <v>15.2</v>
      </c>
      <c r="J11088" t="n">
        <v>0</v>
      </c>
      <c r="K11088" t="n">
        <v>0</v>
      </c>
      <c r="L11088" t="n">
        <v>0</v>
      </c>
      <c r="M11088" t="n">
        <v>0</v>
      </c>
      <c r="N11088" t="n">
        <v>0</v>
      </c>
      <c r="O11088" t="n">
        <v>0</v>
      </c>
      <c r="P11088" t="n">
        <v>0</v>
      </c>
      <c r="Q11088" t="n">
        <v>0</v>
      </c>
      <c r="R11088" t="n">
        <v>0</v>
      </c>
      <c r="S11088" t="n">
        <v>0</v>
      </c>
      <c r="T11088" t="n">
        <v>0</v>
      </c>
      <c r="U11088" t="n">
        <v>0</v>
      </c>
      <c r="V11088" s="2" t="inlineStr"/>
    </row>
    <row r="11089" ht="15" customHeight="1">
      <c r="A11089" t="inlineStr">
        <is>
          <t>A 45130-2026</t>
        </is>
      </c>
      <c r="B11089" t="inlineStr">
        <is>
          <t>avverkningsanmälan</t>
        </is>
      </c>
      <c r="C11089" t="inlineStr">
        <is>
          <t>Föryngringsavverkning</t>
        </is>
      </c>
      <c r="D11089" s="1" t="n">
        <v>46324</v>
      </c>
      <c r="E11089" s="1" t="n">
        <v>46326</v>
      </c>
      <c r="F11089" t="inlineStr">
        <is>
          <t>GÄVLEBORGS LÄN</t>
        </is>
      </c>
      <c r="G11089" t="inlineStr">
        <is>
          <t>NORDANSTIG</t>
        </is>
      </c>
      <c r="H11089" t="inlineStr">
        <is>
          <t>Holmen skog AB</t>
        </is>
      </c>
      <c r="I11089" t="n">
        <v>4</v>
      </c>
      <c r="J11089" t="n">
        <v>0</v>
      </c>
      <c r="K11089" t="n">
        <v>0</v>
      </c>
      <c r="L11089" t="n">
        <v>0</v>
      </c>
      <c r="M11089" t="n">
        <v>0</v>
      </c>
      <c r="N11089" t="n">
        <v>0</v>
      </c>
      <c r="O11089" t="n">
        <v>0</v>
      </c>
      <c r="P11089" t="n">
        <v>0</v>
      </c>
      <c r="Q11089" t="n">
        <v>0</v>
      </c>
      <c r="R11089" t="n">
        <v>0</v>
      </c>
      <c r="S11089" t="n">
        <v>0</v>
      </c>
      <c r="T11089" t="n">
        <v>0</v>
      </c>
      <c r="U11089" t="n">
        <v>0</v>
      </c>
      <c r="V11089" s="2" t="inlineStr"/>
    </row>
    <row r="11090" ht="15" customHeight="1">
      <c r="A11090" t="inlineStr">
        <is>
          <t>A 38646-2026</t>
        </is>
      </c>
      <c r="B11090" t="inlineStr">
        <is>
          <t>avverkningsanmälan</t>
        </is>
      </c>
      <c r="C11090" t="inlineStr">
        <is>
          <t>Föryngringsavverkning</t>
        </is>
      </c>
      <c r="D11090" s="1" t="n">
        <v>46283</v>
      </c>
      <c r="E11090" s="1" t="n">
        <v>46326</v>
      </c>
      <c r="F11090" t="inlineStr">
        <is>
          <t>GÄVLEBORGS LÄN</t>
        </is>
      </c>
      <c r="G11090" t="inlineStr">
        <is>
          <t>HUDIKSVALL</t>
        </is>
      </c>
      <c r="I11090" t="n">
        <v>2.2</v>
      </c>
      <c r="J11090" t="n">
        <v>0</v>
      </c>
      <c r="K11090" t="n">
        <v>0</v>
      </c>
      <c r="L11090" t="n">
        <v>0</v>
      </c>
      <c r="M11090" t="n">
        <v>0</v>
      </c>
      <c r="N11090" t="n">
        <v>0</v>
      </c>
      <c r="O11090" t="n">
        <v>0</v>
      </c>
      <c r="P11090" t="n">
        <v>0</v>
      </c>
      <c r="Q11090" t="n">
        <v>0</v>
      </c>
      <c r="R11090" t="n">
        <v>0</v>
      </c>
      <c r="S11090" t="n">
        <v>0</v>
      </c>
      <c r="T11090" t="n">
        <v>0</v>
      </c>
      <c r="U11090" t="n">
        <v>0</v>
      </c>
      <c r="V11090" s="2" t="inlineStr"/>
    </row>
    <row r="11091" ht="15" customHeight="1">
      <c r="A11091" t="inlineStr">
        <is>
          <t>A 45152-2026</t>
        </is>
      </c>
      <c r="B11091" t="inlineStr">
        <is>
          <t>avverkningsanmälan</t>
        </is>
      </c>
      <c r="C11091" t="inlineStr">
        <is>
          <t>Föryngringsavverkning</t>
        </is>
      </c>
      <c r="D11091" s="1" t="n">
        <v>46324</v>
      </c>
      <c r="E11091" s="1" t="n">
        <v>46326</v>
      </c>
      <c r="F11091" t="inlineStr">
        <is>
          <t>GÄVLEBORGS LÄN</t>
        </is>
      </c>
      <c r="G11091" t="inlineStr">
        <is>
          <t>GÄVLE</t>
        </is>
      </c>
      <c r="H11091" t="inlineStr">
        <is>
          <t>Bergvik skog öst AB</t>
        </is>
      </c>
      <c r="I11091" t="n">
        <v>8.9</v>
      </c>
      <c r="J11091" t="n">
        <v>0</v>
      </c>
      <c r="K11091" t="n">
        <v>0</v>
      </c>
      <c r="L11091" t="n">
        <v>0</v>
      </c>
      <c r="M11091" t="n">
        <v>0</v>
      </c>
      <c r="N11091" t="n">
        <v>0</v>
      </c>
      <c r="O11091" t="n">
        <v>0</v>
      </c>
      <c r="P11091" t="n">
        <v>0</v>
      </c>
      <c r="Q11091" t="n">
        <v>0</v>
      </c>
      <c r="R11091" t="n">
        <v>0</v>
      </c>
      <c r="S11091" t="n">
        <v>0</v>
      </c>
      <c r="T11091" t="n">
        <v>0</v>
      </c>
      <c r="U11091" t="n">
        <v>0</v>
      </c>
      <c r="V11091" s="2" t="inlineStr"/>
    </row>
    <row r="11092" ht="15" customHeight="1">
      <c r="A11092" t="inlineStr">
        <is>
          <t>A 38588-2026</t>
        </is>
      </c>
      <c r="B11092" t="inlineStr">
        <is>
          <t>avverkningsanmälan</t>
        </is>
      </c>
      <c r="C11092" t="inlineStr">
        <is>
          <t>Föryngringsavverkning</t>
        </is>
      </c>
      <c r="D11092" s="1" t="n">
        <v>46283</v>
      </c>
      <c r="E11092" s="1" t="n">
        <v>46326</v>
      </c>
      <c r="F11092" t="inlineStr">
        <is>
          <t>GÄVLEBORGS LÄN</t>
        </is>
      </c>
      <c r="G11092" t="inlineStr">
        <is>
          <t>GÄVLE</t>
        </is>
      </c>
      <c r="H11092" t="inlineStr">
        <is>
          <t>Bergvik skog öst AB</t>
        </is>
      </c>
      <c r="I11092" t="n">
        <v>5.7</v>
      </c>
      <c r="J11092" t="n">
        <v>0</v>
      </c>
      <c r="K11092" t="n">
        <v>0</v>
      </c>
      <c r="L11092" t="n">
        <v>0</v>
      </c>
      <c r="M11092" t="n">
        <v>0</v>
      </c>
      <c r="N11092" t="n">
        <v>0</v>
      </c>
      <c r="O11092" t="n">
        <v>0</v>
      </c>
      <c r="P11092" t="n">
        <v>0</v>
      </c>
      <c r="Q11092" t="n">
        <v>0</v>
      </c>
      <c r="R11092" t="n">
        <v>0</v>
      </c>
      <c r="S11092" t="n">
        <v>0</v>
      </c>
      <c r="T11092" t="n">
        <v>0</v>
      </c>
      <c r="U11092" t="n">
        <v>0</v>
      </c>
      <c r="V11092" s="2" t="inlineStr"/>
    </row>
    <row r="11093" ht="15" customHeight="1">
      <c r="A11093" t="inlineStr">
        <is>
          <t>A 38612-2026</t>
        </is>
      </c>
      <c r="B11093" t="inlineStr">
        <is>
          <t>avverkningsanmälan</t>
        </is>
      </c>
      <c r="C11093" t="inlineStr">
        <is>
          <t>Föryngringsavverkning</t>
        </is>
      </c>
      <c r="D11093" s="1" t="n">
        <v>46283</v>
      </c>
      <c r="E11093" s="1" t="n">
        <v>46326</v>
      </c>
      <c r="F11093" t="inlineStr">
        <is>
          <t>GÄVLEBORGS LÄN</t>
        </is>
      </c>
      <c r="G11093" t="inlineStr">
        <is>
          <t>GÄVLE</t>
        </is>
      </c>
      <c r="H11093" t="inlineStr">
        <is>
          <t>Bergvik skog öst AB</t>
        </is>
      </c>
      <c r="I11093" t="n">
        <v>1.3</v>
      </c>
      <c r="J11093" t="n">
        <v>0</v>
      </c>
      <c r="K11093" t="n">
        <v>0</v>
      </c>
      <c r="L11093" t="n">
        <v>0</v>
      </c>
      <c r="M11093" t="n">
        <v>0</v>
      </c>
      <c r="N11093" t="n">
        <v>0</v>
      </c>
      <c r="O11093" t="n">
        <v>0</v>
      </c>
      <c r="P11093" t="n">
        <v>0</v>
      </c>
      <c r="Q11093" t="n">
        <v>0</v>
      </c>
      <c r="R11093" t="n">
        <v>0</v>
      </c>
      <c r="S11093" t="n">
        <v>0</v>
      </c>
      <c r="T11093" t="n">
        <v>0</v>
      </c>
      <c r="U11093" t="n">
        <v>0</v>
      </c>
      <c r="V11093" s="2" t="inlineStr"/>
    </row>
    <row r="11094" ht="15" customHeight="1">
      <c r="A11094" t="inlineStr">
        <is>
          <t>A 38648-2026</t>
        </is>
      </c>
      <c r="B11094" t="inlineStr">
        <is>
          <t>avverkningsanmälan</t>
        </is>
      </c>
      <c r="C11094" t="inlineStr">
        <is>
          <t>Föryngringsavverkning</t>
        </is>
      </c>
      <c r="D11094" s="1" t="n">
        <v>46283</v>
      </c>
      <c r="E11094" s="1" t="n">
        <v>46326</v>
      </c>
      <c r="F11094" t="inlineStr">
        <is>
          <t>GÄVLEBORGS LÄN</t>
        </is>
      </c>
      <c r="G11094" t="inlineStr">
        <is>
          <t>OCKELBO</t>
        </is>
      </c>
      <c r="I11094" t="n">
        <v>0.8</v>
      </c>
      <c r="J11094" t="n">
        <v>0</v>
      </c>
      <c r="K11094" t="n">
        <v>0</v>
      </c>
      <c r="L11094" t="n">
        <v>0</v>
      </c>
      <c r="M11094" t="n">
        <v>0</v>
      </c>
      <c r="N11094" t="n">
        <v>0</v>
      </c>
      <c r="O11094" t="n">
        <v>0</v>
      </c>
      <c r="P11094" t="n">
        <v>0</v>
      </c>
      <c r="Q11094" t="n">
        <v>0</v>
      </c>
      <c r="R11094" t="n">
        <v>0</v>
      </c>
      <c r="S11094" t="n">
        <v>0</v>
      </c>
      <c r="T11094" t="n">
        <v>0</v>
      </c>
      <c r="U11094" t="n">
        <v>0</v>
      </c>
      <c r="V11094" s="2" t="inlineStr"/>
    </row>
    <row r="11095" ht="15" customHeight="1">
      <c r="A11095" t="inlineStr">
        <is>
          <t>A 38336-2026</t>
        </is>
      </c>
      <c r="B11095" t="inlineStr">
        <is>
          <t>avverkningsanmälan</t>
        </is>
      </c>
      <c r="C11095" t="inlineStr">
        <is>
          <t>Föryngringsavverkning</t>
        </is>
      </c>
      <c r="D11095" s="1" t="n">
        <v>46282</v>
      </c>
      <c r="E11095" s="1" t="n">
        <v>46326</v>
      </c>
      <c r="F11095" t="inlineStr">
        <is>
          <t>GÄVLEBORGS LÄN</t>
        </is>
      </c>
      <c r="G11095" t="inlineStr">
        <is>
          <t>GÄVLE</t>
        </is>
      </c>
      <c r="H11095" t="inlineStr">
        <is>
          <t>Bergvik skog öst AB</t>
        </is>
      </c>
      <c r="I11095" t="n">
        <v>0.9</v>
      </c>
      <c r="J11095" t="n">
        <v>0</v>
      </c>
      <c r="K11095" t="n">
        <v>0</v>
      </c>
      <c r="L11095" t="n">
        <v>0</v>
      </c>
      <c r="M11095" t="n">
        <v>0</v>
      </c>
      <c r="N11095" t="n">
        <v>0</v>
      </c>
      <c r="O11095" t="n">
        <v>0</v>
      </c>
      <c r="P11095" t="n">
        <v>0</v>
      </c>
      <c r="Q11095" t="n">
        <v>0</v>
      </c>
      <c r="R11095" t="n">
        <v>0</v>
      </c>
      <c r="S11095" t="n">
        <v>0</v>
      </c>
      <c r="T11095" t="n">
        <v>0</v>
      </c>
      <c r="U11095" t="n">
        <v>0</v>
      </c>
      <c r="V11095" s="2" t="inlineStr"/>
    </row>
    <row r="11096" ht="15" customHeight="1">
      <c r="A11096" t="inlineStr">
        <is>
          <t>A 38349-2026</t>
        </is>
      </c>
      <c r="B11096" t="inlineStr">
        <is>
          <t>avverkningsanmälan</t>
        </is>
      </c>
      <c r="C11096" t="inlineStr">
        <is>
          <t>Föryngringsavverkning</t>
        </is>
      </c>
      <c r="D11096" s="1" t="n">
        <v>46282</v>
      </c>
      <c r="E11096" s="1" t="n">
        <v>46326</v>
      </c>
      <c r="F11096" t="inlineStr">
        <is>
          <t>GÄVLEBORGS LÄN</t>
        </is>
      </c>
      <c r="G11096" t="inlineStr">
        <is>
          <t>OVANÅKER</t>
        </is>
      </c>
      <c r="H11096" t="inlineStr">
        <is>
          <t>Bergvik skog väst AB</t>
        </is>
      </c>
      <c r="I11096" t="n">
        <v>10.6</v>
      </c>
      <c r="J11096" t="n">
        <v>0</v>
      </c>
      <c r="K11096" t="n">
        <v>0</v>
      </c>
      <c r="L11096" t="n">
        <v>0</v>
      </c>
      <c r="M11096" t="n">
        <v>0</v>
      </c>
      <c r="N11096" t="n">
        <v>0</v>
      </c>
      <c r="O11096" t="n">
        <v>0</v>
      </c>
      <c r="P11096" t="n">
        <v>0</v>
      </c>
      <c r="Q11096" t="n">
        <v>0</v>
      </c>
      <c r="R11096" t="n">
        <v>0</v>
      </c>
      <c r="S11096" t="n">
        <v>0</v>
      </c>
      <c r="T11096" t="n">
        <v>0</v>
      </c>
      <c r="U11096" t="n">
        <v>0</v>
      </c>
      <c r="V11096" s="2" t="inlineStr"/>
    </row>
    <row r="11097" ht="15" customHeight="1">
      <c r="A11097" t="inlineStr">
        <is>
          <t>A 45251-2026</t>
        </is>
      </c>
      <c r="B11097" t="inlineStr">
        <is>
          <t>avverkningsanmälan</t>
        </is>
      </c>
      <c r="C11097" t="inlineStr">
        <is>
          <t>Föryngringsavverkning</t>
        </is>
      </c>
      <c r="D11097" s="1" t="n">
        <v>46325</v>
      </c>
      <c r="E11097" s="1" t="n">
        <v>46326</v>
      </c>
      <c r="F11097" t="inlineStr">
        <is>
          <t>GÄVLEBORGS LÄN</t>
        </is>
      </c>
      <c r="G11097" t="inlineStr">
        <is>
          <t>GÄVLE</t>
        </is>
      </c>
      <c r="H11097" t="inlineStr">
        <is>
          <t>Bergvik skog öst AB</t>
        </is>
      </c>
      <c r="I11097" t="n">
        <v>5.7</v>
      </c>
      <c r="J11097" t="n">
        <v>0</v>
      </c>
      <c r="K11097" t="n">
        <v>0</v>
      </c>
      <c r="L11097" t="n">
        <v>0</v>
      </c>
      <c r="M11097" t="n">
        <v>0</v>
      </c>
      <c r="N11097" t="n">
        <v>0</v>
      </c>
      <c r="O11097" t="n">
        <v>0</v>
      </c>
      <c r="P11097" t="n">
        <v>0</v>
      </c>
      <c r="Q11097" t="n">
        <v>0</v>
      </c>
      <c r="R11097" t="n">
        <v>0</v>
      </c>
      <c r="S11097" t="n">
        <v>0</v>
      </c>
      <c r="T11097" t="n">
        <v>0</v>
      </c>
      <c r="U11097" t="n">
        <v>0</v>
      </c>
      <c r="V11097" s="2" t="inlineStr"/>
    </row>
    <row r="11098" ht="15" customHeight="1">
      <c r="A11098" t="inlineStr">
        <is>
          <t>A 38420-2026</t>
        </is>
      </c>
      <c r="B11098" t="inlineStr">
        <is>
          <t>avverkningsanmälan</t>
        </is>
      </c>
      <c r="C11098" t="inlineStr">
        <is>
          <t>Föryngringsavverkning</t>
        </is>
      </c>
      <c r="D11098" s="1" t="n">
        <v>46282</v>
      </c>
      <c r="E11098" s="1" t="n">
        <v>46326</v>
      </c>
      <c r="F11098" t="inlineStr">
        <is>
          <t>GÄVLEBORGS LÄN</t>
        </is>
      </c>
      <c r="G11098" t="inlineStr">
        <is>
          <t>OVANÅKER</t>
        </is>
      </c>
      <c r="H11098" t="inlineStr">
        <is>
          <t>Bergvik skog väst AB</t>
        </is>
      </c>
      <c r="I11098" t="n">
        <v>27</v>
      </c>
      <c r="J11098" t="n">
        <v>0</v>
      </c>
      <c r="K11098" t="n">
        <v>0</v>
      </c>
      <c r="L11098" t="n">
        <v>0</v>
      </c>
      <c r="M11098" t="n">
        <v>0</v>
      </c>
      <c r="N11098" t="n">
        <v>0</v>
      </c>
      <c r="O11098" t="n">
        <v>0</v>
      </c>
      <c r="P11098" t="n">
        <v>0</v>
      </c>
      <c r="Q11098" t="n">
        <v>0</v>
      </c>
      <c r="R11098" t="n">
        <v>0</v>
      </c>
      <c r="S11098" t="n">
        <v>0</v>
      </c>
      <c r="T11098" t="n">
        <v>0</v>
      </c>
      <c r="U11098" t="n">
        <v>0</v>
      </c>
      <c r="V11098" s="2" t="inlineStr"/>
    </row>
    <row r="11099" ht="15" customHeight="1">
      <c r="A11099" t="inlineStr">
        <is>
          <t>A 38434-2026</t>
        </is>
      </c>
      <c r="B11099" t="inlineStr">
        <is>
          <t>avverkningsanmälan</t>
        </is>
      </c>
      <c r="C11099" t="inlineStr">
        <is>
          <t>Föryngringsavverkning</t>
        </is>
      </c>
      <c r="D11099" s="1" t="n">
        <v>46282</v>
      </c>
      <c r="E11099" s="1" t="n">
        <v>46326</v>
      </c>
      <c r="F11099" t="inlineStr">
        <is>
          <t>GÄVLEBORGS LÄN</t>
        </is>
      </c>
      <c r="G11099" t="inlineStr">
        <is>
          <t>BOLLNÄS</t>
        </is>
      </c>
      <c r="H11099" t="inlineStr">
        <is>
          <t>Sveaskog</t>
        </is>
      </c>
      <c r="I11099" t="n">
        <v>8.699999999999999</v>
      </c>
      <c r="J11099" t="n">
        <v>0</v>
      </c>
      <c r="K11099" t="n">
        <v>0</v>
      </c>
      <c r="L11099" t="n">
        <v>0</v>
      </c>
      <c r="M11099" t="n">
        <v>0</v>
      </c>
      <c r="N11099" t="n">
        <v>0</v>
      </c>
      <c r="O11099" t="n">
        <v>0</v>
      </c>
      <c r="P11099" t="n">
        <v>0</v>
      </c>
      <c r="Q11099" t="n">
        <v>0</v>
      </c>
      <c r="R11099" t="n">
        <v>0</v>
      </c>
      <c r="S11099" t="n">
        <v>0</v>
      </c>
      <c r="T11099" t="n">
        <v>0</v>
      </c>
      <c r="U11099" t="n">
        <v>0</v>
      </c>
      <c r="V11099" s="2" t="inlineStr"/>
    </row>
    <row r="11100" ht="15" customHeight="1">
      <c r="A11100" t="inlineStr">
        <is>
          <t>A 38440-2026</t>
        </is>
      </c>
      <c r="B11100" t="inlineStr">
        <is>
          <t>avverkningsanmälan</t>
        </is>
      </c>
      <c r="C11100" t="inlineStr">
        <is>
          <t>Föryngringsavverkning</t>
        </is>
      </c>
      <c r="D11100" s="1" t="n">
        <v>46282</v>
      </c>
      <c r="E11100" s="1" t="n">
        <v>46326</v>
      </c>
      <c r="F11100" t="inlineStr">
        <is>
          <t>GÄVLEBORGS LÄN</t>
        </is>
      </c>
      <c r="G11100" t="inlineStr">
        <is>
          <t>HUDIKSVALL</t>
        </is>
      </c>
      <c r="H11100" t="inlineStr">
        <is>
          <t>Sveaskog</t>
        </is>
      </c>
      <c r="I11100" t="n">
        <v>9.5</v>
      </c>
      <c r="J11100" t="n">
        <v>0</v>
      </c>
      <c r="K11100" t="n">
        <v>0</v>
      </c>
      <c r="L11100" t="n">
        <v>0</v>
      </c>
      <c r="M11100" t="n">
        <v>0</v>
      </c>
      <c r="N11100" t="n">
        <v>0</v>
      </c>
      <c r="O11100" t="n">
        <v>0</v>
      </c>
      <c r="P11100" t="n">
        <v>0</v>
      </c>
      <c r="Q11100" t="n">
        <v>0</v>
      </c>
      <c r="R11100" t="n">
        <v>0</v>
      </c>
      <c r="S11100" t="n">
        <v>0</v>
      </c>
      <c r="T11100" t="n">
        <v>0</v>
      </c>
      <c r="U11100" t="n">
        <v>0</v>
      </c>
      <c r="V11100" s="2" t="inlineStr"/>
    </row>
    <row r="11101" ht="15" customHeight="1">
      <c r="A11101" t="inlineStr">
        <is>
          <t>A 38144-2026</t>
        </is>
      </c>
      <c r="B11101" t="inlineStr">
        <is>
          <t>avverkningsanmälan</t>
        </is>
      </c>
      <c r="C11101" t="inlineStr">
        <is>
          <t>Föryngringsavverkning</t>
        </is>
      </c>
      <c r="D11101" s="1" t="n">
        <v>46281</v>
      </c>
      <c r="E11101" s="1" t="n">
        <v>46326</v>
      </c>
      <c r="F11101" t="inlineStr">
        <is>
          <t>GÄVLEBORGS LÄN</t>
        </is>
      </c>
      <c r="G11101" t="inlineStr">
        <is>
          <t>GÄVLE</t>
        </is>
      </c>
      <c r="H11101" t="inlineStr">
        <is>
          <t>Bergvik skog öst AB</t>
        </is>
      </c>
      <c r="I11101" t="n">
        <v>1.7</v>
      </c>
      <c r="J11101" t="n">
        <v>0</v>
      </c>
      <c r="K11101" t="n">
        <v>0</v>
      </c>
      <c r="L11101" t="n">
        <v>0</v>
      </c>
      <c r="M11101" t="n">
        <v>0</v>
      </c>
      <c r="N11101" t="n">
        <v>0</v>
      </c>
      <c r="O11101" t="n">
        <v>0</v>
      </c>
      <c r="P11101" t="n">
        <v>0</v>
      </c>
      <c r="Q11101" t="n">
        <v>0</v>
      </c>
      <c r="R11101" t="n">
        <v>0</v>
      </c>
      <c r="S11101" t="n">
        <v>0</v>
      </c>
      <c r="T11101" t="n">
        <v>0</v>
      </c>
      <c r="U11101" t="n">
        <v>0</v>
      </c>
      <c r="V11101" s="2" t="inlineStr"/>
    </row>
    <row r="11102" ht="15" customHeight="1">
      <c r="A11102" t="inlineStr">
        <is>
          <t>A 38367-2026</t>
        </is>
      </c>
      <c r="B11102" t="inlineStr">
        <is>
          <t>avverkningsanmälan</t>
        </is>
      </c>
      <c r="C11102" t="inlineStr">
        <is>
          <t>Föryngringsavverkning</t>
        </is>
      </c>
      <c r="D11102" s="1" t="n">
        <v>46282</v>
      </c>
      <c r="E11102" s="1" t="n">
        <v>46326</v>
      </c>
      <c r="F11102" t="inlineStr">
        <is>
          <t>GÄVLEBORGS LÄN</t>
        </is>
      </c>
      <c r="G11102" t="inlineStr">
        <is>
          <t>BOLLNÄS</t>
        </is>
      </c>
      <c r="I11102" t="n">
        <v>2</v>
      </c>
      <c r="J11102" t="n">
        <v>0</v>
      </c>
      <c r="K11102" t="n">
        <v>0</v>
      </c>
      <c r="L11102" t="n">
        <v>0</v>
      </c>
      <c r="M11102" t="n">
        <v>0</v>
      </c>
      <c r="N11102" t="n">
        <v>0</v>
      </c>
      <c r="O11102" t="n">
        <v>0</v>
      </c>
      <c r="P11102" t="n">
        <v>0</v>
      </c>
      <c r="Q11102" t="n">
        <v>0</v>
      </c>
      <c r="R11102" t="n">
        <v>0</v>
      </c>
      <c r="S11102" t="n">
        <v>0</v>
      </c>
      <c r="T11102" t="n">
        <v>0</v>
      </c>
      <c r="U11102" t="n">
        <v>0</v>
      </c>
      <c r="V11102" s="2" t="inlineStr"/>
    </row>
    <row r="11103" ht="15" customHeight="1">
      <c r="A11103" t="inlineStr">
        <is>
          <t>A 38582-2026</t>
        </is>
      </c>
      <c r="B11103" t="inlineStr">
        <is>
          <t>avverkningsanmälan</t>
        </is>
      </c>
      <c r="C11103" t="inlineStr">
        <is>
          <t>Föryngringsavverkning</t>
        </is>
      </c>
      <c r="D11103" s="1" t="n">
        <v>46283</v>
      </c>
      <c r="E11103" s="1" t="n">
        <v>46326</v>
      </c>
      <c r="F11103" t="inlineStr">
        <is>
          <t>GÄVLEBORGS LÄN</t>
        </is>
      </c>
      <c r="G11103" t="inlineStr">
        <is>
          <t>GÄVLE</t>
        </is>
      </c>
      <c r="H11103" t="inlineStr">
        <is>
          <t>Bergvik skog öst AB</t>
        </is>
      </c>
      <c r="I11103" t="n">
        <v>12.8</v>
      </c>
      <c r="J11103" t="n">
        <v>0</v>
      </c>
      <c r="K11103" t="n">
        <v>0</v>
      </c>
      <c r="L11103" t="n">
        <v>0</v>
      </c>
      <c r="M11103" t="n">
        <v>0</v>
      </c>
      <c r="N11103" t="n">
        <v>0</v>
      </c>
      <c r="O11103" t="n">
        <v>0</v>
      </c>
      <c r="P11103" t="n">
        <v>0</v>
      </c>
      <c r="Q11103" t="n">
        <v>0</v>
      </c>
      <c r="R11103" t="n">
        <v>0</v>
      </c>
      <c r="S11103" t="n">
        <v>0</v>
      </c>
      <c r="T11103" t="n">
        <v>0</v>
      </c>
      <c r="U11103" t="n">
        <v>0</v>
      </c>
      <c r="V11103" s="2" t="inlineStr"/>
    </row>
    <row r="11104" ht="15" customHeight="1">
      <c r="A11104" t="inlineStr">
        <is>
          <t>A 38584-2026</t>
        </is>
      </c>
      <c r="B11104" t="inlineStr">
        <is>
          <t>avverkningsanmälan</t>
        </is>
      </c>
      <c r="C11104" t="inlineStr">
        <is>
          <t>Föryngringsavverkning</t>
        </is>
      </c>
      <c r="D11104" s="1" t="n">
        <v>46283</v>
      </c>
      <c r="E11104" s="1" t="n">
        <v>46326</v>
      </c>
      <c r="F11104" t="inlineStr">
        <is>
          <t>GÄVLEBORGS LÄN</t>
        </is>
      </c>
      <c r="G11104" t="inlineStr">
        <is>
          <t>GÄVLE</t>
        </is>
      </c>
      <c r="H11104" t="inlineStr">
        <is>
          <t>Bergvik skog öst AB</t>
        </is>
      </c>
      <c r="I11104" t="n">
        <v>3.1</v>
      </c>
      <c r="J11104" t="n">
        <v>0</v>
      </c>
      <c r="K11104" t="n">
        <v>0</v>
      </c>
      <c r="L11104" t="n">
        <v>0</v>
      </c>
      <c r="M11104" t="n">
        <v>0</v>
      </c>
      <c r="N11104" t="n">
        <v>0</v>
      </c>
      <c r="O11104" t="n">
        <v>0</v>
      </c>
      <c r="P11104" t="n">
        <v>0</v>
      </c>
      <c r="Q11104" t="n">
        <v>0</v>
      </c>
      <c r="R11104" t="n">
        <v>0</v>
      </c>
      <c r="S11104" t="n">
        <v>0</v>
      </c>
      <c r="T11104" t="n">
        <v>0</v>
      </c>
      <c r="U11104" t="n">
        <v>0</v>
      </c>
      <c r="V11104" s="2" t="inlineStr"/>
    </row>
    <row r="11105" ht="15" customHeight="1">
      <c r="A11105" t="inlineStr">
        <is>
          <t>A 4491-2026</t>
        </is>
      </c>
      <c r="B11105" t="inlineStr">
        <is>
          <t>avverkningsanmälan</t>
        </is>
      </c>
      <c r="C11105" t="inlineStr">
        <is>
          <t>Föryngringsavverkning</t>
        </is>
      </c>
      <c r="D11105" s="1" t="n">
        <v>46045</v>
      </c>
      <c r="E11105" s="1" t="n">
        <v>46326</v>
      </c>
      <c r="F11105" t="inlineStr">
        <is>
          <t>GÄVLEBORGS LÄN</t>
        </is>
      </c>
      <c r="G11105" t="inlineStr">
        <is>
          <t>HUDIKSVALL</t>
        </is>
      </c>
      <c r="I11105" t="n">
        <v>5.3</v>
      </c>
      <c r="J11105" t="n">
        <v>0</v>
      </c>
      <c r="K11105" t="n">
        <v>0</v>
      </c>
      <c r="L11105" t="n">
        <v>0</v>
      </c>
      <c r="M11105" t="n">
        <v>0</v>
      </c>
      <c r="N11105" t="n">
        <v>0</v>
      </c>
      <c r="O11105" t="n">
        <v>0</v>
      </c>
      <c r="P11105" t="n">
        <v>0</v>
      </c>
      <c r="Q11105" t="n">
        <v>0</v>
      </c>
      <c r="R11105" t="n">
        <v>0</v>
      </c>
      <c r="S11105" t="n">
        <v>0</v>
      </c>
      <c r="T11105" t="n">
        <v>0</v>
      </c>
      <c r="U11105" t="n">
        <v>0</v>
      </c>
      <c r="V11105" s="2" t="inlineStr"/>
    </row>
    <row r="11106" ht="15" customHeight="1">
      <c r="A11106" t="inlineStr">
        <is>
          <t>A 44976-2026</t>
        </is>
      </c>
      <c r="B11106" t="inlineStr">
        <is>
          <t>avverkningsanmälan</t>
        </is>
      </c>
      <c r="C11106" t="inlineStr">
        <is>
          <t>Föryngringsavverkning</t>
        </is>
      </c>
      <c r="D11106" s="1" t="n">
        <v>46323</v>
      </c>
      <c r="E11106" s="1" t="n">
        <v>46326</v>
      </c>
      <c r="F11106" t="inlineStr">
        <is>
          <t>GÄVLEBORGS LÄN</t>
        </is>
      </c>
      <c r="G11106" t="inlineStr">
        <is>
          <t>LJUSDAL</t>
        </is>
      </c>
      <c r="I11106" t="n">
        <v>3.2</v>
      </c>
      <c r="J11106" t="n">
        <v>0</v>
      </c>
      <c r="K11106" t="n">
        <v>0</v>
      </c>
      <c r="L11106" t="n">
        <v>0</v>
      </c>
      <c r="M11106" t="n">
        <v>0</v>
      </c>
      <c r="N11106" t="n">
        <v>0</v>
      </c>
      <c r="O11106" t="n">
        <v>0</v>
      </c>
      <c r="P11106" t="n">
        <v>0</v>
      </c>
      <c r="Q11106" t="n">
        <v>0</v>
      </c>
      <c r="R11106" t="n">
        <v>0</v>
      </c>
      <c r="S11106" t="n">
        <v>0</v>
      </c>
      <c r="T11106" t="n">
        <v>0</v>
      </c>
      <c r="U11106" t="n">
        <v>0</v>
      </c>
      <c r="V11106" s="2" t="inlineStr"/>
    </row>
    <row r="11107" ht="15" customHeight="1">
      <c r="A11107" t="inlineStr">
        <is>
          <t>A 38586-2026</t>
        </is>
      </c>
      <c r="B11107" t="inlineStr">
        <is>
          <t>avverkningsanmälan</t>
        </is>
      </c>
      <c r="C11107" t="inlineStr">
        <is>
          <t>Föryngringsavverkning</t>
        </is>
      </c>
      <c r="D11107" s="1" t="n">
        <v>46283</v>
      </c>
      <c r="E11107" s="1" t="n">
        <v>46326</v>
      </c>
      <c r="F11107" t="inlineStr">
        <is>
          <t>GÄVLEBORGS LÄN</t>
        </is>
      </c>
      <c r="G11107" t="inlineStr">
        <is>
          <t>GÄVLE</t>
        </is>
      </c>
      <c r="H11107" t="inlineStr">
        <is>
          <t>Bergvik skog öst AB</t>
        </is>
      </c>
      <c r="I11107" t="n">
        <v>1.1</v>
      </c>
      <c r="J11107" t="n">
        <v>0</v>
      </c>
      <c r="K11107" t="n">
        <v>0</v>
      </c>
      <c r="L11107" t="n">
        <v>0</v>
      </c>
      <c r="M11107" t="n">
        <v>0</v>
      </c>
      <c r="N11107" t="n">
        <v>0</v>
      </c>
      <c r="O11107" t="n">
        <v>0</v>
      </c>
      <c r="P11107" t="n">
        <v>0</v>
      </c>
      <c r="Q11107" t="n">
        <v>0</v>
      </c>
      <c r="R11107" t="n">
        <v>0</v>
      </c>
      <c r="S11107" t="n">
        <v>0</v>
      </c>
      <c r="T11107" t="n">
        <v>0</v>
      </c>
      <c r="U11107" t="n">
        <v>0</v>
      </c>
      <c r="V11107" s="2" t="inlineStr"/>
    </row>
    <row r="11108" ht="15" customHeight="1">
      <c r="A11108" t="inlineStr">
        <is>
          <t>A 67380-2021</t>
        </is>
      </c>
      <c r="B11108" t="inlineStr">
        <is>
          <t>avverkningsanmälan</t>
        </is>
      </c>
      <c r="C11108" t="inlineStr">
        <is>
          <t>Avverkning för annat ändamål</t>
        </is>
      </c>
      <c r="D11108" s="1" t="n">
        <v>44523</v>
      </c>
      <c r="E11108" s="1" t="n">
        <v>46326</v>
      </c>
      <c r="F11108" t="inlineStr">
        <is>
          <t>GÄVLEBORGS LÄN</t>
        </is>
      </c>
      <c r="G11108" t="inlineStr">
        <is>
          <t>LJUSDAL</t>
        </is>
      </c>
      <c r="I11108" t="n">
        <v>4.6</v>
      </c>
      <c r="J11108" t="n">
        <v>0</v>
      </c>
      <c r="K11108" t="n">
        <v>0</v>
      </c>
      <c r="L11108" t="n">
        <v>0</v>
      </c>
      <c r="M11108" t="n">
        <v>0</v>
      </c>
      <c r="N11108" t="n">
        <v>0</v>
      </c>
      <c r="O11108" t="n">
        <v>0</v>
      </c>
      <c r="P11108" t="n">
        <v>0</v>
      </c>
      <c r="Q11108" t="n">
        <v>0</v>
      </c>
      <c r="R11108" t="n">
        <v>0</v>
      </c>
      <c r="S11108" t="n">
        <v>0</v>
      </c>
      <c r="T11108" t="n">
        <v>0</v>
      </c>
      <c r="U11108" t="n">
        <v>0</v>
      </c>
      <c r="V11108" s="2" t="inlineStr"/>
    </row>
    <row r="11109" ht="15" customHeight="1">
      <c r="A11109" t="inlineStr">
        <is>
          <t>A 59930-2024</t>
        </is>
      </c>
      <c r="B11109" t="inlineStr">
        <is>
          <t>avverkningsanmälan</t>
        </is>
      </c>
      <c r="C11109" t="inlineStr">
        <is>
          <t>Avverkning för annat ändamål</t>
        </is>
      </c>
      <c r="D11109" s="1" t="n">
        <v>45642</v>
      </c>
      <c r="E11109" s="1" t="n">
        <v>46326</v>
      </c>
      <c r="F11109" t="inlineStr">
        <is>
          <t>GÄVLEBORGS LÄN</t>
        </is>
      </c>
      <c r="G11109" t="inlineStr">
        <is>
          <t>NORDANSTIG</t>
        </is>
      </c>
      <c r="I11109" t="n">
        <v>0.1</v>
      </c>
      <c r="J11109" t="n">
        <v>0</v>
      </c>
      <c r="K11109" t="n">
        <v>0</v>
      </c>
      <c r="L11109" t="n">
        <v>0</v>
      </c>
      <c r="M11109" t="n">
        <v>0</v>
      </c>
      <c r="N11109" t="n">
        <v>0</v>
      </c>
      <c r="O11109" t="n">
        <v>0</v>
      </c>
      <c r="P11109" t="n">
        <v>0</v>
      </c>
      <c r="Q11109" t="n">
        <v>0</v>
      </c>
      <c r="R11109" t="n">
        <v>0</v>
      </c>
      <c r="S11109" t="n">
        <v>0</v>
      </c>
      <c r="T11109" t="n">
        <v>0</v>
      </c>
      <c r="U11109" t="n">
        <v>0</v>
      </c>
      <c r="V11109" s="2" t="inlineStr"/>
    </row>
    <row r="11110" ht="15" customHeight="1">
      <c r="A11110" t="inlineStr">
        <is>
          <t>S 338-2023</t>
        </is>
      </c>
      <c r="B11110" t="inlineStr">
        <is>
          <t>samrådsanmälan</t>
        </is>
      </c>
      <c r="C11110" t="inlineStr">
        <is>
          <t>Annan skogsbruksåtgärd</t>
        </is>
      </c>
      <c r="D11110" s="1" t="n">
        <v>44960</v>
      </c>
      <c r="E11110" s="1" t="n">
        <v>46326</v>
      </c>
      <c r="F11110" t="inlineStr">
        <is>
          <t>GÄVLEBORGS LÄN</t>
        </is>
      </c>
      <c r="G11110" t="inlineStr">
        <is>
          <t>LJUSDAL</t>
        </is>
      </c>
      <c r="H11110" t="inlineStr">
        <is>
          <t>Allmännings- och besparingsskogar</t>
        </is>
      </c>
      <c r="I11110" t="n">
        <v>5.5</v>
      </c>
      <c r="J11110" t="n">
        <v>0</v>
      </c>
      <c r="K11110" t="n">
        <v>0</v>
      </c>
      <c r="L11110" t="n">
        <v>0</v>
      </c>
      <c r="M11110" t="n">
        <v>0</v>
      </c>
      <c r="N11110" t="n">
        <v>0</v>
      </c>
      <c r="O11110" t="n">
        <v>0</v>
      </c>
      <c r="P11110" t="n">
        <v>0</v>
      </c>
      <c r="Q11110" t="n">
        <v>0</v>
      </c>
      <c r="R11110" t="n">
        <v>0</v>
      </c>
      <c r="S11110" t="n">
        <v>0</v>
      </c>
      <c r="T11110" t="n">
        <v>0</v>
      </c>
      <c r="U11110" t="n">
        <v>0</v>
      </c>
      <c r="V11110" s="2" t="inlineStr"/>
    </row>
    <row r="11111" ht="15" customHeight="1">
      <c r="A11111" t="inlineStr">
        <is>
          <t>S 2071-2020</t>
        </is>
      </c>
      <c r="B11111" t="inlineStr">
        <is>
          <t>samrådsanmälan</t>
        </is>
      </c>
      <c r="C11111" t="inlineStr">
        <is>
          <t>Askåterföring</t>
        </is>
      </c>
      <c r="D11111" s="1" t="n">
        <v>44102</v>
      </c>
      <c r="E11111" s="1" t="n">
        <v>46326</v>
      </c>
      <c r="F11111" t="inlineStr">
        <is>
          <t>GÄVLEBORGS LÄN</t>
        </is>
      </c>
      <c r="G11111" t="inlineStr">
        <is>
          <t>SANDVIKEN</t>
        </is>
      </c>
      <c r="H11111" t="inlineStr">
        <is>
          <t>Sveaskog</t>
        </is>
      </c>
      <c r="I11111" t="n">
        <v>42</v>
      </c>
      <c r="J11111" t="n">
        <v>0</v>
      </c>
      <c r="K11111" t="n">
        <v>0</v>
      </c>
      <c r="L11111" t="n">
        <v>0</v>
      </c>
      <c r="M11111" t="n">
        <v>0</v>
      </c>
      <c r="N11111" t="n">
        <v>0</v>
      </c>
      <c r="O11111" t="n">
        <v>0</v>
      </c>
      <c r="P11111" t="n">
        <v>0</v>
      </c>
      <c r="Q11111" t="n">
        <v>0</v>
      </c>
      <c r="R11111" t="n">
        <v>0</v>
      </c>
      <c r="S11111" t="n">
        <v>0</v>
      </c>
      <c r="T11111" t="n">
        <v>0</v>
      </c>
      <c r="U11111" t="n">
        <v>0</v>
      </c>
      <c r="V11111" s="2" t="inlineStr"/>
    </row>
    <row r="11112" ht="15" customHeight="1">
      <c r="A11112" t="inlineStr">
        <is>
          <t>S 1834-2022</t>
        </is>
      </c>
      <c r="B11112" t="inlineStr">
        <is>
          <t>samrådsanmälan</t>
        </is>
      </c>
      <c r="C11112" t="inlineStr">
        <is>
          <t>Annan skogsbruksåtgärd</t>
        </is>
      </c>
      <c r="D11112" s="1" t="n">
        <v>44657</v>
      </c>
      <c r="E11112" s="1" t="n">
        <v>46326</v>
      </c>
      <c r="F11112" t="inlineStr">
        <is>
          <t>GÄVLEBORGS LÄN</t>
        </is>
      </c>
      <c r="G11112" t="inlineStr">
        <is>
          <t>LJUSDAL</t>
        </is>
      </c>
      <c r="H11112" t="inlineStr">
        <is>
          <t>Bergvik skog väst AB</t>
        </is>
      </c>
      <c r="I11112" t="n">
        <v>34.4</v>
      </c>
      <c r="J11112" t="n">
        <v>0</v>
      </c>
      <c r="K11112" t="n">
        <v>0</v>
      </c>
      <c r="L11112" t="n">
        <v>0</v>
      </c>
      <c r="M11112" t="n">
        <v>0</v>
      </c>
      <c r="N11112" t="n">
        <v>0</v>
      </c>
      <c r="O11112" t="n">
        <v>0</v>
      </c>
      <c r="P11112" t="n">
        <v>0</v>
      </c>
      <c r="Q11112" t="n">
        <v>0</v>
      </c>
      <c r="R11112" t="n">
        <v>0</v>
      </c>
      <c r="S11112" t="n">
        <v>0</v>
      </c>
      <c r="T11112" t="n">
        <v>0</v>
      </c>
      <c r="U11112" t="n">
        <v>0</v>
      </c>
      <c r="V11112" s="2" t="inlineStr"/>
    </row>
    <row r="11113" ht="15" customHeight="1">
      <c r="A11113" t="inlineStr">
        <is>
          <t>S 1601-2023</t>
        </is>
      </c>
      <c r="B11113" t="inlineStr">
        <is>
          <t>samrådsanmälan</t>
        </is>
      </c>
      <c r="C11113" t="inlineStr">
        <is>
          <t>Skogsgödsling</t>
        </is>
      </c>
      <c r="D11113" s="1" t="n">
        <v>45056</v>
      </c>
      <c r="E11113" s="1" t="n">
        <v>46326</v>
      </c>
      <c r="F11113" t="inlineStr">
        <is>
          <t>GÄVLEBORGS LÄN</t>
        </is>
      </c>
      <c r="G11113" t="inlineStr">
        <is>
          <t>LJUSDAL</t>
        </is>
      </c>
      <c r="I11113" t="n">
        <v>27.1</v>
      </c>
      <c r="J11113" t="n">
        <v>0</v>
      </c>
      <c r="K11113" t="n">
        <v>0</v>
      </c>
      <c r="L11113" t="n">
        <v>0</v>
      </c>
      <c r="M11113" t="n">
        <v>0</v>
      </c>
      <c r="N11113" t="n">
        <v>0</v>
      </c>
      <c r="O11113" t="n">
        <v>0</v>
      </c>
      <c r="P11113" t="n">
        <v>0</v>
      </c>
      <c r="Q11113" t="n">
        <v>0</v>
      </c>
      <c r="R11113" t="n">
        <v>0</v>
      </c>
      <c r="S11113" t="n">
        <v>0</v>
      </c>
      <c r="T11113" t="n">
        <v>0</v>
      </c>
      <c r="U11113" t="n">
        <v>0</v>
      </c>
      <c r="V11113" s="2" t="inlineStr"/>
    </row>
    <row r="11114" ht="15" customHeight="1">
      <c r="A11114" t="inlineStr">
        <is>
          <t>S 3999-2023</t>
        </is>
      </c>
      <c r="B11114" t="inlineStr">
        <is>
          <t>samrådsanmälan</t>
        </is>
      </c>
      <c r="C11114" t="inlineStr">
        <is>
          <t>Skogsgödsling</t>
        </is>
      </c>
      <c r="D11114" s="1" t="n">
        <v>45238</v>
      </c>
      <c r="E11114" s="1" t="n">
        <v>46326</v>
      </c>
      <c r="F11114" t="inlineStr">
        <is>
          <t>GÄVLEBORGS LÄN</t>
        </is>
      </c>
      <c r="G11114" t="inlineStr">
        <is>
          <t>NORDANSTIG</t>
        </is>
      </c>
      <c r="H11114" t="inlineStr">
        <is>
          <t>Holmen skog AB</t>
        </is>
      </c>
      <c r="I11114" t="n">
        <v>39.7</v>
      </c>
      <c r="J11114" t="n">
        <v>0</v>
      </c>
      <c r="K11114" t="n">
        <v>0</v>
      </c>
      <c r="L11114" t="n">
        <v>0</v>
      </c>
      <c r="M11114" t="n">
        <v>0</v>
      </c>
      <c r="N11114" t="n">
        <v>0</v>
      </c>
      <c r="O11114" t="n">
        <v>0</v>
      </c>
      <c r="P11114" t="n">
        <v>0</v>
      </c>
      <c r="Q11114" t="n">
        <v>0</v>
      </c>
      <c r="R11114" t="n">
        <v>0</v>
      </c>
      <c r="S11114" t="n">
        <v>0</v>
      </c>
      <c r="T11114" t="n">
        <v>0</v>
      </c>
      <c r="U11114" t="n">
        <v>0</v>
      </c>
      <c r="V11114" s="2" t="inlineStr"/>
    </row>
    <row r="11115" ht="15" customHeight="1">
      <c r="A11115" t="inlineStr">
        <is>
          <t>S 161-2025</t>
        </is>
      </c>
      <c r="B11115" t="inlineStr">
        <is>
          <t>samrådsanmälan</t>
        </is>
      </c>
      <c r="C11115" t="inlineStr">
        <is>
          <t>Skogsgödsling</t>
        </is>
      </c>
      <c r="D11115" s="1" t="n">
        <v>45670</v>
      </c>
      <c r="E11115" s="1" t="n">
        <v>46326</v>
      </c>
      <c r="F11115" t="inlineStr">
        <is>
          <t>GÄVLEBORGS LÄN</t>
        </is>
      </c>
      <c r="G11115" t="inlineStr">
        <is>
          <t>HUDIKSVALL</t>
        </is>
      </c>
      <c r="H11115" t="inlineStr">
        <is>
          <t>Holmen skog AB</t>
        </is>
      </c>
      <c r="I11115" t="n">
        <v>39.3</v>
      </c>
      <c r="J11115" t="n">
        <v>0</v>
      </c>
      <c r="K11115" t="n">
        <v>0</v>
      </c>
      <c r="L11115" t="n">
        <v>0</v>
      </c>
      <c r="M11115" t="n">
        <v>0</v>
      </c>
      <c r="N11115" t="n">
        <v>0</v>
      </c>
      <c r="O11115" t="n">
        <v>0</v>
      </c>
      <c r="P11115" t="n">
        <v>0</v>
      </c>
      <c r="Q11115" t="n">
        <v>0</v>
      </c>
      <c r="R11115" t="n">
        <v>0</v>
      </c>
      <c r="S11115" t="n">
        <v>0</v>
      </c>
      <c r="T11115" t="n">
        <v>0</v>
      </c>
      <c r="U11115" t="n">
        <v>0</v>
      </c>
      <c r="V11115" s="2" t="inlineStr"/>
    </row>
    <row r="11116" ht="15" customHeight="1">
      <c r="A11116" t="inlineStr">
        <is>
          <t>S 133-2022</t>
        </is>
      </c>
      <c r="B11116" t="inlineStr">
        <is>
          <t>samrådsanmälan</t>
        </is>
      </c>
      <c r="C11116" t="inlineStr">
        <is>
          <t>Skogsgödsling</t>
        </is>
      </c>
      <c r="D11116" s="1" t="n">
        <v>44566</v>
      </c>
      <c r="E11116" s="1" t="n">
        <v>46326</v>
      </c>
      <c r="F11116" t="inlineStr">
        <is>
          <t>GÄVLEBORGS LÄN</t>
        </is>
      </c>
      <c r="G11116" t="inlineStr">
        <is>
          <t>LJUSDAL</t>
        </is>
      </c>
      <c r="H11116" t="inlineStr">
        <is>
          <t>Bergvik skog väst AB</t>
        </is>
      </c>
      <c r="I11116" t="n">
        <v>24.3</v>
      </c>
      <c r="J11116" t="n">
        <v>0</v>
      </c>
      <c r="K11116" t="n">
        <v>0</v>
      </c>
      <c r="L11116" t="n">
        <v>0</v>
      </c>
      <c r="M11116" t="n">
        <v>0</v>
      </c>
      <c r="N11116" t="n">
        <v>0</v>
      </c>
      <c r="O11116" t="n">
        <v>0</v>
      </c>
      <c r="P11116" t="n">
        <v>0</v>
      </c>
      <c r="Q11116" t="n">
        <v>0</v>
      </c>
      <c r="R11116" t="n">
        <v>0</v>
      </c>
      <c r="S11116" t="n">
        <v>0</v>
      </c>
      <c r="T11116" t="n">
        <v>0</v>
      </c>
      <c r="U11116" t="n">
        <v>0</v>
      </c>
      <c r="V11116" s="2" t="inlineStr"/>
    </row>
    <row r="11117" ht="15" customHeight="1">
      <c r="A11117" t="inlineStr">
        <is>
          <t>S 1669-2023</t>
        </is>
      </c>
      <c r="B11117" t="inlineStr">
        <is>
          <t>samrådsanmälan</t>
        </is>
      </c>
      <c r="C11117" t="inlineStr">
        <is>
          <t>Skogsgödsling</t>
        </is>
      </c>
      <c r="D11117" s="1" t="n">
        <v>45065</v>
      </c>
      <c r="E11117" s="1" t="n">
        <v>46326</v>
      </c>
      <c r="F11117" t="inlineStr">
        <is>
          <t>GÄVLEBORGS LÄN</t>
        </is>
      </c>
      <c r="G11117" t="inlineStr">
        <is>
          <t>LJUSDAL</t>
        </is>
      </c>
      <c r="I11117" t="n">
        <v>12.4</v>
      </c>
      <c r="J11117" t="n">
        <v>0</v>
      </c>
      <c r="K11117" t="n">
        <v>0</v>
      </c>
      <c r="L11117" t="n">
        <v>0</v>
      </c>
      <c r="M11117" t="n">
        <v>0</v>
      </c>
      <c r="N11117" t="n">
        <v>0</v>
      </c>
      <c r="O11117" t="n">
        <v>0</v>
      </c>
      <c r="P11117" t="n">
        <v>0</v>
      </c>
      <c r="Q11117" t="n">
        <v>0</v>
      </c>
      <c r="R11117" t="n">
        <v>0</v>
      </c>
      <c r="S11117" t="n">
        <v>0</v>
      </c>
      <c r="T11117" t="n">
        <v>0</v>
      </c>
      <c r="U11117" t="n">
        <v>0</v>
      </c>
      <c r="V11117" s="2" t="inlineStr"/>
    </row>
    <row r="11118" ht="15" customHeight="1">
      <c r="A11118" t="inlineStr">
        <is>
          <t>S 4000-2023</t>
        </is>
      </c>
      <c r="B11118" t="inlineStr">
        <is>
          <t>samrådsanmälan</t>
        </is>
      </c>
      <c r="C11118" t="inlineStr">
        <is>
          <t>Skogsgödsling</t>
        </is>
      </c>
      <c r="D11118" s="1" t="n">
        <v>45237</v>
      </c>
      <c r="E11118" s="1" t="n">
        <v>46326</v>
      </c>
      <c r="F11118" t="inlineStr">
        <is>
          <t>GÄVLEBORGS LÄN</t>
        </is>
      </c>
      <c r="G11118" t="inlineStr">
        <is>
          <t>BOLLNÄS</t>
        </is>
      </c>
      <c r="H11118" t="inlineStr">
        <is>
          <t>Holmen skog AB</t>
        </is>
      </c>
      <c r="I11118" t="n">
        <v>16.2</v>
      </c>
      <c r="J11118" t="n">
        <v>0</v>
      </c>
      <c r="K11118" t="n">
        <v>0</v>
      </c>
      <c r="L11118" t="n">
        <v>0</v>
      </c>
      <c r="M11118" t="n">
        <v>0</v>
      </c>
      <c r="N11118" t="n">
        <v>0</v>
      </c>
      <c r="O11118" t="n">
        <v>0</v>
      </c>
      <c r="P11118" t="n">
        <v>0</v>
      </c>
      <c r="Q11118" t="n">
        <v>0</v>
      </c>
      <c r="R11118" t="n">
        <v>0</v>
      </c>
      <c r="S11118" t="n">
        <v>0</v>
      </c>
      <c r="T11118" t="n">
        <v>0</v>
      </c>
      <c r="U11118" t="n">
        <v>0</v>
      </c>
      <c r="V11118" s="2" t="inlineStr"/>
    </row>
    <row r="11119" ht="15" customHeight="1">
      <c r="A11119" t="inlineStr">
        <is>
          <t>S 1025-2024</t>
        </is>
      </c>
      <c r="B11119" t="inlineStr">
        <is>
          <t>samrådsanmälan</t>
        </is>
      </c>
      <c r="C11119" t="inlineStr">
        <is>
          <t>Skogsgödsling</t>
        </is>
      </c>
      <c r="D11119" s="1" t="n">
        <v>45387</v>
      </c>
      <c r="E11119" s="1" t="n">
        <v>46326</v>
      </c>
      <c r="F11119" t="inlineStr">
        <is>
          <t>GÄVLEBORGS LÄN</t>
        </is>
      </c>
      <c r="G11119" t="inlineStr">
        <is>
          <t>HUDIKSVALL</t>
        </is>
      </c>
      <c r="H11119" t="inlineStr">
        <is>
          <t>Holmen skog AB</t>
        </is>
      </c>
      <c r="I11119" t="n">
        <v>117.6</v>
      </c>
      <c r="J11119" t="n">
        <v>0</v>
      </c>
      <c r="K11119" t="n">
        <v>0</v>
      </c>
      <c r="L11119" t="n">
        <v>0</v>
      </c>
      <c r="M11119" t="n">
        <v>0</v>
      </c>
      <c r="N11119" t="n">
        <v>0</v>
      </c>
      <c r="O11119" t="n">
        <v>0</v>
      </c>
      <c r="P11119" t="n">
        <v>0</v>
      </c>
      <c r="Q11119" t="n">
        <v>0</v>
      </c>
      <c r="R11119" t="n">
        <v>0</v>
      </c>
      <c r="S11119" t="n">
        <v>0</v>
      </c>
      <c r="T11119" t="n">
        <v>0</v>
      </c>
      <c r="U11119" t="n">
        <v>0</v>
      </c>
      <c r="V11119" s="2" t="inlineStr"/>
    </row>
    <row r="11120" ht="15" customHeight="1">
      <c r="A11120" t="inlineStr">
        <is>
          <t>S 1583-2023</t>
        </is>
      </c>
      <c r="B11120" t="inlineStr">
        <is>
          <t>samrådsanmälan</t>
        </is>
      </c>
      <c r="C11120" t="inlineStr">
        <is>
          <t>Skogsgödsling</t>
        </is>
      </c>
      <c r="D11120" s="1" t="n">
        <v>45058</v>
      </c>
      <c r="E11120" s="1" t="n">
        <v>46326</v>
      </c>
      <c r="F11120" t="inlineStr">
        <is>
          <t>GÄVLEBORGS LÄN</t>
        </is>
      </c>
      <c r="G11120" t="inlineStr">
        <is>
          <t>LJUSDAL</t>
        </is>
      </c>
      <c r="I11120" t="n">
        <v>0.8</v>
      </c>
      <c r="J11120" t="n">
        <v>0</v>
      </c>
      <c r="K11120" t="n">
        <v>0</v>
      </c>
      <c r="L11120" t="n">
        <v>0</v>
      </c>
      <c r="M11120" t="n">
        <v>0</v>
      </c>
      <c r="N11120" t="n">
        <v>0</v>
      </c>
      <c r="O11120" t="n">
        <v>0</v>
      </c>
      <c r="P11120" t="n">
        <v>0</v>
      </c>
      <c r="Q11120" t="n">
        <v>0</v>
      </c>
      <c r="R11120" t="n">
        <v>0</v>
      </c>
      <c r="S11120" t="n">
        <v>0</v>
      </c>
      <c r="T11120" t="n">
        <v>0</v>
      </c>
      <c r="U11120" t="n">
        <v>0</v>
      </c>
      <c r="V11120" s="2" t="inlineStr"/>
    </row>
    <row r="11121" ht="15" customHeight="1">
      <c r="A11121" t="inlineStr">
        <is>
          <t>S 3990-2023</t>
        </is>
      </c>
      <c r="B11121" t="inlineStr">
        <is>
          <t>samrådsanmälan</t>
        </is>
      </c>
      <c r="C11121" t="inlineStr">
        <is>
          <t>Skogsgödsling</t>
        </is>
      </c>
      <c r="D11121" s="1" t="n">
        <v>45238</v>
      </c>
      <c r="E11121" s="1" t="n">
        <v>46326</v>
      </c>
      <c r="F11121" t="inlineStr">
        <is>
          <t>GÄVLEBORGS LÄN</t>
        </is>
      </c>
      <c r="G11121" t="inlineStr">
        <is>
          <t>NORDANSTIG</t>
        </is>
      </c>
      <c r="H11121" t="inlineStr">
        <is>
          <t>Holmen skog AB</t>
        </is>
      </c>
      <c r="I11121" t="n">
        <v>79.5</v>
      </c>
      <c r="J11121" t="n">
        <v>0</v>
      </c>
      <c r="K11121" t="n">
        <v>0</v>
      </c>
      <c r="L11121" t="n">
        <v>0</v>
      </c>
      <c r="M11121" t="n">
        <v>0</v>
      </c>
      <c r="N11121" t="n">
        <v>0</v>
      </c>
      <c r="O11121" t="n">
        <v>0</v>
      </c>
      <c r="P11121" t="n">
        <v>0</v>
      </c>
      <c r="Q11121" t="n">
        <v>0</v>
      </c>
      <c r="R11121" t="n">
        <v>0</v>
      </c>
      <c r="S11121" t="n">
        <v>0</v>
      </c>
      <c r="T11121" t="n">
        <v>0</v>
      </c>
      <c r="U11121" t="n">
        <v>0</v>
      </c>
      <c r="V11121" s="2" t="inlineStr"/>
    </row>
    <row r="11122" ht="15" customHeight="1">
      <c r="A11122" t="inlineStr">
        <is>
          <t>S 1598-2023</t>
        </is>
      </c>
      <c r="B11122" t="inlineStr">
        <is>
          <t>samrådsanmälan</t>
        </is>
      </c>
      <c r="C11122" t="inlineStr">
        <is>
          <t>Skogsgödsling</t>
        </is>
      </c>
      <c r="D11122" s="1" t="n">
        <v>45056</v>
      </c>
      <c r="E11122" s="1" t="n">
        <v>46326</v>
      </c>
      <c r="F11122" t="inlineStr">
        <is>
          <t>GÄVLEBORGS LÄN</t>
        </is>
      </c>
      <c r="G11122" t="inlineStr">
        <is>
          <t>LJUSDAL</t>
        </is>
      </c>
      <c r="I11122" t="n">
        <v>13.5</v>
      </c>
      <c r="J11122" t="n">
        <v>0</v>
      </c>
      <c r="K11122" t="n">
        <v>0</v>
      </c>
      <c r="L11122" t="n">
        <v>0</v>
      </c>
      <c r="M11122" t="n">
        <v>0</v>
      </c>
      <c r="N11122" t="n">
        <v>0</v>
      </c>
      <c r="O11122" t="n">
        <v>0</v>
      </c>
      <c r="P11122" t="n">
        <v>0</v>
      </c>
      <c r="Q11122" t="n">
        <v>0</v>
      </c>
      <c r="R11122" t="n">
        <v>0</v>
      </c>
      <c r="S11122" t="n">
        <v>0</v>
      </c>
      <c r="T11122" t="n">
        <v>0</v>
      </c>
      <c r="U11122" t="n">
        <v>0</v>
      </c>
      <c r="V11122" s="2" t="inlineStr"/>
    </row>
    <row r="11123" ht="15" customHeight="1">
      <c r="A11123" t="inlineStr">
        <is>
          <t>S 141-2022</t>
        </is>
      </c>
      <c r="B11123" t="inlineStr">
        <is>
          <t>samrådsanmälan</t>
        </is>
      </c>
      <c r="C11123" t="inlineStr">
        <is>
          <t>Skogsgödsling</t>
        </is>
      </c>
      <c r="D11123" s="1" t="n">
        <v>44566</v>
      </c>
      <c r="E11123" s="1" t="n">
        <v>46326</v>
      </c>
      <c r="F11123" t="inlineStr">
        <is>
          <t>GÄVLEBORGS LÄN</t>
        </is>
      </c>
      <c r="G11123" t="inlineStr">
        <is>
          <t>LJUSDAL</t>
        </is>
      </c>
      <c r="H11123" t="inlineStr">
        <is>
          <t>Bergvik skog väst AB</t>
        </is>
      </c>
      <c r="I11123" t="n">
        <v>32.9</v>
      </c>
      <c r="J11123" t="n">
        <v>0</v>
      </c>
      <c r="K11123" t="n">
        <v>0</v>
      </c>
      <c r="L11123" t="n">
        <v>0</v>
      </c>
      <c r="M11123" t="n">
        <v>0</v>
      </c>
      <c r="N11123" t="n">
        <v>0</v>
      </c>
      <c r="O11123" t="n">
        <v>0</v>
      </c>
      <c r="P11123" t="n">
        <v>0</v>
      </c>
      <c r="Q11123" t="n">
        <v>0</v>
      </c>
      <c r="R11123" t="n">
        <v>0</v>
      </c>
      <c r="S11123" t="n">
        <v>0</v>
      </c>
      <c r="T11123" t="n">
        <v>0</v>
      </c>
      <c r="U11123" t="n">
        <v>0</v>
      </c>
      <c r="V11123" s="2" t="inlineStr"/>
    </row>
    <row r="11124" ht="15" customHeight="1">
      <c r="A11124" t="inlineStr">
        <is>
          <t>S 10130-2021</t>
        </is>
      </c>
      <c r="B11124" t="inlineStr">
        <is>
          <t>samrådsanmälan</t>
        </is>
      </c>
      <c r="C11124" t="inlineStr">
        <is>
          <t>Skogsgödsling</t>
        </is>
      </c>
      <c r="D11124" s="1" t="n">
        <v>44538</v>
      </c>
      <c r="E11124" s="1" t="n">
        <v>46326</v>
      </c>
      <c r="F11124" t="inlineStr">
        <is>
          <t>GÄVLEBORGS LÄN</t>
        </is>
      </c>
      <c r="G11124" t="inlineStr">
        <is>
          <t>NORDANSTIG</t>
        </is>
      </c>
      <c r="H11124" t="inlineStr">
        <is>
          <t>Holmen skog AB</t>
        </is>
      </c>
      <c r="I11124" t="n">
        <v>281.2</v>
      </c>
      <c r="J11124" t="n">
        <v>0</v>
      </c>
      <c r="K11124" t="n">
        <v>0</v>
      </c>
      <c r="L11124" t="n">
        <v>0</v>
      </c>
      <c r="M11124" t="n">
        <v>0</v>
      </c>
      <c r="N11124" t="n">
        <v>0</v>
      </c>
      <c r="O11124" t="n">
        <v>0</v>
      </c>
      <c r="P11124" t="n">
        <v>0</v>
      </c>
      <c r="Q11124" t="n">
        <v>0</v>
      </c>
      <c r="R11124" t="n">
        <v>0</v>
      </c>
      <c r="S11124" t="n">
        <v>0</v>
      </c>
      <c r="T11124" t="n">
        <v>0</v>
      </c>
      <c r="U11124" t="n">
        <v>0</v>
      </c>
      <c r="V11124" s="2" t="inlineStr"/>
    </row>
    <row r="11125" ht="15" customHeight="1">
      <c r="A11125" t="inlineStr">
        <is>
          <t>S 1589-2023</t>
        </is>
      </c>
      <c r="B11125" t="inlineStr">
        <is>
          <t>samrådsanmälan</t>
        </is>
      </c>
      <c r="C11125" t="inlineStr">
        <is>
          <t>Skogsgödsling</t>
        </is>
      </c>
      <c r="D11125" s="1" t="n">
        <v>45058</v>
      </c>
      <c r="E11125" s="1" t="n">
        <v>46326</v>
      </c>
      <c r="F11125" t="inlineStr">
        <is>
          <t>GÄVLEBORGS LÄN</t>
        </is>
      </c>
      <c r="G11125" t="inlineStr">
        <is>
          <t>LJUSDAL</t>
        </is>
      </c>
      <c r="I11125" t="n">
        <v>3.1</v>
      </c>
      <c r="J11125" t="n">
        <v>0</v>
      </c>
      <c r="K11125" t="n">
        <v>0</v>
      </c>
      <c r="L11125" t="n">
        <v>0</v>
      </c>
      <c r="M11125" t="n">
        <v>0</v>
      </c>
      <c r="N11125" t="n">
        <v>0</v>
      </c>
      <c r="O11125" t="n">
        <v>0</v>
      </c>
      <c r="P11125" t="n">
        <v>0</v>
      </c>
      <c r="Q11125" t="n">
        <v>0</v>
      </c>
      <c r="R11125" t="n">
        <v>0</v>
      </c>
      <c r="S11125" t="n">
        <v>0</v>
      </c>
      <c r="T11125" t="n">
        <v>0</v>
      </c>
      <c r="U11125" t="n">
        <v>0</v>
      </c>
      <c r="V11125" s="2" t="inlineStr"/>
    </row>
    <row r="11126" ht="15" customHeight="1">
      <c r="A11126" t="inlineStr">
        <is>
          <t>S 10329-2021</t>
        </is>
      </c>
      <c r="B11126" t="inlineStr">
        <is>
          <t>samrådsanmälan</t>
        </is>
      </c>
      <c r="C11126" t="inlineStr">
        <is>
          <t>Skogsgödsling</t>
        </is>
      </c>
      <c r="D11126" s="1" t="n">
        <v>44546</v>
      </c>
      <c r="E11126" s="1" t="n">
        <v>46326</v>
      </c>
      <c r="F11126" t="inlineStr">
        <is>
          <t>GÄVLEBORGS LÄN</t>
        </is>
      </c>
      <c r="G11126" t="inlineStr">
        <is>
          <t>BOLLNÄS</t>
        </is>
      </c>
      <c r="H11126" t="inlineStr">
        <is>
          <t>Sveaskog</t>
        </is>
      </c>
      <c r="I11126" t="n">
        <v>188.9</v>
      </c>
      <c r="J11126" t="n">
        <v>0</v>
      </c>
      <c r="K11126" t="n">
        <v>0</v>
      </c>
      <c r="L11126" t="n">
        <v>0</v>
      </c>
      <c r="M11126" t="n">
        <v>0</v>
      </c>
      <c r="N11126" t="n">
        <v>0</v>
      </c>
      <c r="O11126" t="n">
        <v>0</v>
      </c>
      <c r="P11126" t="n">
        <v>0</v>
      </c>
      <c r="Q11126" t="n">
        <v>0</v>
      </c>
      <c r="R11126" t="n">
        <v>0</v>
      </c>
      <c r="S11126" t="n">
        <v>0</v>
      </c>
      <c r="T11126" t="n">
        <v>0</v>
      </c>
      <c r="U11126" t="n">
        <v>0</v>
      </c>
      <c r="V11126" s="2" t="inlineStr"/>
    </row>
    <row r="11127" ht="15" customHeight="1">
      <c r="A11127" t="inlineStr">
        <is>
          <t>S 135-2025</t>
        </is>
      </c>
      <c r="B11127" t="inlineStr">
        <is>
          <t>samrådsanmälan</t>
        </is>
      </c>
      <c r="C11127" t="inlineStr">
        <is>
          <t>Skogsgödsling</t>
        </is>
      </c>
      <c r="D11127" s="1" t="n">
        <v>45670</v>
      </c>
      <c r="E11127" s="1" t="n">
        <v>46326</v>
      </c>
      <c r="F11127" t="inlineStr">
        <is>
          <t>GÄVLEBORGS LÄN</t>
        </is>
      </c>
      <c r="G11127" t="inlineStr">
        <is>
          <t>LJUSDAL</t>
        </is>
      </c>
      <c r="H11127" t="inlineStr">
        <is>
          <t>Holmen skog AB</t>
        </is>
      </c>
      <c r="I11127" t="n">
        <v>37.1</v>
      </c>
      <c r="J11127" t="n">
        <v>0</v>
      </c>
      <c r="K11127" t="n">
        <v>0</v>
      </c>
      <c r="L11127" t="n">
        <v>0</v>
      </c>
      <c r="M11127" t="n">
        <v>0</v>
      </c>
      <c r="N11127" t="n">
        <v>0</v>
      </c>
      <c r="O11127" t="n">
        <v>0</v>
      </c>
      <c r="P11127" t="n">
        <v>0</v>
      </c>
      <c r="Q11127" t="n">
        <v>0</v>
      </c>
      <c r="R11127" t="n">
        <v>0</v>
      </c>
      <c r="S11127" t="n">
        <v>0</v>
      </c>
      <c r="T11127" t="n">
        <v>0</v>
      </c>
      <c r="U11127" t="n">
        <v>0</v>
      </c>
      <c r="V11127" s="2" t="inlineStr"/>
    </row>
    <row r="11128" ht="15" customHeight="1">
      <c r="A11128" t="inlineStr">
        <is>
          <t>S 7-2024</t>
        </is>
      </c>
      <c r="B11128" t="inlineStr">
        <is>
          <t>samrådsanmälan</t>
        </is>
      </c>
      <c r="C11128" t="inlineStr">
        <is>
          <t>Skogsgödsling</t>
        </is>
      </c>
      <c r="D11128" s="1" t="n">
        <v>45293</v>
      </c>
      <c r="E11128" s="1" t="n">
        <v>46326</v>
      </c>
      <c r="F11128" t="inlineStr">
        <is>
          <t>GÄVLEBORGS LÄN</t>
        </is>
      </c>
      <c r="G11128" t="inlineStr">
        <is>
          <t>OVANÅKER</t>
        </is>
      </c>
      <c r="H11128" t="inlineStr">
        <is>
          <t>Bergvik skog väst AB</t>
        </is>
      </c>
      <c r="I11128" t="n">
        <v>4.7</v>
      </c>
      <c r="J11128" t="n">
        <v>0</v>
      </c>
      <c r="K11128" t="n">
        <v>0</v>
      </c>
      <c r="L11128" t="n">
        <v>0</v>
      </c>
      <c r="M11128" t="n">
        <v>0</v>
      </c>
      <c r="N11128" t="n">
        <v>0</v>
      </c>
      <c r="O11128" t="n">
        <v>0</v>
      </c>
      <c r="P11128" t="n">
        <v>0</v>
      </c>
      <c r="Q11128" t="n">
        <v>0</v>
      </c>
      <c r="R11128" t="n">
        <v>0</v>
      </c>
      <c r="S11128" t="n">
        <v>0</v>
      </c>
      <c r="T11128" t="n">
        <v>0</v>
      </c>
      <c r="U11128" t="n">
        <v>0</v>
      </c>
      <c r="V11128" s="2" t="inlineStr"/>
    </row>
    <row r="11129" ht="15" customHeight="1">
      <c r="A11129" t="inlineStr">
        <is>
          <t>S 140-2022</t>
        </is>
      </c>
      <c r="B11129" t="inlineStr">
        <is>
          <t>samrådsanmälan</t>
        </is>
      </c>
      <c r="C11129" t="inlineStr">
        <is>
          <t>Skogsgödsling</t>
        </is>
      </c>
      <c r="D11129" s="1" t="n">
        <v>44566</v>
      </c>
      <c r="E11129" s="1" t="n">
        <v>46326</v>
      </c>
      <c r="F11129" t="inlineStr">
        <is>
          <t>GÄVLEBORGS LÄN</t>
        </is>
      </c>
      <c r="G11129" t="inlineStr">
        <is>
          <t>LJUSDAL</t>
        </is>
      </c>
      <c r="H11129" t="inlineStr">
        <is>
          <t>Bergvik skog väst AB</t>
        </is>
      </c>
      <c r="I11129" t="n">
        <v>35.8</v>
      </c>
      <c r="J11129" t="n">
        <v>0</v>
      </c>
      <c r="K11129" t="n">
        <v>0</v>
      </c>
      <c r="L11129" t="n">
        <v>0</v>
      </c>
      <c r="M11129" t="n">
        <v>0</v>
      </c>
      <c r="N11129" t="n">
        <v>0</v>
      </c>
      <c r="O11129" t="n">
        <v>0</v>
      </c>
      <c r="P11129" t="n">
        <v>0</v>
      </c>
      <c r="Q11129" t="n">
        <v>0</v>
      </c>
      <c r="R11129" t="n">
        <v>0</v>
      </c>
      <c r="S11129" t="n">
        <v>0</v>
      </c>
      <c r="T11129" t="n">
        <v>0</v>
      </c>
      <c r="U11129" t="n">
        <v>0</v>
      </c>
      <c r="V11129" s="2" t="inlineStr"/>
    </row>
    <row r="11130" ht="15" customHeight="1">
      <c r="A11130" t="inlineStr">
        <is>
          <t>S 4-2024</t>
        </is>
      </c>
      <c r="B11130" t="inlineStr">
        <is>
          <t>samrådsanmälan</t>
        </is>
      </c>
      <c r="C11130" t="inlineStr">
        <is>
          <t>Skogsgödsling</t>
        </is>
      </c>
      <c r="D11130" s="1" t="n">
        <v>45293</v>
      </c>
      <c r="E11130" s="1" t="n">
        <v>46326</v>
      </c>
      <c r="F11130" t="inlineStr">
        <is>
          <t>GÄVLEBORGS LÄN</t>
        </is>
      </c>
      <c r="G11130" t="inlineStr">
        <is>
          <t>LJUSDAL</t>
        </is>
      </c>
      <c r="H11130" t="inlineStr">
        <is>
          <t>Bergvik skog väst AB</t>
        </is>
      </c>
      <c r="I11130" t="n">
        <v>19.7</v>
      </c>
      <c r="J11130" t="n">
        <v>0</v>
      </c>
      <c r="K11130" t="n">
        <v>0</v>
      </c>
      <c r="L11130" t="n">
        <v>0</v>
      </c>
      <c r="M11130" t="n">
        <v>0</v>
      </c>
      <c r="N11130" t="n">
        <v>0</v>
      </c>
      <c r="O11130" t="n">
        <v>0</v>
      </c>
      <c r="P11130" t="n">
        <v>0</v>
      </c>
      <c r="Q11130" t="n">
        <v>0</v>
      </c>
      <c r="R11130" t="n">
        <v>0</v>
      </c>
      <c r="S11130" t="n">
        <v>0</v>
      </c>
      <c r="T11130" t="n">
        <v>0</v>
      </c>
      <c r="U11130" t="n">
        <v>0</v>
      </c>
      <c r="V11130" s="2" t="inlineStr"/>
    </row>
    <row r="11131" ht="15" customHeight="1">
      <c r="A11131" t="inlineStr">
        <is>
          <t>S 176-2022</t>
        </is>
      </c>
      <c r="B11131" t="inlineStr">
        <is>
          <t>samrådsanmälan</t>
        </is>
      </c>
      <c r="C11131" t="inlineStr">
        <is>
          <t>Skogsgödsling</t>
        </is>
      </c>
      <c r="D11131" s="1" t="n">
        <v>44566</v>
      </c>
      <c r="E11131" s="1" t="n">
        <v>46326</v>
      </c>
      <c r="F11131" t="inlineStr">
        <is>
          <t>GÄVLEBORGS LÄN</t>
        </is>
      </c>
      <c r="G11131" t="inlineStr">
        <is>
          <t>OVANÅKER</t>
        </is>
      </c>
      <c r="H11131" t="inlineStr">
        <is>
          <t>Bergvik skog väst AB</t>
        </is>
      </c>
      <c r="I11131" t="n">
        <v>26.7</v>
      </c>
      <c r="J11131" t="n">
        <v>0</v>
      </c>
      <c r="K11131" t="n">
        <v>0</v>
      </c>
      <c r="L11131" t="n">
        <v>0</v>
      </c>
      <c r="M11131" t="n">
        <v>0</v>
      </c>
      <c r="N11131" t="n">
        <v>0</v>
      </c>
      <c r="O11131" t="n">
        <v>0</v>
      </c>
      <c r="P11131" t="n">
        <v>0</v>
      </c>
      <c r="Q11131" t="n">
        <v>0</v>
      </c>
      <c r="R11131" t="n">
        <v>0</v>
      </c>
      <c r="S11131" t="n">
        <v>0</v>
      </c>
      <c r="T11131" t="n">
        <v>0</v>
      </c>
      <c r="U11131" t="n">
        <v>0</v>
      </c>
      <c r="V11131" s="2" t="inlineStr"/>
    </row>
    <row r="11132" ht="15" customHeight="1">
      <c r="A11132" t="inlineStr">
        <is>
          <t>S 24-2024</t>
        </is>
      </c>
      <c r="B11132" t="inlineStr">
        <is>
          <t>samrådsanmälan</t>
        </is>
      </c>
      <c r="C11132" t="inlineStr">
        <is>
          <t>Skogsgödsling</t>
        </is>
      </c>
      <c r="D11132" s="1" t="n">
        <v>45293</v>
      </c>
      <c r="E11132" s="1" t="n">
        <v>46326</v>
      </c>
      <c r="F11132" t="inlineStr">
        <is>
          <t>GÄVLEBORGS LÄN</t>
        </is>
      </c>
      <c r="G11132" t="inlineStr">
        <is>
          <t>LJUSDAL</t>
        </is>
      </c>
      <c r="H11132" t="inlineStr">
        <is>
          <t>Bergvik skog väst AB</t>
        </is>
      </c>
      <c r="I11132" t="n">
        <v>32.6</v>
      </c>
      <c r="J11132" t="n">
        <v>0</v>
      </c>
      <c r="K11132" t="n">
        <v>0</v>
      </c>
      <c r="L11132" t="n">
        <v>0</v>
      </c>
      <c r="M11132" t="n">
        <v>0</v>
      </c>
      <c r="N11132" t="n">
        <v>0</v>
      </c>
      <c r="O11132" t="n">
        <v>0</v>
      </c>
      <c r="P11132" t="n">
        <v>0</v>
      </c>
      <c r="Q11132" t="n">
        <v>0</v>
      </c>
      <c r="R11132" t="n">
        <v>0</v>
      </c>
      <c r="S11132" t="n">
        <v>0</v>
      </c>
      <c r="T11132" t="n">
        <v>0</v>
      </c>
      <c r="U11132" t="n">
        <v>0</v>
      </c>
      <c r="V11132" s="2" t="inlineStr"/>
    </row>
    <row r="11133" ht="15" customHeight="1">
      <c r="A11133" t="inlineStr">
        <is>
          <t>S 219-2024</t>
        </is>
      </c>
      <c r="B11133" t="inlineStr">
        <is>
          <t>samrådsanmälan</t>
        </is>
      </c>
      <c r="C11133" t="inlineStr">
        <is>
          <t>Skogsgödsling</t>
        </is>
      </c>
      <c r="D11133" s="1" t="n">
        <v>45316</v>
      </c>
      <c r="E11133" s="1" t="n">
        <v>46326</v>
      </c>
      <c r="F11133" t="inlineStr">
        <is>
          <t>GÄVLEBORGS LÄN</t>
        </is>
      </c>
      <c r="G11133" t="inlineStr">
        <is>
          <t>SANDVIKEN</t>
        </is>
      </c>
      <c r="H11133" t="inlineStr">
        <is>
          <t>Sveaskog</t>
        </is>
      </c>
      <c r="I11133" t="n">
        <v>21</v>
      </c>
      <c r="J11133" t="n">
        <v>0</v>
      </c>
      <c r="K11133" t="n">
        <v>0</v>
      </c>
      <c r="L11133" t="n">
        <v>0</v>
      </c>
      <c r="M11133" t="n">
        <v>0</v>
      </c>
      <c r="N11133" t="n">
        <v>0</v>
      </c>
      <c r="O11133" t="n">
        <v>0</v>
      </c>
      <c r="P11133" t="n">
        <v>0</v>
      </c>
      <c r="Q11133" t="n">
        <v>0</v>
      </c>
      <c r="R11133" t="n">
        <v>0</v>
      </c>
      <c r="S11133" t="n">
        <v>0</v>
      </c>
      <c r="T11133" t="n">
        <v>0</v>
      </c>
      <c r="U11133" t="n">
        <v>0</v>
      </c>
      <c r="V11133" s="2" t="inlineStr"/>
    </row>
    <row r="11134" ht="15" customHeight="1">
      <c r="A11134" t="inlineStr">
        <is>
          <t>S 900-2024</t>
        </is>
      </c>
      <c r="B11134" t="inlineStr">
        <is>
          <t>samrådsanmälan</t>
        </is>
      </c>
      <c r="C11134" t="inlineStr">
        <is>
          <t>Skogsgödsling</t>
        </is>
      </c>
      <c r="D11134" s="1" t="n">
        <v>45376</v>
      </c>
      <c r="E11134" s="1" t="n">
        <v>46326</v>
      </c>
      <c r="F11134" t="inlineStr">
        <is>
          <t>GÄVLEBORGS LÄN</t>
        </is>
      </c>
      <c r="G11134" t="inlineStr">
        <is>
          <t>LJUSDAL</t>
        </is>
      </c>
      <c r="H11134" t="inlineStr">
        <is>
          <t>Bergvik skog väst AB</t>
        </is>
      </c>
      <c r="I11134" t="n">
        <v>22.8</v>
      </c>
      <c r="J11134" t="n">
        <v>0</v>
      </c>
      <c r="K11134" t="n">
        <v>0</v>
      </c>
      <c r="L11134" t="n">
        <v>0</v>
      </c>
      <c r="M11134" t="n">
        <v>0</v>
      </c>
      <c r="N11134" t="n">
        <v>0</v>
      </c>
      <c r="O11134" t="n">
        <v>0</v>
      </c>
      <c r="P11134" t="n">
        <v>0</v>
      </c>
      <c r="Q11134" t="n">
        <v>0</v>
      </c>
      <c r="R11134" t="n">
        <v>0</v>
      </c>
      <c r="S11134" t="n">
        <v>0</v>
      </c>
      <c r="T11134" t="n">
        <v>0</v>
      </c>
      <c r="U11134" t="n">
        <v>0</v>
      </c>
      <c r="V11134" s="2" t="inlineStr"/>
    </row>
    <row r="11135" ht="15" customHeight="1">
      <c r="A11135" t="inlineStr">
        <is>
          <t>S 1603-2023</t>
        </is>
      </c>
      <c r="B11135" t="inlineStr">
        <is>
          <t>samrådsanmälan</t>
        </is>
      </c>
      <c r="C11135" t="inlineStr">
        <is>
          <t>Skogsgödsling</t>
        </is>
      </c>
      <c r="D11135" s="1" t="n">
        <v>45061</v>
      </c>
      <c r="E11135" s="1" t="n">
        <v>46326</v>
      </c>
      <c r="F11135" t="inlineStr">
        <is>
          <t>GÄVLEBORGS LÄN</t>
        </is>
      </c>
      <c r="G11135" t="inlineStr">
        <is>
          <t>LJUSDAL</t>
        </is>
      </c>
      <c r="I11135" t="n">
        <v>9.6</v>
      </c>
      <c r="J11135" t="n">
        <v>0</v>
      </c>
      <c r="K11135" t="n">
        <v>0</v>
      </c>
      <c r="L11135" t="n">
        <v>0</v>
      </c>
      <c r="M11135" t="n">
        <v>0</v>
      </c>
      <c r="N11135" t="n">
        <v>0</v>
      </c>
      <c r="O11135" t="n">
        <v>0</v>
      </c>
      <c r="P11135" t="n">
        <v>0</v>
      </c>
      <c r="Q11135" t="n">
        <v>0</v>
      </c>
      <c r="R11135" t="n">
        <v>0</v>
      </c>
      <c r="S11135" t="n">
        <v>0</v>
      </c>
      <c r="T11135" t="n">
        <v>0</v>
      </c>
      <c r="U11135" t="n">
        <v>0</v>
      </c>
      <c r="V11135" s="2" t="inlineStr"/>
    </row>
    <row r="11136" ht="15" customHeight="1">
      <c r="A11136" t="inlineStr">
        <is>
          <t>S 972-2023</t>
        </is>
      </c>
      <c r="B11136" t="inlineStr">
        <is>
          <t>samrådsanmälan</t>
        </is>
      </c>
      <c r="C11136" t="inlineStr">
        <is>
          <t>Annan skogsbruksåtgärd</t>
        </is>
      </c>
      <c r="D11136" s="1" t="n">
        <v>45005</v>
      </c>
      <c r="E11136" s="1" t="n">
        <v>46326</v>
      </c>
      <c r="F11136" t="inlineStr">
        <is>
          <t>GÄVLEBORGS LÄN</t>
        </is>
      </c>
      <c r="G11136" t="inlineStr">
        <is>
          <t>BOLLNÄS</t>
        </is>
      </c>
      <c r="I11136" t="n">
        <v>0.1</v>
      </c>
      <c r="J11136" t="n">
        <v>0</v>
      </c>
      <c r="K11136" t="n">
        <v>0</v>
      </c>
      <c r="L11136" t="n">
        <v>0</v>
      </c>
      <c r="M11136" t="n">
        <v>0</v>
      </c>
      <c r="N11136" t="n">
        <v>0</v>
      </c>
      <c r="O11136" t="n">
        <v>0</v>
      </c>
      <c r="P11136" t="n">
        <v>0</v>
      </c>
      <c r="Q11136" t="n">
        <v>0</v>
      </c>
      <c r="R11136" t="n">
        <v>0</v>
      </c>
      <c r="S11136" t="n">
        <v>0</v>
      </c>
      <c r="T11136" t="n">
        <v>0</v>
      </c>
      <c r="U11136" t="n">
        <v>0</v>
      </c>
      <c r="V11136" s="2" t="inlineStr"/>
    </row>
    <row r="11137" ht="15" customHeight="1">
      <c r="A11137" t="inlineStr">
        <is>
          <t>S 3425-2023</t>
        </is>
      </c>
      <c r="B11137" t="inlineStr">
        <is>
          <t>samrådsanmälan</t>
        </is>
      </c>
      <c r="C11137" t="inlineStr">
        <is>
          <t>Annan skogsbruksåtgärd</t>
        </is>
      </c>
      <c r="D11137" s="1" t="n">
        <v>45205</v>
      </c>
      <c r="E11137" s="1" t="n">
        <v>46326</v>
      </c>
      <c r="F11137" t="inlineStr">
        <is>
          <t>GÄVLEBORGS LÄN</t>
        </is>
      </c>
      <c r="G11137" t="inlineStr">
        <is>
          <t>GÄVLE</t>
        </is>
      </c>
      <c r="I11137" t="n">
        <v>0.2</v>
      </c>
      <c r="J11137" t="n">
        <v>0</v>
      </c>
      <c r="K11137" t="n">
        <v>0</v>
      </c>
      <c r="L11137" t="n">
        <v>0</v>
      </c>
      <c r="M11137" t="n">
        <v>0</v>
      </c>
      <c r="N11137" t="n">
        <v>0</v>
      </c>
      <c r="O11137" t="n">
        <v>0</v>
      </c>
      <c r="P11137" t="n">
        <v>0</v>
      </c>
      <c r="Q11137" t="n">
        <v>0</v>
      </c>
      <c r="R11137" t="n">
        <v>0</v>
      </c>
      <c r="S11137" t="n">
        <v>0</v>
      </c>
      <c r="T11137" t="n">
        <v>0</v>
      </c>
      <c r="U11137" t="n">
        <v>0</v>
      </c>
      <c r="V11137" s="2" t="inlineStr"/>
      <c r="Z11137">
        <f>HYPERLINK("https://klasma.github.io/Logging_2180/knärot/S 3425-2023 karta knärot.png", "S 3425-2023")</f>
        <v/>
      </c>
      <c r="AA11137">
        <f>HYPERLINK("https://klasma.github.io/Logging_2180/klagomål/S 3425-2023 FSC-klagomål.docx", "S 3425-2023")</f>
        <v/>
      </c>
      <c r="AB11137">
        <f>HYPERLINK("https://klasma.github.io/Logging_2180/klagomålsmail/S 3425-2023 FSC-klagomål mail.docx", "S 3425-2023")</f>
        <v/>
      </c>
      <c r="AC11137">
        <f>HYPERLINK("https://klasma.github.io/Logging_2180/tillsyn/S 3425-2023 tillsynsbegäran.docx", "S 3425-2023")</f>
        <v/>
      </c>
      <c r="AD11137">
        <f>HYPERLINK("https://klasma.github.io/Logging_2180/tillsynsmail/S 3425-2023 tillsynsbegäran mail.docx", "S 3425-2023")</f>
        <v/>
      </c>
    </row>
    <row r="11138" ht="15" customHeight="1">
      <c r="A11138" t="inlineStr">
        <is>
          <t>S 3983-2023</t>
        </is>
      </c>
      <c r="B11138" t="inlineStr">
        <is>
          <t>samrådsanmälan</t>
        </is>
      </c>
      <c r="C11138" t="inlineStr">
        <is>
          <t>Skogsgödsling</t>
        </is>
      </c>
      <c r="D11138" s="1" t="n">
        <v>45238</v>
      </c>
      <c r="E11138" s="1" t="n">
        <v>46326</v>
      </c>
      <c r="F11138" t="inlineStr">
        <is>
          <t>GÄVLEBORGS LÄN</t>
        </is>
      </c>
      <c r="G11138" t="inlineStr">
        <is>
          <t>NORDANSTIG</t>
        </is>
      </c>
      <c r="H11138" t="inlineStr">
        <is>
          <t>Holmen skog AB</t>
        </is>
      </c>
      <c r="I11138" t="n">
        <v>73.3</v>
      </c>
      <c r="J11138" t="n">
        <v>0</v>
      </c>
      <c r="K11138" t="n">
        <v>0</v>
      </c>
      <c r="L11138" t="n">
        <v>0</v>
      </c>
      <c r="M11138" t="n">
        <v>0</v>
      </c>
      <c r="N11138" t="n">
        <v>0</v>
      </c>
      <c r="O11138" t="n">
        <v>0</v>
      </c>
      <c r="P11138" t="n">
        <v>0</v>
      </c>
      <c r="Q11138" t="n">
        <v>0</v>
      </c>
      <c r="R11138" t="n">
        <v>0</v>
      </c>
      <c r="S11138" t="n">
        <v>0</v>
      </c>
      <c r="T11138" t="n">
        <v>0</v>
      </c>
      <c r="U11138" t="n">
        <v>0</v>
      </c>
      <c r="V11138" s="2" t="inlineStr"/>
    </row>
    <row r="11139" ht="15" customHeight="1">
      <c r="A11139" t="inlineStr">
        <is>
          <t>S 889-2023</t>
        </is>
      </c>
      <c r="B11139" t="inlineStr">
        <is>
          <t>samrådsanmälan</t>
        </is>
      </c>
      <c r="C11139" t="inlineStr">
        <is>
          <t>Skogsgödsling</t>
        </is>
      </c>
      <c r="D11139" s="1" t="n">
        <v>44995</v>
      </c>
      <c r="E11139" s="1" t="n">
        <v>46326</v>
      </c>
      <c r="F11139" t="inlineStr">
        <is>
          <t>GÄVLEBORGS LÄN</t>
        </is>
      </c>
      <c r="G11139" t="inlineStr">
        <is>
          <t>GÄVLE</t>
        </is>
      </c>
      <c r="H11139" t="inlineStr">
        <is>
          <t>Bergvik skog väst AB</t>
        </is>
      </c>
      <c r="I11139" t="n">
        <v>13.3</v>
      </c>
      <c r="J11139" t="n">
        <v>0</v>
      </c>
      <c r="K11139" t="n">
        <v>0</v>
      </c>
      <c r="L11139" t="n">
        <v>0</v>
      </c>
      <c r="M11139" t="n">
        <v>0</v>
      </c>
      <c r="N11139" t="n">
        <v>0</v>
      </c>
      <c r="O11139" t="n">
        <v>0</v>
      </c>
      <c r="P11139" t="n">
        <v>0</v>
      </c>
      <c r="Q11139" t="n">
        <v>0</v>
      </c>
      <c r="R11139" t="n">
        <v>0</v>
      </c>
      <c r="S11139" t="n">
        <v>0</v>
      </c>
      <c r="T11139" t="n">
        <v>0</v>
      </c>
      <c r="U11139" t="n">
        <v>0</v>
      </c>
      <c r="V11139" s="2" t="inlineStr"/>
    </row>
    <row r="11140" ht="15" customHeight="1">
      <c r="A11140" t="inlineStr">
        <is>
          <t>S 15-2024</t>
        </is>
      </c>
      <c r="B11140" t="inlineStr">
        <is>
          <t>samrådsanmälan</t>
        </is>
      </c>
      <c r="C11140" t="inlineStr">
        <is>
          <t>Skogsgödsling</t>
        </is>
      </c>
      <c r="D11140" s="1" t="n">
        <v>45293</v>
      </c>
      <c r="E11140" s="1" t="n">
        <v>46326</v>
      </c>
      <c r="F11140" t="inlineStr">
        <is>
          <t>GÄVLEBORGS LÄN</t>
        </is>
      </c>
      <c r="G11140" t="inlineStr">
        <is>
          <t>SÖDERHAMN</t>
        </is>
      </c>
      <c r="H11140" t="inlineStr">
        <is>
          <t>Bergvik skog väst AB</t>
        </is>
      </c>
      <c r="I11140" t="n">
        <v>17.7</v>
      </c>
      <c r="J11140" t="n">
        <v>0</v>
      </c>
      <c r="K11140" t="n">
        <v>0</v>
      </c>
      <c r="L11140" t="n">
        <v>0</v>
      </c>
      <c r="M11140" t="n">
        <v>0</v>
      </c>
      <c r="N11140" t="n">
        <v>0</v>
      </c>
      <c r="O11140" t="n">
        <v>0</v>
      </c>
      <c r="P11140" t="n">
        <v>0</v>
      </c>
      <c r="Q11140" t="n">
        <v>0</v>
      </c>
      <c r="R11140" t="n">
        <v>0</v>
      </c>
      <c r="S11140" t="n">
        <v>0</v>
      </c>
      <c r="T11140" t="n">
        <v>0</v>
      </c>
      <c r="U11140" t="n">
        <v>0</v>
      </c>
      <c r="V11140" s="2" t="inlineStr"/>
    </row>
    <row r="11141" ht="15" customHeight="1">
      <c r="A11141" t="inlineStr">
        <is>
          <t>S 131-2025</t>
        </is>
      </c>
      <c r="B11141" t="inlineStr">
        <is>
          <t>samrådsanmälan</t>
        </is>
      </c>
      <c r="C11141" t="inlineStr">
        <is>
          <t>Skogsgödsling</t>
        </is>
      </c>
      <c r="D11141" s="1" t="n">
        <v>45670</v>
      </c>
      <c r="E11141" s="1" t="n">
        <v>46326</v>
      </c>
      <c r="F11141" t="inlineStr">
        <is>
          <t>GÄVLEBORGS LÄN</t>
        </is>
      </c>
      <c r="G11141" t="inlineStr">
        <is>
          <t>NORDANSTIG</t>
        </is>
      </c>
      <c r="H11141" t="inlineStr">
        <is>
          <t>Holmen skog AB</t>
        </is>
      </c>
      <c r="I11141" t="n">
        <v>14.6</v>
      </c>
      <c r="J11141" t="n">
        <v>0</v>
      </c>
      <c r="K11141" t="n">
        <v>0</v>
      </c>
      <c r="L11141" t="n">
        <v>0</v>
      </c>
      <c r="M11141" t="n">
        <v>0</v>
      </c>
      <c r="N11141" t="n">
        <v>0</v>
      </c>
      <c r="O11141" t="n">
        <v>0</v>
      </c>
      <c r="P11141" t="n">
        <v>0</v>
      </c>
      <c r="Q11141" t="n">
        <v>0</v>
      </c>
      <c r="R11141" t="n">
        <v>0</v>
      </c>
      <c r="S11141" t="n">
        <v>0</v>
      </c>
      <c r="T11141" t="n">
        <v>0</v>
      </c>
      <c r="U11141" t="n">
        <v>0</v>
      </c>
      <c r="V11141" s="2" t="inlineStr"/>
    </row>
    <row r="11142" ht="15" customHeight="1">
      <c r="A11142" t="inlineStr">
        <is>
          <t>S 4009-2023</t>
        </is>
      </c>
      <c r="B11142" t="inlineStr">
        <is>
          <t>samrådsanmälan</t>
        </is>
      </c>
      <c r="C11142" t="inlineStr">
        <is>
          <t>Skogsgödsling</t>
        </is>
      </c>
      <c r="D11142" s="1" t="n">
        <v>45237</v>
      </c>
      <c r="E11142" s="1" t="n">
        <v>46326</v>
      </c>
      <c r="F11142" t="inlineStr">
        <is>
          <t>GÄVLEBORGS LÄN</t>
        </is>
      </c>
      <c r="G11142" t="inlineStr">
        <is>
          <t>HUDIKSVALL</t>
        </is>
      </c>
      <c r="H11142" t="inlineStr">
        <is>
          <t>Holmen skog AB</t>
        </is>
      </c>
      <c r="I11142" t="n">
        <v>10.6</v>
      </c>
      <c r="J11142" t="n">
        <v>0</v>
      </c>
      <c r="K11142" t="n">
        <v>0</v>
      </c>
      <c r="L11142" t="n">
        <v>0</v>
      </c>
      <c r="M11142" t="n">
        <v>0</v>
      </c>
      <c r="N11142" t="n">
        <v>0</v>
      </c>
      <c r="O11142" t="n">
        <v>0</v>
      </c>
      <c r="P11142" t="n">
        <v>0</v>
      </c>
      <c r="Q11142" t="n">
        <v>0</v>
      </c>
      <c r="R11142" t="n">
        <v>0</v>
      </c>
      <c r="S11142" t="n">
        <v>0</v>
      </c>
      <c r="T11142" t="n">
        <v>0</v>
      </c>
      <c r="U11142" t="n">
        <v>0</v>
      </c>
      <c r="V11142" s="2" t="inlineStr"/>
    </row>
    <row r="11143" ht="15" customHeight="1">
      <c r="A11143" t="inlineStr">
        <is>
          <t>S 392-2025</t>
        </is>
      </c>
      <c r="B11143" t="inlineStr">
        <is>
          <t>samrådsanmälan</t>
        </is>
      </c>
      <c r="C11143" t="inlineStr">
        <is>
          <t>Skogsgödsling</t>
        </is>
      </c>
      <c r="D11143" s="1" t="n">
        <v>45695</v>
      </c>
      <c r="E11143" s="1" t="n">
        <v>46326</v>
      </c>
      <c r="F11143" t="inlineStr">
        <is>
          <t>GÄVLEBORGS LÄN</t>
        </is>
      </c>
      <c r="G11143" t="inlineStr">
        <is>
          <t>BOLLNÄS</t>
        </is>
      </c>
      <c r="H11143" t="inlineStr">
        <is>
          <t>Bergvik skog öst AB</t>
        </is>
      </c>
      <c r="I11143" t="n">
        <v>32.2</v>
      </c>
      <c r="J11143" t="n">
        <v>0</v>
      </c>
      <c r="K11143" t="n">
        <v>0</v>
      </c>
      <c r="L11143" t="n">
        <v>0</v>
      </c>
      <c r="M11143" t="n">
        <v>0</v>
      </c>
      <c r="N11143" t="n">
        <v>0</v>
      </c>
      <c r="O11143" t="n">
        <v>0</v>
      </c>
      <c r="P11143" t="n">
        <v>0</v>
      </c>
      <c r="Q11143" t="n">
        <v>0</v>
      </c>
      <c r="R11143" t="n">
        <v>0</v>
      </c>
      <c r="S11143" t="n">
        <v>0</v>
      </c>
      <c r="T11143" t="n">
        <v>0</v>
      </c>
      <c r="U11143" t="n">
        <v>0</v>
      </c>
      <c r="V11143" s="2" t="inlineStr"/>
    </row>
    <row r="11144" ht="15" customHeight="1">
      <c r="A11144" t="inlineStr">
        <is>
          <t>S 886-2024</t>
        </is>
      </c>
      <c r="B11144" t="inlineStr">
        <is>
          <t>samrådsanmälan</t>
        </is>
      </c>
      <c r="C11144" t="inlineStr">
        <is>
          <t>Annan skogsbruksåtgärd</t>
        </is>
      </c>
      <c r="D11144" s="1" t="n">
        <v>45376</v>
      </c>
      <c r="E11144" s="1" t="n">
        <v>46326</v>
      </c>
      <c r="F11144" t="inlineStr">
        <is>
          <t>GÄVLEBORGS LÄN</t>
        </is>
      </c>
      <c r="G11144" t="inlineStr">
        <is>
          <t>GÄVLE</t>
        </is>
      </c>
      <c r="H11144" t="inlineStr">
        <is>
          <t>Bergvik skog öst AB</t>
        </is>
      </c>
      <c r="I11144" t="n">
        <v>11.9</v>
      </c>
      <c r="J11144" t="n">
        <v>0</v>
      </c>
      <c r="K11144" t="n">
        <v>0</v>
      </c>
      <c r="L11144" t="n">
        <v>0</v>
      </c>
      <c r="M11144" t="n">
        <v>0</v>
      </c>
      <c r="N11144" t="n">
        <v>0</v>
      </c>
      <c r="O11144" t="n">
        <v>0</v>
      </c>
      <c r="P11144" t="n">
        <v>0</v>
      </c>
      <c r="Q11144" t="n">
        <v>0</v>
      </c>
      <c r="R11144" t="n">
        <v>0</v>
      </c>
      <c r="S11144" t="n">
        <v>0</v>
      </c>
      <c r="T11144" t="n">
        <v>0</v>
      </c>
      <c r="U11144" t="n">
        <v>0</v>
      </c>
      <c r="V11144" s="2" t="inlineStr"/>
    </row>
    <row r="11145" ht="15" customHeight="1">
      <c r="A11145" t="inlineStr">
        <is>
          <t>S 3986-2023</t>
        </is>
      </c>
      <c r="B11145" t="inlineStr">
        <is>
          <t>samrådsanmälan</t>
        </is>
      </c>
      <c r="C11145" t="inlineStr">
        <is>
          <t>Skogsgödsling</t>
        </is>
      </c>
      <c r="D11145" s="1" t="n">
        <v>45238</v>
      </c>
      <c r="E11145" s="1" t="n">
        <v>46326</v>
      </c>
      <c r="F11145" t="inlineStr">
        <is>
          <t>GÄVLEBORGS LÄN</t>
        </is>
      </c>
      <c r="G11145" t="inlineStr">
        <is>
          <t>NORDANSTIG</t>
        </is>
      </c>
      <c r="H11145" t="inlineStr">
        <is>
          <t>Holmen skog AB</t>
        </is>
      </c>
      <c r="I11145" t="n">
        <v>131.6</v>
      </c>
      <c r="J11145" t="n">
        <v>0</v>
      </c>
      <c r="K11145" t="n">
        <v>0</v>
      </c>
      <c r="L11145" t="n">
        <v>0</v>
      </c>
      <c r="M11145" t="n">
        <v>0</v>
      </c>
      <c r="N11145" t="n">
        <v>0</v>
      </c>
      <c r="O11145" t="n">
        <v>0</v>
      </c>
      <c r="P11145" t="n">
        <v>0</v>
      </c>
      <c r="Q11145" t="n">
        <v>0</v>
      </c>
      <c r="R11145" t="n">
        <v>0</v>
      </c>
      <c r="S11145" t="n">
        <v>0</v>
      </c>
      <c r="T11145" t="n">
        <v>0</v>
      </c>
      <c r="U11145" t="n">
        <v>0</v>
      </c>
      <c r="V11145" s="2" t="inlineStr"/>
    </row>
    <row r="11146" ht="15" customHeight="1">
      <c r="A11146" t="inlineStr">
        <is>
          <t>S 4008-2023</t>
        </is>
      </c>
      <c r="B11146" t="inlineStr">
        <is>
          <t>samrådsanmälan</t>
        </is>
      </c>
      <c r="C11146" t="inlineStr">
        <is>
          <t>Skogsgödsling</t>
        </is>
      </c>
      <c r="D11146" s="1" t="n">
        <v>45237</v>
      </c>
      <c r="E11146" s="1" t="n">
        <v>46326</v>
      </c>
      <c r="F11146" t="inlineStr">
        <is>
          <t>GÄVLEBORGS LÄN</t>
        </is>
      </c>
      <c r="G11146" t="inlineStr">
        <is>
          <t>HUDIKSVALL</t>
        </is>
      </c>
      <c r="H11146" t="inlineStr">
        <is>
          <t>Holmen skog AB</t>
        </is>
      </c>
      <c r="I11146" t="n">
        <v>42.8</v>
      </c>
      <c r="J11146" t="n">
        <v>0</v>
      </c>
      <c r="K11146" t="n">
        <v>0</v>
      </c>
      <c r="L11146" t="n">
        <v>0</v>
      </c>
      <c r="M11146" t="n">
        <v>0</v>
      </c>
      <c r="N11146" t="n">
        <v>0</v>
      </c>
      <c r="O11146" t="n">
        <v>0</v>
      </c>
      <c r="P11146" t="n">
        <v>0</v>
      </c>
      <c r="Q11146" t="n">
        <v>0</v>
      </c>
      <c r="R11146" t="n">
        <v>0</v>
      </c>
      <c r="S11146" t="n">
        <v>0</v>
      </c>
      <c r="T11146" t="n">
        <v>0</v>
      </c>
      <c r="U11146" t="n">
        <v>0</v>
      </c>
      <c r="V11146" s="2" t="inlineStr"/>
    </row>
    <row r="11147" ht="15" customHeight="1">
      <c r="A11147" t="inlineStr">
        <is>
          <t>S 117-2025</t>
        </is>
      </c>
      <c r="B11147" t="inlineStr">
        <is>
          <t>samrådsanmälan</t>
        </is>
      </c>
      <c r="C11147" t="inlineStr">
        <is>
          <t>Skogsgödsling</t>
        </is>
      </c>
      <c r="D11147" s="1" t="n">
        <v>45670</v>
      </c>
      <c r="E11147" s="1" t="n">
        <v>46326</v>
      </c>
      <c r="F11147" t="inlineStr">
        <is>
          <t>GÄVLEBORGS LÄN</t>
        </is>
      </c>
      <c r="G11147" t="inlineStr">
        <is>
          <t>NORDANSTIG</t>
        </is>
      </c>
      <c r="H11147" t="inlineStr">
        <is>
          <t>Holmen skog AB</t>
        </is>
      </c>
      <c r="I11147" t="n">
        <v>68.7</v>
      </c>
      <c r="J11147" t="n">
        <v>0</v>
      </c>
      <c r="K11147" t="n">
        <v>0</v>
      </c>
      <c r="L11147" t="n">
        <v>0</v>
      </c>
      <c r="M11147" t="n">
        <v>0</v>
      </c>
      <c r="N11147" t="n">
        <v>0</v>
      </c>
      <c r="O11147" t="n">
        <v>0</v>
      </c>
      <c r="P11147" t="n">
        <v>0</v>
      </c>
      <c r="Q11147" t="n">
        <v>0</v>
      </c>
      <c r="R11147" t="n">
        <v>0</v>
      </c>
      <c r="S11147" t="n">
        <v>0</v>
      </c>
      <c r="T11147" t="n">
        <v>0</v>
      </c>
      <c r="U11147" t="n">
        <v>0</v>
      </c>
      <c r="V11147" s="2" t="inlineStr"/>
    </row>
    <row r="11148" ht="15" customHeight="1">
      <c r="A11148" t="inlineStr">
        <is>
          <t>S 10198-2021</t>
        </is>
      </c>
      <c r="B11148" t="inlineStr">
        <is>
          <t>samrådsanmälan</t>
        </is>
      </c>
      <c r="C11148" t="inlineStr">
        <is>
          <t>Skogsgödsling</t>
        </is>
      </c>
      <c r="D11148" s="1" t="n">
        <v>44543</v>
      </c>
      <c r="E11148" s="1" t="n">
        <v>46326</v>
      </c>
      <c r="F11148" t="inlineStr">
        <is>
          <t>GÄVLEBORGS LÄN</t>
        </is>
      </c>
      <c r="G11148" t="inlineStr">
        <is>
          <t>HUDIKSVALL</t>
        </is>
      </c>
      <c r="I11148" t="n">
        <v>2.8</v>
      </c>
      <c r="J11148" t="n">
        <v>0</v>
      </c>
      <c r="K11148" t="n">
        <v>0</v>
      </c>
      <c r="L11148" t="n">
        <v>0</v>
      </c>
      <c r="M11148" t="n">
        <v>0</v>
      </c>
      <c r="N11148" t="n">
        <v>0</v>
      </c>
      <c r="O11148" t="n">
        <v>0</v>
      </c>
      <c r="P11148" t="n">
        <v>0</v>
      </c>
      <c r="Q11148" t="n">
        <v>0</v>
      </c>
      <c r="R11148" t="n">
        <v>0</v>
      </c>
      <c r="S11148" t="n">
        <v>0</v>
      </c>
      <c r="T11148" t="n">
        <v>0</v>
      </c>
      <c r="U11148" t="n">
        <v>0</v>
      </c>
      <c r="V11148" s="2" t="inlineStr"/>
    </row>
    <row r="11149" ht="15" customHeight="1">
      <c r="A11149" t="inlineStr">
        <is>
          <t>S 8-2024</t>
        </is>
      </c>
      <c r="B11149" t="inlineStr">
        <is>
          <t>samrådsanmälan</t>
        </is>
      </c>
      <c r="C11149" t="inlineStr">
        <is>
          <t>Skogsgödsling</t>
        </is>
      </c>
      <c r="D11149" s="1" t="n">
        <v>45293</v>
      </c>
      <c r="E11149" s="1" t="n">
        <v>46326</v>
      </c>
      <c r="F11149" t="inlineStr">
        <is>
          <t>GÄVLEBORGS LÄN</t>
        </is>
      </c>
      <c r="G11149" t="inlineStr">
        <is>
          <t>LJUSDAL</t>
        </is>
      </c>
      <c r="H11149" t="inlineStr">
        <is>
          <t>Bergvik skog väst AB</t>
        </is>
      </c>
      <c r="I11149" t="n">
        <v>56.4</v>
      </c>
      <c r="J11149" t="n">
        <v>0</v>
      </c>
      <c r="K11149" t="n">
        <v>0</v>
      </c>
      <c r="L11149" t="n">
        <v>0</v>
      </c>
      <c r="M11149" t="n">
        <v>0</v>
      </c>
      <c r="N11149" t="n">
        <v>0</v>
      </c>
      <c r="O11149" t="n">
        <v>0</v>
      </c>
      <c r="P11149" t="n">
        <v>0</v>
      </c>
      <c r="Q11149" t="n">
        <v>0</v>
      </c>
      <c r="R11149" t="n">
        <v>0</v>
      </c>
      <c r="S11149" t="n">
        <v>0</v>
      </c>
      <c r="T11149" t="n">
        <v>0</v>
      </c>
      <c r="U11149" t="n">
        <v>0</v>
      </c>
      <c r="V11149" s="2" t="inlineStr"/>
    </row>
    <row r="11150" ht="15" customHeight="1">
      <c r="A11150" t="inlineStr">
        <is>
          <t>S 1588-2023</t>
        </is>
      </c>
      <c r="B11150" t="inlineStr">
        <is>
          <t>samrådsanmälan</t>
        </is>
      </c>
      <c r="C11150" t="inlineStr">
        <is>
          <t>Skogsgödsling</t>
        </is>
      </c>
      <c r="D11150" s="1" t="n">
        <v>45058</v>
      </c>
      <c r="E11150" s="1" t="n">
        <v>46326</v>
      </c>
      <c r="F11150" t="inlineStr">
        <is>
          <t>GÄVLEBORGS LÄN</t>
        </is>
      </c>
      <c r="G11150" t="inlineStr">
        <is>
          <t>LJUSDAL</t>
        </is>
      </c>
      <c r="I11150" t="n">
        <v>2.4</v>
      </c>
      <c r="J11150" t="n">
        <v>0</v>
      </c>
      <c r="K11150" t="n">
        <v>0</v>
      </c>
      <c r="L11150" t="n">
        <v>0</v>
      </c>
      <c r="M11150" t="n">
        <v>0</v>
      </c>
      <c r="N11150" t="n">
        <v>0</v>
      </c>
      <c r="O11150" t="n">
        <v>0</v>
      </c>
      <c r="P11150" t="n">
        <v>0</v>
      </c>
      <c r="Q11150" t="n">
        <v>0</v>
      </c>
      <c r="R11150" t="n">
        <v>0</v>
      </c>
      <c r="S11150" t="n">
        <v>0</v>
      </c>
      <c r="T11150" t="n">
        <v>0</v>
      </c>
      <c r="U11150" t="n">
        <v>0</v>
      </c>
      <c r="V11150" s="2" t="inlineStr"/>
    </row>
    <row r="11151" ht="15" customHeight="1">
      <c r="A11151" t="inlineStr">
        <is>
          <t>S 5089-2024</t>
        </is>
      </c>
      <c r="B11151" t="inlineStr">
        <is>
          <t>samrådsanmälan</t>
        </is>
      </c>
      <c r="C11151" t="inlineStr">
        <is>
          <t>Skogsgödsling</t>
        </is>
      </c>
      <c r="D11151" s="1" t="n">
        <v>45639</v>
      </c>
      <c r="E11151" s="1" t="n">
        <v>46326</v>
      </c>
      <c r="F11151" t="inlineStr">
        <is>
          <t>GÄVLEBORGS LÄN</t>
        </is>
      </c>
      <c r="G11151" t="inlineStr">
        <is>
          <t>HUDIKSVALL</t>
        </is>
      </c>
      <c r="I11151" t="n">
        <v>17.2</v>
      </c>
      <c r="J11151" t="n">
        <v>0</v>
      </c>
      <c r="K11151" t="n">
        <v>0</v>
      </c>
      <c r="L11151" t="n">
        <v>0</v>
      </c>
      <c r="M11151" t="n">
        <v>0</v>
      </c>
      <c r="N11151" t="n">
        <v>0</v>
      </c>
      <c r="O11151" t="n">
        <v>0</v>
      </c>
      <c r="P11151" t="n">
        <v>0</v>
      </c>
      <c r="Q11151" t="n">
        <v>0</v>
      </c>
      <c r="R11151" t="n">
        <v>0</v>
      </c>
      <c r="S11151" t="n">
        <v>0</v>
      </c>
      <c r="T11151" t="n">
        <v>0</v>
      </c>
      <c r="U11151" t="n">
        <v>0</v>
      </c>
      <c r="V11151" s="2" t="inlineStr"/>
    </row>
    <row r="11152" ht="15" customHeight="1">
      <c r="A11152" t="inlineStr">
        <is>
          <t>S 5000-2024</t>
        </is>
      </c>
      <c r="B11152" t="inlineStr">
        <is>
          <t>samrådsanmälan</t>
        </is>
      </c>
      <c r="C11152" t="inlineStr">
        <is>
          <t>Annan skogsbruksåtgärd</t>
        </is>
      </c>
      <c r="D11152" s="1" t="n">
        <v>45631</v>
      </c>
      <c r="E11152" s="1" t="n">
        <v>46326</v>
      </c>
      <c r="F11152" t="inlineStr">
        <is>
          <t>GÄVLEBORGS LÄN</t>
        </is>
      </c>
      <c r="G11152" t="inlineStr">
        <is>
          <t>BOLLNÄS</t>
        </is>
      </c>
      <c r="I11152" t="n">
        <v>3.7</v>
      </c>
      <c r="J11152" t="n">
        <v>0</v>
      </c>
      <c r="K11152" t="n">
        <v>0</v>
      </c>
      <c r="L11152" t="n">
        <v>0</v>
      </c>
      <c r="M11152" t="n">
        <v>0</v>
      </c>
      <c r="N11152" t="n">
        <v>0</v>
      </c>
      <c r="O11152" t="n">
        <v>0</v>
      </c>
      <c r="P11152" t="n">
        <v>0</v>
      </c>
      <c r="Q11152" t="n">
        <v>0</v>
      </c>
      <c r="R11152" t="n">
        <v>0</v>
      </c>
      <c r="S11152" t="n">
        <v>0</v>
      </c>
      <c r="T11152" t="n">
        <v>0</v>
      </c>
      <c r="U11152" t="n">
        <v>0</v>
      </c>
      <c r="V11152" s="2" t="inlineStr"/>
    </row>
    <row r="11153" ht="15" customHeight="1">
      <c r="A11153" t="inlineStr">
        <is>
          <t>S 198-2024</t>
        </is>
      </c>
      <c r="B11153" t="inlineStr">
        <is>
          <t>samrådsanmälan</t>
        </is>
      </c>
      <c r="C11153" t="inlineStr">
        <is>
          <t>Skogsgödsling</t>
        </is>
      </c>
      <c r="D11153" s="1" t="n">
        <v>45315</v>
      </c>
      <c r="E11153" s="1" t="n">
        <v>46326</v>
      </c>
      <c r="F11153" t="inlineStr">
        <is>
          <t>GÄVLEBORGS LÄN</t>
        </is>
      </c>
      <c r="G11153" t="inlineStr">
        <is>
          <t>SANDVIKEN</t>
        </is>
      </c>
      <c r="H11153" t="inlineStr">
        <is>
          <t>Bergvik skog öst AB</t>
        </is>
      </c>
      <c r="I11153" t="n">
        <v>64.59999999999999</v>
      </c>
      <c r="J11153" t="n">
        <v>0</v>
      </c>
      <c r="K11153" t="n">
        <v>0</v>
      </c>
      <c r="L11153" t="n">
        <v>0</v>
      </c>
      <c r="M11153" t="n">
        <v>0</v>
      </c>
      <c r="N11153" t="n">
        <v>0</v>
      </c>
      <c r="O11153" t="n">
        <v>0</v>
      </c>
      <c r="P11153" t="n">
        <v>0</v>
      </c>
      <c r="Q11153" t="n">
        <v>0</v>
      </c>
      <c r="R11153" t="n">
        <v>0</v>
      </c>
      <c r="S11153" t="n">
        <v>0</v>
      </c>
      <c r="T11153" t="n">
        <v>0</v>
      </c>
      <c r="U11153" t="n">
        <v>0</v>
      </c>
      <c r="V11153" s="2" t="inlineStr"/>
    </row>
    <row r="11154" ht="15" customHeight="1">
      <c r="A11154" t="inlineStr">
        <is>
          <t>S 1510-2023</t>
        </is>
      </c>
      <c r="B11154" t="inlineStr">
        <is>
          <t>samrådsanmälan</t>
        </is>
      </c>
      <c r="C11154" t="inlineStr">
        <is>
          <t>Skogsgödsling</t>
        </is>
      </c>
      <c r="D11154" s="1" t="n">
        <v>45054</v>
      </c>
      <c r="E11154" s="1" t="n">
        <v>46326</v>
      </c>
      <c r="F11154" t="inlineStr">
        <is>
          <t>GÄVLEBORGS LÄN</t>
        </is>
      </c>
      <c r="G11154" t="inlineStr">
        <is>
          <t>LJUSDAL</t>
        </is>
      </c>
      <c r="I11154" t="n">
        <v>15.4</v>
      </c>
      <c r="J11154" t="n">
        <v>0</v>
      </c>
      <c r="K11154" t="n">
        <v>0</v>
      </c>
      <c r="L11154" t="n">
        <v>0</v>
      </c>
      <c r="M11154" t="n">
        <v>0</v>
      </c>
      <c r="N11154" t="n">
        <v>0</v>
      </c>
      <c r="O11154" t="n">
        <v>0</v>
      </c>
      <c r="P11154" t="n">
        <v>0</v>
      </c>
      <c r="Q11154" t="n">
        <v>0</v>
      </c>
      <c r="R11154" t="n">
        <v>0</v>
      </c>
      <c r="S11154" t="n">
        <v>0</v>
      </c>
      <c r="T11154" t="n">
        <v>0</v>
      </c>
      <c r="U11154" t="n">
        <v>0</v>
      </c>
      <c r="V11154" s="2" t="inlineStr"/>
    </row>
    <row r="11155" ht="15" customHeight="1">
      <c r="A11155" t="inlineStr">
        <is>
          <t>S 125-2025</t>
        </is>
      </c>
      <c r="B11155" t="inlineStr">
        <is>
          <t>samrådsanmälan</t>
        </is>
      </c>
      <c r="C11155" t="inlineStr">
        <is>
          <t>Skogsgödsling</t>
        </is>
      </c>
      <c r="D11155" s="1" t="n">
        <v>45670</v>
      </c>
      <c r="E11155" s="1" t="n">
        <v>46326</v>
      </c>
      <c r="F11155" t="inlineStr">
        <is>
          <t>GÄVLEBORGS LÄN</t>
        </is>
      </c>
      <c r="G11155" t="inlineStr">
        <is>
          <t>HUDIKSVALL</t>
        </is>
      </c>
      <c r="H11155" t="inlineStr">
        <is>
          <t>Holmen skog AB</t>
        </is>
      </c>
      <c r="I11155" t="n">
        <v>29.4</v>
      </c>
      <c r="J11155" t="n">
        <v>0</v>
      </c>
      <c r="K11155" t="n">
        <v>0</v>
      </c>
      <c r="L11155" t="n">
        <v>0</v>
      </c>
      <c r="M11155" t="n">
        <v>0</v>
      </c>
      <c r="N11155" t="n">
        <v>0</v>
      </c>
      <c r="O11155" t="n">
        <v>0</v>
      </c>
      <c r="P11155" t="n">
        <v>0</v>
      </c>
      <c r="Q11155" t="n">
        <v>0</v>
      </c>
      <c r="R11155" t="n">
        <v>0</v>
      </c>
      <c r="S11155" t="n">
        <v>0</v>
      </c>
      <c r="T11155" t="n">
        <v>0</v>
      </c>
      <c r="U11155" t="n">
        <v>0</v>
      </c>
      <c r="V11155" s="2" t="inlineStr"/>
    </row>
    <row r="11156" ht="15" customHeight="1">
      <c r="A11156" t="inlineStr">
        <is>
          <t>S 126-2025</t>
        </is>
      </c>
      <c r="B11156" t="inlineStr">
        <is>
          <t>samrådsanmälan</t>
        </is>
      </c>
      <c r="C11156" t="inlineStr">
        <is>
          <t>Skogsgödsling</t>
        </is>
      </c>
      <c r="D11156" s="1" t="n">
        <v>45670</v>
      </c>
      <c r="E11156" s="1" t="n">
        <v>46326</v>
      </c>
      <c r="F11156" t="inlineStr">
        <is>
          <t>GÄVLEBORGS LÄN</t>
        </is>
      </c>
      <c r="G11156" t="inlineStr">
        <is>
          <t>HUDIKSVALL</t>
        </is>
      </c>
      <c r="H11156" t="inlineStr">
        <is>
          <t>Holmen skog AB</t>
        </is>
      </c>
      <c r="I11156" t="n">
        <v>2.1</v>
      </c>
      <c r="J11156" t="n">
        <v>0</v>
      </c>
      <c r="K11156" t="n">
        <v>0</v>
      </c>
      <c r="L11156" t="n">
        <v>0</v>
      </c>
      <c r="M11156" t="n">
        <v>0</v>
      </c>
      <c r="N11156" t="n">
        <v>0</v>
      </c>
      <c r="O11156" t="n">
        <v>0</v>
      </c>
      <c r="P11156" t="n">
        <v>0</v>
      </c>
      <c r="Q11156" t="n">
        <v>0</v>
      </c>
      <c r="R11156" t="n">
        <v>0</v>
      </c>
      <c r="S11156" t="n">
        <v>0</v>
      </c>
      <c r="T11156" t="n">
        <v>0</v>
      </c>
      <c r="U11156" t="n">
        <v>0</v>
      </c>
      <c r="V11156" s="2" t="inlineStr"/>
    </row>
    <row r="11157" ht="15" customHeight="1">
      <c r="A11157" t="inlineStr">
        <is>
          <t>S 4021-2023</t>
        </is>
      </c>
      <c r="B11157" t="inlineStr">
        <is>
          <t>samrådsanmälan</t>
        </is>
      </c>
      <c r="C11157" t="inlineStr">
        <is>
          <t>Skogsgödsling</t>
        </is>
      </c>
      <c r="D11157" s="1" t="n">
        <v>45237</v>
      </c>
      <c r="E11157" s="1" t="n">
        <v>46326</v>
      </c>
      <c r="F11157" t="inlineStr">
        <is>
          <t>GÄVLEBORGS LÄN</t>
        </is>
      </c>
      <c r="G11157" t="inlineStr">
        <is>
          <t>HUDIKSVALL</t>
        </is>
      </c>
      <c r="H11157" t="inlineStr">
        <is>
          <t>Holmen skog AB</t>
        </is>
      </c>
      <c r="I11157" t="n">
        <v>29.1</v>
      </c>
      <c r="J11157" t="n">
        <v>0</v>
      </c>
      <c r="K11157" t="n">
        <v>0</v>
      </c>
      <c r="L11157" t="n">
        <v>0</v>
      </c>
      <c r="M11157" t="n">
        <v>0</v>
      </c>
      <c r="N11157" t="n">
        <v>0</v>
      </c>
      <c r="O11157" t="n">
        <v>0</v>
      </c>
      <c r="P11157" t="n">
        <v>0</v>
      </c>
      <c r="Q11157" t="n">
        <v>0</v>
      </c>
      <c r="R11157" t="n">
        <v>0</v>
      </c>
      <c r="S11157" t="n">
        <v>0</v>
      </c>
      <c r="T11157" t="n">
        <v>0</v>
      </c>
      <c r="U11157" t="n">
        <v>0</v>
      </c>
      <c r="V11157" s="2" t="inlineStr"/>
      <c r="Z11157">
        <f>HYPERLINK("https://klasma.github.io/Logging_2184/knärot/S 4021-2023 karta knärot.png", "S 4021-2023")</f>
        <v/>
      </c>
      <c r="AA11157">
        <f>HYPERLINK("https://klasma.github.io/Logging_2184/klagomål/S 4021-2023 FSC-klagomål.docx", "S 4021-2023")</f>
        <v/>
      </c>
      <c r="AB11157">
        <f>HYPERLINK("https://klasma.github.io/Logging_2184/klagomålsmail/S 4021-2023 FSC-klagomål mail.docx", "S 4021-2023")</f>
        <v/>
      </c>
      <c r="AC11157">
        <f>HYPERLINK("https://klasma.github.io/Logging_2184/tillsyn/S 4021-2023 tillsynsbegäran.docx", "S 4021-2023")</f>
        <v/>
      </c>
      <c r="AD11157">
        <f>HYPERLINK("https://klasma.github.io/Logging_2184/tillsynsmail/S 4021-2023 tillsynsbegäran mail.docx", "S 4021-2023")</f>
        <v/>
      </c>
    </row>
    <row r="11158" ht="15" customHeight="1">
      <c r="A11158" t="inlineStr">
        <is>
          <t>S 1676-2023</t>
        </is>
      </c>
      <c r="B11158" t="inlineStr">
        <is>
          <t>samrådsanmälan</t>
        </is>
      </c>
      <c r="C11158" t="inlineStr">
        <is>
          <t>Skogsgödsling</t>
        </is>
      </c>
      <c r="D11158" s="1" t="n">
        <v>45065</v>
      </c>
      <c r="E11158" s="1" t="n">
        <v>46326</v>
      </c>
      <c r="F11158" t="inlineStr">
        <is>
          <t>GÄVLEBORGS LÄN</t>
        </is>
      </c>
      <c r="G11158" t="inlineStr">
        <is>
          <t>LJUSDAL</t>
        </is>
      </c>
      <c r="I11158" t="n">
        <v>10.1</v>
      </c>
      <c r="J11158" t="n">
        <v>0</v>
      </c>
      <c r="K11158" t="n">
        <v>0</v>
      </c>
      <c r="L11158" t="n">
        <v>0</v>
      </c>
      <c r="M11158" t="n">
        <v>0</v>
      </c>
      <c r="N11158" t="n">
        <v>0</v>
      </c>
      <c r="O11158" t="n">
        <v>0</v>
      </c>
      <c r="P11158" t="n">
        <v>0</v>
      </c>
      <c r="Q11158" t="n">
        <v>0</v>
      </c>
      <c r="R11158" t="n">
        <v>0</v>
      </c>
      <c r="S11158" t="n">
        <v>0</v>
      </c>
      <c r="T11158" t="n">
        <v>0</v>
      </c>
      <c r="U11158" t="n">
        <v>0</v>
      </c>
      <c r="V11158" s="2" t="inlineStr"/>
    </row>
    <row r="11159" ht="15" customHeight="1">
      <c r="A11159" t="inlineStr">
        <is>
          <t>S 282-2024</t>
        </is>
      </c>
      <c r="B11159" t="inlineStr">
        <is>
          <t>samrådsanmälan</t>
        </is>
      </c>
      <c r="C11159" t="inlineStr">
        <is>
          <t>Skogsgödsling</t>
        </is>
      </c>
      <c r="D11159" s="1" t="n">
        <v>45323</v>
      </c>
      <c r="E11159" s="1" t="n">
        <v>46326</v>
      </c>
      <c r="F11159" t="inlineStr">
        <is>
          <t>GÄVLEBORGS LÄN</t>
        </is>
      </c>
      <c r="G11159" t="inlineStr">
        <is>
          <t>OCKELBO</t>
        </is>
      </c>
      <c r="H11159" t="inlineStr">
        <is>
          <t>Bergvik skog väst AB</t>
        </is>
      </c>
      <c r="I11159" t="n">
        <v>14.5</v>
      </c>
      <c r="J11159" t="n">
        <v>0</v>
      </c>
      <c r="K11159" t="n">
        <v>0</v>
      </c>
      <c r="L11159" t="n">
        <v>0</v>
      </c>
      <c r="M11159" t="n">
        <v>0</v>
      </c>
      <c r="N11159" t="n">
        <v>0</v>
      </c>
      <c r="O11159" t="n">
        <v>0</v>
      </c>
      <c r="P11159" t="n">
        <v>0</v>
      </c>
      <c r="Q11159" t="n">
        <v>0</v>
      </c>
      <c r="R11159" t="n">
        <v>0</v>
      </c>
      <c r="S11159" t="n">
        <v>0</v>
      </c>
      <c r="T11159" t="n">
        <v>0</v>
      </c>
      <c r="U11159" t="n">
        <v>0</v>
      </c>
      <c r="V11159" s="2" t="inlineStr"/>
    </row>
    <row r="11160" ht="15" customHeight="1">
      <c r="A11160" t="inlineStr">
        <is>
          <t>S 1167-2022</t>
        </is>
      </c>
      <c r="B11160" t="inlineStr">
        <is>
          <t>samrådsanmälan</t>
        </is>
      </c>
      <c r="C11160" t="inlineStr">
        <is>
          <t>Skogsgödsling</t>
        </is>
      </c>
      <c r="D11160" s="1" t="n">
        <v>44616</v>
      </c>
      <c r="E11160" s="1" t="n">
        <v>46326</v>
      </c>
      <c r="F11160" t="inlineStr">
        <is>
          <t>GÄVLEBORGS LÄN</t>
        </is>
      </c>
      <c r="G11160" t="inlineStr">
        <is>
          <t>OVANÅKER</t>
        </is>
      </c>
      <c r="I11160" t="n">
        <v>22.9</v>
      </c>
      <c r="J11160" t="n">
        <v>0</v>
      </c>
      <c r="K11160" t="n">
        <v>0</v>
      </c>
      <c r="L11160" t="n">
        <v>0</v>
      </c>
      <c r="M11160" t="n">
        <v>0</v>
      </c>
      <c r="N11160" t="n">
        <v>0</v>
      </c>
      <c r="O11160" t="n">
        <v>0</v>
      </c>
      <c r="P11160" t="n">
        <v>0</v>
      </c>
      <c r="Q11160" t="n">
        <v>0</v>
      </c>
      <c r="R11160" t="n">
        <v>0</v>
      </c>
      <c r="S11160" t="n">
        <v>0</v>
      </c>
      <c r="T11160" t="n">
        <v>0</v>
      </c>
      <c r="U11160" t="n">
        <v>0</v>
      </c>
      <c r="V11160" s="2" t="inlineStr"/>
    </row>
    <row r="11161" ht="15" customHeight="1">
      <c r="A11161" t="inlineStr">
        <is>
          <t>S 177-2022</t>
        </is>
      </c>
      <c r="B11161" t="inlineStr">
        <is>
          <t>samrådsanmälan</t>
        </is>
      </c>
      <c r="C11161" t="inlineStr">
        <is>
          <t>Skogsgödsling</t>
        </is>
      </c>
      <c r="D11161" s="1" t="n">
        <v>44566</v>
      </c>
      <c r="E11161" s="1" t="n">
        <v>46326</v>
      </c>
      <c r="F11161" t="inlineStr">
        <is>
          <t>GÄVLEBORGS LÄN</t>
        </is>
      </c>
      <c r="G11161" t="inlineStr">
        <is>
          <t>OVANÅKER</t>
        </is>
      </c>
      <c r="H11161" t="inlineStr">
        <is>
          <t>Bergvik skog väst AB</t>
        </is>
      </c>
      <c r="I11161" t="n">
        <v>86.40000000000001</v>
      </c>
      <c r="J11161" t="n">
        <v>0</v>
      </c>
      <c r="K11161" t="n">
        <v>0</v>
      </c>
      <c r="L11161" t="n">
        <v>0</v>
      </c>
      <c r="M11161" t="n">
        <v>0</v>
      </c>
      <c r="N11161" t="n">
        <v>0</v>
      </c>
      <c r="O11161" t="n">
        <v>0</v>
      </c>
      <c r="P11161" t="n">
        <v>0</v>
      </c>
      <c r="Q11161" t="n">
        <v>0</v>
      </c>
      <c r="R11161" t="n">
        <v>0</v>
      </c>
      <c r="S11161" t="n">
        <v>0</v>
      </c>
      <c r="T11161" t="n">
        <v>0</v>
      </c>
      <c r="U11161" t="n">
        <v>0</v>
      </c>
      <c r="V11161" s="2" t="inlineStr"/>
    </row>
    <row r="11162" ht="15" customHeight="1">
      <c r="A11162" t="inlineStr">
        <is>
          <t>S 2464-2024</t>
        </is>
      </c>
      <c r="B11162" t="inlineStr">
        <is>
          <t>samrådsanmälan</t>
        </is>
      </c>
      <c r="C11162" t="inlineStr">
        <is>
          <t>Skogsbilväg</t>
        </is>
      </c>
      <c r="D11162" s="1" t="n">
        <v>45470</v>
      </c>
      <c r="E11162" s="1" t="n">
        <v>46326</v>
      </c>
      <c r="F11162" t="inlineStr">
        <is>
          <t>GÄVLEBORGS LÄN</t>
        </is>
      </c>
      <c r="G11162" t="inlineStr">
        <is>
          <t>GÄVLE</t>
        </is>
      </c>
      <c r="H11162" t="inlineStr">
        <is>
          <t>Bergvik skog väst AB</t>
        </is>
      </c>
      <c r="I11162" t="n">
        <v>0.4</v>
      </c>
      <c r="J11162" t="n">
        <v>0</v>
      </c>
      <c r="K11162" t="n">
        <v>0</v>
      </c>
      <c r="L11162" t="n">
        <v>0</v>
      </c>
      <c r="M11162" t="n">
        <v>0</v>
      </c>
      <c r="N11162" t="n">
        <v>0</v>
      </c>
      <c r="O11162" t="n">
        <v>0</v>
      </c>
      <c r="P11162" t="n">
        <v>0</v>
      </c>
      <c r="Q11162" t="n">
        <v>0</v>
      </c>
      <c r="R11162" t="n">
        <v>0</v>
      </c>
      <c r="S11162" t="n">
        <v>0</v>
      </c>
      <c r="T11162" t="n">
        <v>0</v>
      </c>
      <c r="U11162" t="n">
        <v>0</v>
      </c>
      <c r="V11162" s="2" t="inlineStr"/>
    </row>
    <row r="11163" ht="15" customHeight="1">
      <c r="A11163" t="inlineStr">
        <is>
          <t>S 153-2022</t>
        </is>
      </c>
      <c r="B11163" t="inlineStr">
        <is>
          <t>samrådsanmälan</t>
        </is>
      </c>
      <c r="C11163" t="inlineStr">
        <is>
          <t>Skogsgödsling</t>
        </is>
      </c>
      <c r="D11163" s="1" t="n">
        <v>44566</v>
      </c>
      <c r="E11163" s="1" t="n">
        <v>46326</v>
      </c>
      <c r="F11163" t="inlineStr">
        <is>
          <t>GÄVLEBORGS LÄN</t>
        </is>
      </c>
      <c r="G11163" t="inlineStr">
        <is>
          <t>OVANÅKER</t>
        </is>
      </c>
      <c r="H11163" t="inlineStr">
        <is>
          <t>Bergvik skog väst AB</t>
        </is>
      </c>
      <c r="I11163" t="n">
        <v>93.2</v>
      </c>
      <c r="J11163" t="n">
        <v>0</v>
      </c>
      <c r="K11163" t="n">
        <v>0</v>
      </c>
      <c r="L11163" t="n">
        <v>0</v>
      </c>
      <c r="M11163" t="n">
        <v>0</v>
      </c>
      <c r="N11163" t="n">
        <v>0</v>
      </c>
      <c r="O11163" t="n">
        <v>0</v>
      </c>
      <c r="P11163" t="n">
        <v>0</v>
      </c>
      <c r="Q11163" t="n">
        <v>0</v>
      </c>
      <c r="R11163" t="n">
        <v>0</v>
      </c>
      <c r="S11163" t="n">
        <v>0</v>
      </c>
      <c r="T11163" t="n">
        <v>0</v>
      </c>
      <c r="U11163" t="n">
        <v>0</v>
      </c>
      <c r="V11163" s="2" t="inlineStr"/>
    </row>
    <row r="11164" ht="15" customHeight="1">
      <c r="A11164" t="inlineStr">
        <is>
          <t>S 3987-2023</t>
        </is>
      </c>
      <c r="B11164" t="inlineStr">
        <is>
          <t>samrådsanmälan</t>
        </is>
      </c>
      <c r="C11164" t="inlineStr">
        <is>
          <t>Skogsgödsling</t>
        </is>
      </c>
      <c r="D11164" s="1" t="n">
        <v>45238</v>
      </c>
      <c r="E11164" s="1" t="n">
        <v>46326</v>
      </c>
      <c r="F11164" t="inlineStr">
        <is>
          <t>GÄVLEBORGS LÄN</t>
        </is>
      </c>
      <c r="G11164" t="inlineStr">
        <is>
          <t>NORDANSTIG</t>
        </is>
      </c>
      <c r="H11164" t="inlineStr">
        <is>
          <t>Holmen skog AB</t>
        </is>
      </c>
      <c r="I11164" t="n">
        <v>28.1</v>
      </c>
      <c r="J11164" t="n">
        <v>0</v>
      </c>
      <c r="K11164" t="n">
        <v>0</v>
      </c>
      <c r="L11164" t="n">
        <v>0</v>
      </c>
      <c r="M11164" t="n">
        <v>0</v>
      </c>
      <c r="N11164" t="n">
        <v>0</v>
      </c>
      <c r="O11164" t="n">
        <v>0</v>
      </c>
      <c r="P11164" t="n">
        <v>0</v>
      </c>
      <c r="Q11164" t="n">
        <v>0</v>
      </c>
      <c r="R11164" t="n">
        <v>0</v>
      </c>
      <c r="S11164" t="n">
        <v>0</v>
      </c>
      <c r="T11164" t="n">
        <v>0</v>
      </c>
      <c r="U11164" t="n">
        <v>0</v>
      </c>
      <c r="V11164" s="2" t="inlineStr"/>
    </row>
    <row r="11165" ht="15" customHeight="1">
      <c r="A11165" t="inlineStr">
        <is>
          <t>S 5063-2024</t>
        </is>
      </c>
      <c r="B11165" t="inlineStr">
        <is>
          <t>samrådsanmälan</t>
        </is>
      </c>
      <c r="C11165" t="inlineStr">
        <is>
          <t>Skogsgödsling</t>
        </is>
      </c>
      <c r="D11165" s="1" t="n">
        <v>45638</v>
      </c>
      <c r="E11165" s="1" t="n">
        <v>46326</v>
      </c>
      <c r="F11165" t="inlineStr">
        <is>
          <t>GÄVLEBORGS LÄN</t>
        </is>
      </c>
      <c r="G11165" t="inlineStr">
        <is>
          <t>OCKELBO</t>
        </is>
      </c>
      <c r="H11165" t="inlineStr">
        <is>
          <t>Bergvik skog väst AB</t>
        </is>
      </c>
      <c r="I11165" t="n">
        <v>154</v>
      </c>
      <c r="J11165" t="n">
        <v>0</v>
      </c>
      <c r="K11165" t="n">
        <v>0</v>
      </c>
      <c r="L11165" t="n">
        <v>0</v>
      </c>
      <c r="M11165" t="n">
        <v>0</v>
      </c>
      <c r="N11165" t="n">
        <v>0</v>
      </c>
      <c r="O11165" t="n">
        <v>0</v>
      </c>
      <c r="P11165" t="n">
        <v>0</v>
      </c>
      <c r="Q11165" t="n">
        <v>0</v>
      </c>
      <c r="R11165" t="n">
        <v>0</v>
      </c>
      <c r="S11165" t="n">
        <v>0</v>
      </c>
      <c r="T11165" t="n">
        <v>0</v>
      </c>
      <c r="U11165" t="n">
        <v>0</v>
      </c>
      <c r="V11165" s="2" t="inlineStr"/>
    </row>
    <row r="11166" ht="15" customHeight="1">
      <c r="A11166" t="inlineStr">
        <is>
          <t>S 3-2024</t>
        </is>
      </c>
      <c r="B11166" t="inlineStr">
        <is>
          <t>samrådsanmälan</t>
        </is>
      </c>
      <c r="C11166" t="inlineStr">
        <is>
          <t>Skogsgödsling</t>
        </is>
      </c>
      <c r="D11166" s="1" t="n">
        <v>45293</v>
      </c>
      <c r="E11166" s="1" t="n">
        <v>46326</v>
      </c>
      <c r="F11166" t="inlineStr">
        <is>
          <t>GÄVLEBORGS LÄN</t>
        </is>
      </c>
      <c r="G11166" t="inlineStr">
        <is>
          <t>LJUSDAL</t>
        </is>
      </c>
      <c r="H11166" t="inlineStr">
        <is>
          <t>Bergvik skog väst AB</t>
        </is>
      </c>
      <c r="I11166" t="n">
        <v>112.3</v>
      </c>
      <c r="J11166" t="n">
        <v>0</v>
      </c>
      <c r="K11166" t="n">
        <v>0</v>
      </c>
      <c r="L11166" t="n">
        <v>0</v>
      </c>
      <c r="M11166" t="n">
        <v>0</v>
      </c>
      <c r="N11166" t="n">
        <v>0</v>
      </c>
      <c r="O11166" t="n">
        <v>0</v>
      </c>
      <c r="P11166" t="n">
        <v>0</v>
      </c>
      <c r="Q11166" t="n">
        <v>0</v>
      </c>
      <c r="R11166" t="n">
        <v>0</v>
      </c>
      <c r="S11166" t="n">
        <v>0</v>
      </c>
      <c r="T11166" t="n">
        <v>0</v>
      </c>
      <c r="U11166" t="n">
        <v>0</v>
      </c>
      <c r="V11166" s="2" t="inlineStr"/>
    </row>
    <row r="11167" ht="15" customHeight="1">
      <c r="A11167" t="inlineStr">
        <is>
          <t>S 22-2024</t>
        </is>
      </c>
      <c r="B11167" t="inlineStr">
        <is>
          <t>samrådsanmälan</t>
        </is>
      </c>
      <c r="C11167" t="inlineStr">
        <is>
          <t>Skogsgödsling</t>
        </is>
      </c>
      <c r="D11167" s="1" t="n">
        <v>45293</v>
      </c>
      <c r="E11167" s="1" t="n">
        <v>46326</v>
      </c>
      <c r="F11167" t="inlineStr">
        <is>
          <t>GÄVLEBORGS LÄN</t>
        </is>
      </c>
      <c r="G11167" t="inlineStr">
        <is>
          <t>LJUSDAL</t>
        </is>
      </c>
      <c r="H11167" t="inlineStr">
        <is>
          <t>Bergvik skog väst AB</t>
        </is>
      </c>
      <c r="I11167" t="n">
        <v>6.2</v>
      </c>
      <c r="J11167" t="n">
        <v>0</v>
      </c>
      <c r="K11167" t="n">
        <v>0</v>
      </c>
      <c r="L11167" t="n">
        <v>0</v>
      </c>
      <c r="M11167" t="n">
        <v>0</v>
      </c>
      <c r="N11167" t="n">
        <v>0</v>
      </c>
      <c r="O11167" t="n">
        <v>0</v>
      </c>
      <c r="P11167" t="n">
        <v>0</v>
      </c>
      <c r="Q11167" t="n">
        <v>0</v>
      </c>
      <c r="R11167" t="n">
        <v>0</v>
      </c>
      <c r="S11167" t="n">
        <v>0</v>
      </c>
      <c r="T11167" t="n">
        <v>0</v>
      </c>
      <c r="U11167" t="n">
        <v>0</v>
      </c>
      <c r="V11167" s="2" t="inlineStr"/>
    </row>
    <row r="11168" ht="15" customHeight="1">
      <c r="A11168" t="inlineStr">
        <is>
          <t>S 23-2024</t>
        </is>
      </c>
      <c r="B11168" t="inlineStr">
        <is>
          <t>samrådsanmälan</t>
        </is>
      </c>
      <c r="C11168" t="inlineStr">
        <is>
          <t>Skogsgödsling</t>
        </is>
      </c>
      <c r="D11168" s="1" t="n">
        <v>45293</v>
      </c>
      <c r="E11168" s="1" t="n">
        <v>46326</v>
      </c>
      <c r="F11168" t="inlineStr">
        <is>
          <t>GÄVLEBORGS LÄN</t>
        </is>
      </c>
      <c r="G11168" t="inlineStr">
        <is>
          <t>LJUSDAL</t>
        </is>
      </c>
      <c r="H11168" t="inlineStr">
        <is>
          <t>Bergvik skog väst AB</t>
        </is>
      </c>
      <c r="I11168" t="n">
        <v>52.2</v>
      </c>
      <c r="J11168" t="n">
        <v>0</v>
      </c>
      <c r="K11168" t="n">
        <v>0</v>
      </c>
      <c r="L11168" t="n">
        <v>0</v>
      </c>
      <c r="M11168" t="n">
        <v>0</v>
      </c>
      <c r="N11168" t="n">
        <v>0</v>
      </c>
      <c r="O11168" t="n">
        <v>0</v>
      </c>
      <c r="P11168" t="n">
        <v>0</v>
      </c>
      <c r="Q11168" t="n">
        <v>0</v>
      </c>
      <c r="R11168" t="n">
        <v>0</v>
      </c>
      <c r="S11168" t="n">
        <v>0</v>
      </c>
      <c r="T11168" t="n">
        <v>0</v>
      </c>
      <c r="U11168" t="n">
        <v>0</v>
      </c>
      <c r="V11168" s="2" t="inlineStr"/>
    </row>
    <row r="11169" ht="15" customHeight="1">
      <c r="A11169" t="inlineStr">
        <is>
          <t>S 2-2024</t>
        </is>
      </c>
      <c r="B11169" t="inlineStr">
        <is>
          <t>samrådsanmälan</t>
        </is>
      </c>
      <c r="C11169" t="inlineStr">
        <is>
          <t>Skogsgödsling</t>
        </is>
      </c>
      <c r="D11169" s="1" t="n">
        <v>45293</v>
      </c>
      <c r="E11169" s="1" t="n">
        <v>46326</v>
      </c>
      <c r="F11169" t="inlineStr">
        <is>
          <t>GÄVLEBORGS LÄN</t>
        </is>
      </c>
      <c r="G11169" t="inlineStr">
        <is>
          <t>LJUSDAL</t>
        </is>
      </c>
      <c r="H11169" t="inlineStr">
        <is>
          <t>Bergvik skog väst AB</t>
        </is>
      </c>
      <c r="I11169" t="n">
        <v>19</v>
      </c>
      <c r="J11169" t="n">
        <v>0</v>
      </c>
      <c r="K11169" t="n">
        <v>0</v>
      </c>
      <c r="L11169" t="n">
        <v>0</v>
      </c>
      <c r="M11169" t="n">
        <v>0</v>
      </c>
      <c r="N11169" t="n">
        <v>0</v>
      </c>
      <c r="O11169" t="n">
        <v>0</v>
      </c>
      <c r="P11169" t="n">
        <v>0</v>
      </c>
      <c r="Q11169" t="n">
        <v>0</v>
      </c>
      <c r="R11169" t="n">
        <v>0</v>
      </c>
      <c r="S11169" t="n">
        <v>0</v>
      </c>
      <c r="T11169" t="n">
        <v>0</v>
      </c>
      <c r="U11169" t="n">
        <v>0</v>
      </c>
      <c r="V11169" s="2" t="inlineStr"/>
    </row>
    <row r="11170" ht="15" customHeight="1">
      <c r="A11170" t="inlineStr">
        <is>
          <t>S 1597-2023</t>
        </is>
      </c>
      <c r="B11170" t="inlineStr">
        <is>
          <t>samrådsanmälan</t>
        </is>
      </c>
      <c r="C11170" t="inlineStr">
        <is>
          <t>Skogsgödsling</t>
        </is>
      </c>
      <c r="D11170" s="1" t="n">
        <v>45056</v>
      </c>
      <c r="E11170" s="1" t="n">
        <v>46326</v>
      </c>
      <c r="F11170" t="inlineStr">
        <is>
          <t>GÄVLEBORGS LÄN</t>
        </is>
      </c>
      <c r="G11170" t="inlineStr">
        <is>
          <t>LJUSDAL</t>
        </is>
      </c>
      <c r="I11170" t="n">
        <v>19.8</v>
      </c>
      <c r="J11170" t="n">
        <v>0</v>
      </c>
      <c r="K11170" t="n">
        <v>0</v>
      </c>
      <c r="L11170" t="n">
        <v>0</v>
      </c>
      <c r="M11170" t="n">
        <v>0</v>
      </c>
      <c r="N11170" t="n">
        <v>0</v>
      </c>
      <c r="O11170" t="n">
        <v>0</v>
      </c>
      <c r="P11170" t="n">
        <v>0</v>
      </c>
      <c r="Q11170" t="n">
        <v>0</v>
      </c>
      <c r="R11170" t="n">
        <v>0</v>
      </c>
      <c r="S11170" t="n">
        <v>0</v>
      </c>
      <c r="T11170" t="n">
        <v>0</v>
      </c>
      <c r="U11170" t="n">
        <v>0</v>
      </c>
      <c r="V11170" s="2" t="inlineStr"/>
    </row>
    <row r="11171" ht="15" customHeight="1">
      <c r="A11171" t="inlineStr">
        <is>
          <t>S 25-2023</t>
        </is>
      </c>
      <c r="B11171" t="inlineStr">
        <is>
          <t>samrådsanmälan</t>
        </is>
      </c>
      <c r="C11171" t="inlineStr">
        <is>
          <t>Skogsgödsling</t>
        </is>
      </c>
      <c r="D11171" s="1" t="n">
        <v>44929</v>
      </c>
      <c r="E11171" s="1" t="n">
        <v>46326</v>
      </c>
      <c r="F11171" t="inlineStr">
        <is>
          <t>GÄVLEBORGS LÄN</t>
        </is>
      </c>
      <c r="G11171" t="inlineStr">
        <is>
          <t>NORDANSTIG</t>
        </is>
      </c>
      <c r="H11171" t="inlineStr">
        <is>
          <t>Holmen skog AB</t>
        </is>
      </c>
      <c r="I11171" t="n">
        <v>119.5</v>
      </c>
      <c r="J11171" t="n">
        <v>0</v>
      </c>
      <c r="K11171" t="n">
        <v>0</v>
      </c>
      <c r="L11171" t="n">
        <v>0</v>
      </c>
      <c r="M11171" t="n">
        <v>0</v>
      </c>
      <c r="N11171" t="n">
        <v>0</v>
      </c>
      <c r="O11171" t="n">
        <v>0</v>
      </c>
      <c r="P11171" t="n">
        <v>0</v>
      </c>
      <c r="Q11171" t="n">
        <v>0</v>
      </c>
      <c r="R11171" t="n">
        <v>0</v>
      </c>
      <c r="S11171" t="n">
        <v>0</v>
      </c>
      <c r="T11171" t="n">
        <v>0</v>
      </c>
      <c r="U11171" t="n">
        <v>0</v>
      </c>
      <c r="V11171" s="2" t="inlineStr"/>
    </row>
    <row r="11172" ht="15" customHeight="1">
      <c r="A11172" t="inlineStr">
        <is>
          <t>S 430-2025</t>
        </is>
      </c>
      <c r="B11172" t="inlineStr">
        <is>
          <t>samrådsanmälan</t>
        </is>
      </c>
      <c r="C11172" t="inlineStr">
        <is>
          <t>Skogsgödsling</t>
        </is>
      </c>
      <c r="D11172" s="1" t="n">
        <v>45700</v>
      </c>
      <c r="E11172" s="1" t="n">
        <v>46326</v>
      </c>
      <c r="F11172" t="inlineStr">
        <is>
          <t>GÄVLEBORGS LÄN</t>
        </is>
      </c>
      <c r="G11172" t="inlineStr">
        <is>
          <t>HOFORS</t>
        </is>
      </c>
      <c r="H11172" t="inlineStr">
        <is>
          <t>Sveaskog</t>
        </is>
      </c>
      <c r="I11172" t="n">
        <v>25.6</v>
      </c>
      <c r="J11172" t="n">
        <v>0</v>
      </c>
      <c r="K11172" t="n">
        <v>0</v>
      </c>
      <c r="L11172" t="n">
        <v>0</v>
      </c>
      <c r="M11172" t="n">
        <v>0</v>
      </c>
      <c r="N11172" t="n">
        <v>0</v>
      </c>
      <c r="O11172" t="n">
        <v>0</v>
      </c>
      <c r="P11172" t="n">
        <v>0</v>
      </c>
      <c r="Q11172" t="n">
        <v>0</v>
      </c>
      <c r="R11172" t="n">
        <v>0</v>
      </c>
      <c r="S11172" t="n">
        <v>0</v>
      </c>
      <c r="T11172" t="n">
        <v>0</v>
      </c>
      <c r="U11172" t="n">
        <v>0</v>
      </c>
      <c r="V11172" s="2" t="inlineStr"/>
    </row>
    <row r="11173" ht="15" customHeight="1">
      <c r="A11173" t="inlineStr">
        <is>
          <t>S 130-2025</t>
        </is>
      </c>
      <c r="B11173" t="inlineStr">
        <is>
          <t>samrådsanmälan</t>
        </is>
      </c>
      <c r="C11173" t="inlineStr">
        <is>
          <t>Skogsgödsling</t>
        </is>
      </c>
      <c r="D11173" s="1" t="n">
        <v>45670</v>
      </c>
      <c r="E11173" s="1" t="n">
        <v>46326</v>
      </c>
      <c r="F11173" t="inlineStr">
        <is>
          <t>GÄVLEBORGS LÄN</t>
        </is>
      </c>
      <c r="G11173" t="inlineStr">
        <is>
          <t>HUDIKSVALL</t>
        </is>
      </c>
      <c r="H11173" t="inlineStr">
        <is>
          <t>Holmen skog AB</t>
        </is>
      </c>
      <c r="I11173" t="n">
        <v>18.8</v>
      </c>
      <c r="J11173" t="n">
        <v>0</v>
      </c>
      <c r="K11173" t="n">
        <v>0</v>
      </c>
      <c r="L11173" t="n">
        <v>0</v>
      </c>
      <c r="M11173" t="n">
        <v>0</v>
      </c>
      <c r="N11173" t="n">
        <v>0</v>
      </c>
      <c r="O11173" t="n">
        <v>0</v>
      </c>
      <c r="P11173" t="n">
        <v>0</v>
      </c>
      <c r="Q11173" t="n">
        <v>0</v>
      </c>
      <c r="R11173" t="n">
        <v>0</v>
      </c>
      <c r="S11173" t="n">
        <v>0</v>
      </c>
      <c r="T11173" t="n">
        <v>0</v>
      </c>
      <c r="U11173" t="n">
        <v>0</v>
      </c>
      <c r="V11173" s="2" t="inlineStr"/>
    </row>
    <row r="11174" ht="15" customHeight="1">
      <c r="A11174" t="inlineStr">
        <is>
          <t>S 3996-2023</t>
        </is>
      </c>
      <c r="B11174" t="inlineStr">
        <is>
          <t>samrådsanmälan</t>
        </is>
      </c>
      <c r="C11174" t="inlineStr">
        <is>
          <t>Skogsgödsling</t>
        </is>
      </c>
      <c r="D11174" s="1" t="n">
        <v>45238</v>
      </c>
      <c r="E11174" s="1" t="n">
        <v>46326</v>
      </c>
      <c r="F11174" t="inlineStr">
        <is>
          <t>GÄVLEBORGS LÄN</t>
        </is>
      </c>
      <c r="G11174" t="inlineStr">
        <is>
          <t>NORDANSTIG</t>
        </is>
      </c>
      <c r="H11174" t="inlineStr">
        <is>
          <t>Holmen skog AB</t>
        </is>
      </c>
      <c r="I11174" t="n">
        <v>52.3</v>
      </c>
      <c r="J11174" t="n">
        <v>0</v>
      </c>
      <c r="K11174" t="n">
        <v>0</v>
      </c>
      <c r="L11174" t="n">
        <v>0</v>
      </c>
      <c r="M11174" t="n">
        <v>0</v>
      </c>
      <c r="N11174" t="n">
        <v>0</v>
      </c>
      <c r="O11174" t="n">
        <v>0</v>
      </c>
      <c r="P11174" t="n">
        <v>0</v>
      </c>
      <c r="Q11174" t="n">
        <v>0</v>
      </c>
      <c r="R11174" t="n">
        <v>0</v>
      </c>
      <c r="S11174" t="n">
        <v>0</v>
      </c>
      <c r="T11174" t="n">
        <v>0</v>
      </c>
      <c r="U11174" t="n">
        <v>0</v>
      </c>
      <c r="V11174" s="2" t="inlineStr"/>
    </row>
    <row r="11175" ht="15" customHeight="1">
      <c r="A11175" t="inlineStr">
        <is>
          <t>S 1008-2024</t>
        </is>
      </c>
      <c r="B11175" t="inlineStr">
        <is>
          <t>samrådsanmälan</t>
        </is>
      </c>
      <c r="C11175" t="inlineStr">
        <is>
          <t>Skogsgödsling</t>
        </is>
      </c>
      <c r="D11175" s="1" t="n">
        <v>45386</v>
      </c>
      <c r="E11175" s="1" t="n">
        <v>46326</v>
      </c>
      <c r="F11175" t="inlineStr">
        <is>
          <t>GÄVLEBORGS LÄN</t>
        </is>
      </c>
      <c r="G11175" t="inlineStr">
        <is>
          <t>NORDANSTIG</t>
        </is>
      </c>
      <c r="I11175" t="n">
        <v>6.8</v>
      </c>
      <c r="J11175" t="n">
        <v>0</v>
      </c>
      <c r="K11175" t="n">
        <v>0</v>
      </c>
      <c r="L11175" t="n">
        <v>0</v>
      </c>
      <c r="M11175" t="n">
        <v>0</v>
      </c>
      <c r="N11175" t="n">
        <v>0</v>
      </c>
      <c r="O11175" t="n">
        <v>0</v>
      </c>
      <c r="P11175" t="n">
        <v>0</v>
      </c>
      <c r="Q11175" t="n">
        <v>0</v>
      </c>
      <c r="R11175" t="n">
        <v>0</v>
      </c>
      <c r="S11175" t="n">
        <v>0</v>
      </c>
      <c r="T11175" t="n">
        <v>0</v>
      </c>
      <c r="U11175" t="n">
        <v>0</v>
      </c>
      <c r="V11175" s="2" t="inlineStr"/>
    </row>
    <row r="11176" ht="15" customHeight="1">
      <c r="A11176" t="inlineStr">
        <is>
          <t>S 3989-2023</t>
        </is>
      </c>
      <c r="B11176" t="inlineStr">
        <is>
          <t>samrådsanmälan</t>
        </is>
      </c>
      <c r="C11176" t="inlineStr">
        <is>
          <t>Skogsgödsling</t>
        </is>
      </c>
      <c r="D11176" s="1" t="n">
        <v>45238</v>
      </c>
      <c r="E11176" s="1" t="n">
        <v>46326</v>
      </c>
      <c r="F11176" t="inlineStr">
        <is>
          <t>GÄVLEBORGS LÄN</t>
        </is>
      </c>
      <c r="G11176" t="inlineStr">
        <is>
          <t>NORDANSTIG</t>
        </is>
      </c>
      <c r="H11176" t="inlineStr">
        <is>
          <t>Holmen skog AB</t>
        </is>
      </c>
      <c r="I11176" t="n">
        <v>28.4</v>
      </c>
      <c r="J11176" t="n">
        <v>0</v>
      </c>
      <c r="K11176" t="n">
        <v>0</v>
      </c>
      <c r="L11176" t="n">
        <v>0</v>
      </c>
      <c r="M11176" t="n">
        <v>0</v>
      </c>
      <c r="N11176" t="n">
        <v>0</v>
      </c>
      <c r="O11176" t="n">
        <v>0</v>
      </c>
      <c r="P11176" t="n">
        <v>0</v>
      </c>
      <c r="Q11176" t="n">
        <v>0</v>
      </c>
      <c r="R11176" t="n">
        <v>0</v>
      </c>
      <c r="S11176" t="n">
        <v>0</v>
      </c>
      <c r="T11176" t="n">
        <v>0</v>
      </c>
      <c r="U11176" t="n">
        <v>0</v>
      </c>
      <c r="V11176" s="2" t="inlineStr"/>
    </row>
    <row r="11177" ht="15" customHeight="1">
      <c r="A11177" t="inlineStr">
        <is>
          <t>S 569-2022</t>
        </is>
      </c>
      <c r="B11177" t="inlineStr">
        <is>
          <t>samrådsanmälan</t>
        </is>
      </c>
      <c r="C11177" t="inlineStr">
        <is>
          <t>Skogsgödsling</t>
        </is>
      </c>
      <c r="D11177" s="1" t="n">
        <v>44589</v>
      </c>
      <c r="E11177" s="1" t="n">
        <v>46326</v>
      </c>
      <c r="F11177" t="inlineStr">
        <is>
          <t>GÄVLEBORGS LÄN</t>
        </is>
      </c>
      <c r="G11177" t="inlineStr">
        <is>
          <t>OVANÅKER</t>
        </is>
      </c>
      <c r="H11177" t="inlineStr">
        <is>
          <t>Bergvik skog öst AB</t>
        </is>
      </c>
      <c r="I11177" t="n">
        <v>112.1</v>
      </c>
      <c r="J11177" t="n">
        <v>0</v>
      </c>
      <c r="K11177" t="n">
        <v>0</v>
      </c>
      <c r="L11177" t="n">
        <v>0</v>
      </c>
      <c r="M11177" t="n">
        <v>0</v>
      </c>
      <c r="N11177" t="n">
        <v>0</v>
      </c>
      <c r="O11177" t="n">
        <v>0</v>
      </c>
      <c r="P11177" t="n">
        <v>0</v>
      </c>
      <c r="Q11177" t="n">
        <v>0</v>
      </c>
      <c r="R11177" t="n">
        <v>0</v>
      </c>
      <c r="S11177" t="n">
        <v>0</v>
      </c>
      <c r="T11177" t="n">
        <v>0</v>
      </c>
      <c r="U11177" t="n">
        <v>0</v>
      </c>
      <c r="V11177" s="2" t="inlineStr"/>
    </row>
    <row r="11178" ht="15" customHeight="1">
      <c r="A11178" t="inlineStr">
        <is>
          <t>S 168-2022</t>
        </is>
      </c>
      <c r="B11178" t="inlineStr">
        <is>
          <t>samrådsanmälan</t>
        </is>
      </c>
      <c r="C11178" t="inlineStr">
        <is>
          <t>Skogsgödsling</t>
        </is>
      </c>
      <c r="D11178" s="1" t="n">
        <v>44566</v>
      </c>
      <c r="E11178" s="1" t="n">
        <v>46326</v>
      </c>
      <c r="F11178" t="inlineStr">
        <is>
          <t>GÄVLEBORGS LÄN</t>
        </is>
      </c>
      <c r="G11178" t="inlineStr">
        <is>
          <t>SÖDERHAMN</t>
        </is>
      </c>
      <c r="H11178" t="inlineStr">
        <is>
          <t>Bergvik skog väst AB</t>
        </is>
      </c>
      <c r="I11178" t="n">
        <v>56.6</v>
      </c>
      <c r="J11178" t="n">
        <v>0</v>
      </c>
      <c r="K11178" t="n">
        <v>0</v>
      </c>
      <c r="L11178" t="n">
        <v>0</v>
      </c>
      <c r="M11178" t="n">
        <v>0</v>
      </c>
      <c r="N11178" t="n">
        <v>0</v>
      </c>
      <c r="O11178" t="n">
        <v>0</v>
      </c>
      <c r="P11178" t="n">
        <v>0</v>
      </c>
      <c r="Q11178" t="n">
        <v>0</v>
      </c>
      <c r="R11178" t="n">
        <v>0</v>
      </c>
      <c r="S11178" t="n">
        <v>0</v>
      </c>
      <c r="T11178" t="n">
        <v>0</v>
      </c>
      <c r="U11178" t="n">
        <v>0</v>
      </c>
      <c r="V11178" s="2" t="inlineStr"/>
    </row>
    <row r="11179" ht="15" customHeight="1">
      <c r="A11179" t="inlineStr">
        <is>
          <t>S 400-2025</t>
        </is>
      </c>
      <c r="B11179" t="inlineStr">
        <is>
          <t>samrådsanmälan</t>
        </is>
      </c>
      <c r="C11179" t="inlineStr">
        <is>
          <t>Skogsgödsling</t>
        </is>
      </c>
      <c r="D11179" s="1" t="n">
        <v>45699</v>
      </c>
      <c r="E11179" s="1" t="n">
        <v>46326</v>
      </c>
      <c r="F11179" t="inlineStr">
        <is>
          <t>GÄVLEBORGS LÄN</t>
        </is>
      </c>
      <c r="G11179" t="inlineStr">
        <is>
          <t>BOLLNÄS</t>
        </is>
      </c>
      <c r="H11179" t="inlineStr">
        <is>
          <t>Bergvik skog öst AB</t>
        </is>
      </c>
      <c r="I11179" t="n">
        <v>32.2</v>
      </c>
      <c r="J11179" t="n">
        <v>0</v>
      </c>
      <c r="K11179" t="n">
        <v>0</v>
      </c>
      <c r="L11179" t="n">
        <v>0</v>
      </c>
      <c r="M11179" t="n">
        <v>0</v>
      </c>
      <c r="N11179" t="n">
        <v>0</v>
      </c>
      <c r="O11179" t="n">
        <v>0</v>
      </c>
      <c r="P11179" t="n">
        <v>0</v>
      </c>
      <c r="Q11179" t="n">
        <v>0</v>
      </c>
      <c r="R11179" t="n">
        <v>0</v>
      </c>
      <c r="S11179" t="n">
        <v>0</v>
      </c>
      <c r="T11179" t="n">
        <v>0</v>
      </c>
      <c r="U11179" t="n">
        <v>0</v>
      </c>
      <c r="V11179" s="2" t="inlineStr"/>
    </row>
    <row r="11180" ht="15" customHeight="1">
      <c r="A11180" t="inlineStr">
        <is>
          <t>S 166-2022</t>
        </is>
      </c>
      <c r="B11180" t="inlineStr">
        <is>
          <t>samrådsanmälan</t>
        </is>
      </c>
      <c r="C11180" t="inlineStr">
        <is>
          <t>Skogsgödsling</t>
        </is>
      </c>
      <c r="D11180" s="1" t="n">
        <v>44566</v>
      </c>
      <c r="E11180" s="1" t="n">
        <v>46326</v>
      </c>
      <c r="F11180" t="inlineStr">
        <is>
          <t>GÄVLEBORGS LÄN</t>
        </is>
      </c>
      <c r="G11180" t="inlineStr">
        <is>
          <t>OVANÅKER</t>
        </is>
      </c>
      <c r="H11180" t="inlineStr">
        <is>
          <t>Bergvik skog väst AB</t>
        </is>
      </c>
      <c r="I11180" t="n">
        <v>32.3</v>
      </c>
      <c r="J11180" t="n">
        <v>0</v>
      </c>
      <c r="K11180" t="n">
        <v>0</v>
      </c>
      <c r="L11180" t="n">
        <v>0</v>
      </c>
      <c r="M11180" t="n">
        <v>0</v>
      </c>
      <c r="N11180" t="n">
        <v>0</v>
      </c>
      <c r="O11180" t="n">
        <v>0</v>
      </c>
      <c r="P11180" t="n">
        <v>0</v>
      </c>
      <c r="Q11180" t="n">
        <v>0</v>
      </c>
      <c r="R11180" t="n">
        <v>0</v>
      </c>
      <c r="S11180" t="n">
        <v>0</v>
      </c>
      <c r="T11180" t="n">
        <v>0</v>
      </c>
      <c r="U11180" t="n">
        <v>0</v>
      </c>
      <c r="V11180" s="2" t="inlineStr"/>
    </row>
    <row r="11181" ht="15" customHeight="1">
      <c r="A11181" t="inlineStr">
        <is>
          <t>S 3994-2023</t>
        </is>
      </c>
      <c r="B11181" t="inlineStr">
        <is>
          <t>samrådsanmälan</t>
        </is>
      </c>
      <c r="C11181" t="inlineStr">
        <is>
          <t>Skogsgödsling</t>
        </is>
      </c>
      <c r="D11181" s="1" t="n">
        <v>45238</v>
      </c>
      <c r="E11181" s="1" t="n">
        <v>46326</v>
      </c>
      <c r="F11181" t="inlineStr">
        <is>
          <t>GÄVLEBORGS LÄN</t>
        </is>
      </c>
      <c r="G11181" t="inlineStr">
        <is>
          <t>NORDANSTIG</t>
        </is>
      </c>
      <c r="H11181" t="inlineStr">
        <is>
          <t>Holmen skog AB</t>
        </is>
      </c>
      <c r="I11181" t="n">
        <v>57.5</v>
      </c>
      <c r="J11181" t="n">
        <v>0</v>
      </c>
      <c r="K11181" t="n">
        <v>0</v>
      </c>
      <c r="L11181" t="n">
        <v>0</v>
      </c>
      <c r="M11181" t="n">
        <v>0</v>
      </c>
      <c r="N11181" t="n">
        <v>0</v>
      </c>
      <c r="O11181" t="n">
        <v>0</v>
      </c>
      <c r="P11181" t="n">
        <v>0</v>
      </c>
      <c r="Q11181" t="n">
        <v>0</v>
      </c>
      <c r="R11181" t="n">
        <v>0</v>
      </c>
      <c r="S11181" t="n">
        <v>0</v>
      </c>
      <c r="T11181" t="n">
        <v>0</v>
      </c>
      <c r="U11181" t="n">
        <v>0</v>
      </c>
      <c r="V11181" s="2" t="inlineStr"/>
    </row>
    <row r="11182" ht="15" customHeight="1">
      <c r="A11182" t="inlineStr">
        <is>
          <t>S 93-2022</t>
        </is>
      </c>
      <c r="B11182" t="inlineStr">
        <is>
          <t>samrådsanmälan</t>
        </is>
      </c>
      <c r="C11182" t="inlineStr">
        <is>
          <t>Skogsgödsling</t>
        </is>
      </c>
      <c r="D11182" s="1" t="n">
        <v>44566</v>
      </c>
      <c r="E11182" s="1" t="n">
        <v>46326</v>
      </c>
      <c r="F11182" t="inlineStr">
        <is>
          <t>GÄVLEBORGS LÄN</t>
        </is>
      </c>
      <c r="G11182" t="inlineStr">
        <is>
          <t>LJUSDAL</t>
        </is>
      </c>
      <c r="H11182" t="inlineStr">
        <is>
          <t>Bergvik skog väst AB</t>
        </is>
      </c>
      <c r="I11182" t="n">
        <v>46.7</v>
      </c>
      <c r="J11182" t="n">
        <v>0</v>
      </c>
      <c r="K11182" t="n">
        <v>0</v>
      </c>
      <c r="L11182" t="n">
        <v>0</v>
      </c>
      <c r="M11182" t="n">
        <v>0</v>
      </c>
      <c r="N11182" t="n">
        <v>0</v>
      </c>
      <c r="O11182" t="n">
        <v>0</v>
      </c>
      <c r="P11182" t="n">
        <v>0</v>
      </c>
      <c r="Q11182" t="n">
        <v>0</v>
      </c>
      <c r="R11182" t="n">
        <v>0</v>
      </c>
      <c r="S11182" t="n">
        <v>0</v>
      </c>
      <c r="T11182" t="n">
        <v>0</v>
      </c>
      <c r="U11182" t="n">
        <v>0</v>
      </c>
      <c r="V11182" s="2" t="inlineStr"/>
    </row>
    <row r="11183" ht="15" customHeight="1">
      <c r="A11183" t="inlineStr">
        <is>
          <t>S 134-2025</t>
        </is>
      </c>
      <c r="B11183" t="inlineStr">
        <is>
          <t>samrådsanmälan</t>
        </is>
      </c>
      <c r="C11183" t="inlineStr">
        <is>
          <t>Skogsgödsling</t>
        </is>
      </c>
      <c r="D11183" s="1" t="n">
        <v>45670</v>
      </c>
      <c r="E11183" s="1" t="n">
        <v>46326</v>
      </c>
      <c r="F11183" t="inlineStr">
        <is>
          <t>GÄVLEBORGS LÄN</t>
        </is>
      </c>
      <c r="G11183" t="inlineStr">
        <is>
          <t>LJUSDAL</t>
        </is>
      </c>
      <c r="H11183" t="inlineStr">
        <is>
          <t>Holmen skog AB</t>
        </is>
      </c>
      <c r="I11183" t="n">
        <v>15.7</v>
      </c>
      <c r="J11183" t="n">
        <v>0</v>
      </c>
      <c r="K11183" t="n">
        <v>0</v>
      </c>
      <c r="L11183" t="n">
        <v>0</v>
      </c>
      <c r="M11183" t="n">
        <v>0</v>
      </c>
      <c r="N11183" t="n">
        <v>0</v>
      </c>
      <c r="O11183" t="n">
        <v>0</v>
      </c>
      <c r="P11183" t="n">
        <v>0</v>
      </c>
      <c r="Q11183" t="n">
        <v>0</v>
      </c>
      <c r="R11183" t="n">
        <v>0</v>
      </c>
      <c r="S11183" t="n">
        <v>0</v>
      </c>
      <c r="T11183" t="n">
        <v>0</v>
      </c>
      <c r="U11183" t="n">
        <v>0</v>
      </c>
      <c r="V11183" s="2" t="inlineStr"/>
    </row>
    <row r="11184" ht="15" customHeight="1">
      <c r="A11184" t="inlineStr">
        <is>
          <t>S 891-2024</t>
        </is>
      </c>
      <c r="B11184" t="inlineStr">
        <is>
          <t>samrådsanmälan</t>
        </is>
      </c>
      <c r="C11184" t="inlineStr">
        <is>
          <t>Annan skogsbruksåtgärd</t>
        </is>
      </c>
      <c r="D11184" s="1" t="n">
        <v>45349</v>
      </c>
      <c r="E11184" s="1" t="n">
        <v>46326</v>
      </c>
      <c r="F11184" t="inlineStr">
        <is>
          <t>GÄVLEBORGS LÄN</t>
        </is>
      </c>
      <c r="G11184" t="inlineStr">
        <is>
          <t>LJUSDAL</t>
        </is>
      </c>
      <c r="H11184" t="inlineStr">
        <is>
          <t>Bergvik skog väst AB</t>
        </is>
      </c>
      <c r="I11184" t="n">
        <v>83</v>
      </c>
      <c r="J11184" t="n">
        <v>0</v>
      </c>
      <c r="K11184" t="n">
        <v>0</v>
      </c>
      <c r="L11184" t="n">
        <v>0</v>
      </c>
      <c r="M11184" t="n">
        <v>0</v>
      </c>
      <c r="N11184" t="n">
        <v>0</v>
      </c>
      <c r="O11184" t="n">
        <v>0</v>
      </c>
      <c r="P11184" t="n">
        <v>0</v>
      </c>
      <c r="Q11184" t="n">
        <v>0</v>
      </c>
      <c r="R11184" t="n">
        <v>0</v>
      </c>
      <c r="S11184" t="n">
        <v>0</v>
      </c>
      <c r="T11184" t="n">
        <v>0</v>
      </c>
      <c r="U11184" t="n">
        <v>0</v>
      </c>
      <c r="V11184" s="2" t="inlineStr"/>
    </row>
    <row r="11185" ht="15" customHeight="1">
      <c r="A11185" t="inlineStr">
        <is>
          <t>S 195-2024</t>
        </is>
      </c>
      <c r="B11185" t="inlineStr">
        <is>
          <t>samrådsanmälan</t>
        </is>
      </c>
      <c r="C11185" t="inlineStr">
        <is>
          <t>Skogsgödsling</t>
        </is>
      </c>
      <c r="D11185" s="1" t="n">
        <v>45315</v>
      </c>
      <c r="E11185" s="1" t="n">
        <v>46326</v>
      </c>
      <c r="F11185" t="inlineStr">
        <is>
          <t>GÄVLEBORGS LÄN</t>
        </is>
      </c>
      <c r="G11185" t="inlineStr">
        <is>
          <t>OCKELBO</t>
        </is>
      </c>
      <c r="H11185" t="inlineStr">
        <is>
          <t>Bergvik skog öst AB</t>
        </is>
      </c>
      <c r="I11185" t="n">
        <v>46.4</v>
      </c>
      <c r="J11185" t="n">
        <v>0</v>
      </c>
      <c r="K11185" t="n">
        <v>0</v>
      </c>
      <c r="L11185" t="n">
        <v>0</v>
      </c>
      <c r="M11185" t="n">
        <v>0</v>
      </c>
      <c r="N11185" t="n">
        <v>0</v>
      </c>
      <c r="O11185" t="n">
        <v>0</v>
      </c>
      <c r="P11185" t="n">
        <v>0</v>
      </c>
      <c r="Q11185" t="n">
        <v>0</v>
      </c>
      <c r="R11185" t="n">
        <v>0</v>
      </c>
      <c r="S11185" t="n">
        <v>0</v>
      </c>
      <c r="T11185" t="n">
        <v>0</v>
      </c>
      <c r="U11185" t="n">
        <v>0</v>
      </c>
      <c r="V11185" s="2" t="inlineStr"/>
    </row>
    <row r="11186" ht="15" customHeight="1">
      <c r="A11186" t="inlineStr">
        <is>
          <t>S 411-2025</t>
        </is>
      </c>
      <c r="B11186" t="inlineStr">
        <is>
          <t>samrådsanmälan</t>
        </is>
      </c>
      <c r="C11186" t="inlineStr">
        <is>
          <t>Skogsgödsling</t>
        </is>
      </c>
      <c r="D11186" s="1" t="n">
        <v>45699</v>
      </c>
      <c r="E11186" s="1" t="n">
        <v>46326</v>
      </c>
      <c r="F11186" t="inlineStr">
        <is>
          <t>GÄVLEBORGS LÄN</t>
        </is>
      </c>
      <c r="G11186" t="inlineStr">
        <is>
          <t>OCKELBO</t>
        </is>
      </c>
      <c r="H11186" t="inlineStr">
        <is>
          <t>Bergvik skog öst AB</t>
        </is>
      </c>
      <c r="I11186" t="n">
        <v>24.3</v>
      </c>
      <c r="J11186" t="n">
        <v>0</v>
      </c>
      <c r="K11186" t="n">
        <v>0</v>
      </c>
      <c r="L11186" t="n">
        <v>0</v>
      </c>
      <c r="M11186" t="n">
        <v>0</v>
      </c>
      <c r="N11186" t="n">
        <v>0</v>
      </c>
      <c r="O11186" t="n">
        <v>0</v>
      </c>
      <c r="P11186" t="n">
        <v>0</v>
      </c>
      <c r="Q11186" t="n">
        <v>0</v>
      </c>
      <c r="R11186" t="n">
        <v>0</v>
      </c>
      <c r="S11186" t="n">
        <v>0</v>
      </c>
      <c r="T11186" t="n">
        <v>0</v>
      </c>
      <c r="U11186" t="n">
        <v>0</v>
      </c>
      <c r="V11186" s="2" t="inlineStr"/>
    </row>
    <row r="11187" ht="15" customHeight="1">
      <c r="A11187" t="inlineStr">
        <is>
          <t>S 4013-2023</t>
        </is>
      </c>
      <c r="B11187" t="inlineStr">
        <is>
          <t>samrådsanmälan</t>
        </is>
      </c>
      <c r="C11187" t="inlineStr">
        <is>
          <t>Skogsgödsling</t>
        </is>
      </c>
      <c r="D11187" s="1" t="n">
        <v>45237</v>
      </c>
      <c r="E11187" s="1" t="n">
        <v>46326</v>
      </c>
      <c r="F11187" t="inlineStr">
        <is>
          <t>GÄVLEBORGS LÄN</t>
        </is>
      </c>
      <c r="G11187" t="inlineStr">
        <is>
          <t>HUDIKSVALL</t>
        </is>
      </c>
      <c r="H11187" t="inlineStr">
        <is>
          <t>Holmen skog AB</t>
        </is>
      </c>
      <c r="I11187" t="n">
        <v>7.9</v>
      </c>
      <c r="J11187" t="n">
        <v>0</v>
      </c>
      <c r="K11187" t="n">
        <v>0</v>
      </c>
      <c r="L11187" t="n">
        <v>0</v>
      </c>
      <c r="M11187" t="n">
        <v>0</v>
      </c>
      <c r="N11187" t="n">
        <v>0</v>
      </c>
      <c r="O11187" t="n">
        <v>0</v>
      </c>
      <c r="P11187" t="n">
        <v>0</v>
      </c>
      <c r="Q11187" t="n">
        <v>0</v>
      </c>
      <c r="R11187" t="n">
        <v>0</v>
      </c>
      <c r="S11187" t="n">
        <v>0</v>
      </c>
      <c r="T11187" t="n">
        <v>0</v>
      </c>
      <c r="U11187" t="n">
        <v>0</v>
      </c>
      <c r="V11187" s="2" t="inlineStr"/>
    </row>
    <row r="11188" ht="15" customHeight="1">
      <c r="A11188" t="inlineStr">
        <is>
          <t>S 1023-2024</t>
        </is>
      </c>
      <c r="B11188" t="inlineStr">
        <is>
          <t>samrådsanmälan</t>
        </is>
      </c>
      <c r="C11188" t="inlineStr">
        <is>
          <t>Skogsgödsling</t>
        </is>
      </c>
      <c r="D11188" s="1" t="n">
        <v>45387</v>
      </c>
      <c r="E11188" s="1" t="n">
        <v>46326</v>
      </c>
      <c r="F11188" t="inlineStr">
        <is>
          <t>GÄVLEBORGS LÄN</t>
        </is>
      </c>
      <c r="G11188" t="inlineStr">
        <is>
          <t>HUDIKSVALL</t>
        </is>
      </c>
      <c r="H11188" t="inlineStr">
        <is>
          <t>Holmen skog AB</t>
        </is>
      </c>
      <c r="I11188" t="n">
        <v>153.3</v>
      </c>
      <c r="J11188" t="n">
        <v>0</v>
      </c>
      <c r="K11188" t="n">
        <v>0</v>
      </c>
      <c r="L11188" t="n">
        <v>0</v>
      </c>
      <c r="M11188" t="n">
        <v>0</v>
      </c>
      <c r="N11188" t="n">
        <v>0</v>
      </c>
      <c r="O11188" t="n">
        <v>0</v>
      </c>
      <c r="P11188" t="n">
        <v>0</v>
      </c>
      <c r="Q11188" t="n">
        <v>0</v>
      </c>
      <c r="R11188" t="n">
        <v>0</v>
      </c>
      <c r="S11188" t="n">
        <v>0</v>
      </c>
      <c r="T11188" t="n">
        <v>0</v>
      </c>
      <c r="U11188" t="n">
        <v>0</v>
      </c>
      <c r="V11188" s="2" t="inlineStr"/>
    </row>
    <row r="11189" ht="15" customHeight="1">
      <c r="A11189" t="inlineStr">
        <is>
          <t>S 1600-2023</t>
        </is>
      </c>
      <c r="B11189" t="inlineStr">
        <is>
          <t>samrådsanmälan</t>
        </is>
      </c>
      <c r="C11189" t="inlineStr">
        <is>
          <t>Skogsgödsling</t>
        </is>
      </c>
      <c r="D11189" s="1" t="n">
        <v>45056</v>
      </c>
      <c r="E11189" s="1" t="n">
        <v>46326</v>
      </c>
      <c r="F11189" t="inlineStr">
        <is>
          <t>GÄVLEBORGS LÄN</t>
        </is>
      </c>
      <c r="G11189" t="inlineStr">
        <is>
          <t>LJUSDAL</t>
        </is>
      </c>
      <c r="I11189" t="n">
        <v>8.6</v>
      </c>
      <c r="J11189" t="n">
        <v>0</v>
      </c>
      <c r="K11189" t="n">
        <v>0</v>
      </c>
      <c r="L11189" t="n">
        <v>0</v>
      </c>
      <c r="M11189" t="n">
        <v>0</v>
      </c>
      <c r="N11189" t="n">
        <v>0</v>
      </c>
      <c r="O11189" t="n">
        <v>0</v>
      </c>
      <c r="P11189" t="n">
        <v>0</v>
      </c>
      <c r="Q11189" t="n">
        <v>0</v>
      </c>
      <c r="R11189" t="n">
        <v>0</v>
      </c>
      <c r="S11189" t="n">
        <v>0</v>
      </c>
      <c r="T11189" t="n">
        <v>0</v>
      </c>
      <c r="U11189" t="n">
        <v>0</v>
      </c>
      <c r="V11189" s="2" t="inlineStr"/>
    </row>
    <row r="11190" ht="15" customHeight="1">
      <c r="A11190" t="inlineStr">
        <is>
          <t>S 1349-2024</t>
        </is>
      </c>
      <c r="B11190" t="inlineStr">
        <is>
          <t>samrådsanmälan</t>
        </is>
      </c>
      <c r="C11190" t="inlineStr">
        <is>
          <t>Annan skogsbruksåtgärd</t>
        </is>
      </c>
      <c r="D11190" s="1" t="n">
        <v>45408</v>
      </c>
      <c r="E11190" s="1" t="n">
        <v>46326</v>
      </c>
      <c r="F11190" t="inlineStr">
        <is>
          <t>GÄVLEBORGS LÄN</t>
        </is>
      </c>
      <c r="G11190" t="inlineStr">
        <is>
          <t>OVANÅKER</t>
        </is>
      </c>
      <c r="H11190" t="inlineStr">
        <is>
          <t>Bergvik skog öst AB</t>
        </is>
      </c>
      <c r="I11190" t="n">
        <v>0.8</v>
      </c>
      <c r="J11190" t="n">
        <v>0</v>
      </c>
      <c r="K11190" t="n">
        <v>0</v>
      </c>
      <c r="L11190" t="n">
        <v>0</v>
      </c>
      <c r="M11190" t="n">
        <v>0</v>
      </c>
      <c r="N11190" t="n">
        <v>0</v>
      </c>
      <c r="O11190" t="n">
        <v>0</v>
      </c>
      <c r="P11190" t="n">
        <v>0</v>
      </c>
      <c r="Q11190" t="n">
        <v>0</v>
      </c>
      <c r="R11190" t="n">
        <v>0</v>
      </c>
      <c r="S11190" t="n">
        <v>0</v>
      </c>
      <c r="T11190" t="n">
        <v>0</v>
      </c>
      <c r="U11190" t="n">
        <v>0</v>
      </c>
      <c r="V11190" s="2" t="inlineStr"/>
    </row>
    <row r="11191" ht="15" customHeight="1">
      <c r="A11191" t="inlineStr">
        <is>
          <t>S 127-2025</t>
        </is>
      </c>
      <c r="B11191" t="inlineStr">
        <is>
          <t>samrådsanmälan</t>
        </is>
      </c>
      <c r="C11191" t="inlineStr">
        <is>
          <t>Skogsgödsling</t>
        </is>
      </c>
      <c r="D11191" s="1" t="n">
        <v>45670</v>
      </c>
      <c r="E11191" s="1" t="n">
        <v>46326</v>
      </c>
      <c r="F11191" t="inlineStr">
        <is>
          <t>GÄVLEBORGS LÄN</t>
        </is>
      </c>
      <c r="G11191" t="inlineStr">
        <is>
          <t>NORDANSTIG</t>
        </is>
      </c>
      <c r="H11191" t="inlineStr">
        <is>
          <t>Holmen skog AB</t>
        </is>
      </c>
      <c r="I11191" t="n">
        <v>42.5</v>
      </c>
      <c r="J11191" t="n">
        <v>0</v>
      </c>
      <c r="K11191" t="n">
        <v>0</v>
      </c>
      <c r="L11191" t="n">
        <v>0</v>
      </c>
      <c r="M11191" t="n">
        <v>0</v>
      </c>
      <c r="N11191" t="n">
        <v>0</v>
      </c>
      <c r="O11191" t="n">
        <v>0</v>
      </c>
      <c r="P11191" t="n">
        <v>0</v>
      </c>
      <c r="Q11191" t="n">
        <v>0</v>
      </c>
      <c r="R11191" t="n">
        <v>0</v>
      </c>
      <c r="S11191" t="n">
        <v>0</v>
      </c>
      <c r="T11191" t="n">
        <v>0</v>
      </c>
      <c r="U11191" t="n">
        <v>0</v>
      </c>
      <c r="V11191" s="2" t="inlineStr"/>
    </row>
    <row r="11192" ht="15" customHeight="1">
      <c r="A11192" t="inlineStr">
        <is>
          <t>S 115-2025</t>
        </is>
      </c>
      <c r="B11192" t="inlineStr">
        <is>
          <t>samrådsanmälan</t>
        </is>
      </c>
      <c r="C11192" t="inlineStr">
        <is>
          <t>Skogsgödsling</t>
        </is>
      </c>
      <c r="D11192" s="1" t="n">
        <v>45670</v>
      </c>
      <c r="E11192" s="1" t="n">
        <v>46326</v>
      </c>
      <c r="F11192" t="inlineStr">
        <is>
          <t>GÄVLEBORGS LÄN</t>
        </is>
      </c>
      <c r="G11192" t="inlineStr">
        <is>
          <t>HUDIKSVALL</t>
        </is>
      </c>
      <c r="H11192" t="inlineStr">
        <is>
          <t>Holmen skog AB</t>
        </is>
      </c>
      <c r="I11192" t="n">
        <v>47.1</v>
      </c>
      <c r="J11192" t="n">
        <v>0</v>
      </c>
      <c r="K11192" t="n">
        <v>0</v>
      </c>
      <c r="L11192" t="n">
        <v>0</v>
      </c>
      <c r="M11192" t="n">
        <v>0</v>
      </c>
      <c r="N11192" t="n">
        <v>0</v>
      </c>
      <c r="O11192" t="n">
        <v>0</v>
      </c>
      <c r="P11192" t="n">
        <v>0</v>
      </c>
      <c r="Q11192" t="n">
        <v>0</v>
      </c>
      <c r="R11192" t="n">
        <v>0</v>
      </c>
      <c r="S11192" t="n">
        <v>0</v>
      </c>
      <c r="T11192" t="n">
        <v>0</v>
      </c>
      <c r="U11192" t="n">
        <v>0</v>
      </c>
      <c r="V11192" s="2" t="inlineStr"/>
    </row>
    <row r="11193" ht="15" customHeight="1">
      <c r="A11193" t="inlineStr">
        <is>
          <t>S 170-2022</t>
        </is>
      </c>
      <c r="B11193" t="inlineStr">
        <is>
          <t>samrådsanmälan</t>
        </is>
      </c>
      <c r="C11193" t="inlineStr">
        <is>
          <t>Skogsgödsling</t>
        </is>
      </c>
      <c r="D11193" s="1" t="n">
        <v>44566</v>
      </c>
      <c r="E11193" s="1" t="n">
        <v>46326</v>
      </c>
      <c r="F11193" t="inlineStr">
        <is>
          <t>GÄVLEBORGS LÄN</t>
        </is>
      </c>
      <c r="G11193" t="inlineStr">
        <is>
          <t>SÖDERHAMN</t>
        </is>
      </c>
      <c r="H11193" t="inlineStr">
        <is>
          <t>Bergvik skog väst AB</t>
        </is>
      </c>
      <c r="I11193" t="n">
        <v>87</v>
      </c>
      <c r="J11193" t="n">
        <v>0</v>
      </c>
      <c r="K11193" t="n">
        <v>0</v>
      </c>
      <c r="L11193" t="n">
        <v>0</v>
      </c>
      <c r="M11193" t="n">
        <v>0</v>
      </c>
      <c r="N11193" t="n">
        <v>0</v>
      </c>
      <c r="O11193" t="n">
        <v>0</v>
      </c>
      <c r="P11193" t="n">
        <v>0</v>
      </c>
      <c r="Q11193" t="n">
        <v>0</v>
      </c>
      <c r="R11193" t="n">
        <v>0</v>
      </c>
      <c r="S11193" t="n">
        <v>0</v>
      </c>
      <c r="T11193" t="n">
        <v>0</v>
      </c>
      <c r="U11193" t="n">
        <v>0</v>
      </c>
      <c r="V11193" s="2" t="inlineStr"/>
    </row>
    <row r="11194" ht="15" customHeight="1">
      <c r="A11194" t="inlineStr">
        <is>
          <t>S 390-2022</t>
        </is>
      </c>
      <c r="B11194" t="inlineStr">
        <is>
          <t>samrådsanmälan</t>
        </is>
      </c>
      <c r="C11194" t="inlineStr">
        <is>
          <t>Skogsgödsling</t>
        </is>
      </c>
      <c r="D11194" s="1" t="n">
        <v>44582</v>
      </c>
      <c r="E11194" s="1" t="n">
        <v>46326</v>
      </c>
      <c r="F11194" t="inlineStr">
        <is>
          <t>GÄVLEBORGS LÄN</t>
        </is>
      </c>
      <c r="G11194" t="inlineStr">
        <is>
          <t>LJUSDAL</t>
        </is>
      </c>
      <c r="H11194" t="inlineStr">
        <is>
          <t>Sveaskog</t>
        </is>
      </c>
      <c r="I11194" t="n">
        <v>501.1</v>
      </c>
      <c r="J11194" t="n">
        <v>0</v>
      </c>
      <c r="K11194" t="n">
        <v>0</v>
      </c>
      <c r="L11194" t="n">
        <v>0</v>
      </c>
      <c r="M11194" t="n">
        <v>0</v>
      </c>
      <c r="N11194" t="n">
        <v>0</v>
      </c>
      <c r="O11194" t="n">
        <v>0</v>
      </c>
      <c r="P11194" t="n">
        <v>0</v>
      </c>
      <c r="Q11194" t="n">
        <v>0</v>
      </c>
      <c r="R11194" t="n">
        <v>0</v>
      </c>
      <c r="S11194" t="n">
        <v>0</v>
      </c>
      <c r="T11194" t="n">
        <v>0</v>
      </c>
      <c r="U11194" t="n">
        <v>0</v>
      </c>
      <c r="V11194" s="2" t="inlineStr"/>
    </row>
    <row r="11195" ht="15" customHeight="1">
      <c r="A11195" t="inlineStr">
        <is>
          <t>S 124-2025</t>
        </is>
      </c>
      <c r="B11195" t="inlineStr">
        <is>
          <t>samrådsanmälan</t>
        </is>
      </c>
      <c r="C11195" t="inlineStr">
        <is>
          <t>Skogsgödsling</t>
        </is>
      </c>
      <c r="D11195" s="1" t="n">
        <v>45670</v>
      </c>
      <c r="E11195" s="1" t="n">
        <v>46326</v>
      </c>
      <c r="F11195" t="inlineStr">
        <is>
          <t>GÄVLEBORGS LÄN</t>
        </is>
      </c>
      <c r="G11195" t="inlineStr">
        <is>
          <t>HUDIKSVALL</t>
        </is>
      </c>
      <c r="H11195" t="inlineStr">
        <is>
          <t>Holmen skog AB</t>
        </is>
      </c>
      <c r="I11195" t="n">
        <v>74.09999999999999</v>
      </c>
      <c r="J11195" t="n">
        <v>0</v>
      </c>
      <c r="K11195" t="n">
        <v>0</v>
      </c>
      <c r="L11195" t="n">
        <v>0</v>
      </c>
      <c r="M11195" t="n">
        <v>0</v>
      </c>
      <c r="N11195" t="n">
        <v>0</v>
      </c>
      <c r="O11195" t="n">
        <v>0</v>
      </c>
      <c r="P11195" t="n">
        <v>0</v>
      </c>
      <c r="Q11195" t="n">
        <v>0</v>
      </c>
      <c r="R11195" t="n">
        <v>0</v>
      </c>
      <c r="S11195" t="n">
        <v>0</v>
      </c>
      <c r="T11195" t="n">
        <v>0</v>
      </c>
      <c r="U11195" t="n">
        <v>0</v>
      </c>
      <c r="V11195" s="2" t="inlineStr"/>
    </row>
    <row r="11196" ht="15" customHeight="1">
      <c r="A11196" t="inlineStr">
        <is>
          <t>S 137-2025</t>
        </is>
      </c>
      <c r="B11196" t="inlineStr">
        <is>
          <t>samrådsanmälan</t>
        </is>
      </c>
      <c r="C11196" t="inlineStr">
        <is>
          <t>Skogsgödsling</t>
        </is>
      </c>
      <c r="D11196" s="1" t="n">
        <v>45670</v>
      </c>
      <c r="E11196" s="1" t="n">
        <v>46326</v>
      </c>
      <c r="F11196" t="inlineStr">
        <is>
          <t>GÄVLEBORGS LÄN</t>
        </is>
      </c>
      <c r="G11196" t="inlineStr">
        <is>
          <t>HUDIKSVALL</t>
        </is>
      </c>
      <c r="H11196" t="inlineStr">
        <is>
          <t>Holmen skog AB</t>
        </is>
      </c>
      <c r="I11196" t="n">
        <v>216.9</v>
      </c>
      <c r="J11196" t="n">
        <v>0</v>
      </c>
      <c r="K11196" t="n">
        <v>0</v>
      </c>
      <c r="L11196" t="n">
        <v>0</v>
      </c>
      <c r="M11196" t="n">
        <v>0</v>
      </c>
      <c r="N11196" t="n">
        <v>0</v>
      </c>
      <c r="O11196" t="n">
        <v>0</v>
      </c>
      <c r="P11196" t="n">
        <v>0</v>
      </c>
      <c r="Q11196" t="n">
        <v>0</v>
      </c>
      <c r="R11196" t="n">
        <v>0</v>
      </c>
      <c r="S11196" t="n">
        <v>0</v>
      </c>
      <c r="T11196" t="n">
        <v>0</v>
      </c>
      <c r="U11196" t="n">
        <v>0</v>
      </c>
      <c r="V11196" s="2" t="inlineStr"/>
    </row>
    <row r="11197" ht="15" customHeight="1">
      <c r="A11197" t="inlineStr">
        <is>
          <t>S 118-2025</t>
        </is>
      </c>
      <c r="B11197" t="inlineStr">
        <is>
          <t>samrådsanmälan</t>
        </is>
      </c>
      <c r="C11197" t="inlineStr">
        <is>
          <t>Skogsgödsling</t>
        </is>
      </c>
      <c r="D11197" s="1" t="n">
        <v>45670</v>
      </c>
      <c r="E11197" s="1" t="n">
        <v>46326</v>
      </c>
      <c r="F11197" t="inlineStr">
        <is>
          <t>GÄVLEBORGS LÄN</t>
        </is>
      </c>
      <c r="G11197" t="inlineStr">
        <is>
          <t>HUDIKSVALL</t>
        </is>
      </c>
      <c r="H11197" t="inlineStr">
        <is>
          <t>Holmen skog AB</t>
        </is>
      </c>
      <c r="I11197" t="n">
        <v>103.8</v>
      </c>
      <c r="J11197" t="n">
        <v>0</v>
      </c>
      <c r="K11197" t="n">
        <v>0</v>
      </c>
      <c r="L11197" t="n">
        <v>0</v>
      </c>
      <c r="M11197" t="n">
        <v>0</v>
      </c>
      <c r="N11197" t="n">
        <v>0</v>
      </c>
      <c r="O11197" t="n">
        <v>0</v>
      </c>
      <c r="P11197" t="n">
        <v>0</v>
      </c>
      <c r="Q11197" t="n">
        <v>0</v>
      </c>
      <c r="R11197" t="n">
        <v>0</v>
      </c>
      <c r="S11197" t="n">
        <v>0</v>
      </c>
      <c r="T11197" t="n">
        <v>0</v>
      </c>
      <c r="U11197" t="n">
        <v>0</v>
      </c>
      <c r="V11197" s="2" t="inlineStr"/>
    </row>
    <row r="11198" ht="15" customHeight="1">
      <c r="A11198" t="inlineStr">
        <is>
          <t>S 155-2022</t>
        </is>
      </c>
      <c r="B11198" t="inlineStr">
        <is>
          <t>samrådsanmälan</t>
        </is>
      </c>
      <c r="C11198" t="inlineStr">
        <is>
          <t>Skogsgödsling</t>
        </is>
      </c>
      <c r="D11198" s="1" t="n">
        <v>44566</v>
      </c>
      <c r="E11198" s="1" t="n">
        <v>46326</v>
      </c>
      <c r="F11198" t="inlineStr">
        <is>
          <t>GÄVLEBORGS LÄN</t>
        </is>
      </c>
      <c r="G11198" t="inlineStr">
        <is>
          <t>OVANÅKER</t>
        </is>
      </c>
      <c r="H11198" t="inlineStr">
        <is>
          <t>Bergvik skog väst AB</t>
        </is>
      </c>
      <c r="I11198" t="n">
        <v>154.1</v>
      </c>
      <c r="J11198" t="n">
        <v>0</v>
      </c>
      <c r="K11198" t="n">
        <v>0</v>
      </c>
      <c r="L11198" t="n">
        <v>0</v>
      </c>
      <c r="M11198" t="n">
        <v>0</v>
      </c>
      <c r="N11198" t="n">
        <v>0</v>
      </c>
      <c r="O11198" t="n">
        <v>0</v>
      </c>
      <c r="P11198" t="n">
        <v>0</v>
      </c>
      <c r="Q11198" t="n">
        <v>0</v>
      </c>
      <c r="R11198" t="n">
        <v>0</v>
      </c>
      <c r="S11198" t="n">
        <v>0</v>
      </c>
      <c r="T11198" t="n">
        <v>0</v>
      </c>
      <c r="U11198" t="n">
        <v>0</v>
      </c>
      <c r="V11198" s="2" t="inlineStr"/>
    </row>
    <row r="11199" ht="15" customHeight="1">
      <c r="A11199" t="inlineStr">
        <is>
          <t>S 209-2024</t>
        </is>
      </c>
      <c r="B11199" t="inlineStr">
        <is>
          <t>samrådsanmälan</t>
        </is>
      </c>
      <c r="C11199" t="inlineStr">
        <is>
          <t>Skogsgödsling</t>
        </is>
      </c>
      <c r="D11199" s="1" t="n">
        <v>45316</v>
      </c>
      <c r="E11199" s="1" t="n">
        <v>46326</v>
      </c>
      <c r="F11199" t="inlineStr">
        <is>
          <t>GÄVLEBORGS LÄN</t>
        </is>
      </c>
      <c r="G11199" t="inlineStr">
        <is>
          <t>HOFORS</t>
        </is>
      </c>
      <c r="H11199" t="inlineStr">
        <is>
          <t>Sveaskog</t>
        </is>
      </c>
      <c r="I11199" t="n">
        <v>59.8</v>
      </c>
      <c r="J11199" t="n">
        <v>0</v>
      </c>
      <c r="K11199" t="n">
        <v>0</v>
      </c>
      <c r="L11199" t="n">
        <v>0</v>
      </c>
      <c r="M11199" t="n">
        <v>0</v>
      </c>
      <c r="N11199" t="n">
        <v>0</v>
      </c>
      <c r="O11199" t="n">
        <v>0</v>
      </c>
      <c r="P11199" t="n">
        <v>0</v>
      </c>
      <c r="Q11199" t="n">
        <v>0</v>
      </c>
      <c r="R11199" t="n">
        <v>0</v>
      </c>
      <c r="S11199" t="n">
        <v>0</v>
      </c>
      <c r="T11199" t="n">
        <v>0</v>
      </c>
      <c r="U11199" t="n">
        <v>0</v>
      </c>
      <c r="V11199" s="2" t="inlineStr"/>
    </row>
    <row r="11200" ht="15" customHeight="1">
      <c r="A11200" t="inlineStr">
        <is>
          <t>S 152-2022</t>
        </is>
      </c>
      <c r="B11200" t="inlineStr">
        <is>
          <t>samrådsanmälan</t>
        </is>
      </c>
      <c r="C11200" t="inlineStr">
        <is>
          <t>Skogsgödsling</t>
        </is>
      </c>
      <c r="D11200" s="1" t="n">
        <v>44566</v>
      </c>
      <c r="E11200" s="1" t="n">
        <v>46326</v>
      </c>
      <c r="F11200" t="inlineStr">
        <is>
          <t>GÄVLEBORGS LÄN</t>
        </is>
      </c>
      <c r="G11200" t="inlineStr">
        <is>
          <t>OVANÅKER</t>
        </is>
      </c>
      <c r="H11200" t="inlineStr">
        <is>
          <t>Bergvik skog väst AB</t>
        </is>
      </c>
      <c r="I11200" t="n">
        <v>49.5</v>
      </c>
      <c r="J11200" t="n">
        <v>0</v>
      </c>
      <c r="K11200" t="n">
        <v>0</v>
      </c>
      <c r="L11200" t="n">
        <v>0</v>
      </c>
      <c r="M11200" t="n">
        <v>0</v>
      </c>
      <c r="N11200" t="n">
        <v>0</v>
      </c>
      <c r="O11200" t="n">
        <v>0</v>
      </c>
      <c r="P11200" t="n">
        <v>0</v>
      </c>
      <c r="Q11200" t="n">
        <v>0</v>
      </c>
      <c r="R11200" t="n">
        <v>0</v>
      </c>
      <c r="S11200" t="n">
        <v>0</v>
      </c>
      <c r="T11200" t="n">
        <v>0</v>
      </c>
      <c r="U11200" t="n">
        <v>0</v>
      </c>
      <c r="V11200" s="2" t="inlineStr"/>
    </row>
    <row r="11201" ht="15" customHeight="1">
      <c r="A11201" t="inlineStr">
        <is>
          <t>S 1092-2024</t>
        </is>
      </c>
      <c r="B11201" t="inlineStr">
        <is>
          <t>samrådsanmälan</t>
        </is>
      </c>
      <c r="C11201" t="inlineStr">
        <is>
          <t>Skogsgödsling</t>
        </is>
      </c>
      <c r="D11201" s="1" t="n">
        <v>45391</v>
      </c>
      <c r="E11201" s="1" t="n">
        <v>46326</v>
      </c>
      <c r="F11201" t="inlineStr">
        <is>
          <t>GÄVLEBORGS LÄN</t>
        </is>
      </c>
      <c r="G11201" t="inlineStr">
        <is>
          <t>BOLLNÄS</t>
        </is>
      </c>
      <c r="H11201" t="inlineStr">
        <is>
          <t>Bergvik skog väst AB</t>
        </is>
      </c>
      <c r="I11201" t="n">
        <v>523.4</v>
      </c>
      <c r="J11201" t="n">
        <v>0</v>
      </c>
      <c r="K11201" t="n">
        <v>0</v>
      </c>
      <c r="L11201" t="n">
        <v>0</v>
      </c>
      <c r="M11201" t="n">
        <v>0</v>
      </c>
      <c r="N11201" t="n">
        <v>0</v>
      </c>
      <c r="O11201" t="n">
        <v>0</v>
      </c>
      <c r="P11201" t="n">
        <v>0</v>
      </c>
      <c r="Q11201" t="n">
        <v>0</v>
      </c>
      <c r="R11201" t="n">
        <v>0</v>
      </c>
      <c r="S11201" t="n">
        <v>0</v>
      </c>
      <c r="T11201" t="n">
        <v>0</v>
      </c>
      <c r="U11201" t="n">
        <v>0</v>
      </c>
      <c r="V11201" s="2" t="inlineStr"/>
    </row>
    <row r="11202" ht="15" customHeight="1">
      <c r="A11202" t="inlineStr">
        <is>
          <t>S 394-2022</t>
        </is>
      </c>
      <c r="B11202" t="inlineStr">
        <is>
          <t>samrådsanmälan</t>
        </is>
      </c>
      <c r="C11202" t="inlineStr">
        <is>
          <t>Skogsgödsling</t>
        </is>
      </c>
      <c r="D11202" s="1" t="n">
        <v>44582</v>
      </c>
      <c r="E11202" s="1" t="n">
        <v>46326</v>
      </c>
      <c r="F11202" t="inlineStr">
        <is>
          <t>GÄVLEBORGS LÄN</t>
        </is>
      </c>
      <c r="G11202" t="inlineStr">
        <is>
          <t>OVANÅKER</t>
        </is>
      </c>
      <c r="H11202" t="inlineStr">
        <is>
          <t>Sveaskog</t>
        </is>
      </c>
      <c r="I11202" t="n">
        <v>62</v>
      </c>
      <c r="J11202" t="n">
        <v>0</v>
      </c>
      <c r="K11202" t="n">
        <v>0</v>
      </c>
      <c r="L11202" t="n">
        <v>0</v>
      </c>
      <c r="M11202" t="n">
        <v>0</v>
      </c>
      <c r="N11202" t="n">
        <v>0</v>
      </c>
      <c r="O11202" t="n">
        <v>0</v>
      </c>
      <c r="P11202" t="n">
        <v>0</v>
      </c>
      <c r="Q11202" t="n">
        <v>0</v>
      </c>
      <c r="R11202" t="n">
        <v>0</v>
      </c>
      <c r="S11202" t="n">
        <v>0</v>
      </c>
      <c r="T11202" t="n">
        <v>0</v>
      </c>
      <c r="U11202" t="n">
        <v>0</v>
      </c>
      <c r="V11202" s="2" t="inlineStr"/>
    </row>
    <row r="11203" ht="15" customHeight="1">
      <c r="A11203" t="inlineStr">
        <is>
          <t>S 3991-2023</t>
        </is>
      </c>
      <c r="B11203" t="inlineStr">
        <is>
          <t>samrådsanmälan</t>
        </is>
      </c>
      <c r="C11203" t="inlineStr">
        <is>
          <t>Skogsgödsling</t>
        </is>
      </c>
      <c r="D11203" s="1" t="n">
        <v>45238</v>
      </c>
      <c r="E11203" s="1" t="n">
        <v>46326</v>
      </c>
      <c r="F11203" t="inlineStr">
        <is>
          <t>GÄVLEBORGS LÄN</t>
        </is>
      </c>
      <c r="G11203" t="inlineStr">
        <is>
          <t>NORDANSTIG</t>
        </is>
      </c>
      <c r="H11203" t="inlineStr">
        <is>
          <t>Holmen skog AB</t>
        </is>
      </c>
      <c r="I11203" t="n">
        <v>4.6</v>
      </c>
      <c r="J11203" t="n">
        <v>0</v>
      </c>
      <c r="K11203" t="n">
        <v>0</v>
      </c>
      <c r="L11203" t="n">
        <v>0</v>
      </c>
      <c r="M11203" t="n">
        <v>0</v>
      </c>
      <c r="N11203" t="n">
        <v>0</v>
      </c>
      <c r="O11203" t="n">
        <v>0</v>
      </c>
      <c r="P11203" t="n">
        <v>0</v>
      </c>
      <c r="Q11203" t="n">
        <v>0</v>
      </c>
      <c r="R11203" t="n">
        <v>0</v>
      </c>
      <c r="S11203" t="n">
        <v>0</v>
      </c>
      <c r="T11203" t="n">
        <v>0</v>
      </c>
      <c r="U11203" t="n">
        <v>0</v>
      </c>
      <c r="V11203" s="2" t="inlineStr"/>
    </row>
    <row r="11204" ht="15" customHeight="1">
      <c r="A11204" t="inlineStr">
        <is>
          <t>S 2574-2023</t>
        </is>
      </c>
      <c r="B11204" t="inlineStr">
        <is>
          <t>samrådsanmälan</t>
        </is>
      </c>
      <c r="C11204" t="inlineStr">
        <is>
          <t>Annan skogsbruksåtgärd</t>
        </is>
      </c>
      <c r="D11204" s="1" t="n">
        <v>45142</v>
      </c>
      <c r="E11204" s="1" t="n">
        <v>46326</v>
      </c>
      <c r="F11204" t="inlineStr">
        <is>
          <t>GÄVLEBORGS LÄN</t>
        </is>
      </c>
      <c r="G11204" t="inlineStr">
        <is>
          <t>SANDVIKEN</t>
        </is>
      </c>
      <c r="H11204" t="inlineStr">
        <is>
          <t>Bergvik skog öst AB</t>
        </is>
      </c>
      <c r="I11204" t="n">
        <v>31.8</v>
      </c>
      <c r="J11204" t="n">
        <v>0</v>
      </c>
      <c r="K11204" t="n">
        <v>0</v>
      </c>
      <c r="L11204" t="n">
        <v>0</v>
      </c>
      <c r="M11204" t="n">
        <v>0</v>
      </c>
      <c r="N11204" t="n">
        <v>0</v>
      </c>
      <c r="O11204" t="n">
        <v>0</v>
      </c>
      <c r="P11204" t="n">
        <v>0</v>
      </c>
      <c r="Q11204" t="n">
        <v>0</v>
      </c>
      <c r="R11204" t="n">
        <v>0</v>
      </c>
      <c r="S11204" t="n">
        <v>0</v>
      </c>
      <c r="T11204" t="n">
        <v>0</v>
      </c>
      <c r="U11204" t="n">
        <v>0</v>
      </c>
      <c r="V11204" s="2" t="inlineStr"/>
    </row>
    <row r="11205" ht="15" customHeight="1">
      <c r="A11205" t="inlineStr">
        <is>
          <t>S 4017-2023</t>
        </is>
      </c>
      <c r="B11205" t="inlineStr">
        <is>
          <t>samrådsanmälan</t>
        </is>
      </c>
      <c r="C11205" t="inlineStr">
        <is>
          <t>Skogsgödsling</t>
        </is>
      </c>
      <c r="D11205" s="1" t="n">
        <v>45237</v>
      </c>
      <c r="E11205" s="1" t="n">
        <v>46326</v>
      </c>
      <c r="F11205" t="inlineStr">
        <is>
          <t>GÄVLEBORGS LÄN</t>
        </is>
      </c>
      <c r="G11205" t="inlineStr">
        <is>
          <t>HUDIKSVALL</t>
        </is>
      </c>
      <c r="H11205" t="inlineStr">
        <is>
          <t>Holmen skog AB</t>
        </is>
      </c>
      <c r="I11205" t="n">
        <v>99.90000000000001</v>
      </c>
      <c r="J11205" t="n">
        <v>0</v>
      </c>
      <c r="K11205" t="n">
        <v>0</v>
      </c>
      <c r="L11205" t="n">
        <v>0</v>
      </c>
      <c r="M11205" t="n">
        <v>0</v>
      </c>
      <c r="N11205" t="n">
        <v>0</v>
      </c>
      <c r="O11205" t="n">
        <v>0</v>
      </c>
      <c r="P11205" t="n">
        <v>0</v>
      </c>
      <c r="Q11205" t="n">
        <v>0</v>
      </c>
      <c r="R11205" t="n">
        <v>0</v>
      </c>
      <c r="S11205" t="n">
        <v>0</v>
      </c>
      <c r="T11205" t="n">
        <v>0</v>
      </c>
      <c r="U11205" t="n">
        <v>0</v>
      </c>
      <c r="V11205" s="2" t="inlineStr"/>
    </row>
    <row r="11206" ht="15" customHeight="1">
      <c r="A11206" t="inlineStr">
        <is>
          <t>S 11-2024</t>
        </is>
      </c>
      <c r="B11206" t="inlineStr">
        <is>
          <t>samrådsanmälan</t>
        </is>
      </c>
      <c r="C11206" t="inlineStr">
        <is>
          <t>Skogsgödsling</t>
        </is>
      </c>
      <c r="D11206" s="1" t="n">
        <v>45293</v>
      </c>
      <c r="E11206" s="1" t="n">
        <v>46326</v>
      </c>
      <c r="F11206" t="inlineStr">
        <is>
          <t>GÄVLEBORGS LÄN</t>
        </is>
      </c>
      <c r="G11206" t="inlineStr">
        <is>
          <t>LJUSDAL</t>
        </is>
      </c>
      <c r="H11206" t="inlineStr">
        <is>
          <t>Bergvik skog väst AB</t>
        </is>
      </c>
      <c r="I11206" t="n">
        <v>13.4</v>
      </c>
      <c r="J11206" t="n">
        <v>0</v>
      </c>
      <c r="K11206" t="n">
        <v>0</v>
      </c>
      <c r="L11206" t="n">
        <v>0</v>
      </c>
      <c r="M11206" t="n">
        <v>0</v>
      </c>
      <c r="N11206" t="n">
        <v>0</v>
      </c>
      <c r="O11206" t="n">
        <v>0</v>
      </c>
      <c r="P11206" t="n">
        <v>0</v>
      </c>
      <c r="Q11206" t="n">
        <v>0</v>
      </c>
      <c r="R11206" t="n">
        <v>0</v>
      </c>
      <c r="S11206" t="n">
        <v>0</v>
      </c>
      <c r="T11206" t="n">
        <v>0</v>
      </c>
      <c r="U11206" t="n">
        <v>0</v>
      </c>
      <c r="V11206" s="2" t="inlineStr"/>
    </row>
    <row r="11207" ht="15" customHeight="1">
      <c r="A11207" t="inlineStr">
        <is>
          <t>S 183-2022</t>
        </is>
      </c>
      <c r="B11207" t="inlineStr">
        <is>
          <t>samrådsanmälan</t>
        </is>
      </c>
      <c r="C11207" t="inlineStr">
        <is>
          <t>Skogsgödsling</t>
        </is>
      </c>
      <c r="D11207" s="1" t="n">
        <v>44566</v>
      </c>
      <c r="E11207" s="1" t="n">
        <v>46326</v>
      </c>
      <c r="F11207" t="inlineStr">
        <is>
          <t>GÄVLEBORGS LÄN</t>
        </is>
      </c>
      <c r="G11207" t="inlineStr">
        <is>
          <t>OVANÅKER</t>
        </is>
      </c>
      <c r="H11207" t="inlineStr">
        <is>
          <t>Bergvik skog väst AB</t>
        </is>
      </c>
      <c r="I11207" t="n">
        <v>25.3</v>
      </c>
      <c r="J11207" t="n">
        <v>0</v>
      </c>
      <c r="K11207" t="n">
        <v>0</v>
      </c>
      <c r="L11207" t="n">
        <v>0</v>
      </c>
      <c r="M11207" t="n">
        <v>0</v>
      </c>
      <c r="N11207" t="n">
        <v>0</v>
      </c>
      <c r="O11207" t="n">
        <v>0</v>
      </c>
      <c r="P11207" t="n">
        <v>0</v>
      </c>
      <c r="Q11207" t="n">
        <v>0</v>
      </c>
      <c r="R11207" t="n">
        <v>0</v>
      </c>
      <c r="S11207" t="n">
        <v>0</v>
      </c>
      <c r="T11207" t="n">
        <v>0</v>
      </c>
      <c r="U11207" t="n">
        <v>0</v>
      </c>
      <c r="V11207" s="2" t="inlineStr"/>
    </row>
    <row r="11208" ht="15" customHeight="1">
      <c r="A11208" t="inlineStr">
        <is>
          <t>S 188-2022</t>
        </is>
      </c>
      <c r="B11208" t="inlineStr">
        <is>
          <t>samrådsanmälan</t>
        </is>
      </c>
      <c r="C11208" t="inlineStr">
        <is>
          <t>Skogsgödsling</t>
        </is>
      </c>
      <c r="D11208" s="1" t="n">
        <v>44566</v>
      </c>
      <c r="E11208" s="1" t="n">
        <v>46326</v>
      </c>
      <c r="F11208" t="inlineStr">
        <is>
          <t>GÄVLEBORGS LÄN</t>
        </is>
      </c>
      <c r="G11208" t="inlineStr">
        <is>
          <t>BOLLNÄS</t>
        </is>
      </c>
      <c r="H11208" t="inlineStr">
        <is>
          <t>Bergvik skog väst AB</t>
        </is>
      </c>
      <c r="I11208" t="n">
        <v>17.9</v>
      </c>
      <c r="J11208" t="n">
        <v>0</v>
      </c>
      <c r="K11208" t="n">
        <v>0</v>
      </c>
      <c r="L11208" t="n">
        <v>0</v>
      </c>
      <c r="M11208" t="n">
        <v>0</v>
      </c>
      <c r="N11208" t="n">
        <v>0</v>
      </c>
      <c r="O11208" t="n">
        <v>0</v>
      </c>
      <c r="P11208" t="n">
        <v>0</v>
      </c>
      <c r="Q11208" t="n">
        <v>0</v>
      </c>
      <c r="R11208" t="n">
        <v>0</v>
      </c>
      <c r="S11208" t="n">
        <v>0</v>
      </c>
      <c r="T11208" t="n">
        <v>0</v>
      </c>
      <c r="U11208" t="n">
        <v>0</v>
      </c>
      <c r="V11208" s="2" t="inlineStr"/>
    </row>
    <row r="11209" ht="15" customHeight="1">
      <c r="A11209" t="inlineStr">
        <is>
          <t>S 20-2024</t>
        </is>
      </c>
      <c r="B11209" t="inlineStr">
        <is>
          <t>samrådsanmälan</t>
        </is>
      </c>
      <c r="C11209" t="inlineStr">
        <is>
          <t>Skogsgödsling</t>
        </is>
      </c>
      <c r="D11209" s="1" t="n">
        <v>45293</v>
      </c>
      <c r="E11209" s="1" t="n">
        <v>46326</v>
      </c>
      <c r="F11209" t="inlineStr">
        <is>
          <t>GÄVLEBORGS LÄN</t>
        </is>
      </c>
      <c r="G11209" t="inlineStr">
        <is>
          <t>LJUSDAL</t>
        </is>
      </c>
      <c r="H11209" t="inlineStr">
        <is>
          <t>Bergvik skog väst AB</t>
        </is>
      </c>
      <c r="I11209" t="n">
        <v>35.2</v>
      </c>
      <c r="J11209" t="n">
        <v>0</v>
      </c>
      <c r="K11209" t="n">
        <v>0</v>
      </c>
      <c r="L11209" t="n">
        <v>0</v>
      </c>
      <c r="M11209" t="n">
        <v>0</v>
      </c>
      <c r="N11209" t="n">
        <v>0</v>
      </c>
      <c r="O11209" t="n">
        <v>0</v>
      </c>
      <c r="P11209" t="n">
        <v>0</v>
      </c>
      <c r="Q11209" t="n">
        <v>0</v>
      </c>
      <c r="R11209" t="n">
        <v>0</v>
      </c>
      <c r="S11209" t="n">
        <v>0</v>
      </c>
      <c r="T11209" t="n">
        <v>0</v>
      </c>
      <c r="U11209" t="n">
        <v>0</v>
      </c>
      <c r="V11209" s="2" t="inlineStr"/>
    </row>
    <row r="11210" ht="15" customHeight="1">
      <c r="A11210" t="inlineStr">
        <is>
          <t>S 4002-2023</t>
        </is>
      </c>
      <c r="B11210" t="inlineStr">
        <is>
          <t>samrådsanmälan</t>
        </is>
      </c>
      <c r="C11210" t="inlineStr">
        <is>
          <t>Skogsgödsling</t>
        </is>
      </c>
      <c r="D11210" s="1" t="n">
        <v>45237</v>
      </c>
      <c r="E11210" s="1" t="n">
        <v>46326</v>
      </c>
      <c r="F11210" t="inlineStr">
        <is>
          <t>GÄVLEBORGS LÄN</t>
        </is>
      </c>
      <c r="G11210" t="inlineStr">
        <is>
          <t>LJUSDAL</t>
        </is>
      </c>
      <c r="H11210" t="inlineStr">
        <is>
          <t>Holmen skog AB</t>
        </is>
      </c>
      <c r="I11210" t="n">
        <v>74.40000000000001</v>
      </c>
      <c r="J11210" t="n">
        <v>0</v>
      </c>
      <c r="K11210" t="n">
        <v>0</v>
      </c>
      <c r="L11210" t="n">
        <v>0</v>
      </c>
      <c r="M11210" t="n">
        <v>0</v>
      </c>
      <c r="N11210" t="n">
        <v>0</v>
      </c>
      <c r="O11210" t="n">
        <v>0</v>
      </c>
      <c r="P11210" t="n">
        <v>0</v>
      </c>
      <c r="Q11210" t="n">
        <v>0</v>
      </c>
      <c r="R11210" t="n">
        <v>0</v>
      </c>
      <c r="S11210" t="n">
        <v>0</v>
      </c>
      <c r="T11210" t="n">
        <v>0</v>
      </c>
      <c r="U11210" t="n">
        <v>0</v>
      </c>
      <c r="V11210" s="2" t="inlineStr"/>
      <c r="Z11210">
        <f>HYPERLINK("https://klasma.github.io/Logging_2161/knärot/S 4002-2023 karta knärot.png", "S 4002-2023")</f>
        <v/>
      </c>
      <c r="AA11210">
        <f>HYPERLINK("https://klasma.github.io/Logging_2161/klagomål/S 4002-2023 FSC-klagomål.docx", "S 4002-2023")</f>
        <v/>
      </c>
      <c r="AB11210">
        <f>HYPERLINK("https://klasma.github.io/Logging_2161/klagomålsmail/S 4002-2023 FSC-klagomål mail.docx", "S 4002-2023")</f>
        <v/>
      </c>
      <c r="AC11210">
        <f>HYPERLINK("https://klasma.github.io/Logging_2161/tillsyn/S 4002-2023 tillsynsbegäran.docx", "S 4002-2023")</f>
        <v/>
      </c>
      <c r="AD11210">
        <f>HYPERLINK("https://klasma.github.io/Logging_2161/tillsynsmail/S 4002-2023 tillsynsbegäran mail.docx", "S 4002-2023")</f>
        <v/>
      </c>
    </row>
    <row r="11211" ht="15" customHeight="1">
      <c r="A11211" t="inlineStr">
        <is>
          <t>S 10-2024</t>
        </is>
      </c>
      <c r="B11211" t="inlineStr">
        <is>
          <t>samrådsanmälan</t>
        </is>
      </c>
      <c r="C11211" t="inlineStr">
        <is>
          <t>Skogsgödsling</t>
        </is>
      </c>
      <c r="D11211" s="1" t="n">
        <v>45293</v>
      </c>
      <c r="E11211" s="1" t="n">
        <v>46326</v>
      </c>
      <c r="F11211" t="inlineStr">
        <is>
          <t>GÄVLEBORGS LÄN</t>
        </is>
      </c>
      <c r="G11211" t="inlineStr">
        <is>
          <t>OVANÅKER</t>
        </is>
      </c>
      <c r="H11211" t="inlineStr">
        <is>
          <t>Bergvik skog väst AB</t>
        </is>
      </c>
      <c r="I11211" t="n">
        <v>9.6</v>
      </c>
      <c r="J11211" t="n">
        <v>0</v>
      </c>
      <c r="K11211" t="n">
        <v>0</v>
      </c>
      <c r="L11211" t="n">
        <v>0</v>
      </c>
      <c r="M11211" t="n">
        <v>0</v>
      </c>
      <c r="N11211" t="n">
        <v>0</v>
      </c>
      <c r="O11211" t="n">
        <v>0</v>
      </c>
      <c r="P11211" t="n">
        <v>0</v>
      </c>
      <c r="Q11211" t="n">
        <v>0</v>
      </c>
      <c r="R11211" t="n">
        <v>0</v>
      </c>
      <c r="S11211" t="n">
        <v>0</v>
      </c>
      <c r="T11211" t="n">
        <v>0</v>
      </c>
      <c r="U11211" t="n">
        <v>0</v>
      </c>
      <c r="V11211" s="2" t="inlineStr"/>
    </row>
    <row r="11212" ht="15" customHeight="1">
      <c r="A11212" t="inlineStr">
        <is>
          <t>S 969-2023</t>
        </is>
      </c>
      <c r="B11212" t="inlineStr">
        <is>
          <t>samrådsanmälan</t>
        </is>
      </c>
      <c r="C11212" t="inlineStr">
        <is>
          <t>Annan skogsbruksåtgärd</t>
        </is>
      </c>
      <c r="D11212" s="1" t="n">
        <v>45000</v>
      </c>
      <c r="E11212" s="1" t="n">
        <v>46326</v>
      </c>
      <c r="F11212" t="inlineStr">
        <is>
          <t>GÄVLEBORGS LÄN</t>
        </is>
      </c>
      <c r="G11212" t="inlineStr">
        <is>
          <t>OVANÅKER</t>
        </is>
      </c>
      <c r="H11212" t="inlineStr">
        <is>
          <t>Bergvik skog väst AB</t>
        </is>
      </c>
      <c r="I11212" t="n">
        <v>17.1</v>
      </c>
      <c r="J11212" t="n">
        <v>0</v>
      </c>
      <c r="K11212" t="n">
        <v>0</v>
      </c>
      <c r="L11212" t="n">
        <v>0</v>
      </c>
      <c r="M11212" t="n">
        <v>0</v>
      </c>
      <c r="N11212" t="n">
        <v>0</v>
      </c>
      <c r="O11212" t="n">
        <v>0</v>
      </c>
      <c r="P11212" t="n">
        <v>0</v>
      </c>
      <c r="Q11212" t="n">
        <v>0</v>
      </c>
      <c r="R11212" t="n">
        <v>0</v>
      </c>
      <c r="S11212" t="n">
        <v>0</v>
      </c>
      <c r="T11212" t="n">
        <v>0</v>
      </c>
      <c r="U11212" t="n">
        <v>0</v>
      </c>
      <c r="V11212" s="2" t="inlineStr"/>
    </row>
    <row r="11213" ht="15" customHeight="1">
      <c r="A11213" t="inlineStr">
        <is>
          <t>S 10363-2021</t>
        </is>
      </c>
      <c r="B11213" t="inlineStr">
        <is>
          <t>samrådsanmälan</t>
        </is>
      </c>
      <c r="C11213" t="inlineStr">
        <is>
          <t>Skogsgödsling</t>
        </is>
      </c>
      <c r="D11213" s="1" t="n">
        <v>44550</v>
      </c>
      <c r="E11213" s="1" t="n">
        <v>46326</v>
      </c>
      <c r="F11213" t="inlineStr">
        <is>
          <t>GÄVLEBORGS LÄN</t>
        </is>
      </c>
      <c r="G11213" t="inlineStr">
        <is>
          <t>SANDVIKEN</t>
        </is>
      </c>
      <c r="H11213" t="inlineStr">
        <is>
          <t>Sveaskog</t>
        </is>
      </c>
      <c r="I11213" t="n">
        <v>73.3</v>
      </c>
      <c r="J11213" t="n">
        <v>0</v>
      </c>
      <c r="K11213" t="n">
        <v>0</v>
      </c>
      <c r="L11213" t="n">
        <v>0</v>
      </c>
      <c r="M11213" t="n">
        <v>0</v>
      </c>
      <c r="N11213" t="n">
        <v>0</v>
      </c>
      <c r="O11213" t="n">
        <v>0</v>
      </c>
      <c r="P11213" t="n">
        <v>0</v>
      </c>
      <c r="Q11213" t="n">
        <v>0</v>
      </c>
      <c r="R11213" t="n">
        <v>0</v>
      </c>
      <c r="S11213" t="n">
        <v>0</v>
      </c>
      <c r="T11213" t="n">
        <v>0</v>
      </c>
      <c r="U11213" t="n">
        <v>0</v>
      </c>
      <c r="V11213" s="2" t="inlineStr"/>
    </row>
    <row r="11214" ht="15" customHeight="1">
      <c r="A11214" t="inlineStr">
        <is>
          <t>S 146-2022</t>
        </is>
      </c>
      <c r="B11214" t="inlineStr">
        <is>
          <t>samrådsanmälan</t>
        </is>
      </c>
      <c r="C11214" t="inlineStr">
        <is>
          <t>Skogsgödsling</t>
        </is>
      </c>
      <c r="D11214" s="1" t="n">
        <v>44566</v>
      </c>
      <c r="E11214" s="1" t="n">
        <v>46326</v>
      </c>
      <c r="F11214" t="inlineStr">
        <is>
          <t>GÄVLEBORGS LÄN</t>
        </is>
      </c>
      <c r="G11214" t="inlineStr">
        <is>
          <t>LJUSDAL</t>
        </is>
      </c>
      <c r="H11214" t="inlineStr">
        <is>
          <t>Bergvik skog väst AB</t>
        </is>
      </c>
      <c r="I11214" t="n">
        <v>69.3</v>
      </c>
      <c r="J11214" t="n">
        <v>0</v>
      </c>
      <c r="K11214" t="n">
        <v>0</v>
      </c>
      <c r="L11214" t="n">
        <v>0</v>
      </c>
      <c r="M11214" t="n">
        <v>0</v>
      </c>
      <c r="N11214" t="n">
        <v>0</v>
      </c>
      <c r="O11214" t="n">
        <v>0</v>
      </c>
      <c r="P11214" t="n">
        <v>0</v>
      </c>
      <c r="Q11214" t="n">
        <v>0</v>
      </c>
      <c r="R11214" t="n">
        <v>0</v>
      </c>
      <c r="S11214" t="n">
        <v>0</v>
      </c>
      <c r="T11214" t="n">
        <v>0</v>
      </c>
      <c r="U11214" t="n">
        <v>0</v>
      </c>
      <c r="V11214" s="2" t="inlineStr"/>
    </row>
    <row r="11215" ht="15" customHeight="1">
      <c r="A11215" t="inlineStr">
        <is>
          <t>S 3997-2023</t>
        </is>
      </c>
      <c r="B11215" t="inlineStr">
        <is>
          <t>samrådsanmälan</t>
        </is>
      </c>
      <c r="C11215" t="inlineStr">
        <is>
          <t>Skogsgödsling</t>
        </is>
      </c>
      <c r="D11215" s="1" t="n">
        <v>45238</v>
      </c>
      <c r="E11215" s="1" t="n">
        <v>46326</v>
      </c>
      <c r="F11215" t="inlineStr">
        <is>
          <t>GÄVLEBORGS LÄN</t>
        </is>
      </c>
      <c r="G11215" t="inlineStr">
        <is>
          <t>NORDANSTIG</t>
        </is>
      </c>
      <c r="H11215" t="inlineStr">
        <is>
          <t>Holmen skog AB</t>
        </is>
      </c>
      <c r="I11215" t="n">
        <v>12.1</v>
      </c>
      <c r="J11215" t="n">
        <v>0</v>
      </c>
      <c r="K11215" t="n">
        <v>0</v>
      </c>
      <c r="L11215" t="n">
        <v>0</v>
      </c>
      <c r="M11215" t="n">
        <v>0</v>
      </c>
      <c r="N11215" t="n">
        <v>0</v>
      </c>
      <c r="O11215" t="n">
        <v>0</v>
      </c>
      <c r="P11215" t="n">
        <v>0</v>
      </c>
      <c r="Q11215" t="n">
        <v>0</v>
      </c>
      <c r="R11215" t="n">
        <v>0</v>
      </c>
      <c r="S11215" t="n">
        <v>0</v>
      </c>
      <c r="T11215" t="n">
        <v>0</v>
      </c>
      <c r="U11215" t="n">
        <v>0</v>
      </c>
      <c r="V11215" s="2" t="inlineStr"/>
    </row>
    <row r="11216" ht="15" customHeight="1">
      <c r="A11216" t="inlineStr">
        <is>
          <t>S 129-2022</t>
        </is>
      </c>
      <c r="B11216" t="inlineStr">
        <is>
          <t>samrådsanmälan</t>
        </is>
      </c>
      <c r="C11216" t="inlineStr">
        <is>
          <t>Skogsgödsling</t>
        </is>
      </c>
      <c r="D11216" s="1" t="n">
        <v>44566</v>
      </c>
      <c r="E11216" s="1" t="n">
        <v>46326</v>
      </c>
      <c r="F11216" t="inlineStr">
        <is>
          <t>GÄVLEBORGS LÄN</t>
        </is>
      </c>
      <c r="G11216" t="inlineStr">
        <is>
          <t>LJUSDAL</t>
        </is>
      </c>
      <c r="H11216" t="inlineStr">
        <is>
          <t>Bergvik skog väst AB</t>
        </is>
      </c>
      <c r="I11216" t="n">
        <v>65.8</v>
      </c>
      <c r="J11216" t="n">
        <v>0</v>
      </c>
      <c r="K11216" t="n">
        <v>0</v>
      </c>
      <c r="L11216" t="n">
        <v>0</v>
      </c>
      <c r="M11216" t="n">
        <v>0</v>
      </c>
      <c r="N11216" t="n">
        <v>0</v>
      </c>
      <c r="O11216" t="n">
        <v>0</v>
      </c>
      <c r="P11216" t="n">
        <v>0</v>
      </c>
      <c r="Q11216" t="n">
        <v>0</v>
      </c>
      <c r="R11216" t="n">
        <v>0</v>
      </c>
      <c r="S11216" t="n">
        <v>0</v>
      </c>
      <c r="T11216" t="n">
        <v>0</v>
      </c>
      <c r="U11216" t="n">
        <v>0</v>
      </c>
      <c r="V11216" s="2" t="inlineStr"/>
    </row>
    <row r="11217" ht="15" customHeight="1">
      <c r="A11217" t="inlineStr">
        <is>
          <t>S 13-2024</t>
        </is>
      </c>
      <c r="B11217" t="inlineStr">
        <is>
          <t>samrådsanmälan</t>
        </is>
      </c>
      <c r="C11217" t="inlineStr">
        <is>
          <t>Skogsgödsling</t>
        </is>
      </c>
      <c r="D11217" s="1" t="n">
        <v>45293</v>
      </c>
      <c r="E11217" s="1" t="n">
        <v>46326</v>
      </c>
      <c r="F11217" t="inlineStr">
        <is>
          <t>GÄVLEBORGS LÄN</t>
        </is>
      </c>
      <c r="G11217" t="inlineStr">
        <is>
          <t>OVANÅKER</t>
        </is>
      </c>
      <c r="H11217" t="inlineStr">
        <is>
          <t>Bergvik skog väst AB</t>
        </is>
      </c>
      <c r="I11217" t="n">
        <v>16.1</v>
      </c>
      <c r="J11217" t="n">
        <v>0</v>
      </c>
      <c r="K11217" t="n">
        <v>0</v>
      </c>
      <c r="L11217" t="n">
        <v>0</v>
      </c>
      <c r="M11217" t="n">
        <v>0</v>
      </c>
      <c r="N11217" t="n">
        <v>0</v>
      </c>
      <c r="O11217" t="n">
        <v>0</v>
      </c>
      <c r="P11217" t="n">
        <v>0</v>
      </c>
      <c r="Q11217" t="n">
        <v>0</v>
      </c>
      <c r="R11217" t="n">
        <v>0</v>
      </c>
      <c r="S11217" t="n">
        <v>0</v>
      </c>
      <c r="T11217" t="n">
        <v>0</v>
      </c>
      <c r="U11217" t="n">
        <v>0</v>
      </c>
      <c r="V11217" s="2" t="inlineStr"/>
    </row>
    <row r="11218" ht="15" customHeight="1">
      <c r="A11218" t="inlineStr">
        <is>
          <t>S 132-2022</t>
        </is>
      </c>
      <c r="B11218" t="inlineStr">
        <is>
          <t>samrådsanmälan</t>
        </is>
      </c>
      <c r="C11218" t="inlineStr">
        <is>
          <t>Skogsgödsling</t>
        </is>
      </c>
      <c r="D11218" s="1" t="n">
        <v>44566</v>
      </c>
      <c r="E11218" s="1" t="n">
        <v>46326</v>
      </c>
      <c r="F11218" t="inlineStr">
        <is>
          <t>GÄVLEBORGS LÄN</t>
        </is>
      </c>
      <c r="G11218" t="inlineStr">
        <is>
          <t>LJUSDAL</t>
        </is>
      </c>
      <c r="H11218" t="inlineStr">
        <is>
          <t>Bergvik skog väst AB</t>
        </is>
      </c>
      <c r="I11218" t="n">
        <v>74.3</v>
      </c>
      <c r="J11218" t="n">
        <v>0</v>
      </c>
      <c r="K11218" t="n">
        <v>0</v>
      </c>
      <c r="L11218" t="n">
        <v>0</v>
      </c>
      <c r="M11218" t="n">
        <v>0</v>
      </c>
      <c r="N11218" t="n">
        <v>0</v>
      </c>
      <c r="O11218" t="n">
        <v>0</v>
      </c>
      <c r="P11218" t="n">
        <v>0</v>
      </c>
      <c r="Q11218" t="n">
        <v>0</v>
      </c>
      <c r="R11218" t="n">
        <v>0</v>
      </c>
      <c r="S11218" t="n">
        <v>0</v>
      </c>
      <c r="T11218" t="n">
        <v>0</v>
      </c>
      <c r="U11218" t="n">
        <v>0</v>
      </c>
      <c r="V11218" s="2" t="inlineStr"/>
    </row>
    <row r="11219" ht="15" customHeight="1">
      <c r="A11219" t="inlineStr">
        <is>
          <t>S 1604-2023</t>
        </is>
      </c>
      <c r="B11219" t="inlineStr">
        <is>
          <t>samrådsanmälan</t>
        </is>
      </c>
      <c r="C11219" t="inlineStr">
        <is>
          <t>Skogsgödsling</t>
        </is>
      </c>
      <c r="D11219" s="1" t="n">
        <v>45056</v>
      </c>
      <c r="E11219" s="1" t="n">
        <v>46326</v>
      </c>
      <c r="F11219" t="inlineStr">
        <is>
          <t>GÄVLEBORGS LÄN</t>
        </is>
      </c>
      <c r="G11219" t="inlineStr">
        <is>
          <t>LJUSDAL</t>
        </is>
      </c>
      <c r="I11219" t="n">
        <v>7.8</v>
      </c>
      <c r="J11219" t="n">
        <v>0</v>
      </c>
      <c r="K11219" t="n">
        <v>0</v>
      </c>
      <c r="L11219" t="n">
        <v>0</v>
      </c>
      <c r="M11219" t="n">
        <v>0</v>
      </c>
      <c r="N11219" t="n">
        <v>0</v>
      </c>
      <c r="O11219" t="n">
        <v>0</v>
      </c>
      <c r="P11219" t="n">
        <v>0</v>
      </c>
      <c r="Q11219" t="n">
        <v>0</v>
      </c>
      <c r="R11219" t="n">
        <v>0</v>
      </c>
      <c r="S11219" t="n">
        <v>0</v>
      </c>
      <c r="T11219" t="n">
        <v>0</v>
      </c>
      <c r="U11219" t="n">
        <v>0</v>
      </c>
      <c r="V11219" s="2" t="inlineStr"/>
    </row>
    <row r="11220" ht="15" customHeight="1">
      <c r="A11220" t="inlineStr">
        <is>
          <t>S 833-2024</t>
        </is>
      </c>
      <c r="B11220" t="inlineStr">
        <is>
          <t>samrådsanmälan</t>
        </is>
      </c>
      <c r="C11220" t="inlineStr">
        <is>
          <t>Skogsgödsling</t>
        </is>
      </c>
      <c r="D11220" s="1" t="n">
        <v>45372</v>
      </c>
      <c r="E11220" s="1" t="n">
        <v>46326</v>
      </c>
      <c r="F11220" t="inlineStr">
        <is>
          <t>GÄVLEBORGS LÄN</t>
        </is>
      </c>
      <c r="G11220" t="inlineStr">
        <is>
          <t>LJUSDAL</t>
        </is>
      </c>
      <c r="I11220" t="n">
        <v>20.9</v>
      </c>
      <c r="J11220" t="n">
        <v>0</v>
      </c>
      <c r="K11220" t="n">
        <v>0</v>
      </c>
      <c r="L11220" t="n">
        <v>0</v>
      </c>
      <c r="M11220" t="n">
        <v>0</v>
      </c>
      <c r="N11220" t="n">
        <v>0</v>
      </c>
      <c r="O11220" t="n">
        <v>0</v>
      </c>
      <c r="P11220" t="n">
        <v>0</v>
      </c>
      <c r="Q11220" t="n">
        <v>0</v>
      </c>
      <c r="R11220" t="n">
        <v>0</v>
      </c>
      <c r="S11220" t="n">
        <v>0</v>
      </c>
      <c r="T11220" t="n">
        <v>0</v>
      </c>
      <c r="U11220" t="n">
        <v>0</v>
      </c>
      <c r="V11220" s="2" t="inlineStr"/>
    </row>
    <row r="11221" ht="15" customHeight="1">
      <c r="A11221" t="inlineStr">
        <is>
          <t>S 109-2025</t>
        </is>
      </c>
      <c r="B11221" t="inlineStr">
        <is>
          <t>samrådsanmälan</t>
        </is>
      </c>
      <c r="C11221" t="inlineStr">
        <is>
          <t>Skogsgödsling</t>
        </is>
      </c>
      <c r="D11221" s="1" t="n">
        <v>45670</v>
      </c>
      <c r="E11221" s="1" t="n">
        <v>46326</v>
      </c>
      <c r="F11221" t="inlineStr">
        <is>
          <t>GÄVLEBORGS LÄN</t>
        </is>
      </c>
      <c r="G11221" t="inlineStr">
        <is>
          <t>HUDIKSVALL</t>
        </is>
      </c>
      <c r="H11221" t="inlineStr">
        <is>
          <t>Holmen skog AB</t>
        </is>
      </c>
      <c r="I11221" t="n">
        <v>24.9</v>
      </c>
      <c r="J11221" t="n">
        <v>0</v>
      </c>
      <c r="K11221" t="n">
        <v>0</v>
      </c>
      <c r="L11221" t="n">
        <v>0</v>
      </c>
      <c r="M11221" t="n">
        <v>0</v>
      </c>
      <c r="N11221" t="n">
        <v>0</v>
      </c>
      <c r="O11221" t="n">
        <v>0</v>
      </c>
      <c r="P11221" t="n">
        <v>0</v>
      </c>
      <c r="Q11221" t="n">
        <v>0</v>
      </c>
      <c r="R11221" t="n">
        <v>0</v>
      </c>
      <c r="S11221" t="n">
        <v>0</v>
      </c>
      <c r="T11221" t="n">
        <v>0</v>
      </c>
      <c r="U11221" t="n">
        <v>0</v>
      </c>
      <c r="V11221" s="2" t="inlineStr"/>
    </row>
    <row r="11222" ht="15" customHeight="1">
      <c r="A11222" t="inlineStr">
        <is>
          <t>S 239-2024</t>
        </is>
      </c>
      <c r="B11222" t="inlineStr">
        <is>
          <t>samrådsanmälan</t>
        </is>
      </c>
      <c r="C11222" t="inlineStr">
        <is>
          <t>Skogsgödsling</t>
        </is>
      </c>
      <c r="D11222" s="1" t="n">
        <v>45319</v>
      </c>
      <c r="E11222" s="1" t="n">
        <v>46326</v>
      </c>
      <c r="F11222" t="inlineStr">
        <is>
          <t>GÄVLEBORGS LÄN</t>
        </is>
      </c>
      <c r="G11222" t="inlineStr">
        <is>
          <t>HOFORS</t>
        </is>
      </c>
      <c r="H11222" t="inlineStr">
        <is>
          <t>Sveaskog</t>
        </is>
      </c>
      <c r="I11222" t="n">
        <v>42.3</v>
      </c>
      <c r="J11222" t="n">
        <v>0</v>
      </c>
      <c r="K11222" t="n">
        <v>0</v>
      </c>
      <c r="L11222" t="n">
        <v>0</v>
      </c>
      <c r="M11222" t="n">
        <v>0</v>
      </c>
      <c r="N11222" t="n">
        <v>0</v>
      </c>
      <c r="O11222" t="n">
        <v>0</v>
      </c>
      <c r="P11222" t="n">
        <v>0</v>
      </c>
      <c r="Q11222" t="n">
        <v>0</v>
      </c>
      <c r="R11222" t="n">
        <v>0</v>
      </c>
      <c r="S11222" t="n">
        <v>0</v>
      </c>
      <c r="T11222" t="n">
        <v>0</v>
      </c>
      <c r="U11222" t="n">
        <v>0</v>
      </c>
      <c r="V11222" s="2" t="inlineStr"/>
    </row>
    <row r="11223" ht="15" customHeight="1">
      <c r="A11223" t="inlineStr">
        <is>
          <t>S 180-2022</t>
        </is>
      </c>
      <c r="B11223" t="inlineStr">
        <is>
          <t>samrådsanmälan</t>
        </is>
      </c>
      <c r="C11223" t="inlineStr">
        <is>
          <t>Skogsgödsling</t>
        </is>
      </c>
      <c r="D11223" s="1" t="n">
        <v>44566</v>
      </c>
      <c r="E11223" s="1" t="n">
        <v>46326</v>
      </c>
      <c r="F11223" t="inlineStr">
        <is>
          <t>GÄVLEBORGS LÄN</t>
        </is>
      </c>
      <c r="G11223" t="inlineStr">
        <is>
          <t>BOLLNÄS</t>
        </is>
      </c>
      <c r="H11223" t="inlineStr">
        <is>
          <t>Bergvik skog väst AB</t>
        </is>
      </c>
      <c r="I11223" t="n">
        <v>60.4</v>
      </c>
      <c r="J11223" t="n">
        <v>0</v>
      </c>
      <c r="K11223" t="n">
        <v>0</v>
      </c>
      <c r="L11223" t="n">
        <v>0</v>
      </c>
      <c r="M11223" t="n">
        <v>0</v>
      </c>
      <c r="N11223" t="n">
        <v>0</v>
      </c>
      <c r="O11223" t="n">
        <v>0</v>
      </c>
      <c r="P11223" t="n">
        <v>0</v>
      </c>
      <c r="Q11223" t="n">
        <v>0</v>
      </c>
      <c r="R11223" t="n">
        <v>0</v>
      </c>
      <c r="S11223" t="n">
        <v>0</v>
      </c>
      <c r="T11223" t="n">
        <v>0</v>
      </c>
      <c r="U11223" t="n">
        <v>0</v>
      </c>
      <c r="V11223" s="2" t="inlineStr"/>
    </row>
    <row r="11224" ht="15" customHeight="1">
      <c r="A11224" t="inlineStr">
        <is>
          <t>S 133-2025</t>
        </is>
      </c>
      <c r="B11224" t="inlineStr">
        <is>
          <t>samrådsanmälan</t>
        </is>
      </c>
      <c r="C11224" t="inlineStr">
        <is>
          <t>Skogsgödsling</t>
        </is>
      </c>
      <c r="D11224" s="1" t="n">
        <v>45670</v>
      </c>
      <c r="E11224" s="1" t="n">
        <v>46326</v>
      </c>
      <c r="F11224" t="inlineStr">
        <is>
          <t>GÄVLEBORGS LÄN</t>
        </is>
      </c>
      <c r="G11224" t="inlineStr">
        <is>
          <t>LJUSDAL</t>
        </is>
      </c>
      <c r="H11224" t="inlineStr">
        <is>
          <t>Holmen skog AB</t>
        </is>
      </c>
      <c r="I11224" t="n">
        <v>34.8</v>
      </c>
      <c r="J11224" t="n">
        <v>0</v>
      </c>
      <c r="K11224" t="n">
        <v>0</v>
      </c>
      <c r="L11224" t="n">
        <v>0</v>
      </c>
      <c r="M11224" t="n">
        <v>0</v>
      </c>
      <c r="N11224" t="n">
        <v>0</v>
      </c>
      <c r="O11224" t="n">
        <v>0</v>
      </c>
      <c r="P11224" t="n">
        <v>0</v>
      </c>
      <c r="Q11224" t="n">
        <v>0</v>
      </c>
      <c r="R11224" t="n">
        <v>0</v>
      </c>
      <c r="S11224" t="n">
        <v>0</v>
      </c>
      <c r="T11224" t="n">
        <v>0</v>
      </c>
      <c r="U11224" t="n">
        <v>0</v>
      </c>
      <c r="V11224" s="2" t="inlineStr"/>
    </row>
    <row r="11225" ht="15" customHeight="1">
      <c r="A11225" t="inlineStr">
        <is>
          <t>S 1493-2023</t>
        </is>
      </c>
      <c r="B11225" t="inlineStr">
        <is>
          <t>samrådsanmälan</t>
        </is>
      </c>
      <c r="C11225" t="inlineStr">
        <is>
          <t>Skogsgödsling</t>
        </is>
      </c>
      <c r="D11225" s="1" t="n">
        <v>45054</v>
      </c>
      <c r="E11225" s="1" t="n">
        <v>46326</v>
      </c>
      <c r="F11225" t="inlineStr">
        <is>
          <t>GÄVLEBORGS LÄN</t>
        </is>
      </c>
      <c r="G11225" t="inlineStr">
        <is>
          <t>LJUSDAL</t>
        </is>
      </c>
      <c r="I11225" t="n">
        <v>10</v>
      </c>
      <c r="J11225" t="n">
        <v>0</v>
      </c>
      <c r="K11225" t="n">
        <v>0</v>
      </c>
      <c r="L11225" t="n">
        <v>0</v>
      </c>
      <c r="M11225" t="n">
        <v>0</v>
      </c>
      <c r="N11225" t="n">
        <v>0</v>
      </c>
      <c r="O11225" t="n">
        <v>0</v>
      </c>
      <c r="P11225" t="n">
        <v>0</v>
      </c>
      <c r="Q11225" t="n">
        <v>0</v>
      </c>
      <c r="R11225" t="n">
        <v>0</v>
      </c>
      <c r="S11225" t="n">
        <v>0</v>
      </c>
      <c r="T11225" t="n">
        <v>0</v>
      </c>
      <c r="U11225" t="n">
        <v>0</v>
      </c>
      <c r="V11225" s="2" t="inlineStr"/>
    </row>
    <row r="11226" ht="15" customHeight="1">
      <c r="A11226" t="inlineStr">
        <is>
          <t>S 4011-2023</t>
        </is>
      </c>
      <c r="B11226" t="inlineStr">
        <is>
          <t>samrådsanmälan</t>
        </is>
      </c>
      <c r="C11226" t="inlineStr">
        <is>
          <t>Skogsgödsling</t>
        </is>
      </c>
      <c r="D11226" s="1" t="n">
        <v>45237</v>
      </c>
      <c r="E11226" s="1" t="n">
        <v>46326</v>
      </c>
      <c r="F11226" t="inlineStr">
        <is>
          <t>GÄVLEBORGS LÄN</t>
        </is>
      </c>
      <c r="G11226" t="inlineStr">
        <is>
          <t>HUDIKSVALL</t>
        </is>
      </c>
      <c r="H11226" t="inlineStr">
        <is>
          <t>Holmen skog AB</t>
        </is>
      </c>
      <c r="I11226" t="n">
        <v>97.90000000000001</v>
      </c>
      <c r="J11226" t="n">
        <v>0</v>
      </c>
      <c r="K11226" t="n">
        <v>0</v>
      </c>
      <c r="L11226" t="n">
        <v>0</v>
      </c>
      <c r="M11226" t="n">
        <v>0</v>
      </c>
      <c r="N11226" t="n">
        <v>0</v>
      </c>
      <c r="O11226" t="n">
        <v>0</v>
      </c>
      <c r="P11226" t="n">
        <v>0</v>
      </c>
      <c r="Q11226" t="n">
        <v>0</v>
      </c>
      <c r="R11226" t="n">
        <v>0</v>
      </c>
      <c r="S11226" t="n">
        <v>0</v>
      </c>
      <c r="T11226" t="n">
        <v>0</v>
      </c>
      <c r="U11226" t="n">
        <v>0</v>
      </c>
      <c r="V11226" s="2" t="inlineStr"/>
    </row>
    <row r="11227" ht="15" customHeight="1">
      <c r="A11227" t="inlineStr">
        <is>
          <t>S 3992-2023</t>
        </is>
      </c>
      <c r="B11227" t="inlineStr">
        <is>
          <t>samrådsanmälan</t>
        </is>
      </c>
      <c r="C11227" t="inlineStr">
        <is>
          <t>Skogsgödsling</t>
        </is>
      </c>
      <c r="D11227" s="1" t="n">
        <v>45238</v>
      </c>
      <c r="E11227" s="1" t="n">
        <v>46326</v>
      </c>
      <c r="F11227" t="inlineStr">
        <is>
          <t>GÄVLEBORGS LÄN</t>
        </is>
      </c>
      <c r="G11227" t="inlineStr">
        <is>
          <t>NORDANSTIG</t>
        </is>
      </c>
      <c r="H11227" t="inlineStr">
        <is>
          <t>Holmen skog AB</t>
        </is>
      </c>
      <c r="I11227" t="n">
        <v>130.4</v>
      </c>
      <c r="J11227" t="n">
        <v>0</v>
      </c>
      <c r="K11227" t="n">
        <v>0</v>
      </c>
      <c r="L11227" t="n">
        <v>0</v>
      </c>
      <c r="M11227" t="n">
        <v>0</v>
      </c>
      <c r="N11227" t="n">
        <v>0</v>
      </c>
      <c r="O11227" t="n">
        <v>0</v>
      </c>
      <c r="P11227" t="n">
        <v>0</v>
      </c>
      <c r="Q11227" t="n">
        <v>0</v>
      </c>
      <c r="R11227" t="n">
        <v>0</v>
      </c>
      <c r="S11227" t="n">
        <v>0</v>
      </c>
      <c r="T11227" t="n">
        <v>0</v>
      </c>
      <c r="U11227" t="n">
        <v>0</v>
      </c>
      <c r="V11227" s="2" t="inlineStr"/>
    </row>
    <row r="11228" ht="15" customHeight="1">
      <c r="A11228" t="inlineStr">
        <is>
          <t>S 123-2025</t>
        </is>
      </c>
      <c r="B11228" t="inlineStr">
        <is>
          <t>samrådsanmälan</t>
        </is>
      </c>
      <c r="C11228" t="inlineStr">
        <is>
          <t>Skogsgödsling</t>
        </is>
      </c>
      <c r="D11228" s="1" t="n">
        <v>45670</v>
      </c>
      <c r="E11228" s="1" t="n">
        <v>46326</v>
      </c>
      <c r="F11228" t="inlineStr">
        <is>
          <t>GÄVLEBORGS LÄN</t>
        </is>
      </c>
      <c r="G11228" t="inlineStr">
        <is>
          <t>HUDIKSVALL</t>
        </is>
      </c>
      <c r="I11228" t="n">
        <v>39.6</v>
      </c>
      <c r="J11228" t="n">
        <v>0</v>
      </c>
      <c r="K11228" t="n">
        <v>0</v>
      </c>
      <c r="L11228" t="n">
        <v>0</v>
      </c>
      <c r="M11228" t="n">
        <v>0</v>
      </c>
      <c r="N11228" t="n">
        <v>0</v>
      </c>
      <c r="O11228" t="n">
        <v>0</v>
      </c>
      <c r="P11228" t="n">
        <v>0</v>
      </c>
      <c r="Q11228" t="n">
        <v>0</v>
      </c>
      <c r="R11228" t="n">
        <v>0</v>
      </c>
      <c r="S11228" t="n">
        <v>0</v>
      </c>
      <c r="T11228" t="n">
        <v>0</v>
      </c>
      <c r="U11228" t="n">
        <v>0</v>
      </c>
      <c r="V11228" s="2" t="inlineStr"/>
    </row>
    <row r="11229" ht="15" customHeight="1">
      <c r="A11229" t="inlineStr">
        <is>
          <t>S 121-2025</t>
        </is>
      </c>
      <c r="B11229" t="inlineStr">
        <is>
          <t>samrådsanmälan</t>
        </is>
      </c>
      <c r="C11229" t="inlineStr">
        <is>
          <t>Skogsgödsling</t>
        </is>
      </c>
      <c r="D11229" s="1" t="n">
        <v>45670</v>
      </c>
      <c r="E11229" s="1" t="n">
        <v>46326</v>
      </c>
      <c r="F11229" t="inlineStr">
        <is>
          <t>GÄVLEBORGS LÄN</t>
        </is>
      </c>
      <c r="G11229" t="inlineStr">
        <is>
          <t>HUDIKSVALL</t>
        </is>
      </c>
      <c r="H11229" t="inlineStr">
        <is>
          <t>Holmen skog AB</t>
        </is>
      </c>
      <c r="I11229" t="n">
        <v>30.5</v>
      </c>
      <c r="J11229" t="n">
        <v>0</v>
      </c>
      <c r="K11229" t="n">
        <v>0</v>
      </c>
      <c r="L11229" t="n">
        <v>0</v>
      </c>
      <c r="M11229" t="n">
        <v>0</v>
      </c>
      <c r="N11229" t="n">
        <v>0</v>
      </c>
      <c r="O11229" t="n">
        <v>0</v>
      </c>
      <c r="P11229" t="n">
        <v>0</v>
      </c>
      <c r="Q11229" t="n">
        <v>0</v>
      </c>
      <c r="R11229" t="n">
        <v>0</v>
      </c>
      <c r="S11229" t="n">
        <v>0</v>
      </c>
      <c r="T11229" t="n">
        <v>0</v>
      </c>
      <c r="U11229" t="n">
        <v>0</v>
      </c>
      <c r="V11229" s="2" t="inlineStr"/>
    </row>
    <row r="11230" ht="15" customHeight="1">
      <c r="A11230" t="inlineStr">
        <is>
          <t>S 373-2023</t>
        </is>
      </c>
      <c r="B11230" t="inlineStr">
        <is>
          <t>samrådsanmälan</t>
        </is>
      </c>
      <c r="C11230" t="inlineStr">
        <is>
          <t>Skogsgödsling</t>
        </is>
      </c>
      <c r="D11230" s="1" t="n">
        <v>44959</v>
      </c>
      <c r="E11230" s="1" t="n">
        <v>46326</v>
      </c>
      <c r="F11230" t="inlineStr">
        <is>
          <t>GÄVLEBORGS LÄN</t>
        </is>
      </c>
      <c r="G11230" t="inlineStr">
        <is>
          <t>HUDIKSVALL</t>
        </is>
      </c>
      <c r="H11230" t="inlineStr">
        <is>
          <t>Holmen skog AB</t>
        </is>
      </c>
      <c r="I11230" t="n">
        <v>256.4</v>
      </c>
      <c r="J11230" t="n">
        <v>0</v>
      </c>
      <c r="K11230" t="n">
        <v>0</v>
      </c>
      <c r="L11230" t="n">
        <v>0</v>
      </c>
      <c r="M11230" t="n">
        <v>0</v>
      </c>
      <c r="N11230" t="n">
        <v>0</v>
      </c>
      <c r="O11230" t="n">
        <v>0</v>
      </c>
      <c r="P11230" t="n">
        <v>0</v>
      </c>
      <c r="Q11230" t="n">
        <v>0</v>
      </c>
      <c r="R11230" t="n">
        <v>0</v>
      </c>
      <c r="S11230" t="n">
        <v>0</v>
      </c>
      <c r="T11230" t="n">
        <v>0</v>
      </c>
      <c r="U11230" t="n">
        <v>0</v>
      </c>
      <c r="V11230" s="2" t="inlineStr"/>
    </row>
    <row r="11231" ht="15" customHeight="1">
      <c r="A11231" t="inlineStr">
        <is>
          <t>S 4004-2023</t>
        </is>
      </c>
      <c r="B11231" t="inlineStr">
        <is>
          <t>samrådsanmälan</t>
        </is>
      </c>
      <c r="C11231" t="inlineStr">
        <is>
          <t>Skogsgödsling</t>
        </is>
      </c>
      <c r="D11231" s="1" t="n">
        <v>45237</v>
      </c>
      <c r="E11231" s="1" t="n">
        <v>46326</v>
      </c>
      <c r="F11231" t="inlineStr">
        <is>
          <t>GÄVLEBORGS LÄN</t>
        </is>
      </c>
      <c r="G11231" t="inlineStr">
        <is>
          <t>LJUSDAL</t>
        </is>
      </c>
      <c r="H11231" t="inlineStr">
        <is>
          <t>Holmen skog AB</t>
        </is>
      </c>
      <c r="I11231" t="n">
        <v>28.3</v>
      </c>
      <c r="J11231" t="n">
        <v>0</v>
      </c>
      <c r="K11231" t="n">
        <v>0</v>
      </c>
      <c r="L11231" t="n">
        <v>0</v>
      </c>
      <c r="M11231" t="n">
        <v>0</v>
      </c>
      <c r="N11231" t="n">
        <v>0</v>
      </c>
      <c r="O11231" t="n">
        <v>0</v>
      </c>
      <c r="P11231" t="n">
        <v>0</v>
      </c>
      <c r="Q11231" t="n">
        <v>0</v>
      </c>
      <c r="R11231" t="n">
        <v>0</v>
      </c>
      <c r="S11231" t="n">
        <v>0</v>
      </c>
      <c r="T11231" t="n">
        <v>0</v>
      </c>
      <c r="U11231" t="n">
        <v>0</v>
      </c>
      <c r="V11231" s="2" t="inlineStr"/>
    </row>
    <row r="11232" ht="15" customHeight="1">
      <c r="A11232" t="inlineStr">
        <is>
          <t>S 138-2025</t>
        </is>
      </c>
      <c r="B11232" t="inlineStr">
        <is>
          <t>samrådsanmälan</t>
        </is>
      </c>
      <c r="C11232" t="inlineStr">
        <is>
          <t>Skogsgödsling</t>
        </is>
      </c>
      <c r="D11232" s="1" t="n">
        <v>45670</v>
      </c>
      <c r="E11232" s="1" t="n">
        <v>46326</v>
      </c>
      <c r="F11232" t="inlineStr">
        <is>
          <t>GÄVLEBORGS LÄN</t>
        </is>
      </c>
      <c r="G11232" t="inlineStr">
        <is>
          <t>NORDANSTIG</t>
        </is>
      </c>
      <c r="H11232" t="inlineStr">
        <is>
          <t>Holmen skog AB</t>
        </is>
      </c>
      <c r="I11232" t="n">
        <v>49.7</v>
      </c>
      <c r="J11232" t="n">
        <v>0</v>
      </c>
      <c r="K11232" t="n">
        <v>0</v>
      </c>
      <c r="L11232" t="n">
        <v>0</v>
      </c>
      <c r="M11232" t="n">
        <v>0</v>
      </c>
      <c r="N11232" t="n">
        <v>0</v>
      </c>
      <c r="O11232" t="n">
        <v>0</v>
      </c>
      <c r="P11232" t="n">
        <v>0</v>
      </c>
      <c r="Q11232" t="n">
        <v>0</v>
      </c>
      <c r="R11232" t="n">
        <v>0</v>
      </c>
      <c r="S11232" t="n">
        <v>0</v>
      </c>
      <c r="T11232" t="n">
        <v>0</v>
      </c>
      <c r="U11232" t="n">
        <v>0</v>
      </c>
      <c r="V11232" s="2" t="inlineStr"/>
    </row>
    <row r="11233" ht="15" customHeight="1">
      <c r="A11233" t="inlineStr">
        <is>
          <t>S 9-2024</t>
        </is>
      </c>
      <c r="B11233" t="inlineStr">
        <is>
          <t>samrådsanmälan</t>
        </is>
      </c>
      <c r="C11233" t="inlineStr">
        <is>
          <t>Skogsgödsling</t>
        </is>
      </c>
      <c r="D11233" s="1" t="n">
        <v>45293</v>
      </c>
      <c r="E11233" s="1" t="n">
        <v>46326</v>
      </c>
      <c r="F11233" t="inlineStr">
        <is>
          <t>GÄVLEBORGS LÄN</t>
        </is>
      </c>
      <c r="G11233" t="inlineStr">
        <is>
          <t>OVANÅKER</t>
        </is>
      </c>
      <c r="H11233" t="inlineStr">
        <is>
          <t>Bergvik skog väst AB</t>
        </is>
      </c>
      <c r="I11233" t="n">
        <v>61.5</v>
      </c>
      <c r="J11233" t="n">
        <v>0</v>
      </c>
      <c r="K11233" t="n">
        <v>0</v>
      </c>
      <c r="L11233" t="n">
        <v>0</v>
      </c>
      <c r="M11233" t="n">
        <v>0</v>
      </c>
      <c r="N11233" t="n">
        <v>0</v>
      </c>
      <c r="O11233" t="n">
        <v>0</v>
      </c>
      <c r="P11233" t="n">
        <v>0</v>
      </c>
      <c r="Q11233" t="n">
        <v>0</v>
      </c>
      <c r="R11233" t="n">
        <v>0</v>
      </c>
      <c r="S11233" t="n">
        <v>0</v>
      </c>
      <c r="T11233" t="n">
        <v>0</v>
      </c>
      <c r="U11233" t="n">
        <v>0</v>
      </c>
      <c r="V11233" s="2" t="inlineStr"/>
    </row>
    <row r="11234" ht="15" customHeight="1">
      <c r="A11234" t="inlineStr">
        <is>
          <t>S 393-2022</t>
        </is>
      </c>
      <c r="B11234" t="inlineStr">
        <is>
          <t>samrådsanmälan</t>
        </is>
      </c>
      <c r="C11234" t="inlineStr">
        <is>
          <t>Skogsgödsling</t>
        </is>
      </c>
      <c r="D11234" s="1" t="n">
        <v>44582</v>
      </c>
      <c r="E11234" s="1" t="n">
        <v>46326</v>
      </c>
      <c r="F11234" t="inlineStr">
        <is>
          <t>GÄVLEBORGS LÄN</t>
        </is>
      </c>
      <c r="G11234" t="inlineStr">
        <is>
          <t>LJUSDAL</t>
        </is>
      </c>
      <c r="H11234" t="inlineStr">
        <is>
          <t>Sveaskog</t>
        </is>
      </c>
      <c r="I11234" t="n">
        <v>161.7</v>
      </c>
      <c r="J11234" t="n">
        <v>0</v>
      </c>
      <c r="K11234" t="n">
        <v>0</v>
      </c>
      <c r="L11234" t="n">
        <v>0</v>
      </c>
      <c r="M11234" t="n">
        <v>0</v>
      </c>
      <c r="N11234" t="n">
        <v>0</v>
      </c>
      <c r="O11234" t="n">
        <v>0</v>
      </c>
      <c r="P11234" t="n">
        <v>0</v>
      </c>
      <c r="Q11234" t="n">
        <v>0</v>
      </c>
      <c r="R11234" t="n">
        <v>0</v>
      </c>
      <c r="S11234" t="n">
        <v>0</v>
      </c>
      <c r="T11234" t="n">
        <v>0</v>
      </c>
      <c r="U11234" t="n">
        <v>0</v>
      </c>
      <c r="V11234" s="2" t="inlineStr"/>
    </row>
    <row r="11235" ht="15" customHeight="1">
      <c r="A11235" t="inlineStr">
        <is>
          <t>S 372-2022</t>
        </is>
      </c>
      <c r="B11235" t="inlineStr">
        <is>
          <t>samrådsanmälan</t>
        </is>
      </c>
      <c r="C11235" t="inlineStr">
        <is>
          <t>Skogsgödsling</t>
        </is>
      </c>
      <c r="D11235" s="1" t="n">
        <v>44582</v>
      </c>
      <c r="E11235" s="1" t="n">
        <v>46326</v>
      </c>
      <c r="F11235" t="inlineStr">
        <is>
          <t>GÄVLEBORGS LÄN</t>
        </is>
      </c>
      <c r="G11235" t="inlineStr">
        <is>
          <t>OVANÅKER</t>
        </is>
      </c>
      <c r="H11235" t="inlineStr">
        <is>
          <t>Sveaskog</t>
        </is>
      </c>
      <c r="I11235" t="n">
        <v>62</v>
      </c>
      <c r="J11235" t="n">
        <v>0</v>
      </c>
      <c r="K11235" t="n">
        <v>0</v>
      </c>
      <c r="L11235" t="n">
        <v>0</v>
      </c>
      <c r="M11235" t="n">
        <v>0</v>
      </c>
      <c r="N11235" t="n">
        <v>0</v>
      </c>
      <c r="O11235" t="n">
        <v>0</v>
      </c>
      <c r="P11235" t="n">
        <v>0</v>
      </c>
      <c r="Q11235" t="n">
        <v>0</v>
      </c>
      <c r="R11235" t="n">
        <v>0</v>
      </c>
      <c r="S11235" t="n">
        <v>0</v>
      </c>
      <c r="T11235" t="n">
        <v>0</v>
      </c>
      <c r="U11235" t="n">
        <v>0</v>
      </c>
      <c r="V11235" s="2" t="inlineStr"/>
    </row>
    <row r="11236" ht="15" customHeight="1">
      <c r="A11236" t="inlineStr">
        <is>
          <t>S 1606-2023</t>
        </is>
      </c>
      <c r="B11236" t="inlineStr">
        <is>
          <t>samrådsanmälan</t>
        </is>
      </c>
      <c r="C11236" t="inlineStr">
        <is>
          <t>Skogsgödsling</t>
        </is>
      </c>
      <c r="D11236" s="1" t="n">
        <v>45056</v>
      </c>
      <c r="E11236" s="1" t="n">
        <v>46326</v>
      </c>
      <c r="F11236" t="inlineStr">
        <is>
          <t>GÄVLEBORGS LÄN</t>
        </is>
      </c>
      <c r="G11236" t="inlineStr">
        <is>
          <t>LJUSDAL</t>
        </is>
      </c>
      <c r="I11236" t="n">
        <v>10.8</v>
      </c>
      <c r="J11236" t="n">
        <v>0</v>
      </c>
      <c r="K11236" t="n">
        <v>0</v>
      </c>
      <c r="L11236" t="n">
        <v>0</v>
      </c>
      <c r="M11236" t="n">
        <v>0</v>
      </c>
      <c r="N11236" t="n">
        <v>0</v>
      </c>
      <c r="O11236" t="n">
        <v>0</v>
      </c>
      <c r="P11236" t="n">
        <v>0</v>
      </c>
      <c r="Q11236" t="n">
        <v>0</v>
      </c>
      <c r="R11236" t="n">
        <v>0</v>
      </c>
      <c r="S11236" t="n">
        <v>0</v>
      </c>
      <c r="T11236" t="n">
        <v>0</v>
      </c>
      <c r="U11236" t="n">
        <v>0</v>
      </c>
      <c r="V11236" s="2" t="inlineStr"/>
    </row>
    <row r="11237" ht="15" customHeight="1">
      <c r="A11237" t="inlineStr">
        <is>
          <t>S 4016-2023</t>
        </is>
      </c>
      <c r="B11237" t="inlineStr">
        <is>
          <t>samrådsanmälan</t>
        </is>
      </c>
      <c r="C11237" t="inlineStr">
        <is>
          <t>Skogsgödsling</t>
        </is>
      </c>
      <c r="D11237" s="1" t="n">
        <v>45237</v>
      </c>
      <c r="E11237" s="1" t="n">
        <v>46326</v>
      </c>
      <c r="F11237" t="inlineStr">
        <is>
          <t>GÄVLEBORGS LÄN</t>
        </is>
      </c>
      <c r="G11237" t="inlineStr">
        <is>
          <t>HUDIKSVALL</t>
        </is>
      </c>
      <c r="H11237" t="inlineStr">
        <is>
          <t>Holmen skog AB</t>
        </is>
      </c>
      <c r="I11237" t="n">
        <v>172.2</v>
      </c>
      <c r="J11237" t="n">
        <v>0</v>
      </c>
      <c r="K11237" t="n">
        <v>0</v>
      </c>
      <c r="L11237" t="n">
        <v>0</v>
      </c>
      <c r="M11237" t="n">
        <v>0</v>
      </c>
      <c r="N11237" t="n">
        <v>0</v>
      </c>
      <c r="O11237" t="n">
        <v>0</v>
      </c>
      <c r="P11237" t="n">
        <v>0</v>
      </c>
      <c r="Q11237" t="n">
        <v>0</v>
      </c>
      <c r="R11237" t="n">
        <v>0</v>
      </c>
      <c r="S11237" t="n">
        <v>0</v>
      </c>
      <c r="T11237" t="n">
        <v>0</v>
      </c>
      <c r="U11237" t="n">
        <v>0</v>
      </c>
      <c r="V11237" s="2" t="inlineStr"/>
    </row>
    <row r="11238" ht="15" customHeight="1">
      <c r="A11238" t="inlineStr">
        <is>
          <t>S 1607-2023</t>
        </is>
      </c>
      <c r="B11238" t="inlineStr">
        <is>
          <t>samrådsanmälan</t>
        </is>
      </c>
      <c r="C11238" t="inlineStr">
        <is>
          <t>Skogsgödsling</t>
        </is>
      </c>
      <c r="D11238" s="1" t="n">
        <v>45056</v>
      </c>
      <c r="E11238" s="1" t="n">
        <v>46326</v>
      </c>
      <c r="F11238" t="inlineStr">
        <is>
          <t>GÄVLEBORGS LÄN</t>
        </is>
      </c>
      <c r="G11238" t="inlineStr">
        <is>
          <t>LJUSDAL</t>
        </is>
      </c>
      <c r="I11238" t="n">
        <v>7</v>
      </c>
      <c r="J11238" t="n">
        <v>0</v>
      </c>
      <c r="K11238" t="n">
        <v>0</v>
      </c>
      <c r="L11238" t="n">
        <v>0</v>
      </c>
      <c r="M11238" t="n">
        <v>0</v>
      </c>
      <c r="N11238" t="n">
        <v>0</v>
      </c>
      <c r="O11238" t="n">
        <v>0</v>
      </c>
      <c r="P11238" t="n">
        <v>0</v>
      </c>
      <c r="Q11238" t="n">
        <v>0</v>
      </c>
      <c r="R11238" t="n">
        <v>0</v>
      </c>
      <c r="S11238" t="n">
        <v>0</v>
      </c>
      <c r="T11238" t="n">
        <v>0</v>
      </c>
      <c r="U11238" t="n">
        <v>0</v>
      </c>
      <c r="V11238" s="2" t="inlineStr"/>
    </row>
    <row r="11239" ht="15" customHeight="1">
      <c r="A11239" t="inlineStr">
        <is>
          <t>S 129-2025</t>
        </is>
      </c>
      <c r="B11239" t="inlineStr">
        <is>
          <t>samrådsanmälan</t>
        </is>
      </c>
      <c r="C11239" t="inlineStr">
        <is>
          <t>Skogsgödsling</t>
        </is>
      </c>
      <c r="D11239" s="1" t="n">
        <v>45670</v>
      </c>
      <c r="E11239" s="1" t="n">
        <v>46326</v>
      </c>
      <c r="F11239" t="inlineStr">
        <is>
          <t>GÄVLEBORGS LÄN</t>
        </is>
      </c>
      <c r="G11239" t="inlineStr">
        <is>
          <t>HUDIKSVALL</t>
        </is>
      </c>
      <c r="H11239" t="inlineStr">
        <is>
          <t>Holmen skog AB</t>
        </is>
      </c>
      <c r="I11239" t="n">
        <v>97.3</v>
      </c>
      <c r="J11239" t="n">
        <v>0</v>
      </c>
      <c r="K11239" t="n">
        <v>0</v>
      </c>
      <c r="L11239" t="n">
        <v>0</v>
      </c>
      <c r="M11239" t="n">
        <v>0</v>
      </c>
      <c r="N11239" t="n">
        <v>0</v>
      </c>
      <c r="O11239" t="n">
        <v>0</v>
      </c>
      <c r="P11239" t="n">
        <v>0</v>
      </c>
      <c r="Q11239" t="n">
        <v>0</v>
      </c>
      <c r="R11239" t="n">
        <v>0</v>
      </c>
      <c r="S11239" t="n">
        <v>0</v>
      </c>
      <c r="T11239" t="n">
        <v>0</v>
      </c>
      <c r="U11239" t="n">
        <v>0</v>
      </c>
      <c r="V11239" s="2" t="inlineStr"/>
    </row>
    <row r="11240" ht="15" customHeight="1">
      <c r="A11240" t="inlineStr">
        <is>
          <t>S 1671-2023</t>
        </is>
      </c>
      <c r="B11240" t="inlineStr">
        <is>
          <t>samrådsanmälan</t>
        </is>
      </c>
      <c r="C11240" t="inlineStr">
        <is>
          <t>Skogsgödsling</t>
        </is>
      </c>
      <c r="D11240" s="1" t="n">
        <v>45065</v>
      </c>
      <c r="E11240" s="1" t="n">
        <v>46326</v>
      </c>
      <c r="F11240" t="inlineStr">
        <is>
          <t>GÄVLEBORGS LÄN</t>
        </is>
      </c>
      <c r="G11240" t="inlineStr">
        <is>
          <t>LJUSDAL</t>
        </is>
      </c>
      <c r="I11240" t="n">
        <v>1.7</v>
      </c>
      <c r="J11240" t="n">
        <v>0</v>
      </c>
      <c r="K11240" t="n">
        <v>0</v>
      </c>
      <c r="L11240" t="n">
        <v>0</v>
      </c>
      <c r="M11240" t="n">
        <v>0</v>
      </c>
      <c r="N11240" t="n">
        <v>0</v>
      </c>
      <c r="O11240" t="n">
        <v>0</v>
      </c>
      <c r="P11240" t="n">
        <v>0</v>
      </c>
      <c r="Q11240" t="n">
        <v>0</v>
      </c>
      <c r="R11240" t="n">
        <v>0</v>
      </c>
      <c r="S11240" t="n">
        <v>0</v>
      </c>
      <c r="T11240" t="n">
        <v>0</v>
      </c>
      <c r="U11240" t="n">
        <v>0</v>
      </c>
      <c r="V11240" s="2" t="inlineStr"/>
    </row>
    <row r="11241" ht="15" customHeight="1">
      <c r="A11241" t="inlineStr">
        <is>
          <t>S 1582-2023</t>
        </is>
      </c>
      <c r="B11241" t="inlineStr">
        <is>
          <t>samrådsanmälan</t>
        </is>
      </c>
      <c r="C11241" t="inlineStr">
        <is>
          <t>Skogsgödsling</t>
        </is>
      </c>
      <c r="D11241" s="1" t="n">
        <v>45058</v>
      </c>
      <c r="E11241" s="1" t="n">
        <v>46326</v>
      </c>
      <c r="F11241" t="inlineStr">
        <is>
          <t>GÄVLEBORGS LÄN</t>
        </is>
      </c>
      <c r="G11241" t="inlineStr">
        <is>
          <t>LJUSDAL</t>
        </is>
      </c>
      <c r="I11241" t="n">
        <v>10.3</v>
      </c>
      <c r="J11241" t="n">
        <v>0</v>
      </c>
      <c r="K11241" t="n">
        <v>0</v>
      </c>
      <c r="L11241" t="n">
        <v>0</v>
      </c>
      <c r="M11241" t="n">
        <v>0</v>
      </c>
      <c r="N11241" t="n">
        <v>0</v>
      </c>
      <c r="O11241" t="n">
        <v>0</v>
      </c>
      <c r="P11241" t="n">
        <v>0</v>
      </c>
      <c r="Q11241" t="n">
        <v>0</v>
      </c>
      <c r="R11241" t="n">
        <v>0</v>
      </c>
      <c r="S11241" t="n">
        <v>0</v>
      </c>
      <c r="T11241" t="n">
        <v>0</v>
      </c>
      <c r="U11241" t="n">
        <v>0</v>
      </c>
      <c r="V11241" s="2" t="inlineStr"/>
    </row>
    <row r="11242" ht="15" customHeight="1">
      <c r="A11242" t="inlineStr">
        <is>
          <t>S 560-2022</t>
        </is>
      </c>
      <c r="B11242" t="inlineStr">
        <is>
          <t>samrådsanmälan</t>
        </is>
      </c>
      <c r="C11242" t="inlineStr">
        <is>
          <t>Skogsgödsling</t>
        </is>
      </c>
      <c r="D11242" s="1" t="n">
        <v>44589</v>
      </c>
      <c r="E11242" s="1" t="n">
        <v>46326</v>
      </c>
      <c r="F11242" t="inlineStr">
        <is>
          <t>GÄVLEBORGS LÄN</t>
        </is>
      </c>
      <c r="G11242" t="inlineStr">
        <is>
          <t>BOLLNÄS</t>
        </is>
      </c>
      <c r="H11242" t="inlineStr">
        <is>
          <t>Bergvik skog öst AB</t>
        </is>
      </c>
      <c r="I11242" t="n">
        <v>56.9</v>
      </c>
      <c r="J11242" t="n">
        <v>0</v>
      </c>
      <c r="K11242" t="n">
        <v>0</v>
      </c>
      <c r="L11242" t="n">
        <v>0</v>
      </c>
      <c r="M11242" t="n">
        <v>0</v>
      </c>
      <c r="N11242" t="n">
        <v>0</v>
      </c>
      <c r="O11242" t="n">
        <v>0</v>
      </c>
      <c r="P11242" t="n">
        <v>0</v>
      </c>
      <c r="Q11242" t="n">
        <v>0</v>
      </c>
      <c r="R11242" t="n">
        <v>0</v>
      </c>
      <c r="S11242" t="n">
        <v>0</v>
      </c>
      <c r="T11242" t="n">
        <v>0</v>
      </c>
      <c r="U11242" t="n">
        <v>0</v>
      </c>
      <c r="V11242" s="2" t="inlineStr"/>
    </row>
    <row r="11243" ht="15" customHeight="1">
      <c r="A11243" t="inlineStr">
        <is>
          <t>S 586-2024</t>
        </is>
      </c>
      <c r="B11243" t="inlineStr">
        <is>
          <t>samrådsanmälan</t>
        </is>
      </c>
      <c r="C11243" t="inlineStr">
        <is>
          <t>Skogsgödsling</t>
        </is>
      </c>
      <c r="D11243" s="1" t="n">
        <v>45351</v>
      </c>
      <c r="E11243" s="1" t="n">
        <v>46326</v>
      </c>
      <c r="F11243" t="inlineStr">
        <is>
          <t>GÄVLEBORGS LÄN</t>
        </is>
      </c>
      <c r="G11243" t="inlineStr">
        <is>
          <t>BOLLNÄS</t>
        </is>
      </c>
      <c r="H11243" t="inlineStr">
        <is>
          <t>Sveaskog</t>
        </is>
      </c>
      <c r="I11243" t="n">
        <v>205.2</v>
      </c>
      <c r="J11243" t="n">
        <v>0</v>
      </c>
      <c r="K11243" t="n">
        <v>0</v>
      </c>
      <c r="L11243" t="n">
        <v>0</v>
      </c>
      <c r="M11243" t="n">
        <v>0</v>
      </c>
      <c r="N11243" t="n">
        <v>0</v>
      </c>
      <c r="O11243" t="n">
        <v>0</v>
      </c>
      <c r="P11243" t="n">
        <v>0</v>
      </c>
      <c r="Q11243" t="n">
        <v>0</v>
      </c>
      <c r="R11243" t="n">
        <v>0</v>
      </c>
      <c r="S11243" t="n">
        <v>0</v>
      </c>
      <c r="T11243" t="n">
        <v>0</v>
      </c>
      <c r="U11243" t="n">
        <v>0</v>
      </c>
      <c r="V11243" s="2" t="inlineStr"/>
    </row>
    <row r="11244" ht="15" customHeight="1">
      <c r="A11244" t="inlineStr">
        <is>
          <t>S 175-2022</t>
        </is>
      </c>
      <c r="B11244" t="inlineStr">
        <is>
          <t>samrådsanmälan</t>
        </is>
      </c>
      <c r="C11244" t="inlineStr">
        <is>
          <t>Skogsgödsling</t>
        </is>
      </c>
      <c r="D11244" s="1" t="n">
        <v>44566</v>
      </c>
      <c r="E11244" s="1" t="n">
        <v>46326</v>
      </c>
      <c r="F11244" t="inlineStr">
        <is>
          <t>GÄVLEBORGS LÄN</t>
        </is>
      </c>
      <c r="G11244" t="inlineStr">
        <is>
          <t>SÖDERHAMN</t>
        </is>
      </c>
      <c r="H11244" t="inlineStr">
        <is>
          <t>Bergvik skog väst AB</t>
        </is>
      </c>
      <c r="I11244" t="n">
        <v>45.7</v>
      </c>
      <c r="J11244" t="n">
        <v>0</v>
      </c>
      <c r="K11244" t="n">
        <v>0</v>
      </c>
      <c r="L11244" t="n">
        <v>0</v>
      </c>
      <c r="M11244" t="n">
        <v>0</v>
      </c>
      <c r="N11244" t="n">
        <v>0</v>
      </c>
      <c r="O11244" t="n">
        <v>0</v>
      </c>
      <c r="P11244" t="n">
        <v>0</v>
      </c>
      <c r="Q11244" t="n">
        <v>0</v>
      </c>
      <c r="R11244" t="n">
        <v>0</v>
      </c>
      <c r="S11244" t="n">
        <v>0</v>
      </c>
      <c r="T11244" t="n">
        <v>0</v>
      </c>
      <c r="U11244" t="n">
        <v>0</v>
      </c>
      <c r="V11244" s="2" t="inlineStr"/>
    </row>
    <row r="11245" ht="15" customHeight="1">
      <c r="A11245" t="inlineStr">
        <is>
          <t>S 135-2022</t>
        </is>
      </c>
      <c r="B11245" t="inlineStr">
        <is>
          <t>samrådsanmälan</t>
        </is>
      </c>
      <c r="C11245" t="inlineStr">
        <is>
          <t>Skogsgödsling</t>
        </is>
      </c>
      <c r="D11245" s="1" t="n">
        <v>44566</v>
      </c>
      <c r="E11245" s="1" t="n">
        <v>46326</v>
      </c>
      <c r="F11245" t="inlineStr">
        <is>
          <t>GÄVLEBORGS LÄN</t>
        </is>
      </c>
      <c r="G11245" t="inlineStr">
        <is>
          <t>LJUSDAL</t>
        </is>
      </c>
      <c r="H11245" t="inlineStr">
        <is>
          <t>Bergvik skog väst AB</t>
        </is>
      </c>
      <c r="I11245" t="n">
        <v>50.5</v>
      </c>
      <c r="J11245" t="n">
        <v>0</v>
      </c>
      <c r="K11245" t="n">
        <v>0</v>
      </c>
      <c r="L11245" t="n">
        <v>0</v>
      </c>
      <c r="M11245" t="n">
        <v>0</v>
      </c>
      <c r="N11245" t="n">
        <v>0</v>
      </c>
      <c r="O11245" t="n">
        <v>0</v>
      </c>
      <c r="P11245" t="n">
        <v>0</v>
      </c>
      <c r="Q11245" t="n">
        <v>0</v>
      </c>
      <c r="R11245" t="n">
        <v>0</v>
      </c>
      <c r="S11245" t="n">
        <v>0</v>
      </c>
      <c r="T11245" t="n">
        <v>0</v>
      </c>
      <c r="U11245" t="n">
        <v>0</v>
      </c>
      <c r="V11245" s="2" t="inlineStr"/>
    </row>
    <row r="11246" ht="15" customHeight="1">
      <c r="A11246" t="inlineStr">
        <is>
          <t>S 174-2022</t>
        </is>
      </c>
      <c r="B11246" t="inlineStr">
        <is>
          <t>samrådsanmälan</t>
        </is>
      </c>
      <c r="C11246" t="inlineStr">
        <is>
          <t>Skogsgödsling</t>
        </is>
      </c>
      <c r="D11246" s="1" t="n">
        <v>44566</v>
      </c>
      <c r="E11246" s="1" t="n">
        <v>46326</v>
      </c>
      <c r="F11246" t="inlineStr">
        <is>
          <t>GÄVLEBORGS LÄN</t>
        </is>
      </c>
      <c r="G11246" t="inlineStr">
        <is>
          <t>OVANÅKER</t>
        </is>
      </c>
      <c r="H11246" t="inlineStr">
        <is>
          <t>Bergvik skog väst AB</t>
        </is>
      </c>
      <c r="I11246" t="n">
        <v>74</v>
      </c>
      <c r="J11246" t="n">
        <v>0</v>
      </c>
      <c r="K11246" t="n">
        <v>0</v>
      </c>
      <c r="L11246" t="n">
        <v>0</v>
      </c>
      <c r="M11246" t="n">
        <v>0</v>
      </c>
      <c r="N11246" t="n">
        <v>0</v>
      </c>
      <c r="O11246" t="n">
        <v>0</v>
      </c>
      <c r="P11246" t="n">
        <v>0</v>
      </c>
      <c r="Q11246" t="n">
        <v>0</v>
      </c>
      <c r="R11246" t="n">
        <v>0</v>
      </c>
      <c r="S11246" t="n">
        <v>0</v>
      </c>
      <c r="T11246" t="n">
        <v>0</v>
      </c>
      <c r="U11246" t="n">
        <v>0</v>
      </c>
      <c r="V11246" s="2" t="inlineStr"/>
    </row>
    <row r="11247" ht="15" customHeight="1">
      <c r="A11247" t="inlineStr">
        <is>
          <t>S 110-2025</t>
        </is>
      </c>
      <c r="B11247" t="inlineStr">
        <is>
          <t>samrådsanmälan</t>
        </is>
      </c>
      <c r="C11247" t="inlineStr">
        <is>
          <t>Skogsgödsling</t>
        </is>
      </c>
      <c r="D11247" s="1" t="n">
        <v>45670</v>
      </c>
      <c r="E11247" s="1" t="n">
        <v>46326</v>
      </c>
      <c r="F11247" t="inlineStr">
        <is>
          <t>GÄVLEBORGS LÄN</t>
        </is>
      </c>
      <c r="G11247" t="inlineStr">
        <is>
          <t>HUDIKSVALL</t>
        </is>
      </c>
      <c r="H11247" t="inlineStr">
        <is>
          <t>Holmen skog AB</t>
        </is>
      </c>
      <c r="I11247" t="n">
        <v>206.1</v>
      </c>
      <c r="J11247" t="n">
        <v>0</v>
      </c>
      <c r="K11247" t="n">
        <v>0</v>
      </c>
      <c r="L11247" t="n">
        <v>0</v>
      </c>
      <c r="M11247" t="n">
        <v>0</v>
      </c>
      <c r="N11247" t="n">
        <v>0</v>
      </c>
      <c r="O11247" t="n">
        <v>0</v>
      </c>
      <c r="P11247" t="n">
        <v>0</v>
      </c>
      <c r="Q11247" t="n">
        <v>0</v>
      </c>
      <c r="R11247" t="n">
        <v>0</v>
      </c>
      <c r="S11247" t="n">
        <v>0</v>
      </c>
      <c r="T11247" t="n">
        <v>0</v>
      </c>
      <c r="U11247" t="n">
        <v>0</v>
      </c>
      <c r="V11247" s="2" t="inlineStr"/>
    </row>
    <row r="11248" ht="15" customHeight="1">
      <c r="A11248" t="inlineStr">
        <is>
          <t>S 3988-2023</t>
        </is>
      </c>
      <c r="B11248" t="inlineStr">
        <is>
          <t>samrådsanmälan</t>
        </is>
      </c>
      <c r="C11248" t="inlineStr">
        <is>
          <t>Skogsgödsling</t>
        </is>
      </c>
      <c r="D11248" s="1" t="n">
        <v>45238</v>
      </c>
      <c r="E11248" s="1" t="n">
        <v>46326</v>
      </c>
      <c r="F11248" t="inlineStr">
        <is>
          <t>GÄVLEBORGS LÄN</t>
        </is>
      </c>
      <c r="G11248" t="inlineStr">
        <is>
          <t>NORDANSTIG</t>
        </is>
      </c>
      <c r="H11248" t="inlineStr">
        <is>
          <t>Holmen skog AB</t>
        </is>
      </c>
      <c r="I11248" t="n">
        <v>150.6</v>
      </c>
      <c r="J11248" t="n">
        <v>0</v>
      </c>
      <c r="K11248" t="n">
        <v>0</v>
      </c>
      <c r="L11248" t="n">
        <v>0</v>
      </c>
      <c r="M11248" t="n">
        <v>0</v>
      </c>
      <c r="N11248" t="n">
        <v>0</v>
      </c>
      <c r="O11248" t="n">
        <v>0</v>
      </c>
      <c r="P11248" t="n">
        <v>0</v>
      </c>
      <c r="Q11248" t="n">
        <v>0</v>
      </c>
      <c r="R11248" t="n">
        <v>0</v>
      </c>
      <c r="S11248" t="n">
        <v>0</v>
      </c>
      <c r="T11248" t="n">
        <v>0</v>
      </c>
      <c r="U11248" t="n">
        <v>0</v>
      </c>
      <c r="V11248" s="2" t="inlineStr"/>
    </row>
    <row r="11249" ht="15" customHeight="1">
      <c r="A11249" t="inlineStr">
        <is>
          <t>S 5-2024</t>
        </is>
      </c>
      <c r="B11249" t="inlineStr">
        <is>
          <t>samrådsanmälan</t>
        </is>
      </c>
      <c r="C11249" t="inlineStr">
        <is>
          <t>Skogsgödsling</t>
        </is>
      </c>
      <c r="D11249" s="1" t="n">
        <v>45293</v>
      </c>
      <c r="E11249" s="1" t="n">
        <v>46326</v>
      </c>
      <c r="F11249" t="inlineStr">
        <is>
          <t>GÄVLEBORGS LÄN</t>
        </is>
      </c>
      <c r="G11249" t="inlineStr">
        <is>
          <t>OVANÅKER</t>
        </is>
      </c>
      <c r="H11249" t="inlineStr">
        <is>
          <t>Bergvik skog väst AB</t>
        </is>
      </c>
      <c r="I11249" t="n">
        <v>38.4</v>
      </c>
      <c r="J11249" t="n">
        <v>0</v>
      </c>
      <c r="K11249" t="n">
        <v>0</v>
      </c>
      <c r="L11249" t="n">
        <v>0</v>
      </c>
      <c r="M11249" t="n">
        <v>0</v>
      </c>
      <c r="N11249" t="n">
        <v>0</v>
      </c>
      <c r="O11249" t="n">
        <v>0</v>
      </c>
      <c r="P11249" t="n">
        <v>0</v>
      </c>
      <c r="Q11249" t="n">
        <v>0</v>
      </c>
      <c r="R11249" t="n">
        <v>0</v>
      </c>
      <c r="S11249" t="n">
        <v>0</v>
      </c>
      <c r="T11249" t="n">
        <v>0</v>
      </c>
      <c r="U11249" t="n">
        <v>0</v>
      </c>
      <c r="V11249" s="2" t="inlineStr"/>
    </row>
    <row r="11250" ht="15" customHeight="1">
      <c r="A11250" t="inlineStr">
        <is>
          <t>S 513-2025</t>
        </is>
      </c>
      <c r="B11250" t="inlineStr">
        <is>
          <t>samrådsanmälan</t>
        </is>
      </c>
      <c r="C11250" t="inlineStr">
        <is>
          <t>Skogsgödsling</t>
        </is>
      </c>
      <c r="D11250" s="1" t="n">
        <v>45706</v>
      </c>
      <c r="E11250" s="1" t="n">
        <v>46326</v>
      </c>
      <c r="F11250" t="inlineStr">
        <is>
          <t>GÄVLEBORGS LÄN</t>
        </is>
      </c>
      <c r="G11250" t="inlineStr">
        <is>
          <t>SANDVIKEN</t>
        </is>
      </c>
      <c r="H11250" t="inlineStr">
        <is>
          <t>Sveaskog</t>
        </is>
      </c>
      <c r="I11250" t="n">
        <v>29.5</v>
      </c>
      <c r="J11250" t="n">
        <v>0</v>
      </c>
      <c r="K11250" t="n">
        <v>0</v>
      </c>
      <c r="L11250" t="n">
        <v>0</v>
      </c>
      <c r="M11250" t="n">
        <v>0</v>
      </c>
      <c r="N11250" t="n">
        <v>0</v>
      </c>
      <c r="O11250" t="n">
        <v>0</v>
      </c>
      <c r="P11250" t="n">
        <v>0</v>
      </c>
      <c r="Q11250" t="n">
        <v>0</v>
      </c>
      <c r="R11250" t="n">
        <v>0</v>
      </c>
      <c r="S11250" t="n">
        <v>0</v>
      </c>
      <c r="T11250" t="n">
        <v>0</v>
      </c>
      <c r="U11250" t="n">
        <v>0</v>
      </c>
      <c r="V11250" s="2" t="inlineStr"/>
    </row>
    <row r="11251" ht="15" customHeight="1">
      <c r="A11251" t="inlineStr">
        <is>
          <t>S 537-2025</t>
        </is>
      </c>
      <c r="B11251" t="inlineStr">
        <is>
          <t>samrådsanmälan</t>
        </is>
      </c>
      <c r="C11251" t="inlineStr">
        <is>
          <t>Skogsgödsling</t>
        </is>
      </c>
      <c r="D11251" s="1" t="n">
        <v>45708</v>
      </c>
      <c r="E11251" s="1" t="n">
        <v>46326</v>
      </c>
      <c r="F11251" t="inlineStr">
        <is>
          <t>GÄVLEBORGS LÄN</t>
        </is>
      </c>
      <c r="G11251" t="inlineStr">
        <is>
          <t>LJUSDAL</t>
        </is>
      </c>
      <c r="H11251" t="inlineStr">
        <is>
          <t>Bergvik skog väst AB</t>
        </is>
      </c>
      <c r="I11251" t="n">
        <v>35.7</v>
      </c>
      <c r="J11251" t="n">
        <v>0</v>
      </c>
      <c r="K11251" t="n">
        <v>0</v>
      </c>
      <c r="L11251" t="n">
        <v>0</v>
      </c>
      <c r="M11251" t="n">
        <v>0</v>
      </c>
      <c r="N11251" t="n">
        <v>0</v>
      </c>
      <c r="O11251" t="n">
        <v>0</v>
      </c>
      <c r="P11251" t="n">
        <v>0</v>
      </c>
      <c r="Q11251" t="n">
        <v>0</v>
      </c>
      <c r="R11251" t="n">
        <v>0</v>
      </c>
      <c r="S11251" t="n">
        <v>0</v>
      </c>
      <c r="T11251" t="n">
        <v>0</v>
      </c>
      <c r="U11251" t="n">
        <v>0</v>
      </c>
      <c r="V11251" s="2" t="inlineStr"/>
    </row>
    <row r="11252" ht="15" customHeight="1">
      <c r="A11252" t="inlineStr">
        <is>
          <t>S 589-2025</t>
        </is>
      </c>
      <c r="B11252" t="inlineStr">
        <is>
          <t>samrådsanmälan</t>
        </is>
      </c>
      <c r="C11252" t="inlineStr">
        <is>
          <t>Skogsgödsling</t>
        </is>
      </c>
      <c r="D11252" s="1" t="n">
        <v>45712</v>
      </c>
      <c r="E11252" s="1" t="n">
        <v>46326</v>
      </c>
      <c r="F11252" t="inlineStr">
        <is>
          <t>GÄVLEBORGS LÄN</t>
        </is>
      </c>
      <c r="G11252" t="inlineStr">
        <is>
          <t>LJUSDAL</t>
        </is>
      </c>
      <c r="H11252" t="inlineStr">
        <is>
          <t>Allmännings- och besparingsskogar</t>
        </is>
      </c>
      <c r="I11252" t="n">
        <v>42.3</v>
      </c>
      <c r="J11252" t="n">
        <v>0</v>
      </c>
      <c r="K11252" t="n">
        <v>0</v>
      </c>
      <c r="L11252" t="n">
        <v>0</v>
      </c>
      <c r="M11252" t="n">
        <v>0</v>
      </c>
      <c r="N11252" t="n">
        <v>0</v>
      </c>
      <c r="O11252" t="n">
        <v>0</v>
      </c>
      <c r="P11252" t="n">
        <v>0</v>
      </c>
      <c r="Q11252" t="n">
        <v>0</v>
      </c>
      <c r="R11252" t="n">
        <v>0</v>
      </c>
      <c r="S11252" t="n">
        <v>0</v>
      </c>
      <c r="T11252" t="n">
        <v>0</v>
      </c>
      <c r="U11252" t="n">
        <v>0</v>
      </c>
      <c r="V11252" s="2" t="inlineStr"/>
    </row>
    <row r="11253" ht="15" customHeight="1">
      <c r="A11253" t="inlineStr">
        <is>
          <t>S 40-2025</t>
        </is>
      </c>
      <c r="B11253" t="inlineStr">
        <is>
          <t>samrådsanmälan</t>
        </is>
      </c>
      <c r="C11253" t="inlineStr">
        <is>
          <t>Skogsgödsling</t>
        </is>
      </c>
      <c r="D11253" s="1" t="n">
        <v>45665</v>
      </c>
      <c r="E11253" s="1" t="n">
        <v>46326</v>
      </c>
      <c r="F11253" t="inlineStr">
        <is>
          <t>GÄVLEBORGS LÄN</t>
        </is>
      </c>
      <c r="G11253" t="inlineStr">
        <is>
          <t>LJUSDAL</t>
        </is>
      </c>
      <c r="H11253" t="inlineStr">
        <is>
          <t>Bergvik skog väst AB</t>
        </is>
      </c>
      <c r="I11253" t="n">
        <v>325</v>
      </c>
      <c r="J11253" t="n">
        <v>0</v>
      </c>
      <c r="K11253" t="n">
        <v>0</v>
      </c>
      <c r="L11253" t="n">
        <v>0</v>
      </c>
      <c r="M11253" t="n">
        <v>0</v>
      </c>
      <c r="N11253" t="n">
        <v>0</v>
      </c>
      <c r="O11253" t="n">
        <v>0</v>
      </c>
      <c r="P11253" t="n">
        <v>0</v>
      </c>
      <c r="Q11253" t="n">
        <v>0</v>
      </c>
      <c r="R11253" t="n">
        <v>0</v>
      </c>
      <c r="S11253" t="n">
        <v>0</v>
      </c>
      <c r="T11253" t="n">
        <v>0</v>
      </c>
      <c r="U11253" t="n">
        <v>0</v>
      </c>
      <c r="V11253" s="2" t="inlineStr"/>
    </row>
    <row r="11254" ht="15" customHeight="1">
      <c r="A11254" t="inlineStr">
        <is>
          <t>S 706-2025</t>
        </is>
      </c>
      <c r="B11254" t="inlineStr">
        <is>
          <t>samrådsanmälan</t>
        </is>
      </c>
      <c r="C11254" t="inlineStr">
        <is>
          <t>Skogsgödsling</t>
        </is>
      </c>
      <c r="D11254" s="1" t="n">
        <v>45720</v>
      </c>
      <c r="E11254" s="1" t="n">
        <v>46326</v>
      </c>
      <c r="F11254" t="inlineStr">
        <is>
          <t>GÄVLEBORGS LÄN</t>
        </is>
      </c>
      <c r="G11254" t="inlineStr">
        <is>
          <t>SANDVIKEN</t>
        </is>
      </c>
      <c r="H11254" t="inlineStr">
        <is>
          <t>Bergvik skog väst AB</t>
        </is>
      </c>
      <c r="I11254" t="n">
        <v>24</v>
      </c>
      <c r="J11254" t="n">
        <v>0</v>
      </c>
      <c r="K11254" t="n">
        <v>0</v>
      </c>
      <c r="L11254" t="n">
        <v>0</v>
      </c>
      <c r="M11254" t="n">
        <v>0</v>
      </c>
      <c r="N11254" t="n">
        <v>0</v>
      </c>
      <c r="O11254" t="n">
        <v>0</v>
      </c>
      <c r="P11254" t="n">
        <v>0</v>
      </c>
      <c r="Q11254" t="n">
        <v>0</v>
      </c>
      <c r="R11254" t="n">
        <v>0</v>
      </c>
      <c r="S11254" t="n">
        <v>0</v>
      </c>
      <c r="T11254" t="n">
        <v>0</v>
      </c>
      <c r="U11254" t="n">
        <v>0</v>
      </c>
      <c r="V11254" s="2" t="inlineStr"/>
    </row>
    <row r="11255" ht="15" customHeight="1">
      <c r="A11255" t="inlineStr">
        <is>
          <t>S 4002-2024</t>
        </is>
      </c>
      <c r="B11255" t="inlineStr">
        <is>
          <t>samrådsanmälan</t>
        </is>
      </c>
      <c r="C11255" t="inlineStr">
        <is>
          <t>Annan skogsbruksåtgärd</t>
        </is>
      </c>
      <c r="D11255" s="1" t="n">
        <v>45569</v>
      </c>
      <c r="E11255" s="1" t="n">
        <v>46326</v>
      </c>
      <c r="F11255" t="inlineStr">
        <is>
          <t>GÄVLEBORGS LÄN</t>
        </is>
      </c>
      <c r="G11255" t="inlineStr">
        <is>
          <t>LJUSDAL</t>
        </is>
      </c>
      <c r="H11255" t="inlineStr">
        <is>
          <t>Bergvik skog väst AB</t>
        </is>
      </c>
      <c r="I11255" t="n">
        <v>14.2</v>
      </c>
      <c r="J11255" t="n">
        <v>0</v>
      </c>
      <c r="K11255" t="n">
        <v>0</v>
      </c>
      <c r="L11255" t="n">
        <v>0</v>
      </c>
      <c r="M11255" t="n">
        <v>0</v>
      </c>
      <c r="N11255" t="n">
        <v>0</v>
      </c>
      <c r="O11255" t="n">
        <v>0</v>
      </c>
      <c r="P11255" t="n">
        <v>0</v>
      </c>
      <c r="Q11255" t="n">
        <v>0</v>
      </c>
      <c r="R11255" t="n">
        <v>0</v>
      </c>
      <c r="S11255" t="n">
        <v>0</v>
      </c>
      <c r="T11255" t="n">
        <v>0</v>
      </c>
      <c r="U11255" t="n">
        <v>0</v>
      </c>
      <c r="V11255" s="2" t="inlineStr"/>
    </row>
    <row r="11256" ht="15" customHeight="1">
      <c r="A11256" t="inlineStr">
        <is>
          <t>S 128-2025</t>
        </is>
      </c>
      <c r="B11256" t="inlineStr">
        <is>
          <t>samrådsanmälan</t>
        </is>
      </c>
      <c r="C11256" t="inlineStr">
        <is>
          <t>Skogsgödsling</t>
        </is>
      </c>
      <c r="D11256" s="1" t="n">
        <v>45670</v>
      </c>
      <c r="E11256" s="1" t="n">
        <v>46326</v>
      </c>
      <c r="F11256" t="inlineStr">
        <is>
          <t>GÄVLEBORGS LÄN</t>
        </is>
      </c>
      <c r="G11256" t="inlineStr">
        <is>
          <t>NORDANSTIG</t>
        </is>
      </c>
      <c r="H11256" t="inlineStr">
        <is>
          <t>Holmen skog AB</t>
        </is>
      </c>
      <c r="I11256" t="n">
        <v>47.5</v>
      </c>
      <c r="J11256" t="n">
        <v>0</v>
      </c>
      <c r="K11256" t="n">
        <v>0</v>
      </c>
      <c r="L11256" t="n">
        <v>0</v>
      </c>
      <c r="M11256" t="n">
        <v>0</v>
      </c>
      <c r="N11256" t="n">
        <v>0</v>
      </c>
      <c r="O11256" t="n">
        <v>0</v>
      </c>
      <c r="P11256" t="n">
        <v>0</v>
      </c>
      <c r="Q11256" t="n">
        <v>0</v>
      </c>
      <c r="R11256" t="n">
        <v>0</v>
      </c>
      <c r="S11256" t="n">
        <v>0</v>
      </c>
      <c r="T11256" t="n">
        <v>0</v>
      </c>
      <c r="U11256" t="n">
        <v>0</v>
      </c>
      <c r="V11256" s="2" t="inlineStr"/>
    </row>
    <row r="11257" ht="15" customHeight="1">
      <c r="A11257" t="inlineStr">
        <is>
          <t>S 122-2025</t>
        </is>
      </c>
      <c r="B11257" t="inlineStr">
        <is>
          <t>samrådsanmälan</t>
        </is>
      </c>
      <c r="C11257" t="inlineStr">
        <is>
          <t>Skogsgödsling</t>
        </is>
      </c>
      <c r="D11257" s="1" t="n">
        <v>45670</v>
      </c>
      <c r="E11257" s="1" t="n">
        <v>46326</v>
      </c>
      <c r="F11257" t="inlineStr">
        <is>
          <t>GÄVLEBORGS LÄN</t>
        </is>
      </c>
      <c r="G11257" t="inlineStr">
        <is>
          <t>NORDANSTIG</t>
        </is>
      </c>
      <c r="H11257" t="inlineStr">
        <is>
          <t>Holmen skog AB</t>
        </is>
      </c>
      <c r="I11257" t="n">
        <v>128.2</v>
      </c>
      <c r="J11257" t="n">
        <v>0</v>
      </c>
      <c r="K11257" t="n">
        <v>0</v>
      </c>
      <c r="L11257" t="n">
        <v>0</v>
      </c>
      <c r="M11257" t="n">
        <v>0</v>
      </c>
      <c r="N11257" t="n">
        <v>0</v>
      </c>
      <c r="O11257" t="n">
        <v>0</v>
      </c>
      <c r="P11257" t="n">
        <v>0</v>
      </c>
      <c r="Q11257" t="n">
        <v>0</v>
      </c>
      <c r="R11257" t="n">
        <v>0</v>
      </c>
      <c r="S11257" t="n">
        <v>0</v>
      </c>
      <c r="T11257" t="n">
        <v>0</v>
      </c>
      <c r="U11257" t="n">
        <v>0</v>
      </c>
      <c r="V11257" s="2" t="inlineStr"/>
      <c r="Z11257">
        <f>HYPERLINK("https://klasma.github.io/Logging_2132/knärot/S 122-2025 karta knärot.png", "S 122-2025")</f>
        <v/>
      </c>
      <c r="AA11257">
        <f>HYPERLINK("https://klasma.github.io/Logging_2132/klagomål/S 122-2025 FSC-klagomål.docx", "S 122-2025")</f>
        <v/>
      </c>
      <c r="AB11257">
        <f>HYPERLINK("https://klasma.github.io/Logging_2132/klagomålsmail/S 122-2025 FSC-klagomål mail.docx", "S 122-2025")</f>
        <v/>
      </c>
      <c r="AC11257">
        <f>HYPERLINK("https://klasma.github.io/Logging_2132/tillsyn/S 122-2025 tillsynsbegäran.docx", "S 122-2025")</f>
        <v/>
      </c>
      <c r="AD11257">
        <f>HYPERLINK("https://klasma.github.io/Logging_2132/tillsynsmail/S 122-2025 tillsynsbegäran mail.docx", "S 122-2025")</f>
        <v/>
      </c>
    </row>
    <row r="11258" ht="15" customHeight="1">
      <c r="A11258" t="inlineStr">
        <is>
          <t>S 496-2025</t>
        </is>
      </c>
      <c r="B11258" t="inlineStr">
        <is>
          <t>samrådsanmälan</t>
        </is>
      </c>
      <c r="C11258" t="inlineStr">
        <is>
          <t>Skogsgödsling</t>
        </is>
      </c>
      <c r="D11258" s="1" t="n">
        <v>45705</v>
      </c>
      <c r="E11258" s="1" t="n">
        <v>46326</v>
      </c>
      <c r="F11258" t="inlineStr">
        <is>
          <t>GÄVLEBORGS LÄN</t>
        </is>
      </c>
      <c r="G11258" t="inlineStr">
        <is>
          <t>OVANÅKER</t>
        </is>
      </c>
      <c r="H11258" t="inlineStr">
        <is>
          <t>Bergvik skog väst AB</t>
        </is>
      </c>
      <c r="I11258" t="n">
        <v>51.7</v>
      </c>
      <c r="J11258" t="n">
        <v>0</v>
      </c>
      <c r="K11258" t="n">
        <v>0</v>
      </c>
      <c r="L11258" t="n">
        <v>0</v>
      </c>
      <c r="M11258" t="n">
        <v>0</v>
      </c>
      <c r="N11258" t="n">
        <v>0</v>
      </c>
      <c r="O11258" t="n">
        <v>0</v>
      </c>
      <c r="P11258" t="n">
        <v>0</v>
      </c>
      <c r="Q11258" t="n">
        <v>0</v>
      </c>
      <c r="R11258" t="n">
        <v>0</v>
      </c>
      <c r="S11258" t="n">
        <v>0</v>
      </c>
      <c r="T11258" t="n">
        <v>0</v>
      </c>
      <c r="U11258" t="n">
        <v>0</v>
      </c>
      <c r="V11258" s="2" t="inlineStr"/>
    </row>
    <row r="11259" ht="15" customHeight="1">
      <c r="A11259" t="inlineStr">
        <is>
          <t>S 1334-2025</t>
        </is>
      </c>
      <c r="B11259" t="inlineStr">
        <is>
          <t>samrådsanmälan</t>
        </is>
      </c>
      <c r="C11259" t="inlineStr">
        <is>
          <t>Annan skogsbruksåtgärd</t>
        </is>
      </c>
      <c r="D11259" s="1" t="n">
        <v>45771</v>
      </c>
      <c r="E11259" s="1" t="n">
        <v>46326</v>
      </c>
      <c r="F11259" t="inlineStr">
        <is>
          <t>GÄVLEBORGS LÄN</t>
        </is>
      </c>
      <c r="G11259" t="inlineStr">
        <is>
          <t>HOFORS</t>
        </is>
      </c>
      <c r="H11259" t="inlineStr">
        <is>
          <t>Sveaskog</t>
        </is>
      </c>
      <c r="I11259" t="n">
        <v>5.6</v>
      </c>
      <c r="J11259" t="n">
        <v>0</v>
      </c>
      <c r="K11259" t="n">
        <v>0</v>
      </c>
      <c r="L11259" t="n">
        <v>0</v>
      </c>
      <c r="M11259" t="n">
        <v>0</v>
      </c>
      <c r="N11259" t="n">
        <v>0</v>
      </c>
      <c r="O11259" t="n">
        <v>0</v>
      </c>
      <c r="P11259" t="n">
        <v>0</v>
      </c>
      <c r="Q11259" t="n">
        <v>0</v>
      </c>
      <c r="R11259" t="n">
        <v>0</v>
      </c>
      <c r="S11259" t="n">
        <v>0</v>
      </c>
      <c r="T11259" t="n">
        <v>0</v>
      </c>
      <c r="U11259" t="n">
        <v>0</v>
      </c>
      <c r="V11259" s="2" t="inlineStr"/>
    </row>
    <row r="11260" ht="15" customHeight="1">
      <c r="A11260" t="inlineStr">
        <is>
          <t>S 1342-2025</t>
        </is>
      </c>
      <c r="B11260" t="inlineStr">
        <is>
          <t>samrådsanmälan</t>
        </is>
      </c>
      <c r="C11260" t="inlineStr">
        <is>
          <t>Annan skogsbruksåtgärd</t>
        </is>
      </c>
      <c r="D11260" s="1" t="n">
        <v>45771</v>
      </c>
      <c r="E11260" s="1" t="n">
        <v>46326</v>
      </c>
      <c r="F11260" t="inlineStr">
        <is>
          <t>GÄVLEBORGS LÄN</t>
        </is>
      </c>
      <c r="G11260" t="inlineStr">
        <is>
          <t>LJUSDAL</t>
        </is>
      </c>
      <c r="H11260" t="inlineStr">
        <is>
          <t>Sveaskog</t>
        </is>
      </c>
      <c r="I11260" t="n">
        <v>7.7</v>
      </c>
      <c r="J11260" t="n">
        <v>0</v>
      </c>
      <c r="K11260" t="n">
        <v>0</v>
      </c>
      <c r="L11260" t="n">
        <v>0</v>
      </c>
      <c r="M11260" t="n">
        <v>0</v>
      </c>
      <c r="N11260" t="n">
        <v>0</v>
      </c>
      <c r="O11260" t="n">
        <v>0</v>
      </c>
      <c r="P11260" t="n">
        <v>0</v>
      </c>
      <c r="Q11260" t="n">
        <v>0</v>
      </c>
      <c r="R11260" t="n">
        <v>0</v>
      </c>
      <c r="S11260" t="n">
        <v>0</v>
      </c>
      <c r="T11260" t="n">
        <v>0</v>
      </c>
      <c r="U11260" t="n">
        <v>0</v>
      </c>
      <c r="V11260" s="2" t="inlineStr"/>
    </row>
    <row r="11261" ht="15" customHeight="1">
      <c r="A11261" t="inlineStr">
        <is>
          <t>S 1310-2025</t>
        </is>
      </c>
      <c r="B11261" t="inlineStr">
        <is>
          <t>samrådsanmälan</t>
        </is>
      </c>
      <c r="C11261" t="inlineStr">
        <is>
          <t>Annan skogsbruksåtgärd</t>
        </is>
      </c>
      <c r="D11261" s="1" t="n">
        <v>45770</v>
      </c>
      <c r="E11261" s="1" t="n">
        <v>46326</v>
      </c>
      <c r="F11261" t="inlineStr">
        <is>
          <t>GÄVLEBORGS LÄN</t>
        </is>
      </c>
      <c r="G11261" t="inlineStr">
        <is>
          <t>HUDIKSVALL</t>
        </is>
      </c>
      <c r="I11261" t="n">
        <v>4.5</v>
      </c>
      <c r="J11261" t="n">
        <v>0</v>
      </c>
      <c r="K11261" t="n">
        <v>0</v>
      </c>
      <c r="L11261" t="n">
        <v>0</v>
      </c>
      <c r="M11261" t="n">
        <v>0</v>
      </c>
      <c r="N11261" t="n">
        <v>0</v>
      </c>
      <c r="O11261" t="n">
        <v>0</v>
      </c>
      <c r="P11261" t="n">
        <v>0</v>
      </c>
      <c r="Q11261" t="n">
        <v>0</v>
      </c>
      <c r="R11261" t="n">
        <v>0</v>
      </c>
      <c r="S11261" t="n">
        <v>0</v>
      </c>
      <c r="T11261" t="n">
        <v>0</v>
      </c>
      <c r="U11261" t="n">
        <v>0</v>
      </c>
      <c r="V11261" s="2" t="inlineStr"/>
    </row>
    <row r="11262" ht="15" customHeight="1">
      <c r="A11262" t="inlineStr">
        <is>
          <t>S 539-2025</t>
        </is>
      </c>
      <c r="B11262" t="inlineStr">
        <is>
          <t>samrådsanmälan</t>
        </is>
      </c>
      <c r="C11262" t="inlineStr">
        <is>
          <t>Skogsgödsling</t>
        </is>
      </c>
      <c r="D11262" s="1" t="n">
        <v>45708</v>
      </c>
      <c r="E11262" s="1" t="n">
        <v>46326</v>
      </c>
      <c r="F11262" t="inlineStr">
        <is>
          <t>GÄVLEBORGS LÄN</t>
        </is>
      </c>
      <c r="G11262" t="inlineStr">
        <is>
          <t>OVANÅKER</t>
        </is>
      </c>
      <c r="H11262" t="inlineStr">
        <is>
          <t>Bergvik skog väst AB</t>
        </is>
      </c>
      <c r="I11262" t="n">
        <v>72.3</v>
      </c>
      <c r="J11262" t="n">
        <v>0</v>
      </c>
      <c r="K11262" t="n">
        <v>0</v>
      </c>
      <c r="L11262" t="n">
        <v>0</v>
      </c>
      <c r="M11262" t="n">
        <v>0</v>
      </c>
      <c r="N11262" t="n">
        <v>0</v>
      </c>
      <c r="O11262" t="n">
        <v>0</v>
      </c>
      <c r="P11262" t="n">
        <v>0</v>
      </c>
      <c r="Q11262" t="n">
        <v>0</v>
      </c>
      <c r="R11262" t="n">
        <v>0</v>
      </c>
      <c r="S11262" t="n">
        <v>0</v>
      </c>
      <c r="T11262" t="n">
        <v>0</v>
      </c>
      <c r="U11262" t="n">
        <v>0</v>
      </c>
      <c r="V11262" s="2" t="inlineStr"/>
    </row>
    <row r="11263" ht="15" customHeight="1">
      <c r="A11263" t="inlineStr">
        <is>
          <t>S 1359-2025</t>
        </is>
      </c>
      <c r="B11263" t="inlineStr">
        <is>
          <t>samrådsanmälan</t>
        </is>
      </c>
      <c r="C11263" t="inlineStr">
        <is>
          <t>Annan skogsbruksåtgärd</t>
        </is>
      </c>
      <c r="D11263" s="1" t="n">
        <v>45775</v>
      </c>
      <c r="E11263" s="1" t="n">
        <v>46326</v>
      </c>
      <c r="F11263" t="inlineStr">
        <is>
          <t>GÄVLEBORGS LÄN</t>
        </is>
      </c>
      <c r="G11263" t="inlineStr">
        <is>
          <t>BOLLNÄS</t>
        </is>
      </c>
      <c r="H11263" t="inlineStr">
        <is>
          <t>Sveaskog</t>
        </is>
      </c>
      <c r="I11263" t="n">
        <v>3.4</v>
      </c>
      <c r="J11263" t="n">
        <v>0</v>
      </c>
      <c r="K11263" t="n">
        <v>0</v>
      </c>
      <c r="L11263" t="n">
        <v>0</v>
      </c>
      <c r="M11263" t="n">
        <v>0</v>
      </c>
      <c r="N11263" t="n">
        <v>0</v>
      </c>
      <c r="O11263" t="n">
        <v>0</v>
      </c>
      <c r="P11263" t="n">
        <v>0</v>
      </c>
      <c r="Q11263" t="n">
        <v>0</v>
      </c>
      <c r="R11263" t="n">
        <v>0</v>
      </c>
      <c r="S11263" t="n">
        <v>0</v>
      </c>
      <c r="T11263" t="n">
        <v>0</v>
      </c>
      <c r="U11263" t="n">
        <v>0</v>
      </c>
      <c r="V11263" s="2" t="inlineStr"/>
    </row>
    <row r="11264" ht="15" customHeight="1">
      <c r="A11264" t="inlineStr">
        <is>
          <t>S 1309-2025</t>
        </is>
      </c>
      <c r="B11264" t="inlineStr">
        <is>
          <t>samrådsanmälan</t>
        </is>
      </c>
      <c r="C11264" t="inlineStr">
        <is>
          <t>Skogsgödsling</t>
        </is>
      </c>
      <c r="D11264" s="1" t="n">
        <v>45770</v>
      </c>
      <c r="E11264" s="1" t="n">
        <v>46326</v>
      </c>
      <c r="F11264" t="inlineStr">
        <is>
          <t>GÄVLEBORGS LÄN</t>
        </is>
      </c>
      <c r="G11264" t="inlineStr">
        <is>
          <t>BOLLNÄS</t>
        </is>
      </c>
      <c r="I11264" t="n">
        <v>31.8</v>
      </c>
      <c r="J11264" t="n">
        <v>0</v>
      </c>
      <c r="K11264" t="n">
        <v>0</v>
      </c>
      <c r="L11264" t="n">
        <v>0</v>
      </c>
      <c r="M11264" t="n">
        <v>0</v>
      </c>
      <c r="N11264" t="n">
        <v>0</v>
      </c>
      <c r="O11264" t="n">
        <v>0</v>
      </c>
      <c r="P11264" t="n">
        <v>0</v>
      </c>
      <c r="Q11264" t="n">
        <v>0</v>
      </c>
      <c r="R11264" t="n">
        <v>0</v>
      </c>
      <c r="S11264" t="n">
        <v>0</v>
      </c>
      <c r="T11264" t="n">
        <v>0</v>
      </c>
      <c r="U11264" t="n">
        <v>0</v>
      </c>
      <c r="V11264" s="2" t="inlineStr"/>
    </row>
    <row r="11265" ht="15" customHeight="1">
      <c r="A11265" t="inlineStr">
        <is>
          <t>S 1640-2025</t>
        </is>
      </c>
      <c r="B11265" t="inlineStr">
        <is>
          <t>samrådsanmälan</t>
        </is>
      </c>
      <c r="C11265" t="inlineStr">
        <is>
          <t>Skogsgödsling</t>
        </is>
      </c>
      <c r="D11265" s="1" t="n">
        <v>45799</v>
      </c>
      <c r="E11265" s="1" t="n">
        <v>46326</v>
      </c>
      <c r="F11265" t="inlineStr">
        <is>
          <t>GÄVLEBORGS LÄN</t>
        </is>
      </c>
      <c r="G11265" t="inlineStr">
        <is>
          <t>LJUSDAL</t>
        </is>
      </c>
      <c r="I11265" t="n">
        <v>44</v>
      </c>
      <c r="J11265" t="n">
        <v>0</v>
      </c>
      <c r="K11265" t="n">
        <v>0</v>
      </c>
      <c r="L11265" t="n">
        <v>0</v>
      </c>
      <c r="M11265" t="n">
        <v>0</v>
      </c>
      <c r="N11265" t="n">
        <v>0</v>
      </c>
      <c r="O11265" t="n">
        <v>0</v>
      </c>
      <c r="P11265" t="n">
        <v>0</v>
      </c>
      <c r="Q11265" t="n">
        <v>0</v>
      </c>
      <c r="R11265" t="n">
        <v>0</v>
      </c>
      <c r="S11265" t="n">
        <v>0</v>
      </c>
      <c r="T11265" t="n">
        <v>0</v>
      </c>
      <c r="U11265" t="n">
        <v>0</v>
      </c>
      <c r="V11265" s="2" t="inlineStr"/>
    </row>
    <row r="11266" ht="15" customHeight="1">
      <c r="A11266" t="inlineStr">
        <is>
          <t>S 1894-2025</t>
        </is>
      </c>
      <c r="B11266" t="inlineStr">
        <is>
          <t>samrådsanmälan</t>
        </is>
      </c>
      <c r="C11266" t="inlineStr">
        <is>
          <t>Annan skogsbruksåtgärd</t>
        </is>
      </c>
      <c r="D11266" s="1" t="n">
        <v>45825</v>
      </c>
      <c r="E11266" s="1" t="n">
        <v>46326</v>
      </c>
      <c r="F11266" t="inlineStr">
        <is>
          <t>GÄVLEBORGS LÄN</t>
        </is>
      </c>
      <c r="G11266" t="inlineStr">
        <is>
          <t>BOLLNÄS</t>
        </is>
      </c>
      <c r="H11266" t="inlineStr">
        <is>
          <t>Sveaskog</t>
        </is>
      </c>
      <c r="I11266" t="n">
        <v>10.7</v>
      </c>
      <c r="J11266" t="n">
        <v>0</v>
      </c>
      <c r="K11266" t="n">
        <v>0</v>
      </c>
      <c r="L11266" t="n">
        <v>0</v>
      </c>
      <c r="M11266" t="n">
        <v>0</v>
      </c>
      <c r="N11266" t="n">
        <v>0</v>
      </c>
      <c r="O11266" t="n">
        <v>0</v>
      </c>
      <c r="P11266" t="n">
        <v>0</v>
      </c>
      <c r="Q11266" t="n">
        <v>0</v>
      </c>
      <c r="R11266" t="n">
        <v>0</v>
      </c>
      <c r="S11266" t="n">
        <v>0</v>
      </c>
      <c r="T11266" t="n">
        <v>0</v>
      </c>
      <c r="U11266" t="n">
        <v>0</v>
      </c>
      <c r="V11266" s="2" t="inlineStr"/>
    </row>
    <row r="11267" ht="15" customHeight="1">
      <c r="A11267" t="inlineStr">
        <is>
          <t>S 1899-2025</t>
        </is>
      </c>
      <c r="B11267" t="inlineStr">
        <is>
          <t>samrådsanmälan</t>
        </is>
      </c>
      <c r="C11267" t="inlineStr">
        <is>
          <t>Annan skogsbruksåtgärd</t>
        </is>
      </c>
      <c r="D11267" s="1" t="n">
        <v>45825</v>
      </c>
      <c r="E11267" s="1" t="n">
        <v>46326</v>
      </c>
      <c r="F11267" t="inlineStr">
        <is>
          <t>GÄVLEBORGS LÄN</t>
        </is>
      </c>
      <c r="G11267" t="inlineStr">
        <is>
          <t>HUDIKSVALL</t>
        </is>
      </c>
      <c r="I11267" t="n">
        <v>1.8</v>
      </c>
      <c r="J11267" t="n">
        <v>0</v>
      </c>
      <c r="K11267" t="n">
        <v>0</v>
      </c>
      <c r="L11267" t="n">
        <v>0</v>
      </c>
      <c r="M11267" t="n">
        <v>0</v>
      </c>
      <c r="N11267" t="n">
        <v>0</v>
      </c>
      <c r="O11267" t="n">
        <v>0</v>
      </c>
      <c r="P11267" t="n">
        <v>0</v>
      </c>
      <c r="Q11267" t="n">
        <v>0</v>
      </c>
      <c r="R11267" t="n">
        <v>0</v>
      </c>
      <c r="S11267" t="n">
        <v>0</v>
      </c>
      <c r="T11267" t="n">
        <v>0</v>
      </c>
      <c r="U11267" t="n">
        <v>0</v>
      </c>
      <c r="V11267" s="2" t="inlineStr"/>
    </row>
    <row r="11268" ht="15" customHeight="1">
      <c r="A11268" t="inlineStr">
        <is>
          <t>S 2019-2025</t>
        </is>
      </c>
      <c r="B11268" t="inlineStr">
        <is>
          <t>samrådsanmälan</t>
        </is>
      </c>
      <c r="C11268" t="inlineStr">
        <is>
          <t>Annan skogsbruksåtgärd</t>
        </is>
      </c>
      <c r="D11268" s="1" t="n">
        <v>45835</v>
      </c>
      <c r="E11268" s="1" t="n">
        <v>46326</v>
      </c>
      <c r="F11268" t="inlineStr">
        <is>
          <t>GÄVLEBORGS LÄN</t>
        </is>
      </c>
      <c r="G11268" t="inlineStr">
        <is>
          <t>LJUSDAL</t>
        </is>
      </c>
      <c r="H11268" t="inlineStr">
        <is>
          <t>Sveaskog</t>
        </is>
      </c>
      <c r="I11268" t="n">
        <v>2.6</v>
      </c>
      <c r="J11268" t="n">
        <v>0</v>
      </c>
      <c r="K11268" t="n">
        <v>0</v>
      </c>
      <c r="L11268" t="n">
        <v>0</v>
      </c>
      <c r="M11268" t="n">
        <v>0</v>
      </c>
      <c r="N11268" t="n">
        <v>0</v>
      </c>
      <c r="O11268" t="n">
        <v>0</v>
      </c>
      <c r="P11268" t="n">
        <v>0</v>
      </c>
      <c r="Q11268" t="n">
        <v>0</v>
      </c>
      <c r="R11268" t="n">
        <v>0</v>
      </c>
      <c r="S11268" t="n">
        <v>0</v>
      </c>
      <c r="T11268" t="n">
        <v>0</v>
      </c>
      <c r="U11268" t="n">
        <v>0</v>
      </c>
      <c r="V11268" s="2" t="inlineStr"/>
    </row>
    <row r="11269" ht="15" customHeight="1">
      <c r="A11269" t="inlineStr">
        <is>
          <t>S 532-2025</t>
        </is>
      </c>
      <c r="B11269" t="inlineStr">
        <is>
          <t>samrådsanmälan</t>
        </is>
      </c>
      <c r="C11269" t="inlineStr">
        <is>
          <t>Askåterföring</t>
        </is>
      </c>
      <c r="D11269" s="1" t="n">
        <v>45707</v>
      </c>
      <c r="E11269" s="1" t="n">
        <v>46326</v>
      </c>
      <c r="F11269" t="inlineStr">
        <is>
          <t>GÄVLEBORGS LÄN</t>
        </is>
      </c>
      <c r="G11269" t="inlineStr">
        <is>
          <t>HOFORS</t>
        </is>
      </c>
      <c r="H11269" t="inlineStr">
        <is>
          <t>Sveaskog</t>
        </is>
      </c>
      <c r="I11269" t="n">
        <v>4.8</v>
      </c>
      <c r="J11269" t="n">
        <v>0</v>
      </c>
      <c r="K11269" t="n">
        <v>0</v>
      </c>
      <c r="L11269" t="n">
        <v>0</v>
      </c>
      <c r="M11269" t="n">
        <v>0</v>
      </c>
      <c r="N11269" t="n">
        <v>0</v>
      </c>
      <c r="O11269" t="n">
        <v>0</v>
      </c>
      <c r="P11269" t="n">
        <v>0</v>
      </c>
      <c r="Q11269" t="n">
        <v>0</v>
      </c>
      <c r="R11269" t="n">
        <v>0</v>
      </c>
      <c r="S11269" t="n">
        <v>0</v>
      </c>
      <c r="T11269" t="n">
        <v>0</v>
      </c>
      <c r="U11269" t="n">
        <v>0</v>
      </c>
      <c r="V11269" s="2" t="inlineStr"/>
    </row>
    <row r="11270" ht="15" customHeight="1">
      <c r="A11270" t="inlineStr">
        <is>
          <t>S 531-2025</t>
        </is>
      </c>
      <c r="B11270" t="inlineStr">
        <is>
          <t>samrådsanmälan</t>
        </is>
      </c>
      <c r="C11270" t="inlineStr">
        <is>
          <t>Askåterföring</t>
        </is>
      </c>
      <c r="D11270" s="1" t="n">
        <v>45707</v>
      </c>
      <c r="E11270" s="1" t="n">
        <v>46326</v>
      </c>
      <c r="F11270" t="inlineStr">
        <is>
          <t>GÄVLEBORGS LÄN</t>
        </is>
      </c>
      <c r="G11270" t="inlineStr">
        <is>
          <t>SANDVIKEN</t>
        </is>
      </c>
      <c r="H11270" t="inlineStr">
        <is>
          <t>Sveaskog</t>
        </is>
      </c>
      <c r="I11270" t="n">
        <v>14.4</v>
      </c>
      <c r="J11270" t="n">
        <v>0</v>
      </c>
      <c r="K11270" t="n">
        <v>0</v>
      </c>
      <c r="L11270" t="n">
        <v>0</v>
      </c>
      <c r="M11270" t="n">
        <v>0</v>
      </c>
      <c r="N11270" t="n">
        <v>0</v>
      </c>
      <c r="O11270" t="n">
        <v>0</v>
      </c>
      <c r="P11270" t="n">
        <v>0</v>
      </c>
      <c r="Q11270" t="n">
        <v>0</v>
      </c>
      <c r="R11270" t="n">
        <v>0</v>
      </c>
      <c r="S11270" t="n">
        <v>0</v>
      </c>
      <c r="T11270" t="n">
        <v>0</v>
      </c>
      <c r="U11270" t="n">
        <v>0</v>
      </c>
      <c r="V11270" s="2" t="inlineStr"/>
    </row>
    <row r="11271" ht="15" customHeight="1">
      <c r="A11271" t="inlineStr">
        <is>
          <t>S 2266-2025</t>
        </is>
      </c>
      <c r="B11271" t="inlineStr">
        <is>
          <t>samrådsanmälan</t>
        </is>
      </c>
      <c r="C11271" t="inlineStr">
        <is>
          <t>Annan skogsbruksåtgärd</t>
        </is>
      </c>
      <c r="D11271" s="1" t="n">
        <v>45874</v>
      </c>
      <c r="E11271" s="1" t="n">
        <v>46326</v>
      </c>
      <c r="F11271" t="inlineStr">
        <is>
          <t>GÄVLEBORGS LÄN</t>
        </is>
      </c>
      <c r="G11271" t="inlineStr">
        <is>
          <t>LJUSDAL</t>
        </is>
      </c>
      <c r="H11271" t="inlineStr">
        <is>
          <t>Sveaskog</t>
        </is>
      </c>
      <c r="I11271" t="n">
        <v>6.2</v>
      </c>
      <c r="J11271" t="n">
        <v>0</v>
      </c>
      <c r="K11271" t="n">
        <v>0</v>
      </c>
      <c r="L11271" t="n">
        <v>0</v>
      </c>
      <c r="M11271" t="n">
        <v>0</v>
      </c>
      <c r="N11271" t="n">
        <v>0</v>
      </c>
      <c r="O11271" t="n">
        <v>0</v>
      </c>
      <c r="P11271" t="n">
        <v>0</v>
      </c>
      <c r="Q11271" t="n">
        <v>0</v>
      </c>
      <c r="R11271" t="n">
        <v>0</v>
      </c>
      <c r="S11271" t="n">
        <v>0</v>
      </c>
      <c r="T11271" t="n">
        <v>0</v>
      </c>
      <c r="U11271" t="n">
        <v>0</v>
      </c>
      <c r="V11271" s="2" t="inlineStr"/>
    </row>
    <row r="11272" ht="15" customHeight="1">
      <c r="A11272" t="inlineStr">
        <is>
          <t>S 2403-2025</t>
        </is>
      </c>
      <c r="B11272" t="inlineStr">
        <is>
          <t>samrådsanmälan</t>
        </is>
      </c>
      <c r="C11272" t="inlineStr">
        <is>
          <t>Annan skogsbruksåtgärd</t>
        </is>
      </c>
      <c r="D11272" s="1" t="n">
        <v>45895</v>
      </c>
      <c r="E11272" s="1" t="n">
        <v>46326</v>
      </c>
      <c r="F11272" t="inlineStr">
        <is>
          <t>GÄVLEBORGS LÄN</t>
        </is>
      </c>
      <c r="G11272" t="inlineStr">
        <is>
          <t>HOFORS</t>
        </is>
      </c>
      <c r="H11272" t="inlineStr">
        <is>
          <t>Sveaskog</t>
        </is>
      </c>
      <c r="I11272" t="n">
        <v>2.2</v>
      </c>
      <c r="J11272" t="n">
        <v>0</v>
      </c>
      <c r="K11272" t="n">
        <v>0</v>
      </c>
      <c r="L11272" t="n">
        <v>0</v>
      </c>
      <c r="M11272" t="n">
        <v>0</v>
      </c>
      <c r="N11272" t="n">
        <v>0</v>
      </c>
      <c r="O11272" t="n">
        <v>0</v>
      </c>
      <c r="P11272" t="n">
        <v>0</v>
      </c>
      <c r="Q11272" t="n">
        <v>0</v>
      </c>
      <c r="R11272" t="n">
        <v>0</v>
      </c>
      <c r="S11272" t="n">
        <v>0</v>
      </c>
      <c r="T11272" t="n">
        <v>0</v>
      </c>
      <c r="U11272" t="n">
        <v>0</v>
      </c>
      <c r="V11272" s="2" t="inlineStr"/>
    </row>
    <row r="11273" ht="15" customHeight="1">
      <c r="A11273" t="inlineStr">
        <is>
          <t>S 2696-2025</t>
        </is>
      </c>
      <c r="B11273" t="inlineStr">
        <is>
          <t>samrådsanmälan</t>
        </is>
      </c>
      <c r="C11273" t="inlineStr">
        <is>
          <t>Annan skogsbruksåtgärd</t>
        </is>
      </c>
      <c r="D11273" s="1" t="n">
        <v>45926</v>
      </c>
      <c r="E11273" s="1" t="n">
        <v>46326</v>
      </c>
      <c r="F11273" t="inlineStr">
        <is>
          <t>GÄVLEBORGS LÄN</t>
        </is>
      </c>
      <c r="G11273" t="inlineStr">
        <is>
          <t>LJUSDAL</t>
        </is>
      </c>
      <c r="H11273" t="inlineStr">
        <is>
          <t>Sveaskog</t>
        </is>
      </c>
      <c r="I11273" t="n">
        <v>21.1</v>
      </c>
      <c r="J11273" t="n">
        <v>0</v>
      </c>
      <c r="K11273" t="n">
        <v>0</v>
      </c>
      <c r="L11273" t="n">
        <v>0</v>
      </c>
      <c r="M11273" t="n">
        <v>0</v>
      </c>
      <c r="N11273" t="n">
        <v>0</v>
      </c>
      <c r="O11273" t="n">
        <v>0</v>
      </c>
      <c r="P11273" t="n">
        <v>0</v>
      </c>
      <c r="Q11273" t="n">
        <v>0</v>
      </c>
      <c r="R11273" t="n">
        <v>0</v>
      </c>
      <c r="S11273" t="n">
        <v>0</v>
      </c>
      <c r="T11273" t="n">
        <v>0</v>
      </c>
      <c r="U11273" t="n">
        <v>0</v>
      </c>
      <c r="V11273" s="2" t="inlineStr"/>
    </row>
    <row r="11274" ht="15" customHeight="1">
      <c r="A11274" t="inlineStr">
        <is>
          <t>S 1074-2024</t>
        </is>
      </c>
      <c r="B11274" t="inlineStr">
        <is>
          <t>samrådsanmälan</t>
        </is>
      </c>
      <c r="C11274" t="inlineStr">
        <is>
          <t>Skogsgödsling</t>
        </is>
      </c>
      <c r="D11274" s="1" t="n">
        <v>45387</v>
      </c>
      <c r="E11274" s="1" t="n">
        <v>46326</v>
      </c>
      <c r="F11274" t="inlineStr">
        <is>
          <t>GÄVLEBORGS LÄN</t>
        </is>
      </c>
      <c r="G11274" t="inlineStr">
        <is>
          <t>BOLLNÄS</t>
        </is>
      </c>
      <c r="H11274" t="inlineStr">
        <is>
          <t>Bergvik skog väst AB</t>
        </is>
      </c>
      <c r="I11274" t="n">
        <v>245.9</v>
      </c>
      <c r="J11274" t="n">
        <v>0</v>
      </c>
      <c r="K11274" t="n">
        <v>0</v>
      </c>
      <c r="L11274" t="n">
        <v>0</v>
      </c>
      <c r="M11274" t="n">
        <v>0</v>
      </c>
      <c r="N11274" t="n">
        <v>0</v>
      </c>
      <c r="O11274" t="n">
        <v>0</v>
      </c>
      <c r="P11274" t="n">
        <v>0</v>
      </c>
      <c r="Q11274" t="n">
        <v>0</v>
      </c>
      <c r="R11274" t="n">
        <v>0</v>
      </c>
      <c r="S11274" t="n">
        <v>0</v>
      </c>
      <c r="T11274" t="n">
        <v>0</v>
      </c>
      <c r="U11274" t="n">
        <v>0</v>
      </c>
      <c r="V11274" s="2" t="inlineStr"/>
    </row>
    <row r="11275" ht="15" customHeight="1">
      <c r="A11275" t="inlineStr">
        <is>
          <t>S 7041-2022</t>
        </is>
      </c>
      <c r="B11275" t="inlineStr">
        <is>
          <t>samrådsanmälan</t>
        </is>
      </c>
      <c r="C11275" t="inlineStr">
        <is>
          <t>Annan skogsbruksåtgärd</t>
        </is>
      </c>
      <c r="D11275" s="1" t="n">
        <v>44904</v>
      </c>
      <c r="E11275" s="1" t="n">
        <v>46326</v>
      </c>
      <c r="F11275" t="inlineStr">
        <is>
          <t>GÄVLEBORGS LÄN</t>
        </is>
      </c>
      <c r="G11275" t="inlineStr">
        <is>
          <t>OCKELBO</t>
        </is>
      </c>
      <c r="H11275" t="inlineStr">
        <is>
          <t>Bergvik skog väst AB</t>
        </is>
      </c>
      <c r="I11275" t="n">
        <v>22.8</v>
      </c>
      <c r="J11275" t="n">
        <v>0</v>
      </c>
      <c r="K11275" t="n">
        <v>0</v>
      </c>
      <c r="L11275" t="n">
        <v>0</v>
      </c>
      <c r="M11275" t="n">
        <v>0</v>
      </c>
      <c r="N11275" t="n">
        <v>0</v>
      </c>
      <c r="O11275" t="n">
        <v>0</v>
      </c>
      <c r="P11275" t="n">
        <v>0</v>
      </c>
      <c r="Q11275" t="n">
        <v>0</v>
      </c>
      <c r="R11275" t="n">
        <v>0</v>
      </c>
      <c r="S11275" t="n">
        <v>0</v>
      </c>
      <c r="T11275" t="n">
        <v>0</v>
      </c>
      <c r="U11275" t="n">
        <v>0</v>
      </c>
      <c r="V11275" s="2" t="inlineStr"/>
    </row>
    <row r="11276" ht="15" customHeight="1">
      <c r="A11276" t="inlineStr">
        <is>
          <t>S 2842-2025</t>
        </is>
      </c>
      <c r="B11276" t="inlineStr">
        <is>
          <t>samrådsanmälan</t>
        </is>
      </c>
      <c r="C11276" t="inlineStr">
        <is>
          <t>Skogsgödsling</t>
        </is>
      </c>
      <c r="D11276" s="1" t="n">
        <v>45939</v>
      </c>
      <c r="E11276" s="1" t="n">
        <v>46326</v>
      </c>
      <c r="F11276" t="inlineStr">
        <is>
          <t>GÄVLEBORGS LÄN</t>
        </is>
      </c>
      <c r="G11276" t="inlineStr">
        <is>
          <t>LJUSDAL</t>
        </is>
      </c>
      <c r="H11276" t="inlineStr">
        <is>
          <t>Allmännings- och besparingsskogar</t>
        </is>
      </c>
      <c r="I11276" t="n">
        <v>4.6</v>
      </c>
      <c r="J11276" t="n">
        <v>0</v>
      </c>
      <c r="K11276" t="n">
        <v>0</v>
      </c>
      <c r="L11276" t="n">
        <v>0</v>
      </c>
      <c r="M11276" t="n">
        <v>0</v>
      </c>
      <c r="N11276" t="n">
        <v>0</v>
      </c>
      <c r="O11276" t="n">
        <v>0</v>
      </c>
      <c r="P11276" t="n">
        <v>0</v>
      </c>
      <c r="Q11276" t="n">
        <v>0</v>
      </c>
      <c r="R11276" t="n">
        <v>0</v>
      </c>
      <c r="S11276" t="n">
        <v>0</v>
      </c>
      <c r="T11276" t="n">
        <v>0</v>
      </c>
      <c r="U11276" t="n">
        <v>0</v>
      </c>
      <c r="V11276" s="2" t="inlineStr"/>
    </row>
    <row r="11277" ht="15" customHeight="1">
      <c r="A11277" t="inlineStr">
        <is>
          <t>S 2820-2025</t>
        </is>
      </c>
      <c r="B11277" t="inlineStr">
        <is>
          <t>samrådsanmälan</t>
        </is>
      </c>
      <c r="C11277" t="inlineStr">
        <is>
          <t>Skogsgödsling</t>
        </is>
      </c>
      <c r="D11277" s="1" t="n">
        <v>45939</v>
      </c>
      <c r="E11277" s="1" t="n">
        <v>46326</v>
      </c>
      <c r="F11277" t="inlineStr">
        <is>
          <t>GÄVLEBORGS LÄN</t>
        </is>
      </c>
      <c r="G11277" t="inlineStr">
        <is>
          <t>LJUSDAL</t>
        </is>
      </c>
      <c r="H11277" t="inlineStr">
        <is>
          <t>Allmännings- och besparingsskogar</t>
        </is>
      </c>
      <c r="I11277" t="n">
        <v>11.5</v>
      </c>
      <c r="J11277" t="n">
        <v>0</v>
      </c>
      <c r="K11277" t="n">
        <v>0</v>
      </c>
      <c r="L11277" t="n">
        <v>0</v>
      </c>
      <c r="M11277" t="n">
        <v>0</v>
      </c>
      <c r="N11277" t="n">
        <v>0</v>
      </c>
      <c r="O11277" t="n">
        <v>0</v>
      </c>
      <c r="P11277" t="n">
        <v>0</v>
      </c>
      <c r="Q11277" t="n">
        <v>0</v>
      </c>
      <c r="R11277" t="n">
        <v>0</v>
      </c>
      <c r="S11277" t="n">
        <v>0</v>
      </c>
      <c r="T11277" t="n">
        <v>0</v>
      </c>
      <c r="U11277" t="n">
        <v>0</v>
      </c>
      <c r="V11277" s="2" t="inlineStr"/>
    </row>
    <row r="11278" ht="15" customHeight="1">
      <c r="A11278" t="inlineStr">
        <is>
          <t>S 2829-2025</t>
        </is>
      </c>
      <c r="B11278" t="inlineStr">
        <is>
          <t>samrådsanmälan</t>
        </is>
      </c>
      <c r="C11278" t="inlineStr">
        <is>
          <t>Skogsgödsling</t>
        </is>
      </c>
      <c r="D11278" s="1" t="n">
        <v>45939</v>
      </c>
      <c r="E11278" s="1" t="n">
        <v>46326</v>
      </c>
      <c r="F11278" t="inlineStr">
        <is>
          <t>GÄVLEBORGS LÄN</t>
        </is>
      </c>
      <c r="G11278" t="inlineStr">
        <is>
          <t>LJUSDAL</t>
        </is>
      </c>
      <c r="H11278" t="inlineStr">
        <is>
          <t>Allmännings- och besparingsskogar</t>
        </is>
      </c>
      <c r="I11278" t="n">
        <v>60.2</v>
      </c>
      <c r="J11278" t="n">
        <v>0</v>
      </c>
      <c r="K11278" t="n">
        <v>0</v>
      </c>
      <c r="L11278" t="n">
        <v>0</v>
      </c>
      <c r="M11278" t="n">
        <v>0</v>
      </c>
      <c r="N11278" t="n">
        <v>0</v>
      </c>
      <c r="O11278" t="n">
        <v>0</v>
      </c>
      <c r="P11278" t="n">
        <v>0</v>
      </c>
      <c r="Q11278" t="n">
        <v>0</v>
      </c>
      <c r="R11278" t="n">
        <v>0</v>
      </c>
      <c r="S11278" t="n">
        <v>0</v>
      </c>
      <c r="T11278" t="n">
        <v>0</v>
      </c>
      <c r="U11278" t="n">
        <v>0</v>
      </c>
      <c r="V11278" s="2" t="inlineStr"/>
    </row>
    <row r="11279" ht="15" customHeight="1">
      <c r="A11279" t="inlineStr">
        <is>
          <t>S 2822-2025</t>
        </is>
      </c>
      <c r="B11279" t="inlineStr">
        <is>
          <t>samrådsanmälan</t>
        </is>
      </c>
      <c r="C11279" t="inlineStr">
        <is>
          <t>Skogsgödsling</t>
        </is>
      </c>
      <c r="D11279" s="1" t="n">
        <v>45939</v>
      </c>
      <c r="E11279" s="1" t="n">
        <v>46326</v>
      </c>
      <c r="F11279" t="inlineStr">
        <is>
          <t>GÄVLEBORGS LÄN</t>
        </is>
      </c>
      <c r="G11279" t="inlineStr">
        <is>
          <t>LJUSDAL</t>
        </is>
      </c>
      <c r="H11279" t="inlineStr">
        <is>
          <t>Allmännings- och besparingsskogar</t>
        </is>
      </c>
      <c r="I11279" t="n">
        <v>39.8</v>
      </c>
      <c r="J11279" t="n">
        <v>0</v>
      </c>
      <c r="K11279" t="n">
        <v>0</v>
      </c>
      <c r="L11279" t="n">
        <v>0</v>
      </c>
      <c r="M11279" t="n">
        <v>0</v>
      </c>
      <c r="N11279" t="n">
        <v>0</v>
      </c>
      <c r="O11279" t="n">
        <v>0</v>
      </c>
      <c r="P11279" t="n">
        <v>0</v>
      </c>
      <c r="Q11279" t="n">
        <v>0</v>
      </c>
      <c r="R11279" t="n">
        <v>0</v>
      </c>
      <c r="S11279" t="n">
        <v>0</v>
      </c>
      <c r="T11279" t="n">
        <v>0</v>
      </c>
      <c r="U11279" t="n">
        <v>0</v>
      </c>
      <c r="V11279" s="2" t="inlineStr"/>
    </row>
    <row r="11280" ht="15" customHeight="1">
      <c r="A11280" t="inlineStr">
        <is>
          <t>S 2830-2025</t>
        </is>
      </c>
      <c r="B11280" t="inlineStr">
        <is>
          <t>samrådsanmälan</t>
        </is>
      </c>
      <c r="C11280" t="inlineStr">
        <is>
          <t>Skogsgödsling</t>
        </is>
      </c>
      <c r="D11280" s="1" t="n">
        <v>45939</v>
      </c>
      <c r="E11280" s="1" t="n">
        <v>46326</v>
      </c>
      <c r="F11280" t="inlineStr">
        <is>
          <t>GÄVLEBORGS LÄN</t>
        </is>
      </c>
      <c r="G11280" t="inlineStr">
        <is>
          <t>LJUSDAL</t>
        </is>
      </c>
      <c r="H11280" t="inlineStr">
        <is>
          <t>Allmännings- och besparingsskogar</t>
        </is>
      </c>
      <c r="I11280" t="n">
        <v>23.4</v>
      </c>
      <c r="J11280" t="n">
        <v>0</v>
      </c>
      <c r="K11280" t="n">
        <v>0</v>
      </c>
      <c r="L11280" t="n">
        <v>0</v>
      </c>
      <c r="M11280" t="n">
        <v>0</v>
      </c>
      <c r="N11280" t="n">
        <v>0</v>
      </c>
      <c r="O11280" t="n">
        <v>0</v>
      </c>
      <c r="P11280" t="n">
        <v>0</v>
      </c>
      <c r="Q11280" t="n">
        <v>0</v>
      </c>
      <c r="R11280" t="n">
        <v>0</v>
      </c>
      <c r="S11280" t="n">
        <v>0</v>
      </c>
      <c r="T11280" t="n">
        <v>0</v>
      </c>
      <c r="U11280" t="n">
        <v>0</v>
      </c>
      <c r="V11280" s="2" t="inlineStr"/>
    </row>
    <row r="11281" ht="15" customHeight="1">
      <c r="A11281" t="inlineStr">
        <is>
          <t>S 2828-2025</t>
        </is>
      </c>
      <c r="B11281" t="inlineStr">
        <is>
          <t>samrådsanmälan</t>
        </is>
      </c>
      <c r="C11281" t="inlineStr">
        <is>
          <t>Skogsgödsling</t>
        </is>
      </c>
      <c r="D11281" s="1" t="n">
        <v>45939</v>
      </c>
      <c r="E11281" s="1" t="n">
        <v>46326</v>
      </c>
      <c r="F11281" t="inlineStr">
        <is>
          <t>GÄVLEBORGS LÄN</t>
        </is>
      </c>
      <c r="G11281" t="inlineStr">
        <is>
          <t>LJUSDAL</t>
        </is>
      </c>
      <c r="H11281" t="inlineStr">
        <is>
          <t>Allmännings- och besparingsskogar</t>
        </is>
      </c>
      <c r="I11281" t="n">
        <v>5.5</v>
      </c>
      <c r="J11281" t="n">
        <v>0</v>
      </c>
      <c r="K11281" t="n">
        <v>0</v>
      </c>
      <c r="L11281" t="n">
        <v>0</v>
      </c>
      <c r="M11281" t="n">
        <v>0</v>
      </c>
      <c r="N11281" t="n">
        <v>0</v>
      </c>
      <c r="O11281" t="n">
        <v>0</v>
      </c>
      <c r="P11281" t="n">
        <v>0</v>
      </c>
      <c r="Q11281" t="n">
        <v>0</v>
      </c>
      <c r="R11281" t="n">
        <v>0</v>
      </c>
      <c r="S11281" t="n">
        <v>0</v>
      </c>
      <c r="T11281" t="n">
        <v>0</v>
      </c>
      <c r="U11281" t="n">
        <v>0</v>
      </c>
      <c r="V11281" s="2" t="inlineStr"/>
    </row>
    <row r="11282" ht="15" customHeight="1">
      <c r="A11282" t="inlineStr">
        <is>
          <t>S 2825-2025</t>
        </is>
      </c>
      <c r="B11282" t="inlineStr">
        <is>
          <t>samrådsanmälan</t>
        </is>
      </c>
      <c r="C11282" t="inlineStr">
        <is>
          <t>Skogsgödsling</t>
        </is>
      </c>
      <c r="D11282" s="1" t="n">
        <v>45939</v>
      </c>
      <c r="E11282" s="1" t="n">
        <v>46326</v>
      </c>
      <c r="F11282" t="inlineStr">
        <is>
          <t>GÄVLEBORGS LÄN</t>
        </is>
      </c>
      <c r="G11282" t="inlineStr">
        <is>
          <t>LJUSDAL</t>
        </is>
      </c>
      <c r="H11282" t="inlineStr">
        <is>
          <t>Allmännings- och besparingsskogar</t>
        </is>
      </c>
      <c r="I11282" t="n">
        <v>55.9</v>
      </c>
      <c r="J11282" t="n">
        <v>0</v>
      </c>
      <c r="K11282" t="n">
        <v>0</v>
      </c>
      <c r="L11282" t="n">
        <v>0</v>
      </c>
      <c r="M11282" t="n">
        <v>0</v>
      </c>
      <c r="N11282" t="n">
        <v>0</v>
      </c>
      <c r="O11282" t="n">
        <v>0</v>
      </c>
      <c r="P11282" t="n">
        <v>0</v>
      </c>
      <c r="Q11282" t="n">
        <v>0</v>
      </c>
      <c r="R11282" t="n">
        <v>0</v>
      </c>
      <c r="S11282" t="n">
        <v>0</v>
      </c>
      <c r="T11282" t="n">
        <v>0</v>
      </c>
      <c r="U11282" t="n">
        <v>0</v>
      </c>
      <c r="V11282" s="2" t="inlineStr"/>
    </row>
    <row r="11283" ht="15" customHeight="1">
      <c r="A11283" t="inlineStr">
        <is>
          <t>S 3155-2025</t>
        </is>
      </c>
      <c r="B11283" t="inlineStr">
        <is>
          <t>samrådsanmälan</t>
        </is>
      </c>
      <c r="C11283" t="inlineStr">
        <is>
          <t>Annan skogsbruksåtgärd</t>
        </is>
      </c>
      <c r="D11283" s="1" t="n">
        <v>45973</v>
      </c>
      <c r="E11283" s="1" t="n">
        <v>46326</v>
      </c>
      <c r="F11283" t="inlineStr">
        <is>
          <t>GÄVLEBORGS LÄN</t>
        </is>
      </c>
      <c r="G11283" t="inlineStr">
        <is>
          <t>SÖDERHAMN</t>
        </is>
      </c>
      <c r="I11283" t="n">
        <v>3.6</v>
      </c>
      <c r="J11283" t="n">
        <v>0</v>
      </c>
      <c r="K11283" t="n">
        <v>0</v>
      </c>
      <c r="L11283" t="n">
        <v>0</v>
      </c>
      <c r="M11283" t="n">
        <v>0</v>
      </c>
      <c r="N11283" t="n">
        <v>0</v>
      </c>
      <c r="O11283" t="n">
        <v>0</v>
      </c>
      <c r="P11283" t="n">
        <v>0</v>
      </c>
      <c r="Q11283" t="n">
        <v>0</v>
      </c>
      <c r="R11283" t="n">
        <v>0</v>
      </c>
      <c r="S11283" t="n">
        <v>0</v>
      </c>
      <c r="T11283" t="n">
        <v>0</v>
      </c>
      <c r="U11283" t="n">
        <v>0</v>
      </c>
      <c r="V11283" s="2" t="inlineStr"/>
    </row>
    <row r="11284" ht="15" customHeight="1">
      <c r="A11284" t="inlineStr">
        <is>
          <t>S 530-2025</t>
        </is>
      </c>
      <c r="B11284" t="inlineStr">
        <is>
          <t>samrådsanmälan</t>
        </is>
      </c>
      <c r="C11284" t="inlineStr">
        <is>
          <t>Askåterföring</t>
        </is>
      </c>
      <c r="D11284" s="1" t="n">
        <v>45707</v>
      </c>
      <c r="E11284" s="1" t="n">
        <v>46326</v>
      </c>
      <c r="F11284" t="inlineStr">
        <is>
          <t>GÄVLEBORGS LÄN</t>
        </is>
      </c>
      <c r="G11284" t="inlineStr">
        <is>
          <t>SANDVIKEN</t>
        </is>
      </c>
      <c r="H11284" t="inlineStr">
        <is>
          <t>Sveaskog</t>
        </is>
      </c>
      <c r="I11284" t="n">
        <v>23.1</v>
      </c>
      <c r="J11284" t="n">
        <v>0</v>
      </c>
      <c r="K11284" t="n">
        <v>0</v>
      </c>
      <c r="L11284" t="n">
        <v>0</v>
      </c>
      <c r="M11284" t="n">
        <v>0</v>
      </c>
      <c r="N11284" t="n">
        <v>0</v>
      </c>
      <c r="O11284" t="n">
        <v>0</v>
      </c>
      <c r="P11284" t="n">
        <v>0</v>
      </c>
      <c r="Q11284" t="n">
        <v>0</v>
      </c>
      <c r="R11284" t="n">
        <v>0</v>
      </c>
      <c r="S11284" t="n">
        <v>0</v>
      </c>
      <c r="T11284" t="n">
        <v>0</v>
      </c>
      <c r="U11284" t="n">
        <v>0</v>
      </c>
      <c r="V11284" s="2" t="inlineStr"/>
    </row>
    <row r="11285" ht="15" customHeight="1">
      <c r="A11285" t="inlineStr">
        <is>
          <t>S 3377-2025</t>
        </is>
      </c>
      <c r="B11285" t="inlineStr">
        <is>
          <t>samrådsanmälan</t>
        </is>
      </c>
      <c r="C11285" t="inlineStr">
        <is>
          <t>Skogsgödsling</t>
        </is>
      </c>
      <c r="D11285" s="1" t="n">
        <v>45993</v>
      </c>
      <c r="E11285" s="1" t="n">
        <v>46326</v>
      </c>
      <c r="F11285" t="inlineStr">
        <is>
          <t>GÄVLEBORGS LÄN</t>
        </is>
      </c>
      <c r="G11285" t="inlineStr">
        <is>
          <t>LJUSDAL</t>
        </is>
      </c>
      <c r="H11285" t="inlineStr">
        <is>
          <t>Holmen skog AB</t>
        </is>
      </c>
      <c r="I11285" t="n">
        <v>25.8</v>
      </c>
      <c r="J11285" t="n">
        <v>0</v>
      </c>
      <c r="K11285" t="n">
        <v>0</v>
      </c>
      <c r="L11285" t="n">
        <v>0</v>
      </c>
      <c r="M11285" t="n">
        <v>0</v>
      </c>
      <c r="N11285" t="n">
        <v>0</v>
      </c>
      <c r="O11285" t="n">
        <v>0</v>
      </c>
      <c r="P11285" t="n">
        <v>0</v>
      </c>
      <c r="Q11285" t="n">
        <v>0</v>
      </c>
      <c r="R11285" t="n">
        <v>0</v>
      </c>
      <c r="S11285" t="n">
        <v>0</v>
      </c>
      <c r="T11285" t="n">
        <v>0</v>
      </c>
      <c r="U11285" t="n">
        <v>0</v>
      </c>
      <c r="V11285" s="2" t="inlineStr"/>
    </row>
    <row r="11286" ht="15" customHeight="1">
      <c r="A11286" t="inlineStr">
        <is>
          <t>S 3375-2025</t>
        </is>
      </c>
      <c r="B11286" t="inlineStr">
        <is>
          <t>samrådsanmälan</t>
        </is>
      </c>
      <c r="C11286" t="inlineStr">
        <is>
          <t>Skogsgödsling</t>
        </is>
      </c>
      <c r="D11286" s="1" t="n">
        <v>45993</v>
      </c>
      <c r="E11286" s="1" t="n">
        <v>46326</v>
      </c>
      <c r="F11286" t="inlineStr">
        <is>
          <t>GÄVLEBORGS LÄN</t>
        </is>
      </c>
      <c r="G11286" t="inlineStr">
        <is>
          <t>LJUSDAL</t>
        </is>
      </c>
      <c r="H11286" t="inlineStr">
        <is>
          <t>Holmen skog AB</t>
        </is>
      </c>
      <c r="I11286" t="n">
        <v>223.3</v>
      </c>
      <c r="J11286" t="n">
        <v>0</v>
      </c>
      <c r="K11286" t="n">
        <v>0</v>
      </c>
      <c r="L11286" t="n">
        <v>0</v>
      </c>
      <c r="M11286" t="n">
        <v>0</v>
      </c>
      <c r="N11286" t="n">
        <v>0</v>
      </c>
      <c r="O11286" t="n">
        <v>0</v>
      </c>
      <c r="P11286" t="n">
        <v>0</v>
      </c>
      <c r="Q11286" t="n">
        <v>0</v>
      </c>
      <c r="R11286" t="n">
        <v>0</v>
      </c>
      <c r="S11286" t="n">
        <v>0</v>
      </c>
      <c r="T11286" t="n">
        <v>0</v>
      </c>
      <c r="U11286" t="n">
        <v>0</v>
      </c>
      <c r="V11286" s="2" t="inlineStr"/>
      <c r="Z11286">
        <f>HYPERLINK("https://klasma.github.io/Logging_2161/knärot/S 3375-2025 karta knärot.png", "S 3375-2025")</f>
        <v/>
      </c>
      <c r="AA11286">
        <f>HYPERLINK("https://klasma.github.io/Logging_2161/klagomål/S 3375-2025 FSC-klagomål.docx", "S 3375-2025")</f>
        <v/>
      </c>
      <c r="AB11286">
        <f>HYPERLINK("https://klasma.github.io/Logging_2161/klagomålsmail/S 3375-2025 FSC-klagomål mail.docx", "S 3375-2025")</f>
        <v/>
      </c>
      <c r="AC11286">
        <f>HYPERLINK("https://klasma.github.io/Logging_2161/tillsyn/S 3375-2025 tillsynsbegäran.docx", "S 3375-2025")</f>
        <v/>
      </c>
      <c r="AD11286">
        <f>HYPERLINK("https://klasma.github.io/Logging_2161/tillsynsmail/S 3375-2025 tillsynsbegäran mail.docx", "S 3375-2025")</f>
        <v/>
      </c>
    </row>
    <row r="11287" ht="15" customHeight="1">
      <c r="A11287" t="inlineStr">
        <is>
          <t>S 3378-2025</t>
        </is>
      </c>
      <c r="B11287" t="inlineStr">
        <is>
          <t>samrådsanmälan</t>
        </is>
      </c>
      <c r="C11287" t="inlineStr">
        <is>
          <t>Skogsgödsling</t>
        </is>
      </c>
      <c r="D11287" s="1" t="n">
        <v>45993</v>
      </c>
      <c r="E11287" s="1" t="n">
        <v>46326</v>
      </c>
      <c r="F11287" t="inlineStr">
        <is>
          <t>GÄVLEBORGS LÄN</t>
        </is>
      </c>
      <c r="G11287" t="inlineStr">
        <is>
          <t>LJUSDAL</t>
        </is>
      </c>
      <c r="H11287" t="inlineStr">
        <is>
          <t>Holmen skog AB</t>
        </is>
      </c>
      <c r="I11287" t="n">
        <v>76.5</v>
      </c>
      <c r="J11287" t="n">
        <v>0</v>
      </c>
      <c r="K11287" t="n">
        <v>0</v>
      </c>
      <c r="L11287" t="n">
        <v>0</v>
      </c>
      <c r="M11287" t="n">
        <v>0</v>
      </c>
      <c r="N11287" t="n">
        <v>0</v>
      </c>
      <c r="O11287" t="n">
        <v>0</v>
      </c>
      <c r="P11287" t="n">
        <v>0</v>
      </c>
      <c r="Q11287" t="n">
        <v>0</v>
      </c>
      <c r="R11287" t="n">
        <v>0</v>
      </c>
      <c r="S11287" t="n">
        <v>0</v>
      </c>
      <c r="T11287" t="n">
        <v>0</v>
      </c>
      <c r="U11287" t="n">
        <v>0</v>
      </c>
      <c r="V11287" s="2" t="inlineStr"/>
    </row>
    <row r="11288" ht="15" customHeight="1">
      <c r="A11288" t="inlineStr">
        <is>
          <t>S 3381-2025</t>
        </is>
      </c>
      <c r="B11288" t="inlineStr">
        <is>
          <t>samrådsanmälan</t>
        </is>
      </c>
      <c r="C11288" t="inlineStr">
        <is>
          <t>Skogsgödsling</t>
        </is>
      </c>
      <c r="D11288" s="1" t="n">
        <v>45993</v>
      </c>
      <c r="E11288" s="1" t="n">
        <v>46326</v>
      </c>
      <c r="F11288" t="inlineStr">
        <is>
          <t>GÄVLEBORGS LÄN</t>
        </is>
      </c>
      <c r="G11288" t="inlineStr">
        <is>
          <t>LJUSDAL</t>
        </is>
      </c>
      <c r="H11288" t="inlineStr">
        <is>
          <t>Holmen skog AB</t>
        </is>
      </c>
      <c r="I11288" t="n">
        <v>42.3</v>
      </c>
      <c r="J11288" t="n">
        <v>0</v>
      </c>
      <c r="K11288" t="n">
        <v>0</v>
      </c>
      <c r="L11288" t="n">
        <v>0</v>
      </c>
      <c r="M11288" t="n">
        <v>0</v>
      </c>
      <c r="N11288" t="n">
        <v>0</v>
      </c>
      <c r="O11288" t="n">
        <v>0</v>
      </c>
      <c r="P11288" t="n">
        <v>0</v>
      </c>
      <c r="Q11288" t="n">
        <v>0</v>
      </c>
      <c r="R11288" t="n">
        <v>0</v>
      </c>
      <c r="S11288" t="n">
        <v>0</v>
      </c>
      <c r="T11288" t="n">
        <v>0</v>
      </c>
      <c r="U11288" t="n">
        <v>0</v>
      </c>
      <c r="V11288" s="2" t="inlineStr"/>
    </row>
    <row r="11289" ht="15" customHeight="1">
      <c r="A11289" t="inlineStr">
        <is>
          <t>S 3382-2025</t>
        </is>
      </c>
      <c r="B11289" t="inlineStr">
        <is>
          <t>samrådsanmälan</t>
        </is>
      </c>
      <c r="C11289" t="inlineStr">
        <is>
          <t>Skogsgödsling</t>
        </is>
      </c>
      <c r="D11289" s="1" t="n">
        <v>45993</v>
      </c>
      <c r="E11289" s="1" t="n">
        <v>46326</v>
      </c>
      <c r="F11289" t="inlineStr">
        <is>
          <t>GÄVLEBORGS LÄN</t>
        </is>
      </c>
      <c r="G11289" t="inlineStr">
        <is>
          <t>LJUSDAL</t>
        </is>
      </c>
      <c r="H11289" t="inlineStr">
        <is>
          <t>Holmen skog AB</t>
        </is>
      </c>
      <c r="I11289" t="n">
        <v>108.8</v>
      </c>
      <c r="J11289" t="n">
        <v>0</v>
      </c>
      <c r="K11289" t="n">
        <v>0</v>
      </c>
      <c r="L11289" t="n">
        <v>0</v>
      </c>
      <c r="M11289" t="n">
        <v>0</v>
      </c>
      <c r="N11289" t="n">
        <v>0</v>
      </c>
      <c r="O11289" t="n">
        <v>0</v>
      </c>
      <c r="P11289" t="n">
        <v>0</v>
      </c>
      <c r="Q11289" t="n">
        <v>0</v>
      </c>
      <c r="R11289" t="n">
        <v>0</v>
      </c>
      <c r="S11289" t="n">
        <v>0</v>
      </c>
      <c r="T11289" t="n">
        <v>0</v>
      </c>
      <c r="U11289" t="n">
        <v>0</v>
      </c>
      <c r="V11289" s="2" t="inlineStr"/>
    </row>
    <row r="11290" ht="15" customHeight="1">
      <c r="A11290" t="inlineStr">
        <is>
          <t>S 3428-2025</t>
        </is>
      </c>
      <c r="B11290" t="inlineStr">
        <is>
          <t>samrådsanmälan</t>
        </is>
      </c>
      <c r="C11290" t="inlineStr">
        <is>
          <t>Skogsgödsling</t>
        </is>
      </c>
      <c r="D11290" s="1" t="n">
        <v>45995</v>
      </c>
      <c r="E11290" s="1" t="n">
        <v>46326</v>
      </c>
      <c r="F11290" t="inlineStr">
        <is>
          <t>GÄVLEBORGS LÄN</t>
        </is>
      </c>
      <c r="G11290" t="inlineStr">
        <is>
          <t>HUDIKSVALL</t>
        </is>
      </c>
      <c r="H11290" t="inlineStr">
        <is>
          <t>Holmen skog AB</t>
        </is>
      </c>
      <c r="I11290" t="n">
        <v>55.4</v>
      </c>
      <c r="J11290" t="n">
        <v>0</v>
      </c>
      <c r="K11290" t="n">
        <v>0</v>
      </c>
      <c r="L11290" t="n">
        <v>0</v>
      </c>
      <c r="M11290" t="n">
        <v>0</v>
      </c>
      <c r="N11290" t="n">
        <v>0</v>
      </c>
      <c r="O11290" t="n">
        <v>0</v>
      </c>
      <c r="P11290" t="n">
        <v>0</v>
      </c>
      <c r="Q11290" t="n">
        <v>0</v>
      </c>
      <c r="R11290" t="n">
        <v>0</v>
      </c>
      <c r="S11290" t="n">
        <v>0</v>
      </c>
      <c r="T11290" t="n">
        <v>0</v>
      </c>
      <c r="U11290" t="n">
        <v>0</v>
      </c>
      <c r="V11290" s="2" t="inlineStr"/>
    </row>
    <row r="11291" ht="15" customHeight="1">
      <c r="A11291" t="inlineStr">
        <is>
          <t>S 3456-2025</t>
        </is>
      </c>
      <c r="B11291" t="inlineStr">
        <is>
          <t>samrådsanmälan</t>
        </is>
      </c>
      <c r="C11291" t="inlineStr">
        <is>
          <t>Annan skogsbruksåtgärd</t>
        </is>
      </c>
      <c r="D11291" s="1" t="n">
        <v>45999</v>
      </c>
      <c r="E11291" s="1" t="n">
        <v>46326</v>
      </c>
      <c r="F11291" t="inlineStr">
        <is>
          <t>GÄVLEBORGS LÄN</t>
        </is>
      </c>
      <c r="G11291" t="inlineStr">
        <is>
          <t>LJUSDAL</t>
        </is>
      </c>
      <c r="H11291" t="inlineStr">
        <is>
          <t>Allmännings- och besparingsskogar</t>
        </is>
      </c>
      <c r="I11291" t="n">
        <v>20.6</v>
      </c>
      <c r="J11291" t="n">
        <v>0</v>
      </c>
      <c r="K11291" t="n">
        <v>0</v>
      </c>
      <c r="L11291" t="n">
        <v>0</v>
      </c>
      <c r="M11291" t="n">
        <v>0</v>
      </c>
      <c r="N11291" t="n">
        <v>0</v>
      </c>
      <c r="O11291" t="n">
        <v>0</v>
      </c>
      <c r="P11291" t="n">
        <v>0</v>
      </c>
      <c r="Q11291" t="n">
        <v>0</v>
      </c>
      <c r="R11291" t="n">
        <v>0</v>
      </c>
      <c r="S11291" t="n">
        <v>0</v>
      </c>
      <c r="T11291" t="n">
        <v>0</v>
      </c>
      <c r="U11291" t="n">
        <v>0</v>
      </c>
      <c r="V11291" s="2" t="inlineStr"/>
    </row>
    <row r="11292" ht="15" customHeight="1">
      <c r="A11292" t="inlineStr">
        <is>
          <t>S 1727-2025</t>
        </is>
      </c>
      <c r="B11292" t="inlineStr">
        <is>
          <t>samrådsanmälan</t>
        </is>
      </c>
      <c r="C11292" t="inlineStr">
        <is>
          <t>Skogsgödsling</t>
        </is>
      </c>
      <c r="D11292" s="1" t="n">
        <v>45807</v>
      </c>
      <c r="E11292" s="1" t="n">
        <v>46326</v>
      </c>
      <c r="F11292" t="inlineStr">
        <is>
          <t>GÄVLEBORGS LÄN</t>
        </is>
      </c>
      <c r="G11292" t="inlineStr">
        <is>
          <t>OVANÅKER</t>
        </is>
      </c>
      <c r="I11292" t="n">
        <v>8.699999999999999</v>
      </c>
      <c r="J11292" t="n">
        <v>0</v>
      </c>
      <c r="K11292" t="n">
        <v>0</v>
      </c>
      <c r="L11292" t="n">
        <v>0</v>
      </c>
      <c r="M11292" t="n">
        <v>0</v>
      </c>
      <c r="N11292" t="n">
        <v>0</v>
      </c>
      <c r="O11292" t="n">
        <v>0</v>
      </c>
      <c r="P11292" t="n">
        <v>0</v>
      </c>
      <c r="Q11292" t="n">
        <v>0</v>
      </c>
      <c r="R11292" t="n">
        <v>0</v>
      </c>
      <c r="S11292" t="n">
        <v>0</v>
      </c>
      <c r="T11292" t="n">
        <v>0</v>
      </c>
      <c r="U11292" t="n">
        <v>0</v>
      </c>
      <c r="V11292" s="2" t="inlineStr"/>
    </row>
    <row r="11293" ht="15" customHeight="1">
      <c r="A11293" t="inlineStr">
        <is>
          <t>S 217-2025</t>
        </is>
      </c>
      <c r="B11293" t="inlineStr">
        <is>
          <t>samrådsanmälan</t>
        </is>
      </c>
      <c r="C11293" t="inlineStr">
        <is>
          <t>Skogsgödsling</t>
        </is>
      </c>
      <c r="D11293" s="1" t="n">
        <v>45679</v>
      </c>
      <c r="E11293" s="1" t="n">
        <v>46326</v>
      </c>
      <c r="F11293" t="inlineStr">
        <is>
          <t>GÄVLEBORGS LÄN</t>
        </is>
      </c>
      <c r="G11293" t="inlineStr">
        <is>
          <t>LJUSDAL</t>
        </is>
      </c>
      <c r="I11293" t="n">
        <v>12.7</v>
      </c>
      <c r="J11293" t="n">
        <v>0</v>
      </c>
      <c r="K11293" t="n">
        <v>0</v>
      </c>
      <c r="L11293" t="n">
        <v>0</v>
      </c>
      <c r="M11293" t="n">
        <v>0</v>
      </c>
      <c r="N11293" t="n">
        <v>0</v>
      </c>
      <c r="O11293" t="n">
        <v>0</v>
      </c>
      <c r="P11293" t="n">
        <v>0</v>
      </c>
      <c r="Q11293" t="n">
        <v>0</v>
      </c>
      <c r="R11293" t="n">
        <v>0</v>
      </c>
      <c r="S11293" t="n">
        <v>0</v>
      </c>
      <c r="T11293" t="n">
        <v>0</v>
      </c>
      <c r="U11293" t="n">
        <v>0</v>
      </c>
      <c r="V11293" s="2" t="inlineStr"/>
    </row>
    <row r="11294" ht="15" customHeight="1">
      <c r="A11294" t="inlineStr">
        <is>
          <t>S 211-2025</t>
        </is>
      </c>
      <c r="B11294" t="inlineStr">
        <is>
          <t>samrådsanmälan</t>
        </is>
      </c>
      <c r="C11294" t="inlineStr">
        <is>
          <t>Skogsgödsling</t>
        </is>
      </c>
      <c r="D11294" s="1" t="n">
        <v>45679</v>
      </c>
      <c r="E11294" s="1" t="n">
        <v>46326</v>
      </c>
      <c r="F11294" t="inlineStr">
        <is>
          <t>GÄVLEBORGS LÄN</t>
        </is>
      </c>
      <c r="G11294" t="inlineStr">
        <is>
          <t>OVANÅKER</t>
        </is>
      </c>
      <c r="I11294" t="n">
        <v>12.8</v>
      </c>
      <c r="J11294" t="n">
        <v>0</v>
      </c>
      <c r="K11294" t="n">
        <v>0</v>
      </c>
      <c r="L11294" t="n">
        <v>0</v>
      </c>
      <c r="M11294" t="n">
        <v>0</v>
      </c>
      <c r="N11294" t="n">
        <v>0</v>
      </c>
      <c r="O11294" t="n">
        <v>0</v>
      </c>
      <c r="P11294" t="n">
        <v>0</v>
      </c>
      <c r="Q11294" t="n">
        <v>0</v>
      </c>
      <c r="R11294" t="n">
        <v>0</v>
      </c>
      <c r="S11294" t="n">
        <v>0</v>
      </c>
      <c r="T11294" t="n">
        <v>0</v>
      </c>
      <c r="U11294" t="n">
        <v>0</v>
      </c>
      <c r="V11294" s="2" t="inlineStr"/>
    </row>
    <row r="11295" ht="15" customHeight="1">
      <c r="A11295" t="inlineStr">
        <is>
          <t>S 318-2026</t>
        </is>
      </c>
      <c r="B11295" t="inlineStr">
        <is>
          <t>samrådsanmälan</t>
        </is>
      </c>
      <c r="C11295" t="inlineStr">
        <is>
          <t>Skogsgödsling</t>
        </is>
      </c>
      <c r="D11295" s="1" t="n">
        <v>46059</v>
      </c>
      <c r="E11295" s="1" t="n">
        <v>46326</v>
      </c>
      <c r="F11295" t="inlineStr">
        <is>
          <t>GÄVLEBORGS LÄN</t>
        </is>
      </c>
      <c r="G11295" t="inlineStr">
        <is>
          <t>SANDVIKEN</t>
        </is>
      </c>
      <c r="H11295" t="inlineStr">
        <is>
          <t>Sveaskog</t>
        </is>
      </c>
      <c r="I11295" t="n">
        <v>14</v>
      </c>
      <c r="J11295" t="n">
        <v>0</v>
      </c>
      <c r="K11295" t="n">
        <v>0</v>
      </c>
      <c r="L11295" t="n">
        <v>0</v>
      </c>
      <c r="M11295" t="n">
        <v>0</v>
      </c>
      <c r="N11295" t="n">
        <v>0</v>
      </c>
      <c r="O11295" t="n">
        <v>0</v>
      </c>
      <c r="P11295" t="n">
        <v>0</v>
      </c>
      <c r="Q11295" t="n">
        <v>0</v>
      </c>
      <c r="R11295" t="n">
        <v>0</v>
      </c>
      <c r="S11295" t="n">
        <v>0</v>
      </c>
      <c r="T11295" t="n">
        <v>0</v>
      </c>
      <c r="U11295" t="n">
        <v>0</v>
      </c>
      <c r="V11295" s="2" t="inlineStr"/>
    </row>
    <row r="11296" ht="15" customHeight="1">
      <c r="A11296" t="inlineStr">
        <is>
          <t>S 297-2026</t>
        </is>
      </c>
      <c r="B11296" t="inlineStr">
        <is>
          <t>samrådsanmälan</t>
        </is>
      </c>
      <c r="C11296" t="inlineStr">
        <is>
          <t>Annan skogsbruksåtgärd</t>
        </is>
      </c>
      <c r="D11296" s="1" t="n">
        <v>46058</v>
      </c>
      <c r="E11296" s="1" t="n">
        <v>46326</v>
      </c>
      <c r="F11296" t="inlineStr">
        <is>
          <t>GÄVLEBORGS LÄN</t>
        </is>
      </c>
      <c r="G11296" t="inlineStr">
        <is>
          <t>OCKELBO</t>
        </is>
      </c>
      <c r="I11296" t="n">
        <v>2.4</v>
      </c>
      <c r="J11296" t="n">
        <v>0</v>
      </c>
      <c r="K11296" t="n">
        <v>0</v>
      </c>
      <c r="L11296" t="n">
        <v>0</v>
      </c>
      <c r="M11296" t="n">
        <v>0</v>
      </c>
      <c r="N11296" t="n">
        <v>0</v>
      </c>
      <c r="O11296" t="n">
        <v>0</v>
      </c>
      <c r="P11296" t="n">
        <v>0</v>
      </c>
      <c r="Q11296" t="n">
        <v>0</v>
      </c>
      <c r="R11296" t="n">
        <v>0</v>
      </c>
      <c r="S11296" t="n">
        <v>0</v>
      </c>
      <c r="T11296" t="n">
        <v>0</v>
      </c>
      <c r="U11296" t="n">
        <v>0</v>
      </c>
      <c r="V11296" s="2" t="inlineStr"/>
    </row>
    <row r="11297" ht="15" customHeight="1">
      <c r="A11297" t="inlineStr">
        <is>
          <t>S 320-2026</t>
        </is>
      </c>
      <c r="B11297" t="inlineStr">
        <is>
          <t>samrådsanmälan</t>
        </is>
      </c>
      <c r="C11297" t="inlineStr">
        <is>
          <t>Skogsgödsling</t>
        </is>
      </c>
      <c r="D11297" s="1" t="n">
        <v>46059</v>
      </c>
      <c r="E11297" s="1" t="n">
        <v>46326</v>
      </c>
      <c r="F11297" t="inlineStr">
        <is>
          <t>GÄVLEBORGS LÄN</t>
        </is>
      </c>
      <c r="G11297" t="inlineStr">
        <is>
          <t>SANDVIKEN</t>
        </is>
      </c>
      <c r="H11297" t="inlineStr">
        <is>
          <t>Sveaskog</t>
        </is>
      </c>
      <c r="I11297" t="n">
        <v>36.3</v>
      </c>
      <c r="J11297" t="n">
        <v>0</v>
      </c>
      <c r="K11297" t="n">
        <v>0</v>
      </c>
      <c r="L11297" t="n">
        <v>0</v>
      </c>
      <c r="M11297" t="n">
        <v>0</v>
      </c>
      <c r="N11297" t="n">
        <v>0</v>
      </c>
      <c r="O11297" t="n">
        <v>0</v>
      </c>
      <c r="P11297" t="n">
        <v>0</v>
      </c>
      <c r="Q11297" t="n">
        <v>0</v>
      </c>
      <c r="R11297" t="n">
        <v>0</v>
      </c>
      <c r="S11297" t="n">
        <v>0</v>
      </c>
      <c r="T11297" t="n">
        <v>0</v>
      </c>
      <c r="U11297" t="n">
        <v>0</v>
      </c>
      <c r="V11297" s="2" t="inlineStr"/>
    </row>
    <row r="11298" ht="15" customHeight="1">
      <c r="A11298" t="inlineStr">
        <is>
          <t>S 428-2026</t>
        </is>
      </c>
      <c r="B11298" t="inlineStr">
        <is>
          <t>samrådsanmälan</t>
        </is>
      </c>
      <c r="C11298" t="inlineStr">
        <is>
          <t>Skogsgödsling</t>
        </is>
      </c>
      <c r="D11298" s="1" t="n">
        <v>46069</v>
      </c>
      <c r="E11298" s="1" t="n">
        <v>46326</v>
      </c>
      <c r="F11298" t="inlineStr">
        <is>
          <t>GÄVLEBORGS LÄN</t>
        </is>
      </c>
      <c r="G11298" t="inlineStr">
        <is>
          <t>HOFORS</t>
        </is>
      </c>
      <c r="H11298" t="inlineStr">
        <is>
          <t>Sveaskog</t>
        </is>
      </c>
      <c r="I11298" t="n">
        <v>2.7</v>
      </c>
      <c r="J11298" t="n">
        <v>0</v>
      </c>
      <c r="K11298" t="n">
        <v>0</v>
      </c>
      <c r="L11298" t="n">
        <v>0</v>
      </c>
      <c r="M11298" t="n">
        <v>0</v>
      </c>
      <c r="N11298" t="n">
        <v>0</v>
      </c>
      <c r="O11298" t="n">
        <v>0</v>
      </c>
      <c r="P11298" t="n">
        <v>0</v>
      </c>
      <c r="Q11298" t="n">
        <v>0</v>
      </c>
      <c r="R11298" t="n">
        <v>0</v>
      </c>
      <c r="S11298" t="n">
        <v>0</v>
      </c>
      <c r="T11298" t="n">
        <v>0</v>
      </c>
      <c r="U11298" t="n">
        <v>0</v>
      </c>
      <c r="V11298" s="2" t="inlineStr"/>
    </row>
    <row r="11299" ht="15" customHeight="1">
      <c r="A11299" t="inlineStr">
        <is>
          <t>S 479-2026</t>
        </is>
      </c>
      <c r="B11299" t="inlineStr">
        <is>
          <t>samrådsanmälan</t>
        </is>
      </c>
      <c r="C11299" t="inlineStr">
        <is>
          <t>Annan skogsbruksåtgärd</t>
        </is>
      </c>
      <c r="D11299" s="1" t="n">
        <v>46072</v>
      </c>
      <c r="E11299" s="1" t="n">
        <v>46326</v>
      </c>
      <c r="F11299" t="inlineStr">
        <is>
          <t>GÄVLEBORGS LÄN</t>
        </is>
      </c>
      <c r="G11299" t="inlineStr">
        <is>
          <t>BOLLNÄS</t>
        </is>
      </c>
      <c r="H11299" t="inlineStr">
        <is>
          <t>Sveaskog</t>
        </is>
      </c>
      <c r="I11299" t="n">
        <v>2.8</v>
      </c>
      <c r="J11299" t="n">
        <v>0</v>
      </c>
      <c r="K11299" t="n">
        <v>0</v>
      </c>
      <c r="L11299" t="n">
        <v>0</v>
      </c>
      <c r="M11299" t="n">
        <v>0</v>
      </c>
      <c r="N11299" t="n">
        <v>0</v>
      </c>
      <c r="O11299" t="n">
        <v>0</v>
      </c>
      <c r="P11299" t="n">
        <v>0</v>
      </c>
      <c r="Q11299" t="n">
        <v>0</v>
      </c>
      <c r="R11299" t="n">
        <v>0</v>
      </c>
      <c r="S11299" t="n">
        <v>0</v>
      </c>
      <c r="T11299" t="n">
        <v>0</v>
      </c>
      <c r="U11299" t="n">
        <v>0</v>
      </c>
      <c r="V11299" s="2" t="inlineStr"/>
    </row>
    <row r="11300" ht="15" customHeight="1">
      <c r="A11300" t="inlineStr">
        <is>
          <t>S 502-2026</t>
        </is>
      </c>
      <c r="B11300" t="inlineStr">
        <is>
          <t>samrådsanmälan</t>
        </is>
      </c>
      <c r="C11300" t="inlineStr">
        <is>
          <t>Skogsgödsling</t>
        </is>
      </c>
      <c r="D11300" s="1" t="n">
        <v>46073</v>
      </c>
      <c r="E11300" s="1" t="n">
        <v>46326</v>
      </c>
      <c r="F11300" t="inlineStr">
        <is>
          <t>GÄVLEBORGS LÄN</t>
        </is>
      </c>
      <c r="G11300" t="inlineStr">
        <is>
          <t>OVANÅKER</t>
        </is>
      </c>
      <c r="H11300" t="inlineStr">
        <is>
          <t>Sveaskog</t>
        </is>
      </c>
      <c r="I11300" t="n">
        <v>39.8</v>
      </c>
      <c r="J11300" t="n">
        <v>0</v>
      </c>
      <c r="K11300" t="n">
        <v>0</v>
      </c>
      <c r="L11300" t="n">
        <v>0</v>
      </c>
      <c r="M11300" t="n">
        <v>0</v>
      </c>
      <c r="N11300" t="n">
        <v>0</v>
      </c>
      <c r="O11300" t="n">
        <v>0</v>
      </c>
      <c r="P11300" t="n">
        <v>0</v>
      </c>
      <c r="Q11300" t="n">
        <v>0</v>
      </c>
      <c r="R11300" t="n">
        <v>0</v>
      </c>
      <c r="S11300" t="n">
        <v>0</v>
      </c>
      <c r="T11300" t="n">
        <v>0</v>
      </c>
      <c r="U11300" t="n">
        <v>0</v>
      </c>
      <c r="V11300" s="2" t="inlineStr"/>
    </row>
    <row r="11301" ht="15" customHeight="1">
      <c r="A11301" t="inlineStr">
        <is>
          <t>S 573-2026</t>
        </is>
      </c>
      <c r="B11301" t="inlineStr">
        <is>
          <t>samrådsanmälan</t>
        </is>
      </c>
      <c r="C11301" t="inlineStr">
        <is>
          <t>Skogsgödsling</t>
        </is>
      </c>
      <c r="D11301" s="1" t="n">
        <v>46083</v>
      </c>
      <c r="E11301" s="1" t="n">
        <v>46326</v>
      </c>
      <c r="F11301" t="inlineStr">
        <is>
          <t>GÄVLEBORGS LÄN</t>
        </is>
      </c>
      <c r="G11301" t="inlineStr">
        <is>
          <t>NORDANSTIG</t>
        </is>
      </c>
      <c r="H11301" t="inlineStr">
        <is>
          <t>SCA</t>
        </is>
      </c>
      <c r="I11301" t="n">
        <v>64.3</v>
      </c>
      <c r="J11301" t="n">
        <v>0</v>
      </c>
      <c r="K11301" t="n">
        <v>0</v>
      </c>
      <c r="L11301" t="n">
        <v>0</v>
      </c>
      <c r="M11301" t="n">
        <v>0</v>
      </c>
      <c r="N11301" t="n">
        <v>0</v>
      </c>
      <c r="O11301" t="n">
        <v>0</v>
      </c>
      <c r="P11301" t="n">
        <v>0</v>
      </c>
      <c r="Q11301" t="n">
        <v>0</v>
      </c>
      <c r="R11301" t="n">
        <v>0</v>
      </c>
      <c r="S11301" t="n">
        <v>0</v>
      </c>
      <c r="T11301" t="n">
        <v>0</v>
      </c>
      <c r="U11301" t="n">
        <v>0</v>
      </c>
      <c r="V11301" s="2" t="inlineStr"/>
    </row>
    <row r="11302" ht="15" customHeight="1">
      <c r="A11302" t="inlineStr">
        <is>
          <t>S 644-2026</t>
        </is>
      </c>
      <c r="B11302" t="inlineStr">
        <is>
          <t>samrådsanmälan</t>
        </is>
      </c>
      <c r="C11302" t="inlineStr">
        <is>
          <t>Skogsgödsling</t>
        </is>
      </c>
      <c r="D11302" s="1" t="n">
        <v>46089</v>
      </c>
      <c r="E11302" s="1" t="n">
        <v>46326</v>
      </c>
      <c r="F11302" t="inlineStr">
        <is>
          <t>GÄVLEBORGS LÄN</t>
        </is>
      </c>
      <c r="G11302" t="inlineStr">
        <is>
          <t>GÄVLE</t>
        </is>
      </c>
      <c r="H11302" t="inlineStr">
        <is>
          <t>Bergvik skog öst AB</t>
        </is>
      </c>
      <c r="I11302" t="n">
        <v>29.2</v>
      </c>
      <c r="J11302" t="n">
        <v>0</v>
      </c>
      <c r="K11302" t="n">
        <v>0</v>
      </c>
      <c r="L11302" t="n">
        <v>0</v>
      </c>
      <c r="M11302" t="n">
        <v>0</v>
      </c>
      <c r="N11302" t="n">
        <v>0</v>
      </c>
      <c r="O11302" t="n">
        <v>0</v>
      </c>
      <c r="P11302" t="n">
        <v>0</v>
      </c>
      <c r="Q11302" t="n">
        <v>0</v>
      </c>
      <c r="R11302" t="n">
        <v>0</v>
      </c>
      <c r="S11302" t="n">
        <v>0</v>
      </c>
      <c r="T11302" t="n">
        <v>0</v>
      </c>
      <c r="U11302" t="n">
        <v>0</v>
      </c>
      <c r="V11302" s="2" t="inlineStr"/>
    </row>
    <row r="11303" ht="15" customHeight="1">
      <c r="A11303" t="inlineStr">
        <is>
          <t>S 657-2026</t>
        </is>
      </c>
      <c r="B11303" t="inlineStr">
        <is>
          <t>samrådsanmälan</t>
        </is>
      </c>
      <c r="C11303" t="inlineStr">
        <is>
          <t>Skogsgödsling</t>
        </is>
      </c>
      <c r="D11303" s="1" t="n">
        <v>46089</v>
      </c>
      <c r="E11303" s="1" t="n">
        <v>46326</v>
      </c>
      <c r="F11303" t="inlineStr">
        <is>
          <t>GÄVLEBORGS LÄN</t>
        </is>
      </c>
      <c r="G11303" t="inlineStr">
        <is>
          <t>OCKELBO</t>
        </is>
      </c>
      <c r="H11303" t="inlineStr">
        <is>
          <t>Bergvik skog öst AB</t>
        </is>
      </c>
      <c r="I11303" t="n">
        <v>131.3</v>
      </c>
      <c r="J11303" t="n">
        <v>0</v>
      </c>
      <c r="K11303" t="n">
        <v>0</v>
      </c>
      <c r="L11303" t="n">
        <v>0</v>
      </c>
      <c r="M11303" t="n">
        <v>0</v>
      </c>
      <c r="N11303" t="n">
        <v>0</v>
      </c>
      <c r="O11303" t="n">
        <v>0</v>
      </c>
      <c r="P11303" t="n">
        <v>0</v>
      </c>
      <c r="Q11303" t="n">
        <v>0</v>
      </c>
      <c r="R11303" t="n">
        <v>0</v>
      </c>
      <c r="S11303" t="n">
        <v>0</v>
      </c>
      <c r="T11303" t="n">
        <v>0</v>
      </c>
      <c r="U11303" t="n">
        <v>0</v>
      </c>
      <c r="V11303" s="2" t="inlineStr"/>
    </row>
    <row r="11304" ht="15" customHeight="1">
      <c r="A11304" t="inlineStr">
        <is>
          <t>S 664-2026</t>
        </is>
      </c>
      <c r="B11304" t="inlineStr">
        <is>
          <t>samrådsanmälan</t>
        </is>
      </c>
      <c r="C11304" t="inlineStr">
        <is>
          <t>Skogsgödsling</t>
        </is>
      </c>
      <c r="D11304" s="1" t="n">
        <v>46089</v>
      </c>
      <c r="E11304" s="1" t="n">
        <v>46326</v>
      </c>
      <c r="F11304" t="inlineStr">
        <is>
          <t>GÄVLEBORGS LÄN</t>
        </is>
      </c>
      <c r="G11304" t="inlineStr">
        <is>
          <t>SANDVIKEN</t>
        </is>
      </c>
      <c r="H11304" t="inlineStr">
        <is>
          <t>Bergvik skog öst AB</t>
        </is>
      </c>
      <c r="I11304" t="n">
        <v>2.7</v>
      </c>
      <c r="J11304" t="n">
        <v>0</v>
      </c>
      <c r="K11304" t="n">
        <v>0</v>
      </c>
      <c r="L11304" t="n">
        <v>0</v>
      </c>
      <c r="M11304" t="n">
        <v>0</v>
      </c>
      <c r="N11304" t="n">
        <v>0</v>
      </c>
      <c r="O11304" t="n">
        <v>0</v>
      </c>
      <c r="P11304" t="n">
        <v>0</v>
      </c>
      <c r="Q11304" t="n">
        <v>0</v>
      </c>
      <c r="R11304" t="n">
        <v>0</v>
      </c>
      <c r="S11304" t="n">
        <v>0</v>
      </c>
      <c r="T11304" t="n">
        <v>0</v>
      </c>
      <c r="U11304" t="n">
        <v>0</v>
      </c>
      <c r="V11304" s="2" t="inlineStr"/>
    </row>
    <row r="11305" ht="15" customHeight="1">
      <c r="A11305" t="inlineStr">
        <is>
          <t>S 661-2026</t>
        </is>
      </c>
      <c r="B11305" t="inlineStr">
        <is>
          <t>samrådsanmälan</t>
        </is>
      </c>
      <c r="C11305" t="inlineStr">
        <is>
          <t>Skogsgödsling</t>
        </is>
      </c>
      <c r="D11305" s="1" t="n">
        <v>46089</v>
      </c>
      <c r="E11305" s="1" t="n">
        <v>46326</v>
      </c>
      <c r="F11305" t="inlineStr">
        <is>
          <t>GÄVLEBORGS LÄN</t>
        </is>
      </c>
      <c r="G11305" t="inlineStr">
        <is>
          <t>OVANÅKER</t>
        </is>
      </c>
      <c r="H11305" t="inlineStr">
        <is>
          <t>Bergvik skog öst AB</t>
        </is>
      </c>
      <c r="I11305" t="n">
        <v>514.3</v>
      </c>
      <c r="J11305" t="n">
        <v>0</v>
      </c>
      <c r="K11305" t="n">
        <v>0</v>
      </c>
      <c r="L11305" t="n">
        <v>0</v>
      </c>
      <c r="M11305" t="n">
        <v>0</v>
      </c>
      <c r="N11305" t="n">
        <v>0</v>
      </c>
      <c r="O11305" t="n">
        <v>0</v>
      </c>
      <c r="P11305" t="n">
        <v>0</v>
      </c>
      <c r="Q11305" t="n">
        <v>0</v>
      </c>
      <c r="R11305" t="n">
        <v>0</v>
      </c>
      <c r="S11305" t="n">
        <v>0</v>
      </c>
      <c r="T11305" t="n">
        <v>0</v>
      </c>
      <c r="U11305" t="n">
        <v>0</v>
      </c>
      <c r="V11305" s="2" t="inlineStr"/>
    </row>
    <row r="11306" ht="15" customHeight="1">
      <c r="A11306" t="inlineStr">
        <is>
          <t>S 660-2026</t>
        </is>
      </c>
      <c r="B11306" t="inlineStr">
        <is>
          <t>samrådsanmälan</t>
        </is>
      </c>
      <c r="C11306" t="inlineStr">
        <is>
          <t>Skogsgödsling</t>
        </is>
      </c>
      <c r="D11306" s="1" t="n">
        <v>46089</v>
      </c>
      <c r="E11306" s="1" t="n">
        <v>46326</v>
      </c>
      <c r="F11306" t="inlineStr">
        <is>
          <t>GÄVLEBORGS LÄN</t>
        </is>
      </c>
      <c r="G11306" t="inlineStr">
        <is>
          <t>OVANÅKER</t>
        </is>
      </c>
      <c r="H11306" t="inlineStr">
        <is>
          <t>Bergvik skog öst AB</t>
        </is>
      </c>
      <c r="I11306" t="n">
        <v>6.7</v>
      </c>
      <c r="J11306" t="n">
        <v>0</v>
      </c>
      <c r="K11306" t="n">
        <v>0</v>
      </c>
      <c r="L11306" t="n">
        <v>0</v>
      </c>
      <c r="M11306" t="n">
        <v>0</v>
      </c>
      <c r="N11306" t="n">
        <v>0</v>
      </c>
      <c r="O11306" t="n">
        <v>0</v>
      </c>
      <c r="P11306" t="n">
        <v>0</v>
      </c>
      <c r="Q11306" t="n">
        <v>0</v>
      </c>
      <c r="R11306" t="n">
        <v>0</v>
      </c>
      <c r="S11306" t="n">
        <v>0</v>
      </c>
      <c r="T11306" t="n">
        <v>0</v>
      </c>
      <c r="U11306" t="n">
        <v>0</v>
      </c>
      <c r="V11306" s="2" t="inlineStr"/>
    </row>
    <row r="11307" ht="15" customHeight="1">
      <c r="A11307" t="inlineStr">
        <is>
          <t>S 677-2026</t>
        </is>
      </c>
      <c r="B11307" t="inlineStr">
        <is>
          <t>samrådsanmälan</t>
        </is>
      </c>
      <c r="C11307" t="inlineStr">
        <is>
          <t>Skogsgödsling</t>
        </is>
      </c>
      <c r="D11307" s="1" t="n">
        <v>46089</v>
      </c>
      <c r="E11307" s="1" t="n">
        <v>46326</v>
      </c>
      <c r="F11307" t="inlineStr">
        <is>
          <t>GÄVLEBORGS LÄN</t>
        </is>
      </c>
      <c r="G11307" t="inlineStr">
        <is>
          <t>SANDVIKEN</t>
        </is>
      </c>
      <c r="H11307" t="inlineStr">
        <is>
          <t>Bergvik skog öst AB</t>
        </is>
      </c>
      <c r="I11307" t="n">
        <v>61.3</v>
      </c>
      <c r="J11307" t="n">
        <v>0</v>
      </c>
      <c r="K11307" t="n">
        <v>0</v>
      </c>
      <c r="L11307" t="n">
        <v>0</v>
      </c>
      <c r="M11307" t="n">
        <v>0</v>
      </c>
      <c r="N11307" t="n">
        <v>0</v>
      </c>
      <c r="O11307" t="n">
        <v>0</v>
      </c>
      <c r="P11307" t="n">
        <v>0</v>
      </c>
      <c r="Q11307" t="n">
        <v>0</v>
      </c>
      <c r="R11307" t="n">
        <v>0</v>
      </c>
      <c r="S11307" t="n">
        <v>0</v>
      </c>
      <c r="T11307" t="n">
        <v>0</v>
      </c>
      <c r="U11307" t="n">
        <v>0</v>
      </c>
      <c r="V11307" s="2" t="inlineStr"/>
    </row>
    <row r="11308" ht="15" customHeight="1">
      <c r="A11308" t="inlineStr">
        <is>
          <t>S 647-2026</t>
        </is>
      </c>
      <c r="B11308" t="inlineStr">
        <is>
          <t>samrådsanmälan</t>
        </is>
      </c>
      <c r="C11308" t="inlineStr">
        <is>
          <t>Skogsgödsling</t>
        </is>
      </c>
      <c r="D11308" s="1" t="n">
        <v>46089</v>
      </c>
      <c r="E11308" s="1" t="n">
        <v>46326</v>
      </c>
      <c r="F11308" t="inlineStr">
        <is>
          <t>GÄVLEBORGS LÄN</t>
        </is>
      </c>
      <c r="G11308" t="inlineStr">
        <is>
          <t>HOFORS</t>
        </is>
      </c>
      <c r="H11308" t="inlineStr">
        <is>
          <t>Bergvik skog öst AB</t>
        </is>
      </c>
      <c r="I11308" t="n">
        <v>12.4</v>
      </c>
      <c r="J11308" t="n">
        <v>0</v>
      </c>
      <c r="K11308" t="n">
        <v>0</v>
      </c>
      <c r="L11308" t="n">
        <v>0</v>
      </c>
      <c r="M11308" t="n">
        <v>0</v>
      </c>
      <c r="N11308" t="n">
        <v>0</v>
      </c>
      <c r="O11308" t="n">
        <v>0</v>
      </c>
      <c r="P11308" t="n">
        <v>0</v>
      </c>
      <c r="Q11308" t="n">
        <v>0</v>
      </c>
      <c r="R11308" t="n">
        <v>0</v>
      </c>
      <c r="S11308" t="n">
        <v>0</v>
      </c>
      <c r="T11308" t="n">
        <v>0</v>
      </c>
      <c r="U11308" t="n">
        <v>0</v>
      </c>
      <c r="V11308" s="2" t="inlineStr"/>
    </row>
    <row r="11309" ht="15" customHeight="1">
      <c r="A11309" t="inlineStr">
        <is>
          <t>S 695-2026</t>
        </is>
      </c>
      <c r="B11309" t="inlineStr">
        <is>
          <t>samrådsanmälan</t>
        </is>
      </c>
      <c r="C11309" t="inlineStr">
        <is>
          <t>Skogsgödsling</t>
        </is>
      </c>
      <c r="D11309" s="1" t="n">
        <v>46091</v>
      </c>
      <c r="E11309" s="1" t="n">
        <v>46326</v>
      </c>
      <c r="F11309" t="inlineStr">
        <is>
          <t>GÄVLEBORGS LÄN</t>
        </is>
      </c>
      <c r="G11309" t="inlineStr">
        <is>
          <t>HUDIKSVALL</t>
        </is>
      </c>
      <c r="I11309" t="n">
        <v>12.2</v>
      </c>
      <c r="J11309" t="n">
        <v>0</v>
      </c>
      <c r="K11309" t="n">
        <v>0</v>
      </c>
      <c r="L11309" t="n">
        <v>0</v>
      </c>
      <c r="M11309" t="n">
        <v>0</v>
      </c>
      <c r="N11309" t="n">
        <v>0</v>
      </c>
      <c r="O11309" t="n">
        <v>0</v>
      </c>
      <c r="P11309" t="n">
        <v>0</v>
      </c>
      <c r="Q11309" t="n">
        <v>0</v>
      </c>
      <c r="R11309" t="n">
        <v>0</v>
      </c>
      <c r="S11309" t="n">
        <v>0</v>
      </c>
      <c r="T11309" t="n">
        <v>0</v>
      </c>
      <c r="U11309" t="n">
        <v>0</v>
      </c>
      <c r="V11309" s="2" t="inlineStr"/>
    </row>
    <row r="11310" ht="15" customHeight="1">
      <c r="A11310" t="inlineStr">
        <is>
          <t>S 896-2026</t>
        </is>
      </c>
      <c r="B11310" t="inlineStr">
        <is>
          <t>samrådsanmälan</t>
        </is>
      </c>
      <c r="C11310" t="inlineStr">
        <is>
          <t>Annan skogsbruksåtgärd</t>
        </is>
      </c>
      <c r="D11310" s="1" t="n">
        <v>46108</v>
      </c>
      <c r="E11310" s="1" t="n">
        <v>46326</v>
      </c>
      <c r="F11310" t="inlineStr">
        <is>
          <t>GÄVLEBORGS LÄN</t>
        </is>
      </c>
      <c r="G11310" t="inlineStr">
        <is>
          <t>LJUSDAL</t>
        </is>
      </c>
      <c r="I11310" t="n">
        <v>5.9</v>
      </c>
      <c r="J11310" t="n">
        <v>0</v>
      </c>
      <c r="K11310" t="n">
        <v>0</v>
      </c>
      <c r="L11310" t="n">
        <v>0</v>
      </c>
      <c r="M11310" t="n">
        <v>0</v>
      </c>
      <c r="N11310" t="n">
        <v>0</v>
      </c>
      <c r="O11310" t="n">
        <v>0</v>
      </c>
      <c r="P11310" t="n">
        <v>0</v>
      </c>
      <c r="Q11310" t="n">
        <v>0</v>
      </c>
      <c r="R11310" t="n">
        <v>0</v>
      </c>
      <c r="S11310" t="n">
        <v>0</v>
      </c>
      <c r="T11310" t="n">
        <v>0</v>
      </c>
      <c r="U11310" t="n">
        <v>0</v>
      </c>
      <c r="V11310" s="2" t="inlineStr"/>
    </row>
    <row r="11311" ht="15" customHeight="1">
      <c r="A11311" t="inlineStr">
        <is>
          <t>S 1344-2026</t>
        </is>
      </c>
      <c r="B11311" t="inlineStr">
        <is>
          <t>samrådsanmälan</t>
        </is>
      </c>
      <c r="C11311" t="inlineStr">
        <is>
          <t>Annan skogsbruksåtgärd</t>
        </is>
      </c>
      <c r="D11311" s="1" t="n">
        <v>46148</v>
      </c>
      <c r="E11311" s="1" t="n">
        <v>46326</v>
      </c>
      <c r="F11311" t="inlineStr">
        <is>
          <t>GÄVLEBORGS LÄN</t>
        </is>
      </c>
      <c r="G11311" t="inlineStr">
        <is>
          <t>OCKELBO</t>
        </is>
      </c>
      <c r="I11311" t="n">
        <v>1.7</v>
      </c>
      <c r="J11311" t="n">
        <v>0</v>
      </c>
      <c r="K11311" t="n">
        <v>0</v>
      </c>
      <c r="L11311" t="n">
        <v>0</v>
      </c>
      <c r="M11311" t="n">
        <v>0</v>
      </c>
      <c r="N11311" t="n">
        <v>0</v>
      </c>
      <c r="O11311" t="n">
        <v>0</v>
      </c>
      <c r="P11311" t="n">
        <v>0</v>
      </c>
      <c r="Q11311" t="n">
        <v>0</v>
      </c>
      <c r="R11311" t="n">
        <v>0</v>
      </c>
      <c r="S11311" t="n">
        <v>0</v>
      </c>
      <c r="T11311" t="n">
        <v>0</v>
      </c>
      <c r="U11311" t="n">
        <v>0</v>
      </c>
      <c r="V11311" s="2" t="inlineStr"/>
    </row>
    <row r="11312" ht="15" customHeight="1">
      <c r="A11312" t="inlineStr">
        <is>
          <t>S 1345-2026</t>
        </is>
      </c>
      <c r="B11312" t="inlineStr">
        <is>
          <t>samrådsanmälan</t>
        </is>
      </c>
      <c r="C11312" t="inlineStr">
        <is>
          <t>Annan skogsbruksåtgärd</t>
        </is>
      </c>
      <c r="D11312" s="1" t="n">
        <v>46148</v>
      </c>
      <c r="E11312" s="1" t="n">
        <v>46326</v>
      </c>
      <c r="F11312" t="inlineStr">
        <is>
          <t>GÄVLEBORGS LÄN</t>
        </is>
      </c>
      <c r="G11312" t="inlineStr">
        <is>
          <t>OCKELBO</t>
        </is>
      </c>
      <c r="I11312" t="n">
        <v>2.1</v>
      </c>
      <c r="J11312" t="n">
        <v>0</v>
      </c>
      <c r="K11312" t="n">
        <v>0</v>
      </c>
      <c r="L11312" t="n">
        <v>0</v>
      </c>
      <c r="M11312" t="n">
        <v>0</v>
      </c>
      <c r="N11312" t="n">
        <v>0</v>
      </c>
      <c r="O11312" t="n">
        <v>0</v>
      </c>
      <c r="P11312" t="n">
        <v>0</v>
      </c>
      <c r="Q11312" t="n">
        <v>0</v>
      </c>
      <c r="R11312" t="n">
        <v>0</v>
      </c>
      <c r="S11312" t="n">
        <v>0</v>
      </c>
      <c r="T11312" t="n">
        <v>0</v>
      </c>
      <c r="U11312" t="n">
        <v>0</v>
      </c>
      <c r="V11312" s="2" t="inlineStr"/>
    </row>
    <row r="11313" ht="15" customHeight="1">
      <c r="A11313" t="inlineStr">
        <is>
          <t>S 1042-2026</t>
        </is>
      </c>
      <c r="B11313" t="inlineStr">
        <is>
          <t>samrådsanmälan</t>
        </is>
      </c>
      <c r="C11313" t="inlineStr">
        <is>
          <t>Annan skogsbruksåtgärd</t>
        </is>
      </c>
      <c r="D11313" s="1" t="n">
        <v>46125</v>
      </c>
      <c r="E11313" s="1" t="n">
        <v>46326</v>
      </c>
      <c r="F11313" t="inlineStr">
        <is>
          <t>GÄVLEBORGS LÄN</t>
        </is>
      </c>
      <c r="G11313" t="inlineStr">
        <is>
          <t>BOLLNÄS</t>
        </is>
      </c>
      <c r="I11313" t="n">
        <v>7.8</v>
      </c>
      <c r="J11313" t="n">
        <v>0</v>
      </c>
      <c r="K11313" t="n">
        <v>0</v>
      </c>
      <c r="L11313" t="n">
        <v>0</v>
      </c>
      <c r="M11313" t="n">
        <v>0</v>
      </c>
      <c r="N11313" t="n">
        <v>0</v>
      </c>
      <c r="O11313" t="n">
        <v>0</v>
      </c>
      <c r="P11313" t="n">
        <v>0</v>
      </c>
      <c r="Q11313" t="n">
        <v>0</v>
      </c>
      <c r="R11313" t="n">
        <v>0</v>
      </c>
      <c r="S11313" t="n">
        <v>0</v>
      </c>
      <c r="T11313" t="n">
        <v>0</v>
      </c>
      <c r="U11313" t="n">
        <v>0</v>
      </c>
      <c r="V11313" s="2" t="inlineStr"/>
    </row>
    <row r="11314" ht="15" customHeight="1">
      <c r="A11314" t="inlineStr">
        <is>
          <t>S 1559-2026</t>
        </is>
      </c>
      <c r="B11314" t="inlineStr">
        <is>
          <t>samrådsanmälan</t>
        </is>
      </c>
      <c r="C11314" t="inlineStr">
        <is>
          <t>Stubbskörd</t>
        </is>
      </c>
      <c r="D11314" s="1" t="n">
        <v>46168</v>
      </c>
      <c r="E11314" s="1" t="n">
        <v>46326</v>
      </c>
      <c r="F11314" t="inlineStr">
        <is>
          <t>GÄVLEBORGS LÄN</t>
        </is>
      </c>
      <c r="G11314" t="inlineStr">
        <is>
          <t>BOLLNÄS</t>
        </is>
      </c>
      <c r="I11314" t="n">
        <v>6.9</v>
      </c>
      <c r="J11314" t="n">
        <v>0</v>
      </c>
      <c r="K11314" t="n">
        <v>0</v>
      </c>
      <c r="L11314" t="n">
        <v>0</v>
      </c>
      <c r="M11314" t="n">
        <v>0</v>
      </c>
      <c r="N11314" t="n">
        <v>0</v>
      </c>
      <c r="O11314" t="n">
        <v>0</v>
      </c>
      <c r="P11314" t="n">
        <v>0</v>
      </c>
      <c r="Q11314" t="n">
        <v>0</v>
      </c>
      <c r="R11314" t="n">
        <v>0</v>
      </c>
      <c r="S11314" t="n">
        <v>0</v>
      </c>
      <c r="T11314" t="n">
        <v>0</v>
      </c>
      <c r="U11314" t="n">
        <v>0</v>
      </c>
      <c r="V11314" s="2" t="inlineStr"/>
    </row>
    <row r="11315" ht="15" customHeight="1">
      <c r="A11315" t="inlineStr">
        <is>
          <t>S 1599-2026</t>
        </is>
      </c>
      <c r="B11315" t="inlineStr">
        <is>
          <t>samrådsanmälan</t>
        </is>
      </c>
      <c r="C11315" t="inlineStr">
        <is>
          <t>Annan skogsbruksåtgärd</t>
        </is>
      </c>
      <c r="D11315" s="1" t="n">
        <v>46174</v>
      </c>
      <c r="E11315" s="1" t="n">
        <v>46326</v>
      </c>
      <c r="F11315" t="inlineStr">
        <is>
          <t>GÄVLEBORGS LÄN</t>
        </is>
      </c>
      <c r="G11315" t="inlineStr">
        <is>
          <t>BOLLNÄS</t>
        </is>
      </c>
      <c r="I11315" t="n">
        <v>3.7</v>
      </c>
      <c r="J11315" t="n">
        <v>0</v>
      </c>
      <c r="K11315" t="n">
        <v>0</v>
      </c>
      <c r="L11315" t="n">
        <v>0</v>
      </c>
      <c r="M11315" t="n">
        <v>0</v>
      </c>
      <c r="N11315" t="n">
        <v>0</v>
      </c>
      <c r="O11315" t="n">
        <v>0</v>
      </c>
      <c r="P11315" t="n">
        <v>0</v>
      </c>
      <c r="Q11315" t="n">
        <v>0</v>
      </c>
      <c r="R11315" t="n">
        <v>0</v>
      </c>
      <c r="S11315" t="n">
        <v>0</v>
      </c>
      <c r="T11315" t="n">
        <v>0</v>
      </c>
      <c r="U11315" t="n">
        <v>0</v>
      </c>
      <c r="V11315" s="2" t="inlineStr"/>
    </row>
    <row r="11316" ht="15" customHeight="1">
      <c r="A11316" t="inlineStr">
        <is>
          <t>S 1968-2026</t>
        </is>
      </c>
      <c r="B11316" t="inlineStr">
        <is>
          <t>samrådsanmälan</t>
        </is>
      </c>
      <c r="C11316" t="inlineStr">
        <is>
          <t>Annan skogsbruksåtgärd</t>
        </is>
      </c>
      <c r="D11316" s="1" t="n">
        <v>46210</v>
      </c>
      <c r="E11316" s="1" t="n">
        <v>46326</v>
      </c>
      <c r="F11316" t="inlineStr">
        <is>
          <t>GÄVLEBORGS LÄN</t>
        </is>
      </c>
      <c r="G11316" t="inlineStr">
        <is>
          <t>HUDIKSVALL</t>
        </is>
      </c>
      <c r="I11316" t="n">
        <v>0.2</v>
      </c>
      <c r="J11316" t="n">
        <v>0</v>
      </c>
      <c r="K11316" t="n">
        <v>0</v>
      </c>
      <c r="L11316" t="n">
        <v>0</v>
      </c>
      <c r="M11316" t="n">
        <v>0</v>
      </c>
      <c r="N11316" t="n">
        <v>0</v>
      </c>
      <c r="O11316" t="n">
        <v>0</v>
      </c>
      <c r="P11316" t="n">
        <v>0</v>
      </c>
      <c r="Q11316" t="n">
        <v>0</v>
      </c>
      <c r="R11316" t="n">
        <v>0</v>
      </c>
      <c r="S11316" t="n">
        <v>0</v>
      </c>
      <c r="T11316" t="n">
        <v>0</v>
      </c>
      <c r="U11316" t="n">
        <v>0</v>
      </c>
      <c r="V11316" s="2" t="inlineStr"/>
    </row>
    <row r="11317" ht="15" customHeight="1">
      <c r="A11317" t="inlineStr">
        <is>
          <t>S 1969-2026</t>
        </is>
      </c>
      <c r="B11317" t="inlineStr">
        <is>
          <t>samrådsanmälan</t>
        </is>
      </c>
      <c r="C11317" t="inlineStr">
        <is>
          <t>Annan skogsbruksåtgärd</t>
        </is>
      </c>
      <c r="D11317" s="1" t="n">
        <v>46210</v>
      </c>
      <c r="E11317" s="1" t="n">
        <v>46326</v>
      </c>
      <c r="F11317" t="inlineStr">
        <is>
          <t>GÄVLEBORGS LÄN</t>
        </is>
      </c>
      <c r="G11317" t="inlineStr">
        <is>
          <t>HUDIKSVALL</t>
        </is>
      </c>
      <c r="I11317" t="n">
        <v>0.1</v>
      </c>
      <c r="J11317" t="n">
        <v>0</v>
      </c>
      <c r="K11317" t="n">
        <v>0</v>
      </c>
      <c r="L11317" t="n">
        <v>0</v>
      </c>
      <c r="M11317" t="n">
        <v>0</v>
      </c>
      <c r="N11317" t="n">
        <v>0</v>
      </c>
      <c r="O11317" t="n">
        <v>0</v>
      </c>
      <c r="P11317" t="n">
        <v>0</v>
      </c>
      <c r="Q11317" t="n">
        <v>0</v>
      </c>
      <c r="R11317" t="n">
        <v>0</v>
      </c>
      <c r="S11317" t="n">
        <v>0</v>
      </c>
      <c r="T11317" t="n">
        <v>0</v>
      </c>
      <c r="U11317" t="n">
        <v>0</v>
      </c>
      <c r="V11317" s="2" t="inlineStr"/>
    </row>
    <row r="11318" ht="15" customHeight="1">
      <c r="A11318" t="inlineStr">
        <is>
          <t>S 1971-2026</t>
        </is>
      </c>
      <c r="B11318" t="inlineStr">
        <is>
          <t>samrådsanmälan</t>
        </is>
      </c>
      <c r="C11318" t="inlineStr">
        <is>
          <t>Annan skogsbruksåtgärd</t>
        </is>
      </c>
      <c r="D11318" s="1" t="n">
        <v>46210</v>
      </c>
      <c r="E11318" s="1" t="n">
        <v>46326</v>
      </c>
      <c r="F11318" t="inlineStr">
        <is>
          <t>GÄVLEBORGS LÄN</t>
        </is>
      </c>
      <c r="G11318" t="inlineStr">
        <is>
          <t>HUDIKSVALL</t>
        </is>
      </c>
      <c r="I11318" t="n">
        <v>1.3</v>
      </c>
      <c r="J11318" t="n">
        <v>0</v>
      </c>
      <c r="K11318" t="n">
        <v>0</v>
      </c>
      <c r="L11318" t="n">
        <v>0</v>
      </c>
      <c r="M11318" t="n">
        <v>0</v>
      </c>
      <c r="N11318" t="n">
        <v>0</v>
      </c>
      <c r="O11318" t="n">
        <v>0</v>
      </c>
      <c r="P11318" t="n">
        <v>0</v>
      </c>
      <c r="Q11318" t="n">
        <v>0</v>
      </c>
      <c r="R11318" t="n">
        <v>0</v>
      </c>
      <c r="S11318" t="n">
        <v>0</v>
      </c>
      <c r="T11318" t="n">
        <v>0</v>
      </c>
      <c r="U11318" t="n">
        <v>0</v>
      </c>
      <c r="V11318" s="2" t="inlineStr"/>
    </row>
    <row r="11319" ht="15" customHeight="1">
      <c r="A11319" t="inlineStr">
        <is>
          <t>S 246-2026</t>
        </is>
      </c>
      <c r="B11319" t="inlineStr">
        <is>
          <t>samrådsanmälan</t>
        </is>
      </c>
      <c r="C11319" t="inlineStr">
        <is>
          <t>Annan skogsbruksåtgärd</t>
        </is>
      </c>
      <c r="D11319" s="1" t="n">
        <v>46050</v>
      </c>
      <c r="E11319" s="1" t="n">
        <v>46326</v>
      </c>
      <c r="F11319" t="inlineStr">
        <is>
          <t>GÄVLEBORGS LÄN</t>
        </is>
      </c>
      <c r="G11319" t="inlineStr">
        <is>
          <t>HUDIKSVALL</t>
        </is>
      </c>
      <c r="I11319" t="n">
        <v>6</v>
      </c>
      <c r="J11319" t="n">
        <v>0</v>
      </c>
      <c r="K11319" t="n">
        <v>0</v>
      </c>
      <c r="L11319" t="n">
        <v>0</v>
      </c>
      <c r="M11319" t="n">
        <v>0</v>
      </c>
      <c r="N11319" t="n">
        <v>0</v>
      </c>
      <c r="O11319" t="n">
        <v>0</v>
      </c>
      <c r="P11319" t="n">
        <v>0</v>
      </c>
      <c r="Q11319" t="n">
        <v>0</v>
      </c>
      <c r="R11319" t="n">
        <v>0</v>
      </c>
      <c r="S11319" t="n">
        <v>0</v>
      </c>
      <c r="T11319" t="n">
        <v>0</v>
      </c>
      <c r="U11319" t="n">
        <v>0</v>
      </c>
      <c r="V11319" s="2" t="inlineStr"/>
    </row>
    <row r="11320" ht="15" customHeight="1">
      <c r="A11320" t="inlineStr">
        <is>
          <t>S 2081-2026</t>
        </is>
      </c>
      <c r="B11320" t="inlineStr">
        <is>
          <t>samrådsanmälan</t>
        </is>
      </c>
      <c r="C11320" t="inlineStr">
        <is>
          <t>Annan skogsbruksåtgärd</t>
        </is>
      </c>
      <c r="D11320" s="1" t="n">
        <v>46233</v>
      </c>
      <c r="E11320" s="1" t="n">
        <v>46326</v>
      </c>
      <c r="F11320" t="inlineStr">
        <is>
          <t>GÄVLEBORGS LÄN</t>
        </is>
      </c>
      <c r="G11320" t="inlineStr">
        <is>
          <t>OVANÅKER</t>
        </is>
      </c>
      <c r="I11320" t="n">
        <v>0.1</v>
      </c>
      <c r="J11320" t="n">
        <v>0</v>
      </c>
      <c r="K11320" t="n">
        <v>0</v>
      </c>
      <c r="L11320" t="n">
        <v>0</v>
      </c>
      <c r="M11320" t="n">
        <v>0</v>
      </c>
      <c r="N11320" t="n">
        <v>0</v>
      </c>
      <c r="O11320" t="n">
        <v>0</v>
      </c>
      <c r="P11320" t="n">
        <v>0</v>
      </c>
      <c r="Q11320" t="n">
        <v>0</v>
      </c>
      <c r="R11320" t="n">
        <v>0</v>
      </c>
      <c r="S11320" t="n">
        <v>0</v>
      </c>
      <c r="T11320" t="n">
        <v>0</v>
      </c>
      <c r="U11320" t="n">
        <v>0</v>
      </c>
      <c r="V11320" s="2" t="inlineStr"/>
    </row>
    <row r="11321" ht="15" customHeight="1">
      <c r="A11321" t="inlineStr">
        <is>
          <t>S 190-2026</t>
        </is>
      </c>
      <c r="B11321" t="inlineStr">
        <is>
          <t>samrådsanmälan</t>
        </is>
      </c>
      <c r="C11321" t="inlineStr">
        <is>
          <t>Annan skogsbruksåtgärd</t>
        </is>
      </c>
      <c r="D11321" s="1" t="n">
        <v>46048</v>
      </c>
      <c r="E11321" s="1" t="n">
        <v>46326</v>
      </c>
      <c r="F11321" t="inlineStr">
        <is>
          <t>GÄVLEBORGS LÄN</t>
        </is>
      </c>
      <c r="G11321" t="inlineStr">
        <is>
          <t>OCKELBO</t>
        </is>
      </c>
      <c r="I11321" t="n">
        <v>4.7</v>
      </c>
      <c r="J11321" t="n">
        <v>0</v>
      </c>
      <c r="K11321" t="n">
        <v>0</v>
      </c>
      <c r="L11321" t="n">
        <v>0</v>
      </c>
      <c r="M11321" t="n">
        <v>0</v>
      </c>
      <c r="N11321" t="n">
        <v>0</v>
      </c>
      <c r="O11321" t="n">
        <v>0</v>
      </c>
      <c r="P11321" t="n">
        <v>0</v>
      </c>
      <c r="Q11321" t="n">
        <v>0</v>
      </c>
      <c r="R11321" t="n">
        <v>0</v>
      </c>
      <c r="S11321" t="n">
        <v>0</v>
      </c>
      <c r="T11321" t="n">
        <v>0</v>
      </c>
      <c r="U11321" t="n">
        <v>0</v>
      </c>
      <c r="V11321" s="2" t="inlineStr"/>
    </row>
    <row r="11322" ht="15" customHeight="1">
      <c r="A11322" t="inlineStr">
        <is>
          <t>S 2039-2026</t>
        </is>
      </c>
      <c r="B11322" t="inlineStr">
        <is>
          <t>samrådsanmälan</t>
        </is>
      </c>
      <c r="C11322" t="inlineStr">
        <is>
          <t>Annan skogsbruksåtgärd</t>
        </is>
      </c>
      <c r="D11322" s="1" t="n">
        <v>46211</v>
      </c>
      <c r="E11322" s="1" t="n">
        <v>46326</v>
      </c>
      <c r="F11322" t="inlineStr">
        <is>
          <t>GÄVLEBORGS LÄN</t>
        </is>
      </c>
      <c r="G11322" t="inlineStr">
        <is>
          <t>LJUSDAL</t>
        </is>
      </c>
      <c r="H11322" t="inlineStr">
        <is>
          <t>Kyrkan</t>
        </is>
      </c>
      <c r="I11322" t="n">
        <v>1.6</v>
      </c>
      <c r="J11322" t="n">
        <v>0</v>
      </c>
      <c r="K11322" t="n">
        <v>0</v>
      </c>
      <c r="L11322" t="n">
        <v>0</v>
      </c>
      <c r="M11322" t="n">
        <v>0</v>
      </c>
      <c r="N11322" t="n">
        <v>0</v>
      </c>
      <c r="O11322" t="n">
        <v>0</v>
      </c>
      <c r="P11322" t="n">
        <v>0</v>
      </c>
      <c r="Q11322" t="n">
        <v>0</v>
      </c>
      <c r="R11322" t="n">
        <v>0</v>
      </c>
      <c r="S11322" t="n">
        <v>0</v>
      </c>
      <c r="T11322" t="n">
        <v>0</v>
      </c>
      <c r="U11322" t="n">
        <v>0</v>
      </c>
      <c r="V11322" s="2" t="inlineStr"/>
      <c r="Z11322">
        <f>HYPERLINK("https://klasma.github.io/Logging_2161/knärot/S 2039-2026 karta knärot.png", "S 2039-2026")</f>
        <v/>
      </c>
      <c r="AA11322">
        <f>HYPERLINK("https://klasma.github.io/Logging_2161/klagomål/S 2039-2026 FSC-klagomål.docx", "S 2039-2026")</f>
        <v/>
      </c>
      <c r="AB11322">
        <f>HYPERLINK("https://klasma.github.io/Logging_2161/klagomålsmail/S 2039-2026 FSC-klagomål mail.docx", "S 2039-2026")</f>
        <v/>
      </c>
      <c r="AC11322">
        <f>HYPERLINK("https://klasma.github.io/Logging_2161/tillsyn/S 2039-2026 tillsynsbegäran.docx", "S 2039-2026")</f>
        <v/>
      </c>
      <c r="AD11322">
        <f>HYPERLINK("https://klasma.github.io/Logging_2161/tillsynsmail/S 2039-2026 tillsynsbegäran mail.docx", "S 2039-2026")</f>
        <v/>
      </c>
    </row>
    <row r="11323" ht="15" customHeight="1">
      <c r="A11323" t="inlineStr">
        <is>
          <t>S 424-2026</t>
        </is>
      </c>
      <c r="B11323" t="inlineStr">
        <is>
          <t>samrådsanmälan</t>
        </is>
      </c>
      <c r="C11323" t="inlineStr">
        <is>
          <t>Annan skogsbruksåtgärd</t>
        </is>
      </c>
      <c r="D11323" s="1" t="n">
        <v>46070</v>
      </c>
      <c r="E11323" s="1" t="n">
        <v>46326</v>
      </c>
      <c r="F11323" t="inlineStr">
        <is>
          <t>GÄVLEBORGS LÄN</t>
        </is>
      </c>
      <c r="G11323" t="inlineStr">
        <is>
          <t>BOLLNÄS</t>
        </is>
      </c>
      <c r="I11323" t="n">
        <v>33.3</v>
      </c>
      <c r="J11323" t="n">
        <v>0</v>
      </c>
      <c r="K11323" t="n">
        <v>0</v>
      </c>
      <c r="L11323" t="n">
        <v>0</v>
      </c>
      <c r="M11323" t="n">
        <v>0</v>
      </c>
      <c r="N11323" t="n">
        <v>0</v>
      </c>
      <c r="O11323" t="n">
        <v>0</v>
      </c>
      <c r="P11323" t="n">
        <v>0</v>
      </c>
      <c r="Q11323" t="n">
        <v>0</v>
      </c>
      <c r="R11323" t="n">
        <v>0</v>
      </c>
      <c r="S11323" t="n">
        <v>0</v>
      </c>
      <c r="T11323" t="n">
        <v>0</v>
      </c>
      <c r="U11323" t="n">
        <v>0</v>
      </c>
      <c r="V11323" s="2" t="inlineStr"/>
    </row>
    <row r="11324" ht="15" customHeight="1">
      <c r="A11324" t="inlineStr">
        <is>
          <t>S 1533-2026</t>
        </is>
      </c>
      <c r="B11324" t="inlineStr">
        <is>
          <t>samrådsanmälan</t>
        </is>
      </c>
      <c r="C11324" t="inlineStr">
        <is>
          <t>Annan skogsbruksåtgärd</t>
        </is>
      </c>
      <c r="D11324" s="1" t="n">
        <v>46164</v>
      </c>
      <c r="E11324" s="1" t="n">
        <v>46326</v>
      </c>
      <c r="F11324" t="inlineStr">
        <is>
          <t>GÄVLEBORGS LÄN</t>
        </is>
      </c>
      <c r="G11324" t="inlineStr">
        <is>
          <t>HUDIKSVALL</t>
        </is>
      </c>
      <c r="I11324" t="n">
        <v>0.7</v>
      </c>
      <c r="J11324" t="n">
        <v>0</v>
      </c>
      <c r="K11324" t="n">
        <v>0</v>
      </c>
      <c r="L11324" t="n">
        <v>0</v>
      </c>
      <c r="M11324" t="n">
        <v>0</v>
      </c>
      <c r="N11324" t="n">
        <v>0</v>
      </c>
      <c r="O11324" t="n">
        <v>0</v>
      </c>
      <c r="P11324" t="n">
        <v>0</v>
      </c>
      <c r="Q11324" t="n">
        <v>0</v>
      </c>
      <c r="R11324" t="n">
        <v>0</v>
      </c>
      <c r="S11324" t="n">
        <v>0</v>
      </c>
      <c r="T11324" t="n">
        <v>0</v>
      </c>
      <c r="U11324" t="n">
        <v>0</v>
      </c>
      <c r="V11324" s="2" t="inlineStr"/>
    </row>
    <row r="11325" ht="15" customHeight="1">
      <c r="A11325" t="inlineStr">
        <is>
          <t>S 2540-2026</t>
        </is>
      </c>
      <c r="B11325" t="inlineStr">
        <is>
          <t>samrådsanmälan</t>
        </is>
      </c>
      <c r="C11325" t="inlineStr">
        <is>
          <t>Annan skogsbruksåtgärd</t>
        </is>
      </c>
      <c r="D11325" s="1" t="n">
        <v>46293</v>
      </c>
      <c r="E11325" s="1" t="n">
        <v>46326</v>
      </c>
      <c r="F11325" t="inlineStr">
        <is>
          <t>GÄVLEBORGS LÄN</t>
        </is>
      </c>
      <c r="G11325" t="inlineStr">
        <is>
          <t>OCKELBO</t>
        </is>
      </c>
      <c r="H11325" t="inlineStr">
        <is>
          <t>Bergvik skog väst AB</t>
        </is>
      </c>
      <c r="I11325" t="n">
        <v>3.7</v>
      </c>
      <c r="J11325" t="n">
        <v>0</v>
      </c>
      <c r="K11325" t="n">
        <v>0</v>
      </c>
      <c r="L11325" t="n">
        <v>0</v>
      </c>
      <c r="M11325" t="n">
        <v>0</v>
      </c>
      <c r="N11325" t="n">
        <v>0</v>
      </c>
      <c r="O11325" t="n">
        <v>0</v>
      </c>
      <c r="P11325" t="n">
        <v>0</v>
      </c>
      <c r="Q11325" t="n">
        <v>0</v>
      </c>
      <c r="R11325" t="n">
        <v>0</v>
      </c>
      <c r="S11325" t="n">
        <v>0</v>
      </c>
      <c r="T11325" t="n">
        <v>0</v>
      </c>
      <c r="U11325" t="n">
        <v>0</v>
      </c>
      <c r="V11325" s="2" t="inlineStr"/>
    </row>
    <row r="11326" ht="15" customHeight="1">
      <c r="A11326" t="inlineStr">
        <is>
          <t>S 672-2026</t>
        </is>
      </c>
      <c r="B11326" t="inlineStr">
        <is>
          <t>samrådsanmälan</t>
        </is>
      </c>
      <c r="C11326" t="inlineStr">
        <is>
          <t>Annan skogsbruksåtgärd</t>
        </is>
      </c>
      <c r="D11326" s="1" t="n">
        <v>46090</v>
      </c>
      <c r="E11326" s="1" t="n">
        <v>46326</v>
      </c>
      <c r="F11326" t="inlineStr">
        <is>
          <t>GÄVLEBORGS LÄN</t>
        </is>
      </c>
      <c r="G11326" t="inlineStr">
        <is>
          <t>BOLLNÄS</t>
        </is>
      </c>
      <c r="I11326" t="n">
        <v>1.7</v>
      </c>
      <c r="J11326" t="n">
        <v>0</v>
      </c>
      <c r="K11326" t="n">
        <v>0</v>
      </c>
      <c r="L11326" t="n">
        <v>0</v>
      </c>
      <c r="M11326" t="n">
        <v>0</v>
      </c>
      <c r="N11326" t="n">
        <v>0</v>
      </c>
      <c r="O11326" t="n">
        <v>0</v>
      </c>
      <c r="P11326" t="n">
        <v>0</v>
      </c>
      <c r="Q11326" t="n">
        <v>0</v>
      </c>
      <c r="R11326" t="n">
        <v>0</v>
      </c>
      <c r="S11326" t="n">
        <v>0</v>
      </c>
      <c r="T11326" t="n">
        <v>0</v>
      </c>
      <c r="U11326" t="n">
        <v>0</v>
      </c>
      <c r="V11326" s="2" t="inlineStr"/>
    </row>
    <row r="11327" ht="15" customHeight="1">
      <c r="A11327" t="inlineStr">
        <is>
          <t>S 2558-2026</t>
        </is>
      </c>
      <c r="B11327" t="inlineStr">
        <is>
          <t>samrådsanmälan</t>
        </is>
      </c>
      <c r="C11327" t="inlineStr">
        <is>
          <t>Annan skogsbruksåtgärd</t>
        </is>
      </c>
      <c r="D11327" s="1" t="n">
        <v>46294</v>
      </c>
      <c r="E11327" s="1" t="n">
        <v>46326</v>
      </c>
      <c r="F11327" t="inlineStr">
        <is>
          <t>GÄVLEBORGS LÄN</t>
        </is>
      </c>
      <c r="G11327" t="inlineStr">
        <is>
          <t>BOLLNÄS</t>
        </is>
      </c>
      <c r="H11327" t="inlineStr">
        <is>
          <t>Sveaskog</t>
        </is>
      </c>
      <c r="I11327" t="n">
        <v>1.5</v>
      </c>
      <c r="J11327" t="n">
        <v>0</v>
      </c>
      <c r="K11327" t="n">
        <v>0</v>
      </c>
      <c r="L11327" t="n">
        <v>0</v>
      </c>
      <c r="M11327" t="n">
        <v>0</v>
      </c>
      <c r="N11327" t="n">
        <v>0</v>
      </c>
      <c r="O11327" t="n">
        <v>0</v>
      </c>
      <c r="P11327" t="n">
        <v>0</v>
      </c>
      <c r="Q11327" t="n">
        <v>0</v>
      </c>
      <c r="R11327" t="n">
        <v>0</v>
      </c>
      <c r="S11327" t="n">
        <v>0</v>
      </c>
      <c r="T11327" t="n">
        <v>0</v>
      </c>
      <c r="U11327" t="n">
        <v>0</v>
      </c>
      <c r="V11327" s="2" t="inlineStr"/>
    </row>
    <row r="11328" ht="15" customHeight="1">
      <c r="A11328" t="inlineStr">
        <is>
          <t>S 2148-2026</t>
        </is>
      </c>
      <c r="B11328" t="inlineStr">
        <is>
          <t>samrådsanmälan</t>
        </is>
      </c>
      <c r="C11328" t="inlineStr">
        <is>
          <t>Annan skogsbruksåtgärd</t>
        </is>
      </c>
      <c r="D11328" s="1" t="n">
        <v>46247</v>
      </c>
      <c r="E11328" s="1" t="n">
        <v>46326</v>
      </c>
      <c r="F11328" t="inlineStr">
        <is>
          <t>GÄVLEBORGS LÄN</t>
        </is>
      </c>
      <c r="G11328" t="inlineStr">
        <is>
          <t>LJUSDAL</t>
        </is>
      </c>
      <c r="I11328" t="n">
        <v>2</v>
      </c>
      <c r="J11328" t="n">
        <v>0</v>
      </c>
      <c r="K11328" t="n">
        <v>0</v>
      </c>
      <c r="L11328" t="n">
        <v>0</v>
      </c>
      <c r="M11328" t="n">
        <v>0</v>
      </c>
      <c r="N11328" t="n">
        <v>0</v>
      </c>
      <c r="O11328" t="n">
        <v>0</v>
      </c>
      <c r="P11328" t="n">
        <v>0</v>
      </c>
      <c r="Q11328" t="n">
        <v>0</v>
      </c>
      <c r="R11328" t="n">
        <v>0</v>
      </c>
      <c r="S11328" t="n">
        <v>0</v>
      </c>
      <c r="T11328" t="n">
        <v>0</v>
      </c>
      <c r="U11328" t="n">
        <v>0</v>
      </c>
      <c r="V11328" s="2" t="inlineStr"/>
    </row>
    <row r="11329" ht="15" customHeight="1">
      <c r="A11329" t="inlineStr">
        <is>
          <t>S 2602-2026</t>
        </is>
      </c>
      <c r="B11329" t="inlineStr">
        <is>
          <t>samrådsanmälan</t>
        </is>
      </c>
      <c r="C11329" t="inlineStr">
        <is>
          <t>Annan skogsbruksåtgärd</t>
        </is>
      </c>
      <c r="D11329" s="1" t="n">
        <v>46300</v>
      </c>
      <c r="E11329" s="1" t="n">
        <v>46326</v>
      </c>
      <c r="F11329" t="inlineStr">
        <is>
          <t>GÄVLEBORGS LÄN</t>
        </is>
      </c>
      <c r="G11329" t="inlineStr">
        <is>
          <t>OCKELBO</t>
        </is>
      </c>
      <c r="I11329" t="n">
        <v>1</v>
      </c>
      <c r="J11329" t="n">
        <v>0</v>
      </c>
      <c r="K11329" t="n">
        <v>0</v>
      </c>
      <c r="L11329" t="n">
        <v>0</v>
      </c>
      <c r="M11329" t="n">
        <v>0</v>
      </c>
      <c r="N11329" t="n">
        <v>0</v>
      </c>
      <c r="O11329" t="n">
        <v>0</v>
      </c>
      <c r="P11329" t="n">
        <v>0</v>
      </c>
      <c r="Q11329" t="n">
        <v>0</v>
      </c>
      <c r="R11329" t="n">
        <v>0</v>
      </c>
      <c r="S11329" t="n">
        <v>0</v>
      </c>
      <c r="T11329" t="n">
        <v>0</v>
      </c>
      <c r="U11329" t="n">
        <v>0</v>
      </c>
      <c r="V11329" s="2" t="inlineStr"/>
    </row>
    <row r="11330" ht="15" customHeight="1">
      <c r="A11330" t="inlineStr">
        <is>
          <t>S 2216-2026</t>
        </is>
      </c>
      <c r="B11330" t="inlineStr">
        <is>
          <t>samrådsanmälan</t>
        </is>
      </c>
      <c r="C11330" t="inlineStr">
        <is>
          <t>Annan skogsbruksåtgärd</t>
        </is>
      </c>
      <c r="D11330" s="1" t="n">
        <v>46255</v>
      </c>
      <c r="E11330" s="1" t="n">
        <v>46326</v>
      </c>
      <c r="F11330" t="inlineStr">
        <is>
          <t>GÄVLEBORGS LÄN</t>
        </is>
      </c>
      <c r="G11330" t="inlineStr">
        <is>
          <t>OCKELBO</t>
        </is>
      </c>
      <c r="H11330" t="inlineStr">
        <is>
          <t>Bergvik skog väst AB</t>
        </is>
      </c>
      <c r="I11330" t="n">
        <v>19.4</v>
      </c>
      <c r="J11330" t="n">
        <v>0</v>
      </c>
      <c r="K11330" t="n">
        <v>0</v>
      </c>
      <c r="L11330" t="n">
        <v>0</v>
      </c>
      <c r="M11330" t="n">
        <v>0</v>
      </c>
      <c r="N11330" t="n">
        <v>0</v>
      </c>
      <c r="O11330" t="n">
        <v>0</v>
      </c>
      <c r="P11330" t="n">
        <v>0</v>
      </c>
      <c r="Q11330" t="n">
        <v>0</v>
      </c>
      <c r="R11330" t="n">
        <v>0</v>
      </c>
      <c r="S11330" t="n">
        <v>0</v>
      </c>
      <c r="T11330" t="n">
        <v>0</v>
      </c>
      <c r="U11330" t="n">
        <v>0</v>
      </c>
      <c r="V11330" s="2" t="inlineStr"/>
    </row>
    <row r="11331" ht="15" customHeight="1">
      <c r="A11331" t="inlineStr">
        <is>
          <t>S 8-2025</t>
        </is>
      </c>
      <c r="B11331" t="inlineStr">
        <is>
          <t>samrådsanmälan</t>
        </is>
      </c>
      <c r="C11331" t="inlineStr">
        <is>
          <t>Annan skogsbruksåtgärd</t>
        </is>
      </c>
      <c r="D11331" s="1" t="n">
        <v>45650</v>
      </c>
      <c r="E11331" s="1" t="n">
        <v>46326</v>
      </c>
      <c r="F11331" t="inlineStr">
        <is>
          <t>GÄVLEBORGS LÄN</t>
        </is>
      </c>
      <c r="G11331" t="inlineStr">
        <is>
          <t>NORDANSTIG</t>
        </is>
      </c>
      <c r="I11331" t="n">
        <v>0.2</v>
      </c>
      <c r="J11331" t="n">
        <v>0</v>
      </c>
      <c r="K11331" t="n">
        <v>0</v>
      </c>
      <c r="L11331" t="n">
        <v>0</v>
      </c>
      <c r="M11331" t="n">
        <v>0</v>
      </c>
      <c r="N11331" t="n">
        <v>0</v>
      </c>
      <c r="O11331" t="n">
        <v>0</v>
      </c>
      <c r="P11331" t="n">
        <v>0</v>
      </c>
      <c r="Q11331" t="n">
        <v>0</v>
      </c>
      <c r="R11331" t="n">
        <v>0</v>
      </c>
      <c r="S11331" t="n">
        <v>0</v>
      </c>
      <c r="T11331" t="n">
        <v>0</v>
      </c>
      <c r="U11331" t="n">
        <v>0</v>
      </c>
      <c r="V11331" s="2" t="inlineStr"/>
    </row>
    <row r="11332" ht="15" customHeight="1">
      <c r="A11332" t="inlineStr">
        <is>
          <t>S 2654-2026</t>
        </is>
      </c>
      <c r="B11332" t="inlineStr">
        <is>
          <t>samrådsanmälan</t>
        </is>
      </c>
      <c r="C11332" t="inlineStr">
        <is>
          <t>Annan skogsbruksåtgärd</t>
        </is>
      </c>
      <c r="D11332" s="1" t="n">
        <v>46307</v>
      </c>
      <c r="E11332" s="1" t="n">
        <v>46326</v>
      </c>
      <c r="F11332" t="inlineStr">
        <is>
          <t>GÄVLEBORGS LÄN</t>
        </is>
      </c>
      <c r="G11332" t="inlineStr">
        <is>
          <t>LJUSDAL</t>
        </is>
      </c>
      <c r="H11332" t="inlineStr">
        <is>
          <t>Sveaskog</t>
        </is>
      </c>
      <c r="I11332" t="n">
        <v>0.5</v>
      </c>
      <c r="J11332" t="n">
        <v>0</v>
      </c>
      <c r="K11332" t="n">
        <v>0</v>
      </c>
      <c r="L11332" t="n">
        <v>0</v>
      </c>
      <c r="M11332" t="n">
        <v>0</v>
      </c>
      <c r="N11332" t="n">
        <v>0</v>
      </c>
      <c r="O11332" t="n">
        <v>0</v>
      </c>
      <c r="P11332" t="n">
        <v>0</v>
      </c>
      <c r="Q11332" t="n">
        <v>0</v>
      </c>
      <c r="R11332" t="n">
        <v>0</v>
      </c>
      <c r="S11332" t="n">
        <v>0</v>
      </c>
      <c r="T11332" t="n">
        <v>0</v>
      </c>
      <c r="U11332" t="n">
        <v>0</v>
      </c>
      <c r="V11332" s="2" t="inlineStr"/>
    </row>
    <row r="11333">
      <c r="A11333" t="inlineStr">
        <is>
          <t>S 2657-2026</t>
        </is>
      </c>
      <c r="B11333" t="inlineStr">
        <is>
          <t>samrådsanmälan</t>
        </is>
      </c>
      <c r="C11333" t="inlineStr">
        <is>
          <t>Annan skogsbruksåtgärd</t>
        </is>
      </c>
      <c r="D11333" s="1" t="n">
        <v>46307</v>
      </c>
      <c r="E11333" s="1" t="n">
        <v>46326</v>
      </c>
      <c r="F11333" t="inlineStr">
        <is>
          <t>GÄVLEBORGS LÄN</t>
        </is>
      </c>
      <c r="G11333" t="inlineStr">
        <is>
          <t>OCKELBO</t>
        </is>
      </c>
      <c r="H11333" t="inlineStr">
        <is>
          <t>Bergvik skog väst AB</t>
        </is>
      </c>
      <c r="I11333" t="n">
        <v>2.8</v>
      </c>
      <c r="J11333" t="n">
        <v>0</v>
      </c>
      <c r="K11333" t="n">
        <v>0</v>
      </c>
      <c r="L11333" t="n">
        <v>0</v>
      </c>
      <c r="M11333" t="n">
        <v>0</v>
      </c>
      <c r="N11333" t="n">
        <v>0</v>
      </c>
      <c r="O11333" t="n">
        <v>0</v>
      </c>
      <c r="P11333" t="n">
        <v>0</v>
      </c>
      <c r="Q11333" t="n">
        <v>0</v>
      </c>
      <c r="R11333" t="n">
        <v>0</v>
      </c>
      <c r="S11333" t="n">
        <v>0</v>
      </c>
      <c r="T11333" t="n">
        <v>0</v>
      </c>
      <c r="U11333" t="n">
        <v>0</v>
      </c>
      <c r="V1133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2026-10-31T03:24:46Z</dcterms:created>
  <dcterms:modified xmlns:dcterms="http://purl.org/dc/terms/" xmlns:xsi="http://www.w3.org/2001/XMLSchema-instance" xsi:type="dcterms:W3CDTF">2026-10-31T03:24:58Z</dcterms:modified>
</cp:coreProperties>
</file>